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" sheetId="1" r:id="rId4"/>
    <sheet state="visible" name="NoDupInTexas" sheetId="2" r:id="rId5"/>
    <sheet state="visible" name="TexasZipAmountPerCand" sheetId="3" r:id="rId6"/>
    <sheet state="visible" name="NoDupeExTexas" sheetId="4" r:id="rId7"/>
  </sheets>
  <definedNames/>
  <calcPr/>
</workbook>
</file>

<file path=xl/sharedStrings.xml><?xml version="1.0" encoding="utf-8"?>
<sst xmlns="http://schemas.openxmlformats.org/spreadsheetml/2006/main" count="14472" uniqueCount="3208">
  <si>
    <t>Donor</t>
  </si>
  <si>
    <t>Amount</t>
  </si>
  <si>
    <t>Candidate</t>
  </si>
  <si>
    <t>Zip Code</t>
  </si>
  <si>
    <t>Johnson, Anne
5905 Norway Rd
Dallas, TX 75230</t>
  </si>
  <si>
    <t>Gay Willis</t>
  </si>
  <si>
    <t>Williams, Todd
5119 Seneca Drive, Dallas, TX
Dallas, TX 75209</t>
  </si>
  <si>
    <t>Schlossin, Denise
7051 Spring Vallet
Dallas, TX 75230</t>
  </si>
  <si>
    <t>Candy Evans</t>
  </si>
  <si>
    <t>Jennings, Steve
2013 North Henderson Avenue
Dallas, TX 75218</t>
  </si>
  <si>
    <t>Blache, Sidney
12900 Preston Road
Dallas, TX 75230</t>
  </si>
  <si>
    <t>Jennings, Nancy
2301 North Henderson Avenue
Dallas, TX 75218</t>
  </si>
  <si>
    <t>Crumpecker, Brad
4630 Gulfstream Drive
Dallas, TX 75244</t>
  </si>
  <si>
    <t>Abtahi, Bobby
1126 N. Zang Blvd, Dallas, TX
Dallas, TX 75203</t>
  </si>
  <si>
    <t>Byrne, Daniel
4931 Thunder Road
Dallas, TX 75244</t>
  </si>
  <si>
    <t>Schlossberg, Sheila
6254 Preston Creek Dr.
Dallas, TX 75230</t>
  </si>
  <si>
    <t>Dooley, Ellen
7311 Foxworth Drive, Dallas, TX
Dallas, TX 75248</t>
  </si>
  <si>
    <t>Newman, Kate
10740 SAINT MICHAELS DR, DALLAS, TX
Dallas, TX 75230</t>
  </si>
  <si>
    <t>Garrett, Kim
11438 East Ricks Circle
Dallas, TX 75230</t>
  </si>
  <si>
    <t>Elk, Charles
6504 Bailey Road
Sachse, TX 75048</t>
  </si>
  <si>
    <t>Brown, Susana
4175 Wilada Drive, Dallas, TX
Dallas, TX 75220</t>
  </si>
  <si>
    <t>Pitchford, Beverly
7422 Midbury Drive
Dallas, TX 75230</t>
  </si>
  <si>
    <t>Kemble, Steve
2206 Marilla Street, Dallas, TX
Dallas, TX 75201</t>
  </si>
  <si>
    <t>Stowe, Jason
3905 Weeburn Drive
Dallas, TX 75229</t>
  </si>
  <si>
    <t>Brown, Ike
5430 Palomar Ln
Dallas, TX 75229</t>
  </si>
  <si>
    <t>Lill, Veletta
622 Blair Blvd.
Dallas, TX 75223</t>
  </si>
  <si>
    <t>Deason, Darwin
3953 Maple Ave Ste 150, Dallas, TX
Dallas, TX 75219</t>
  </si>
  <si>
    <t>Deason, Doug
10134 Waller Drive
Dallas, TX 75229</t>
  </si>
  <si>
    <t>Pick, Jacki
10134 Waller Drive
Dallas, TX 75229</t>
  </si>
  <si>
    <t>Ritter, Philip
8616 Turtle Creek Boulevard
Dallas, TX 75225</t>
  </si>
  <si>
    <t>Losinger, Sarah
4506 Park Ln
Dallas, TX 75220</t>
  </si>
  <si>
    <t>Clark, Carol
4629 Heatherbrook Drive
Dallas, TX 75244</t>
  </si>
  <si>
    <t>Hodge, Terri
7106 Abrams Rd
Dallas, TX 75231-5722</t>
  </si>
  <si>
    <t>Zarin Gracey</t>
  </si>
  <si>
    <t>Matthews, Mr. &amp; Mrs. John
120 Winding Creek
Argyle, TX 75226</t>
  </si>
  <si>
    <t>Omar Narvaez</t>
  </si>
  <si>
    <t>Darren Brown, Mr. &amp; Mrs.
4313 Dunning
Austin, TX 78746</t>
  </si>
  <si>
    <t>James Crow, Mr. &amp; Mrs.
4600 Secluded
Austin, TX 78727</t>
  </si>
  <si>
    <t>Strozeweski, Mr. &amp; Mrs. Kirk
2904 Cascade Cv
Round Rock, TX 78664</t>
  </si>
  <si>
    <t>Leon, Mr. &amp; Mrs. Victor
6080 Water St
Plano, TX 75024</t>
  </si>
  <si>
    <t>Stonewall Democrats of Dallas
PO Box 192305
Dallas, TX 75219</t>
  </si>
  <si>
    <t>Rodriguez Sanchez, Maria
PO Box 13405
Dallas, TX 75219</t>
  </si>
  <si>
    <t>Altillo, Jose
3720 Westgate
Addison, TX 75001</t>
  </si>
  <si>
    <t>Jennings, Steve
2310 North Henderson Avenue
Dallas, TX 75206</t>
  </si>
  <si>
    <t>John Sims</t>
  </si>
  <si>
    <t>Jennings, Nancy
2310 North Henderson Avenue
Dallas, TX 75206</t>
  </si>
  <si>
    <t>Elliott, Monica
1007 legacy Ranch Road
Waxahachie, TX 75165</t>
  </si>
  <si>
    <t>Hansen, Misty
8021 Boat Wind Rd
Fort Worth, TX 76179</t>
  </si>
  <si>
    <t>Mason, Ajua
8501 Old Hickory
Dallas, TX 75237</t>
  </si>
  <si>
    <t>Bradford, Pam
1333 Windingbrook
DeSoto, TX 75115</t>
  </si>
  <si>
    <t>Adam Bazaldua</t>
  </si>
  <si>
    <t>Forsythe Lill, Veletta
622 Blair
Dallas, TX 75223</t>
  </si>
  <si>
    <t>Invest in South Dallas, LLC
3208 Cole Ave
Dallas, TX 75204</t>
  </si>
  <si>
    <t>Hornor, Heather
1011 Pearl
Dallas, TX 75201</t>
  </si>
  <si>
    <t>Kovich, Sarah
3323 Dothan
Dallas, TX 75229</t>
  </si>
  <si>
    <t>Collins-Bratton, Calvert
4738 Hallmark
Dallas, TX 75229</t>
  </si>
  <si>
    <t>matthews, john
120 Winding Creek
Argyle, TX 76226</t>
  </si>
  <si>
    <t>Myers, Kirk
1604 Carraige Creek
DeSoto, TX 75115</t>
  </si>
  <si>
    <t>Bennett, Jennifer
PO Box 820862
Dallas, TX 75382</t>
  </si>
  <si>
    <t>Daniel, Theresa
2228 Springhill
Dallas, TX 75228</t>
  </si>
  <si>
    <t>Stamport, Linda
5706 Everglade
Dallas, TX 75227</t>
  </si>
  <si>
    <t>Grahn, Shane
6922 Belteau
Dallas, TX 75227</t>
  </si>
  <si>
    <t>Espinal, Jackie
1200 Main
Dallas, TX 75201</t>
  </si>
  <si>
    <t>Collins, Patty
5739 Banting Way
Dallas, TX 75227</t>
  </si>
  <si>
    <t>Noltemy, Kim
300 Rivercrest
Allen, TX 75002</t>
  </si>
  <si>
    <t>Miller, Cliffton
1412 Main
Dallas, TX 75202</t>
  </si>
  <si>
    <t>Johnson, Willis
1700 Pacific
Dallas, TX 75201</t>
  </si>
  <si>
    <t>Campbell, Stewart
15729 Artist Way
Dallas, TX 75001</t>
  </si>
  <si>
    <t>Wynhausen, Aaron
12420 W. 85th
Lenexa, KS 66215</t>
  </si>
  <si>
    <t>Lawler, Gary
5620 Live Oak
Dallas, TX 75207</t>
  </si>
  <si>
    <t>Kolenovic, Enver
1906 Hillside
Rowlett, TX 75088</t>
  </si>
  <si>
    <t>Flores, Hector
1030 Tracy
Duncanville, TX 75137</t>
  </si>
  <si>
    <t>Schenkel, Pete
614 Bishop
Dallas, TX 75208</t>
  </si>
  <si>
    <t>Dohanian, Armen
5859 Windingwoods
Dallas, TX 75227</t>
  </si>
  <si>
    <t>Vasquez, Mary
1709 East
Katy, TX 77493</t>
  </si>
  <si>
    <t>Montfort, Jesus
1610 Hyland Greens
Grapevine, TX 76051</t>
  </si>
  <si>
    <t>Montfort, Jane
1610 Hyland Greens
Grapevine, TX 76051</t>
  </si>
  <si>
    <t>Aranza, Gilbert
PO Box 601527
Dallas, TX 75360</t>
  </si>
  <si>
    <t>Patel, Sunil
5122 Second Ave
Dallas, TX 75210</t>
  </si>
  <si>
    <t>Tiona, Alisa
11404 Bertram
Austin, TX 78645</t>
  </si>
  <si>
    <t>Black American Futures PAC
2647 White Oak
Decatur, GA 30032</t>
  </si>
  <si>
    <t>Hill, Ricky
1604 Carraige Creek
DeSoto, TX 75115</t>
  </si>
  <si>
    <t>Chase, Scott
1700 Pacific
Dallas, TX 75201</t>
  </si>
  <si>
    <t>Palmer, Kelly
PO Box 2570
Waco, TX 76702</t>
  </si>
  <si>
    <t>Flores, Fabiola
1407 Ridgemont
Austin, TX 78723</t>
  </si>
  <si>
    <t>Keyes, Katrina
3839 McKinney
Dallas, TX 75204</t>
  </si>
  <si>
    <t>Nurre, Mike
4923 Twin Post
Dallas, TX 75244</t>
  </si>
  <si>
    <t>Howard, Todd
9632 Athlone
Dallas, TX 75218</t>
  </si>
  <si>
    <t>Best, Randy
9762 Aududob Place
Dallas, TX 75220</t>
  </si>
  <si>
    <t>Norris, Patrick
4240 Prescott
Dallas, TX 75219</t>
  </si>
  <si>
    <t>Hurley, Sydney
3910 Gillon
Dallas, TX 75205</t>
  </si>
  <si>
    <t>Stevens, Seth
2560 Honeycuckle
Richardson, TX 75082</t>
  </si>
  <si>
    <t>Angelo, Joanna
3221 Red Bird
Grapevine, TX 76051</t>
  </si>
  <si>
    <t>Garcia, Hector
1409 Lamar
Dallas, TX 75215</t>
  </si>
  <si>
    <t>King, Johnnie
1243 Pleasant Run
DeSoto, TX 75115</t>
  </si>
  <si>
    <t>Davis, Christopher
541 Mendenhall
Bozeman, MT 59715</t>
  </si>
  <si>
    <t>White, Tom
5819 Winding Woods
Dallas, TX 75227</t>
  </si>
  <si>
    <t>Nugent, Jim
4717 Mill Run Road
Dallas, TX 75244</t>
  </si>
  <si>
    <t>Walne, Alan
10020 Caribou Trail
Dallas, TX 75238</t>
  </si>
  <si>
    <t>Kolenovic, Enver
1906 Hillside Drive
Rowlett, TX 76088</t>
  </si>
  <si>
    <t>Joyce Schiska Designs
3815 Antigua
Dallas, TX 75244</t>
  </si>
  <si>
    <t>Rothschild, Debra
6404 Orchid Lane
Dallas, TX 75230</t>
  </si>
  <si>
    <t>Schlosser, Rodney
6366 Tulip Lane
Dallas, TX 75230</t>
  </si>
  <si>
    <t>Moyers, James
2808 Throckmorton
Dallas, TX 75219</t>
  </si>
  <si>
    <t>Rubin, Candace
25 Highland Park Village
Dallas, TX 75205</t>
  </si>
  <si>
    <t>Miles, Kayla
404 North Winnetka Avenue
Dallas, TX 75208</t>
  </si>
  <si>
    <t>Albert Mata</t>
  </si>
  <si>
    <t>Aguirre, Alejandra
10320 Trail Lane
Dallas, TX 75217</t>
  </si>
  <si>
    <t>Tinajero, Maribel
5609 Junkin Ct
Dallas, TX 75249</t>
  </si>
  <si>
    <t>Stanley, Tiara
1309 Lenvoy Street
Dallas, TX 75215</t>
  </si>
  <si>
    <t>Campos, Val
2525 Bolton Boone
Desoto, TX 75115</t>
  </si>
  <si>
    <t>Lagos, Alfred
131 North Montclair Avenue
Glen Ellyn, IL 60137</t>
  </si>
  <si>
    <t>Alvarez, Daniel
815 N Montclair Ave
Dallas, TX 75208</t>
  </si>
  <si>
    <t>Arciniega Nevarez, Sara
2625 Wilbur St
Dallas, TX 75233</t>
  </si>
  <si>
    <t>Williams, Giana
8232 Wes Hodges Road
Dallas, TX 75217</t>
  </si>
  <si>
    <t>Gonzales, Gilbert
16700 FM 3486
Terrell, TX 75160</t>
  </si>
  <si>
    <t>Garcia, Gina
423 E Ledbetter Dr
Dallas, TX 75216</t>
  </si>
  <si>
    <t>Davila, Juanita
908 Turner Avenue
Dallas, TX 75208</t>
  </si>
  <si>
    <t>Garcia, Catalina
10455 N. Central Expressway
Dallas, TX 75231</t>
  </si>
  <si>
    <t>Hua, Cindy
718 Crested Cove Drive
Garland, TX 75040</t>
  </si>
  <si>
    <t>Wood, Dylan
862 Union Street
Brooklyn, NY 11215</t>
  </si>
  <si>
    <t>Gonzales, Jose
2105 Madera Drive
Waco, TX 76705</t>
  </si>
  <si>
    <t>Stevens, Jennifer
17500 Northlake Hills
Jonestown, TX 78645</t>
  </si>
  <si>
    <t>Fuentes, Mr. &amp; Mrs. Janice &amp; Francisco
4114 Broadstone
Dallas, TX 75211</t>
  </si>
  <si>
    <t>Jolomo, Augustine
607 W Canty
Dallas, TX 75208</t>
  </si>
  <si>
    <t>Johnson, Daniel
805 Sleepy Hollow Dr
Cedar Hill, TX 75104</t>
  </si>
  <si>
    <t>Joe Tave</t>
  </si>
  <si>
    <t>Easter, Avan
5023 Linnet Ln
Dallas, TX 75209</t>
  </si>
  <si>
    <t>Tennyson, Alfred
335 Wren St
Mineola, TX 75773</t>
  </si>
  <si>
    <t>Rollins Developmment Group
5720 LBJ Freeway
Dallas, TX 75240</t>
  </si>
  <si>
    <t>Evans, Marsha
5218 Alec Dr
Garland, TX 75043</t>
  </si>
  <si>
    <t>Ace Three LLC
6449 University Hills Blvd
Dallas, TX 75241</t>
  </si>
  <si>
    <t>Marcus, Nancy
300 Crescent Court
Dallas, TX 75201</t>
  </si>
  <si>
    <t>Gonzalez, Jessica
400 S Zang
Dallas, TX 75208</t>
  </si>
  <si>
    <t>Alexander, A.
932 Lausanne
Dallas, TX 75208</t>
  </si>
  <si>
    <t>Loring, M.S.
9917 Lenel
Dallas, TX 75220</t>
  </si>
  <si>
    <t>Weatherall, Cynthia
7318 Yamini
Dallas, TX 75230</t>
  </si>
  <si>
    <t>Orozco, Michael
5707 Vanderbilt
Dallas, TX 75206</t>
  </si>
  <si>
    <t>Halperin, James
5823 Saint Andrews
Dallas, TX 75208</t>
  </si>
  <si>
    <t>Deason, Doug
10134 Waller
Dallas, TX 75229</t>
  </si>
  <si>
    <t>Deason, Jackie
10134 Waller
Dallas, TX 75229</t>
  </si>
  <si>
    <t>Madison, Kendra
8650 Southwestern Blvd
Dallas, TX 75206</t>
  </si>
  <si>
    <t>Kendra Madison</t>
  </si>
  <si>
    <t>Berggren, Jerry
1128 Easton Rd
Dallas, TX 75218</t>
  </si>
  <si>
    <t>Klement, Christopher
7030 Wakefield St
Dallas, TX 75231</t>
  </si>
  <si>
    <t>Jourdan, Emily
4653 S Versailles Avenue
Dallas, TX 75209</t>
  </si>
  <si>
    <t>Zvara, Julie
5423 Emerson
Dallas, TX 75209</t>
  </si>
  <si>
    <t>Arnett, Deborah
9702 El Patio
Dallas, TX 75218</t>
  </si>
  <si>
    <t>Masters, Philip
10905 Ridgemeadow Dr
Dallas, TX 75218</t>
  </si>
  <si>
    <t>Masters, Kay
10905 Ridgemeadow Dr
Dallas, TX 75218</t>
  </si>
  <si>
    <t>Bryson, Neal
918 Sylvania Dr
Dallas, TX 75218</t>
  </si>
  <si>
    <t>Leonard, Diana
10509 Swallow Ln
Dallas, TX 75218</t>
  </si>
  <si>
    <t>Potter, Gregg
10926 Ridgemeadow Dr
Dallas, TX 75218</t>
  </si>
  <si>
    <t>Deason, Darwin
3953 Maple Ave
Dallas, TX 75219</t>
  </si>
  <si>
    <t>Deason, Kimberly
3953 Maple Ave
Dallas, TX 75219</t>
  </si>
  <si>
    <t>Sherman, Susan
6219 Churchill
Dallas, TX 75230</t>
  </si>
  <si>
    <t>Griffith, Kenneth
6228 Northaven
Dallas, TX 75230</t>
  </si>
  <si>
    <t>Thackston, Jessica
11400 East Ricks Circle
Dallas, TX 75230</t>
  </si>
  <si>
    <t>Fallon, Barbara
12271 Coit Road
Dallas, TX 75251</t>
  </si>
  <si>
    <t>Pena, Lucilo
1717 Arts Plaza
Dallas, TX 75201</t>
  </si>
  <si>
    <t>Rose, Evelyn
5 Willow wood
Dallas, TX 75205</t>
  </si>
  <si>
    <t>Stimson, Bob
2116 Kessler Court
Dallas, TX 75208</t>
  </si>
  <si>
    <t>Talley, Olive
6133 Prospect
Dallas, TX 75214</t>
  </si>
  <si>
    <t>Hoffman, Marguerite
9963 Rockbrook
Dallas, TX 75220</t>
  </si>
  <si>
    <t>Estell, Greg
411 Bondstone
Dallas, TX 75218</t>
  </si>
  <si>
    <t>West, Royce
1212 Regents Park Ct
Desoto, TX 75115</t>
  </si>
  <si>
    <t>Lopez, Bridget
4326 Meadowdale Lane
Dallas, TX 75229</t>
  </si>
  <si>
    <t>De Aztlan, Lali
7817 Kentwood Ave
Los Angeles, CA 90045</t>
  </si>
  <si>
    <t>Carey, Jeff
300 E ROUND GROVE RD APT 621
LEWISVILLE, TX 75067</t>
  </si>
  <si>
    <t>Lopez, Edward
4719 Byron Circle
Irving, TX 75038</t>
  </si>
  <si>
    <t>Knighton, Sherrel
2777 N Stemmons Frwy Suite 1000
Dallas, TX 75207</t>
  </si>
  <si>
    <t>atkins, ashly
307 s waverly
Dallas, TX 75208</t>
  </si>
  <si>
    <t>Thomas, Belinda
1820 Browder Street
Dallas, TX 75215</t>
  </si>
  <si>
    <t>Lopez, Roy
4326 Meadowdale Ln
Dallas, TX 75229</t>
  </si>
  <si>
    <t>Garcia MD, Catalina E
10455 N Central Expressway 109 314
Dallas, TX 75231</t>
  </si>
  <si>
    <t>Forsythe-Lill, Veletta
622 Blair Blvd
Dallas, TX 75223</t>
  </si>
  <si>
    <t>Mao, Diana
5928 Sandhurst Lane
Dallas, TX 75206</t>
  </si>
  <si>
    <t>Pomykal, Keith
3001 Sale St 409
Dallas, TX 75219</t>
  </si>
  <si>
    <t>Przekwas, Michael
1602 Beaumont St
Dallas, TX 75215</t>
  </si>
  <si>
    <t>Ragan, Tanya
630 S Pearl Expressway
Dallas, TX 75201</t>
  </si>
  <si>
    <t>Lee, Pamela
2117 FLORA LN
DeSoto, TX 75115</t>
  </si>
  <si>
    <t>Mayers, Tshomba
5600 W Lovers
Dallas, TX 75209</t>
  </si>
  <si>
    <t>Ruiz+, Eliseo
214 S WILLOMET AVE
Dallas, TX 75208</t>
  </si>
  <si>
    <t>Quintanilla, Lisa
9903 ILA Drive
Dallas, TX 75220</t>
  </si>
  <si>
    <t>Cuellar, John
16302 Sunset Valley
Dallas, TX 75248</t>
  </si>
  <si>
    <t>Armstrong, J
603 Suite
Dallas, TX 75292</t>
  </si>
  <si>
    <t>Rodriguez, Pat
3765 Seguin Dr
Dallas, TX 75220</t>
  </si>
  <si>
    <t>Jordan, Cris
4842 Junius St
Dallas, TX 75246</t>
  </si>
  <si>
    <t>Solis, Erica
2322 Kenesaw Drive
Dallas, TX 75212</t>
  </si>
  <si>
    <t>MELDE, CRAIG
3415 UNIVERSITY BLVD
DALLAS, TX 75205</t>
  </si>
  <si>
    <t>Cabaniss, Edwin
1230 West Davis
Dallas, TX 75208</t>
  </si>
  <si>
    <t>Hill, Todd
604 Fort Worth Avenue 3013
Dallas, TX 75208</t>
  </si>
  <si>
    <t>West, Chad
3606 South Tyler Street
Dallas, TX 75224</t>
  </si>
  <si>
    <t>Bober, Joanne
3510 Turtle Creek Blvd 10B
Dallas, TX 75219</t>
  </si>
  <si>
    <t>Sanders, Byron
708 Mayrant Dr
Dallas, TX 75224</t>
  </si>
  <si>
    <t>Reznik, Staci
4007 Lively
Dallas, TX 75220</t>
  </si>
  <si>
    <t>Labrador, Fred
3320 Douglas Avenue
Dallas, TX 75219</t>
  </si>
  <si>
    <t>Colon, Brian
1101 Diamondback Dr NE
Albuquerque, NM 87113</t>
  </si>
  <si>
    <t>Martinez, Susan
15021 Ventura Blvd. #311
Sherman Oaks, CA 91403</t>
  </si>
  <si>
    <t>Vasquez, Gilbert
1002 Roxbury Rd
San Marino, CA 91108</t>
  </si>
  <si>
    <t>Gutierrez, Rudy
13067 Arlington Lane
Chino, CA 91710</t>
  </si>
  <si>
    <t>Orlando, Joseph
1016 W JACKSON BLVD
Chicago, IL 60607</t>
  </si>
  <si>
    <t>Diaz, Denise
10365 Virginia ave
South Gate, CA 90280</t>
  </si>
  <si>
    <t>Smith, James &amp; Francis
104 Lyndsey Court
Boyd, TX 76023</t>
  </si>
  <si>
    <t>Villegas, Peter
11036 De Anza Dr
Rancho Cucamonga, CA 91730</t>
  </si>
  <si>
    <t>Boone, Garrett
4809 Cole Ave Suite 300
Dallas, TX 75205</t>
  </si>
  <si>
    <t>Hagestad, Robb
1887 Whitney Mesa Dr 2022
Henderson, NV 89014</t>
  </si>
  <si>
    <t>Smith, Ruben
2321 N Lowell Lane
Santa Ana, CA 92706</t>
  </si>
  <si>
    <t>Moriarty, Kevin
400 N Ervay Apt 328
Dallas, TX 75201</t>
  </si>
  <si>
    <t>Reed, Alexander
9428 lilac drive
Forest falls, CA 92339</t>
  </si>
  <si>
    <t>Haley, Clinton
6311 Club Lake Ct
Dallas, TX 75214</t>
  </si>
  <si>
    <t>Dalton, Jeff
8552 Royal County Down Drive
McKinney, TX 75070</t>
  </si>
  <si>
    <t>Rane, Jeff
3528 Cedar Plaza Ln
Dallas, TX 75209</t>
  </si>
  <si>
    <t>Loftis, Terry
2323 N Houston Street
Dallas, TX 75219</t>
  </si>
  <si>
    <t>Gandy, Susan
202 E Wheatland Rd Ste 100 suite 100
Duncanville, TX 75116</t>
  </si>
  <si>
    <t>Newman, Kate
10740 St. Michaels Drive
Dallas, TX 75230</t>
  </si>
  <si>
    <t>Santos, Charles
5567 Ledgestone Dr
Dallas, TX 75214</t>
  </si>
  <si>
    <t>Spaur, Amy
2732 San Jose Dr
Dallas, TX 75211</t>
  </si>
  <si>
    <t>Kochie, Andrew
3223 Lemmon Ave Apartment 4140
Dallas, TX 75204</t>
  </si>
  <si>
    <t>De La Cruz, Sandra
3917 Van Ness Ln
Dallas, TX 75220</t>
  </si>
  <si>
    <t>Flores, Hector
1030 Tracy Avenue
Duncanville, TX 75137</t>
  </si>
  <si>
    <t>Montemayor, Lorraine
164 Wetzel
Kyle, TX 78640</t>
  </si>
  <si>
    <t>Garcia, Abel
2805 Rice Dr.
Rowlett, TX 75088</t>
  </si>
  <si>
    <t>magee, susan
4022 Highgrove Drive
Dallas, TX 75220</t>
  </si>
  <si>
    <t>Douglas, Lori
4540 Duckhorn Drive Ste 100
Sacramento, CA 95834</t>
  </si>
  <si>
    <t>W, Christopher
1900 North Akard Street
Dallas, TX 75201</t>
  </si>
  <si>
    <t>Beckles, Loris A
4851 Cedar Springs Rd 282
Dallas, TX 75219</t>
  </si>
  <si>
    <t>Long, Cyndi
1303 Chemical St
Dallas, TX 75207</t>
  </si>
  <si>
    <t>Morgan, Aschelle
390 E Oakenwald St
Dallas, TX 75203</t>
  </si>
  <si>
    <t>Cardona, Sara
304 St. Michaels Drive
Dallas, TX 75208</t>
  </si>
  <si>
    <t>Considine, Carol
7230 Westlake Ave
Dallas, TX 75214</t>
  </si>
  <si>
    <t>Brown, Susanna
4175 Wilada Drive
Dallas, TX 75220</t>
  </si>
  <si>
    <t>Sholars, Cora
3154 LOCKMOOR LANE
DALLAS, TX 75220</t>
  </si>
  <si>
    <t>Davis, Macey
8322 Ridgelea St
Dallas, TX 75209</t>
  </si>
  <si>
    <t>Wilson, Chris
3176 Darvany Dr
Dallas, TX 75220</t>
  </si>
  <si>
    <t>Khan, Margo
11410 Harry Hines
Dallas, TX 75229</t>
  </si>
  <si>
    <t>Hannara Centre LLC
7416 Summitview
Irving, TX 75063</t>
  </si>
  <si>
    <t>Kim, Rae
2529 Royal Lane
Dallas, TX 75229</t>
  </si>
  <si>
    <t>Jeanne Dallasrealty LLC
1528 Van Winkle
Carrollton, TX 75007</t>
  </si>
  <si>
    <t>Han, Song
2411 Huntersridge
Irving, TX 75063</t>
  </si>
  <si>
    <t>Thomas, Okema
2603 Southland St.
Dallas, TX 75215</t>
  </si>
  <si>
    <t>Okema Thomas</t>
  </si>
  <si>
    <t>Seo, Hwang
7416 Summitview
Irving, TX 75063</t>
  </si>
  <si>
    <t>Hong, Ho
971 Laguna
Dallas, TX 75019</t>
  </si>
  <si>
    <t>Lee, Youn
117 S holly st
Coppell, TX 75019</t>
  </si>
  <si>
    <t>Santiago, Sally
2010 Woods
Monterrey Park, CA 91754</t>
  </si>
  <si>
    <t>Regalado, Rosalie
713 Stargazer
Beaumont, CA 92222</t>
  </si>
  <si>
    <t>Martinez, Maria
10403 La rosa dr
Temple City, CA 91780</t>
  </si>
  <si>
    <t>Ko, Kun
229 Bricknel
Coppell, TX 75019</t>
  </si>
  <si>
    <t>Lee, Sang
6409 Crestmoor
Sachse, TX 75048</t>
  </si>
  <si>
    <t>Sohn, Steven
816 Rockingham
Irving, TX 75063</t>
  </si>
  <si>
    <t>Dominguez, Benjamin
PO Box 1189
Rialto, CA 92377</t>
  </si>
  <si>
    <t>Dominga, Carol
6083 Bristol Parkway
Culver City, CA 90230</t>
  </si>
  <si>
    <t>Empire SCH Enterprise LLC
2680 Old Denton Rd
Carrollton, TX 75007</t>
  </si>
  <si>
    <t>Minnis, Norma
PO Box 140977
Dallas, TX 75214</t>
  </si>
  <si>
    <t>Hobiho, Hae
7416 Summitview
Irving, TX 75063</t>
  </si>
  <si>
    <t>Royal Plaza Investment LLC
2625 Old Denton Road
Carrollton, TX 75007</t>
  </si>
  <si>
    <t>Kim, Margaret
11410 Harry Hines
Dallas, TX 75229</t>
  </si>
  <si>
    <t>Kwon, Il
14601 Northern
Flushing, NY 00771</t>
  </si>
  <si>
    <t>Lee, Soo
2174 Royal lane
Dallas, TX 75229</t>
  </si>
  <si>
    <t>Park, Bong
3713 Winchester
Lewisville, TX 75056</t>
  </si>
  <si>
    <t>Kline, Peter
5807 Deloache Avenue
Dallas, TX 75225</t>
  </si>
  <si>
    <t>Do, Sihyoung
3713 Cliff stone Way
Mckinney, TX 75070</t>
  </si>
  <si>
    <t>Bratton, Vince
4738 Hallmark Drive
Dallas, TX 75229</t>
  </si>
  <si>
    <t>Collins-Bratton, Calvert
4738 Hallmark Drive
Dallas, TX 75229</t>
  </si>
  <si>
    <t>Park, Woo
11649 Teresa
Frisco, TX 75035</t>
  </si>
  <si>
    <t>Schulz, Amanda
5943 Palo Pinto Avenue, Dallas, TX
Dallas, TX 75206</t>
  </si>
  <si>
    <t>Choi, Jin
1049 Broken Spoke
Little Elm, TX 75068</t>
  </si>
  <si>
    <t>Talley, Olive
6133 Prospect Avenue, Dallas, TX
Dallas, TX 75214</t>
  </si>
  <si>
    <t>Kang, Nasim
3119 Luallen
Carrollton, TX 75007</t>
  </si>
  <si>
    <t>Cho, Hyun
2469 Stallion
Carrollton, TX 75010</t>
  </si>
  <si>
    <t>Hellstern, Cindy
10827 Crooked Creek Drive
Dallas, TX 75229</t>
  </si>
  <si>
    <t>Lee, Min
5285 Highland
Bellvue, WA 98006</t>
  </si>
  <si>
    <t>Genender, Paul
6131 Tulip Lane
Dallas, TX 75230</t>
  </si>
  <si>
    <t>Lee, Hee
2411 Fondren
Houston, TX 77063</t>
  </si>
  <si>
    <t>Sebesta, Edward
1003 Valencia
Dallas, TX 75223</t>
  </si>
  <si>
    <t>Cobb, Will
1000 3rd Street,
San Francisco, CA 94158</t>
  </si>
  <si>
    <t>Heinbaugh, Chris
1801 Annex
Dallas, TX 75204</t>
  </si>
  <si>
    <t>Crawford, Robert
4416 Forest Bend Rd
Dallas, CA 75244</t>
  </si>
  <si>
    <t>Wash, Teresa
420 Kearsarge
De Soto, TX 75115</t>
  </si>
  <si>
    <t>Klion, Howard
5927 Joyce Way
Dallas, TX 75225</t>
  </si>
  <si>
    <t>St. Angelo, Joanna
3224 Red bird
Grapevine, TX 76051</t>
  </si>
  <si>
    <t>Griffiths, Aimee
12116 Edgestone Rd
Dallas, TX 75230</t>
  </si>
  <si>
    <t>Clemmons, Philip
6435 Northwood
Dallas, TX 75225</t>
  </si>
  <si>
    <t>Rosenberg, Barbara
6946 Casa Loma
Dallas, TX 75214</t>
  </si>
  <si>
    <t>Margolin, Ann
3535 Gillespie
Dallas, TX 75219</t>
  </si>
  <si>
    <t>Weiss, Aurelia
2685 Fern valley
Rockwall, TX 75087</t>
  </si>
  <si>
    <t>Crawford, Robert
4416 Forest Bend Rd
Dallas, TX 75244</t>
  </si>
  <si>
    <t>Halperin, James
5933 Saint Andrews
Dallas, TX 75708</t>
  </si>
  <si>
    <t>Gussoni, Richard
8727 Douglas Ave
Dallas, TX 75225</t>
  </si>
  <si>
    <t>Noltemy, Kim
222 Browder
Dallas, TX 75201</t>
  </si>
  <si>
    <t>Gussoni, Lucy
8727 Douglas Ave.
Dallas, TX 75225</t>
  </si>
  <si>
    <t>Gussoni, Nicola
3610 Gillespie Street
Dallas, TX 75219</t>
  </si>
  <si>
    <t>Evans, Candy
11407 West Ricks Circle
DALLAS, TX 75230</t>
  </si>
  <si>
    <t>Ghoyareb, Basheer
8626 Chadbourne Road
Dallas, TX 75209</t>
  </si>
  <si>
    <t>McCabe, Libby
10200 Hollow Way Rd, Dallas, TX
Dallas, TX 75229</t>
  </si>
  <si>
    <t>Elder, Bill
8328 Briar
Dallas, TX 75243</t>
  </si>
  <si>
    <t>Horchow, Regen
1918 N. Olive Street
Dallas, TX 75201</t>
  </si>
  <si>
    <t>Kraus, Lisa
4906 Shadywood Ln
Dallas, TX 75209</t>
  </si>
  <si>
    <t>Wahl, Sara and Peter
6434 Malcolm Drive
Dallas, TX 75214</t>
  </si>
  <si>
    <t>Rose, Deedie
3963 Maple Ave
Dallas, TX 75205</t>
  </si>
  <si>
    <t>Johnson, Elliott
30 Pheasant Road
Matteson, IL 60443</t>
  </si>
  <si>
    <t>Horne, Michael
6323 Royalton Dr.
Dallas, TX 75230</t>
  </si>
  <si>
    <t>Addy, William
3805 Normandy Ave
Dallas, TX 75205</t>
  </si>
  <si>
    <t>Addy, Lydia
3805 Normandy Ave
Dallas, TX 75205</t>
  </si>
  <si>
    <t>McGee, SUzanne
6929 Vassar
Dallas, TX 75205</t>
  </si>
  <si>
    <t>Ozarow, Meaders
5103 W Hanover Ave
Dallas, TX 75209</t>
  </si>
  <si>
    <t>Dawson Thompson, Roslyn
2 Abbotsford Ct
Dallas, TX 75225</t>
  </si>
  <si>
    <t>Anderson, Clarence
10923 Apple Creek Dr
Dallas, TX 75243</t>
  </si>
  <si>
    <t>Hoffman, Marguerite
9963 Rockbrook Dr.
Dallas, TX 75220</t>
  </si>
  <si>
    <t>Perot, Nancy
3000 Turtle Creek Blvd
Dallas, TX 75219</t>
  </si>
  <si>
    <t>Byrne, J Tim
3720 Miramar Ave
Dallas, TX 75205</t>
  </si>
  <si>
    <t>Hill, Vonceil
1627 Alcapulco Dr
Dallas, TX 75232</t>
  </si>
  <si>
    <t>PAC, Black American Futures
2647 White Oak Dr.
Decatur, GA 30032</t>
  </si>
  <si>
    <t>Simmons, Lisa
9750 Hollow Way Rd
Dallas, TX 75220</t>
  </si>
  <si>
    <t>Jordan, Harry
1627 Boca Chica Dr
Dallas, TX 75232</t>
  </si>
  <si>
    <t>Neumann, Dave
6318 Turner Way
Dallas, TX 75230</t>
  </si>
  <si>
    <t>Billingsley, Lucy
1722 Routh Street
Dallas, TX 75201</t>
  </si>
  <si>
    <t>Williams, Todd
5119 Seneca Drive
Dallas, TX 75209</t>
  </si>
  <si>
    <t>Lidji, Fay
9024 Broken Arrow Lane
Dallas, TX 75209</t>
  </si>
  <si>
    <t>Levy, John
5839 Desco Drive
Dallas, TX 75225</t>
  </si>
  <si>
    <t>Karol, Jennifer
5370 Meaders Lane
Dallas, TX 75229</t>
  </si>
  <si>
    <t>Rachofsky, Cindy
5370 Meaders Lane
Dallas, TX 75225</t>
  </si>
  <si>
    <t>Rachofsky, Howard
5370 Meaders Lane
Dallas, TX 75225</t>
  </si>
  <si>
    <t>Looney, Meghan
5370 Meaders Lane
Dallas, TX 75225</t>
  </si>
  <si>
    <t>Kleinert, Ashlee
5909 Steuben Court
Dallas, TX 75248</t>
  </si>
  <si>
    <t>Kleinert, Chris
5909 Steuben Court
Dallas, TX 75248</t>
  </si>
  <si>
    <t>Kleinert, Tyler
5909 Steuben Court
Dallas, TX 75248</t>
  </si>
  <si>
    <t>Malveaux, Mark
6138 Desco Dr
Dallas, TX 75225</t>
  </si>
  <si>
    <t>Kirk, Ron
6342 Mercedes Ave.
DALLAS, TX 75214</t>
  </si>
  <si>
    <t>Glendenning, Don
3401 Lee Parkway
Dallas, TX 75219</t>
  </si>
  <si>
    <t>Natarajan, Gowri
3557 Marquette st
Dallas, TX 75225</t>
  </si>
  <si>
    <t>Lee, Tamela
409 Running Bear Ct
Euless, TX 76039</t>
  </si>
  <si>
    <t>Lewis, Peter
4348 Rickover Dr
Dallas, TX 75244</t>
  </si>
  <si>
    <t>McManemin, W Casey
5145 Yolanda Ln
Dallas, TX 75229</t>
  </si>
  <si>
    <t>Rose, Catherine
4808 Meadowood Rd
Dallas, TX 75220</t>
  </si>
  <si>
    <t>Bruder, Rebecca
5506 Wenonah Dr
Dallas, TX 75209</t>
  </si>
  <si>
    <t>Hart, Milledge
3811 Tutle Creek Blvd
Dallas, TX 75219</t>
  </si>
  <si>
    <t>Jordan, Cris
4843 Junius St
Dallas, TX 75246</t>
  </si>
  <si>
    <t>Morris-Smith, Cylena
2662 Bonnywood Lane
Dallas, TX 75233</t>
  </si>
  <si>
    <t>Bowman, Randy
6637 Northaven Road
Dallas, TX 75230</t>
  </si>
  <si>
    <t>Boone, Garrett
4809 Cole Ave.
Dallas, TX 75205</t>
  </si>
  <si>
    <t>Boone, Cecilia
4809 Cole Ave.
Dallas, TX 75205</t>
  </si>
  <si>
    <t>Prothro, Caren
3929 Potomac Avenue
Dallas, TX 75205</t>
  </si>
  <si>
    <t>Sampson, Demetris
PO Box 763834
Dallas, TX 75376</t>
  </si>
  <si>
    <t>Foster, Irby
2811 Bonnywood lane
Dallas, TX 75233</t>
  </si>
  <si>
    <t>Boyea-Robinson, Tynesia
3710 Lindenleaf Court
Winston-Salem, NC 27106</t>
  </si>
  <si>
    <t>Keyes, Katrina
3839 McKinney Avenue
Dallas, TX 75204</t>
  </si>
  <si>
    <t>Citizen, Concerned
1500 Marilla
Dallas, TX 75201</t>
  </si>
  <si>
    <t>Council Member</t>
  </si>
  <si>
    <t>HOA, Dallas
1500 Marilla
Dallas, TX 75201</t>
  </si>
  <si>
    <t>Developer, Dallas
1500 Marilla
Dallas, TX 75201</t>
  </si>
  <si>
    <t>Bridget, Lopez
4322 Meadowdale
Dallas, TX 75229</t>
  </si>
  <si>
    <t>Carolyn Arnold</t>
  </si>
  <si>
    <t>Pitre, Pennie
2642 Harwood
Dallas, TX 75215</t>
  </si>
  <si>
    <t>Thompson, Karl
724 Brook Valley
Dallas, TX 75232</t>
  </si>
  <si>
    <t>Flores, Hector
1030 S. Zang
Dallas, TX 75206</t>
  </si>
  <si>
    <t>Smith, Kenneth
4615 Bradshaw
Dallas, TX 75215</t>
  </si>
  <si>
    <t>Martinez, Rene
1007 Arbor
Dallas, TX 75231</t>
  </si>
  <si>
    <t>King, Delva
1230 W. Pleasant Run
DeSoto, TX 75115</t>
  </si>
  <si>
    <t>Williams, Evalynn
1104 Shadow Trail
Dallas, TX 75115</t>
  </si>
  <si>
    <t>Doyle, Clyde
9401 Denker
Los Angles, CA 90047</t>
  </si>
  <si>
    <t>August Doyle</t>
  </si>
  <si>
    <t>Ford, Anita
6134 Songwood
Dallas, TX 75241</t>
  </si>
  <si>
    <t>McCoy, Dwayne
1239 Woodburn Tr
Dallas, TX 75241</t>
  </si>
  <si>
    <t>Foreman, Frazier
5923 Keeneland
Dallas, TX 75211</t>
  </si>
  <si>
    <t>Redmon, Shirley
3828 W 77Th st
Los Angles, CA 90043</t>
  </si>
  <si>
    <t>Thompson, Margaret
5003 Moss Point Rd
Dallas, TX 75232</t>
  </si>
  <si>
    <t>Moore, Chris
5335 Nueces
Grand Prarie, TX 75052</t>
  </si>
  <si>
    <t>Judge, John
709 Robin Meadow
Desoto, TX 75115</t>
  </si>
  <si>
    <t>Glenn, Debrah
3814 Bachman Blvd
Garland, TX 75040</t>
  </si>
  <si>
    <t>Jackson, Elmer
1236 Frenchman
Desoto, TX 75115</t>
  </si>
  <si>
    <t>Woodson, Florance
1207 Valencia
Lewisville, TX 75067</t>
  </si>
  <si>
    <t>Woodson, Florance
1207 Valencia
Dallas, TX 75067</t>
  </si>
  <si>
    <t>Gearing, Charles
9332 Mercer Drive
Dallas, TX 75228</t>
  </si>
  <si>
    <t>Jesus Moreno</t>
  </si>
  <si>
    <t>Gonzales, Rachael
6537 Royal Crest Drive
Dallas, TX 75230</t>
  </si>
  <si>
    <t>Offutt, Larry
6038 Bryan Parkway
Dallas, TX 75206</t>
  </si>
  <si>
    <t>Tucker, Thomas
6 Nonesouch Road
Dallas, TX 75214</t>
  </si>
  <si>
    <t>Burnett, Jared
639 Morton Place
Washington, DC 20002</t>
  </si>
  <si>
    <t>Rives, Mark
5530 Goodwin
Dallas, TX 75206</t>
  </si>
  <si>
    <t>Dahrma, Charaka
4530 Victor St
Dallas, TX 75246</t>
  </si>
  <si>
    <t>Friedman, Brad
1505 Seegar St
Dallas, TX 75215</t>
  </si>
  <si>
    <t>Talley, Olive
6133 Prospect Ave
Dallas, TX 75214</t>
  </si>
  <si>
    <t>Martin, Vikki
8230 Claremont Dr.
Dallas, TX 75228</t>
  </si>
  <si>
    <t>Roberts, Karen
502 Cameron Ave.
Dallas, TX 75223</t>
  </si>
  <si>
    <t>Donlin, Patrick
6253 Prospect Ave.
Dallas, TX 75214</t>
  </si>
  <si>
    <t>Kolenovic, Enver 
1906 Hillside Dr
Dallas, TX 75088</t>
  </si>
  <si>
    <t>Trevino, David
10028 Millttrail
Dallas, TX 75238</t>
  </si>
  <si>
    <t>Morgan, Eddie
109 Juliette Fowler
Dallas, TX 75214</t>
  </si>
  <si>
    <t>Johnsom, Willis
1001 Bellview
Dallas, TX 75215</t>
  </si>
  <si>
    <t>Barrett, Michael
1602 Beaumont. St
Dallas, TX 75215</t>
  </si>
  <si>
    <t>Elevation Management LLC
6208 Copperhill
Dallas, TX 75248</t>
  </si>
  <si>
    <t>Linville, Stephen
5023 Maple Springs Blvd
Dallas, TX 75235</t>
  </si>
  <si>
    <t>Garza, Georgette
2331 Hondo Ave
Dallas, TX 75219</t>
  </si>
  <si>
    <t>Beaver, Paul
4232 San Carlos
Dallas, TX 75205</t>
  </si>
  <si>
    <t>Hill, Todd
604 Fort Worth Ave
Dallas, TX 75208</t>
  </si>
  <si>
    <t>Dean, Jean
PO Box 140039
Dallas, TX 75214</t>
  </si>
  <si>
    <t>Martinez, Sara
4427 Blackheath
Dallas, TX 75227</t>
  </si>
  <si>
    <t>Black American Future Pac
2647 White Oak Drive
Decatur, GA 30032</t>
  </si>
  <si>
    <t>Moser, Brooke
1134 N Clinton
Dallas, TX 75208</t>
  </si>
  <si>
    <t>Gordon, Gregory
6630 Lakewood Blvd
Dallas, TX 75214</t>
  </si>
  <si>
    <t>Honea, Michelle
10055 Field Fare
Dallas, TX 75229</t>
  </si>
  <si>
    <t>Morrow, John
8522 Stable Glen
Dallas, TX 75243</t>
  </si>
  <si>
    <t>Greenberg, Tammy
1529 Hickory St
Dallas, TX 75215</t>
  </si>
  <si>
    <t>Buckey, Sean
560 S Pearl Expy
Dallas, TX 75201</t>
  </si>
  <si>
    <t>Harriison, Deniss
1207 Annex Ave
Dallas, TX 75204</t>
  </si>
  <si>
    <t>West, Chad
3606 South Taylor St
Dallas, TX 75224</t>
  </si>
  <si>
    <t>Carter, Tanya
2228 Colony Ct
Dallas, TX 75235</t>
  </si>
  <si>
    <t>Ezeonu, Junior
5332 W Cove Way
Grand Prairie, TX 75052</t>
  </si>
  <si>
    <t>Mata, Albert
105 S. Bishop Ave.
Dallas, TX 75208</t>
  </si>
  <si>
    <t>Knudson, Greg
1040 Thousand Oaks Ct
Dallas, TX 75235</t>
  </si>
  <si>
    <t>Bartos, Lorlee
3211 Culver
Dallas, TX 75223</t>
  </si>
  <si>
    <t>Schlosser, Rodney
6336 Tulip Ln
Dallas, TX 75230</t>
  </si>
  <si>
    <t>Burk, Leland
5311 Park Ln
Dallas, TX 75220</t>
  </si>
  <si>
    <t>Brown, Kari
10624 Pernell
McKinney, TX 75072</t>
  </si>
  <si>
    <t>Martinez, Susan
400 North Pearl St
Dallas, TX 75201</t>
  </si>
  <si>
    <t>Blair, Brennan
706 Domont St
Dallas, TX 75214</t>
  </si>
  <si>
    <t>Cabaniss, Lisa
1344 North Windmore Ave
Dallas, TX 75208</t>
  </si>
  <si>
    <t>Cabaniss, Edwin
1344 North Windmore Ave
Dallas, TX 75208</t>
  </si>
  <si>
    <t>Scudder, Kendall
5635 Worth St
Dallas, TX 75214</t>
  </si>
  <si>
    <t>Donovan, Carol
6509 Malcolm Dr
Dallas, TX 75214</t>
  </si>
  <si>
    <t>Sexton, Timothy
9930 Donegal Dr
Dallas, TX 75218</t>
  </si>
  <si>
    <t>Torres, Jocabed
4611 La Rue St
Dallas, TX 75211</t>
  </si>
  <si>
    <t>Ramirez, Andrea
4650 Farm to Market Road 1863
Bulverde, TX 78163</t>
  </si>
  <si>
    <t>Garcia, Javier
8916 Siller Loop
Laredo, TX 78045</t>
  </si>
  <si>
    <t>Sanchez, Luis
7001 Nutria Run
Austin, TX 78744</t>
  </si>
  <si>
    <t>Sanchez, Benedicto
1127 Scenic Loop
Marshall, TX 75672</t>
  </si>
  <si>
    <t>Cai, Emily and Bowen
7101 Travertine Spring Drive
Austin, TX 78744</t>
  </si>
  <si>
    <t>Rangel, Jennifer
1441 Westmount Avenue
Dallas, TX 75211</t>
  </si>
  <si>
    <t>Mayo, Evelyn
7732 Village Trail Drive
Dallas, TX 75254</t>
  </si>
  <si>
    <t>Ortiz, Jessica
307 Bandara Woods Blvd
Elgin, TX 78621</t>
  </si>
  <si>
    <t>Flores, Hector
1030 Tracy Ave.
Duncanville, TX 75137</t>
  </si>
  <si>
    <t>Saenz, Maribel
1214 Dolton Dr
Dallas, TX 75207</t>
  </si>
  <si>
    <t>Rueda, Gabriel
40911 FM 149
Magnolia, TX 77354</t>
  </si>
  <si>
    <t>Resendiz, Imelda
2991 FM 602
Floydada, TX 79235</t>
  </si>
  <si>
    <t>Zendejas, Alejandra
2414 S Polk St
Dallas, TX 75224</t>
  </si>
  <si>
    <t>Alameda, Yolanda
1607 S. Tyler St.
Dallas, TX 75224</t>
  </si>
  <si>
    <t>Alkhatib, Angie
3524 Omar Lane
Plano, TX 75023</t>
  </si>
  <si>
    <t>Fierro, Carlos
905 Brookwood Drive
Dallas, TX 75224</t>
  </si>
  <si>
    <t>Cross, Michael
10346 Park Meadows Dr.
Lone Tree, CO 80124</t>
  </si>
  <si>
    <t>Cardona, Sara
304 South Montclair Avenue
Dallas, TX 75208</t>
  </si>
  <si>
    <t>Figueroa, Gerardo
5017 Frontier Rd
Garland, TX 75043</t>
  </si>
  <si>
    <t>Contreras, Elizabeth
4601 Concord Dr
Garland, TX 75042</t>
  </si>
  <si>
    <t>Sosa, Annette
7166 Havenridge Lane
Kaufman, TX 75142</t>
  </si>
  <si>
    <t>Nguyen, Thanh
7228 Rueda
Grand Prairie, TX 75054</t>
  </si>
  <si>
    <t>Acosta, Berta
1644 Blackstone Dr
Carrollton, TX 75007</t>
  </si>
  <si>
    <t>Palacios, Edna
800 Cedarwood Drive
Cedar Hill, TX 75104</t>
  </si>
  <si>
    <t>Griffith, Gary
6875 Carolyncrest Drive
Dallas, TX 75214</t>
  </si>
  <si>
    <t>Thompson, Zac
1041 Hampshire Lane
Cedar Hill, TX 75104</t>
  </si>
  <si>
    <t>Hinojosa, Rosemary
3614 Crepe Myrtle Circle
Dallas, TX 75233</t>
  </si>
  <si>
    <t>Marquez, Christian
935 Algonquin Dr
Dallas, TX 75217</t>
  </si>
  <si>
    <t>Martinez, Samantha
1021 Antique Heritage Drive
Pflugerville, TX 78660</t>
  </si>
  <si>
    <t>Wonders, Nancy
207 N Waverly Drive
Dallas, TX 75280</t>
  </si>
  <si>
    <t>Angeles, Felix
3910 Rockford
Dallas, TX 75211</t>
  </si>
  <si>
    <t>Palmer, Daniela
1718 Homewood Place
Dallas, TX 75224</t>
  </si>
  <si>
    <t>Reyes, Johnny
2768 Aster Street
Dallas, TX 75211</t>
  </si>
  <si>
    <t>Hernandez, Cecelia
218 Merribrook Trail
Duncanville, TX 75116</t>
  </si>
  <si>
    <t>Angeles, Maria
12227 Quail Drive
Balch Springs, TX 75180</t>
  </si>
  <si>
    <t>Subias, Enrique
3414 Texas Drive
Dallas, TX 75211</t>
  </si>
  <si>
    <t>Bocanegra, Lucy
918 Hartsdale
Dallas, TX 75211</t>
  </si>
  <si>
    <t>Gomez, Roberto
2800 W. Clarendon Drive
Dallas, TX 75211</t>
  </si>
  <si>
    <t>Castillo, Maria
3619 Texas Drive
Dallas, TX 75211</t>
  </si>
  <si>
    <t>Leiato, Victoria
938 W. Page Avenue
Dallas, TX 75208</t>
  </si>
  <si>
    <t>Saldaña, Vanessa
410 N. Clinton Avenue
Dallas, TX 75208</t>
  </si>
  <si>
    <t>Nearpass, Victoria
1639 Cedar Hill Avenue
Dallas, TX 75208</t>
  </si>
  <si>
    <t>Pryor, Pascale
1704 Homewood Place
Dallas, TX 75224</t>
  </si>
  <si>
    <t>Valtierra, Frank
1406 Mariano Plaza
Dallas, TX 75211</t>
  </si>
  <si>
    <t>Betzen, Bill
6717 Cliffwood Drive
Dallas, TX 75237</t>
  </si>
  <si>
    <t>Champion, Stephanie
1842 McBroom St
Dallas, TX 75212</t>
  </si>
  <si>
    <t>Angeles, Peter
832 Crooked Creek Ln
Desoto, TX 75115</t>
  </si>
  <si>
    <t>Angeles, Jonathan
4748 St. Francis Ave
Dallas, TX 75227</t>
  </si>
  <si>
    <t>Alkhatib, Yousef
3524 Omar Lane
Plano, TX 75023</t>
  </si>
  <si>
    <t>Rosas, Mari
2929 Larkspur Lane
Dallas, TX 75233</t>
  </si>
  <si>
    <t>Del Bosque, Isaac
3327 Kiesthill Dr
Dallas, TX 75233</t>
  </si>
  <si>
    <t>Castillo, Cynthia
3619 Texas Drive
Dallas, TX 75211</t>
  </si>
  <si>
    <t>Robles, Christopher
931 Whitehall Dr
Richardson, TX 75081</t>
  </si>
  <si>
    <t>De Los Santos, Renato
918 Carriage Way
Duncanville, TX 75137</t>
  </si>
  <si>
    <t>Panjwani, Aashish
3009 Hereford Dr
Lewisville, TX 75056</t>
  </si>
  <si>
    <t>Gonzales, Linda
247 East Corporate Drive
Lewisville, TX 75067</t>
  </si>
  <si>
    <t>Estelle, Frances
914 Nolte Drive
Dallas, TX 75208</t>
  </si>
  <si>
    <t>Romero, Angel
2235 Carnes St
Dallas, TX 75208</t>
  </si>
  <si>
    <t>Alfadil, Fahad
8105 Hermisillo Ct
Arlington, TX 76002</t>
  </si>
  <si>
    <t>Mooti, Rami
8709 Gladwood Lane
Dallas, TX 75243</t>
  </si>
  <si>
    <t>Lozano, Devin
223 Melba St
Dallas, TX 75208</t>
  </si>
  <si>
    <t>Velez, Eduardo
704 South Clinton Avenue
Dallas, TX 75208</t>
  </si>
  <si>
    <t>Graciano, Rodrigo
4605 Western Oaks Dr
Dallas, TX 75211</t>
  </si>
  <si>
    <t>Rutledge, John
1426 S Oak Cliff Blvd
Dallas, TX 75208</t>
  </si>
  <si>
    <t>Graciano, Oscar
4605 Western Oaks Dr
Dallas, TX 75211</t>
  </si>
  <si>
    <t>Moran, Erik
441 W Suffolk ave
Dallas, TX 75208</t>
  </si>
  <si>
    <t>Moncada, Anastasia
908 Dale Street
Dallas, TX 75203</t>
  </si>
  <si>
    <t>Amaya, Hector
1106 Susan Dr
Garland, TX 75040</t>
  </si>
  <si>
    <t>Fuentes, Juanita
1819 Boyd St
Dallas, TX 75224</t>
  </si>
  <si>
    <t>Kumler, Joshua
1715 Berkley Avenue
Dallas, TX 75224</t>
  </si>
  <si>
    <t>Rodriguez, Damien
14826 Academy Oak
San Antonio, TX 78247</t>
  </si>
  <si>
    <t>Ramirez, Andrea
4650 FM 1863
Bulverde, TX 78163</t>
  </si>
  <si>
    <t>Anderson, Justin
6831 Loupe Ln
Missouri City, TX 77459</t>
  </si>
  <si>
    <t>Ornelas, Alison
2719 Emmett St.
Dallas, TX 75211</t>
  </si>
  <si>
    <t>Delgado, Teresita
2434 Searcy Dr
Dallas, TX 75211</t>
  </si>
  <si>
    <t>Guadian, Jonathan
202 South Willomet Avenue
Dallas, TX 75208</t>
  </si>
  <si>
    <t>Hernandez, Helga
832 Haines Avenue
Dallas, TX 75208</t>
  </si>
  <si>
    <t>Tovar, Oscar
2611 Falls Drive
Dallas, TX 75211</t>
  </si>
  <si>
    <t>Monterrubio, Dulce
302 E 6th St
Dallas, TX 75203</t>
  </si>
  <si>
    <t>Dockery, David
1110 South Polk Street
Dallas, TX 75208</t>
  </si>
  <si>
    <t>Iqbal, Salman
1042 W Byron St
Chicago, IL 60613</t>
  </si>
  <si>
    <t>Hanson, Philip
1816 W Division St
Chicago, IL 60622</t>
  </si>
  <si>
    <t>Mata, Eric
1500 North Fitzhugh Avenue
Dallas, TX 75204</t>
  </si>
  <si>
    <t>Lagos, Sylvia
131 N Montclair Avenue
Dallas, TX 75208</t>
  </si>
  <si>
    <t>Garcia, Domingo
1111 W Mockingbird Lane
Dallas, TX 75247</t>
  </si>
  <si>
    <t>Leestma, Reid
2877 Ames Street
Wheat Ridge, CO 80214</t>
  </si>
  <si>
    <t>Aditya, Shyam Mohan
27435 Iris Avenue
Mission Viejo, CA 92692</t>
  </si>
  <si>
    <t>Teng, Rebecca
1 East Scott Street
Chicago, IL 60610</t>
  </si>
  <si>
    <t>Lopez, Daniel
197 mammoth Dr
Kyle, TX 78640</t>
  </si>
  <si>
    <t>Nieto, Miguel
100 W Rosedale Ave
Presidio, TX 79845</t>
  </si>
  <si>
    <t>Reyes, Brigette
741 Bimebella Ln
Dallas, TX 75211</t>
  </si>
  <si>
    <t>Perez, Aaron
6301 De Soto
Woodland Hills, CA 91367</t>
  </si>
  <si>
    <t>Wilson, Tara
2309 San Jose Dr
Fort Worth, TX 76112</t>
  </si>
  <si>
    <t>Faz, Isaac
101 N. Clinton Ave
Dallas, TX 75208</t>
  </si>
  <si>
    <t>Faz-Garza, Ofelia
2614 Gladstone Drive
Dallas, TX 75211</t>
  </si>
  <si>
    <t>Elizondo, Isaac
6259 Kenwood Avenue
Dallas, TX 75214</t>
  </si>
  <si>
    <t>New American PAC
400 S Zang BLVD
Dallas, TX 75208</t>
  </si>
  <si>
    <t>Hamilton, Jeremy
1300 Mildred Ln
Benbrook, TX 76126</t>
  </si>
  <si>
    <t>Sanchez, Sindi
727 Hollywood Avenue
Dallas, TX 75208</t>
  </si>
  <si>
    <t>Provost, Elizabeth
2835 West Brooklyn Ave
Dallas, TX 75211</t>
  </si>
  <si>
    <t>Wonders, Nancy
207 N Waverly Dr
Dallas, TX 75208</t>
  </si>
  <si>
    <t>Rodriguez, Ernesto
1609 HARDY RD
Grand Prairie, TX 75051</t>
  </si>
  <si>
    <t>Lamy, Lionel
1826 South Polk Street
Dallas, TX 75224</t>
  </si>
  <si>
    <t>Bronco Auto Service, LLC
1022 S Hampton Rd.
Dallas, TX 75208</t>
  </si>
  <si>
    <t>Urbina, Jose
3211 W. Clarendon Drive
Dallas, TX 75211</t>
  </si>
  <si>
    <t>Ruiz, Jose
3845 Mount Royal
Dallas, TX 75211</t>
  </si>
  <si>
    <t>Alfadil, Fahad
8105 Hermisillo Ct
Arlington, TX 75043</t>
  </si>
  <si>
    <t>Cisneros, Janie
2821 Bedford St.
Dallas, TX 75212</t>
  </si>
  <si>
    <t>saldana, Vanessa
410 N Clinton Ave
Dallas, TX 75208</t>
  </si>
  <si>
    <t>Hernandez, Nicholas
2411 Hollywood Ave
Dallas, TX 75224</t>
  </si>
  <si>
    <t>Lehe, Joyce
1702 Melbourne Ave
Dallas, TX 75224</t>
  </si>
  <si>
    <t>Pedraza, Cindy
3435 Tennessee Ave
Dallas, TX 75224</t>
  </si>
  <si>
    <t>Rodriguez, Christina
1720 Hidden Brook Dr
Grand Prairie, TX 75050</t>
  </si>
  <si>
    <t>Alvarez, Veronica
1914 Mountain Lake Road
Dallas, TX 75224</t>
  </si>
  <si>
    <t>Hernandez, Fernando
2144 Lovedale Avenue
Dallas, TX 75235</t>
  </si>
  <si>
    <t>Guio, Alexandra
5606 SMU Blvd
Dallas, TX 75206</t>
  </si>
  <si>
    <t>Friesenhahn, Elva
1003 Cliffdale Ave
Dallas, TX 75211</t>
  </si>
  <si>
    <t>Cotton, Cheryl
1732 Homewood Place
Dallas, TX 75224</t>
  </si>
  <si>
    <t>Loera, Hugo
1153 S Hampton Rd
Dallas, TX 75208</t>
  </si>
  <si>
    <t>Horres, Debbie
7311 Pleasant View
Dallas, TX 75231</t>
  </si>
  <si>
    <t>Valtierra, Albert
1141 Anderson Street
Irving, TX 75062</t>
  </si>
  <si>
    <t>Wev, Elissa
1919 Jackson St
Dallas, TX 75201</t>
  </si>
  <si>
    <t>Lopez, Paulina
3540 Burlingdell Avenue
Dallas, TX 75211</t>
  </si>
  <si>
    <t>Ordex, Tristeza
3415 Navajo Ct
Dallas, TX 75224</t>
  </si>
  <si>
    <t>Cantu, Gerardo
1210 South Oak Cliff Boulevard
Dallas, TX 75208</t>
  </si>
  <si>
    <t>Ortiz, John
6164 Miramonte
Irvine, CA 92618</t>
  </si>
  <si>
    <t>Solis, Vanessa
2635 Wilbur St
Dallas, TX 75233</t>
  </si>
  <si>
    <t>Hise, Timothy
328 First Down Dash
Burnet, TX 78611</t>
  </si>
  <si>
    <t>Rangel, Irene
3632 Doris Walker Trail
Burleson, TX 76028</t>
  </si>
  <si>
    <t>Moore, Montana
835 W Wellington Ave
Chicago, IL 60657</t>
  </si>
  <si>
    <t>Lopez, Erica
2546 Wilton Avenue
Dallas, TX 75211</t>
  </si>
  <si>
    <t>Ramirez, Mark
2160 Westmoreland Road
Red Oak, TX 75154</t>
  </si>
  <si>
    <t>Chavez, Mayra
1102 South Polk Street
Dallas, TX 75208</t>
  </si>
  <si>
    <t>Torres, Juan
4611 La Rue St
Dallas, TX 75211</t>
  </si>
  <si>
    <t>Rash, Anthony
1808 Lansford Avenue
Dallas, TX 75224</t>
  </si>
  <si>
    <t>Figueroa, Gerardo
5017 Frontier Road
Garland, TX 75043</t>
  </si>
  <si>
    <t>Faz-Garza, Ofelia
2614 Gladstone
Dallas, TX 75211</t>
  </si>
  <si>
    <t>Hernandez, Steph
6307 Elam Road
Dallas, TX 75217</t>
  </si>
  <si>
    <t>Resendez, Pilar
PO Box 3234
Alice, TX 78333</t>
  </si>
  <si>
    <t>Mata, Jesus
4309 N Mile 3 1/2 west
Weslaco, TX 78599</t>
  </si>
  <si>
    <t>Flores, Jasmin
2206 Melbourne Ave
Dallas, TX 75224</t>
  </si>
  <si>
    <t>Alcala, Sara
1314 West Davis Street
Dallas, TX 75208</t>
  </si>
  <si>
    <t>Saenz, Lizette
9015 Cattle Baron Path 1902
Austin, TX 78747</t>
  </si>
  <si>
    <t>Gallardo, Violeta
1310 Melbourne ave
Dallas, TX 75224</t>
  </si>
  <si>
    <t>Contreras, Elizabeth
4601 Concord Drive
Garland, TX 75042</t>
  </si>
  <si>
    <t>Colon, Jennifer
2827 St David Dr
Dallas, TX 75233</t>
  </si>
  <si>
    <t>Lopez, Alan
5128 Tato Dr
Dallas, TX 75211</t>
  </si>
  <si>
    <t>Elizondo, Merced
1617 Old Hickory Trail
Desoto, TX 75115</t>
  </si>
  <si>
    <t>Barrera, Benjamin
6089 Mumford Dr
Colorado Springs, CO 80925</t>
  </si>
  <si>
    <t>Munoz-Meza, Evelyn
1960 Sunshine Dr
Concord, CA 94520</t>
  </si>
  <si>
    <t>Ruiz, Briana
4233 Flamingo Way
Mesquite, TX 75150</t>
  </si>
  <si>
    <t>Fuentes, Astrid
1819 Boyd St
Dallas, TX 75224</t>
  </si>
  <si>
    <t>Mejia, Caroline
130 Caroline Ln
Waxahachie, TX 75167</t>
  </si>
  <si>
    <t>Strickland, Juan Carlos
818 S. Winnetka Ave.
Dallas, TX 75208</t>
  </si>
  <si>
    <t>Vandersteen, Stephanie
1708 Primrose Trail
Round Rock, TX 78664</t>
  </si>
  <si>
    <t>Iracheta, Bobbie
231 Telluride Drive
Georgetown, TX 78626</t>
  </si>
  <si>
    <t>Price, Brody
2235 Lawndale Dr
Dallas, TX 75211</t>
  </si>
  <si>
    <t>Carreon, Jose
207 La Estrella Plaza
Dallas, TX 75203</t>
  </si>
  <si>
    <t>Testa, Nino
626 N Montclair Ave
Dallas, TX 75208</t>
  </si>
  <si>
    <t>Rodriguez, Jessica
827 South Ravinia Drive
Dallas, TX 75211</t>
  </si>
  <si>
    <t>Gamez, Janet
1306 Lebanon Avenue
Dallas, TX 75208</t>
  </si>
  <si>
    <t>Campos, Erick
9014 Golden Foliage Trail
Humble, TX 77338</t>
  </si>
  <si>
    <t>Meador, Daryl
1824 Mayflower Dr.
Dallas, TX 75208</t>
  </si>
  <si>
    <t>Sanchez, Alondra
508 Centennial Blvd
Richardson, TX 75081</t>
  </si>
  <si>
    <t>Anderson-Bookman, Elizabeth
1109 Claude St.
Dallas, TX 75203</t>
  </si>
  <si>
    <t>Gutierrez, Rosalba
2740 Duncanville Rd
Dallas, TX 75211</t>
  </si>
  <si>
    <t>Avery, Derek
315 Alpine Drive
DeSoto, TX 75115</t>
  </si>
  <si>
    <t>Zheng, Benjamin
11606 North Oaks Dr
Austin, TX 78753</t>
  </si>
  <si>
    <t>Cruz, Victoria
1119 Mclean Ave
Dallas, TX 75211</t>
  </si>
  <si>
    <t>Vega, Cecilia
5708 Baythorne Drive
Austin, TX 78747</t>
  </si>
  <si>
    <t>Castillo, Francisco
2507 Kingston St
Dallas, TX 75211</t>
  </si>
  <si>
    <t>Lowery, David
1240 S Marlborough Ave
Dallas, TX 75208</t>
  </si>
  <si>
    <t>Aguirre, Janet
2807 Emmett
Dallas, TX 75211</t>
  </si>
  <si>
    <t>Pintor, Abigail
123 Chamblin Dr
Cedar Hill, TX 75104</t>
  </si>
  <si>
    <t>Faz, Carina
804 North Madison Avenue
Dallas, TX 75208</t>
  </si>
  <si>
    <t>Gonzales, Jessica
3619 Blue Ridge Blvd
Dallas, TX 75233</t>
  </si>
  <si>
    <t>Barrera, Gerardo
1996 Higinio Cir
Roma, TX 78584</t>
  </si>
  <si>
    <t>Bays, Brandon
3327 Irwindell Boulevard
Dallas, TX 75211</t>
  </si>
  <si>
    <t>Solorzano, Jenifer
3233 South Vernon Avenue
Dallas, TX 75224</t>
  </si>
  <si>
    <t>Jafri, Michele
2805 Blodgett St.
Houston, TX 77004</t>
  </si>
  <si>
    <t>Gomez, Roy
922 W 9th St
Dallas, TX 75208</t>
  </si>
  <si>
    <t>Allaico-Guadalupe, Steve
700 South Florida Avenue
Tarpon Springs, FL 34689</t>
  </si>
  <si>
    <t>Bays, Brandon
3327 Irwindell Blvd
Dallas, TX 75211</t>
  </si>
  <si>
    <t>Goldsmith, Andrew
3000 Wingren Rd
Irving, TX 75062</t>
  </si>
  <si>
    <t>Cannon, Emily Ruth
1713 Knob Hill Ct
Cedar Hill, TX 75104</t>
  </si>
  <si>
    <t>Gonzalez, Albert
2108 Kessler Ct
Dallas, TX 75208</t>
  </si>
  <si>
    <t>Heyl, Marissa
202 East 5th Street
Dallas, TX 75203</t>
  </si>
  <si>
    <t>Polk, Mike
4144 Western St
Dallas, TX 75211</t>
  </si>
  <si>
    <t>Hernandez, Luisira
803 S Edgefield Ave
Dallas, TX 75208</t>
  </si>
  <si>
    <t>Gonzalez, Cirzy
2707 Overcrest Street
Dallas, TX 75211</t>
  </si>
  <si>
    <t>Schepps, Peggy
835 North Bishop Avenue
Dallas, TX 75208</t>
  </si>
  <si>
    <t>Gutierrez, Jazmine
4224 W Red Bird Ln
Dallas, TX 75237</t>
  </si>
  <si>
    <t>Saenz, Maribel
1309 Wentwood Dr
Desoto, TX 75115</t>
  </si>
  <si>
    <t>Gallardo Montejano, Violeta
1310 Melbourne
Dallas, TX 75224</t>
  </si>
  <si>
    <t>Hernandez, Cecilia
218 Merribrook Trail
Duncanville, TX 75116</t>
  </si>
  <si>
    <t>Creel, Eva
2042 Marydale Dr.
Dallas, TX 75208</t>
  </si>
  <si>
    <t>Valderas, Giovanni
427 Marshalldell Avenue
Dallas, TX 75211</t>
  </si>
  <si>
    <t>Enciso, Angela
918 De Witt Cir
Dallas, TX 75224</t>
  </si>
  <si>
    <t>Martinez, Elijah
813 Lowe Drive
Cedar Hill, TX 75104</t>
  </si>
  <si>
    <t>Loredo, Ana
810 Evie Ave
Brownsville, TX 78526</t>
  </si>
  <si>
    <t>Romo, Scarleth
4128 Texas dr
Dallas, TX 75211</t>
  </si>
  <si>
    <t>Testa, Nino
626 North Montclair Avenue
Dallas, TX 75208</t>
  </si>
  <si>
    <t>TREPAC
1115 San Jacinto Blvd
Austin, TX 78701</t>
  </si>
  <si>
    <t>Jaime Resendez</t>
  </si>
  <si>
    <t>Surita, Sylvia
7110 Vicuna Cir
Sachse, TX 75048</t>
  </si>
  <si>
    <t>Monica Alonzo</t>
  </si>
  <si>
    <t>Surita, Bobby
7110 Vicuna Cir
Sachse, TX 75048</t>
  </si>
  <si>
    <t>Coffman, Kathy
10805 Larkglen
Dallas, TX 75230</t>
  </si>
  <si>
    <t>Wilson, Henri
505 Brook Valley Ln
Dallas, TX 75232</t>
  </si>
  <si>
    <t>Losinger, Sarah
4506 Park Lane 2023
Dallas, TX 75220</t>
  </si>
  <si>
    <t>Jaynie Schultz</t>
  </si>
  <si>
    <t>Rowland, Jeanette
9734 Shadydale Lane
Dallas, TX 75238</t>
  </si>
  <si>
    <t>Brian Hasenbauer</t>
  </si>
  <si>
    <t>Sexton, Tim
9930 Donegal Drive
Dallas, TX 75218</t>
  </si>
  <si>
    <t>Green, Rhonda
6646 E. Lovers Lane
Dallas, TX 75214</t>
  </si>
  <si>
    <t>Templeton, Jeff
9866 Parkford Dr
Dallas, TX 75238</t>
  </si>
  <si>
    <t>Creuzot, John
8185 San Leandro Drive
Dallas, TX 75218</t>
  </si>
  <si>
    <t>Skemp, Douglas
511 N. Akard Street
Dallas, TX 75201</t>
  </si>
  <si>
    <t>Williams, Yolanda
PO Box 170384
Dallas, TX 75217</t>
  </si>
  <si>
    <t>Yolanda Williams</t>
  </si>
  <si>
    <t>Woodall, Laura
4803 West Lovers Lane
Dallas, TX 75209</t>
  </si>
  <si>
    <t>Taylor, Teresa
1367 Glencliff Drive
Dallas, TX 75217</t>
  </si>
  <si>
    <t>Deason, Darwin
3953 Maple Avenue
Dallas, TX 75219</t>
  </si>
  <si>
    <t>Deason, Kimberly
3953 Maple Avenue
Dallas, TX 75219</t>
  </si>
  <si>
    <t>Aikman, Russ
225 S. Windomere Ave.
Dallas, TX 75208</t>
  </si>
  <si>
    <t>Chad West</t>
  </si>
  <si>
    <t>Alef, Brian
6756 Inverness Ln
Dallas, TX 75214</t>
  </si>
  <si>
    <t>Anderson, Carl
1722 Routh St.
Dallas, TX 75201</t>
  </si>
  <si>
    <t>Andres, Warren
2104 Creekside Cir. S.
Irving, TX 75063</t>
  </si>
  <si>
    <t>Baron, Lisa
25 Highland Park Village
Dallas, TX 75205</t>
  </si>
  <si>
    <t>Barr &amp; Assoc., Burt
PO Box 223667
Dallas, TX 75222</t>
  </si>
  <si>
    <t>Baustert, Jeffrey
935 N. Windomere Ave.
Dallas, TX 75208</t>
  </si>
  <si>
    <t>Benton, Jeff
1825 Market Center
Dallas, TX 75207</t>
  </si>
  <si>
    <t>Berdine, Scott
14850 Montfort Dr.
Dallas, TX 75254</t>
  </si>
  <si>
    <t>Bischoff, Brian
3417 Princeton Ave.
Dallas, TX 75205</t>
  </si>
  <si>
    <t>Blackwell, Eric
2120 Kiipling St.
Houston, TX 77098</t>
  </si>
  <si>
    <t>Boston, Grant
406 S. Montreal Ave.
Dallas, TX 75208</t>
  </si>
  <si>
    <t>Brown, Darren
4313 Dunning Ln
Austin, TX 78746</t>
  </si>
  <si>
    <t>Brown, Jacob
1805 W. 29th St.
Austin, TX 78703</t>
  </si>
  <si>
    <t>Burke, Aaron
1201 Elm St.
Dallas, TX 75270</t>
  </si>
  <si>
    <t>Burke, Leland
5311 Park Ln.
Dallas, TX 75220</t>
  </si>
  <si>
    <t>Cabaniss, Edwin
1344 N. Windomere Ave.
Dallas, TX 75208</t>
  </si>
  <si>
    <t>Cabaniss, Lisa
1344 N. Windomere Ave.
Dallas, TX 75208</t>
  </si>
  <si>
    <t>Camarillo, Sylvia
3 Richmond Ct.
Mansfield, TX 76063</t>
  </si>
  <si>
    <t>Carlton, Brian
6837 Avalon Ave.
Dallas, TX 75214</t>
  </si>
  <si>
    <t>Christopher, Roberta
307 N. Windomere Ave.
Dallas, TX 75208</t>
  </si>
  <si>
    <t>Collins-Bratton, Calvert
4738 Hallmark Dr.
Dallas, TX 75229</t>
  </si>
  <si>
    <t>Colorado, Hexel
2124 N. Garrett Ave.
Dallas, TX 75206</t>
  </si>
  <si>
    <t>Crow, James
4600 Secluded Hollow
Austin, TX 78727</t>
  </si>
  <si>
    <t>Crowley, John
1109 Lausanne Ave
Dallas, TX 75208</t>
  </si>
  <si>
    <t>Cullever, Orlin
4643 Wild Indigo
Houston, TX 77027</t>
  </si>
  <si>
    <t>Currell, James
4104 Bryn Mawr Dr.
Dallas, TX 75225</t>
  </si>
  <si>
    <t>Dischinger, Chris
1469 S. 4th St.
Louisville, KY 40208</t>
  </si>
  <si>
    <t>Evans, Mark
1203 N. Bishop Ave.
Dallas, TX 75208</t>
  </si>
  <si>
    <t>Fitzgibbons, Colin
1900 N. Akard St.
Dallas, TX 75201</t>
  </si>
  <si>
    <t>Flannery, Elizabeth A.
446 N. Manus Dr.
Dallas, TX 75224</t>
  </si>
  <si>
    <t>Flores, Michael
110 N. Montclair Ave.
Dallas, TX 75208</t>
  </si>
  <si>
    <t>Forsythe Lill, Veletta
622 Blair Blvd.
Dallas, TX 75223</t>
  </si>
  <si>
    <t>Garza, Daniel
633 S. St. Mary's
San Antonio, TX 78205</t>
  </si>
  <si>
    <t>Gilna, Edward
12114 Prestonridge
Dallas, TX 75230</t>
  </si>
  <si>
    <t>Ginsberg, Carl
2905 Wellborn St.
Dallas, TX 75219</t>
  </si>
  <si>
    <t>Glass, Andrew J.
5547 Martel Ave.
Dallas, TX 75296</t>
  </si>
  <si>
    <t>Granoff, Peter
3120 Commonwealth Dr.
Dallas, TX 75247</t>
  </si>
  <si>
    <t>Griffin, Allen
2510 W. 10th St.
Dallas, TX 75211</t>
  </si>
  <si>
    <t>Haley, Charles
1411 Cedar Hill Ave.
Dallas, TX 75208</t>
  </si>
  <si>
    <t>Hall, Lynn
2114 Kessler Ct.
Dallas, TX 75208</t>
  </si>
  <si>
    <t>Harfuch, Faud
5930 Royal Ln.
Dallas, TX 75230</t>
  </si>
  <si>
    <t>Harrison, Genifer
617 S. Ravinia Dr.
Dallas, TX 75211</t>
  </si>
  <si>
    <t>Hartz, William
9109 Nottingham Pkwy
Louisville, KY 40222</t>
  </si>
  <si>
    <t>Henley, Hudson
5415 Ursula Ln.
Dallas, TX 75229</t>
  </si>
  <si>
    <t>Kim, Hudson
5415 Ursula Ln.
Dallas, TX 75229</t>
  </si>
  <si>
    <t>Hicks, Jerry
831 N. Oak Cliff Blvd.
Dallas, TX 75208</t>
  </si>
  <si>
    <t>Hill, John
2820 Reagan St.
Dallas, TX 75219</t>
  </si>
  <si>
    <t>Hinojosa, Gustavo
4431 Holland Ave.
Dallas, TX 75219</t>
  </si>
  <si>
    <t>Houston, Matthew
1504 Boca Chica Dr.
Dallas, TX 75232</t>
  </si>
  <si>
    <t>Hulla, Connor
3551 Wilshire Way
Richardson, TX 75082</t>
  </si>
  <si>
    <t>Jobin, Lauren
2608 Hibernia St.
Dallas, TX 75204</t>
  </si>
  <si>
    <t>Johnson, Jeremy
2742 W. Jefferson Blvd.
Dallas, TX 75211</t>
  </si>
  <si>
    <t>Johnson, Willis
1001 Belleview St.
Dallas, TX 75215</t>
  </si>
  <si>
    <t>Kadison, Bret
3411 Yoakum Blvd.
Houston, TX 77006</t>
  </si>
  <si>
    <t>Kapioltas, Leah
2295 Sussex Ln.
Allen, TX 75013</t>
  </si>
  <si>
    <t>Kapoor, Poonam
6201 Tiaggart St.
Houston, TX 77007</t>
  </si>
  <si>
    <t>Kelso, Beverly
511 Harvest Glen Dr.
Richardson, TX 75081</t>
  </si>
  <si>
    <t>Kleinert, Christopher
1900 N. Akard St.
Dallas, TX 75201</t>
  </si>
  <si>
    <t>Larsen, Scott
665 Kessler Reserve Ct.
Dallas, TX 75208</t>
  </si>
  <si>
    <t>Lea, Tyler
2042 Rugged Dr.
Dallas, TX 75224</t>
  </si>
  <si>
    <t>Lechner, Mark
545 S. 3rd St.
Louisville, KY 40202</t>
  </si>
  <si>
    <t>Leone, Victor
6080 Water St.
Plano, TX 75024</t>
  </si>
  <si>
    <t>Lidji, Isaac
10440 N. Central Expwy.
Dallas, TX 75231</t>
  </si>
  <si>
    <t>Long, Kathryn
1674 Kessler Canyon Dr.
Dallas, TX 75208</t>
  </si>
  <si>
    <t>Long, Steve
902 Thomasson Dr.
Dallas, TX 75208</t>
  </si>
  <si>
    <t>Luttmer, Francis
6941 Desco Dr.
Dallas, TX 75225</t>
  </si>
  <si>
    <t>Mallinson, Luke
1640 Handley Dr.
Dallas, TX 75208</t>
  </si>
  <si>
    <t>Mast, Beda
1224 Lausanne Ave.
Dallas, TX 75208</t>
  </si>
  <si>
    <t>McDonald, Samuel
2630 Shelby Ave.
Dallas, TX 75219</t>
  </si>
  <si>
    <t>McPheeters, Morgan
4408 McKinney AVe.
Dallas, TX 75205</t>
  </si>
  <si>
    <t>McPherson, Mark
246 Waverly Dr.
Dallas, TX 75208</t>
  </si>
  <si>
    <t>Meachum, Harry Wayne
1707 Timbergrove Cir.
Dallas, TX 75208</t>
  </si>
  <si>
    <t>Meckfessel, Robert
1427 Haines Ave.
Dallas, TX 75208</t>
  </si>
  <si>
    <t>Melnick, Susan
2316 Kessler Pkwy
Dallas, TX 75208</t>
  </si>
  <si>
    <t>Mergele-Rust, Derek
1201 Main St.
Dallas, TX 75202</t>
  </si>
  <si>
    <t>Mohr, Isabella
2736 Mateur St.
Dallas, TX 75211</t>
  </si>
  <si>
    <t>Moore, Erin
324 Easton Rd.
Dallas, TX 75218</t>
  </si>
  <si>
    <t>Sanchez, Juan
2707 W. Jefferson Blvd.
Dallas, TX 75211</t>
  </si>
  <si>
    <t>Orozco, Michael A.
5707 Vanderbilt Ave.
Dallas, TX 75206</t>
  </si>
  <si>
    <t>Parker, Kim
13330 Noel Rd.
Dallas, TX 75240</t>
  </si>
  <si>
    <t>Payma, Michael
5505 Marquette Dr.
Plano, TX 75093</t>
  </si>
  <si>
    <t>Payne, Andy
3500 Maple Ave.
Dallas, TX 75219</t>
  </si>
  <si>
    <t>Pickel, Stephanie
1402 Yakimo Dr.
Dallas, TX 75208</t>
  </si>
  <si>
    <t>Ponce, Anjulie
523 Monssen Dr
Dallas, TX 75223</t>
  </si>
  <si>
    <t>Preziosi, David
2229 Lawndale Dr.
Dallas, TX 75211</t>
  </si>
  <si>
    <t>Rosen, Matt
1402 Yakimo Dr.
Dallas, TX 75208</t>
  </si>
  <si>
    <t>Sacher, David
7225 S. Janmar Ct.
Dallas, TX 75230</t>
  </si>
  <si>
    <t>Schaffner, Amy
1622 Oak Knoll St.
Dallas, TX 75208</t>
  </si>
  <si>
    <t>Schenkel, Pete
614 N. Bishop Ave.
Dallas, TX 75208</t>
  </si>
  <si>
    <t>Scherrieb, Carl
5877 Bayside Dr.
Ft. Worth, TX 76132</t>
  </si>
  <si>
    <t>Scott, Raymond
626 Monseen Dr.
Dallas, TX 75224</t>
  </si>
  <si>
    <t>Smith, Cameron
3225 Turtle Creek Blvd.
Dallas, TX 75219</t>
  </si>
  <si>
    <t>Smith, Eric
6435 Glendura Ave.
Dallas, TX 75203</t>
  </si>
  <si>
    <t>Smith, Neil
1803 W. Colorado Blvd.
Dallas, TX 75208</t>
  </si>
  <si>
    <t>Spieler, Norman
5550 Topanga Canyon Blvd.
Woodland Hills, CA 91367</t>
  </si>
  <si>
    <t>Strebel, Peter
709 Kessler Woods Tr.
Dallas, TX 75208</t>
  </si>
  <si>
    <t>Strozewski, Kirk
2904 Cascade Cove
Round Rock, TX 78664</t>
  </si>
  <si>
    <t>Suarez, Michael
907 Stevens Woods Ct.
Dallas, TX 75208</t>
  </si>
  <si>
    <t>Talley, Olive
6133 Prospect Ave.
Dallas, TX 75214</t>
  </si>
  <si>
    <t>Tatum, John
6617 Northaven Rd.
Dallas, TX 75230</t>
  </si>
  <si>
    <t>Thompson, Scott
311 N. Montclair Ave.
Dallas, TX 75208</t>
  </si>
  <si>
    <t>Urby, Joe
1364 Romano Place
Dallas, TX 75215</t>
  </si>
  <si>
    <t>Valadez, Jesus
717 W. Page Ave.
Dallas, TX 75208</t>
  </si>
  <si>
    <t>Vallot, Colette
4333 Gilbert Ave.
Dallas, TX 75219</t>
  </si>
  <si>
    <t>Vruggink, Leslie
6727 Sunnyland Ln.
Dallas, TX 75214</t>
  </si>
  <si>
    <t>Walker, Heather
1010 N. Windomere Ave
Dallas, TX 75208</t>
  </si>
  <si>
    <t>Walker, Kyle
831 Haines Ave.
Dallas, TX 75208</t>
  </si>
  <si>
    <t>Walker, Teri
900 N. Bishop Ave.
Dallas, TX 75208</t>
  </si>
  <si>
    <t>Walter, Christopher
2310 N. Henderson Ave.
Dallas, TX 75206</t>
  </si>
  <si>
    <t>Warren, Justin
3210 Mathey Ct.
Dallas, TX 75208</t>
  </si>
  <si>
    <t>Wedell, Roger
1318 Elmwood Blvd.
Dallas, TX 75224</t>
  </si>
  <si>
    <t>Whitney, Cindy
1652 Sylvan Ave.
Dallas, TX 75208</t>
  </si>
  <si>
    <t>Williams, Damian
10505 Wyatt St.
Dallas, TX 75218</t>
  </si>
  <si>
    <t>Wilson, Blake
814 Cedar Hill Ave.
Dallas, TX 75208</t>
  </si>
  <si>
    <t>Wise, Linda
2719 San Jose Dr.
Dallas, TX 75211</t>
  </si>
  <si>
    <t>Zaccarello, Alice
2243 Lawndale Dr.
Dallas, TX 75211</t>
  </si>
  <si>
    <t>Henderson, Anne
722 N Oak Cliff Blvd
Dallas, TX 75208</t>
  </si>
  <si>
    <t>Escobar, Florencio
614 S Brighton Avenue
Dallas, TX 75208</t>
  </si>
  <si>
    <t>Lamkin, Bob
14881 Quorum Drive
Dallas, TX 75254</t>
  </si>
  <si>
    <t>Higgins, Changa
800 Ross Avenue
Dallas, TX 75202</t>
  </si>
  <si>
    <t>Buckner, Kenton
2010 French Bayou Lane
Hendersonville, KY 37075</t>
  </si>
  <si>
    <t>Schenkel, Pete
614 N Bishop
Dallas, TX 75203</t>
  </si>
  <si>
    <t>Pace, Daron
923 Greenbriar Ln
Duncanville, TX 75137</t>
  </si>
  <si>
    <t>Godsey, David
1001 Red Wing Ct.
Mansfield, TX 76063</t>
  </si>
  <si>
    <t>Edmonds, Jon
2323 N. Houston St.
Dallas, TX 75219</t>
  </si>
  <si>
    <t>Rueda, Roscio
2321 Penrose Dr
Mesquite, TX 75150</t>
  </si>
  <si>
    <t>Carter III, Grover
200 Crystal Lake Drive
Desoto, TX 75115</t>
  </si>
  <si>
    <t>Davis, Gaytha
2411 Creekglen Drive
Dallas, TX 75227</t>
  </si>
  <si>
    <t>Flye-Lewis, Felicia
1438 Brook Valley Ln.
Dallas, TX 75232</t>
  </si>
  <si>
    <t>Poole, Stephen
1828 Shady Glen Ln
Dallas, TX 75232</t>
  </si>
  <si>
    <t>Wise, Frank P
2837 Bonnywood Lane
Dallas, TX 75233</t>
  </si>
  <si>
    <t>Armstrong, James
1839 Leath
Dallas, TX 75212</t>
  </si>
  <si>
    <t>Seamon, Fred
1122 Seminole Dr
Tallahassee, FL 32301</t>
  </si>
  <si>
    <t>Sanders, Anga
3432 Spruce Valley Lane
Dallas, TX 75233</t>
  </si>
  <si>
    <t>Nunn, Cynthia
918 Heather Knoll Dr
Desoto, TX 75115</t>
  </si>
  <si>
    <t>Donalson, Eric
1248 Serenade Ln.
Dallas, TX 75241</t>
  </si>
  <si>
    <t>Smith, Scottie
1702 Martin Luther King Jr Blvd
Dallas, TX 75215</t>
  </si>
  <si>
    <t>Brunson, Albert
8328 Mountainview Drive
Dallas, TX 75249</t>
  </si>
  <si>
    <t>Orr, Cheryl
7509 Garonne Street
Dallas, TX 75231</t>
  </si>
  <si>
    <t>Leatch, Bert
1016 Burnet Dr
Allen, TX 75002</t>
  </si>
  <si>
    <t>Rawlings, Mike
3879 Maple Ave.
Dallas, TX 75219</t>
  </si>
  <si>
    <t>Satterthwaite, Gwendolyn
4804 Cape Coral Drive
Dallas, TX 75287</t>
  </si>
  <si>
    <t>Schufford, Ray
406 Marquis Ln
Marquis, TX 76063</t>
  </si>
  <si>
    <t>Barton, Kamron
5435 Cherry Glen Ln.
Dallas, TX 75232</t>
  </si>
  <si>
    <t>Prothro, Caren
3929 Potomac Ave
dallas, TX 75205</t>
  </si>
  <si>
    <t>Burrell, Martin
1420 PRUDENTIAL DRIVE
DALLAS, TX 75235</t>
  </si>
  <si>
    <t>Young, Sharon
4619 Park Lane
Dallas, TX 75220</t>
  </si>
  <si>
    <t>MacLean, Leslie
3310 Fairmount St.
Dallas, TX 75201</t>
  </si>
  <si>
    <t>Goldstein, Sharan
7111 Lakehurst Ave.
Dallas, TX 75230</t>
  </si>
  <si>
    <t>Goldstein, Michelle
9330 Peninsula Drive
Dallas, TX 75218</t>
  </si>
  <si>
    <t>Gollman, Barbara
6947 Forest Glen Drive
Dallas, TX 75230</t>
  </si>
  <si>
    <t>Greenman, Suzi
3601 Turtle Creek Blvd.
Dallas, TX 75219</t>
  </si>
  <si>
    <t>Griggs, John
10035 Surrey Oaks Drive
Dallas, TX 75229</t>
  </si>
  <si>
    <t>Griswold, Gail
6305 Northwood Road
Dallas, TX 75225</t>
  </si>
  <si>
    <t>Gross, Gary
7767 Verbena Court
Dallas, TX 75230</t>
  </si>
  <si>
    <t>Haley, Stephanie
7144 Aberdeen Avenue
Dallas, TX 75230</t>
  </si>
  <si>
    <t>Harrison, Angelica
2903 Oakhaven Drive
Austin, TX 78704</t>
  </si>
  <si>
    <t>Hebley, Sandi
12304 Shiremont Drive
Dallas, TX 75230</t>
  </si>
  <si>
    <t>Hendelman, Ruth
17223 Village Ln
Dallas, TX 75248</t>
  </si>
  <si>
    <t>Hicks, Forrest
55 Downs Lake Circle
Dallas, TX 75230</t>
  </si>
  <si>
    <t>HIGHTOWER, EDWIN
6545 MEADOWCREEK DR
DALLAS, TX 75254</t>
  </si>
  <si>
    <t>Hoppenstein, Carole Ann
3831 Duchess Trail
Dallas, TX 75229</t>
  </si>
  <si>
    <t>Jackson, Dena
7210 Stonetrail Drive
Dallas, TX 75230</t>
  </si>
  <si>
    <t>Jagoda, Jo
7139 Brookshire Circle
Dallas, TX 75230</t>
  </si>
  <si>
    <t>Johansen, Gayle
4608 Fairfax Avenue
Dallas, TX 75209</t>
  </si>
  <si>
    <t>Jonas, Hylton
4615 Briar Oaks Circle
Dallas, TX 75287</t>
  </si>
  <si>
    <t>Kadmon, Marilyn
12020 browning lane
Dallas, TX 75230</t>
  </si>
  <si>
    <t>Kerner, Andy
17 Ashton Court
Dallas, TX 75230</t>
  </si>
  <si>
    <t>Kittleson, Terry
7051 Orchid Lane
Dallas, TX 75230</t>
  </si>
  <si>
    <t>Kleinman, Mark
6926 Midbury Drive
Dallas, TX 75230</t>
  </si>
  <si>
    <t>Koeppel, Deborah
7240 Mason Dells Drive
Dallas, TX 75230</t>
  </si>
  <si>
    <t>KOOP, LINDA
15210 LEAFY LANE
DALLAS, TX 75248</t>
  </si>
  <si>
    <t>Kosberg, Robin
10205 Epping Lane
Dallas, TX 75229</t>
  </si>
  <si>
    <t>Kreditor, Mark and Carol
12124 Madeleine Cir
Dallas, TX 75230</t>
  </si>
  <si>
    <t>Levine, Ann
4240 Manderville Lane
Dallas, TX 75231</t>
  </si>
  <si>
    <t>Liberman, Julie
2404 Wing Point Ln
Plano, TX 75093</t>
  </si>
  <si>
    <t>Lifson, Judith
3601 Turtle Creek Boulevard
Dallas, TX 75219</t>
  </si>
  <si>
    <t>Elevation Management LLC
6208 Copperhill Drive
Dallas, TX 75248</t>
  </si>
  <si>
    <t>Loomis, Jo
6857 Greenwich Lane
Dallas, TX 75230</t>
  </si>
  <si>
    <t>Lopez, Wendy
3707 W. Beverly Dr.
Dallas, TX 75209</t>
  </si>
  <si>
    <t>Lowenberg, Julie
2828 HOOD ST
Dallas, TX 75219</t>
  </si>
  <si>
    <t>LUBY, MAUREEN
7230 Midbury Dr
Dallas, TX 75230</t>
  </si>
  <si>
    <t>Mackler, Scott
12123 Edgestone Road
Dallas, TX 75230</t>
  </si>
  <si>
    <t>Magnuson, Jill
4318 Beechwood Lane
Dallas, TX 75220</t>
  </si>
  <si>
    <t>Malik, Parvez
511 E John Carpenter
Dallas, TX 75062</t>
  </si>
  <si>
    <t>Margolin, Fred
3535 Gillespie Street
Dallas, TX 75219</t>
  </si>
  <si>
    <t>Markus, Ellen
10012 Rock Hill Lane
Dallas, TX 75229</t>
  </si>
  <si>
    <t>Martinez, Rene
7007 Arboreal Drive
Dallas, TX 75231</t>
  </si>
  <si>
    <t>McClure, Madeline
9019 Broken Arrow Lane
Dallas, TX 75209</t>
  </si>
  <si>
    <t>Meehan, Patricia
7041 Yamini Drive
Dallas, TX 75230</t>
  </si>
  <si>
    <t>Meyerson, Morton
3321 Armstrong Avenue
Dallas, TX 75205</t>
  </si>
  <si>
    <t>Mills, Thomas
3131 McKinney Avenue
Dallas, TX 75204</t>
  </si>
  <si>
    <t>Miskin, Clive
6717 Deloache Avenue
Dallas, TX 75225</t>
  </si>
  <si>
    <t>Monier, Amy
6625 Ridgeview Circle
Dallas, TX 75240</t>
  </si>
  <si>
    <t>Mukhina, Tatiana
7647 Royal Lane
Dallas, TX 75230</t>
  </si>
  <si>
    <t>NAXON, ELYA
7410 Baxtershire Drive
Dallas, TX 75230</t>
  </si>
  <si>
    <t>Netzer, Shula
9821 Meadowbrook Drive
Dallas, TX 75220</t>
  </si>
  <si>
    <t>Newman, Jolie
5126 Palomar Lane
Dallas, TX 75229</t>
  </si>
  <si>
    <t>Newman, Dr Glynn
7624 Cliffbrook Dr
Dallas, TX 75254</t>
  </si>
  <si>
    <t>Novick, Michael
8816 Turtle Creek Boulevard
Dallas, TX 75225</t>
  </si>
  <si>
    <t>ODonnell, Gregory
7315 Malabar Lane
Dallas, TX 75230</t>
  </si>
  <si>
    <t>Otoole, Jane
5047 Radbrook Place
Dallas, TX 75220</t>
  </si>
  <si>
    <t>Ozley, Chris
12037 Edgestone Road
Dallas, TX 75230</t>
  </si>
  <si>
    <t>Black American Futures PAC
2647 White Oak Drive
Decatur, GA 30032</t>
  </si>
  <si>
    <t>Pollman, Cheryl
1239 Waterside Circle
Dallas, TX 75218</t>
  </si>
  <si>
    <t>Polsky, Debra
15221 Berry Trail
Dallas, TX 75248</t>
  </si>
  <si>
    <t>Raffkind, Julie
6527 Westgate Drive
Dallas, TX 75254</t>
  </si>
  <si>
    <t>Rahn, Steven
1400 Hi Line Drive
Dallas, TX 75207</t>
  </si>
  <si>
    <t>Rampey, Thomas
6560 Turner Way
Dallas, TX 75230</t>
  </si>
  <si>
    <t>Redifer, Patricia
14105 Regency Place
Dallas, TX 75254</t>
  </si>
  <si>
    <t>Rich, Bill
7120 Baxtershire Drive
Dallas, TX 75230</t>
  </si>
  <si>
    <t>Richards, Ernest
5721 Club Oaks Drive
DallasU, TX 75248</t>
  </si>
  <si>
    <t>Rieves, Mark
5530 Goodwin Avenue
Dallas, TX 75206</t>
  </si>
  <si>
    <t>Risch, Helen
3540 Colgate Ave.
Dallas, TX 75225</t>
  </si>
  <si>
    <t>Roach, Susan
12328 Brittany Circle
Dallas, TX 75230</t>
  </si>
  <si>
    <t>Rosenberg, Gussie
7 Cheltenham Way
Dallas, TX 75230</t>
  </si>
  <si>
    <t>Rubin, Alan
7455 Malabar Lane
Dallas, TX 75230</t>
  </si>
  <si>
    <t>Rubin, Brent
7103 Coronado Ave.
Dallas, TX 75214</t>
  </si>
  <si>
    <t>Ryan, Brint
10430 Strait Lane
DALLAS, TX 75380</t>
  </si>
  <si>
    <t>Sacher, David
7225 South Janmar Court
Dallas, TX 75230</t>
  </si>
  <si>
    <t>Sahuc, Philip
10828 Pagewood Drive
Dallas, TX 75230</t>
  </si>
  <si>
    <t>Sample, Susan
11731 Saint Michaels Dr
Dallas, TX 75230</t>
  </si>
  <si>
    <t>Sanders, Byron
708 Mayrant Drive
Dallas, TX 75224</t>
  </si>
  <si>
    <t>Schenkel, Pat
614 North Bishop Avenue
Dallas, TX 75208</t>
  </si>
  <si>
    <t>Schenkel, Pete
614 North Bishop Avenue
Dallas, TX 75208</t>
  </si>
  <si>
    <t>Schildcrout, Andrew
6517 Dykes Way
Dallas, TX 75230</t>
  </si>
  <si>
    <t>Schneider, Kathy
14125 Brookridge Circle
Dallas, TX 75254</t>
  </si>
  <si>
    <t>Schrupp, Elizabeth
6223 Lavendate Ave
Dallas, TX 75230</t>
  </si>
  <si>
    <t>Seldin, Ellen
11525 Saint Michaels Drive
Dallas, TX 75230</t>
  </si>
  <si>
    <t>Seymour, Jeffrey
7806 Yamini Drive
Dallas, TX 75230</t>
  </si>
  <si>
    <t>Simmons, Lisa
9750 Hollow Way Road
Dallas, TX 75220</t>
  </si>
  <si>
    <t>Sims, Mike
6121 Lavendale
Dallas, TX 75230</t>
  </si>
  <si>
    <t>Steinberg, Larry
PO Box 12670
Dallas, TX 75225</t>
  </si>
  <si>
    <t>Steinborn, Vivian
PO Box 670265
Dallas, TX 75367</t>
  </si>
  <si>
    <t>Steinfield, David
11603 High Forest Drive
Dallas, TX 75230</t>
  </si>
  <si>
    <t>Steinfink, Dan
7309 Yamini
Dallas, TX 75230</t>
  </si>
  <si>
    <t>Steinhart, Phyllis
25 Robledo Drive
Dallas, TX 75230</t>
  </si>
  <si>
    <t>Suhler, Jayne
12054 Lueders Lane
Dallas, TX 75230</t>
  </si>
  <si>
    <t>Susman, Joan
6227 Twin Oaks Cir
Dallas, TX 75240</t>
  </si>
  <si>
    <t>Tolmas, Alan
6009 Oakcrest Road
Dallas, TX 75248</t>
  </si>
  <si>
    <t>Tonti, Barbara
10310 Woodford Drive
Dallas, TX 75229</t>
  </si>
  <si>
    <t>Unterberg, Maddy
43 Downs Lake Circle
Dallas, TX 75230</t>
  </si>
  <si>
    <t>Vaiser, Rebecca
5200 Keller Springs Road
Dallas, TX 75248</t>
  </si>
  <si>
    <t>Waldman, Kevin
50 Clayton Street
San Francisco, CA 94117</t>
  </si>
  <si>
    <t>Waldman, Jackie
7729 Yamini Drive
Dallas, TX 75230</t>
  </si>
  <si>
    <t>Waldman, Helen
17005 Preston Bend Drive
Dallas, TX 75248</t>
  </si>
  <si>
    <t>Wasserman, Tina
7153 Lavendale
Dallas, TX 75240</t>
  </si>
  <si>
    <t>Webb, Peter
PO Box 237013
New York, NY 10023</t>
  </si>
  <si>
    <t>Weber, Angela
6007 Meadow Crest Drive
Dallas, TX 75230</t>
  </si>
  <si>
    <t>Weinstein, Andrea
10815 Branch Oaks Circle
Dallas, TX 75230</t>
  </si>
  <si>
    <t>Weisbrod, Carl
5615 Meadowcrest Dr
Dallas, TX 75230</t>
  </si>
  <si>
    <t>Weisfeld, Ronald
3409 Saint Johns Drive
Dallas, TX 75205</t>
  </si>
  <si>
    <t>whittenvile, sheldon
809 Cherry Laurel Court
Nashville, TN 37215</t>
  </si>
  <si>
    <t>Wigder, Carol
7147 Hunters Ridge Dr
Dallas, TX 75248</t>
  </si>
  <si>
    <t>Wilkofsky, Susan
11651 Hillcrest Rd.
Dallas, TX 75230</t>
  </si>
  <si>
    <t>Willard, Carolyn
7132 Helsem Bend Circle
Dallas, TX 75230</t>
  </si>
  <si>
    <t>Winzenried, Kay
12062 Lueders Lane
Dallas, TX 75230</t>
  </si>
  <si>
    <t>Wong Krause, Michele
7735 Mullrany Drive
Dallas, TX 75248</t>
  </si>
  <si>
    <t>Wood, Ann
7209 Baxtershire Drive
Dallas, TX 75230</t>
  </si>
  <si>
    <t>Yonack, Sheryl and Alan
7107 Currin Dr
Dallas, TX 75230</t>
  </si>
  <si>
    <t>Zahler, Gerald
8240 Manderville Lane
Dallas, TX 75231</t>
  </si>
  <si>
    <t>Zahler, Warren
6323 Brookshire Drive
Dallas, TX 75230</t>
  </si>
  <si>
    <t>Zoller, Kim
PO Box 671282
Dallas, TX 75367</t>
  </si>
  <si>
    <t>Lee, Don
6953 Bella Vista
Irving, TX 75039</t>
  </si>
  <si>
    <t>Song, Yang
2402 Oxford Ln
Carrollton, TX 75006</t>
  </si>
  <si>
    <t>Wentz, Myong
6617 Autumn Trail
The Colony, TX 75056</t>
  </si>
  <si>
    <t>Chow, Kevin
2700 Old Denton Rd
Carrollton, TX 75007</t>
  </si>
  <si>
    <t>Sim, Kway
3688 Pistol Creek
Frisco, TX 75034</t>
  </si>
  <si>
    <t>Jakimovski, Kiril
701 Brentwood
Richardson, TX 75088</t>
  </si>
  <si>
    <t>Alexander, Mr Mrs Joshua Maria
13600 Preston Rd
Dallas, TX 75240</t>
  </si>
  <si>
    <t>Rosa, John
515 S Riverfront Blvd
Dallas, TX 75207</t>
  </si>
  <si>
    <t>Rubin, Candace
5850 Maple Ave
Dallas, TX 75235</t>
  </si>
  <si>
    <t>Laughlin, Kendall
PO Box 191248
Dallas, TX 75219</t>
  </si>
  <si>
    <t>Ramirez, Juanita
1207 Stafford
Dallas, TX 75208</t>
  </si>
  <si>
    <t>Gutierrez, Javier
507 Woodhaven
Duncanville, TX 75080</t>
  </si>
  <si>
    <t>Martinez Sr, Fernando
737 Woolsey
Dallas, TX 75224</t>
  </si>
  <si>
    <t>Guanajuato, Ruben
4016 Willowleaf Ct
Dallas, TX 75212</t>
  </si>
  <si>
    <t>Rodriguez, Rogelia
3427 Weisenberger
Dallas, TX 75212</t>
  </si>
  <si>
    <t>UFCW Local 540
1775 K St NW
Washington, DC 20006</t>
  </si>
  <si>
    <t>McCheren, Mr Mrs Mike Ann
532 Jefferson Blvd
Dallas, TX 75208</t>
  </si>
  <si>
    <t>Hastedt, Suzanne
3232 Rosedale Ave
Dallas, TX 75205</t>
  </si>
  <si>
    <t>Priscilla Shacklett</t>
  </si>
  <si>
    <t>Hinojosa, Eliu
2300 Wolf St
Dallas, TX 75201</t>
  </si>
  <si>
    <t>Lozano, Santos
1034 S Buckner
Dallas, TX 75217</t>
  </si>
  <si>
    <t>Lozano, Fabiola
1034 S Buckner
Dallas, TX 75217</t>
  </si>
  <si>
    <t>Russell, Phillip
12427 Veronica Cir
Farmers Branch, TX 75234</t>
  </si>
  <si>
    <t>Andere, Reagan
7625 Kenwell
Dallas, TX 75219</t>
  </si>
  <si>
    <t>Stapp, Clay
3404 Greenville
Dallas, TX 75206</t>
  </si>
  <si>
    <t>Kalogridis, George
4819 Maple
Dallas, TX 75219</t>
  </si>
  <si>
    <t>Boullet, Kelly
1616 Cloister
Plano, TX 75075</t>
  </si>
  <si>
    <t>Aguilar IV, Carlos
331 Singleton Blvd
Dallas, TX 75212</t>
  </si>
  <si>
    <t>Favela, Raquel
2658 Forest Pebble
San Antonio, TX 78232</t>
  </si>
  <si>
    <t>Ponce, Elizabeth
327 W St Augustine
Dallas, TX 75217</t>
  </si>
  <si>
    <t>Graham, Sofia
2575 Lone Star
Dallas, TX 75212</t>
  </si>
  <si>
    <t>Vasquez, Peter
2737 Morris
Dallas, TX 75212</t>
  </si>
  <si>
    <t>Cruz, Ann
214 W Davis
Duncanville, TX 75116</t>
  </si>
  <si>
    <t>Shacklett, Craig
3526 Apple Valley
Farmers Branch, TX 75234</t>
  </si>
  <si>
    <t>Lewis, Jessica
603 E Trip Rd
Sunnyvale, TX 75152</t>
  </si>
  <si>
    <t>Lewis, Jorden
603 E Trip Rd
Sunnyvale, TX 75152</t>
  </si>
  <si>
    <t>Blumin, Caroline
8240 Manderville Ln
Dallas, TX 75231</t>
  </si>
  <si>
    <t>Roesbery, Diane
2405 Southern Hills Ct
Keller, TX 75229</t>
  </si>
  <si>
    <t>Burns, Emily
4127 Calculus Dr
Dallas, TX 75244</t>
  </si>
  <si>
    <t>Smith, Mac
5520 Preston Haven Dr
Dallas, TX 75206</t>
  </si>
  <si>
    <t>Villalobos, Jesse
8701 N 23rd st
McAllen, TX 78504</t>
  </si>
  <si>
    <t>henderson, james
10118 Mapleridge
Dallas, TX 75238</t>
  </si>
  <si>
    <t>Chris Carter</t>
  </si>
  <si>
    <t>varnon, charles
10419 Chesterton
Dallas, TX 75238</t>
  </si>
  <si>
    <t>Moore, Patricia
9227 Meadowglen
Dallas, TX 75238</t>
  </si>
  <si>
    <t>Debenport, Bobby
9515 Spring Branch
Dallas, TX 75238</t>
  </si>
  <si>
    <t>Clem, Lori
1639 Parker Rd.
Carrollton, TX 76010</t>
  </si>
  <si>
    <t>Byrnes, Collin
1639 Parker Rd.
Carrollton, TX 76010</t>
  </si>
  <si>
    <t>Laughlin, Grant
4137 Greenbrier Dr.
Dallas, TX 75225</t>
  </si>
  <si>
    <t>Garrett, Matt
13721 Welch Rd.
Farmers Branch, TX 75244</t>
  </si>
  <si>
    <t>Stock, Blake
4572 Turnberry Ct.
Plano, TX 75024</t>
  </si>
  <si>
    <t>Monroe, Gayla
10 Carolane TR.
Houston, TX 77024</t>
  </si>
  <si>
    <t>Mitchell, James
6605 Park Ln.
Dallas, TX 75225</t>
  </si>
  <si>
    <t>Agnes, Lisa
18208 Preston Rd.
Dallas, TX 75252</t>
  </si>
  <si>
    <t>Corbin, Larry
2759 Harbinger Dr.
Dallas, TX 75240</t>
  </si>
  <si>
    <t>Rattikin, Jeff
2108 Fountain Square Dr.
Fort Worth, TX 76107</t>
  </si>
  <si>
    <t>Carson, Audrey
9511 Highedge Dr.
Dallas, TX 75238</t>
  </si>
  <si>
    <t>Shacklett, Suellen
3526 Apple Valley Dr
Farmers Branch, TX 75234</t>
  </si>
  <si>
    <t>Shacklett, Suellen
3526 Apple Valley Dr
Dallas, TX 75234</t>
  </si>
  <si>
    <t>Shacklett, Craig
3526 Apple Valley Dr
Farmers Branch, TX 75234</t>
  </si>
  <si>
    <t>Richardson, Patricia
5520 Preston Haven Dr
Dallas, TX 75206</t>
  </si>
  <si>
    <t>Cauldwell, Kevin
1412 Tanglewood Dr
Farmers Branch, TX 75234</t>
  </si>
  <si>
    <t>Cauldwell, Mary
1412 Tanglewood Dr
Farmers Branch, TX 75234</t>
  </si>
  <si>
    <t>Canion, Judth
9715 Windam Dr
Dallas, TX 75243</t>
  </si>
  <si>
    <t>Williams, Winston
4020 Rosser Square
Dallas, TX 75244</t>
  </si>
  <si>
    <t>Nemec, Kathy
10707 Webster Terrace
Dallas, TX 75229</t>
  </si>
  <si>
    <t>Jenning, Steve
2310 N Henderson Ave
Dallas, TX 75206</t>
  </si>
  <si>
    <t>Jenning, Nancy
2310 N Henderson Ave
Dallas, TX 75206</t>
  </si>
  <si>
    <t>Anderes, Roxan
5028 Lilac Ln
Dallas, TX 75209</t>
  </si>
  <si>
    <t>Zvara, Julie
5423 Emerson Ave
Dallas, TX 75209</t>
  </si>
  <si>
    <t>Melo, Nancy
6338 Waggoner Dr
Dallas, TX 75230</t>
  </si>
  <si>
    <t>Howat, Stevie
8605 Westfield Drive
Dallas, TX 75243</t>
  </si>
  <si>
    <t>Holland, Mark
10115 Chesterton Drive
Dallas, TX 75238</t>
  </si>
  <si>
    <t>Hicks, Pat
9625 Angleridge Rd
Dallas, TX 75238</t>
  </si>
  <si>
    <t>Garcia MD, Catalina E
10455 N. Central Expressway
Dallas, TX 75231</t>
  </si>
  <si>
    <t>Hoptonjones, Gaynelle
9948 Capridge Dr.
Dallas, TX 75238</t>
  </si>
  <si>
    <t>Anton, Bruce
9420 Springwater Drive
Dallas, TX 75228</t>
  </si>
  <si>
    <t>Guynes, Adrienne
6646 East Lovers Ln #203
Dallas, TX 75214</t>
  </si>
  <si>
    <t>Falcona, Jan
8453 Towneship Lane
Dallas, TX 75243</t>
  </si>
  <si>
    <t>Long, Shannon
1009 Ashland Drive
Mesquite, TX 75149</t>
  </si>
  <si>
    <t>Quarles, Kara
9853 Broken Bow Rd
Dallas, TX 75238</t>
  </si>
  <si>
    <t>Overby, Debra
8530 Bacardi Dr
Dallas, TX 75238</t>
  </si>
  <si>
    <t>mazero, John
6914 La Vista Drive
Dallas, TX 75214</t>
  </si>
  <si>
    <t>Bon, Ivor
9833 Larchcrest Drive
Dallas, TX 75238</t>
  </si>
  <si>
    <t>Schwope, Kristine
16230 Amberwood Road
Dallas, TX 75248</t>
  </si>
  <si>
    <t>Wills, Suzanne
8412 Moorcroft Drive
Dallas, TX 75228</t>
  </si>
  <si>
    <t>Loftus, Harry
913 Leonard Lane
Allen, TX 75013</t>
  </si>
  <si>
    <t>Doty, Beth
9684 Atherton Dr
Dallas, TX 75243</t>
  </si>
  <si>
    <t>Green, Dan
57 Baird Drive
Ranchos de Taos, NM 75218</t>
  </si>
  <si>
    <t>Koenigs, Eric
10141 Mapleridge Dr
Dallas, TX 75238</t>
  </si>
  <si>
    <t>Kemper, Ellen
9744 Larchcrest Dr
Dallas, TX 75238</t>
  </si>
  <si>
    <t>Reeves, Eddie
1142 North Clinton Avenue
Dallas, TX 75208</t>
  </si>
  <si>
    <t>Paula Blackmon</t>
  </si>
  <si>
    <t>Golden, Nan
7319 Lakewood Boulevard
Dallas, TX 75214</t>
  </si>
  <si>
    <t>Davidson, Larry
6451 Patrick Dr
Dallas, TX 75214</t>
  </si>
  <si>
    <t>Elrod, John
7900 Xavier Court
Dallas, TX 75218</t>
  </si>
  <si>
    <t>Sullivan, Joseph
6759 Avalon Avenue
Dallas, TX 75214</t>
  </si>
  <si>
    <t>Vruggink, Leslie
6727 Sunnyland Lane
Dallas, TX 75214</t>
  </si>
  <si>
    <t>Steinhart, Ronald
25 Robledo Drive
Dallas, TX 75230</t>
  </si>
  <si>
    <t>Wells, Chris
7238 Mimosa
Dallas, TX 75230</t>
  </si>
  <si>
    <t>Henry, Barry
1717 Arts Plaza 1801
Dallas, TX 75201</t>
  </si>
  <si>
    <t>Rodgers, Christi
11024 Joaquin Drive
Dallas, TX 75228</t>
  </si>
  <si>
    <t>Louis, Lori
6522 Trammel Dr
Dallas, TX 75214</t>
  </si>
  <si>
    <t>Black American Futures
2647 White Oak Drive
Decatur, GA 30032</t>
  </si>
  <si>
    <t>Terry, Mike
12240 Inwood Rd.
Dallas, TX 75244</t>
  </si>
  <si>
    <t>Banks, Ricky
6511 Trammel Dr
Dallas, TX 75214</t>
  </si>
  <si>
    <t>Black, Albert
751 Kessler Lake Drive
Dallas, TX 75208</t>
  </si>
  <si>
    <t>HULSEY, DEBORAH
6526 TRAMMEL DR
Dallas, TX 75214</t>
  </si>
  <si>
    <t>Eichorst, Fran
6740 Westlake Avenue
Dallas, TX 75214</t>
  </si>
  <si>
    <t>Bobosky, Shelby
6823 La Vista Drive
Dallas, TX 75214</t>
  </si>
  <si>
    <t>Falvo, Susan
2507 Auburn Avenue
Dallas, TX 75214</t>
  </si>
  <si>
    <t>Maggard, Lauren
6601 Lake Circle Dr
Dallas, TX 75214</t>
  </si>
  <si>
    <t>Billingsley, Lucy
1722 Routh Street Suite 770
Dallas, TX 75201</t>
  </si>
  <si>
    <t>chase, scott
1700 Pacific Ste. 3700
Dallas, TX 75201</t>
  </si>
  <si>
    <t>Santos, Charles
5567 Ledgestone Drive
Dallas, TX 75214</t>
  </si>
  <si>
    <t>Burrow, Jessica
2411 Hillside Drive
Dallas, TX 75214</t>
  </si>
  <si>
    <t>Overman, Susan
6714 Northridge Drive
Dallas, TX 75214</t>
  </si>
  <si>
    <t>Rybczyk, Madelyn
1507 Tranquilla Dr
Dallas, TX 75218</t>
  </si>
  <si>
    <t>Beene, Allen
12597 Montego Plaza
Dallas, TX 75230</t>
  </si>
  <si>
    <t>MIltenberger, Paula
4627 Miron Dr
Dallas, TX 75220</t>
  </si>
  <si>
    <t>Rosenberg, Barbara
6946 Casa Loma Avenue
Dallas, TX 75214</t>
  </si>
  <si>
    <t>Holloway, Mike
1505 Elm St
DALLAS, TX 75201</t>
  </si>
  <si>
    <t>Ortman, Daniel
8106 San Leandro Drive
Dallas, TX 75218</t>
  </si>
  <si>
    <t>Kettles, Kate and Jon
6463 Lange Circle
Dallas, TX 75214</t>
  </si>
  <si>
    <t>Fitzgibbons, Colin
6946 Southridge Drive
Dallas, TX 75214</t>
  </si>
  <si>
    <t>Rudnicki, Konrad
6909 Tokalon Drive
Dallas, TX 75214</t>
  </si>
  <si>
    <t>Heitzman, Daragh and Judie
6602 Kenwood Avenue
Dallas, TX 75214</t>
  </si>
  <si>
    <t>Cabaniss, Lisa
1344 North Windomere Avenue
Dallas, TX 75208</t>
  </si>
  <si>
    <t>Cabaniss, Edwin
1344 North Windomere Avenue
Dallas, TX 75208</t>
  </si>
  <si>
    <t>Snoyer, Jeff
3639 Overbrook Dr
Dallas, TX 75205</t>
  </si>
  <si>
    <t>Dunning, Thomas
2100 Ross Ave
Dallas, TX 75201</t>
  </si>
  <si>
    <t>Frankenfeld, Robert
4114 McMillan
Dallas, TX 75206</t>
  </si>
  <si>
    <t>Hoyt, Karen
7152 Dalewood
Dallas, TX 75214</t>
  </si>
  <si>
    <t>Kotvis, Jill
6620 Yosemite
Dallas, TX 75214</t>
  </si>
  <si>
    <t>Wynne, Shannon
1722 S. Harwood
Dallas, TX 75215</t>
  </si>
  <si>
    <t>Krause, Michelle
7735 Mullrany
Dallas, TX 75248</t>
  </si>
  <si>
    <t>Thacker, Richard
7001 Greentree
Dallas, TX 75214</t>
  </si>
  <si>
    <t>Hall, Craig
6801 Gaylord Parkway
Frisco, TX 75034</t>
  </si>
  <si>
    <t>Clay, Barbara
8246 Forest.Hills
Dallas, TX 75218</t>
  </si>
  <si>
    <t>Schenkel, Pete
614 N. Bishop
Dallas, TX 75208</t>
  </si>
  <si>
    <t>Dodge, Richard
718 Roundtop
Dallas, TX 75116</t>
  </si>
  <si>
    <t>Felix Griggs</t>
  </si>
  <si>
    <t>Trevino, Patty
1620 Championship Blvd.
Franklin, TN 37064</t>
  </si>
  <si>
    <t>Weiss, Shiann
2214 Elmwood Blvd.
Dallas, TX 75224</t>
  </si>
  <si>
    <t>Griggs, Mariana
2114 Boyd St.
Dallas, TX 75224</t>
  </si>
  <si>
    <t>Bleeker, Brian
1943 Colorado Blvd.
Dallas, TX 75208</t>
  </si>
  <si>
    <t>Koppman, Edward
3535 Gillespie St.
Dallas, TX 75219</t>
  </si>
  <si>
    <t>Paul Ridley</t>
  </si>
  <si>
    <t>Faulkner, James
6046 Llano Ave
Dallas, TX 75206</t>
  </si>
  <si>
    <t>Donovan, Carol &amp; Dan
6324 Malcolm
Dallas, TX 75214</t>
  </si>
  <si>
    <t>Elk, Charles
6504 Bailey Rd
Sachse, TX 75048</t>
  </si>
  <si>
    <t>Bibb, Greg
4600 Saint Laurent Court
Fort Worth, TX 76126</t>
  </si>
  <si>
    <t>Eric Johnson</t>
  </si>
  <si>
    <t>Perryman, Tom and Sally
6138 Woodland Dr
Dallas, TX 75225</t>
  </si>
  <si>
    <t>Nettune, Alex
25 Highland Park Village
Dallas, TX 75205</t>
  </si>
  <si>
    <t>Love, John
6006 Vanderbilt Ave
Dallas, TX 75206</t>
  </si>
  <si>
    <t>Olajide, John
16000 Dallas Parkway
Dallas, TX 75248</t>
  </si>
  <si>
    <t>Pond, Hunter
3838 Oak Lawn Ave
Dallas, TX 75219</t>
  </si>
  <si>
    <t>White, Carlos
733 Mulberry Lane
Desoto, TX 75115</t>
  </si>
  <si>
    <t>Hersh, Ken
4143 Maple Ave
Dallas, TX 75219</t>
  </si>
  <si>
    <t>Schlueter, Stan
1122 Colorado St
Austin, TX 78701</t>
  </si>
  <si>
    <t>Folsom, Steve
16475 Dallas Parkway
Addison, TX 75001</t>
  </si>
  <si>
    <t>Mann, Bruce
24 Linnaean St
Cambridge, MA 02138</t>
  </si>
  <si>
    <t>Martinez, Tony
8451 Creekwood Dr
Dallas, TX 75228</t>
  </si>
  <si>
    <t>Stewart, Walter
7652 Sanderling Rd
Sarasota, FL 34242</t>
  </si>
  <si>
    <t>Borick, Steven
2900 McKinnon Street
Dallas, TX 75201</t>
  </si>
  <si>
    <t>Haile, Howard
6722 Stefani Dr
Dallas, TX 75225</t>
  </si>
  <si>
    <t>McCabe, Libby
10200 Hollow Way Rd
Dallas, TX 75229</t>
  </si>
  <si>
    <t>Carroll, Frank
11937 Denton Dr
Dallas, TX 75234</t>
  </si>
  <si>
    <t>Dickenson, Meredith
12131 Talmay Dr
Dallas, TX 75230</t>
  </si>
  <si>
    <t>Kelley, Rusty
919 Congress Ave
Austin, TX 78701</t>
  </si>
  <si>
    <t>Kazora, Benedict
637 Medinah Rd
Red Oak, TX 75154</t>
  </si>
  <si>
    <t>Feyer, Robert
2335 Hyde St
San Francisco, CA 94109</t>
  </si>
  <si>
    <t>Gibson, Elaine
15615 Preston Road
Dallas, TX 75248</t>
  </si>
  <si>
    <t>Kiser, Chrystiane
2814 Highwood Dr
Dallas, TX 75228</t>
  </si>
  <si>
    <t>Lester, James
6363 West Camp Wisdom Rd
Dallas, TX 75236</t>
  </si>
  <si>
    <t>Pearson, Bonnie
2864 Blue Jay Way
Lafayette, CO 80026</t>
  </si>
  <si>
    <t>Ross, Sharon
5617 Williamstown Rd
Dallas, TX 75230</t>
  </si>
  <si>
    <t>Shirejian, George
10404 Westlawn
Dallas, TX 75229</t>
  </si>
  <si>
    <t>Townsend, Kret
PO Box 720231
Dallas, TX 75372</t>
  </si>
  <si>
    <t>Goldberg, Sherry
4 Robledo Dr
Dallas, TX 75230</t>
  </si>
  <si>
    <t>McCall, Wil
917 Clear Springs Dr
DeSoto, TX 75115</t>
  </si>
  <si>
    <t>Rachael, Rosemary
4412 Taos Road
Dallas, TX 75209</t>
  </si>
  <si>
    <t>Ortman, Daniel
8106 San Leandro Dr
Dallas, TX 75218</t>
  </si>
  <si>
    <t>Boone, Garrett
4809 Cole Ave
Dallas, TX 75205</t>
  </si>
  <si>
    <t>Bryant Campaign, John
PO Box 140977
Dallas, TX 75214</t>
  </si>
  <si>
    <t>Albright, Law Office ofRoger
1701 N Collins Blvd
Richardson, TX 75080</t>
  </si>
  <si>
    <t>Sanders, Penny
3400 Wellborn
Dallas, TX 75219</t>
  </si>
  <si>
    <t>Garcia, Carmen
2500 McKinney
Dallas, TX 75201</t>
  </si>
  <si>
    <t>Lawler, Gary
5620 Live Oak
Dallas, TX 75206</t>
  </si>
  <si>
    <t>Bentley, Rick
5551 Vickery Blvd
Dallas, TX 75206</t>
  </si>
  <si>
    <t>Daniel, Theresa
2228 Springhill Dr
Dallas, TX 75228</t>
  </si>
  <si>
    <t>Schmidt, Rene
715 Parkmont
Dallas, TX 75214</t>
  </si>
  <si>
    <t>Staples, Geoffrey
911 St. Joseph St
Dallas, TX 75246</t>
  </si>
  <si>
    <t>Krider, Sue
3401 Lee Parkway
Dallas, TX 75219</t>
  </si>
  <si>
    <t>Heimberg, Martha
1523 Aabrams
Dallas, TX 75214</t>
  </si>
  <si>
    <t>Hearne, Connie
4436 Forest Bend Rd
Dallas, TX 75244</t>
  </si>
  <si>
    <t>Chase, J. Scott
1700 Pacific Ave
Dallas, TX 75201</t>
  </si>
  <si>
    <t>Pastora, Jose
5205 Brookview
Dallas, TX 75220</t>
  </si>
  <si>
    <t>Pastora, Melissa
5205 Brookview
Dallas, TX 75220</t>
  </si>
  <si>
    <t>Leyendecker, Mary
5542 Monticello
Dallas, TX 75206</t>
  </si>
  <si>
    <t>Williams, J. McDonald
10000 N. Central Expressway
Dallas, TX 75231</t>
  </si>
  <si>
    <t>Buskuhl, Joe
11615 High Forest
Dallas, TX 75230</t>
  </si>
  <si>
    <t>Shelton, Nancy
3913 Miramar
Dallas, TX 75205</t>
  </si>
  <si>
    <t>Gumby, Elizabeth
3209 Colgate
Dallas, TX 75225</t>
  </si>
  <si>
    <t>Brothers, Sandra
950 Brookdale Park
Lucas, TX 75002</t>
  </si>
  <si>
    <t>Minna, Lynn
3131 Maple Ave
Dallas, TX 75201</t>
  </si>
  <si>
    <t>Johnson, Eric
3535 Turtle Creek
Dallas, TX 75219</t>
  </si>
  <si>
    <t>Vanlandingham, Melanie
6311 Lakeshore
Dallas, TX 75214</t>
  </si>
  <si>
    <t>White, Martin
3525 Turtle Creek
Dallas, TX 75219</t>
  </si>
  <si>
    <t>Bracken, Robert
6114 Bryan Parkway
Dallas, TX 75206</t>
  </si>
  <si>
    <t>Kroeker, Charlotte
3525 Turtle Creek
Dallas, TX 75219</t>
  </si>
  <si>
    <t>Lyles, Larry
3601 Turtle Creek
Dallas, TX 75219</t>
  </si>
  <si>
    <t>Carroll, R.L.
6004 Bryan Parkway
Dallas, TX 75206</t>
  </si>
  <si>
    <t>Medrano, Pauline
2346 Douglas Ave
Dallas, TX 75219</t>
  </si>
  <si>
    <t>Weinberger, Nancy
4405 N. Hall
Dallas, TX 75219</t>
  </si>
  <si>
    <t>Chaney, Cal
5907 Swiss
Dallas, TX 75214</t>
  </si>
  <si>
    <t>Johnson, Carole
6856 Casa Loma Ave
Dallas, TX 75214</t>
  </si>
  <si>
    <t>Walthall, David
3505 Turtle Creek
Dallas, TX 75219</t>
  </si>
  <si>
    <t>Walthall, Elyce
3505 Turtle Creek
Dallas, TX 75219</t>
  </si>
  <si>
    <t>Campbell Revocable Trust, Elizabeth
PO Box 3417
Little Rock, AR 72203</t>
  </si>
  <si>
    <t>Hall, Craig
601 Gaylord Parkway
Frisco, TX 75034</t>
  </si>
  <si>
    <t>Hall, Kathryn
6801 Gaylord Parkway
Frisco, TX 75034</t>
  </si>
  <si>
    <t>Williams, Ellen
2801 Turtle Creek
Dallas, TX 75219</t>
  </si>
  <si>
    <t>Parks, Robert
6923 Santa Fe
Dallas, TX 75223</t>
  </si>
  <si>
    <t>Miller III, W.W.
3310 Fairmount
Dallas, TX 75201</t>
  </si>
  <si>
    <t>Garcia, Carmen
2500 McKinney Ave.
Dallas, TX 75201</t>
  </si>
  <si>
    <t>Lopez, Bridget
4326 Meadowdale
Dallas, TX 75229</t>
  </si>
  <si>
    <t>Transou, Lynda
6808 Coronado Ave
Dallas, TX 75214</t>
  </si>
  <si>
    <t>Rasansky, Mitchell
5498 LaSierra Dr.
Dallas, TX 75231</t>
  </si>
  <si>
    <t>Harsdorff, Chris
3310 Fairmount
Dallas, TX 75201</t>
  </si>
  <si>
    <t>Aberly Trust, Suzanne
3510 Turtle Creek
Dallas, TX 75219</t>
  </si>
  <si>
    <t>Walthall, Christopher
4100 Travis
Dallas, TX 75204</t>
  </si>
  <si>
    <t>Dean, David
PO Box 140039
Dallas, TX 75214</t>
  </si>
  <si>
    <t>Tenpenny, Joanne
PO Box 1899
Keller, TX 76244</t>
  </si>
  <si>
    <t>Amanda Schulz</t>
  </si>
  <si>
    <t>Tenpenny, Stephen
PO Box 1899
Keller, TX 76244</t>
  </si>
  <si>
    <t>Royce West Campaign Committee
330 S R L Thornton Frwy
Dallas, TX 75203</t>
  </si>
  <si>
    <t>Tennell Atkins</t>
  </si>
  <si>
    <t>Dennison, Brian
1303 Woodlawn Ave
Dallas, TX 75208</t>
  </si>
  <si>
    <t>Steinhart, Ronald
25 Robledo Dr
Dallas, TX 75230</t>
  </si>
  <si>
    <t>Trout, Elizabeth
5005 Willowood St
Dallas, TX 75205</t>
  </si>
  <si>
    <t>Rose, Deedie
5 Willowood St
Dallas, TX 75205</t>
  </si>
  <si>
    <t>Brooks, Vg
PO Box 1400092
Irving, TX 75014</t>
  </si>
  <si>
    <t>Sampson, DeMetris
PO Box 763834
Dallas, TX 75376-3834</t>
  </si>
  <si>
    <t>Talley, Olive
6133 Prospect Ave
Dallas, TX 75218</t>
  </si>
  <si>
    <t>Houston, Matthew
1504 Boca Chica Drive
Dallas, TX 75232</t>
  </si>
  <si>
    <t>Spellicy, Courtney
7117 Wake Forest Drive
Dallas, TX 75214</t>
  </si>
  <si>
    <t>MRR &amp; Associates LLC
400 N St. Paul St
Dallas, TX 75201</t>
  </si>
  <si>
    <t>Offutt, Larry
6038 Bryan Pkwy
Dallas, TX 75206</t>
  </si>
  <si>
    <t>Reyna, Josh
2921 Zach Scott St
Austin, TX 78723</t>
  </si>
  <si>
    <t>Correa, Andres
2100 Ross Ave
Dallas, TX 75201</t>
  </si>
  <si>
    <t>Mesa-Rogers, Lisa
111 N/a
Dallas, TX 11111</t>
  </si>
  <si>
    <t>Sanchez, Fabian
6203 Elam Rd
Dallas, TX 75217</t>
  </si>
  <si>
    <t>Micciche, Dan
1140 Bally Mote Dr
Dallas, TX 75218</t>
  </si>
  <si>
    <t>Vallejo, Brenda
1367 Cy Blackburn Circle
Dallas, TX 75217</t>
  </si>
  <si>
    <t>McGahan, Brian
3218 Urban Ave
Dallas, TX 75227</t>
  </si>
  <si>
    <t>Flores, Hector
1030 Tracy Ave
Duncanville, TX 75137</t>
  </si>
  <si>
    <t>Fetter, Evan
12900 Preston Rd
Dallas, TX 75230</t>
  </si>
  <si>
    <t>Access Buckner
3404 N Interstate 35E
Lancaster, TX 75134</t>
  </si>
  <si>
    <t>Schenkel, Pete
614 N Bishop
Dallas, TX 75206</t>
  </si>
  <si>
    <t>Walne, Joan
10020 Caribou Trail
Dallas, TX 75238</t>
  </si>
  <si>
    <t>Aaron, Carol
9707 Meadowbrook Drive
Dallas, TX 75220</t>
  </si>
  <si>
    <t>Abrams, Warren
11524 Saint Michaels Drive
Dallas, TX 75230</t>
  </si>
  <si>
    <t>Anderson, Barbara
14028 Brookcrest Dr
Dallas, TX 75240</t>
  </si>
  <si>
    <t>Anderson, Eric
2555 North Pearl Street
Dallas, TX 75201</t>
  </si>
  <si>
    <t>Andres, Debbie
7120 South Janmar Drive
Dallas, TX 75230</t>
  </si>
  <si>
    <t>Bach, Matthew
15746 Covewood Cir
Dallas, TX 75248</t>
  </si>
  <si>
    <t>Bagley, Ann
8139 Barbaree Boulevard
Dallas, TX 75228</t>
  </si>
  <si>
    <t>Baird, Jerry
6918 Lloyd Valley Ln
Dallas, TX 75230</t>
  </si>
  <si>
    <t>Beckerman, Neil
7001 Lake Edge Drive
Dallas, TX 75230</t>
  </si>
  <si>
    <t>Bell, Jay
14119 Regency Place
Dallas, TX 75254</t>
  </si>
  <si>
    <t>Belofsky, Joyce
6487 Cliffbrook Drive
Dallas, TX 75254</t>
  </si>
  <si>
    <t>Benanti, Megan
7507 Yamini Dr
Dallas, TX 75230</t>
  </si>
  <si>
    <t>BERWALD, ARTHUR
6251 Twin Oaks Circle
Dallas, TX 75240</t>
  </si>
  <si>
    <t>Billingsley, Henry
1722 Routh Street
Dallas, TX 75201</t>
  </si>
  <si>
    <t>Blasnik, Steven
12016 Arbargee Circle
Dallas, TX 75230</t>
  </si>
  <si>
    <t>Block, David
605 West 47th Street
Kansas City, MO 64112</t>
  </si>
  <si>
    <t>Blum, Jenifer
5818 Portsmouth Lane
Dallas, TX 75252</t>
  </si>
  <si>
    <t>Blum, Gary
PO Box 150154
Dallas, TX 75315</t>
  </si>
  <si>
    <t>Boa, Carol
7018 Briar Cove Drive
Dallas, TX 75254</t>
  </si>
  <si>
    <t>Whitman Bobbitt, Jeanne
4500 Roland Avenue
Dallas, TX 75219</t>
  </si>
  <si>
    <t>Bolding, Brent
302 S ROSEMONT AVE
Dallas, TX 75208</t>
  </si>
  <si>
    <t>Book, Robert
7191 Kendallwood Drive
Dallas, TX 75240</t>
  </si>
  <si>
    <t>Bowman, Susan
13358 Meadowside Drive
Dallas, TX 75240</t>
  </si>
  <si>
    <t>Bradley, John
7273 Ashington Dr
Dallas, TX 75225</t>
  </si>
  <si>
    <t>Bradley, Jerome
7273 Ashington Drive
Dallas, TX 75225</t>
  </si>
  <si>
    <t>Brodsky-Lyle, Lottye
34 Masland Circle
Dallas, TX 75230</t>
  </si>
  <si>
    <t>Brook, Cathy
16226 RED CEDAR TRL
Dallas, TX 75248</t>
  </si>
  <si>
    <t>Brosseau, John
11333 Chicot Drive
Dallas, TX 75230</t>
  </si>
  <si>
    <t>Cannon, Joe
1200 Main Street
Dallas, TX 75202</t>
  </si>
  <si>
    <t>Carroll, Mary
6519 Spring Valley Road
Dallas, TX 75254</t>
  </si>
  <si>
    <t>Carter, LD
7059 Spring Valley Road
Dallas, TX 75254</t>
  </si>
  <si>
    <t>Cedars, Susan
12135 Madeleine Circle
Dallas, TX 75230</t>
  </si>
  <si>
    <t>Chapman, Jeff
4851 Harrys Lane
Dallas, TX 75229</t>
  </si>
  <si>
    <t>chase, scott
1700 Pacific Avenue
Dallas, TX 75201</t>
  </si>
  <si>
    <t>Chizeck, Susan
7617 Meadowhaven Dr
Dallas, TX 75254</t>
  </si>
  <si>
    <t>Coats, Judy
26 Ryddington Place
Dallas, TX 75230</t>
  </si>
  <si>
    <t>Cohen, Mindy
7220 Mason Dells Drive
Dallas, TX 75230</t>
  </si>
  <si>
    <t>Cohen, Howard
1200 MEDICAL AVE STE
PLANO, TX 75075</t>
  </si>
  <si>
    <t>Cohen, Sandy
7030 South Janmar Drive
Dallas, TX 75230</t>
  </si>
  <si>
    <t>Cooper, Eli
7777 Glen America Drive
Dallas, TX 75225</t>
  </si>
  <si>
    <t>Cruse, Madge
17012 Village Lane
Dallas, TX 75248</t>
  </si>
  <si>
    <t>Davidoff, Michael
6925 Hill Forest Drive
Dallas, TX 75230</t>
  </si>
  <si>
    <t>Donaldson, Chuck
3210 Dartmoor Drive
Dallas, TX 75229</t>
  </si>
  <si>
    <t>Dunning, Tom
9239 Hathaway Street
Dallas, TX 75220</t>
  </si>
  <si>
    <t>Duplantis, Kandi
5202 Harbor Town Dr
Dallas, TX 75287</t>
  </si>
  <si>
    <t>Epstein, Bentzi
6107 Prestoncrest Ln
Dallas, TX 75230</t>
  </si>
  <si>
    <t>Erback, Linda
7731 Royal Lane
Dallas, TX 75230</t>
  </si>
  <si>
    <t>Estrada, Laura
1339 Cedar Hill Avenue
Dallas, TX 75208</t>
  </si>
  <si>
    <t>Feldman, Julie
7836 Midbury Drive
Dallas, TX 75230</t>
  </si>
  <si>
    <t>Fine, Pam
5825 Williamstown Rd.
Dallas, TX 75230</t>
  </si>
  <si>
    <t>Fisk, Susan
6554 Valleybrook
Dallas, TX 75254</t>
  </si>
  <si>
    <t>Forsythe-Lill, Veletta
622 Blair Blvd.
Dallas, TX 75223</t>
  </si>
  <si>
    <t>Fortenberry, Melody
11616 Saint Michaels Drive
Dallas, TX 75230</t>
  </si>
  <si>
    <t>Foxman, Ronald
6901 McKamy Blvd
Dallas, TX 75248</t>
  </si>
  <si>
    <t>Galbraith, Kyle
6142 Prestondell Place
Dallas, TX 75240</t>
  </si>
  <si>
    <t>Gast, Larry
57 Clermont Lane
St. Louis, MO 63124</t>
  </si>
  <si>
    <t>Gaubert, Thomas
1120 North Westmoreland Road
Dallas, TX 75211</t>
  </si>
  <si>
    <t>Ginsberg, Elizabeth
6172 Preston Haven Drive
Dallas, TX 75230</t>
  </si>
  <si>
    <t>Glendenning, Don
3401 lee pkwy
Dallas, TX 75219</t>
  </si>
  <si>
    <t>Goetz, Dan
6920 Midbury Drive
Dallas, TX 75230</t>
  </si>
  <si>
    <t>Goldberg, David
4124 Donnington Drive
Plano, TX 75093</t>
  </si>
  <si>
    <t>Goldberg, Neil
5530 Palomar Lane
Dallas, TX 75229</t>
  </si>
  <si>
    <t>Leopard Viola LLC
1901 N. Akard St
Dallas, TX 75201</t>
  </si>
  <si>
    <t>Kathy Stewart</t>
  </si>
  <si>
    <t>Myers, Charles
10336 Trailcliff Dr
Dallas, TX 75238</t>
  </si>
  <si>
    <t>Miller, Glenda
9624 Robin Meadow Dr
Dallas, TX 75243</t>
  </si>
  <si>
    <t>Miller, Barkley
9624 Robin Meadow Dr
Dallas, TX 75243</t>
  </si>
  <si>
    <t>Polma, Geoffrey
6133 Crestmont
Dallas, TX 75214</t>
  </si>
  <si>
    <t>Cox, Rita
7129 Tabor Dr
Dallas, TX 75231</t>
  </si>
  <si>
    <t>Watts, Jeannette
7132 Nandina Dr
Dallas, TX 75241</t>
  </si>
  <si>
    <t>Folsom, R Steve
16475 Dallas Parkway
Dallas, TX 75001</t>
  </si>
  <si>
    <t>Schenkel, Pat
614 N Bishop
Dallas, TX 75208</t>
  </si>
  <si>
    <t>Williams, Hiawatha
1014 Clifton Lane
Desoto, TX 75115</t>
  </si>
  <si>
    <t>Schenkel, Craig
3106 Stanford Ave
Dallas, TX 75225</t>
  </si>
  <si>
    <t>Volney, John
7047 Westlake Ave
Dallas, TX 75214</t>
  </si>
  <si>
    <t>The Preo Group, LLC
3503 Viburnum Drive
Wylie, TX 75098</t>
  </si>
  <si>
    <t>Access Buckner LTD
3404 N I-35
Lancaster, TX 75134</t>
  </si>
  <si>
    <t>Marian Brown for Sheriff
PO Box 851635
Mesquite, TX 75185</t>
  </si>
  <si>
    <t>Tsao, William
6922 Aspen Creek Ln
Dallas, TX 75202</t>
  </si>
  <si>
    <t>Chung, Kai Ray
2308 Morning Glory Dr
Richardson, TX 75082</t>
  </si>
  <si>
    <t>Ku, Charles
148 Red Oak Ln
Flower Mound, TX 75028</t>
  </si>
  <si>
    <t>Chen, Shihhsiu
1508 Adams Dr
Carrollton, TX 75010</t>
  </si>
  <si>
    <t>Huang, Chun
6178 Prestondell Dr
Dallas, TX 75240</t>
  </si>
  <si>
    <t>Ko, Eric
5916 Crownover Court
Plano, TX 75093</t>
  </si>
  <si>
    <t>Lin, Kathy
6515 Virginia Square
Arlington, TX 76017</t>
  </si>
  <si>
    <t>lee, helen
1417 chesterton dr
richardson, TX 75080</t>
  </si>
  <si>
    <t>Higley, Tina
1701 Arena Dr
Plano, TX 75025</t>
  </si>
  <si>
    <t>Chu, Anna
5201 Mariners Dr
Plano, TX 75093</t>
  </si>
  <si>
    <t>Gachman, Arnold
1229 Shady Oaks Lane
Fort Worth, TX 76107</t>
  </si>
  <si>
    <t>Billingsley, Henry
1722 Routh St
Dallas, TX 75201</t>
  </si>
  <si>
    <t>Lowenberg, Julie
2828 Hood
Dallas, TX 75219</t>
  </si>
  <si>
    <t>Zahra, Ed
1003 Valencia
Dallas, TX 75223</t>
  </si>
  <si>
    <t>Carpenter, Curt
4951 Victor
Dallas, TX 75214</t>
  </si>
  <si>
    <t>Naifeh, Sarah
4040 N. Hall St.
Dallas, TX 75219</t>
  </si>
  <si>
    <t>Talley, Olive
6133 Prospect Avenue
Dallas, TX 75214</t>
  </si>
  <si>
    <t>Scudder, Kendall
2175 Tucker
Dallas, TX 75214</t>
  </si>
  <si>
    <t>Mills, Roseanne
6906 Casa Loma
Dallas, TX 75214</t>
  </si>
  <si>
    <t>Donovan, Carol
6509 Malcolm
Dallas, TX 75214</t>
  </si>
  <si>
    <t>Drumm, Ann
2325 Centurion Ct.
Dallas, TX 75204</t>
  </si>
  <si>
    <t>Friedman, Brandon
500 Clermont Ave
Dallas, TX 75223</t>
  </si>
  <si>
    <t>Pomykal, Keith
3001 Sale
Dallas, TX 75219</t>
  </si>
  <si>
    <t>Byron, Alexandra
3509 Wells
Plano, TX 75093</t>
  </si>
  <si>
    <t>Peavey, Erin
5519 Richard
Dallas, TX 75206</t>
  </si>
  <si>
    <t>Pratt, Laura and David
5526 Morningside
Dallas, TX 75206</t>
  </si>
  <si>
    <t>Day, Paula
5011 Reiger
Dallas, TX 75214</t>
  </si>
  <si>
    <t>Chvosta, Jeanne
506 Cameron
Dallas, TX 75223</t>
  </si>
  <si>
    <t>Denison, Donna
6323 Lakeshore
Dallas, TX 75214</t>
  </si>
  <si>
    <t>Graham, Eric
5326 Junius
Dallas, TX 75214</t>
  </si>
  <si>
    <t>Lill, Veletta
622 Blair
Dallas, TX 75223</t>
  </si>
  <si>
    <t>Kearney, Kathleen
PO Box 192006
Dallas, TX 75219</t>
  </si>
  <si>
    <t>Parsons, David
5317 McCommas
Dallas, TX 75206</t>
  </si>
  <si>
    <t>Holleman, Virginia
5518 Merrimac
Dallas, TX 75206</t>
  </si>
  <si>
    <t>Bond, Theresa
1815 Loving Ave
Dallas, TX 75214</t>
  </si>
  <si>
    <t>KING, SALLY
5958 LEWIS ST
DALLAS, TX 75206</t>
  </si>
  <si>
    <t>Heald, Freda
6269 Oram
Dallas, TX 75214</t>
  </si>
  <si>
    <t>HAMPTON, JOANNA
5408 SWISS
DALLAS, TX 75214</t>
  </si>
  <si>
    <t>Termini, Raymond
3310 Fairmont St.
Dallas, TX 75201</t>
  </si>
  <si>
    <t>Satawake, Bob
5527 Druid Lane
Dallas, TX 75209</t>
  </si>
  <si>
    <t>Ginsberg, Carl
2905 Wellborn
Dallas, TX 75219</t>
  </si>
  <si>
    <t>West, Thomas
7027 E Grand
Dallas, TX 75223</t>
  </si>
  <si>
    <t>Alston, Norman
506 Monte Vista
Dallas, TX 75223</t>
  </si>
  <si>
    <t>Talkington, Kyle
3883 Turtle Creek
Dallas, TX 75219</t>
  </si>
  <si>
    <t>West, Chad
810 N. Bishop Ave
Dallas, TX 75208</t>
  </si>
  <si>
    <t>Sigler, Timothy
6553 Lake Circle
Dallas, TX 75214</t>
  </si>
  <si>
    <t>Foster, Roger
3118 Ross
Dallas, TX 75204</t>
  </si>
  <si>
    <t>Ehrhardt, Harryette
3525 Turtle Creek
Dallas, TX 75219</t>
  </si>
  <si>
    <t>Howells, Mary
6005 Swiss
Dallas, TX 75214</t>
  </si>
  <si>
    <t>Very, Libby
3525 Turtle Creek
Dallas, TX 75219</t>
  </si>
  <si>
    <t>Kingston, Melissa
5901 Belmont
Dallas, TX 75206</t>
  </si>
  <si>
    <t>Scudder, Kendall
PO Box 140981
Dallas, TX 75214</t>
  </si>
  <si>
    <t>Smith, William
3523 Turtle Creek
Dallas, TX 75219</t>
  </si>
  <si>
    <t>Roberts, Karen
502 Cameron
Dallas, TX 75223</t>
  </si>
  <si>
    <t>Hetzel, Jonathan
7002 Vivian
Dallas, TX 75223</t>
  </si>
  <si>
    <t>Pleasants, Chrystin
4920 Tremont
Dallas, TX 75214</t>
  </si>
  <si>
    <t>Love, John
6006 Vanderbilt
Dallas, TX 75206</t>
  </si>
  <si>
    <t>Willingham, Clark
3525 Turtle Creek
Dallas, TX 75219</t>
  </si>
  <si>
    <t>Clay, Barbara
8246 Forest Hills Blvd
Dallas, TX 75218</t>
  </si>
  <si>
    <t>Cable, Caron
PO Box 583
Canton, TX 75103</t>
  </si>
  <si>
    <t>Rogers, Kevin
6312 Bryan Parkway
Dallas, TX 75214</t>
  </si>
  <si>
    <t>Burk, Leland
8215 Westchester
Dallas, TX 75225</t>
  </si>
  <si>
    <t>Tenpenny, Stephen
1330 Willis Ln.
Keller, TX 76248</t>
  </si>
  <si>
    <t>Walne, Walter Alan
10020 Caribou Trail
Dallas, TX 75238</t>
  </si>
  <si>
    <t>Eubank, Karen
627 Valencia St.
Dallas, TX 75223</t>
  </si>
  <si>
    <t>Thomas, Jenny
6932 Santa Monica Dr.
Dallas, TX 75223</t>
  </si>
  <si>
    <t>Hasbany, Maria
3509 Hillbrook St.
Dallas, TX 75214</t>
  </si>
  <si>
    <t>Stauble, Julie
523 Clemont Ave.
Dallas, TX 75223</t>
  </si>
  <si>
    <t>Buckholt, Melanie
5419 Vickery Blvd.
Dallas, TX 75206</t>
  </si>
  <si>
    <t>Elam, Louise
8522 Vista View Dr.
Dallas, TX 75243</t>
  </si>
  <si>
    <t>ONeil, Alex
7107 Santa Fe Ave.
Dallas, TX 75223</t>
  </si>
  <si>
    <t>Salvaggio, Patricia
5701 Belmont Ave.
Dallas, TX 75206</t>
  </si>
  <si>
    <t>Crum, Christina
6006 Palo Pinto Ave.
Dallas, TX 75206</t>
  </si>
  <si>
    <t>Yates, Marian
1131 Amistad Dr.
Prosper, TX 75078</t>
  </si>
  <si>
    <t>Abtahi, Bobby
1126 North Zang Blvd.
Dallas, TX 75203</t>
  </si>
  <si>
    <t>Melnick, Susan
2316 Kessler Pkwy.
Dallas, TX 75208</t>
  </si>
  <si>
    <t>Callahan, Tena
7119 Santa Fe Ave.
Dallas, TX 75223</t>
  </si>
  <si>
    <t>Schulz, Theresa
807 Green Hills Rd.
Duncanville, TX 75137</t>
  </si>
  <si>
    <t>Marie, Katherine
6014 Velasco Ave.
Dallas, TX 75206</t>
  </si>
  <si>
    <t>Cross, Dania
226 Sylvia St.
Dallas, TX 75241</t>
  </si>
  <si>
    <t>Mitchell, Joy
908 Pavillion St.
Dallas, TX 75204</t>
  </si>
  <si>
    <t>Vaught, Donna
6122 Palo Pinto Ave.
Dallas, TX 75214</t>
  </si>
  <si>
    <t>Pickering Kushida, Lisa
15512 Morrison St.
Sherman Oaks, CA 91403</t>
  </si>
  <si>
    <t>Payne, William
5523 Monticello Ave.
Dallas, TX 75206</t>
  </si>
  <si>
    <t>Moss Cooper, Susan
9451 Hobart St.
Dallas, TX 75218</t>
  </si>
  <si>
    <t>Grimsley, Trisha
6006 Belmont Ave.
Dallas, TX 75206</t>
  </si>
  <si>
    <t>Ervin, Teri
5439 McCommas Blvd.
Dallas, TX 75206</t>
  </si>
  <si>
    <t>Syler, Terry
6661 Lakewood Blvd.
Dallas, TX 75214</t>
  </si>
  <si>
    <t>Adelman, Ellie
5519 Ellsworth Ave.
Dallas, TX 75206</t>
  </si>
  <si>
    <t>Isaly, Ellen
2923 Rambling Dr.
Dallas, TX 75228</t>
  </si>
  <si>
    <t>Berman, Marcy
3915 Azure Ln.
Addison, TX 75001</t>
  </si>
  <si>
    <t>Henry, Clayton
9322 Moss Trail
Dallas, TX 75231</t>
  </si>
  <si>
    <t>Gersch, John
5939 Belmont Ave.
Dallas, TX 75206</t>
  </si>
  <si>
    <t>imburgia, regina
5423 Goodwin Ave.
dallas, TX 75206</t>
  </si>
  <si>
    <t>Howard, Carolyn
7247 Stefani Dr.
Dallas, TX 75225</t>
  </si>
  <si>
    <t>Bratton, Vince
4738 Hallmark Dr.
Dallas, TX 75229</t>
  </si>
  <si>
    <t>Rauscher, Leslie
6227 Malcom Dr.
Dallas, TX 75214</t>
  </si>
  <si>
    <t>Blair, Ed
4130 Herschel Ave.
Dallas, TX 75219</t>
  </si>
  <si>
    <t>Cox, Brad
4514 Cole Ave.
Dallas, TX 75205</t>
  </si>
  <si>
    <t>Lacy, John Ford
3710 Shenandoah St.
Dallas, TX 75205</t>
  </si>
  <si>
    <t>Gruber, Mike
1918 Olive St.
Dallas, TX 75201</t>
  </si>
  <si>
    <t>Emmons, Kyle
4805 McKinney Ave.
Dallas, TX 75205</t>
  </si>
  <si>
    <t>Sands, John
3417 Cornell Ave.
Dallas, TX 75205</t>
  </si>
  <si>
    <t>Youngberg, Carrie
6342 Vanderbilt Ave.
Dallas, TX 75214</t>
  </si>
  <si>
    <t>Allums, Marvin
5939 Palo Pinto Ave.
Dallas, TX 75206</t>
  </si>
  <si>
    <t>Claybrook, Dee
6842 Casa Loma Ave.
Dallas, TX 75214</t>
  </si>
  <si>
    <t>Schlosser, Rodney
6336 Tulip Ln.
Dallas, TX 75230</t>
  </si>
  <si>
    <t>Kelly, Elley
5820 Palo Pinto Ave.
Dallas, TX 75206</t>
  </si>
  <si>
    <t>Pittman, Caleb
2346 Victory Park Ln.
Dallas, TX 75219</t>
  </si>
  <si>
    <t>Reed, Scott
5822 Lakehurst Ave.
Dallas, TX 75230</t>
  </si>
  <si>
    <t>Kao, Linda
5455 Castlewood Rd.
Dallas, TX 75229</t>
  </si>
  <si>
    <t>Bush, Lori
4247 Lively Ln.
Dallas, TX 75220</t>
  </si>
  <si>
    <t>Davis, Lauren
7130 Mimosa Ln.
Dallas, TX 75230</t>
  </si>
  <si>
    <t>Fleury, Lisa
5806 Marquita Ave.
Dallas, TX 75206</t>
  </si>
  <si>
    <t>Mortimer, Samuel
1623 Main St.
Dallas, TX 75201</t>
  </si>
  <si>
    <t>Scullion, Dennis
5815 Belmont Ave.
Dallas, TX 75206</t>
  </si>
  <si>
    <t>Williams, William
3902 Thornhill Way
Rowlett, TX 75088</t>
  </si>
  <si>
    <t>Lunceford, Michael
4440 Shady Hill Dr.
Dallas, TX 75229</t>
  </si>
  <si>
    <t>Minear, Kimberly
6002 Belmont Ave.
Dallas, TX 75206</t>
  </si>
  <si>
    <t>Melnick, Susan
2316 Kesslery Pkwy.
Dallas, TX 75208</t>
  </si>
  <si>
    <t>Campagna, Anthony
726 Paulus Ave.
Dallas, TX 75214</t>
  </si>
  <si>
    <t>Elkins, Vera
4840 Worth St.
Dallas, TX 75246</t>
  </si>
  <si>
    <t>Spellicy, Courtney
7117 Wake Forrest Dr.
Dallas, TX 75214</t>
  </si>
  <si>
    <t>Deason, Darwin
9203 Esplanade Dr.
Dallas, TX 75220</t>
  </si>
  <si>
    <t>Deason, Douglas
10134 Waller Dr.
Dallas, TX 75229</t>
  </si>
  <si>
    <t>Deason, Kimberly
9203 Esplanade Dr.
Dallas, TX 75220</t>
  </si>
  <si>
    <t>Pick, Jacki
10134 Waller Dr.
Dallas, TX 75229</t>
  </si>
  <si>
    <t>Dharmagunaratne, Charaka
4530 Victor St.
Dallas, TX 75246</t>
  </si>
  <si>
    <t>Sones, Graham
468 Easton Rd.
Dallas, TX 75218</t>
  </si>
  <si>
    <t>Lyle, Bobby
34 Masland Cir.
Dallas, TX 75230</t>
  </si>
  <si>
    <t>Howard, Zachery
5923 Belmont Ave.
Dallas, TX 75206</t>
  </si>
  <si>
    <t>Haden, Carrie
6331 Mercedes Ave.
Dallas, TX 75214</t>
  </si>
  <si>
    <t>Desler, Amy
5700 Winton St.
Dallas, TX 75206</t>
  </si>
  <si>
    <t>Elliott, Jill
3130 Sperry St.
Dallas, TX 75214</t>
  </si>
  <si>
    <t>Lewis, Jeanne
3604 Princeton Ave.
Dallas, TX 75205</t>
  </si>
  <si>
    <t>Love, Alicia
6006 Vanderbilt Ave
Dallas, TX 75206</t>
  </si>
  <si>
    <t>Degroot, Michael
7014 Coronado
Dallas, TX 75214</t>
  </si>
  <si>
    <t>Isaly, Ellen
PO Box 570177
Dallas, TX 75357</t>
  </si>
  <si>
    <t>Sage, Geyden
PO Box 59291
Dallas, TX 75229</t>
  </si>
  <si>
    <t>Modell, Cynthia
5215 Homer
Dallas, TX 75206</t>
  </si>
  <si>
    <t>Craig, Christopher
5837 Victor
Dallas, TX 75214</t>
  </si>
  <si>
    <t>Jackson, Joan
6033 Penrose
Dallas, TX 75206</t>
  </si>
  <si>
    <t>OKane, James
760 W Main
Barrington, IL 60010</t>
  </si>
  <si>
    <t>Hines, David
5415 Morningside
Dallas, TX 75206</t>
  </si>
  <si>
    <t>Watson, Marcus
12 W Leary
Columbus, OH 43215</t>
  </si>
  <si>
    <t>Zahra, Edward
1003 Valencia
Dallas, TX 75223</t>
  </si>
  <si>
    <t>Keith, Walter
5914 Bryan Pkwy
Dallas, TX 75206</t>
  </si>
  <si>
    <t>Quimby, Marcel
7001 Hammond
Dallas, TX 75223</t>
  </si>
  <si>
    <t>Hull, Robert
3510 Turtle Creek
Dallas, TX 75219</t>
  </si>
  <si>
    <t>Ladd, Bobby
4616 St Johns
Dallas, TX 75205</t>
  </si>
  <si>
    <t>Hebeler, Rulan
3600 Lexington
Dallas, TX 75205</t>
  </si>
  <si>
    <t>Connell, James
5115 Victor St
Dallas, TX 75214</t>
  </si>
  <si>
    <t>Wright, Robert
2361 Allen St
Dallas, TX 75204</t>
  </si>
  <si>
    <t>Stauffer, Brett
2920 State
Dallas, TX 75204</t>
  </si>
  <si>
    <t>Mazero, John
6914 La Vista
Dallas, TX 75214</t>
  </si>
  <si>
    <t>Brunker, Douglas
2502 Live Oak
Dallas, TX 75204</t>
  </si>
  <si>
    <t>Davis, Dary
1914 Skillman
Dallas, TX 75206</t>
  </si>
  <si>
    <t>Considine, Carol
7230 Westlake
Dallas, TX 75214</t>
  </si>
  <si>
    <t>Rieves, Mark
5530 Goodwin
Dallas, TX 75206</t>
  </si>
  <si>
    <t>Kitchell, Ellen
3939 Buena Vista
Dallas, TX 75204</t>
  </si>
  <si>
    <t>Linder, Kenneth
6305 E Lovers Lane
Dallas, TX 75214</t>
  </si>
  <si>
    <t>Kozmetsky, Cynthia
3510 Turtle Creek
Dallas, TX 75219</t>
  </si>
  <si>
    <t>Meckfessel, Robert
1427 Haines
Dallas, TX 75208</t>
  </si>
  <si>
    <t>Enloe, Ted
3510 Turtle Creek
Dallas, TX 75219</t>
  </si>
  <si>
    <t>Enloe, Bess
3500 Turtle Creek
Dallas, TX 75219</t>
  </si>
  <si>
    <t>Enloe, Robert
3510 Turtle Creek
Dallas, TX 75219</t>
  </si>
  <si>
    <t>Riemer, Carol
5610 Monticello
Dallas, TX 75206</t>
  </si>
  <si>
    <t>Maclean, Leslie
3310 Fairmont
Dallas, TX 75201</t>
  </si>
  <si>
    <t>Hansen, Wendell
3813 Wentwood
Dallas, TX 75225</t>
  </si>
  <si>
    <t>Bach, Mathew
15746 Covewood Cir
Dallas, TX 75225</t>
  </si>
  <si>
    <t>Andersen, Jeffry
503 Monte Vista
Dallas, TX 75223</t>
  </si>
  <si>
    <t>Bober, Joanne
3510 Turtle Creek
Dallas, TX 75219</t>
  </si>
  <si>
    <t>Chase, Scott
1200 Pacific
Dallas, TX 75201</t>
  </si>
  <si>
    <t>Shaffer, Richard
3131 Maple
Dallas, TX 75219</t>
  </si>
  <si>
    <t>Dixon, Drew
5909 Winton
Dallas, TX 75206</t>
  </si>
  <si>
    <t>McCreery, Roxanne
7035 Coronado Ave
Dallas, TX 75214</t>
  </si>
  <si>
    <t>Levy, Carol
5839 Desco
Dallas, TX 75225</t>
  </si>
  <si>
    <t>Terry, Phillip
1028 Glen Echo Ct
Dallas, TX 75238</t>
  </si>
  <si>
    <t>Lowenberg, Julie &amp; Michael
2828 Hood
Dallas, TX 75219</t>
  </si>
  <si>
    <t>Post, Kraig
5402 Tremont
Dallas, TX 75214</t>
  </si>
  <si>
    <t>Bond, Teresa
1815 Loving
Dallas, TX 75214</t>
  </si>
  <si>
    <t>Hill, Jennifer
6915 San Mateo Blvd
Dallas, TX 75223</t>
  </si>
  <si>
    <t>Kender, Randall
4116 Stonebridge
Dallas, TX 75204</t>
  </si>
  <si>
    <t>Davis, Gregory
3615 Gillespie
Dallas, TX 75219</t>
  </si>
  <si>
    <t>Nash, Kelly
6327 Vickery Blvd
Dallas, TX 75214</t>
  </si>
  <si>
    <t>Mills, Rosanne
6906 Casa Loma Ave
Dallas, TX 75214</t>
  </si>
  <si>
    <t>Silhan, Gailya
6918 Patricia
Dallas, TX 75223</t>
  </si>
  <si>
    <t>Mueller, Pamela
5928 Marquita Ave
Dallas, TX 75206</t>
  </si>
  <si>
    <t>Beitler, Patrick
1218 Elmwood Blvd
Dallas, TX 75224</t>
  </si>
  <si>
    <t>Cusimano, Leo
1619 Sylvan Ave.
Dallas, TX 75208</t>
  </si>
  <si>
    <t>Davis, Amy
1106 N. Clinton Ave
Dallas, TX 75208</t>
  </si>
  <si>
    <t>Dismore, Socorro
1860 Masters Dr.
Dallas, TX 75115</t>
  </si>
  <si>
    <t>Estrada, Laura
1339 Cedar Hill Ave.
Dallas, TX 75208</t>
  </si>
  <si>
    <t>Goodwin, Elisa
2310 Broken Point
McKinney, TX 75702</t>
  </si>
  <si>
    <t>Hamilton, Jane Hope
623 Aspen Valley Ln.
Dallas, TX 75208</t>
  </si>
  <si>
    <t>Huerta, Junior
2135 Elmwood Blvd
Dallas, TX 75224</t>
  </si>
  <si>
    <t>Long, William
3500 Kim Dr.
Irving, TX 75061</t>
  </si>
  <si>
    <t>Krochtengel, Zachary
17014 Preston Bend Dr.
Dallas, TX 75248</t>
  </si>
  <si>
    <t>Leal, Rolando
414 N. Casa Grande Cir.
Duncanville, TX 75116</t>
  </si>
  <si>
    <t>Andres, Sarah
PO Box 17428
Austin, TX 78760</t>
  </si>
  <si>
    <t>Lopez, Bridget
4326 Meadowdale Ln.
Dallas, TX 75229</t>
  </si>
  <si>
    <t>Orr, Marci
211 S. Tyler St.
Dallas, TX 75224</t>
  </si>
  <si>
    <t>Owens, Gerald
1508 Winding Hollow Ln.
Plano, TX 75093</t>
  </si>
  <si>
    <t>Ridley, Paul
5100 Victor St.
Dallas, TX 75214</t>
  </si>
  <si>
    <t>Santa Maria, Arthur
785 Huntingdon St.
Coppell, TX 76501</t>
  </si>
  <si>
    <t>Thorne, Harold
3550 Gifco Rd.
Midlothian, TX 76065</t>
  </si>
  <si>
    <t>Sievers, Lisa
8238 Barbaree Blvd.
Dallas, TX 75228</t>
  </si>
  <si>
    <t>Smades, David
732 Kessler Lake Dr.
Dallas, TX 75208</t>
  </si>
  <si>
    <t>Addy, Lydia
3805 Normandy Ave.
Dallas, TX 75205</t>
  </si>
  <si>
    <t>Addy, William
3805 Normandy Ave.
Dallas, TX 75205</t>
  </si>
  <si>
    <t>Crow, Katherine
4700 Preston Rd.
Dallas, TX 75205</t>
  </si>
  <si>
    <t>Valach, Ken
5 Lazee Trail
Houston, TX 77024</t>
  </si>
  <si>
    <t>Baum, Zachary
PO Box 587
East Setauket, NY 11733</t>
  </si>
  <si>
    <t>Bryant, Kevin
4463 Brookview Dr.
Dallas, TX 75220</t>
  </si>
  <si>
    <t>Crow, Harlan
3819 Maple Ave.
Dallas, TX 75219</t>
  </si>
  <si>
    <t>Ellison, Brock
6405 Marquett Dr.
Rowlett, TX 75089</t>
  </si>
  <si>
    <t>Gonzalez, Crystal
6231 Meadow Rd.
Dallas, TX 75230</t>
  </si>
  <si>
    <t>Connatser, Becky
815 W. Greenbriar Ln.
Dallas, TX 75208</t>
  </si>
  <si>
    <t>Edgemon, Christopher
5540 Farquhar
Dallas, TX 75209</t>
  </si>
  <si>
    <t>Greenhouse, Clyde
1129 N. Beckley Ave
Dallas, TX 75208</t>
  </si>
  <si>
    <t>Kemble, Steve
2206 Marilla St.
Dallas, TX 75201</t>
  </si>
  <si>
    <t>McLaren, Jill
6051 Kenwood Ave.
Dallas, TX 75206</t>
  </si>
  <si>
    <t>Worden, Lawrence
2019 Old Orchard Dr.
Dallas, TX 75230</t>
  </si>
  <si>
    <t>Wynne, Ed
1225 Lausanne Ave
Dallas, TX 75208</t>
  </si>
  <si>
    <t>Hampton, Logan
2501 N. Harwood St.
Dallas, TX 75201</t>
  </si>
  <si>
    <t>Hellyar, Nicholas
2368 Rice Blvd
Houston, TX 77005</t>
  </si>
  <si>
    <t>Lawrence, Dianna
1905 Mar West St.
Tiburon, CA 94920</t>
  </si>
  <si>
    <t>Linburg, Heather
5619 Purdue Ave.
Dallas, TX 75209</t>
  </si>
  <si>
    <t>Rouse, Will
2501 N. Harwood St.
Dallas, TX 75201</t>
  </si>
  <si>
    <t>Kingston, Melissa
5901 Palo Pinto Ave.
Dallas, TX 75206</t>
  </si>
  <si>
    <t>McGinnis, Gayla
4144 N Central Expwy.
Dallas, TX 75204</t>
  </si>
  <si>
    <t>Bhatt, Rohan
5932 Rosebud Dr.
Dallas, TX 75252</t>
  </si>
  <si>
    <t>Culak, Chris
1223 Kings Hwy.
Dallas, TX 75208</t>
  </si>
  <si>
    <t>Huerta, Daniel
1414 Cedar Hill Ave.
Dallas, TX 75208</t>
  </si>
  <si>
    <t>Jenkins, Mary Ann
744 S. Manus Dr.
Dallas, TX 75224</t>
  </si>
  <si>
    <t>Spence, Gary
1921 Marydale Dr.
Dallas, TX 75208</t>
  </si>
  <si>
    <t>Ardendorff, Justin
3508 Bryn Mawr Dr.
Dallas, TX 75225</t>
  </si>
  <si>
    <t>Banerjee, Doug
6911 Ellsworth Ave.
Dallas, TX 75214</t>
  </si>
  <si>
    <t>Coffee, Ben
2169 Kessler Ct.
Dallas, TX 75208</t>
  </si>
  <si>
    <t>Cryer, Byron
627 Kessler Lake Dr
Dallas, TX 75208</t>
  </si>
  <si>
    <t>Hicks, Tiffany
740 Rainbow Dr.
Dallas, TX 75208</t>
  </si>
  <si>
    <t>Johnson, Eric
3525 Turtle Creek Blvd.
Dallas, TX 75219</t>
  </si>
  <si>
    <t>Lamb, Sarah
5630 Willis Ave.
Dallas, TX 75206</t>
  </si>
  <si>
    <t>Linburg, Angela
4660 N. Versailles Ave.
Dallas, TX 75209</t>
  </si>
  <si>
    <t>Nightengale, Krista
1623 Main St.
Dallas, TX 75201</t>
  </si>
  <si>
    <t>Orr, Benjamin
518 N. Manus Dr.
Dallas, TX 75222</t>
  </si>
  <si>
    <t>Perez, Joel
1303 Lansford Ave.
Dallas, TX 75224</t>
  </si>
  <si>
    <t>Smith, Suzanne
3210 Carlisle St.
Dallas, TX 75204</t>
  </si>
  <si>
    <t>White, David
15750 Spectrum Dr.
Addison, TX 75001</t>
  </si>
  <si>
    <t>Wood, Megan
5121 Southbrook Dr.
Dallas, TX 75209</t>
  </si>
  <si>
    <t>Zielinski, Tom
2717 Conflans Rd.
Irving, TX 75061</t>
  </si>
  <si>
    <t>Hewitt, Kathy
1410 Yakimo Dr.
Dallas, TX 75208</t>
  </si>
  <si>
    <t>Homan, Katherine
1629 Handley Dr.
Dallas, TX 75208</t>
  </si>
  <si>
    <t>Headington, Timothy
1608 Main St.
Dallas, TX 75201</t>
  </si>
  <si>
    <t>Matthews, John
320 W. Main St.
Lewisville, TX 75057</t>
  </si>
  <si>
    <t>Owen, Jennifer
6541 Arborist Ln.
Dallas, TX 75214</t>
  </si>
  <si>
    <t>Weempe, Jane
1316 W. Canterbury Ct.
Dallas, TX 75208</t>
  </si>
  <si>
    <t>Ginsburg, Harold
2610 Fairmount St.
Dallas, TX 75201</t>
  </si>
  <si>
    <t>Hancock, Barry
3843 Maplewood Ave.
Dallas, TX 75205</t>
  </si>
  <si>
    <t>Anderson, Carl
2929 Carlisle St.
Dallas, TX 75204</t>
  </si>
  <si>
    <t>Schenkel, Stephen
3610 Turtle Creek Blvd.
Dallas, TX 75219</t>
  </si>
  <si>
    <t>Schenkel, Craig
3105 Stanford Avenue
Dallas, TX 75225</t>
  </si>
  <si>
    <t>Lindegaard, Joanna
133 E De La Guerra St
Santa Barbara, CA 93101</t>
  </si>
  <si>
    <t>Roberts, Craig
3306 Stanford Avenue
Dallas, TX 75205</t>
  </si>
  <si>
    <t>Schenkel, Pete
614 N Bishop
Dallas, TX 75208</t>
  </si>
  <si>
    <t>Pitts, Jim
3525 Turtle Creek Blvd.
Dallas, TX 75219</t>
  </si>
  <si>
    <t>Crow, Trammell
4000 Rock Creek Drive
Dallas, TX 75204</t>
  </si>
  <si>
    <t>SWA Freedom Fund PAC
PO Box 36611
Dallas, TX 75235</t>
  </si>
  <si>
    <t>Johnson, Willis
1700 Pacific Ave
Dallas, TX 75201</t>
  </si>
  <si>
    <t>Adams, James
1201 Elm Street
Dallas, TX 75270</t>
  </si>
  <si>
    <t>Tran, Jimmy
5024 Denton Dr
Dallas, TX 75235</t>
  </si>
  <si>
    <t>Bufford, Quontinetta
2500 N. Houston Street
Dallas, TX 75219</t>
  </si>
  <si>
    <t>Leal, Chris
1777 N Record St
Dallas, TX 75202</t>
  </si>
  <si>
    <t>Lill, Veletta
622 Blair Blvd
Dallas, TX 75223</t>
  </si>
  <si>
    <t>Boone, Garrett
2417 Loving Ave
Dallas, TX 75214</t>
  </si>
  <si>
    <t>Carter, Tanya
2228 Colony Court
Dallas, TX 75235</t>
  </si>
  <si>
    <t>Reichert, Veronica
3924 Kimballdale Drive
Dallas, TX 75233</t>
  </si>
  <si>
    <t>Davis, Macy
8322 Ridgelea St
Dallas, TX 75209</t>
  </si>
  <si>
    <t>Santa-Maria, Arrthur
785 Huntingdon St
Coppell, TX 75019</t>
  </si>
  <si>
    <t>Rodriguez, Minerva
1036 Opal Drive
Despot, TX 75115</t>
  </si>
  <si>
    <t>Bryant, Kevin
4463 Brookview Drive
Dallas, TX 75220</t>
  </si>
  <si>
    <t>Walker, Melody
127 Oakwood Lane
Hickory Creek, TX 75065</t>
  </si>
  <si>
    <t>Blanco, Erica
419 S Garrett Ave
Dallas, TX 75223</t>
  </si>
  <si>
    <t>Heinbaugh, Chris
1801 Annex Ave
Dallas, TX 75204</t>
  </si>
  <si>
    <t>Holmes, Jesse
2107 Canton Street
Dallas, TX 75201</t>
  </si>
  <si>
    <t>Magins, Ellen
5511 Preston Fairways Dr.
Dallas, TX 75252</t>
  </si>
  <si>
    <t>Smith, Suzanne
3210 Carlisle
Dallas, TX 75204</t>
  </si>
  <si>
    <t>Carnahan, Andrew
4411 Bowser Ave
Dallas, TX 75219</t>
  </si>
  <si>
    <t>Mortimer, Samuel
1623 Main St
Dallas, TX 75201</t>
  </si>
  <si>
    <t>Havlick, Mita
5331 Monticello Ave.
Dallas, TX 75206</t>
  </si>
  <si>
    <t>Hunt, Ray
1900 North Akard Street
Dallas, TX 75201</t>
  </si>
  <si>
    <t>John Bryant Campaign
PO Box 140977
Dallas, TX 75214</t>
  </si>
  <si>
    <t>Reardon, John
6405 E Grand
Dallas, TX 75223</t>
  </si>
  <si>
    <t>Linville, Stephen
5023 Maple Springs Blvd.
Dallas, TX 75235</t>
  </si>
  <si>
    <t>Ward, Erik
3825 Mcfarlin Blvd
Dallas, TX 75205</t>
  </si>
  <si>
    <t>Gray, Gary
PO Box 140977
Dallas, TX 75214</t>
  </si>
  <si>
    <t>Hetzel, Jonathan
7002 Vivian Ave
Dallas, TX 75223</t>
  </si>
  <si>
    <t>Nedler, Donald
8703 Allen Brook Ct
Dallas, TX 75243</t>
  </si>
  <si>
    <t>Dominguez, Dorene
8850 Vista De Lago Ct
Granite Bay, CA 95746</t>
  </si>
  <si>
    <t>Eharhardt, Harryette
3525 Turtle Creek Blvd
Dallas, TX 75219</t>
  </si>
  <si>
    <t>Solares, George
5203 Junius St
Dallas, TX 75214</t>
  </si>
  <si>
    <t>Linebarger Noggin Blair &amp; Sampson, LLP
PO Box 17428
Austin, TX 78760</t>
  </si>
  <si>
    <t>Garza, Jorge
2231 Hondo Ave
Dallas, TX 75219</t>
  </si>
  <si>
    <t>Vasquez, Mary
1709 East Ave
Katy, TX 77493</t>
  </si>
  <si>
    <t>Aranza, Anthony
1507 Stonehenge Bend Dr
Houston, TX 77072</t>
  </si>
  <si>
    <t>Aranza, Humberto
3105 SanJacinto St
Dallas, TX 75204</t>
  </si>
  <si>
    <t>Montfort, Jesus
1610 hyland Greens Dr
Grapevine, TX 76051</t>
  </si>
  <si>
    <t>Montfort, Jane
1610 Hyland Greens Dr
Grapevine, TX 76051</t>
  </si>
  <si>
    <t>Crow, Harlen
3819 Maple Ave
Dallas, TX 75219</t>
  </si>
  <si>
    <t>Valach, Kenneth
5 Lazee Trl
Houston, TX 77024</t>
  </si>
  <si>
    <t>Crow, Katherine
4700 Preston Rd
Dallas, TX 75205</t>
  </si>
  <si>
    <t>Crow, Trammell
4000 Rock Creek Dr
Dallas, TX 75204</t>
  </si>
  <si>
    <t>Hampton, Joanna
5408 Swiss Ave
Dallas, TX 75214</t>
  </si>
  <si>
    <t>Southwest Airlines Co. Freedom Fund
PO Box 36611
Dallas, TX 75235</t>
  </si>
  <si>
    <t>Urban, Mr Mrs Carlos
6834 Victoria
Dallas, TX 75209</t>
  </si>
  <si>
    <t>Monica R Alonzo</t>
  </si>
  <si>
    <t>Morales, Mayra
6834 Victoria
Dallas, TX 75209</t>
  </si>
  <si>
    <t>Carrillo, Mr Mrs Ricardo
2615 Buckner Blvd
Dallas, TX 75227</t>
  </si>
  <si>
    <t>Coats and Rose
9 Greenway Plaza, Suite 1000
Dallas, TX 77046</t>
  </si>
  <si>
    <t>Gutierrez, Victor B
13935 N Central Expressway
Dallas, TX 75243</t>
  </si>
  <si>
    <t>King, Kenneth
1447 Hwy 75 S.
Dallas, TX 75831</t>
  </si>
  <si>
    <t>Zavala, Mr Mrs Jose
9978 Bowman
Dallas, TX 75220</t>
  </si>
  <si>
    <t>Flanagan, Lashonda
646 Grovemeadow
Arlington, TX 75061</t>
  </si>
  <si>
    <t>COX, Bill
9304 9304 LOCARNO
Dallas, TX 75243</t>
  </si>
  <si>
    <t>Andre Turner</t>
  </si>
  <si>
    <t>ROGERS, JOYCE
8355 South Saint Lawrence
Chicago, IL 60619</t>
  </si>
  <si>
    <t>contributor, my
PO Box 111
Dallas, TX 77777</t>
  </si>
  <si>
    <t>david allen</t>
  </si>
  <si>
    <t>Montgomery, Sally
13801 midway
Dallas, TX 75244</t>
  </si>
  <si>
    <t>Sidney Robles Martinez</t>
  </si>
  <si>
    <t>Goode, Claudia
9757 Wisterwood
Dallas, TX 75238</t>
  </si>
  <si>
    <t>Stevenson, Frank
5346 Weninah Dr.
Dallas, TX 75209</t>
  </si>
  <si>
    <t>Blair, Brennan
706 Dumont
Dallas, TX 75214</t>
  </si>
  <si>
    <t>Brown, Kile
9611 Crestedge
Dallas, TX 75238</t>
  </si>
  <si>
    <t>Cavin, Bonnie
10924 Cactus Lane
Dallas, TX 75238</t>
  </si>
  <si>
    <t>Abtahi, Bobby
1126 N. Zang
Dallas, TX 75203</t>
  </si>
  <si>
    <t>Dean, John
7319 Hundley
Dallas, TX 75231</t>
  </si>
  <si>
    <t>Jennings, KP
1787 Angus Ridge Dr.
Kernersville, NC 27284</t>
  </si>
  <si>
    <t>Arends, Susan
10149 Trailpine Dr.
Dallas, TX 75231</t>
  </si>
  <si>
    <t>Moomaw, Christal
8115 Windy Terrace Cr.
Dallas, TX 75231</t>
  </si>
  <si>
    <t>Clapp, Patti
8418 Trail Hill Dr.
Dallas, TX 75238</t>
  </si>
  <si>
    <t>Halstead, Fred
130 Pinnacle Club Dr
Mabank, TX 75156</t>
  </si>
  <si>
    <t>Halstead, Donna
130 Pinnacle Club Dr
Mabank, TX 75156</t>
  </si>
  <si>
    <t>Michael, Cox
6007 Glencove St
Houston, TX 77007</t>
  </si>
  <si>
    <t>Gerteisen, Glenda
9920 Robin Hill Lane
Dallas, TX 75238</t>
  </si>
  <si>
    <t>Dupre, Dallas
9310 Emberglow Lane
Dallas, TX 75243</t>
  </si>
  <si>
    <t>Kitty, Maxey
9207 Shoreview Rd.
Dallas, TX 75238</t>
  </si>
  <si>
    <t>Baird, Connie
9603 Viewside
Dallas, TX 75231</t>
  </si>
  <si>
    <t>Counts, Jackie
9615 Viewside Dr.
Dallas, TX 75231</t>
  </si>
  <si>
    <t>Tabor, Mary
7405 Craigshire
Dallas, TX 75231</t>
  </si>
  <si>
    <t>Schenkel, Pete
4231 Belclaire Ave
Dallas, TX 75205</t>
  </si>
  <si>
    <t>Montfort, Jesus
1610 Hyland Greens Dr.
Grapevine, TX 76051</t>
  </si>
  <si>
    <t>Montfort, Jane
1610 Hyland Greens Dr.
Grapevine, TX 76051</t>
  </si>
  <si>
    <t>Locke Lord LLP
2200 Ross Ave 2200
Dallas, TX 75201</t>
  </si>
  <si>
    <t>Crawford, Robin
10025 Estate Lane
Dallas, TX 75238</t>
  </si>
  <si>
    <t>Peters, Paul
3905 Centenary Ave
Dallas, TX 75225</t>
  </si>
  <si>
    <t>Peters, Deette
3905 Centenary Ave
Dallas, TX 75225</t>
  </si>
  <si>
    <t>McClendon, Lynn
9030 Dunmore Dr.
Dallas, TX 75231</t>
  </si>
  <si>
    <t>McCurdy, Jane
9339 Faircrest
Dallas, TX 75238</t>
  </si>
  <si>
    <t>Haussler, Eleanor
9062 Ridgeway Close
Cincinnati, OH 45236</t>
  </si>
  <si>
    <t>Sanders, Trudy
8916 Vista View
Dallas, TX 75243</t>
  </si>
  <si>
    <t>Allen, Jerry
9426 Dartcrest
Dallas, TX 75238</t>
  </si>
  <si>
    <t>Koch, Cinda
9907 Capridge
Dallas, TX 75238</t>
  </si>
  <si>
    <t>Bucki, Lelani
8056 Forest Trail
Dallas, TX 75238</t>
  </si>
  <si>
    <t>Slade, Katherine
5328 Waneta Dr
Dallas, TX 75209</t>
  </si>
  <si>
    <t>Whisnant, Cliff
8727 Thunderbird Ln
Dallas, TX 75238</t>
  </si>
  <si>
    <t>Canion, Judith
9715 Windham
Dallas, TX 75243</t>
  </si>
  <si>
    <t>Klemme, Kelly
9525 Milltrail
Dallas, TX 75238</t>
  </si>
  <si>
    <t>Cason, Eileen
9133 Loma Vista
Dallas, TX 75243</t>
  </si>
  <si>
    <t>Gorman, Phillip
10139 Bettywood Ln
Dallas, TX 75243</t>
  </si>
  <si>
    <t>Browder, Mary
9840 Elmcrest
Dallas, TX 75238</t>
  </si>
  <si>
    <t>Threadgill, John
9104 Kingsley Creek Cr
Dallas, TX 75231</t>
  </si>
  <si>
    <t>Walhood, Preston
5319 W. University Blvd
Dallas, TX 75209</t>
  </si>
  <si>
    <t>Whitehill, William
747 Meadowlark Ln
Coppell, TX 75019</t>
  </si>
  <si>
    <t>Baggett, Jo
10116 Estate Lane
Dallas, TX 75238</t>
  </si>
  <si>
    <t>Miers, Harriet
12076 Tavel Circle
Dallas, TX 75230</t>
  </si>
  <si>
    <t>Bradley, Lori
7909 Briar Brook Ct.
Dallas, TX 75218</t>
  </si>
  <si>
    <t>Rosamond, Mike
6839 Colfax Dr.
Dallas, TX 75231</t>
  </si>
  <si>
    <t>Rain, Jim
2200 Ross Ave
Dallas, TX 75201</t>
  </si>
  <si>
    <t>Baker, Diana
8515 Greenville Ave
Dallas, TX 75243</t>
  </si>
  <si>
    <t>Rylander, Carole
6873 Blackwood Dr
Dallas, TX 75231</t>
  </si>
  <si>
    <t>Sleeper, Neal
3374 Blackburn St
Dallas, TX 75204</t>
  </si>
  <si>
    <t>McCord, Shannon
7704 Lemmonwood
Dallas, TX 75231</t>
  </si>
  <si>
    <t>Lomonaco, Jim
8643 Richardson Branch Tr
Dallas, TX 75243</t>
  </si>
  <si>
    <t>Camp, Patsy
9116 Whitehurst
Dallas, TX 75243</t>
  </si>
  <si>
    <t>Griffin, Allison
9635 Lanshire
Dallas, TX 75238</t>
  </si>
  <si>
    <t>North, Joseph
10868 Caprock Circle
Dallas, TX 75218</t>
  </si>
  <si>
    <t>Duge, Richard
9644 Trailview
Dallas, TX 75238</t>
  </si>
  <si>
    <t>Alspaw, Jon
9102 Locarno
Dallas, TX 75243</t>
  </si>
  <si>
    <t>Dunlap, Walter
PO Box 74313
Dallas, TX 75374</t>
  </si>
  <si>
    <t>Davis, Paula
9039 Maguires Bridge
Dallas, TX 75231</t>
  </si>
  <si>
    <t>Chereck, Donna
8726 Arbor Park Ct.
Dallas, TX 75243</t>
  </si>
  <si>
    <t>Hawkins, Terri
9026 Meadowknoll
Dallas, TX 75243</t>
  </si>
  <si>
    <t>Lones, Rebecca
9932 Capridge Dr
Dallas, TX 75238</t>
  </si>
  <si>
    <t>Rooney, Patricia
8035 Nimrod
Dallas, TX 75238</t>
  </si>
  <si>
    <t>Irby, Robert
10030 Lakemere Dr
Dallas, TX 75238</t>
  </si>
  <si>
    <t>Jenkins, Brandon
200 S Ryan Dr
Red Oak, TX 75154</t>
  </si>
  <si>
    <t>Jamie Smith</t>
  </si>
  <si>
    <t>Lumpkins, Keisha
4381 Kendrick Cir
Loganville, GA 30052</t>
  </si>
  <si>
    <t>Smith, Varice
649 Moss Rose Ct
Dallas, TX 75217</t>
  </si>
  <si>
    <t>Thomas, Coty
1700 Dunkirk St
Slidell, LA 70461</t>
  </si>
  <si>
    <t>Route, Victor
1816 LaHarpe St
New Orleans, LA 70116</t>
  </si>
  <si>
    <t>Pierce, Curry
2000 Liverpool Dr.
Plano, TX 75025</t>
  </si>
  <si>
    <t>Carvell, Michael
7713 Captain Ln
Fort Worth, TX 76179</t>
  </si>
  <si>
    <t>McCloud, Marlo
9411 Crooked Creek Dr
Shreveport, LA 71118</t>
  </si>
  <si>
    <t>LaGrone, Laviolo
3117 Chester Ct.
Metairie, LA 70006</t>
  </si>
  <si>
    <t>Aguilar, Debra
727 S. Moore St
Dallas, TX 75203</t>
  </si>
  <si>
    <t>Culton, Jacqueline
1514 Marshall Dr.
Duncanville, TX 75137</t>
  </si>
  <si>
    <t>Agbon, Jamila
1648 Champagne Dr
Dallas, TX 75224</t>
  </si>
  <si>
    <t>Childress, Nicole
83 Lucas Ln.
Edgecliff Village, TX 76134</t>
  </si>
  <si>
    <t>Jennings, Nancy
2310 N. Henderson Ave
Dallas, TX 75206</t>
  </si>
  <si>
    <t>Jennings, Steve
2310 N. Henderson Ave.
Dallas, TX 75206</t>
  </si>
  <si>
    <t>Deason, Doug
3953 Maple Ave
Dallas, TX 75219</t>
  </si>
  <si>
    <t>Pick, Jacki
3953 Maple Ave
Dallas, TX 75219</t>
  </si>
  <si>
    <t>Mullen, Sharita
12835 Preston Rd
Dallas, TX 75230</t>
  </si>
  <si>
    <t>Sebesta, Edward
1502 Seevers Ave
Dallas, TX 75216</t>
  </si>
  <si>
    <t>Brown, Roxana
2002 Fairbanks Dr.
Princeton, TX 75407</t>
  </si>
  <si>
    <t>Jalitt, Blanca
1125 Shadyglen Cir
Richardson, TX 75081</t>
  </si>
  <si>
    <t>Edwards, Rene
2628 Midden Dr
Marrero, LA 70072</t>
  </si>
  <si>
    <t>Smith, Jamie
PO Box 398280
Dallas, TX 75339</t>
  </si>
  <si>
    <t>Kooleys BBQ
1219 E Illinois Ave
Dallas, TX 75216</t>
  </si>
  <si>
    <t>Khepara, Mene
999 Walter Stephenson Rd
Midlothian, TX 76065</t>
  </si>
  <si>
    <t>Woodall, Laura
4303 W. Lovers Lane
Dallas, TX 75209</t>
  </si>
  <si>
    <t>Moore, Nina
8418 Beachplum Way
Arlington, TX 76002</t>
  </si>
  <si>
    <t>Taylor, Shirley
2115 Mistymeadow Ct
Carrollton, TX 75006</t>
  </si>
  <si>
    <t>Horton, Otis
1984 Howell Mill Rd
Atlanta, GA 30325</t>
  </si>
  <si>
    <t>Alexander, Dominique
1808 S. Good Latimer Expy
Dallas, TX 75226</t>
  </si>
  <si>
    <t>Forasiepe, Taama
8014 Nimord Trail
Dallas, TX 75238</t>
  </si>
  <si>
    <t>Morrow, John
8522 Stable Glen Dr
Dallas, TX 75243</t>
  </si>
  <si>
    <t>Halford, Lee
9623 Viewside Dr
Dallas, TX 75231</t>
  </si>
  <si>
    <t>Hebeler, Rulan
3600 
Dallas, TX 75205</t>
  </si>
  <si>
    <t>Brundage, Ashley
408 
Coppell, TX 75019</t>
  </si>
  <si>
    <t>Forsythe Lill, Valetta
622 
Dallas, TX 75223</t>
  </si>
  <si>
    <t>Lamont, Adam
9432 
Dallas, TX 75243</t>
  </si>
  <si>
    <t>Laster, Joseph
2721 
Dallas, TX 75215</t>
  </si>
  <si>
    <t>Page, Anthony
3210 
Dallas, TX 75204</t>
  </si>
  <si>
    <t>Cambpell, Stewart
6427 
Dallas, TX 75214</t>
  </si>
  <si>
    <t>Krochtengel, Zachary
17014 
Dallas, TX 75248</t>
  </si>
  <si>
    <t>Wright, Molly
1721 
Dallas, TX 75228</t>
  </si>
  <si>
    <t>Blackmon, Paula
6333 
Dallas, TX 75214</t>
  </si>
  <si>
    <t>Creuzot, John
8185 
Dallas, TX 75218</t>
  </si>
  <si>
    <t>Wootton, Mark
612 
Dallas, TX 75214</t>
  </si>
  <si>
    <t>Foy, Morgan
1777 
Dallas, TX 75202</t>
  </si>
  <si>
    <t>Wear, Tyler
5955 
Dallas, TX 75206</t>
  </si>
  <si>
    <t>Ablon, Mike
5908 
Dallas, TX 75230</t>
  </si>
  <si>
    <t>Melton, Lauren
2921 
Dallas, TX 75228</t>
  </si>
  <si>
    <t>Melton, Mark
2921 
Dallas, TX 75228</t>
  </si>
  <si>
    <t>Cole, Erica
9246 
Dallas, TX 75218</t>
  </si>
  <si>
    <t>Leal, Chris
1777 
Dallas, TX 75202</t>
  </si>
  <si>
    <t>Matthews, Jack
320 
Lewisville, TX 75057</t>
  </si>
  <si>
    <t>Sherman, Carl
1670 
Dallas, TX 75115</t>
  </si>
  <si>
    <t>Crockett, Jasmine
PO Box 227235
Dallas, TX 75222</t>
  </si>
  <si>
    <t>McBee, Lynn
3925 
Dallas, TX 75204</t>
  </si>
  <si>
    <t>Burton, John
5532 
Dallas, TX 75206</t>
  </si>
  <si>
    <t>Sanders, Tricia
4930 
Garland, TX 75044</t>
  </si>
  <si>
    <t>Rogers, Kevin
6312 
Dallas, TX 75214</t>
  </si>
  <si>
    <t>Ragsdale, Diane
3611 
Dallas, TX 75215</t>
  </si>
  <si>
    <t>Silhan, Gailya
6918 
Dallas, TX 75223</t>
  </si>
  <si>
    <t>Freeland, Steve
14801 
Dallas, TX 75254</t>
  </si>
  <si>
    <t>Schmidt, Rene
715 
Dallas, TX 75214</t>
  </si>
  <si>
    <t>Johnson, Eric
3525 
Dallas, TX 75219</t>
  </si>
  <si>
    <t>Montano, Bradley
3525 
Dallas, TX 75219</t>
  </si>
  <si>
    <t>Lopez, Bridget
4326 
Dallas, TX 75229</t>
  </si>
  <si>
    <t>Bracken, Robert
6114 
Dallas, TX 75206</t>
  </si>
  <si>
    <t>Shelton, Nancy
3913 
Dallas, TX 75205</t>
  </si>
  <si>
    <t>Patel, Sunil
5122 
Dallas, TX 75210</t>
  </si>
  <si>
    <t>Neil, JoDee
3253 
Dallas, TX 75229</t>
  </si>
  <si>
    <t>Bland, Jody
3010 
Dallas, TX 75204</t>
  </si>
  <si>
    <t>Wynhausen, Aaron
12420 
Lenexa, KS 66215</t>
  </si>
  <si>
    <t>Mccrea, Mitchell
5750 
Dallas, TX 75214</t>
  </si>
  <si>
    <t>Keyes, Katrina
3839 
Dallas, TX 75204</t>
  </si>
  <si>
    <t>Schenkel, Pete
614 
Dallas, TX 75208</t>
  </si>
  <si>
    <t>Mihalopoulos, Frank
4645 
Dallas, TX 75205</t>
  </si>
  <si>
    <t>Price, John
510 
Dallas, TX 75203</t>
  </si>
  <si>
    <t>Bradford, Pamela
1333 
DeSoto, TX 75115</t>
  </si>
  <si>
    <t>Emery, Janice
160 
Swannanoa, NC 28778</t>
  </si>
  <si>
    <t>Kraus, Peter
4906 
Dallas, TX 75209</t>
  </si>
  <si>
    <t>Rose, Evelyn
5 
Dallas, TX 75205</t>
  </si>
  <si>
    <t>Black, Tre
751 
Dallas, TX 75208</t>
  </si>
  <si>
    <t>Rodriguez, Minerva
1036 
Desoto, TX 75115</t>
  </si>
  <si>
    <t>Bazaldua, Daniel
6404 
Arlington, TX 76001</t>
  </si>
  <si>
    <t>Myers, Kirk
1604 
Desoto, TX 75115</t>
  </si>
  <si>
    <t>Hagan, Anne
204 
Dallas, TX 75208</t>
  </si>
  <si>
    <t>Luallen, Brian
2772 
Dallas, TX 75226</t>
  </si>
  <si>
    <t>Agarwal, Arun
123 
Dallas, TX 75207</t>
  </si>
  <si>
    <t>Billingsley, Henry
1722 
Dallas, TX 75201</t>
  </si>
  <si>
    <t>Heinbaugh, Chris
1801 
Dallas, TX 75204</t>
  </si>
  <si>
    <t>Abrac LLC
2600 
Dallas, TX 75201</t>
  </si>
  <si>
    <t>Johnson, Willis
1001 
Dallas, TX 75215</t>
  </si>
  <si>
    <t>Deleon Provisions
1450 
Dallas, TX 75218</t>
  </si>
  <si>
    <t>Winn, Tim
398 
Kosse, TX 76653</t>
  </si>
  <si>
    <t>Abtahi, Bobby
1126 
Dallas, TX 75203</t>
  </si>
  <si>
    <t>Best, Nancy
9762 
Dallas, TX 75220</t>
  </si>
  <si>
    <t>Chase, Scott
1700 
Dallas, TX 75201</t>
  </si>
  <si>
    <t>Banerjee, Amit
12640 
Dallas, TX 75035</t>
  </si>
  <si>
    <t>Dewar, Clarie
5359 
Dallas, TX 75209</t>
  </si>
  <si>
    <t>Sullivan, Peter
5947 
Dallas, TX 75206</t>
  </si>
  <si>
    <t>Addy, William
3805 
Dallas, TX 75205</t>
  </si>
  <si>
    <t>Addy, Lydia
3805 
Dallas, TX 75205</t>
  </si>
  <si>
    <t>Best, Randy
2200 
Dallas, TX 75201</t>
  </si>
  <si>
    <t>Scudder, Kendall
2158 
Dallas, TX 75228</t>
  </si>
  <si>
    <t>Davis, Macey
8322 
Dallas, TX 75209</t>
  </si>
  <si>
    <t>Valach, Kenneth
5 
Houston, TX 77024</t>
  </si>
  <si>
    <t>Crow, Katherine
4700 
Dallas, TX 75205</t>
  </si>
  <si>
    <t>Bryant, Kevin
4463 
Dallas, TX 75220</t>
  </si>
  <si>
    <t>Rimal, Karrol
10600 
Austin, TX 78748</t>
  </si>
  <si>
    <t>Bazaldua, Karen
1649 
Midlothian, TX 76065</t>
  </si>
  <si>
    <t>Stevens, Heather
1808 
Dallas, TX 75226</t>
  </si>
  <si>
    <t>Crow, Harlan
3819 
Dallas, TX 75219</t>
  </si>
  <si>
    <t>Brown, Jason
2534 
Dallas, TX 75215</t>
  </si>
  <si>
    <t>Offutt, Larry
325 
Dallas, TX 75201</t>
  </si>
  <si>
    <t>Mitchell, Elayna
5323 
Dallas, TX 75214</t>
  </si>
  <si>
    <t>Smith, Suzanne
3210 
Dallas, TX 75204</t>
  </si>
  <si>
    <t>Reynolds, Melissa
713 
Denton, TX 76209</t>
  </si>
  <si>
    <t>Dohanian, Armen
5859 
Dallas, TX 75227</t>
  </si>
  <si>
    <t>Kingston, Phillip
5901 
Dallas, TX 75206</t>
  </si>
  <si>
    <t>Southwest Airlines Freedom Fund PAC
PO Box 36611
Dallas, TX 75235</t>
  </si>
  <si>
    <t>Newmore LLP
5329 Northmoor Dr
Dallas, TX 75229</t>
  </si>
  <si>
    <t>Addy, William
3805 Normandy
Dallas, TX 75205</t>
  </si>
  <si>
    <t>Narvaez, Sylvia
8049 Ridgeview
Houston, TX 77055</t>
  </si>
  <si>
    <t>Addy, Lydia
3805 Normandy
Dallas, TX 75212</t>
  </si>
  <si>
    <t>Cheema, Supreet
4753 Harlow Bend
Irving, TX 75038</t>
  </si>
  <si>
    <t>Davidson, Alyssa
2353 N Field St
Dallas, TX 75201</t>
  </si>
  <si>
    <t>Spinola, Luis
4608 Windsor Ridge
Dallas, UM 75038</t>
  </si>
  <si>
    <t>Ridley, Paul
5100 Victor
Dallas, TX 75214</t>
  </si>
  <si>
    <t>Johnson, Willis
1001 Belleview
Dallas, TX 75215</t>
  </si>
  <si>
    <t>Crow, Harlan
3819 Maple Ave
Dallas, TX 75219</t>
  </si>
  <si>
    <t>Solis, Diane
1551 Oak Lawn
Dallas, TX 75207</t>
  </si>
  <si>
    <t>Olivarez, Javier
9749 Kittyhawk
Dallas, TX 75217</t>
  </si>
  <si>
    <t>Myers, Richard
17115 Skelton Place
Dallas, TX 75248</t>
  </si>
  <si>
    <t>Nambiar, Vipin
1807 Ross Ave
Dallas, TX 75201</t>
  </si>
  <si>
    <t>Billingsley, Lucy
1722 Routh St
Dallas, TX 75201</t>
  </si>
  <si>
    <t>BILLINGSLEY, HENRY
1722 ROUTH ST
DALLAS, TX 75201</t>
  </si>
  <si>
    <t>Lunceford, Michael
4440 Shady Hill Drive
Dallas, TX 75229</t>
  </si>
  <si>
    <t>Rose, Evelyn
5 Willowood
Dallas, TX 75205</t>
  </si>
  <si>
    <t>Watson, Irish
3979 Granite Hill Dr
Dallas, TX 75241</t>
  </si>
  <si>
    <t>Conwright, Fred
1441 Robert B Cullum
Dallas, TX 75210</t>
  </si>
  <si>
    <t>Chaisson, Avis
2828 Woodside St
Dallas, TX 75204</t>
  </si>
  <si>
    <t>Hill, John
2820 Reagan St
Dallas, TX 75219</t>
  </si>
  <si>
    <t>Hanson, Swede
9925 Lakeside
Dallas, TX 75218</t>
  </si>
  <si>
    <t>Bryant, Kevin
4463 Brookview
Dallas, TX 75220</t>
  </si>
  <si>
    <t>Phillips, Elizabeth
4655 Ashworth
Cumming, GA 30040</t>
  </si>
  <si>
    <t>Montgomery, Mike
1020 E Levee
Dallas, TX 75207</t>
  </si>
  <si>
    <t>Vasquez, Mary
1709 East Ave
Dallas, TX 77493</t>
  </si>
  <si>
    <t>Aranza, Humberto
3105 San Jacinto
Dallas, TX 75204</t>
  </si>
  <si>
    <t>Etheridge, Rosalind
PO Box 601527
Dallas, TX 75360</t>
  </si>
  <si>
    <t>Hernandez, Gustavo
2410 Logan St
Dallas, TX 75215</t>
  </si>
  <si>
    <t>Armendariz, Mr Mrs Saul
5601 Cockrell Hill Rd
Dallas, TX 75211</t>
  </si>
  <si>
    <t>Ferdows, Mr Mrs Schahrouz
10505 Shady Trail
Dallas, TX 75220</t>
  </si>
  <si>
    <t>Ferdows, Mr Mrs Dario
10505 Shady Trail
Dallas, TX 75220</t>
  </si>
  <si>
    <t>Herrera, Angelica
5519 Kiwanis
Dallas, TX 75236</t>
  </si>
  <si>
    <t>Ayala, Mr Mrs Tomas
2829 W Northwest Hwy
Dallas, TX 75220</t>
  </si>
  <si>
    <t>Mahsani, Mr Mrs Sam
PO Box 162327
Dallas, TX 75231</t>
  </si>
  <si>
    <t>Dauterman, Lynn
8117 Preston Rd
Dallas, TX 75225</t>
  </si>
  <si>
    <t>Dauterman, Peter
8117 Preston Road
Dallas, TX 75225</t>
  </si>
  <si>
    <t>Smith, Wayne
7775 Firefall Way
Dallas, TX 75230</t>
  </si>
  <si>
    <t>Harding, Anne
3031 Timberview Rd
Dallas, TX 75229</t>
  </si>
  <si>
    <t>Worsham, Raguet
PO Box 988
Little Elm, TX 75068</t>
  </si>
  <si>
    <t>Lunceford, Kay
4411 Williamsburg Road
Dallas, TX 75220</t>
  </si>
  <si>
    <t>Solana, Nancy
24 Saint Laurent Place
Dallas, TX 75225</t>
  </si>
  <si>
    <t>Gomez, Ty
3143 JubileeTrail
Dallas, TX 75229</t>
  </si>
  <si>
    <t>Kleinman, Betsy
6926 Midbury Drive
Dallas, TX 75230</t>
  </si>
  <si>
    <t>Edmondson, Mark
12523 Matisse Ln, Dallas, TX
Dallas, TX 75230</t>
  </si>
  <si>
    <t>Carafiol, Robin
4630 Gulfstream Drive
Dallas, TX 75244</t>
  </si>
  <si>
    <t>Wilson, Kirk
10739 Bridge Hollow Court, Dallas, TX
Dallas, TX 75229</t>
  </si>
  <si>
    <t>McGovern, Katherine
4364 Royal Ridge Drive
Dallas, TX 75229</t>
  </si>
  <si>
    <t>Minic, Bo
6152 Summer Creek Circle
Dallas, TX 75231</t>
  </si>
  <si>
    <t>Hoffman, Jane
6747 Lupton Dr
Dallas, TX 75225</t>
  </si>
  <si>
    <t>Bradford, Heather
3220 Lakenheath Pl
Dallas, TX 75204</t>
  </si>
  <si>
    <t>Boone, Garrett
4809 Cole Avenue
Dallas, TX 75205</t>
  </si>
  <si>
    <t>Orr, Bruce
5639 Willow Lane
Dallas, TX 75230</t>
  </si>
  <si>
    <t>Olerio, Louis
4133 Hyer Street Dallas, TX
Dallas, TX 75205</t>
  </si>
  <si>
    <t>Robbins, Jenny
4133 Hyer Street Dallas, TX
Dallas, TX 75205</t>
  </si>
  <si>
    <t>McMinn, Susie
14802 ENTERPRISE DR APT 43D
Farmers Branch, TX 75234</t>
  </si>
  <si>
    <t>Brata, James
6443 Del Norte Lane
Dallas, TX 75225</t>
  </si>
  <si>
    <t>BURK, LELAND
5311 PARK LANE
Dallas, TX 75220</t>
  </si>
  <si>
    <t>Stewart, Kathy
9509 Shady Valley Drive, Dallas, TX
Dallas, TX 75238</t>
  </si>
  <si>
    <t>Moreno, Jesse
4809 Victor Street, Dallas, TX
Dallas, TX 75246</t>
  </si>
  <si>
    <t>Carnes, Scott
10029 Spokane Circle
Dallas, TX 75229</t>
  </si>
  <si>
    <t>Smith, Ray
12395 Crestline Avenue
Dallas, TX 75244</t>
  </si>
  <si>
    <t>Lovejoy, Jana
6542 Chevy Chase Avenue
Dallas, TX 75225</t>
  </si>
  <si>
    <t>Stein, Barbara
9338 Meadowbrook Drive
Dallas, TX 75220</t>
  </si>
  <si>
    <t>Stein, Sheldon
9338 Meadowbrook Drive
Dallas, TX 75220</t>
  </si>
  <si>
    <t>Wood, Ann
7209 Baxtershire
Dallas, TX 75230</t>
  </si>
  <si>
    <t>Walker, Terry
3650 Cedarplaza Ln
Dallas, TX 75209</t>
  </si>
  <si>
    <t>Perkins, Mark
8911 Guernsey Ln
Dallas, TX 75220</t>
  </si>
  <si>
    <t>Boone, Garrett
2417 Loving Avenue, Dallas, TX
Dallas, TX 75214</t>
  </si>
  <si>
    <t>Wallace, Chris
4235 Castle Rock Court
IRVING, TX 75038</t>
  </si>
  <si>
    <t>Davis, Macey
8322 Ridgelea Street
Dallas, TX 75209</t>
  </si>
  <si>
    <t>Wilson, Rebecca
4233 Glenaire Drive
Dallas, TX 75229</t>
  </si>
  <si>
    <t>Nix, Stephen
8511 Blue Bonnet Road,
Dallas, TX 75209</t>
  </si>
  <si>
    <t>Bryant, Kevin
4463 Brookview Dr, Dallas, TX
Dallas, TX 75220</t>
  </si>
  <si>
    <t>Hunt, Amy
10615 ROYAL CLUB LN, Dallas, TX
Dallas, TX 75229</t>
  </si>
  <si>
    <t>Smith, Suzanne
3210 Carlisle Street
Dallas, TX 75204</t>
  </si>
  <si>
    <t>Richardson, Alison
1930 E. Rosemeade Pkwy
Carrollton, TX 75007</t>
  </si>
  <si>
    <t>Johnson, Eric
3525 Turtle Creek Blvd
Dallas, TX 75219</t>
  </si>
  <si>
    <t>Murchison, Maggie
10131 Gaywood Rd.
Dallas, TX 75229</t>
  </si>
  <si>
    <t>Murchison, Robert
10131 Gaywood Rd.
Dallas, TX 75229</t>
  </si>
  <si>
    <t>Crow, Harlan
3819 Maple Ave
Dallas, TX 75219-3919</t>
  </si>
  <si>
    <t>Crow, Katherine
4700 Preston
Dallas, TX 75205</t>
  </si>
  <si>
    <t>Crow, Trammel
4000 Rock Creek Drive
Dallas, TX 75204-1626</t>
  </si>
  <si>
    <t>Valach, Kenneth
5 Lazee Trail
Houston, TX 77024-5006</t>
  </si>
  <si>
    <t>Sloan, Jamie
2829 North Bend Drive
Dallas, TX 75229</t>
  </si>
  <si>
    <t>Siepiela, Mark
5437 MEADOW CREST DR
Dallas, TX 75229</t>
  </si>
  <si>
    <t>Groves, Joseph
114 Lake Forest Ct.
Garland, TX 75044</t>
  </si>
  <si>
    <t>Pina, Flavio
114 Lake Forest Ct.
Dallas, TX 75044</t>
  </si>
  <si>
    <t>Perry, Philip
3610 N. Versailles
Dallas, TX 75092</t>
  </si>
  <si>
    <t>Dankert, Charlie
3367 VALIANT DR
Dallas, TX 75229</t>
  </si>
  <si>
    <t>Linebarger Goggan Blair &amp; Sampson
PO Box 17428
Austin, TX 78760</t>
  </si>
  <si>
    <t>Southwest Freedom Fund
PO Box 3661
Dallas, TX 75235-1611</t>
  </si>
  <si>
    <t>HBA of Greater Dallas HOME PAC
5816 W Plano Pkwy
Plano, TX 75093</t>
  </si>
  <si>
    <t>Mata, Albert
105 S Bishop Ave
Dallas, TX 75208</t>
  </si>
  <si>
    <t>Gonzales, Jose
2105 Madera Dr
Waco, TX 76705</t>
  </si>
  <si>
    <t>Flores, Jasmin
411 Broadway Ave
Dallas, TX 75212</t>
  </si>
  <si>
    <t>Gonzales, Nancy
105 S Bishop Ave
Dallas, TX 75208</t>
  </si>
  <si>
    <t>Kirkpatrick, Lucas
1118 Elmwood Blvd
Dallas, TX 75224</t>
  </si>
  <si>
    <t>Hopkins, Christine
1118 Elmwood Blvd
Dallas, TX 75224</t>
  </si>
  <si>
    <t>Carden, Paul
2007 Harlandale Ave
Dallas, TX 75216</t>
  </si>
  <si>
    <t>Martinez, Raquel
813 Lowe Dr
Cedar Hill, TX 75104</t>
  </si>
  <si>
    <t>Amaya, Carlos
107 Garvin Way
Midlothian, TX 76065</t>
  </si>
  <si>
    <t>Carey, Jeff
300 East Round Grove Rd
Lewisville, TX 75067</t>
  </si>
  <si>
    <t>Hunt, Ray
1900 North Akard St
Dallas, TX 75201</t>
  </si>
  <si>
    <t>Etheridge, Roselind
PO Box 601527
Dallas, TX 75360</t>
  </si>
  <si>
    <t>Aranza, Anthony
1507 Stonehedge Bend Dr.
Houston, TX 77073</t>
  </si>
  <si>
    <t>Bolding, Chris
302 S. Rosemont Ave.
Dallas, TX 75208</t>
  </si>
  <si>
    <t>Hunt, Angela
8811 Antrim Dr.
Dallas, TX 75218</t>
  </si>
  <si>
    <t>Revi, Gay
908 N. Bishop Ave.
Dallas, TX 75208</t>
  </si>
  <si>
    <t>Shern, Whitney
8061 Walnut Hill Ln.
Dallas, TX 75231</t>
  </si>
  <si>
    <t>Schultz, Jaynie
11222 St. Michaels Dr.
Dallas, TX 75230</t>
  </si>
  <si>
    <t>Dingman, Carol
13223 Glad Acres Dr.
Dallas, TX 75234</t>
  </si>
  <si>
    <t>Brooks, Brooks
2242 Monitor St.
Dallas, TX 75207</t>
  </si>
  <si>
    <t>Burns, Joel
2420 S. Adams St.
Ft. Worth, TX 76110</t>
  </si>
  <si>
    <t>Raines, Jeremy
2313 Ashland Ave.
Fort Worth, TX 76107</t>
  </si>
  <si>
    <t>Bradshaw, Stefani
2929 Wycliff Ave.
Dallas, TX 75219</t>
  </si>
  <si>
    <t>Hill, Todd
604 Ft. Worth Ave.
Dallas, TX 75208</t>
  </si>
  <si>
    <t>Hill, Todd
PO Box 192305
Dallas, TX 75219</t>
  </si>
  <si>
    <t>Gilbreath, Jake
2102 Sharon Ln.
Austin, TX 78703</t>
  </si>
  <si>
    <t>Haass, Shea
3699 McKinney Ave.
Dallas, TX 75204</t>
  </si>
  <si>
    <t>Hargraves, Jennifer
4201 Spring Valley Rd.
Dallas, TX 75244</t>
  </si>
  <si>
    <t>Woodruff, Grant
8315 Cabrera Dr.
Dallas, TX 75228</t>
  </si>
  <si>
    <t>Veale, Michael
1717 Arts Plaza
Dallas, TX 75201</t>
  </si>
  <si>
    <t>Dalheim, Cullen
127 Pittsburgh St.
Dallas, TX 75207</t>
  </si>
  <si>
    <t>Edwards, Dianne
223 S. Marlborough Ave.
Dallas, TX 75208</t>
  </si>
  <si>
    <t>Smith, Daniel
1402 Exeter Ct.
Southlake, TX 76092</t>
  </si>
  <si>
    <t>Clark, Michael
6750 Hillcrest Plaza Dr.
Dallas, TX 75230</t>
  </si>
  <si>
    <t>Spence, David
408 W. 8th St.
Dallas, TX 75208</t>
  </si>
  <si>
    <t>Chase, Scott
1700 Pacific Ave.
Dallas, TX 75201</t>
  </si>
  <si>
    <t>Haley, Clinton
6311 Club Lake Ct.
Dallas, TX 75214</t>
  </si>
  <si>
    <t>Andres, Marc
2800 N. Henderson Ave.
Dallas, TX 75206</t>
  </si>
  <si>
    <t>Aukeman, Cheryl
1915 W. Colorado Blvd
Dallas, TX 75208</t>
  </si>
  <si>
    <t>Evans, Nate
3572 Boone Park Ave.
Jacksonville, FL 32205</t>
  </si>
  <si>
    <t>Garza, Rick
101 S. Jennings Ave.
Ft. Worth, TX 76104</t>
  </si>
  <si>
    <t>Park, Jonas
4333 Belmont Ave.
Dallas, TX 75204</t>
  </si>
  <si>
    <t>Billingsley, Lucy
1722 Routh St.
Dallas, TX 75201</t>
  </si>
  <si>
    <t>Peña, Lucilo
1717 Arts Plaza
Dallas, TX 75201</t>
  </si>
  <si>
    <t>Schorman, Elizabeth
1219 N. Winnetka Ave.
Dallas, TX 75208</t>
  </si>
  <si>
    <t>Taylor, Doug
1147 N. Winnetka Ave.
Dallas, TX 75208</t>
  </si>
  <si>
    <t>Alvarado, Barbara
318 S. Waverly Dr.
Dallas, TX 75208</t>
  </si>
  <si>
    <t>Pirkey, Melissa
1525 Parliament Ln.
Plano, TX 75093</t>
  </si>
  <si>
    <t>Wilson, Joe
6208 Copperhill Dr.
Dallas, TX 75248</t>
  </si>
  <si>
    <t>McElroy, Joe
1207 Eldorado Ave.
Dallas, TX 75208</t>
  </si>
  <si>
    <t>Helfand, Marcy
7191 Kendallwood Dr
Dallas, TX 75240</t>
  </si>
  <si>
    <t>Billingsley, Lucy
1722 Routh Street Suite
Dallas, TX 75201</t>
  </si>
  <si>
    <t>Schoenbrun, Larry
52 Masland Circle
Dallas, TX 75230</t>
  </si>
  <si>
    <t>Meyerson, Morton
8604 Turtle Creek Boulevard
Dallas, TX 75225</t>
  </si>
  <si>
    <t>Mackler, Scott
12123 Edgestone Rd
Dallas, TX 75230</t>
  </si>
  <si>
    <t>Bloch, Michael
14901 Quorum Drive
Dallas, TX 75254</t>
  </si>
  <si>
    <t>Rabin, Stanley
24 Downs Lake Circle
Dallas, TX 75230</t>
  </si>
  <si>
    <t>Fleisher, Randall
8333 Douglas Ave
Dallas, TX 75225</t>
  </si>
  <si>
    <t>Kaseff, Barry
6508 Overhill Road
Mission Hills, KS 66208</t>
  </si>
  <si>
    <t>Houck, Trish
1547 Cedar Hill Ave
Dallas, TX 75208</t>
  </si>
  <si>
    <t>Tarpley, Gloria
8378 Forest Hills Blvd
Dallas, TX 75218</t>
  </si>
  <si>
    <t>Ward, John
5020 Abbott Avenue
Dallas, TX 75205</t>
  </si>
  <si>
    <t>Okon, Louis
7219 Kenny Lane
Dallas, TX 75230</t>
  </si>
  <si>
    <t>Lidji, Brian
9024 Broken Arrow Lane
Dallas, TX 75209</t>
  </si>
  <si>
    <t>Milstein, Robert
6440 Preston Crest Lane
Dallas, TX 75230</t>
  </si>
  <si>
    <t>Weinstein, Krista
12608 Sunlight Drive
Dallas, TX 75230</t>
  </si>
  <si>
    <t>Margolin, Ann
2828 Hood Street
Dallas, TX 75219</t>
  </si>
  <si>
    <t>Rubin, Ron
150 Carondelet Plaza
Clayton, MO 63105</t>
  </si>
  <si>
    <t>Santa-Maria, Arthur
1717 Main Street
Dallas, TX 75201</t>
  </si>
  <si>
    <t>Hunt, Ray
1900 N. Akard Street
Dallas, TX 75201</t>
  </si>
  <si>
    <t>Black, Jan Hart
4563 Isabella
Dallas, TX 75229</t>
  </si>
  <si>
    <t>HERMANN, SCOTTY
405 Londonderry Suite 106
WACO, TX 76712</t>
  </si>
  <si>
    <t>Beucler, Reid
6060 N Central Expwy Suite 125
Dallas, TX 75206</t>
  </si>
  <si>
    <t>Alcantar, Joe
7304 Lane Park Court
Dallas, TX 75225</t>
  </si>
  <si>
    <t>Pankey, Julie
3435 Wendy Lane
Dallas, TX 75214</t>
  </si>
  <si>
    <t>Hurley, S.J.
2227 Vantage Street
Dallas, TX 75207</t>
  </si>
  <si>
    <t>Gatlin, Paige
PO Box 670865
Dallas, TX 75367</t>
  </si>
  <si>
    <t>Casto, Larry
2500 McKinney Ave
Dallas, TX 75201</t>
  </si>
  <si>
    <t>Spellicy, Courtney
7117 Wake Forrest Drive
Dallas, TX 75214</t>
  </si>
  <si>
    <t>McCrary, Michael
1302 Bellaire Dr
Grapevine, TX 76051</t>
  </si>
  <si>
    <t>Abtahi, Robert
1126 North Zang Boulevard
Dallas, TX 75203</t>
  </si>
  <si>
    <t>Courtwright, Jeff
6785 Avalon Ave
Dallas, TX 75214</t>
  </si>
  <si>
    <t>Halfmann, Zoe
3565 Waldorf
Dallas, TX 75229</t>
  </si>
  <si>
    <t>Reed, Holly
7123 La Vista
Dallas, TX 75214</t>
  </si>
  <si>
    <t>Robin Autopilot Holdings, LLC
8400 Esters Blvd Ste 150
Irving, TX 75063</t>
  </si>
  <si>
    <t>Coats Rose P.C. PAC
9 Greenway Plaza Ste. 1000
Houston, TX 77046</t>
  </si>
  <si>
    <t>See, Alonzo
6507 Bob O Link Dr
Dallas, TX 75214</t>
  </si>
  <si>
    <t>Henry, Barry
1717 Arts Plaza Residence 1801
Dallas, TX 75201</t>
  </si>
  <si>
    <t>Dann, Mark
9510 West Lake Highlands Drive
Dallas, TX 75218</t>
  </si>
  <si>
    <t>Abrams, John
6427 Bob O Link Dr.
Dallas, TX 75214</t>
  </si>
  <si>
    <t>Veale, Michael
1717 Arts Plaza 2207
Dallas, TX 75201</t>
  </si>
  <si>
    <t>Coyle, Grady
6524 Winton St
Dallas, TX 75214</t>
  </si>
  <si>
    <t>Newton, Karen
10415 Fern Dr
Dallas, TX 75228</t>
  </si>
  <si>
    <t>Conner, Terry
7110 Lakewood Boulevard
Dallas, TX 75214</t>
  </si>
  <si>
    <t>HBA of Greater Dallas HOME PAC
5816 West Plano Pkwy
Plano, TX 75093</t>
  </si>
  <si>
    <t>Pouland, John
345 Patriot Drive
Buda, TX 78610</t>
  </si>
  <si>
    <t>Dawson Thompson, Roslyn
2 Botsford Court
Dallas, TX 75225</t>
  </si>
  <si>
    <t>Saab, Elizabeth
7344 Edgerton Drive
Dallas, TX 75231</t>
  </si>
  <si>
    <t>Grant, Joseph
4305 Overhill
Dallas, TX 75205</t>
  </si>
  <si>
    <t>Mason, George
6821 Carolyncrest Dr
Dallas, TX 75214</t>
  </si>
  <si>
    <t>Ybarra, Manny
2390 Westchester Dr
Lucas, TX 75002</t>
  </si>
  <si>
    <t>Raymond, Anne
4111 W. Lawther
Dallas, TX 75214</t>
  </si>
  <si>
    <t>Cook, Mary
1942 Malone Cliff View
Dallas, TX 75208</t>
  </si>
  <si>
    <t>Syler, Terry
6661 Lakewood Boulevard
DALLAS, TX 75214</t>
  </si>
  <si>
    <t>Ellis, Thomas
6872 BURWOOD LN
DALLAS, TX 75214</t>
  </si>
  <si>
    <t>Hoyt, Karen
7152 Dalewood Lane
Dallas, TX 75214</t>
  </si>
  <si>
    <t>Hofland, Amy
7278 Williamson Circle
Dallas, TX 75214</t>
  </si>
  <si>
    <t>Casey, Karen
6100 Tremont St
Dallas, TX 75214</t>
  </si>
  <si>
    <t>Suhm, Mary
12703 Nutty Brown Rd
Austin, TX 78737</t>
  </si>
  <si>
    <t>Elevation Management, LLC
6208 Copperhill Drive
Dallas, TX 75248</t>
  </si>
  <si>
    <t>England, Andy
6567 Anita Street
Dallas, TX 75214</t>
  </si>
  <si>
    <t>Ash, Michael
1535 Camino Lago
Irving, TX 75039</t>
  </si>
  <si>
    <t>Vandiver, Rich
6705 Bob O Link Drive
Dallas, TX 75214</t>
  </si>
  <si>
    <t>Garcia, Ryan
8102 Old Moss Road
Dallas, TX 75231</t>
  </si>
  <si>
    <t>Matthews, John
320 West Main Street
Lewisville, TX 75057</t>
  </si>
  <si>
    <t>Hoffman, Alan
9010 Groveland Drive
Dallas, TX 75218</t>
  </si>
  <si>
    <t>Linderman, Tricia
4409 Westside
Dallas, TX 75209</t>
  </si>
  <si>
    <t>Schulz, Amanda
5943 Palo Pinto Avenue
Dallas, TX 75206</t>
  </si>
  <si>
    <t>Hays, Brandon
440 Parkhurst Dr
Dallas, TX 75218</t>
  </si>
  <si>
    <t>SMITH, Jake
3700 E Randol Mill Road
Arlington, TX 76011</t>
  </si>
  <si>
    <t>Hamilton, Jane Hope
623 Aspen Valley Lane
Dallas, TX 75208</t>
  </si>
  <si>
    <t>Rigelsky, Jay
6342 Belmont
Dallas, TX 75214</t>
  </si>
  <si>
    <t>Williams, Kirk
3012 Rosedale Avenue
Dallas, TX 75205</t>
  </si>
  <si>
    <t>Proctor, John Lee
1524 Oak Meadows
Dallas, TX 75232</t>
  </si>
  <si>
    <t>Lopez, Roy
4326 Meadowdale
Dallas, TX 75229</t>
  </si>
  <si>
    <t>Melton, Warren
613 Mt. Auburn
Dallas, TX 75223</t>
  </si>
  <si>
    <t>Goldwater, Andrea
40637 Annabelle Glen Place
Aldie, VA 20105</t>
  </si>
  <si>
    <t>Sievers, Lisa
8238 Barbaree Boulevard
Dallas, TX 75228</t>
  </si>
  <si>
    <t>Rodriguez, Minerva
400 North Saint Paul Street 300
Dallas, TX 75201</t>
  </si>
  <si>
    <t>Valach, Kenneth
5 Lazee Trail
Houston, TX 77024</t>
  </si>
  <si>
    <t>Bazan, Kathryn
10456 Vinemont Street
Dallas, TX 75218</t>
  </si>
  <si>
    <t>Holloway, Mike and
1505 Elm St 1004
DALLAS, TX 75201</t>
  </si>
  <si>
    <t>Bratton, Calvert Collins
4738 Hallmark Drive
Dallas, TX 75229</t>
  </si>
  <si>
    <t>Kraft, Eric
7039 Lakeshore Drive
Dallas, TX 75214</t>
  </si>
  <si>
    <t>Bryant, Kevin
4463 Brookview Dr
Dallas, TX 75220</t>
  </si>
  <si>
    <t>Boruff, Darren
6445 Lake Circle Drive
Dallas, TX 75214</t>
  </si>
  <si>
    <t>Coats, Sam
26 Ryddington Pl
Dallas, TX 75230</t>
  </si>
  <si>
    <t>Finkelman, Lois
11437 West Ricks Circle
Dallas, TX 75230</t>
  </si>
  <si>
    <t>Smith, Suzanne
3210 Carlisle Street No 62
Dallas, TX 75204</t>
  </si>
  <si>
    <t>Bacon, Diana
9834 Shoreview Rd
Dallas, TX 75238</t>
  </si>
  <si>
    <t>Sexton, Tim
9930 Donegal Dr.
Dallas, TX 75218</t>
  </si>
  <si>
    <t>Owen, Jennifer
6541 Arborist Lane
Dallas, TX 75214</t>
  </si>
  <si>
    <t>Estrada, Erika
10419 Lanshire
Dallas, TX 75238</t>
  </si>
  <si>
    <t>Allen, Julie
7614 Currin Dr
Dallas, TX 75230</t>
  </si>
  <si>
    <t>Hunter, Terry
2210 Ash Grove Way
Dallas, TX 75228</t>
  </si>
  <si>
    <t>Kanthor, Pam
230 Barclay Ave
Coppell, TX 75019</t>
  </si>
  <si>
    <t>Donovan, Dan &amp; Hon. Carol
6509 Malcolm Drive
Dallas, TX 75214</t>
  </si>
  <si>
    <t>Reiss, William
2310 Mimosa Pl
Wilmington, NC 28403</t>
  </si>
  <si>
    <t>Grazzini, Alessio
4207 Calculus dr
Dallas, TX 75244</t>
  </si>
  <si>
    <t>Bogart, Billie
1825 Place One
Garland, TX 75042</t>
  </si>
  <si>
    <t>Baker, Jeri
10416 Church Road Dallas
Dallas, TX 75238</t>
  </si>
  <si>
    <t>Lin, Gilbert
8498 Banquo Dr
Dallas, TX 75228</t>
  </si>
  <si>
    <t>Crain, William
9454 Spring Branch Dr.
Dallas, TX 75238</t>
  </si>
  <si>
    <t>Donovan, Carol
6509 Malcolm Drive
Dallas, TX 75214</t>
  </si>
  <si>
    <t>Ginsberg, Elizabeth
6172 Preston Haven
Dallas, TX 75230</t>
  </si>
  <si>
    <t>Noble, Kristy
9821 Estacado Dr
Dallas, TX 75228</t>
  </si>
  <si>
    <t>Farmer, Maureen
9405 Clearhurst Drive
Dallas, TX 75238</t>
  </si>
  <si>
    <t>Feustel, Christi
7301 LAKEWOOD BLVD
DALLAS, TX 75214</t>
  </si>
  <si>
    <t>Piper, Victoria
179 Highland
Hamilton, MA 19820</t>
  </si>
  <si>
    <t>Howard, Todd
9623 Athlone Drive
Dallas, TX 75218</t>
  </si>
  <si>
    <t>Walsh, Joshua
2525 North Henderson Avenue
Dallas, TX 75206</t>
  </si>
  <si>
    <t>Gearing, Charles
9332 Mercer Dr
Dallas, TX 75228</t>
  </si>
  <si>
    <t>Cole, Sterling
2808 Pasadena Pl
Flower Mound, TX 75022</t>
  </si>
  <si>
    <t>Dorminy, Sean
9318 Wildahven Drive
Dallas, TX 75238</t>
  </si>
  <si>
    <t>Nettles, Archie
18959 Lina St
Dallas, TX 75287</t>
  </si>
  <si>
    <t>Hartnett, Michael
2732 Gaston Ave
Dallas, TX 75226</t>
  </si>
  <si>
    <t>Barling, Hannah
1777 N Record st
Dallas, TX 75202</t>
  </si>
  <si>
    <t>Hasenbauer, Brian
9811 Estate Lane
DALLAS, TX 75238</t>
  </si>
  <si>
    <t>Mumley, Jami
9082 Longmont Drive
Dallas, TX 75238</t>
  </si>
  <si>
    <t>Odum, Ania
4249 W Goret Road
Tucson, AZ 85745</t>
  </si>
  <si>
    <t>Holmes, Mark
9225 Royalpine Drive
Dallas, TX 75238</t>
  </si>
  <si>
    <t>Guynes, Adrienne
6646 E. Lovers Lane
Dallas, TX 75214</t>
  </si>
  <si>
    <t>Crawford, Jeannette
4833 W. Lawther Drive
Dallas, TX 75214</t>
  </si>
  <si>
    <t>Christen, FL
4833 W. Lawther Drive
Dallas, TX 75214</t>
  </si>
  <si>
    <t>Davis, Tony
6416 Woodbeach Dr.
Fort Worth, TX 76133</t>
  </si>
  <si>
    <t>Kendal Richardson</t>
  </si>
  <si>
    <t>Keen Homes LLC
6953 Bob O Link
Dallas, TX 75214</t>
  </si>
  <si>
    <t>Caldwell, James
3511 Trinity Meadows
Midland, TX 79707</t>
  </si>
  <si>
    <t>Jones, Edwin
1316 Parkview Lane
Murphy, TX 75094</t>
  </si>
  <si>
    <t>Carey, Jeff
300 E. Round Grove
Lewisville, TX 75067</t>
  </si>
  <si>
    <t>Page, Tony
3210 Carlyle
Dallas, TX 75204</t>
  </si>
  <si>
    <t>Estrada, Olegario
1223 N Bagley St
Dallas, TX 75211</t>
  </si>
  <si>
    <t>Pena, Celia
300 Centre St
Dallas, TX 75208</t>
  </si>
  <si>
    <t>Puente, Eric
2400 Catherine
Dallas, TX 75208</t>
  </si>
  <si>
    <t>Varela, David n Eva
210 N Ira
Dallas, TX 75211</t>
  </si>
  <si>
    <t>Ross, Tony
2351 W Northwest Hwy
Dallas, TX 75235</t>
  </si>
  <si>
    <t>Sanders, Jerri
2351 W Northwest Hwy
Dallas, TX 75235</t>
  </si>
  <si>
    <t>Hong, Jay
6953 Bella Vista
Irving, TX 75039</t>
  </si>
  <si>
    <t>Park, Jeung
659 Via Ravello
Irving, TX 75039</t>
  </si>
  <si>
    <t>Park, Mangu
4253 Hunt Dr
Carrollton, TX 75010</t>
  </si>
  <si>
    <t>Jordan, Elizabeth
628 Blanning
Dallas, TX 75218</t>
  </si>
  <si>
    <t>Byron McGough</t>
  </si>
  <si>
    <t>Byrne, Tim
3720 Miramar
Dallas, TX 75205</t>
  </si>
  <si>
    <t>Hunt, Ray
1900 N Akard
Dallas, TX 75201</t>
  </si>
  <si>
    <t>Pitchford, Joseph
200 Crescent Court
Dallas, TX 75201</t>
  </si>
  <si>
    <t>Butts, Kelem
3030 McKinney
Dallas, TX 75204</t>
  </si>
  <si>
    <t>Naul, Alan
3899 Maple Ave
Dallas, TX 75219</t>
  </si>
  <si>
    <t>Casey, Karen
6100 Tremont
Dallas, TX 75214</t>
  </si>
  <si>
    <t>Ohland, Bill
0000 P.O. Box 140810
Dallas, TX 75214</t>
  </si>
  <si>
    <t>Pankey, Julie
3435 Wendy Ln.
Dallas, TX 75214</t>
  </si>
  <si>
    <t>Pankey, Judson
3435 Wendy Ln.
Dallas, TX 75214</t>
  </si>
  <si>
    <t>Flabiano, Noah and Molly
5402 Emerson Ave
Dallas, TX 75209</t>
  </si>
  <si>
    <t>Leslie, Joann and Brian
6226 McCommas
Dallas, TX 75214</t>
  </si>
  <si>
    <t>Sleeper, Neal
3374 Blackburn
Dallas, TX 75201</t>
  </si>
  <si>
    <t>Schieber, Laura and Chad
3209 Drexel Dr
Dallas, TX 75205</t>
  </si>
  <si>
    <t>McNamara, Donald
3899 Maple Ave
Dallas, TX 75219</t>
  </si>
  <si>
    <t>Cobb, Phil
3839 McKinney Ave.
Dallas, TX 75204</t>
  </si>
  <si>
    <t>Friedman, Richard
20 University Rd
Cambridge, MA 02138</t>
  </si>
  <si>
    <t>Klemm, Nancy
1 Dalton
Boston, MA 02115</t>
  </si>
  <si>
    <t>Montfort, Jesus and Jane
1610 Hyland Greens Dr
Grapevine, TX 76051</t>
  </si>
  <si>
    <t>Aranza, Gilbert
000 P.O Box 601527
Dallas, TX 75360</t>
  </si>
  <si>
    <t>Aranza, Roselind
3445 University
Dallas, TX 75205</t>
  </si>
  <si>
    <t>Segrest, Matt
3012 Fairmont St.
Dallas, TX 75201</t>
  </si>
  <si>
    <t>Gunby, Elizabeth
3209 
Dallas, TX 75225</t>
  </si>
  <si>
    <t>Martin, VJ
8230 
Dallas, TX 75228</t>
  </si>
  <si>
    <t>Norris, Gina
4240 
Dallas, TX 75219</t>
  </si>
  <si>
    <t>Linebarger Goggan Blair &amp; Sampson, LLC
PO Box 17428
Austin, TX 78760</t>
  </si>
  <si>
    <t>Sifford, Bruce
12221 
Dallas, TX 75251</t>
  </si>
  <si>
    <t>Garcia, Catalina
10455 
Dallas, TX 75231</t>
  </si>
  <si>
    <t>Lester, Cedric
512 N Hampton Road
DeSoto, TX 75115</t>
  </si>
  <si>
    <t>Thomas, Cheri
608 Belhaven Dr
Allen, TX 75013</t>
  </si>
  <si>
    <t>Luce, Tom
7338 Lane Park Dr
Dallas, TX 75225</t>
  </si>
  <si>
    <t>Hall, Steve &amp; Joy
5959 Royal Lane
Dallas, TX 75230</t>
  </si>
  <si>
    <t>Hopper, John
8821 Tudor Pl
Dallas, TX 75228</t>
  </si>
  <si>
    <t>Washburne, Ray
47 Highland Park Village
Dallas, TX 75205</t>
  </si>
  <si>
    <t>Goldman, Bridget
4312 Larchmont St
Dallas, TX 75205</t>
  </si>
  <si>
    <t>Keyes, Katrina
3839 McKinney Ave
Dallas, TX 75244</t>
  </si>
  <si>
    <t>Pailet, Jeff
7308 Williamswood Dr
Dallas, TX 75252</t>
  </si>
  <si>
    <t>Walne, Alan
120 Rayflex Dr
Richardson, TX 75081</t>
  </si>
  <si>
    <t>Bailey, Mary
3817 Normandy Ave
Dallas, TX 75205</t>
  </si>
  <si>
    <t>Hernandez, James
1236 W 18th St
Houston, TX 77008</t>
  </si>
  <si>
    <t>Collie, Robert
5939 Pine Forest Road
Houston, TX 77057</t>
  </si>
  <si>
    <t>Johnson, Willis
1001 Belleview St
Dallas, TX 75215</t>
  </si>
  <si>
    <t>Taylor, David
11307 Coloma Lane
Houston, TX 77024</t>
  </si>
  <si>
    <t>Cox, Jonathan
1415 North Loop West
Houston, TX 77024</t>
  </si>
  <si>
    <t>Pradia, Troy
1415 N Loop West
Houston, TX 77004</t>
  </si>
  <si>
    <t>Lee, Jason
3602 Garrott St
Houston, TX 77006</t>
  </si>
  <si>
    <t>Deckard, Chassidy
409 Travis St
Houston, TX 77002</t>
  </si>
  <si>
    <t>Becker, Will
304 Town East Blvd
Sunnyvale, TX 75182</t>
  </si>
  <si>
    <t>Stanton, James
6125 Luther Ln
Dallas, TX 75225</t>
  </si>
  <si>
    <t>Nosek, Nicole
6 Basin Ledge East
West Lake, TX 78746</t>
  </si>
  <si>
    <t>Murchison, Robert
5430 LBJ Fwy
Dallas, TX 75240</t>
  </si>
  <si>
    <t>Idoux, Steve
6123 Orchid Lane
Dallas, TX 75230</t>
  </si>
  <si>
    <t>Pick, Jacki
10134 Waller Dr
Dallas, TX 75229</t>
  </si>
  <si>
    <t>Deason, Doug
10134 Waller Dr
Dallas, TX 75229</t>
  </si>
  <si>
    <t>Miller, Ronald
7920 Beltline
Dallas, TX 75254</t>
  </si>
  <si>
    <t>Martin, Jack
100 Crescent Court
Dallas, TX 75201</t>
  </si>
  <si>
    <t>Kress, Barnett
1400 Hardouin Ave
Austin, TX 78703</t>
  </si>
  <si>
    <t>Sampson, Demetris
2207 Elderoaks Ln
Dallas, TX 75232</t>
  </si>
  <si>
    <t>Gruber, Mike
1918 Olive St
Dallas, TX 75201</t>
  </si>
  <si>
    <t>Billingsley, Lucy
1723 Routh Street
Dallas, TX 75201</t>
  </si>
  <si>
    <t>Chapman, Jeffrey
4851 Harrys Lane
Dallas, TX 75229</t>
  </si>
  <si>
    <t>Todd, Shawn
400 Ervay
Dallas, TX 75201</t>
  </si>
  <si>
    <t>Seay, George
2626 Cole Ave
Dallas, TX 75204</t>
  </si>
  <si>
    <t>Lonsdale, Joe
2407 S Congress Ave
Austin, TX 78704</t>
  </si>
  <si>
    <t>Jakes, T.D.
8416 Meadowbrook Rd
Fort Worth, TX 76120</t>
  </si>
  <si>
    <t>Hicks, Thomas
310 First Street Southeast
Washington, DC 20003</t>
  </si>
  <si>
    <t>Johnson, Avery
1401 Elm St
Dallas, TX 75202</t>
  </si>
  <si>
    <t>Ryan, George &amp; Amanda
PO Box 803447
Dallas, TX 75380</t>
  </si>
  <si>
    <t>Aranza, Anthony
1507 Stonehedge Bend Dr
Houston, TX 77073</t>
  </si>
  <si>
    <t>Valach, Jane
5 Lazee Trail
Houston, TX 77024</t>
  </si>
  <si>
    <t>Cara Mendelsohn</t>
  </si>
  <si>
    <t>HBA of Greater Dallas HOMEPAC
5816 W. Plano Pkwy
Plano, TX 75093</t>
  </si>
  <si>
    <t>Mazziotta, Beth
7114 Royal Lane
Dallas, TX 75230</t>
  </si>
  <si>
    <t>Hunt, Ray
1900 N Akard Street
Dallas, TX 75201</t>
  </si>
  <si>
    <t>Stein, Sheldon
9338 Meadowbrook Dr
Dallas, TX 75220</t>
  </si>
  <si>
    <t>Stein, Barbara
9338 Meadowbrook Dr
Dallas, TX 75220</t>
  </si>
  <si>
    <t>Deitchman, Buzz and Nancy
17205 Wester Way Ct
Dallas, TX 75248</t>
  </si>
  <si>
    <t>Goad, Robert
7034 Lattimore Dr
Dallas, TX 75252</t>
  </si>
  <si>
    <t>Agnich, Victoria
11 Cheltenham Way
Dallas, TX 75230</t>
  </si>
  <si>
    <t>Cohen, Doug
2731 Satsuma Dr
Dallas, TX 75229</t>
  </si>
  <si>
    <t>Walne, Walter Alan
120 Rayflex Drive
Richardson, TX 75081</t>
  </si>
  <si>
    <t>Clore, William
9613 Watkins Rd
Laytonsville, MD 20882</t>
  </si>
  <si>
    <t>Whitman Bobbitt, Jeanne
4500 Roland Ave
Dallas, TX 75219</t>
  </si>
  <si>
    <t>Weinberg, Mike
7271 Kenny Ln
Dallas, TX 75230</t>
  </si>
  <si>
    <t>Frauman, Mindy
74315 Midbury Drive
Dallas, TX 75230</t>
  </si>
  <si>
    <t>Koslin, Rochelle
3456 Brook Mountain Lane
Birmingham, AL 35223</t>
  </si>
  <si>
    <t>Barnett, Sheli
14003 Hughes Lane
Dallas, TX 75254</t>
  </si>
  <si>
    <t>Barnett, Miriam
14020 Hughes Lane
Dallas, TX 75254</t>
  </si>
  <si>
    <t>Tsao, William Ming Tzong
6435 Riverview Lane
Dallas, TX 75248</t>
  </si>
  <si>
    <t>Lerer, Jane Saginaw
3831 Turtle Creek Blvd
Dallas, TX 75219</t>
  </si>
  <si>
    <t>Epstein, Dia
6 Ryddington Place
Dallas, TX 75230</t>
  </si>
  <si>
    <t>Forbes, Jeff
10159 Coveridge Drive
Dallas, TX 75238</t>
  </si>
  <si>
    <t>Judson, David
7244 N Janmar Drive
Dallas, TX 75230</t>
  </si>
  <si>
    <t>Stack, Carter
7304 Malabar Ln
Dallas, TX 75230</t>
  </si>
  <si>
    <t>Krakow, Robert
4258 Shorecrest Drive
Dallas, TX 75209</t>
  </si>
  <si>
    <t>Feldman, Cynthia
5358 Meaders Ln
Dallas, TX 75229</t>
  </si>
  <si>
    <t>Allen, Artie
18720 Amador Ave
Dallas, TX 75252</t>
  </si>
  <si>
    <t>Nicklaus Sabin, Patricia
12606 Breckenridge Drive
Dallas, TX 75230</t>
  </si>
  <si>
    <t>Garcia, Catalina
7622 Royal Place
Dallas, TX 75230</t>
  </si>
  <si>
    <t>Heller, Stephen
6740 Harvest Glen Dr
Dallas, TX 75248</t>
  </si>
  <si>
    <t>Rutchik, Morris
5200 Keller Springs Road
Dallas, TX 75248</t>
  </si>
  <si>
    <t>Wilkofsky, Susan
11651 Hillcrest Rd
Dallas, TX 75230</t>
  </si>
  <si>
    <t>Radunsky, Barbara
12015 Excelsior Way
Dallas, TX 75230</t>
  </si>
  <si>
    <t>Moskowitz, Mitch
5915 Warm Mist Ln
Dallas, TX 75248</t>
  </si>
  <si>
    <t>Swartzbaugh, Nathan
7716 Royal Ln
Dallas, TX 75230</t>
  </si>
  <si>
    <t>Erback, Elaine
7731 Royal Lane
Dallas, TX 75230</t>
  </si>
  <si>
    <t>Williams, Debra
10924 Pinocchio Dr
Dallas, TX 75229</t>
  </si>
  <si>
    <t>Bazaldua, Adam
6926 Belteau Lane
Dallas, TX 75227</t>
  </si>
  <si>
    <t>Ohayon, Jacques
6246 Dykes Way
dallas, TX 75230</t>
  </si>
  <si>
    <t>Hodes, Richard
220 East 42nd Street
New York, NY 10017</t>
  </si>
  <si>
    <t>Rothschild, Barry
6915 Currin Drive
Dallas, TX 75230</t>
  </si>
  <si>
    <t>Rosenberg, Ruthy
12036 Arbargee Cir
Dallas, TX 75230</t>
  </si>
  <si>
    <t>Nayeb, Farhad
10515 Lennox Ln
Dallas, TX 75229</t>
  </si>
  <si>
    <t>Rubin, Susie
7455 Malabar Lane
Dallas, TX 75230</t>
  </si>
  <si>
    <t>Mersky, Charles
7406 Midbury Drive
Dallas, TX 75230</t>
  </si>
  <si>
    <t>Ginsburg, Lawrence
6911 Oak Manor Drive
Dallas, TX 75230</t>
  </si>
  <si>
    <t>Mizrahi, Jennifer
1306 Beachview Rd
Annapolis, MD 21403</t>
  </si>
  <si>
    <t>Lee, Carl
12045 Edgestone Road
Dallas, TX 75230</t>
  </si>
  <si>
    <t>Risch, Jolene
6011 Warm Mist Lane
Dallas, TX 75248</t>
  </si>
  <si>
    <t>Bernbaum, bruce
7715 Northaven Road
Dallas, TX 75230</t>
  </si>
  <si>
    <t>Bell, David
8350 Meadow Road
Dallas, TX 75231</t>
  </si>
  <si>
    <t>Aisner, Robert
27 Edge Hill Drive
Dallas, TX 75248</t>
  </si>
  <si>
    <t>Umholtz, Lisa
7336 Hill Forest Drive
Dallas, TX 75230</t>
  </si>
  <si>
    <t>Jordan, Cris
4843 Junius Street
Dallas, TX 75246</t>
  </si>
  <si>
    <t>Greif, Lizzy
6532 Longfellow Drive
Dallas, TX 75230</t>
  </si>
  <si>
    <t>Chafetz, Paul
12006 De Or
Dallas, TX 75230</t>
  </si>
  <si>
    <t>Palmer, Wendy
7715 Midbury Drive
Dallas, TX 75230</t>
  </si>
  <si>
    <t>Jacobsen, Jack
7431 Yamini Dr
Dallas, TX 75230</t>
  </si>
  <si>
    <t>Fried, Randall
6263 Prestoncrest Ln
Dallas, TX 75230</t>
  </si>
  <si>
    <t>Cohen, Howard
13209 Roaring Springs Lane
Dallas, TX 75240</t>
  </si>
  <si>
    <t>Lecca, Gina
5200 Keller Springs Rd
Dallas, TX 75248</t>
  </si>
  <si>
    <t>Fritts, Jeff
14108 Regency Place
Dallas, TX 75254</t>
  </si>
  <si>
    <t>Gallant, Ann
7231 Northaven Road
Dallas, TX 75230</t>
  </si>
  <si>
    <t>Deitsch-Perez, Deborah
7207 Azalea Lane
Dallas, TX 75230</t>
  </si>
  <si>
    <t>Sims, Mike
6121 Lavendale Ave
Dallas, TX 75230</t>
  </si>
  <si>
    <t>Bennett, Dottie
3405 Rustic Way Lane
Falls Church, VA 22044</t>
  </si>
  <si>
    <t>Pogson, Anne
12112 Talmay Drive
Dallas, TX 75230</t>
  </si>
  <si>
    <t>Leibs, Arlene
11607 St Michaels Dr
Dallas, TX 75035</t>
  </si>
  <si>
    <t>Cedars, Leonard
12135 Madeleine Circle
Dallas, TX 75230</t>
  </si>
  <si>
    <t>Meltzer, Hedy
13345 Peyton Drive
Dallas, TX 75240</t>
  </si>
  <si>
    <t>Romaner, Carla
2902 Victoria Circle
Coconut Creek, FL 33066</t>
  </si>
  <si>
    <t>Radoff, Michael
16814 Thomas Chapel Drive
Dallas, TX 75248</t>
  </si>
  <si>
    <t>Korenvaes, Harlan
5423 Park Lane
Dallas, TX 75220</t>
  </si>
  <si>
    <t>Raffkind, Eliot
6527 Westgate Drive
Dallas, TX 75254</t>
  </si>
  <si>
    <t>Brown, Ike
909 Lake Carolyn Parkway
Irving, TX 75039</t>
  </si>
  <si>
    <t>Finkelstein, Bill
11711 Parwen Drive
Dallas, TX 75230</t>
  </si>
  <si>
    <t>Scofield, Paula
21 Ashton Court
Dallas, TX 75230</t>
  </si>
  <si>
    <t>Glazer, Barbara
5665 Arapaho Rd
Dallas, TX 75248</t>
  </si>
  <si>
    <t>Suffness, Dorit
6961 Brookshire Dr
Dallas, TX 75230</t>
  </si>
  <si>
    <t>Suttle, Karen
12526 Sunlight Drive
Dallas, TX 75230</t>
  </si>
  <si>
    <t>Marcum, Janet
7714 Maplecrest Drive
Dallas, TX 75254</t>
  </si>
  <si>
    <t>Steinberg, Lindsay
6130 Preston Haven Dr
Dallas, TX 75230</t>
  </si>
  <si>
    <t>Steinberg, Jeffrey
6130 Preston Haven Dr
Dallas, TX 75230</t>
  </si>
  <si>
    <t>Friedman, Colin
5200 Keller Springs Road
Dallas, TX 75248</t>
  </si>
  <si>
    <t>Arbetter, Fonda
4140 Rainsong
Dallas, TX 75287</t>
  </si>
  <si>
    <t>Pulley, Tegwin
11435 Hillcrest Road
Dallas, TX 75230</t>
  </si>
  <si>
    <t>Wimberly, Ken
6921 Baxtershire Drive
Dallas, TX 75230</t>
  </si>
  <si>
    <t>Sahuc, Philip
10828 Pagewood Dr
Dallas, TX 75230</t>
  </si>
  <si>
    <t>Blum, Jonathan
4603 Bretton Bay Lane
Dallas, TX 75287</t>
  </si>
  <si>
    <t>Worden, Lawrence
2019 Old Orchard Dr
Dallas, TX 75208</t>
  </si>
  <si>
    <t>Kahn, Marcy
5125 Water Haven Lane
Plano, TX 75093</t>
  </si>
  <si>
    <t>Magadini, Tricy
11417 Saint Michaels Drive
Dallas, TX 75230</t>
  </si>
  <si>
    <t>Cohen, Arbe
13105 Roaring Springs Lane
Dallas, TX 75240</t>
  </si>
  <si>
    <t>Kofoed, Peter
7122 Brookshire Circle
Dallas, TX 75230</t>
  </si>
  <si>
    <t>Tonti, Michael
10310 Woodford Drive
Dallas, TX 75229</t>
  </si>
  <si>
    <t>Zale, Donald
26 Stonecourt Drive
Dallas, TX 75225</t>
  </si>
  <si>
    <t>Bobbitt, Jeanne
4500 Roland Avenue
Dallas, TX 75219</t>
  </si>
  <si>
    <t>Rovinsky, Shirley
7023 Northaven Road
Dallas, TX 75230</t>
  </si>
  <si>
    <t>West, Chad
3606 S Tyler Street
Dallas, TX 75224</t>
  </si>
  <si>
    <t>Friedland, Ellen
519 Westbourne Dr
West Hollywood, CA 90048</t>
  </si>
  <si>
    <t>Belofsky, Selwin
6487 Cliffbrook Dr
Dallas, TX 75254</t>
  </si>
  <si>
    <t>Goldberg, Marshal
7215 S Janmar Dr
Dallas, TX 75339</t>
  </si>
  <si>
    <t>Backes, Leon
10210 N Central Expressway
Dallas, TX 75231</t>
  </si>
  <si>
    <t>Weiner, Harvey
6101 Ohio Drive
Plano, TX 75024</t>
  </si>
  <si>
    <t>Cheirif, Heidy
6027 Shetland Drive
Dallas, TX 75230</t>
  </si>
  <si>
    <t>Zweig, Louis
5220 Ambergate Ln
Dallas, TX 75287</t>
  </si>
  <si>
    <t>Steinbrecher, Janyce
7452 Malabar Lane
Dallas, TX 75230</t>
  </si>
  <si>
    <t>Hampton, Joanna
5408 Swiss Avenue
Dallas, TX 75214</t>
  </si>
  <si>
    <t>Zucker, Michael
12023 Browning Lane
Dallas, TX 75230</t>
  </si>
  <si>
    <t>Seymour, Jeffrey
7806 Yamini Dr
Dallas, TX 75230</t>
  </si>
  <si>
    <t>Chafetz, Paul
12255 Montego Plaza
Dallas, TX 75230</t>
  </si>
  <si>
    <t>Kogutt, Judy
5708 Willow Lane
Dallas, TX 75230</t>
  </si>
  <si>
    <t>Schwarz, Janice
12107 Prestonridge Road
Dallas, TX 75230</t>
  </si>
  <si>
    <t>Hogue, Jim
8 Milford Place
Dallas, TX 75230</t>
  </si>
  <si>
    <t>Rosenberg, Steven
12036 Arbargee Cir
DALLAS, TX 75230</t>
  </si>
  <si>
    <t>Smith, Wayne
10455 N Central Expressway
Dallas, TX 75231</t>
  </si>
  <si>
    <t>Presby, Ellen
8210 Vitex Ave
Dallas, TX 75252</t>
  </si>
  <si>
    <t>Cheatham, Diane
PO Box 191166
Dallas, TX 75219</t>
  </si>
  <si>
    <t>Hodes, Daniel
19 North Vista De Catalina
Laguna Beach, CA 92651</t>
  </si>
  <si>
    <t>Schenkel, Peter
614 North Bishop Avenue
Dallas, TX 75208</t>
  </si>
  <si>
    <t>Lyle, Bobby
34 Masland Circle
Dallas, TX 75230</t>
  </si>
  <si>
    <t>Kleinman, Mark
6926 Midbury Dr
Dallas, TX 75230</t>
  </si>
  <si>
    <t>Yoxall, Thomas
2519 Cambria Blvd
Dallas, TX 75214</t>
  </si>
  <si>
    <t>Luther, David
619 Kessler Springs Ave
Dallas, TX 75208</t>
  </si>
  <si>
    <t>Best, Nancy
9762 Audubon Place
Dallas, TX 75220</t>
  </si>
  <si>
    <t>Mann, Bruce
24 Linnaean Street
Cambridge, MA 02138</t>
  </si>
  <si>
    <t>Davis, Denise
58 Country Oaks Dr
Buda, TX 78610</t>
  </si>
  <si>
    <t>Lutin, Jason
3216 Princeton Ave
Dallas, TX 75205</t>
  </si>
  <si>
    <t>Culbreath, Betty
630 Villa Creek Dr
Duncanville, TX 75137</t>
  </si>
  <si>
    <t>Parobek, Jim
7233 Brennans Dr
Dallas, TX 75214</t>
  </si>
  <si>
    <t>Olson, Lyndon
5400 Bosque Blvd
Waco, TX 76710</t>
  </si>
  <si>
    <t>Sacher, Sury and David
7225 South Janmar court
Dallas, TX 75230</t>
  </si>
  <si>
    <t>Renfro, Liz &amp; Mel
8211 Hunnicut Rd
Dallas, TX 75228</t>
  </si>
  <si>
    <t>Andres, Marc
2800 N Henderson Ave
Dallas, TX 75206</t>
  </si>
  <si>
    <t>Vaught, Allen
6122 Palo Pinto Ave
Dallas, TX 75214</t>
  </si>
  <si>
    <t>Ku, Charles
148 Red Oak Lane
Flower Mound, TX 75028</t>
  </si>
  <si>
    <t>Sampson, DeMetris
2207 Elderoaks Lane
Dallas, TX 75232</t>
  </si>
  <si>
    <t>Dominguez, Jeffrey
3112 Windsor Road
Austin, TX 78703</t>
  </si>
  <si>
    <t>Knaupe, Gregg
800 Westbrook Dr
West Lake, TX 78746</t>
  </si>
  <si>
    <t>Christian, Jerry
8112 Fox Creek Trail
Dallas, TX 75249</t>
  </si>
  <si>
    <t>Wynne, Katherine
342 N Manus Dr
Dallas, TX 75224</t>
  </si>
  <si>
    <t>Gump, Richard
6015 Oakcrest Road
Dallas, TX 75248</t>
  </si>
  <si>
    <t>Koch, Justin
12132 Fieldwood Lane
Dallas, TX 75244</t>
  </si>
  <si>
    <t>Ayala, Juan
9668 Arborhill
Dallas, TX 75243</t>
  </si>
  <si>
    <t>Ross, Darmetta
3107 W Camp Wisdom
Dallas, TX 75237</t>
  </si>
  <si>
    <t>Johnson, Lelious
1256 Payne Dr
Lancaster, TX 75134</t>
  </si>
  <si>
    <t>Brown, David
4719 Cole Ave
Dallas, TX 75205</t>
  </si>
  <si>
    <t>Brock, Anthony
5915 Mesa Brook Ln
Houston, TX 77041</t>
  </si>
  <si>
    <t>Mondell, Fonya
1918 Moser Ave
Dallas, TX 75206</t>
  </si>
  <si>
    <t>Dym, Kevin
7928 Fallowmeadow Ln
Dallas, TX 75206</t>
  </si>
  <si>
    <t>Scovell, Tyler Dupree
7034 Alexander Dr
Dallas, TX 75214</t>
  </si>
  <si>
    <t>Bullock, Robert and Sue
8020 Frankford Rd
Dallas, TX 75252</t>
  </si>
  <si>
    <t>Popolo, Joe
9002 Douglas Ave
Dallas, TX 75225</t>
  </si>
  <si>
    <t>Capelo, Jaime
401 W 15th St
Austin, TX 78701</t>
  </si>
  <si>
    <t>Feinstein, Ari
7047 Currin Dr
Dallas, TX 75230</t>
  </si>
  <si>
    <t>Lazof, Chenza
2555 N Pearl St
Dallas, TX 75201</t>
  </si>
  <si>
    <t>Senat, Doran
1410 Iowa Ave
Dallas, TX 75216</t>
  </si>
  <si>
    <t>Botefuhr, John
10119 Estacado Dr
Dallas, TX 75228</t>
  </si>
  <si>
    <t>Phillips, Slay
506 Sacramento Dr
Austin, TX 78704</t>
  </si>
  <si>
    <t>Oliver, Jesse
3812 Holliday Rd
Dallas, TX 75224</t>
  </si>
  <si>
    <t>Tolbert, Marah
1700 Cedar Springs Rd
Dallas, TX 75202</t>
  </si>
  <si>
    <t>Sacher, Mervyn
12115 Talmay Dr
Dallas, TX 75230</t>
  </si>
  <si>
    <t>Paley, Andrew
6022 Windbreak Tr
Dallas, TX 75252</t>
  </si>
  <si>
    <t>Houston, Matt
1504 Boca Chica Dr
Dallas, TX 75232</t>
  </si>
  <si>
    <t>McBee, Lynn
3925 Stonebridge Dr
Dallas, TX 75204</t>
  </si>
  <si>
    <t>Berry, Sammie
1219 Coronado Ln
Duncanville, TX 75137</t>
  </si>
  <si>
    <t>Fowler, Joe Bart
4720 Rockcliff Rd
Austin, TX 78746</t>
  </si>
  <si>
    <t>Clark, Sandra
6029 S R L Thornton Fwy
Dallas, TX 75232</t>
  </si>
  <si>
    <t>Hurst, Michael
2100 Ross Ave
Dallas, TX 75201</t>
  </si>
  <si>
    <t>Tony, Bryan
1500 Pecos St
Dallas, TX 75204</t>
  </si>
  <si>
    <t>Luallen, Brian
2772 Gaston Ave
Dallas, TX 75226</t>
  </si>
  <si>
    <t>Williams, Johnette
1609 Lauren Springs Court
DeSoto, TX 75115</t>
  </si>
  <si>
    <t>Davenport, Cheryl
7575 S Westmoreland
Dallas, TX 75237</t>
  </si>
  <si>
    <t>Mueller, Jason
10331 Sherbrook Ln
Dallas, TX 75229</t>
  </si>
  <si>
    <t>Toney, Keith
4619 Wedgecrest Dr
Dallas, TX 75232</t>
  </si>
  <si>
    <t>Anderson, Terri
657 Knights Way
Coppell, TX 75019</t>
  </si>
  <si>
    <t>Starling, Christina
8501 Old Hickory Trail
Dallas, TX 75237</t>
  </si>
  <si>
    <t>Childress, Anita
8366 Santa Clara Dr
Dallas, TX 75218</t>
  </si>
  <si>
    <t>Parker, Petey
1717 Arts Plaza
Dallas, TX 75201</t>
  </si>
  <si>
    <t>Cager, Rubye
5315 Rocky Ridge Rd
Dallas, TX 75241</t>
  </si>
  <si>
    <t>Twining, Kevin
8122 San Benito Way
Dallas, TX 75218</t>
  </si>
  <si>
    <t>Parish, Deborah
3114 Dorrington Cir
Dallas, TX 75228</t>
  </si>
  <si>
    <t>Parish, Donald
3114 Dorrington Cir
Dallas, TX 75228</t>
  </si>
  <si>
    <t>Davidson, John Mark
9010 Eustis Ave
Dallas, TX 75218</t>
  </si>
  <si>
    <t>Vaca, Nina
10670 N Central Expy
Dallas, TX 75231</t>
  </si>
  <si>
    <t>Hinojosa, Gustavo
4431 Holland Ave
Dallas, TX 75219</t>
  </si>
  <si>
    <t>Harris, Tonie
1503 Tubman Road Southeast
Washington, DC 20020</t>
  </si>
  <si>
    <t>Meade, Nikelle
5363 Austral Loop
Austin, TX 78739</t>
  </si>
  <si>
    <t>Satterthwaite, Gwendolyn
4804 Cape Coral Dr
Dallas, TX 75287</t>
  </si>
  <si>
    <t>Jackson, Sarah
8600 Thackery St
Dallas, TX 75225</t>
  </si>
  <si>
    <t>Kutac, Gary &amp; Angela
1552 San Saba Dr
Dallas, TX 75218</t>
  </si>
  <si>
    <t>Sandler, Derek
6426 Woodland Dr
Dallas, TX 75225</t>
  </si>
  <si>
    <t>Thomas, Bart
608 Belhaven
Allen, TX 75013</t>
  </si>
  <si>
    <t>Brown, James
16805 Deer Park Dr
Dallas, TX 75248</t>
  </si>
  <si>
    <t>Katz, Marc
10244 Epping Ln
Dallas, TX 75229</t>
  </si>
  <si>
    <t>McCullough, JoAnne
7239 Lane Park Dr
Dallas, TX 75225</t>
  </si>
  <si>
    <t>Woodlief, Mari
3864 West Beverly
Dallas, TX 75209</t>
  </si>
  <si>
    <t>Kazee, Eric
517 Cedarwood St
Aubrey, TX 76227</t>
  </si>
  <si>
    <t>Champion, Ocie
3629 Vilbig Road
Dallas, TX 75212</t>
  </si>
  <si>
    <t>Burrell, Monica
PO Box 851991
Mesquite, TX 75185</t>
  </si>
  <si>
    <t>Magnis, Ellen
5511 Preston Fairways Dr
Dallas, TX 75252</t>
  </si>
  <si>
    <t>Lester, James
6363 W Camp Wisdom
Dallas, TX 75236</t>
  </si>
  <si>
    <t>Roberts, Whit
3600 Rosedale
Dallas, TX 75205</t>
  </si>
  <si>
    <t>Williams, Yolanda
1012 Pindar Ave
Dallas, TX 75217</t>
  </si>
  <si>
    <t>Fleiss, Eric
3808 Miramar Ave
Dallas, TX 75205</t>
  </si>
  <si>
    <t>Jones, Kelly
1731 Eagle River Trail
Lancaster, TX 75146</t>
  </si>
  <si>
    <t>Billingsley, Lindsay
5369 Nakoma Dr
Dallas, TX 75209</t>
  </si>
  <si>
    <t>Taylor, Sharain
2105 Kessler Court
Dallas, TX 75208</t>
  </si>
  <si>
    <t>Egan, Danielle
4512 Belclaire Ave
Dallas, TX 75205</t>
  </si>
  <si>
    <t>English, Charles
PO Box 140189
Dallas, TX 75214</t>
  </si>
  <si>
    <t>Stewart, Alecia
10616 Big Thicket Dr
Dallas, TX 75217</t>
  </si>
  <si>
    <t>Borick, Steven
2707 Kipling St
Houston, TX 77098</t>
  </si>
  <si>
    <t>Bishop LeMelle, Janice
813 Rainbow Ln
Cedar Hill, TX 75104</t>
  </si>
  <si>
    <t>Kelly, Gary
2702 Love Field Dr
Dallas, TX 75235</t>
  </si>
  <si>
    <t>Johnson, Leander
3111 N Houston St
Dallas, TX 75219</t>
  </si>
  <si>
    <t>Brown, Clara
4541 Crown Knoll Cir
Dallas, TX 75232</t>
  </si>
  <si>
    <t>Frazier, Karen
2829 Trailhouse Dr
Dallas, TX 75237</t>
  </si>
  <si>
    <t>Setnick, Benjamin
222 Lakeridge Dr
Dallas, TX 75218</t>
  </si>
  <si>
    <t>Black, Tre
751 Kessler Lake Dr
Dallas, TX 75208</t>
  </si>
  <si>
    <t>Gates, Jennifer
4914 Keyhole Lane
Dallas, TX 75229</t>
  </si>
  <si>
    <t>Murchison, Maggie
10131 Gaywood Rd
Dallas, TX 75229</t>
  </si>
  <si>
    <t>Barnes, Madge
1100 Lake Carolyn Pkwy
Irving, TX 75039</t>
  </si>
  <si>
    <t>Jones, Dale
700 Park Regency Place
Atlanta, GA 30326</t>
  </si>
  <si>
    <t>Townsend, KB
PO Box 720231
Dallas, TX 75372</t>
  </si>
  <si>
    <t>Haggerty, Clint
1221 Manufacturing St
Dallas, TX 75207</t>
  </si>
  <si>
    <t>Koop, Linda
15210 Leafy Ln
Dallas, TX 75248</t>
  </si>
  <si>
    <t>Feuer, Ian
822 Kings Canyon Court
Coppell, TX 75019</t>
  </si>
  <si>
    <t>Abtahi, Robert
1126 N Zang Blvd
Dallas, TX 75203</t>
  </si>
  <si>
    <t>Dorantes, Alan
1908 Emilia Dr
Celina, TX 75009</t>
  </si>
  <si>
    <t>King, Delva
1243 W Pleasant Run Road
Desoto, TX 75115</t>
  </si>
  <si>
    <t>Conley, Paige
10429 Yorkford Dr
Dallas, TX 75238</t>
  </si>
  <si>
    <t>Hill, Kendall
3126 Ross Ave
Dallas, TX 75204</t>
  </si>
  <si>
    <t>Jones, Venton
1075 Griffin St W
Dallas, TX 75215</t>
  </si>
  <si>
    <t>Larosiliere, Tracy
6604 Briar Ridge Lane
Plano, TX 75024</t>
  </si>
  <si>
    <t>Walker, Blake
7018 Elmridge Dr
Dallas, TX 75240</t>
  </si>
  <si>
    <t>Huerta, Daniel
1414 Cedar Hill
Dallas, TX 75208</t>
  </si>
  <si>
    <t>Starnes, Darrell
11937 Denton Dr
Dallas, TX 75234</t>
  </si>
  <si>
    <t>Bennett, Jeffrey
3100 Commerce St
Dallas, TX 75226</t>
  </si>
  <si>
    <t>Joyner, Oscar
1512 Nelson Dr
Irving, TX 75038</t>
  </si>
  <si>
    <t>Robinson, David
1720 Dartmouth Dr
Glenn Heights, TX 75154</t>
  </si>
  <si>
    <t>Vindas, Andrea
448 W 19th St
Houston, TX 77008</t>
  </si>
  <si>
    <t>Silva, Carlos
901 Lakeside Cir
Lewisville, TX 75057</t>
  </si>
  <si>
    <t>Syed, Sana
3838 Oak Lawn
Dallas, TX 75219</t>
  </si>
  <si>
    <t>Mier, Dan
8515 San Benito Way
Dallas, TX 75218</t>
  </si>
  <si>
    <t>Mier, Brian
8515 San Benito Way
Dallas, TX 75218</t>
  </si>
  <si>
    <t>Ford, Chris
8047 Moss Meadows Dr
Dallas, TX 75231</t>
  </si>
  <si>
    <t>Warner, Michael
4727 Arvilla Lane
Houston, TX 77021</t>
  </si>
  <si>
    <t>Moore, Matt
5807 Still Forest Dr
Dallas, TX 75252</t>
  </si>
  <si>
    <t>Anderson, Annette
3706 Pallos Verdas Dr
Dallas, TX 75229</t>
  </si>
  <si>
    <t>Garfield, Ray
6306 Stonehill Dr
Dallas, TX 75254</t>
  </si>
  <si>
    <t>Price, Mandy
6303 Revere Place
Dallas, TX 75214</t>
  </si>
  <si>
    <t>Kelly, Patrick
6544 Winton Street
Dallas, TX 75214</t>
  </si>
  <si>
    <t>Coleman, William
6643 Prairie Flower Trail
Dallas, TX 75227</t>
  </si>
  <si>
    <t>Perryman, Sally
6138 Woodland Dri
Dallas, TX 75225</t>
  </si>
  <si>
    <t>Perryman, Thomas
6138 Woodland Dr
Dallas, TX 75225</t>
  </si>
  <si>
    <t>Benton, Levi
3417 Milam St
Houston, TX 77002</t>
  </si>
  <si>
    <t>Segura, Rodolfo
9706 Maplehill Dr
Dallas, TX 75238</t>
  </si>
  <si>
    <t>Hubbard, Michael
1510 Redbird Dr
Garland, TX 75043</t>
  </si>
  <si>
    <t>Webb, Crayton
5505 W University Blvd
Dallas, TX 75209</t>
  </si>
  <si>
    <t>Dunning, Tom &amp; Sally
9239 Hathaway St
Dallas, TX 75220</t>
  </si>
  <si>
    <t>Henry, Justin
7012 Lindsley Ave
Dallas, TX 75223</t>
  </si>
  <si>
    <t>Sadler, Tamara
1113 Bordeaux
DeSoto, TX 75115</t>
  </si>
  <si>
    <t>Walters, Robert
2001 Ross Ave
Dallas, TX 75201</t>
  </si>
  <si>
    <t>Enobakhare, Jesuorobo
305 W Commerce St
Dallas, TX 75208</t>
  </si>
  <si>
    <t>McDougal, Matthew
4001 Ross Ave
Dallas, TX 75205</t>
  </si>
  <si>
    <t>Matthews, Jack
120 Winding Creek Way
Argyle, TX 76226</t>
  </si>
  <si>
    <t>Lashlee, Rhett
3500 Villanova St
Dallas, TX 75225</t>
  </si>
  <si>
    <t>Christian, Doretha
8112 Fox Creek Trail
Dallas, TX 75249</t>
  </si>
  <si>
    <t>Cabrales, David
2021 McKinney Ave
Dallas, TX 75201</t>
  </si>
  <si>
    <t>Tsao, William
6435 Riverview Lane
Dallas, TX 75252</t>
  </si>
  <si>
    <t>Agarwal, Arun
123 Oak Lawn Ave
Dallas, TX 75207</t>
  </si>
  <si>
    <t>Odom, Anita
1708 Richlen
Dallas, TX 75115</t>
  </si>
  <si>
    <t>Garcia, Matthew
500 N Akard St
Dallas, TX 75201</t>
  </si>
  <si>
    <t>Garcia, Matthew
7415 Chattington Dr
Dallas, TX 75248</t>
  </si>
  <si>
    <t>Brunson, Albert
8328 Mountainview Dr
Dallas, TX 75249</t>
  </si>
  <si>
    <t>Flournoy, LaTonya
2303 Ave H
Grand Prairie, TX 75050</t>
  </si>
  <si>
    <t>Bellew, Jill
9406 Crestedge
Dallas, TX 75238</t>
  </si>
  <si>
    <t>Adams, Jim
9927 Capridge
Dallas, TX 75238</t>
  </si>
  <si>
    <t>Briggs, Lisa
9759 Edgepine
Dallas, TX 75238</t>
  </si>
  <si>
    <t>Hedrick, Steve
11310 Goddard Ct.
Dallas, TX 75218</t>
  </si>
  <si>
    <t>Coutant, Kenneth
9318 Clearhurst
Dallas, TX 75238</t>
  </si>
  <si>
    <t>Jones, Kathryn
6920 Midcrest Dr.
Dallas, TX 75254</t>
  </si>
  <si>
    <t>Stein, Mitchell
11210 Bellafonte Dr.
Dallas, TX 75243</t>
  </si>
  <si>
    <t>Stewart, Elizabeth
6801 Valburn Dr.
Austin, TX 78731</t>
  </si>
  <si>
    <t>Badgett, Charles
8602 Middle Downs Dr.
Dallas, TX 75243</t>
  </si>
  <si>
    <t>Glendenning, Don
2200 Ross Avenue
Dallas, TX 75201</t>
  </si>
  <si>
    <t>Siegers, Rolf
9432 Brentgate
Dallas, TX 75238</t>
  </si>
  <si>
    <t>Siegers, Anita
9432 Brentgate
Dallas, TX 75238</t>
  </si>
  <si>
    <t>Barab, Stuart
9132 Branch Hollow
Dallas, TX 75243</t>
  </si>
  <si>
    <t>Boyd, Bill
10140 Ferndale
Dallas, TX 75238</t>
  </si>
  <si>
    <t>King, Jenny
9206 Canter Dr.
Dallas, TX 75231</t>
  </si>
  <si>
    <t>Baker, Jerry
10416 Church Road
Dallas, TX 75238</t>
  </si>
  <si>
    <t>Bonahoom, Julie
9114 Arborside
Dallas, TX 75243</t>
  </si>
  <si>
    <t>Lauck, Larry
10529 Estate Lane
Dallas, TX 75238</t>
  </si>
  <si>
    <t>Timmerman, Amy
9924 Edgecove
Dallas, TX 75238</t>
  </si>
  <si>
    <t>Lewis, Gale
6829 Blackwood
Dallas, TX 75231</t>
  </si>
  <si>
    <t>Aldredge, Chris
7014 Preston Grove
Dallas, TX 75230</t>
  </si>
  <si>
    <t>Aldredge, Cindy
7014 Preston Grove
Dallas, TX 75230</t>
  </si>
  <si>
    <t>Bubel, Laurie
9624 Spring Branch
Dallas, TX 75238</t>
  </si>
  <si>
    <t>Carrick, Julie
3221 Clubview Dr
Argyle, TX 76226</t>
  </si>
  <si>
    <t>Fenimore, Elizabeth
9728 Windledge
Dallas, TX 75238</t>
  </si>
  <si>
    <t>Stewart, Molly
8750 Westminister Terrace
Dallas, TX 75243</t>
  </si>
  <si>
    <t>Brunkenhoefer, Carolyn
9077 Fairglen Dr.
Dallas, TX 75231</t>
  </si>
  <si>
    <t>Jodie, Julie
9617 Windy Hill
Dallas, TX 75238</t>
  </si>
  <si>
    <t>Goocher, Jennifer
3202 Winged Elm Dr
Cedar Park, TX 78616</t>
  </si>
  <si>
    <t>Lee, Larry
7302 Danashire
Dallas, TX 75231</t>
  </si>
  <si>
    <t>Lee, Alison
7302 Danashire
Dallas, TX 75231</t>
  </si>
  <si>
    <t>Reeder, Chuck
4515 Belfort Pl
Dallas, TX 75205</t>
  </si>
  <si>
    <t>Lonergan, Kim
10050 Caribou Trail
Dallas, TX 75238</t>
  </si>
  <si>
    <t>Griffith, Gary
6875 Carolyncrest Dr
Dallas, TX 75214</t>
  </si>
  <si>
    <t>Morgan, Susan
9227 Dove Meadow
Dallas, TX 75243</t>
  </si>
  <si>
    <t>McIlwain, Mike
9109 Clearhurst
Dallas, TX 75238</t>
  </si>
  <si>
    <t>McIlwain, Judy
9109 Clearhurst
Dallas, TX 75238</t>
  </si>
  <si>
    <t>Harris, Tom
10011 Caribou Trail
Dallas, TX 75238</t>
  </si>
  <si>
    <t>Harris, Michelle
10011 Caribou Trail
Dallas, TX 75238</t>
  </si>
  <si>
    <t>Woolley, Cindy
9215 Meadowglen
Dallas, TX 75238</t>
  </si>
  <si>
    <t>Woolley, Byron
9215 Meadowglen
Dallas, TX 75238</t>
  </si>
  <si>
    <t>Rabe, Doug
7746 Eagle Trail
Dallas, TX 75238</t>
  </si>
  <si>
    <t>Rabe, Nancy
7746 Eagle Trail
Dallas, TX 75238</t>
  </si>
  <si>
    <t>Cowlishaw, Melanie
9531 Windy Hill Road
Dallas, TX 75238</t>
  </si>
  <si>
    <t>Henneberger, Cynthia
8928 Fairglen
Dallas, TX 75231</t>
  </si>
  <si>
    <t>Sides, Lisa
9949 Caribou Trail
Dallas, TX 75238</t>
  </si>
  <si>
    <t>Morgan, Murray
9931 Wood Forest Dr
Dallas, TX 75243</t>
  </si>
  <si>
    <t>Rafkin, William
3601 Turtle Creek Blvd
Dallas, TX 75219</t>
  </si>
  <si>
    <t>Duval, Greg
9218 Loma Vista
Dallas, TX 75243</t>
  </si>
  <si>
    <t>Adam McGough for Dallas Election Committee
5931 Greenville Ave
Dallas, TX 75206</t>
  </si>
  <si>
    <t>Burns, Sherman
9205 Clover Valley
Dallas, TX 75243</t>
  </si>
  <si>
    <t>Hughes, Paula
8046 Nimrod Trail
Dallas, TX 75238</t>
  </si>
  <si>
    <t>Zreet, Cheryl
9617 Windy Terrace
Dallas, TX 75231</t>
  </si>
  <si>
    <t>Woods, Brenda
9474 Dartridge
Dallas, TX 75238</t>
  </si>
  <si>
    <t>Holmes, Mark
9225 Royalpine Dr,
Dallas, TX 75238</t>
  </si>
  <si>
    <t>Stell, Jan
PO Box 38298
Dallas, TX 75238</t>
  </si>
  <si>
    <t>Iyriad Roofing &amp; Construction LLC
6060 Chevelia Dr
Dallas, TX 75232-4159</t>
  </si>
  <si>
    <t>Graves, Annette
1017 Water Street
Carrollton, TX 75007-2905</t>
  </si>
  <si>
    <t>Chopp, Stephony
2448 Club Manor Dr
Dallas, TX 75237-2702</t>
  </si>
  <si>
    <t>SOUTHWEST AIRLINES CO FREEDOM FUND
PO Box 36611
Dallas, TX 75235</t>
  </si>
  <si>
    <t>Sampson, Demetris
PO Box 763837
Dallas, TX 75376</t>
  </si>
  <si>
    <t>OLABIMTAN, AFISU
74 BUCK TRAIL
SADLER, TX 76264</t>
  </si>
  <si>
    <t>Russell, Michael
1065 Peachtree St NE
Atlanta, GA 30309</t>
  </si>
  <si>
    <t>Mapp, Trelaine
12612 Beech Tree Lane
Euless, TX 76040</t>
  </si>
  <si>
    <t>Warren, Wayne
7 Equestrian Trail
Duncanville, TX 75116</t>
  </si>
  <si>
    <t>Russell Glenn Company
1722 Routh St
Dallas, TX 75201</t>
  </si>
  <si>
    <t>Levis Consulting Group LLC
600 Six Flags Dr
Arlington, TX 76011</t>
  </si>
  <si>
    <t>Hixson, Chuck
1030 Harvest Hill
Prosper, TX 75078</t>
  </si>
  <si>
    <t>Okon, Steven
5844 Preston Haven Dr
Dallas, TX 75230</t>
  </si>
  <si>
    <t>Beth Freundlich Trustee
4283 NW 64th St
Boca Raton, FL 33496</t>
  </si>
  <si>
    <t>MARGOLIN, FRED
2828 HOOD ST
DALLAS, TX 75219</t>
  </si>
  <si>
    <t>Clardy, Karen
9314 Bill Browne Lane
Dallas, TX 75243</t>
  </si>
  <si>
    <t>Housewright, Tipton
10102 Candlebrook Dr.
Dallas, TX 75243</t>
  </si>
  <si>
    <t>Stewart, Robb
9509 Shady Valley Dr.
Dallas, TX 75238</t>
  </si>
  <si>
    <t>Mellinger, Jill
9210 Westview Cr
Dallas, TX 75231</t>
  </si>
  <si>
    <t>Rabe, Doug
77 Eagle Trail
Dallas, TX 75238</t>
  </si>
  <si>
    <t>Bell, Mitchell
3362 Blackburn St.
Dallas, TX 75204</t>
  </si>
  <si>
    <t>Bell, Celia
8804 Mariscal Canyon Dr.
Austin, TX 78759</t>
  </si>
  <si>
    <t>Connell, Fran
9736 Broken Bow
Dallas, TX 75238</t>
  </si>
  <si>
    <t>Thompson, Alyson
12323 Creekspan
Dallas, TX 75243</t>
  </si>
  <si>
    <t>Hunt, Clark
5956 Sherry Lane
Dallas, TX 75225</t>
  </si>
  <si>
    <t>McIntyre, William
4815 Shadywood Lane
Dallas, TX 75209</t>
  </si>
  <si>
    <t>Adams, John
4011 Miramar Avenue
Dallas, TX 75205</t>
  </si>
  <si>
    <t>Barnett, Billy Bob
310 Calvary Dr
Euless, TX 76040</t>
  </si>
  <si>
    <t>Cook, Robby
PO Box 716
Eagle Lake, TX 77434</t>
  </si>
  <si>
    <t>Glendenning, Don
2200 Ross Ave
Dallas, TX 75201</t>
  </si>
  <si>
    <t>McAtee, David
6824 Lupton Drive
Dallas, TX 75225</t>
  </si>
  <si>
    <t>McDade, Jim
10956 Audelia Rd
Dallas, TX 75243</t>
  </si>
  <si>
    <t>Mihalopoulos, Frank
4645 N Central Exp
Dallas, TX 75205</t>
  </si>
  <si>
    <t>Nash, Susan and Ron
3505 Turtle Creek Blvd
Dallas, TX 75219</t>
  </si>
  <si>
    <t>Pitts, John
3652 Chevy Chase
Houston, TX 77019</t>
  </si>
  <si>
    <t>Polumbo, C.D.
210 Lavaca St.
Austin, TX 78701</t>
  </si>
  <si>
    <t>Rupani, Amir
19555 Preston Trail Dr
Dallas, TX 75248</t>
  </si>
  <si>
    <t>Schulz, Amanda
5943 Palo Pinto Ave
Dallas, TX 75206</t>
  </si>
  <si>
    <t>Sewell, Carl &amp; Peggy
3860 W Northwest Hwy
Dallas, TX 75220</t>
  </si>
  <si>
    <t>AT&amp;T PAC
816 Congress Ave.
Austin, TX 78701</t>
  </si>
  <si>
    <t>Charter Texas PAC
1001 Congress Ave
Austin, TX 78701</t>
  </si>
  <si>
    <t>American Airlines PAC
1200 17th Street NW
Washington, DC 20036</t>
  </si>
  <si>
    <t>Apartment Association of Greater Dallas
5728 LBJ Fwy.
Dallas, TX 75240</t>
  </si>
  <si>
    <t>Norton Rose Fulbright LLP Texas Cmte
1301 McKinney
Houston, TX 77010</t>
  </si>
  <si>
    <t>Dallas Police Officers PAC
1412 Griffin St E
Dallas, TX 75215</t>
  </si>
  <si>
    <t>Southwest Airlines CO Freedom Fund PAC
PO Box 36611
Dallas, TX 75235</t>
  </si>
  <si>
    <t>Texas Automobile Dealers Association PAC
1108 Lavaca St
Austin, TX 78701</t>
  </si>
  <si>
    <t>WSP USA PAC
1 Penn Plaza
New York, NY 10119</t>
  </si>
  <si>
    <t>Byrne, Tim
3720 Miramar Ave
Dallas, TX 75205</t>
  </si>
  <si>
    <t>Crow, Harlan
4700 Preston Rd
Dallas, TX 75205</t>
  </si>
  <si>
    <t>Crow, Kathy
4700 Preston Rd
Dallas, TX 75205</t>
  </si>
  <si>
    <t>Deason, Kimberly &amp; Darwin
3953 Maple Ave
Dallas, TX 75219</t>
  </si>
  <si>
    <t>Enzler, Matthew
6027 Goliad Ave
Dallas, TX 75206</t>
  </si>
  <si>
    <t>Farmer, Curt
6307 Prestonshire Lane
Dallas, TX 75225</t>
  </si>
  <si>
    <t>Fertitta, Tilman
1510 West Loop South
Houston, TX 77027</t>
  </si>
  <si>
    <t>Hunt, Ray
1900 N Akard St
Dallas, TX 75201</t>
  </si>
  <si>
    <t>Hunt, Hunter
1900 N Akard St
Dallas, TX 75201</t>
  </si>
  <si>
    <t>Hunt, Nancy Ann
1900 N Akard St
Dallas, TX 75201</t>
  </si>
  <si>
    <t>Kleinert, Chris
1900 N Akard St
Dallas, TX 75201</t>
  </si>
  <si>
    <t>Meurer, Tom
5818 Bent Trail
Dallas, TX 75248</t>
  </si>
  <si>
    <t>Myers, Mike
4009 Miramar Ave
Dallas, TX 75205</t>
  </si>
  <si>
    <t>Rowling, Bob
4001 Maple Ave
Dallas, TX 75219</t>
  </si>
  <si>
    <t>Sewell III, Carl &amp; Josie
3911 Gillon Ave
Dallas, TX 75205</t>
  </si>
  <si>
    <t>Walker, Brenda
310 Calvary Dr
Euless, TX 76040</t>
  </si>
  <si>
    <t>Zulejkic, David
PO Box 2590
Wylie, TX 75098</t>
  </si>
  <si>
    <t>Agarwal, Durga
2921 University Blvd
Houston, TX 77005</t>
  </si>
  <si>
    <t>Eisenberg, Phil
3215 Plumb Street
Houston, TX 77005</t>
  </si>
  <si>
    <t>Grace, Jim
1305 Guadalupe St
Austin, TX 78701</t>
  </si>
  <si>
    <t>Gutierrez, Hugo
10322 Sugar Hill
Houston, TX 77042</t>
  </si>
  <si>
    <t>Hooey, Betty
2621 Exline Street
Dallas, TX 75215</t>
  </si>
  <si>
    <t>Love, Jeff
3744 Inwood
Houston, TX 77019</t>
  </si>
  <si>
    <t>Peters, Mike
11007 Hunters Park Dr
Houston, TX 77024</t>
  </si>
  <si>
    <t>Anderson, Dick
3700 N Capital of TX Hwy
Austin, TX 78746</t>
  </si>
  <si>
    <t>Cammack, Kerry
919 Congress Ave
Austin, TX 78701</t>
  </si>
  <si>
    <t>Glenn, Eric
3916 Coopers Hawk Cove
Austin, TX 78738</t>
  </si>
  <si>
    <t>Hawley, Brad
600 Congress Ave
Austin, TX 78738</t>
  </si>
  <si>
    <t>Hodge, Daniel
405 W 14th St
Austin, TX 78701</t>
  </si>
  <si>
    <t>Jones, Buddy
823 Congress Ave
Austin, TX 78701</t>
  </si>
  <si>
    <t>Keffer, James
1105 S Seaman St
Eastland, TX 76448</t>
  </si>
  <si>
    <t>Bracewell PAC
711 Louisiana St
Houston, TX 77002</t>
  </si>
  <si>
    <t>Gulf States Toyota State PAC
1375 Enclave Parkway
Houston, TX 77077</t>
  </si>
  <si>
    <t>Long, Wade
2004 Stamford Ln
Austin, TX 78703</t>
  </si>
  <si>
    <t>Nosek, Nicole
6 Basin Ledge East
West Lake Hills, TX 78746</t>
  </si>
  <si>
    <t>Texas Association of Realtors MetroTex PAC
PO Box 2246
Austin, TX 78768</t>
  </si>
  <si>
    <t>Apartment Association of Greater Dallas
5728 LBJ Fwy
Dallas, TX 75240</t>
  </si>
  <si>
    <t>AT&amp;T PAC
816 Congress Ave
Austin, TX 78701</t>
  </si>
  <si>
    <t>Health Care Service Corp. PAC
300 East Randolph St
Chicago, IL 60601</t>
  </si>
  <si>
    <t>Lee, Sheila Jackson
4412 Almeda Rd
Houston, TX 77004</t>
  </si>
  <si>
    <t>Hardwick, Herbert
2405 Grand Boulevard
Kansas City, MO 64108</t>
  </si>
  <si>
    <t>Locke Lord LLP PAC
2200 Ross Ave
Dallas, TX 75201</t>
  </si>
  <si>
    <t>American Airlines PAC
1200 17th St NW
Washington, DC 20036</t>
  </si>
  <si>
    <t>Hunton Andrews Kurth PAC
600 Travis
Houston, TX 77002</t>
  </si>
  <si>
    <t>Madden, John
8080 N Central Expy
Dallas, TX 75206</t>
  </si>
  <si>
    <t>Garraway, Selwyn
106 Greenwich St
New York, NY 10006</t>
  </si>
  <si>
    <t>Mani, Chithrai
4005 Dawn Dr
Flower Mound, TX 75022</t>
  </si>
  <si>
    <t>Jakes, T.D.
3703 Patience Blvd
Dallas, TX 75236</t>
  </si>
  <si>
    <t>Iwasko, Ava
4420 Cedarbrush Dr
Dallas, TX 75287</t>
  </si>
  <si>
    <t>Rothenberger, Reagan
4315 Brooktree Ln
Dallas, TX 75287</t>
  </si>
  <si>
    <t>Rubin, Brent
7103 Coronado Ave
Dallas, TX 75214</t>
  </si>
  <si>
    <t>Velvin, Elaine
12418 Montego Plaza
Dallas, TX 75230</t>
  </si>
  <si>
    <t>Page, Marcia
330 Las Colinas Blvd E
Irving, TX 75039</t>
  </si>
  <si>
    <t>Neumann, Dave
6318 Turner Way
Dallas, TX 75039</t>
  </si>
  <si>
    <t>Taylor, Catherine
5600 West Lovers Lane
Dallas, TX 75209</t>
  </si>
  <si>
    <t>Carter, Margot
3913 Amherst Ave
Dallas, TX 75225</t>
  </si>
  <si>
    <t>Baker, Thad
4011 Commerce
Dallas, TX 75226</t>
  </si>
  <si>
    <t>Russo, Garth
8543 ALta Mira Dr
Dallas, TX 75218</t>
  </si>
  <si>
    <t>Shapiro, Mary Beth
6656 Lakewood Blvd
Dallas, TX 75214</t>
  </si>
  <si>
    <t>Williams, Keith
6615 Lange Circle
Dallas, TX 75214</t>
  </si>
  <si>
    <t>Conner, Terry
7110 Lakewood Blvd
Dallas, TX 75214</t>
  </si>
  <si>
    <t>Howard, Todd
9623 Athelone
Dallas, TX 75218</t>
  </si>
  <si>
    <t>Karol, Jennifer
5370 Medors Lane
Dallas, TX 75229</t>
  </si>
  <si>
    <t>Key, Ben
7100 Bennington Dr
Dallas, TX 75214</t>
  </si>
  <si>
    <t>Offut, Larry
6038 Bryan Pkwy
Dallas, TX 75206</t>
  </si>
  <si>
    <t>Syler, Terry
6661 Lakewood Blvd
Dallas, TX 75214</t>
  </si>
  <si>
    <t>Vallot, Collette
4333 Gilbert Ave
Dallas, TX 75219</t>
  </si>
  <si>
    <t>Greef, Holly
6665 Lakewood Blvd.
Dallas, TX 75214</t>
  </si>
  <si>
    <t>Greef, Holly
6665 Lakewood Blvd
Dallas, TX 75214</t>
  </si>
  <si>
    <t>Mason, George
6821 Carolyncrest
Dallas, TX 75214</t>
  </si>
  <si>
    <t>Schossler, Rodney
6336 Tulip
Dallas, TX 75230</t>
  </si>
  <si>
    <t>Wilson, Nancy
6739 Avalon Ave
Dallas, TX 75214</t>
  </si>
  <si>
    <t>Wendel, Diane
6913 Lakewood Blvd
Dallas, TX 75214</t>
  </si>
  <si>
    <t>Davis, Macey
8322 Ridgelea St.
Dallas, TX 75209</t>
  </si>
  <si>
    <t>Treadway, Brandy
7520 Yamani
Dallas, TX 75230</t>
  </si>
  <si>
    <t>Owen, Jennifer
6541 Arborist
Dallas, TX 75214</t>
  </si>
  <si>
    <t>Forsyth Lill, Veletta
622 Blair Blvd
Dallas, TX 75223</t>
  </si>
  <si>
    <t>Hardtner, Karen
415 Janie Lane
Shreveport, LA 71106</t>
  </si>
  <si>
    <t>Hoseterey, Jennifer
1409 Bella Vista
Dallas, TX 75218</t>
  </si>
  <si>
    <t>Hong, Sunhee
4315 Melissa Ln
Dallas, TX 75229</t>
  </si>
  <si>
    <t>Irvin, Kathleen
6620 Ridgemont Dr
Dallas, TX 75214</t>
  </si>
  <si>
    <t>Kirby, Deborah
7027 Merilee Ln
Dallas, TX 75214</t>
  </si>
  <si>
    <t>Oakley, Ed
3824 Cedar Springs
Dallas, TX 75219</t>
  </si>
  <si>
    <t>Tarpley, Gloria
8378 Forest Hills
Dallas, TX 75218</t>
  </si>
  <si>
    <t>Miller, Shirley
5701 Trail Meadow Dr.
Dallas, TX 75230</t>
  </si>
  <si>
    <t>Ramos, Steven
6711 Dalhart
Dallas, TX 75214</t>
  </si>
  <si>
    <t>Saucedo, Felix
6729 Santa Maria Ln
Dallas, TX 75214</t>
  </si>
  <si>
    <t>Johnson, Willis
1001 Belleview
Dallas, TX 75210</t>
  </si>
  <si>
    <t>McBee, Lynn
1722 Routh St
Dallas, TX 75204</t>
  </si>
  <si>
    <t>Vandiver, Carol
6705 Bob O Link
Dallas, TX 75214</t>
  </si>
  <si>
    <t>Ellis, Tom
6872 Burwood
Dallas, TX 75214</t>
  </si>
  <si>
    <t>Forester, Jay
6465 Ravendale
Dallas, TX 75214</t>
  </si>
  <si>
    <t>Newton, Karen
10415 Fern St
Dallas, TX 75228</t>
  </si>
  <si>
    <t>Pearce, Jennifer
5826 Mercedes
Dallas, TX 75206</t>
  </si>
  <si>
    <t>Shadid, Tony
6208 Copperhill Dr
Dallas, TX 75248</t>
  </si>
  <si>
    <t>Bazan, Kathryn
10456 Vinemont
Dallas, TX 75218</t>
  </si>
  <si>
    <t>Corcoran, Anna
7140 Westlake
Dallas, TX 75214</t>
  </si>
  <si>
    <t>Hoffman, Alan
7324 Gaston
Dallas, TX 75214</t>
  </si>
  <si>
    <t>Hoffman, Pamela
9010 Groveland Dr
Dallas, TX 75218</t>
  </si>
  <si>
    <t>Reed, Holly
7123 LaVista Dr.
Dallas, TX 75214</t>
  </si>
  <si>
    <t>Byrne, Tim
2000 McKinney Ave
Dallas, TX 75201</t>
  </si>
  <si>
    <t>Maggard, Lauren
6601 Lake Circle Dr.
Dallas, TX 75214</t>
  </si>
  <si>
    <t>Gonzalez, Alex
16226 Amberwood Rd
Dallas, TX 75248</t>
  </si>
  <si>
    <t>Weaver, Sylvia
6920 Clemson Dr
Dallas, TX 75214</t>
  </si>
  <si>
    <t>Bird, Brandi
9710 Blanco dr
Lantana, TX 76226</t>
  </si>
  <si>
    <t>Wallace, Chris
4235 Castle Rock Ct.
IRVING, TX 75038</t>
  </si>
  <si>
    <t>Linebarger, Goggan, Blair &amp; Simpson
PO Box 17426
Austin, TX 78760</t>
  </si>
  <si>
    <t>Fergason, Jane
4130 Santa Barbara Dr.
Dallas, TX 75214</t>
  </si>
  <si>
    <t>Grantham, Jennifer
4101 Commerce St.
Dallas, TX 75226</t>
  </si>
  <si>
    <t>Hoffland, Scott
7278 Williamson Cir
Dallas, TX 75214</t>
  </si>
  <si>
    <t>Krywucki, Michael
500 N. Akard
Dallas, TX 75201</t>
  </si>
  <si>
    <t>Lane, Lawrence
4101 Commerce
Dallas, TX 75226</t>
  </si>
  <si>
    <t>Veale, Michael
1717 Arts Place
Dallas, TX 75201</t>
  </si>
  <si>
    <t>Coates, Sam
26 Rydington Pl
Dallas, TX 75230</t>
  </si>
  <si>
    <t>McDonough, Sally
5847 Montecello Ave
Dallas, TX 75206</t>
  </si>
  <si>
    <t>Bedford, Calen
1512 Commerce St.
Dallas, TX 75201</t>
  </si>
  <si>
    <t>Bryant, Shawn
321 Overdale Ct.
Sunnyvale, TX 75182</t>
  </si>
  <si>
    <t>TREPAC
PO Box 2246
Austin, TX 78768-2246</t>
  </si>
  <si>
    <t>Rybczyk, Mark
1507 Tranquilla Dr.
Dallas, TX 75218</t>
  </si>
  <si>
    <t>Rybczyk, Madelyn
1507 Tranquilla
Dallas, TX 75218</t>
  </si>
  <si>
    <t>Applequist, Chris
17440 Dallas Pkwy
Dallas, TX 75287</t>
  </si>
  <si>
    <t>Fossey, Graham
9360 Creel Creek
Dallas, TX 75228</t>
  </si>
  <si>
    <t>Sandoval, Stephanie
2307 Wilma Rodolph Rd.
Austin, TX 78748</t>
  </si>
  <si>
    <t>Beane, Alan
12596 Montego Plaza
Dallas, TX 75230</t>
  </si>
  <si>
    <t>Hawkins, Marquis
123 E. Woodin Blvd
Dallas, TX 75216</t>
  </si>
  <si>
    <t>Kirk, Ronald
6342 Mercedes Ave
Dallas, TX 75214</t>
  </si>
  <si>
    <t>Montgomery, Ken
6951 Wakefield St.
Dallas, TX 75231</t>
  </si>
  <si>
    <t>Snoyer, Jeff
3639 Overbrook Dr.
Dallas, TX 75205</t>
  </si>
  <si>
    <t>Sampson, DeMetris
PO Box 76383
Dallas, TX 75376-3834</t>
  </si>
  <si>
    <t>Bryant, Randall
1910 Pacific Ave
Dallas, TX 75201</t>
  </si>
  <si>
    <t>Casey, Karen
6100 Tremont St.
Dallas, TX 75214</t>
  </si>
  <si>
    <t>Crone, Phil
6518 Trammel Dr.
Dallas, TX 75214</t>
  </si>
  <si>
    <t>Garcia, Ryan
3901 Travis St.
Dallas, TX 75204</t>
  </si>
  <si>
    <t>Griggs, David
13214 Glad Acres
Dallas, TX 75234</t>
  </si>
  <si>
    <t>Kemp, Eric
8380 San Leandro Dr.
Dallas, TX 75218</t>
  </si>
  <si>
    <t>Rice, Betty
2611 Millmar Dr.
Dallas, TX 75228</t>
  </si>
  <si>
    <t>Argarwal, Arun
123 Oak Lawn Ave
Dallas, TX 75207</t>
  </si>
  <si>
    <t>Alcantar, Joe
7304 Lane Park Ct.
Dallas, TX 75225</t>
  </si>
  <si>
    <t>Benson, Kenneth
1527 Waterside Ct.
Dallas, TX 75218</t>
  </si>
  <si>
    <t>Bobosky, Shelby
6823 La Vista Dr.
Dallas, TX 75214</t>
  </si>
  <si>
    <t>Cain, David
6307 Club Lake Ct.
Dallas, TX 75214</t>
  </si>
  <si>
    <t>Creuzot, John
8185 San Leandro
Dallas, TX 75218</t>
  </si>
  <si>
    <t>Gearing, Charles
9322 Mercer Dr.
Dallas, TX 75228</t>
  </si>
  <si>
    <t>Givens, Rod
6200 Los Robles Ln
MEsquite, TX 75215</t>
  </si>
  <si>
    <t>Givens, Rod
6200 Los Robles Drive
Mesquite, TX 75215</t>
  </si>
  <si>
    <t>Jasso, Juan
821 Haines Ave.
Dallas, TX 75208</t>
  </si>
  <si>
    <t>Malone, Kimberly
8824 Diceman Dr.
Dallas, TX 75218</t>
  </si>
  <si>
    <t>Melton, WJ
613 Mount Auburn Ave.
Dallas, TX 75223</t>
  </si>
  <si>
    <t>Paluso, Angela
6535 Bob O Link
Dallas, TX 75214</t>
  </si>
  <si>
    <t>Rivas, Jose
6145 Park Dale Dr
Dallas, TX 75227</t>
  </si>
  <si>
    <t>Simon, Jason
1917 Valley Oaks Ct
Irving, TX 75016</t>
  </si>
  <si>
    <t>Sleeper, Neal
3374 Blackburn
Dallas, TX 75204</t>
  </si>
  <si>
    <t>Tiller, Martha
5909 Luther Lake
Dallas, TX 75225</t>
  </si>
  <si>
    <t>Bragalone, Mickie
4105 W. Lanther Drive
Dallas, TX 75214</t>
  </si>
  <si>
    <t>Fuentes, Mark
10811 Fernald Ave
Dallas, TX 75218</t>
  </si>
  <si>
    <t>Platt, Mark
6956 Dalhart Ln
Dallas, TX 75214</t>
  </si>
  <si>
    <t>Starr, Heidi
6713 Avalon Ave
Dallas, TX 75214</t>
  </si>
  <si>
    <t>Rawlings, Margaret
10434 Lennox Lane
Dallas, TX 75229</t>
  </si>
  <si>
    <t>Scovell, T. Dupree
7034 Alexander Dr.
Dallas, TX 75214</t>
  </si>
  <si>
    <t>Brewer, Hilda
6429 McCommas Blvd
Dallas, TX 75214</t>
  </si>
  <si>
    <t>GERBER, PAM
4435 HOLLAND AVE
DALLAS, TX 75219</t>
  </si>
  <si>
    <t>Hansbany, Maria
3509 Hillbrook St
Dallas, TX 75214</t>
  </si>
  <si>
    <t>Hoffland, Amy
7278 Williamson Cir
Dallas, TX 75214</t>
  </si>
  <si>
    <t>Hunt, Melissa
8231 San Fernando
Dallas, TX 75218</t>
  </si>
  <si>
    <t>Johnston, Erin
6604 Northridge
Dallas, TX 75214</t>
  </si>
  <si>
    <t>Page, Anthony
3210 Carlisle
Dallas, TX 75204</t>
  </si>
  <si>
    <t>Paradise, Mitch
8335 San Fernando Way
Dallas, TX 75218</t>
  </si>
  <si>
    <t>Perdue, Rick
7712 Southwestern Blvd
Dallas, TX 75225</t>
  </si>
  <si>
    <t>Pittman, David
6232 Highgate Ln
Dallas, TX 75214</t>
  </si>
  <si>
    <t>Spellicy, Courtney
7117 Wake Forest Dr
Dallas, TX 75214</t>
  </si>
  <si>
    <t>Sullivan, Joseph
6759 Avalon
Dallas, TX 75214</t>
  </si>
  <si>
    <t>Wendel, George
6913 Lakewood Blvd
Dallas, TX 75214</t>
  </si>
  <si>
    <t>Wise, Phillip Johnston
3444 University Blvd
Dallas, TX 75205</t>
  </si>
  <si>
    <t>Wynne, Shannon
3601 Normandy Ave
Dallas, TX 75205</t>
  </si>
  <si>
    <t>Davidson, Larry
6451 Patrick
Dallas, TX 75214</t>
  </si>
  <si>
    <t>Frank, Jerome
5514 Montrose
Dallas, TX 75209</t>
  </si>
  <si>
    <t>Acosta, Arcillia
1341 W. Mockingbird Ln
Dallas, TX 75247</t>
  </si>
  <si>
    <t>Brown, Dave
2500 Houston
Dallas, TX 75219</t>
  </si>
  <si>
    <t>Cline, Michael
3925 Carnegie Ln
Raleigh, NC 27612</t>
  </si>
  <si>
    <t>Terry, Mike
1224 Inwood Rd
Dallas, NC 75244</t>
  </si>
  <si>
    <t>Hunt, Ray
1900 North Akard
Dallas, TX 75201</t>
  </si>
  <si>
    <t>Linebarger LLP
PO Box 17423
Austin, TX 78760</t>
  </si>
  <si>
    <t>Ragan, Tanya
630 S Pearl
Dallas, TX 75201</t>
  </si>
  <si>
    <t>Raspberry, Shoncy
1900 Mckinney
Dallas, TX 75201</t>
  </si>
  <si>
    <t>Minnis, Norma
PO Box 75214
Dallas, TX 75214</t>
  </si>
  <si>
    <t>Cadena, Elsa
6815 American Way
Dallas, TX 75237</t>
  </si>
  <si>
    <t>Dominguez, Yolonda
2321 Knight
Dallas, TX 75219</t>
  </si>
  <si>
    <t>Pegram, Derric
2642 Bahama
Dallas, TX 75211</t>
  </si>
  <si>
    <t>Patterson, Brandi
3405 Bellcrest
Celina, TX 75009</t>
  </si>
  <si>
    <t>Warren, John
4311 Hampton Circle
Grand Prairie, TX 75052</t>
  </si>
  <si>
    <t>Agarwal, Arun
123 Oak Lawn
Dallas, TX 75207</t>
  </si>
  <si>
    <t>Gerber, Pam
4435 Hollond
Dallas, TX 75219</t>
  </si>
  <si>
    <t>Hernandez, Flora
6042 Prestonshire
Dallas, TX 76225</t>
  </si>
  <si>
    <t>Marston, Alando
4861 Sunnyvale Street
Dallas, TX 75214</t>
  </si>
  <si>
    <t>Ramos, Steven
1234 n/a
Dallas, TX 12345</t>
  </si>
  <si>
    <t>Offutt, Larry
6038 
Dallas, TX 75206</t>
  </si>
  <si>
    <t>Schenkel, Pete
4231 
Dallas, TX 75205</t>
  </si>
  <si>
    <t>Carey, Jeff
300 
Dallas, TX 75067</t>
  </si>
  <si>
    <t>Hunt, Ray
1900 
Dallas, TX 75201</t>
  </si>
  <si>
    <t>Stewart, Kathy
9509 Shady Valley Dr.
Dallas, TX 75238</t>
  </si>
  <si>
    <t>Cox, Cecelia
5112 Woodview Ave.
Austin, TX 78756</t>
  </si>
  <si>
    <t>Afkhami, Kambiz
2308 Blackberry Dr.
Richardson, TX 75082</t>
  </si>
  <si>
    <t>Afkhami, Andrea
2308 Blackberry Dr.
Richardson, TX 75082</t>
  </si>
  <si>
    <t>Bellew, Chris
9406 Crestedge Dr.
Dallas, TX 75238</t>
  </si>
  <si>
    <t>Gates, Jennifer &amp; John
4915 Keyhole Ln
Dallas, TX 75229</t>
  </si>
  <si>
    <t>Wani, Rajen
3606 Greenville Ave
Dallas, TX 75206</t>
  </si>
  <si>
    <t>Lonon, Justin
9767 Shell Ridge Dr
Frisco, TX 75033</t>
  </si>
  <si>
    <t>Malik, Rajeev
1159 Cottonwood Ln
Irving, TX 75038</t>
  </si>
  <si>
    <t>Miller, MacKenzie
400 Oak Ridge Dr
Fairview, TX 75069</t>
  </si>
  <si>
    <t>Netzer, Jeffrey
5025 Strathmore Terrace
Colleyville, TX 76034</t>
  </si>
  <si>
    <t>Ayala, Juan
9668 Arborhill Dr
Dallas, TX 75243</t>
  </si>
  <si>
    <t>Lovell, Robert
1633 Prince William Ln
Frisco, TX 75034</t>
  </si>
  <si>
    <t>Russell, Thomas
4425 San Carlos Dr
Dallas, TX 75205</t>
  </si>
  <si>
    <t>Dym, Kevin
7928 Fallmeadow Ln
Dallas, TX 75248</t>
  </si>
  <si>
    <t>Han, Peter
5957 Northaven Rd
Dallas, TX 75230</t>
  </si>
  <si>
    <t>Stauffer, Brett
2920 State Street
Dallas, TX 75204</t>
  </si>
  <si>
    <t>Johnson, Leander
3111 North Houston St
Dallas, TX 75219</t>
  </si>
  <si>
    <t>Evans, Timothy
682 W Alamosa Dr
Chandler, AZ 85248</t>
  </si>
  <si>
    <t>Gibson, Michael
512 Cool Meadow Ct
DeSoto, TX 75115</t>
  </si>
  <si>
    <t>Stein, Sheldon
14911 Quorum Dr
Dallas, TX 75254</t>
  </si>
  <si>
    <t>Allgeier, Daniel
3903 Frontier Ln
Dallas, TX 75214</t>
  </si>
  <si>
    <t>Scovell, Dupree
7034 Alexander Dr
Dallas, TX 75214</t>
  </si>
  <si>
    <t>Rubin, Susie &amp; Alan
7455 Malabar Ln
Dallas, TX 75230</t>
  </si>
  <si>
    <t>Marshall, Carrie
12601 Natalie Dr
Balch Springs, TX 75180</t>
  </si>
  <si>
    <t>Quezada, Michael
2739 Vela
Grand Prairie, TX 75054</t>
  </si>
  <si>
    <t>Waldrip, Jack
6252 Mercedes Ave
Dallas, TX 75214</t>
  </si>
  <si>
    <t>Walsh, Patrick
6502 Deloache Ave
Dallas, TX 75225</t>
  </si>
  <si>
    <t>Agarwal, Jiten
13710 Slate Creek Lane
Houston, TX 77077</t>
  </si>
  <si>
    <t>Shidid, Tony
6208 Copperhill Dr
Dallas, TX 75248</t>
  </si>
  <si>
    <t>Sanford, Christa
8249 Forest Hills Blvd
Dallas, TX 75218</t>
  </si>
  <si>
    <t>Langdale, Mark
3899 Maple Ave
Dallas, TX 75219</t>
  </si>
  <si>
    <t>Leal, Ben
6949 Clay Academy Blvd
Dallas, TX 75236</t>
  </si>
  <si>
    <t>Johnson, Jacob
3107 West Camp Wisdom Rd
Dallas, TX 75237</t>
  </si>
  <si>
    <t>Holmes, Rob
3404 Wentwood Dr
Dallas, TX 75225</t>
  </si>
  <si>
    <t>Green, Ronald
811 Main Street
Houston, TX 77002</t>
  </si>
  <si>
    <t>McAtee, David
6824 Lupton Dr
Dallas, TX 75225</t>
  </si>
  <si>
    <t>Ley, Georgia
6522 Orchid Lane
Dallas, TX 75230</t>
  </si>
  <si>
    <t>Smith, Dee Anna
1721 Woodsong Dr
Brentwood, TN 37027</t>
  </si>
  <si>
    <t>Lewis, Glenn
5600 Rockhill Rd
Fort Worth, TX 76112</t>
  </si>
  <si>
    <t>Pittman, Aubrey Nick
100 Crescent Court
Dallas, TX 75201</t>
  </si>
  <si>
    <t>Yxall, Thomas
2519 Cambria Blvd
Dallas, TX 75214</t>
  </si>
  <si>
    <t>Pippins-Poole, Antoinette
6735 Chapelridge Dr
Dallas, TX 75249</t>
  </si>
  <si>
    <t>Johansen, Mark
2501 N Harwood
Dallas, TX 75201</t>
  </si>
  <si>
    <t>Santa-Maria, Arthur
785 Huntingdon Street
Coppell, TX 75019</t>
  </si>
  <si>
    <t>Burleson, Tiffany
5859 Foxglove Ln
Dallas, TX 75249</t>
  </si>
  <si>
    <t>Heckler, Alexander
4555 North Bay Rd
Miami Beach, FL 33140</t>
  </si>
  <si>
    <t>Huffines, James
4012 Gillon Ave
Dallas, TX 75205</t>
  </si>
  <si>
    <t>James, Derrick
2419 Amber Leaf Court
Cedar Hill, TX 75104</t>
  </si>
  <si>
    <t>Matthews, Charles
4235 Bobbitt Dr
Dallas, TX 75229</t>
  </si>
  <si>
    <t>Chandler, Jennifer
7609 Southwestern Blvd
Dallas, TX 75225</t>
  </si>
  <si>
    <t>Bernstein, Elizabeth
3005 70th Ave SE
Mercer Island, WA 98040</t>
  </si>
  <si>
    <t>Genender, Paul
200 Crescent Court
Dallas, TX 75201</t>
  </si>
  <si>
    <t>Booker, Sherese
PO Box 210641
Dallas, TX 75211</t>
  </si>
  <si>
    <t>Burruss, John
4716 Stonehearth Place
Dallas, TX 75287</t>
  </si>
  <si>
    <t>McClinton, Marguerite
354 Matlock Road
Mansfield, TX 76063</t>
  </si>
  <si>
    <t>Heiskell, Michael
5601 Bridge Street
Fort Worth, TX 76112</t>
  </si>
  <si>
    <t>Ryan, George
10430 Strait Lane
Dallas, TX 75229</t>
  </si>
  <si>
    <t>Patterson, Bennie
8850 Fair Oaks Xing
Dallas, TX 75243</t>
  </si>
  <si>
    <t>Lazof, Chenza
2555 North Pearl St
Dallas, TX 75201</t>
  </si>
  <si>
    <t>Powers, Tim
2355 Thomas Ave
Dallas, TX 75201</t>
  </si>
  <si>
    <t>Walne, Joni &amp; Alan
10020 Caribou Trail
Dallas, TX 75238</t>
  </si>
  <si>
    <t>ODwyer, Tom
9615 Airline Road
Dallas, TX 75225</t>
  </si>
  <si>
    <t>Birnbaum, Marc
4305 W Lovers Lane
Dallas, TX 75209</t>
  </si>
  <si>
    <t>Marshall, E Pierce
6425 Belmead Dr
Dallas, TX 75230</t>
  </si>
  <si>
    <t>Mitchell, Sarah
7008 Merrilee Ln
Dallas, TX 75214</t>
  </si>
  <si>
    <t>Wilson, Kirk
10739 Bridge Hollow Court
Dallas, TX 75229</t>
  </si>
  <si>
    <t>Welch, Terrence
4 Ryddington Pl
Dallas, TX 75230</t>
  </si>
  <si>
    <t>Paley, Andrew
6022 Windbreak Trail
Dallas, TX 75252</t>
  </si>
  <si>
    <t>Murchison, Robert
10131 Gaywood Road
Dallas, TX 75229</t>
  </si>
  <si>
    <t>Jordan, Robert
6515 Northaven Road
Dallas, TX 75230</t>
  </si>
  <si>
    <t>Jones, Fallyn
552 Bizerte Ave
Dallas, TX 75224</t>
  </si>
  <si>
    <t>Gunnin, Mark
6027 Desco Drive
Dallas, TX 75225</t>
  </si>
  <si>
    <t>Trimble, Robert
8333 Douglas Ave
Dallas, TX 75225</t>
  </si>
  <si>
    <t>Kang, Julia
PO Box 631153
Irving, TX 75063</t>
  </si>
  <si>
    <t>Poss, Mary
6405 Mercedes Ave
Dallas, TX 75214</t>
  </si>
  <si>
    <t>Newby, Douglas
4912 Tremont Street
Dallas, TX 75214</t>
  </si>
  <si>
    <t>Lawry, Aletheia
10462 North Nicklaus Dr
Fountain Hill, AZ 85268</t>
  </si>
  <si>
    <t>Lanier, Robert
345 Glen Iris Drive NE
Atlanta, GA 30312</t>
  </si>
  <si>
    <t>Jackson, Sarah
8600 Thackery Street
Dallas, TX 75225</t>
  </si>
  <si>
    <t>Bumpas, Diane
5306 Surrey Circle
Dallas, TX 75209</t>
  </si>
  <si>
    <t>Gruber, Mike
300 Crescent Court
Dallas, TX 75201</t>
  </si>
  <si>
    <t>Higgins, Mary Pat
9216 Heatherdale rive
Dallas, TX 75243</t>
  </si>
  <si>
    <t>Kaplan, Robert
1918 N Olive St
Dallas, TX 75201</t>
  </si>
  <si>
    <t>Chaisson, Avis
2828 Woodside Street
Dallas, TX 75204</t>
  </si>
  <si>
    <t>Huth, Tom
13455 Noel Rd
Dallas, TX 75240</t>
  </si>
  <si>
    <t>Parker, Kim
13330 Noel Rd
Dallas, TX 75240</t>
  </si>
  <si>
    <t>Falvo, Susan
2507 Auburn Ave
Dallas, TX 75214</t>
  </si>
  <si>
    <t>Bullock, Sue &amp; Robert
8020 Frankford Road
Dallas, TX 75252</t>
  </si>
  <si>
    <t>Nash-Huntley, Tracey
6607 Orchid Lane
Dallas, TX 75230</t>
  </si>
  <si>
    <t>Andres, Marc
2800 North Henderson Ave
Dallas, TX 75206</t>
  </si>
  <si>
    <t>Plaskoff, Bart
4310 Sexton Lane
Dallas, TX 75229</t>
  </si>
  <si>
    <t>Payne, Kendric
8304 Marble Dale Court
Alexandria, VA 22308</t>
  </si>
  <si>
    <t>Fleiss, Eric
2100 Ross Ave
Dallas, TX 75201</t>
  </si>
  <si>
    <t>Walling, Samantha
9457 Waterview Road
Dallas, TX 75218</t>
  </si>
  <si>
    <t>Petree, Davana
5999 Lindenshire Lane
Dallas, TX 75230</t>
  </si>
  <si>
    <t>Reis, James
4327 Travis Street
Dallas, TX 75205</t>
  </si>
  <si>
    <t>Bisor, Robert
4327 Travis Street
Dallas, TX 75205</t>
  </si>
  <si>
    <t>Headington, Tim
1608 Main Street
Dallas, TX 75201</t>
  </si>
  <si>
    <t>Hancock, Barry
4514 Travis Street
Dallas, TX 75205</t>
  </si>
  <si>
    <t>Hunt, Angela
8811 Antrim Drive
Dallas, TX 75218</t>
  </si>
  <si>
    <t>Panipinto, Jim
6146 Lupton Drive
Dallas, TX 75225</t>
  </si>
  <si>
    <t>Howell, Kristen
3408 Purdue
Dallas, TX 75225</t>
  </si>
  <si>
    <t>Cowger, Walter
6414 Mimosa Ln.
Dallas, TX 75230</t>
  </si>
  <si>
    <t>Frank, Jerome
6310 Lemmon Ave
Dallas, TX 75209</t>
  </si>
  <si>
    <t>Music, Josh and Jodi
4526 Forest Bend Road
Dallas, TX 75244</t>
  </si>
  <si>
    <t>Bloom, Brian
6330 Northwood Road
Dallas, TX 75225</t>
  </si>
  <si>
    <t>Henry, Rue
4803 Shadywood Lane
Dallas, TX 75209</t>
  </si>
  <si>
    <t>Murchison, Suellen
6346 Northwood Rd.
Dallas, TX 75225</t>
  </si>
  <si>
    <t>Minic, Bo
9322 Summer Creek Circle
Dallas, TX 75231</t>
  </si>
  <si>
    <t>Smith, Ray A.
12395 Crestline Avenue
Dallas, TX 75244</t>
  </si>
  <si>
    <t>Worsham, Raguet
5453 Surrey Circle
Dallas, TX 75209</t>
  </si>
  <si>
    <t>Gonzales, Pete
10755 Morning Glory Drive
Dallas, TX 75229</t>
  </si>
  <si>
    <t>Perdue, Rick
7712 Southwestern Blvd.
Dallas, TX 75225</t>
  </si>
  <si>
    <t>Reisenbichler, Lori
5505 Montrose Dr
Dallas, TX 75209</t>
  </si>
  <si>
    <t>Corman, Annette
8240 Manderville Lane
Dallas, TX 75231</t>
  </si>
  <si>
    <t>Name, Kara
3511 Timberview Rd
Dallas, TX 75229</t>
  </si>
  <si>
    <t>Horwitz, Sandy
6155 Bandera Av
Dallas, TX 75225</t>
  </si>
  <si>
    <t>Edmondson, Mark
12523 12523 Matisse Lane
Dallas, TX 75230</t>
  </si>
  <si>
    <t>Nugent, Deborah &amp; Jim
4717 Mill Run Road
Dallas, TX 75244</t>
  </si>
  <si>
    <t>Spalding, Dawn
25 Highland Park Village
Dallas, TX 75205</t>
  </si>
  <si>
    <t>Hunt, Amy
10615 Royal Club Ln
Dallas, TX 75229</t>
  </si>
  <si>
    <t>Huntington, Ann
5020 Lilac Lane
Dallas, TX 75209</t>
  </si>
  <si>
    <t>Hazelton, John
4829 Melissa Lane
Dallas, TX 75229</t>
  </si>
  <si>
    <t>Anderson-Guthrie, Carol
3211 Basil Ct
Dallas, TX 75204</t>
  </si>
  <si>
    <t>Trimble, Robert
8333 Douglas Ave Ste 1350
Dallas, TX 75225</t>
  </si>
  <si>
    <t>Dunlap, John
6123 Lupton Drive
Dallas, TX 75225</t>
  </si>
  <si>
    <t>Noyes, Bob
10647 Royal Springs Drive
Dallas, TX 75229</t>
  </si>
  <si>
    <t>Losinger, Sarah
4506 Park Lane
Dallas, TX 75220</t>
  </si>
  <si>
    <t>Glaser, Marnie
5635 Southwestern Blvd
Dallas, TX 75209</t>
  </si>
  <si>
    <t>Sutton, Deborah
7256 Ashington Drive
Dallas, TX 75225</t>
  </si>
  <si>
    <t>Jones, Joanne
5337 Livingston Ave
Dallas, TX 75209</t>
  </si>
  <si>
    <t>Hopkins, Shelton
4707 Crooked Lane
Dallas, TX 75229</t>
  </si>
  <si>
    <t>Minic, Bo/
6152 Summer Creek Circle
Dallas, TX 75231</t>
  </si>
  <si>
    <t>Bonfield, Heather
3320 Walchard Court
Dallas, TX 75229</t>
  </si>
  <si>
    <t>Gagne, Michael
1455 Oates Drive
Dallas, TX 75228</t>
  </si>
  <si>
    <t>Chambers, Thomas
2030 Irving Blvd
Dallas, TX 75207</t>
  </si>
  <si>
    <t>Agnich, Robert
11 Cheltenham Way
Dallas, TX 75230</t>
  </si>
  <si>
    <t>Hunt, Ray
1900 N. Akard St
Dallas, TX 75201</t>
  </si>
  <si>
    <t>Glenn, Paxon
4708 W. Hanover
Dallas, TX 75209</t>
  </si>
  <si>
    <t>Levonyak, Mark
3904 Fairlakes Drive
Dallas, TX 75226</t>
  </si>
  <si>
    <t>Wetsel, Kenneth
4016 Fairlakes Dr
Dallas, TX 75228</t>
  </si>
  <si>
    <t>Jouvenat, James
3902 Fairlakes Dr
Dallas, TX 75228</t>
  </si>
  <si>
    <t>Martin, VJ
8230 Claremont Drive
Dallas, TX 75228</t>
  </si>
  <si>
    <t>Schenkel, Austin
3317 Purdue
Dallas, TX 75226</t>
  </si>
  <si>
    <t>Owen, Linda
5645 Caruth
Dallas, TX 75209</t>
  </si>
  <si>
    <t>Northwest Drive Inns Inc
8522 Garland Rd
Dallas, TX 75218</t>
  </si>
  <si>
    <t>Ellerman, Jeff
4012 Miramar Ave
Dallas, TX 75205</t>
  </si>
  <si>
    <t>Dale, Larry
6019 St. Andrews
Dallas, TX 75205</t>
  </si>
  <si>
    <t>Mihalopolous, Frank
4633 N. Central Exprwy
Dallas, TX 75205</t>
  </si>
  <si>
    <t>Crow, Patrick
4818 N. Lindhurst Ave
Dallas, TX 75229</t>
  </si>
  <si>
    <t>Forsyth Lill, Velletta
622 Blair Blvd.
Dallas, TX 75223</t>
  </si>
  <si>
    <t>Fulton, Duncan
6629 Golf Dr
Dallas, TX 75205</t>
  </si>
  <si>
    <t>Tarpley, Gloria
8378 Forest Hills Blvd.
Dallas, TX 75218</t>
  </si>
  <si>
    <t>Alcantar, Joe
7304 Lane Park Ct
Dallas, TX 75225</t>
  </si>
  <si>
    <t>Ellis, Tom
6872 burwood Lane
Dallas, TX 75214</t>
  </si>
  <si>
    <t>Jackson, Lee
6011 Desco Dr
Dallas, TX 75225</t>
  </si>
  <si>
    <t>Stern, Andy
5916 Club Oaks Dr
Dallas, TX 75248</t>
  </si>
  <si>
    <t>Steinhart, Ronald
25 Robledo Dr.
Dallas, TX 75230</t>
  </si>
  <si>
    <t>Borruf, Darren
6445 Lake Circle Dr.
Dallas, TX 75214</t>
  </si>
  <si>
    <t>Stansbury, Sandy
6278 Martel Dr
Dallas, TX 75214</t>
  </si>
  <si>
    <t>Gole, Kristi
6726 Williamson Rd.
Dallas, TX 75214</t>
  </si>
  <si>
    <t>Henry, Barry
1717 Arts Plaza
Dallas, TX 75201</t>
  </si>
  <si>
    <t>Warner, Michael
4727 Arvilla
Houston, TX 77021</t>
  </si>
  <si>
    <t>Almond, Bradley
8115 San Benito Way
Dallas, TX 75218</t>
  </si>
  <si>
    <t>McCall, Jr., John
1650 Oak Knoll St.
Dallas, TX 75208</t>
  </si>
  <si>
    <t>Gearing, Charles
9332 Mercer Dr.
Dallas, TX 75228</t>
  </si>
  <si>
    <t>Saxer, Jonathan
727 N. Oak Cliff Blvd.
Dallas, TX 75208</t>
  </si>
  <si>
    <t>Homan 2, Katherine
1629 Handley Dr.
Dallas, TX 75208</t>
  </si>
  <si>
    <t>Norcross, Chuck
506 Woolsey Dr.
Dallas, TX 75224</t>
  </si>
  <si>
    <t>Melton, Michael
3804 Immel Dr.
Flower Mound, TX 75022</t>
  </si>
  <si>
    <t>Marsh, Whitney
1610 Cascade Ave.
Dallas, TX 75224</t>
  </si>
  <si>
    <t>Sherman, Diane
107 N. Clinton Ave.
Dallas, TX 75208</t>
  </si>
  <si>
    <t>Noltemy, Kim
2301 Flora St.
Dallas, TX 75201</t>
  </si>
  <si>
    <t>Buss, Suzanne
653 Culpepper Place
Dallas, TX 75208</t>
  </si>
  <si>
    <t>Ellis, Zandra
1801 W. 10th St.
Dallas, TX 75208</t>
  </si>
  <si>
    <t>Chernock, Christian
1611 Rio Vista Dr.
Dallas, TX 75208</t>
  </si>
  <si>
    <t>Ruiz, Eliseo (Lee)
214 S. Willomet Ave.
Dallas, TX 75208</t>
  </si>
  <si>
    <t>Cole, Harry
2803 Mayfair Ln.
McKinney, TX 75071</t>
  </si>
  <si>
    <t>Hagan, Anne
204 S. Willomet Ave.
Dallas, TX 75208</t>
  </si>
  <si>
    <t>Roberts, Jr., George
309 Monssen Dr
Dallas, TX 75224</t>
  </si>
  <si>
    <t>Mackey, Ben
307 N. Polk St.
Dallas, TX 75208</t>
  </si>
  <si>
    <t>Flaim, John G.
1900 N. Pearl St.
Dallas, TX 75201</t>
  </si>
  <si>
    <t>Andersen, Jakob
903 Stevens Woods Ct.
Dallas, TX 75208</t>
  </si>
  <si>
    <t>Nasca, Ralph
4713 Clydesdale Dr.
Flower Mound, TX 75028</t>
  </si>
  <si>
    <t>Masterman, Shane
914 Stevens Woods Ct.
Dallas, TX 75208</t>
  </si>
  <si>
    <t>Herenandez, Socorro
1860 Masters Dr.
Desoto, TX 75115</t>
  </si>
  <si>
    <t>Rudnicki, Teresa
6909 Tokalon Dr.
Dallas, TX 75214</t>
  </si>
  <si>
    <t>Baker, Thad F.
4011 Commerce St.
Dallas, TX 75226</t>
  </si>
  <si>
    <t>Taylor, Victor
1650 Oak Knoll St.
Dallas, TX 75208</t>
  </si>
  <si>
    <t>Carey, Jeff
300 E. Round Grove Rd.
Lewisville, TX 75067</t>
  </si>
  <si>
    <t>Yancey, Jay
850 N. Clinton Ave
Dallas, TX 75208</t>
  </si>
  <si>
    <t>Luther, David
619 Kessler Spgs. Ave.
Dallas, TX 75208</t>
  </si>
  <si>
    <t>Fay, Anne
2145 Kessler Ct.
Dallas, TX 75208</t>
  </si>
  <si>
    <t>Jalomo 2, Augustine
607 W. Canty St.
Dallas, TX 75208</t>
  </si>
  <si>
    <t>Stimson, Bob
2116 Kessler Ct.
Dallas, TX 75208</t>
  </si>
  <si>
    <t>Drennan, Cynthia
1655 Kessler Canyon Dr.
Dallas, TX 75208</t>
  </si>
  <si>
    <t>Carabeta, Frank
303 W. Davis St.
Dallas, TX 75208</t>
  </si>
  <si>
    <t>Mathis, James
2029 W. Colorado Blvd.
Dallas, TX 75208</t>
  </si>
  <si>
    <t>Garza, Jerome
PO Box 223932
Dallas, TX 75222</t>
  </si>
  <si>
    <t>Whitney, Joe
1652 Sylvan Ave.
Dallas, TX 75208</t>
  </si>
  <si>
    <t>Neill, John
3629 Greenbrier Dr.
Dallas, TX 75225</t>
  </si>
  <si>
    <t>Hetzel, Jonathon
7002 Vivian Ave.
Dallas, TX 75223</t>
  </si>
  <si>
    <t>Raymond, Kellye
1001 W. 10th St.
Dallas, TX 75208</t>
  </si>
  <si>
    <t>Rachel, Kevin
1642 Kessler Ct.
Dallas, TX 75208</t>
  </si>
  <si>
    <t>Vineyard, Lawrence
11436 Strait Ln.
Dallas, TX 75229</t>
  </si>
  <si>
    <t>Salcedo, Louis
3 Richmond Ct.
Mansfield, TX 76063</t>
  </si>
  <si>
    <t>Phillips, Marci
1210 N. Winnetka Ave.
Dallas, TX 75208</t>
  </si>
  <si>
    <t>Drennan, Mark
1655 Kessler Canyon Dr.
Dallas, TX 75208</t>
  </si>
  <si>
    <t>Kirk-Tekippe, Matthew
3301 Hudnall St.
Dallas, TX 75235</t>
  </si>
  <si>
    <t>Ablon, Michael
5908 Azalea Ln.
Dallas, TX 75230</t>
  </si>
  <si>
    <t>Granoff, Peter
2207 Kessler Woods Ct.
Dallas, TX 75208</t>
  </si>
  <si>
    <t>Bradshaw, Stefanie
2929 Wycliff Ave.
Dallas, TX 75219</t>
  </si>
  <si>
    <t>Reese, Susan B.
2622 Commerce St.
Dallas, TX 75226</t>
  </si>
  <si>
    <t>Kapioltas, Tom
2295 Sussex Ln.
Allen, TX 75013</t>
  </si>
  <si>
    <t>Attlee, Tim
8751 Collin McKinney Pkwy
McKinney, TX 75070</t>
  </si>
  <si>
    <t>Attlee, Veronica
8751 Collin McKinney Pkwy
McKinney, TX 75070</t>
  </si>
  <si>
    <t>Zimmerman, William
105 S. Willomet Ave.
Dallas, TX 75208</t>
  </si>
  <si>
    <t>Johnslon, Willis
1001 Belleview St.
Dallas, TX 75215</t>
  </si>
  <si>
    <t>Parker, Dr. Mark
3606 S. Tyler St.
Dallas, TX 75224</t>
  </si>
  <si>
    <t>Johnson, Eric
3606 S. Tyler St.
Dallas, TX 75224</t>
  </si>
  <si>
    <t>Galvan, Nancy
1411 Junior Dr.
Dallas, TX 75208</t>
  </si>
  <si>
    <t>Nuchereno, Frank
4310 Nashwood Ln.
Dallas, TX 75244</t>
  </si>
  <si>
    <t>Keyes, Wesley
202 N. Clinton Ave
Dallas, TX 75208</t>
  </si>
  <si>
    <t>Lutz, Carl
3724 Waldorf Dr.
Dallas, TX 75229</t>
  </si>
  <si>
    <t>Littlefield, Kristene
3700 Cole Ave.
Dallas, TX 75204</t>
  </si>
  <si>
    <t>Venton for Texas
1075 Griffin St. W.
Dallas, TX 75215</t>
  </si>
  <si>
    <t>Reese, Katherine
5310 Northmoor Dr.
Dallas, TX 75229</t>
  </si>
  <si>
    <t>Page, Anthony
3210 Carlisle St.
Dallas, TX 75204</t>
  </si>
  <si>
    <t>Anderson, Decarla
2738 Whitewood Dr.
Dallas, TX 75233</t>
  </si>
  <si>
    <t>Gates, Jennifer
4914 Keyhole Ln.
Dallas, TX 75229</t>
  </si>
  <si>
    <t>Applequist, Chris
9034 Meadowknoll Dr.
Dallas, TX 75243</t>
  </si>
  <si>
    <t>Wallace, Andy
4433 Westway Ave.
Dallas, TX 75205</t>
  </si>
  <si>
    <t>Howell, Bryan
685 Kessler Reserve Ct.
Dallas, TX 75208</t>
  </si>
  <si>
    <t>Urano, Cam
311 N. Edgefield Ave
Dallas, TX 75208</t>
  </si>
  <si>
    <t>Dolezal, Chad
1015 S. Winnetka Ave.
Dallas, TX 75298</t>
  </si>
  <si>
    <t>Pope, Chase
6060 N Central Expwy.
Dallas, TX 75206</t>
  </si>
  <si>
    <t>Sherman, Daniel (Vinnie)
1743 Elmwood Blvd.
Dallas, TX 75224</t>
  </si>
  <si>
    <t>Blewett, David
6228 Vickery Blvd.
Dallas, TX 75214</t>
  </si>
  <si>
    <t>Neurohr, Garrison
4444 Cole Ave.
Dallas, TX 75205</t>
  </si>
  <si>
    <t>Orr, Jeremy
1033 Cedar Hill Ave.
Dallas, TX 75208</t>
  </si>
  <si>
    <t>Taylor, Lisa
923 Salmon Dr.
Dallas, TX 75208</t>
  </si>
  <si>
    <t>Donathan, Marsha
12101 Trinity Blvd.
Euless, TX 76040</t>
  </si>
  <si>
    <t>Hunt, Ray
1900 N. Akard St.
Dallas, TX 75201</t>
  </si>
  <si>
    <t>Holloway, Ryan
4325 Elm St.
Dallas, TX 75226</t>
  </si>
  <si>
    <t>McDonald, Sam
2630 Shelby Ave.
Dallas, TX 75219</t>
  </si>
  <si>
    <t>Bame, Seth
4439 Westway Ave.
Dallas, TX 75205</t>
  </si>
  <si>
    <t>Engwall, Stephanie
700 N. Oak Cliff Blvd.
Dallas, TX 75208</t>
  </si>
  <si>
    <t>Black, Tre
751 Kessler Lake Dr.
Dallas, TX 75208</t>
  </si>
  <si>
    <t>HBA Greater Dallas HOME PAC
5816 W Plano Parkway
Plano, TX 75093</t>
  </si>
  <si>
    <t>Stonewall Democrats PAC
PO Box 192305
Dallas, TX 75219</t>
  </si>
  <si>
    <t>TREPAC
PO Box 2246
Austin, TX 78768</t>
  </si>
  <si>
    <t>Crow, Patrick
4818 N. Lindhurst
Dallas, TX 75229</t>
  </si>
  <si>
    <t>Carey, Jeff
300 E Round Grove Rd
Lewisville, TX 75067</t>
  </si>
  <si>
    <t>Gerber, Pam
4435 Holland Ave.
Dallas, TX 75219</t>
  </si>
  <si>
    <t>Schenkkel, Pete
4231 Belclaire Ave
Dallas, TX 75205</t>
  </si>
  <si>
    <t>Tractor Beam, LP
1526 S Good Latimer EXPY
Dallas, TX 75226</t>
  </si>
  <si>
    <t>Arnold, Greg &amp; Ashley
PO Box 1481
Texarkana, TX 75504</t>
  </si>
  <si>
    <t>Assanie, Sadiq
1441 Van Winkle Drive
Carrollton, TX 75007</t>
  </si>
  <si>
    <t>Beard, Bramlet
PO Box 1224
Ennis, TX 75120</t>
  </si>
  <si>
    <t>Berry, Sammie
1219 Coronado Lane
Duncanville, TX 75137</t>
  </si>
  <si>
    <t>Blessing, Edward
8235 Douglas Ave
Dallas, TX 75225</t>
  </si>
  <si>
    <t>Comerica Incorporated PAC
1717 Main Street
Dallas, TX 75201</t>
  </si>
  <si>
    <t>HealthPAC
PO Box 4680
Dallas, TX 75208</t>
  </si>
  <si>
    <t>Feyer, Robert
2335 Hyde Street
San Francisco, CA 94109</t>
  </si>
  <si>
    <t>Garraway, Selwyn
100 Greenwich St
New York, NY 10006</t>
  </si>
  <si>
    <t>Hall, Stephen
11565 E Ricks Circle
Dallas, TX 75230</t>
  </si>
  <si>
    <t>Hasty, Gary
1001 Clinton St
Carrollton, TX 75007</t>
  </si>
  <si>
    <t>Hunt, Hunter
1900 N. Akard St
Dallas, TX 75201</t>
  </si>
  <si>
    <t>Hutchison, Kay
25 Downs Lake Circle
Dallas, TX 75230</t>
  </si>
  <si>
    <t>Jackson, John
7010 Delrose Dr
Dallas, TX 75214</t>
  </si>
  <si>
    <t>Jones, Stuart
5522 Waneta Drive
Dallas, TX 75209</t>
  </si>
  <si>
    <t>Kumar, Pankaj
5333 Deloache Ave
Dallas, TX 75220</t>
  </si>
  <si>
    <t>Lindsley, H
5525 Stonegate Road
Dallas, TX 75209</t>
  </si>
  <si>
    <t>McCants, Rick
613 Birch Lane
Richardson, TX 75081</t>
  </si>
  <si>
    <t>Mitchell, Amy &amp; Malone
4321 Saint Johns Dr
Dallas, TX 75205</t>
  </si>
  <si>
    <t>Murphy, James
7725 La Cosa Dr
Dallas, TX 75248</t>
  </si>
  <si>
    <t>Myers, Mike
6310 Lemmon Ave
Dallas, TX 75209</t>
  </si>
  <si>
    <t>Bates, Floyd
2705 Irving Blvd
Dallas, TX 75207</t>
  </si>
  <si>
    <t>Norris, Gina
4240 Prescott Ave
Dallas, TX 75219</t>
  </si>
  <si>
    <t>Nye, Erle
8523 Thackery St
Dallas, TX 75225</t>
  </si>
  <si>
    <t>Perryman, Tom &amp; Sally
6138 Woodland Dr
Dallas, TX 75225</t>
  </si>
  <si>
    <t>Rajani, Saleem
515 W Main St
Allen, TX 75013</t>
  </si>
  <si>
    <t>Rose, Deedie
3963 Maple Ave
Dallas, TX 75219</t>
  </si>
  <si>
    <t>Sakurai, Teiichi
1722 Routh St
Dallas, TX 75201</t>
  </si>
  <si>
    <t>Sewell, Carl
3860 W Northwest Hwy
Dallas, TX 75220</t>
  </si>
  <si>
    <t>Staubach, Roger
5242 Ravine Dr
Dallas, TX 75220</t>
  </si>
  <si>
    <t>Tanner, Desi
2707 Runningbrook
Dallas, TX 75228</t>
  </si>
  <si>
    <t>Westcott, Jimmy
3901 Turtle Creek Blvd
Dallas, TX 75219</t>
  </si>
  <si>
    <t>Matthews, John
320 W Main St
Lewisville, TX 75057</t>
  </si>
  <si>
    <t>Perot Jr., Ross
3000 Turtle Creek Blvd
Dallas, TX 75219</t>
  </si>
  <si>
    <t>Tillotson, Jeffrey
4515 W Mockingbird Ln
Dallas, TX 75209</t>
  </si>
  <si>
    <t>Goldberg, Kenneth
4 Robledo Dr
Dallas, TX 75230</t>
  </si>
  <si>
    <t>Drysdale, Joseph
3300 Wentwood Dr
Dallas, TX 75225</t>
  </si>
  <si>
    <t>Doak, Michael
4421 Beverly Dr
Dallas, TX 75205</t>
  </si>
  <si>
    <t>Welsh, Fred
2706 Lawtherwood Ct
Dallas, TX 75214</t>
  </si>
  <si>
    <t>Alpert, Robert
4514 Cole Ave
Dallas, TX 75205</t>
  </si>
  <si>
    <t>Jain, Anurag
5938 Norway Rd
Dallas, TX 75230</t>
  </si>
  <si>
    <t>Nambiar, Vipin
5534 West Hanover Ave
Dallas, TX 75209</t>
  </si>
  <si>
    <t>Bailey, Roy
4211 Brookview Drive
Dallas, TX 75220</t>
  </si>
  <si>
    <t>Vargas, Jesus
4921 Creighton Dr
Dallas, TX 75214</t>
  </si>
  <si>
    <t>Purdy, Torbejorne
10808 Strait Ln
Dallas, TX 75229</t>
  </si>
  <si>
    <t>Steeger, Corrine
9616 Northcliff Dr
Dallas, TX 75218</t>
  </si>
  <si>
    <t>Bradshaw, Horace
PO Box 764526
Dallas, TX 75232</t>
  </si>
  <si>
    <t>Battie, Susie &amp; Derrick
1456 Chapman Dr
Lancaster, TX 75134</t>
  </si>
  <si>
    <t>Martin, Ruben
3 Huntington St
Longview, TX 75601</t>
  </si>
  <si>
    <t>Moore, Tony
6823 S Florence Ave
Tulsa, OK 74136</t>
  </si>
  <si>
    <t>Assaff, Jim
PO Box 190464
Dallas, TX 75219</t>
  </si>
  <si>
    <t>Desai, Seemal
4047 Glenhurst Ln
Frisco, TX 75033</t>
  </si>
  <si>
    <t>Oliver, Jesse
3812 Holliday Road
Dallas, TX 75224</t>
  </si>
  <si>
    <t>Stewart, Robb
9506 Shady Valley Dr
Dallas, TX 75238</t>
  </si>
  <si>
    <t>Idoux, Kathryn
6123 Orchid Ln
Dallas, TX 75230</t>
  </si>
  <si>
    <t>Idoux, Stephen
6123 Orchid Ln
Dallas, TX 75230</t>
  </si>
  <si>
    <t>Walker, Kelvin
3328 Walchard Court
Dallas, TX 75229</t>
  </si>
  <si>
    <t>Coffman, Barbara
8100 Lomo Alto Dr
Dallas, TX 75225</t>
  </si>
  <si>
    <t>Wilson, Michael
6739 Avalon Ave
Dallas, TX 75214</t>
  </si>
  <si>
    <t>Marchant, Matthew
2125 North Josey Ln
Carrollton, TX 75006</t>
  </si>
  <si>
    <t>Carter, Stefani
2408 Victory Park Ln
Dallas, TX 75219</t>
  </si>
  <si>
    <t>McDougal, Matthew
4001 Ross Ave
Dallas, TX 75204</t>
  </si>
  <si>
    <t>Van Lare, James
5918 Elderwood Dr
Dallas, TX 75230</t>
  </si>
  <si>
    <t>Smith, William
9254 Forest Lane
Dallas, TX 75243</t>
  </si>
  <si>
    <t>Mittal, Shridhar
4311 Valley Ridge Rd
Dallas, TX 75220</t>
  </si>
  <si>
    <t>Thompson, Glenda
7413 Arborhill Dr
Fort Worth, TX 76120</t>
  </si>
  <si>
    <t>Miller, John
8226 Douglas Ave
Dallas, TX 75225</t>
  </si>
  <si>
    <t>OBrien, Joseph
2706 Turtle Creek Circle
Dallas, TX 75225</t>
  </si>
  <si>
    <t>Woodlief, Mari
3864 W Beverly Dr
Dallas, TX 75209</t>
  </si>
  <si>
    <t>Rastogi, Dev
18723 Mapletree Ln
Dallas, TX 75209</t>
  </si>
  <si>
    <t>Jacobs, Ivan
804 Mulberry Lane
DeSoto, TX 75115</t>
  </si>
  <si>
    <t>Parish, Deborah
1910 Pacific Ave
Dallas, TX 75201</t>
  </si>
  <si>
    <t>Rupani, Amirali
16555 Preston Trail Dr
Dallas, TX 75201</t>
  </si>
  <si>
    <t>Johnson, Cory
1502 Marshall Dr
Duncanville, TX 75137</t>
  </si>
  <si>
    <t>Lashlee, Rhett
5310 Stonegate Dr
Dallas, TX 75209</t>
  </si>
  <si>
    <t>Maltese, Kelly
5500 Caruth Haven Ln
Dallas, TX 75225</t>
  </si>
  <si>
    <t>Lopez, Wendy
3707 W Beverly Dr
Dallas, TX 75209</t>
  </si>
  <si>
    <t>Bobosky, Shelby
6823 La Vista Dr
Dallas, TX 75214</t>
  </si>
  <si>
    <t>Bowles, Trey
4117 COLGATE AVE
Dallas, TX 75225</t>
  </si>
  <si>
    <t>Marquis, David
3110 W Kiest
Dallas, TX 75233</t>
  </si>
  <si>
    <t>Noble, Anthony
113 Cree Dr
Forest Heights, MD 20745</t>
  </si>
  <si>
    <t>Roberts, Richard
3600 Rosedale
Dallas, TX 75205</t>
  </si>
  <si>
    <t>Templeton, Bill
10455 Strait Lane
Dallas, TX 75229</t>
  </si>
  <si>
    <t>King, Johnnie
1243 W Pleasant Run Rd
DeSoto, TX 75043</t>
  </si>
  <si>
    <t>X, Citizen
1500 Marilla
Dallas, TX 75201</t>
  </si>
  <si>
    <t>Offatt, Larry
6038 Bryan Parkway
Dallas, TX 75206</t>
  </si>
  <si>
    <t>Guber, Mike
300 Crescent Court
Dallas, TX 75201</t>
  </si>
  <si>
    <t>Keyes, Katrina
4709 Forest Lane
Dallas, TX 75244</t>
  </si>
  <si>
    <t>Brooks, Vg
PO Box 140092
Dallas, TX 75014-0092</t>
  </si>
  <si>
    <t>Cain, Lucy
4308 Spring Ave
Dallas, TX 75210-1651</t>
  </si>
  <si>
    <t>Blair, Lorie
2010 Autumn Meadow Trail
Dallas, TX 75232-3704</t>
  </si>
  <si>
    <t>Haung, Paul
422 Ridgewood
Richardson, TX 75080</t>
  </si>
  <si>
    <t>Luther, David
619 Kessler Springs Drive
Dallas, TX 75208</t>
  </si>
  <si>
    <t>Aranza, Gilbert
PO Box 601527
Dallas, TX 75360-1527</t>
  </si>
  <si>
    <t>Gunby, R
1209 Colgate Ave
Dallas, TX 75225-4826</t>
  </si>
  <si>
    <t>Waine, Walter
10020 Caribou Trail
Dallas, TX 75238</t>
  </si>
  <si>
    <t>Giddings, Helen
400 S Zang Blvd
Dallas, TX 75208-6643</t>
  </si>
  <si>
    <t>The Preo Group, LLC
3503 Vibutnum Dr
Wyle, TX 75098-7459</t>
  </si>
  <si>
    <t>Parrish, Roland
1256 Regents Park Ct
Desoto, TX 75115-2837</t>
  </si>
  <si>
    <t>Parrish, Jewel
1256 Regents Park Ct
Desoto, TX 75115</t>
  </si>
  <si>
    <t>Schenkel, Craig
3105 Stanford Ave
Dallas, TX 75225-7702</t>
  </si>
  <si>
    <t>Johnson, Sophia
1001 Belleview St
Dallas, TX 75215-1811</t>
  </si>
  <si>
    <t>Islam, Rafiqul
1706 Parkwood Dr
Grapevine, TX 76051</t>
  </si>
  <si>
    <t>Mihalopoulos, Frank
4645 N Central Expressway
Dallas, TX 75205</t>
  </si>
  <si>
    <t>Hart, Linda
3811 Turtle Creek Blvd
Dallas, TX 75219</t>
  </si>
  <si>
    <t>Folsom, R Steve
16475 Dallas Parkway
Addison, TX 75001</t>
  </si>
  <si>
    <t>Chong, Kwang Sim
3688 Pistol Creek Dr
Frisco, TX 75034</t>
  </si>
  <si>
    <t>Schwartz, Brian
3412 Beverly Drive
Dallas, TX 75206-2929</t>
  </si>
  <si>
    <t>Coats, Sam
26 Ryddington Place
Dallas, TX 75230</t>
  </si>
  <si>
    <t>Lott, Dalton
PO Box 765209
Dallas, TX 75376-5209</t>
  </si>
  <si>
    <t>Williams, Lucious
1421 Covington Dr
DeSoto, TX 75115</t>
  </si>
  <si>
    <t>Williams, L
1421 Covington Dr
Desoto, TX 75115</t>
  </si>
  <si>
    <t>Goldbert, Neil
5530 Palomar Lane
Dallas, TX 75229</t>
  </si>
  <si>
    <t>brown, mason
PO Box 29615
Dallas, TX 75229</t>
  </si>
  <si>
    <t>Terrell, Gail
PO Box 41561
Dallas, TX 75241</t>
  </si>
  <si>
    <t>Chism, Carolyn
1407 Laura Ln
Dallas, TX 75241</t>
  </si>
  <si>
    <t>Ragsdale, Diane
3611 Dunbar Street
Dallas, TX 75215</t>
  </si>
  <si>
    <t>Yclee, Helen
1417 Chesterton Dr
Richardson, TX 75080</t>
  </si>
  <si>
    <t>Pitre, Katrina
2310 Bonnie View Rd
Dallas, TX 75216-2609</t>
  </si>
  <si>
    <t>Pitre, Robert
2642 S Harwood
Dallas, TX 75215</t>
  </si>
  <si>
    <t>Spleicy, Bradley
7117 Wake Forest Drive
Dallas, TX 75214</t>
  </si>
  <si>
    <t>Christian, Jerry
1440 Sunny Glen Dr
Dallas, TX 75232</t>
  </si>
  <si>
    <t>Price, John
510 E 5th
Dallas, TX 75203</t>
  </si>
  <si>
    <t>Mapp, Trelaine
12612 Beech Tree Lane
Euless, TX 76040-3428</t>
  </si>
  <si>
    <t>Jones, Thomas
1527 Bilco St
Dallas, TX 75232</t>
  </si>
  <si>
    <t>Shelton, Nancy
3913 Miramar Ave
Dallas, TX 75205</t>
  </si>
  <si>
    <t>Ablon, Michael
5908 Azalea Ln
Dallas, TX 75230</t>
  </si>
  <si>
    <t>Camarillo, Sylvia
5 Richmond Ct
Mansfield, TX 76063</t>
  </si>
  <si>
    <t>Ku, Charles
148 Red Oak Lane
Flowe Mound, TX 75028-3501</t>
  </si>
  <si>
    <t>Tsao, William
6922 Aspen Creek Ln
Dallas, TX 75252</t>
  </si>
  <si>
    <t>Spinola, Luis
4608 Windsor Ridge Dr
Irving, TX 75038</t>
  </si>
  <si>
    <t>Cho, Kevin
1504 Summerside Dr
Allen, TX 75002</t>
  </si>
  <si>
    <t>Chung, Kalray
2308 Morning Glory Dr
Richardson, TX 75082</t>
  </si>
  <si>
    <t>Suh, Jenny Hyun
2012 Boxwood Dr
Irving, TX 75063-5513</t>
  </si>
  <si>
    <t>Johnson, Jacob
1237 Frenchmans Dr
Desoto, TX 75115</t>
  </si>
  <si>
    <t>Kim, Chong Ann
2013 Cottonwood Valley Cir S
Irving, TX 75038</t>
  </si>
  <si>
    <t>Kim, Odes
2013 Cottonwood Vall
Irving, TX 75038</t>
  </si>
  <si>
    <t>Proctor, John
1524 Oak Meadow Dr
Dallas, TX 75232</t>
  </si>
  <si>
    <t>Proctor, Christine
PO Box 765129
Dallas, TX 75376</t>
  </si>
  <si>
    <t>KING, DELVA
1243 W PLEASANT RUN RD
DESOTO, TX 75115</t>
  </si>
  <si>
    <t>Tillotson, Dara
1807 Ross Ave
Dallas, TX 75201</t>
  </si>
  <si>
    <t>Tillotson, Jeffrey
1807 Ross Ave
Dallas, TX 75201</t>
  </si>
  <si>
    <t>Linebarger Goggan Blair &amp; Samspon, LLP
PO Box 17428
Austin, TX 78760</t>
  </si>
  <si>
    <t>Nichols, Douglas
2603 Fairmount St.
Dallas, TX 75201</t>
  </si>
  <si>
    <t>Nichols, Karrison
2603 Fairmount St.
Dallas, TX 75201</t>
  </si>
  <si>
    <t>Kollaja, Ted
108 West Shore Dr
Richardson, TX 75080</t>
  </si>
  <si>
    <t>Gerber, Pam
4435 Holland Ave
Dallas, TX 75219-2134</t>
  </si>
  <si>
    <t>Agnich, Robert
8525 Ferndale Rd
Dallas, TX 75238</t>
  </si>
  <si>
    <t>Laye, Bradley
7896 Eastlake Dr
Boca Raton, FL 33433</t>
  </si>
  <si>
    <t>Barnett &amp; family, Mitchell and Miriam Lewis
14020 Hughes Ln
Dallas, TX 75254</t>
  </si>
  <si>
    <t>Phillips, John
12130 Vendome Pl
Dallas, TX 75230</t>
  </si>
  <si>
    <t>Levine, Nate
8240 Manderville Ln
Dallas, TX 75231</t>
  </si>
  <si>
    <t>LJS Revocable Trust
PO Box 699
Tulsa, OK 74101</t>
  </si>
  <si>
    <t>Dunning, Sarah
9239 Hathaway St
Dallas, TX 75220</t>
  </si>
  <si>
    <t>Carp, Susie
6322 Park Ln
Dallas, TX 75225</t>
  </si>
  <si>
    <t>Bogen, Sheryl
12032 Excelsior Way
Dallas, TX 75230</t>
  </si>
  <si>
    <t>Whitman, Jeffrey
11505 Hillcrest Rd
Dallas, TX 75230</t>
  </si>
  <si>
    <t>Waldman, Stephen and Jackie
7729 Yamini Dr
Dallas, TX 75230</t>
  </si>
  <si>
    <t>Owen, Jennifer
6541 Arborist Ln
Dallas, TX 75214</t>
  </si>
  <si>
    <t>Risch, Frank
3540 Colgate Ave
Dallas, TX 75225</t>
  </si>
  <si>
    <t>Radunsky, David
12015 Excelsior Way
Dallas, TX 75230</t>
  </si>
  <si>
    <t>Welch, Terry &amp; Mary Claire
4 Ryddington Pl
Richardson, TX 75081</t>
  </si>
  <si>
    <t>Courtwright, Jeannie
6758 Avalon Ave
Dallas, TX 75214</t>
  </si>
  <si>
    <t>TREPAC/Texas Association of Realtors Political Action Commitee
PO Box 2246
Austin, TX 78768</t>
  </si>
  <si>
    <t>Hasenbauer, Brian
9811 Estate Lane
Dallas, TX 75238</t>
  </si>
  <si>
    <t>Garrett, Judy
11020 Watterson Dr
Dallas, TX 75228</t>
  </si>
  <si>
    <t>Bell, Pamela
30 Alcalde Rd.
Santa Fe, NM 87508</t>
  </si>
  <si>
    <t>Lipton, Ilise
6945 Walling Lane
Dallas, TX 75231</t>
  </si>
  <si>
    <t>Cade, Joanna
9758 Van Dyke Rd
Dallas, TX 75218</t>
  </si>
  <si>
    <t>Bailey, Kathleen
11057 Mandalay
Dallas, TX 75228</t>
  </si>
  <si>
    <t>Christen, Sharon
4822 W. Lawther Dr.
Dallas, TX 75214</t>
  </si>
  <si>
    <t>Farmer, Maureen
9405 Clearhurst Dr.
Dallas, TX 75238</t>
  </si>
  <si>
    <t>McClurg, Laurie
8653 Redondo Drive
Dallas, TX 75218</t>
  </si>
  <si>
    <t>Salter, Carolyn
419 S. Royall
Palestine, TX 75801</t>
  </si>
  <si>
    <t>Steinhart, Ronald
25 Robledo
Dallas, TX 75230</t>
  </si>
  <si>
    <t>Hansen, Wendy
3813 Wentwood
Dallas, TX 75225</t>
  </si>
  <si>
    <t>Spell, Pam
8556 Greenhouse Lane
Dallas, TX 75243</t>
  </si>
  <si>
    <t>Walker, Edward
7306 Lizshire
Dallas, TX 75231</t>
  </si>
  <si>
    <t>Bibcom, Jody
12201 Wightman
Dallas, TX 75243</t>
  </si>
  <si>
    <t>Johnson, Wandra
11801 Oak Highlands
Dallas, TX 75243</t>
  </si>
  <si>
    <t>Crafton, Amy
5838 Woodland
Dallas, TX 75225</t>
  </si>
  <si>
    <t>Jeffus, Stephen
10017 Clearmeadow
Dallas, TX 75238</t>
  </si>
  <si>
    <t>Olerio, Jr., Louis M.
6310 Lemmon Avenue
Dallas, TX 75209</t>
  </si>
  <si>
    <t>Martindale, Blake
9205 S. Oak Cliff Blvd.
Dallas, TX 75208</t>
  </si>
  <si>
    <t>Camp, Steven
611 Kessler Springs Avenue
Dallas, TX 75208</t>
  </si>
  <si>
    <t>Schenkel, Austin
3105 Stanford Avenue
Dallas, TX 75225</t>
  </si>
  <si>
    <t>Schenkel, Kendall
3105 Stanford Avenue
Dallas, TX 75225</t>
  </si>
  <si>
    <t>Jackson, Jarrod
1212 W. Commerce Street
Dallas, TX 75208</t>
  </si>
  <si>
    <t>Olmstead, Bradley
8741 Aldwick Drive
Dallas, TX 75238</t>
  </si>
  <si>
    <t>Moritz, John
PO Box 490
Arlington, TX 76004</t>
  </si>
  <si>
    <t>Vruggink, Matthew
6727 Sunnyland Lane
Dallas, TX 75214</t>
  </si>
  <si>
    <t>Johns, Wade
6964 Westlake Avenue
Dallas, TX 75214</t>
  </si>
  <si>
    <t>Segrest, Matt
6935 Meadow Lake Avenue
Dallas, TX 75214</t>
  </si>
  <si>
    <t>Alef, Brian
6756 Inverness Lane
Dallas, TX 75214</t>
  </si>
  <si>
    <t>Cavanaugh, William
500 N. Akard Street
Dallas, TX 75201</t>
  </si>
  <si>
    <t>Parker, Kim
13330 Noel Road
Dallas, TX 75240</t>
  </si>
  <si>
    <t>Beaver, Howell
4232 San Carlos
Dallas, TX 75205</t>
  </si>
  <si>
    <t>Holley, James Matt
43460 Mockingbird Lane
Dallas, TX 75205</t>
  </si>
  <si>
    <t>Beucler, Reid
6060 N. Central Expwy.
Dallas, TX 75206</t>
  </si>
  <si>
    <t>Miller, Stephen
10250 Rosser Rd.
Dallas, TX 75229</t>
  </si>
  <si>
    <t>Andres, Warren
3710 Rawlins St.
Dallas, TX 75219</t>
  </si>
  <si>
    <t>Lamkin, Robvert
14881 Quorum Dr.
Dallas, TX 75254</t>
  </si>
  <si>
    <t>Dingman, Joseph
13223 Glad Acres Dr.
Dallas, TX 75234</t>
  </si>
  <si>
    <t>Pitchford, Joseph
7422 Midburry Dr.
Dallas, TX 75230</t>
  </si>
  <si>
    <t>Teleki, Kristian
325 Canyon Oaks Dr.
Argyle, TX 76226</t>
  </si>
  <si>
    <t>Miranda, Lou
8260 Folcroft Ln.
Dallas, TX 75231</t>
  </si>
  <si>
    <t>Miller, Adam
320 W. Main St.
Dallas, TX 75057</t>
  </si>
  <si>
    <t>Linburg, Barrett
5619 Purdue Ave.
Dallas, TX 75209</t>
  </si>
  <si>
    <t>Hancock, Barry
4514 Travis St.
Dallas, TX 75205</t>
  </si>
  <si>
    <t>Kaelson, Gary
501 2nd Ave.
Dallas, TX 75226</t>
  </si>
  <si>
    <t>Wolf, J. Mark
8340 Meadow Rd.
Dallas, TX 75231</t>
  </si>
  <si>
    <t>Hancock, Margaret
3843 Maplewood Ave.
Dallas, TX 75205</t>
  </si>
  <si>
    <t>Rodgers, Scott
5918 Lomo Alto
Dallas, TX 75205</t>
  </si>
  <si>
    <t>Anderson, Simone
3808 Southwestern Blvd.
Dallas, TX 75225</t>
  </si>
  <si>
    <t>Ginsburg, Valerie
2610 Fairmount St.
Dallas, TX 75201</t>
  </si>
  <si>
    <t>Williams, Joel
4323 Lorraine Ave.
Dallas, TX 75205</t>
  </si>
  <si>
    <t>Pomykal, Keith
PO Box 192723
Dallas, TX 75219</t>
  </si>
  <si>
    <t>Mackey, Alecia
3890 White Clove Ln.
Prosper, TX 75078</t>
  </si>
  <si>
    <t>Schenkel, Austin
3105 Stanford Ave.
Dallas, TX 75225</t>
  </si>
  <si>
    <t>OConnell, Charles
634 Kessler Reserve Court
Dallas, TX 75208</t>
  </si>
  <si>
    <t>Aslam, Chris
PO Box 496539
Garland, TX 75049</t>
  </si>
  <si>
    <t>Wright, Colton
9113 Clearhurst Drive
Dallas, TX 75238</t>
  </si>
  <si>
    <t>Petty, Donald
2808 Fairmount St.
Dallas, TX 75201</t>
  </si>
  <si>
    <t>Hurley, Elizabeth
3910 Gillon Ave.
Dallas, TX 75205</t>
  </si>
  <si>
    <t>Mihalopoulos, Frank
4645 Bishop Avenue
Dallas, TX 75205</t>
  </si>
  <si>
    <t>Bosse, Jeff
PO Box 4378
Dallas, TX 75208</t>
  </si>
  <si>
    <t>Matthews, Laura Ann
320 W. Main St.
Lewisville, TX 75057</t>
  </si>
  <si>
    <t>Duperier, Masoln
7153 Wildbriar Dr.
Dallas, TX 75214</t>
  </si>
  <si>
    <t>Crone, Philip
6518 Trammel Dr.
Dallas, TX 75214</t>
  </si>
  <si>
    <t>Wise, Philip
3444 University Blvd.
Dallas, TX 75205</t>
  </si>
  <si>
    <t>Hurley, IV, S.J.
2227 Vantage St.
Dallas, TX 75207</t>
  </si>
  <si>
    <t>Vanderstraaten, William
4032 Druid Ln.
Dallas, TX 75205</t>
  </si>
  <si>
    <t>Jonnson, Willis
1001 Belleview St.
Dallas, TX 75215</t>
  </si>
  <si>
    <t>Stool, Gerald
2808 Fairmount St.
Dallas, TX 75201</t>
  </si>
  <si>
    <t>Merlino, Lynne
215 W. Greenbriar Ln.
Dallas, TX 75208</t>
  </si>
  <si>
    <t>Walker, Newt
2519 Thomas Ave.
Dallas, TX 75201</t>
  </si>
  <si>
    <t>Bischoff, Kasey
3417 Princeton Ave.
Dallas, TX 75205</t>
  </si>
  <si>
    <t>Wingo, Paul
1227 Woodlawn Ave.
Dallas, TX 75208</t>
  </si>
  <si>
    <t>Evans, Roy Gene
PO Box 26251
Dallas, TX 75225</t>
  </si>
  <si>
    <t>Wick, Kyle
1212 N. Oak Cliff Blvd.
Dallas, TX 75208</t>
  </si>
  <si>
    <t>Moffett, Rebecca
934 Stevens Woods Ct.
Dallas, TX 75208</t>
  </si>
  <si>
    <t>OBrien, Melissa
1524 Junior Dr.
Dallas, TX 75208</t>
  </si>
  <si>
    <t>Anglin, Mike
1414 W. Colorado Blvd.
Dallas, TX 75208</t>
  </si>
  <si>
    <t>Abtahi, Robert
1126 N. Zang
Dallas, TX 75203</t>
  </si>
  <si>
    <t>Unique Zipcodes</t>
  </si>
  <si>
    <t>Amount per Zipcode</t>
  </si>
  <si>
    <t>Zipcode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</si>
</sst>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5">
    <font>
      <sz val="10.0"/>
      <color rgb="FF000000"/>
      <name val="Arial"/>
      <scheme val="minor"/>
    </font>
    <font>
      <b/>
      <color rgb="FF000066"/>
      <name val="Arial"/>
    </font>
    <font>
      <b/>
      <color theme="1"/>
      <name val="Arial"/>
      <scheme val="minor"/>
    </font>
    <font>
      <color rgb="FF000066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1F1F1"/>
        <bgColor rgb="FFF1F1F1"/>
      </patternFill>
    </fill>
    <fill>
      <patternFill patternType="solid">
        <fgColor rgb="FFFFFFFF"/>
        <bgColor rgb="FFFFFFFF"/>
      </patternFill>
    </fill>
  </fills>
  <borders count="11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left style="thick">
        <color rgb="FF000000"/>
      </left>
      <right style="thick">
        <color rgb="FF000000"/>
      </righ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2" fontId="1" numFmtId="164" xfId="0" applyAlignment="1" applyBorder="1" applyFont="1" applyNumberFormat="1">
      <alignment horizontal="center" readingOrder="0"/>
    </xf>
    <xf borderId="3" fillId="2" fontId="1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5" fillId="2" fontId="3" numFmtId="0" xfId="0" applyAlignment="1" applyBorder="1" applyFont="1">
      <alignment horizontal="center" readingOrder="0"/>
    </xf>
    <xf borderId="6" fillId="2" fontId="3" numFmtId="164" xfId="0" applyAlignment="1" applyBorder="1" applyFont="1" applyNumberFormat="1">
      <alignment horizontal="center" readingOrder="0"/>
    </xf>
    <xf borderId="7" fillId="2" fontId="3" numFmtId="0" xfId="0" applyAlignment="1" applyBorder="1" applyFont="1">
      <alignment horizontal="center" readingOrder="0"/>
    </xf>
    <xf borderId="0" fillId="0" fontId="4" numFmtId="0" xfId="0" applyFont="1"/>
    <xf borderId="6" fillId="0" fontId="4" numFmtId="0" xfId="0" applyBorder="1" applyFont="1"/>
    <xf borderId="5" fillId="3" fontId="3" numFmtId="0" xfId="0" applyAlignment="1" applyBorder="1" applyFill="1" applyFont="1">
      <alignment horizontal="center" readingOrder="0"/>
    </xf>
    <xf borderId="6" fillId="3" fontId="3" numFmtId="164" xfId="0" applyAlignment="1" applyBorder="1" applyFont="1" applyNumberFormat="1">
      <alignment horizontal="center" readingOrder="0"/>
    </xf>
    <xf borderId="7" fillId="3" fontId="3" numFmtId="0" xfId="0" applyAlignment="1" applyBorder="1" applyFont="1">
      <alignment horizontal="center" readingOrder="0"/>
    </xf>
    <xf borderId="0" fillId="0" fontId="4" numFmtId="0" xfId="0" applyAlignment="1" applyFont="1">
      <alignment readingOrder="0"/>
    </xf>
    <xf borderId="5" fillId="0" fontId="4" numFmtId="0" xfId="0" applyAlignment="1" applyBorder="1" applyFont="1">
      <alignment horizontal="center"/>
    </xf>
    <xf borderId="6" fillId="0" fontId="4" numFmtId="0" xfId="0" applyAlignment="1" applyBorder="1" applyFont="1">
      <alignment horizontal="center"/>
    </xf>
    <xf borderId="7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center"/>
    </xf>
    <xf borderId="9" fillId="0" fontId="4" numFmtId="0" xfId="0" applyAlignment="1" applyBorder="1" applyFont="1">
      <alignment horizontal="center"/>
    </xf>
    <xf borderId="10" fillId="0" fontId="4" numFmtId="0" xfId="0" applyAlignment="1" applyBorder="1" applyFont="1">
      <alignment horizontal="center"/>
    </xf>
    <xf borderId="9" fillId="0" fontId="4" numFmtId="0" xfId="0" applyBorder="1" applyFont="1"/>
    <xf borderId="2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/>
    </xf>
    <xf borderId="2" fillId="0" fontId="2" numFmtId="1" xfId="0" applyAlignment="1" applyBorder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1" xfId="0" applyAlignment="1" applyFont="1" applyNumberFormat="1">
      <alignment horizontal="center"/>
    </xf>
    <xf borderId="7" fillId="0" fontId="4" numFmtId="1" xfId="0" applyAlignment="1" applyBorder="1" applyFont="1" applyNumberFormat="1">
      <alignment horizontal="center"/>
    </xf>
    <xf borderId="0" fillId="0" fontId="2" numFmtId="0" xfId="0" applyFont="1"/>
    <xf borderId="0" fillId="0" fontId="4" numFmtId="1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6" fillId="0" fontId="4" numFmtId="0" xfId="0" applyAlignment="1" applyBorder="1" applyFont="1">
      <alignment horizontal="center" readingOrder="0"/>
    </xf>
    <xf borderId="10" fillId="0" fontId="4" numFmtId="1" xfId="0" applyAlignment="1" applyBorder="1" applyFont="1" applyNumberFormat="1">
      <alignment horizontal="center"/>
    </xf>
    <xf borderId="0" fillId="0" fontId="4" numFmtId="1" xfId="0" applyAlignment="1" applyFont="1" applyNumberFormat="1">
      <alignment readingOrder="0"/>
    </xf>
    <xf borderId="0" fillId="0" fontId="4" numFmtId="1" xfId="0" applyFont="1" applyNumberFormat="1"/>
    <xf borderId="2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25"/>
    <col customWidth="1" min="5" max="5" width="35.5"/>
  </cols>
  <sheetData>
    <row r="1">
      <c r="A1" s="1" t="s">
        <v>0</v>
      </c>
      <c r="B1" s="2" t="s">
        <v>1</v>
      </c>
      <c r="C1" s="3" t="s">
        <v>2</v>
      </c>
      <c r="J1" s="4" t="s">
        <v>3</v>
      </c>
    </row>
    <row r="2">
      <c r="A2" s="5" t="s">
        <v>4</v>
      </c>
      <c r="B2" s="6">
        <v>250.0</v>
      </c>
      <c r="C2" s="7" t="s">
        <v>5</v>
      </c>
      <c r="E2" s="8" t="str">
        <f>IFERROR(__xludf.DUMMYFUNCTION("SPLIT(A2,""TX"")"),"Johnson, Anne
5905 Norway Rd
Dallas, ")</f>
        <v>Johnson, Anne
5905 Norway Rd
Dallas, </v>
      </c>
      <c r="F2" s="8">
        <f>IFERROR(__xludf.DUMMYFUNCTION("""COMPUTED_VALUE"""),75230.0)</f>
        <v>75230</v>
      </c>
      <c r="I2" s="8">
        <f>IF(ISBLANK(G2),F2,G2)</f>
        <v>75230</v>
      </c>
      <c r="J2" s="9">
        <f>IFERROR(__xludf.DUMMYFUNCTION("SPLIT(I2,""-"")"),75230.0)</f>
        <v>75230</v>
      </c>
    </row>
    <row r="3">
      <c r="A3" s="10" t="s">
        <v>6</v>
      </c>
      <c r="B3" s="11">
        <v>500.0</v>
      </c>
      <c r="C3" s="12" t="s">
        <v>5</v>
      </c>
      <c r="E3" s="8" t="str">
        <f>IFERROR(__xludf.DUMMYFUNCTION("SPLIT(A3,""TX"")"),"Williams, ")</f>
        <v>Williams, </v>
      </c>
      <c r="F3" s="8" t="str">
        <f>IFERROR(__xludf.DUMMYFUNCTION("""COMPUTED_VALUE"""),"odd
5119 Seneca Drive, Dallas, ")</f>
        <v>odd
5119 Seneca Drive, Dallas, </v>
      </c>
      <c r="G3" s="8" t="str">
        <f>IFERROR(__xludf.DUMMYFUNCTION("""COMPUTED_VALUE"""),"
Dallas, ")</f>
        <v>
Dallas, </v>
      </c>
      <c r="H3" s="8">
        <f>IFERROR(__xludf.DUMMYFUNCTION("""COMPUTED_VALUE"""),75209.0)</f>
        <v>75209</v>
      </c>
      <c r="I3" s="13">
        <v>75209.0</v>
      </c>
      <c r="J3" s="9">
        <f>IFERROR(__xludf.DUMMYFUNCTION("SPLIT(I3,""-"")"),75209.0)</f>
        <v>75209</v>
      </c>
    </row>
    <row r="4">
      <c r="A4" s="10" t="s">
        <v>7</v>
      </c>
      <c r="B4" s="11">
        <v>100.0</v>
      </c>
      <c r="C4" s="12" t="s">
        <v>8</v>
      </c>
      <c r="E4" s="8" t="str">
        <f>IFERROR(__xludf.DUMMYFUNCTION("SPLIT(A4,""TX"")"),"Schlossin, Denise
7051 Spring Vallet
Dallas, ")</f>
        <v>Schlossin, Denise
7051 Spring Vallet
Dallas, </v>
      </c>
      <c r="F4" s="8">
        <f>IFERROR(__xludf.DUMMYFUNCTION("""COMPUTED_VALUE"""),75230.0)</f>
        <v>75230</v>
      </c>
      <c r="I4" s="8">
        <f t="shared" ref="I4:I12" si="1">IF(ISBLANK(G4),F4,G4)</f>
        <v>75230</v>
      </c>
      <c r="J4" s="9">
        <f>IFERROR(__xludf.DUMMYFUNCTION("SPLIT(I4,""-"")"),75230.0)</f>
        <v>75230</v>
      </c>
    </row>
    <row r="5">
      <c r="A5" s="10" t="s">
        <v>9</v>
      </c>
      <c r="B5" s="11">
        <v>1000.0</v>
      </c>
      <c r="C5" s="12" t="s">
        <v>8</v>
      </c>
      <c r="E5" s="8" t="str">
        <f>IFERROR(__xludf.DUMMYFUNCTION("SPLIT(A5,""TX"")"),"Jennings, Steve
2013 North Henderson Avenue
Dallas, ")</f>
        <v>Jennings, Steve
2013 North Henderson Avenue
Dallas, </v>
      </c>
      <c r="F5" s="8">
        <f>IFERROR(__xludf.DUMMYFUNCTION("""COMPUTED_VALUE"""),75218.0)</f>
        <v>75218</v>
      </c>
      <c r="I5" s="8">
        <f t="shared" si="1"/>
        <v>75218</v>
      </c>
      <c r="J5" s="9">
        <f>IFERROR(__xludf.DUMMYFUNCTION("SPLIT(I5,""-"")"),75218.0)</f>
        <v>75218</v>
      </c>
    </row>
    <row r="6">
      <c r="A6" s="10" t="s">
        <v>10</v>
      </c>
      <c r="B6" s="11">
        <v>50.0</v>
      </c>
      <c r="C6" s="12" t="s">
        <v>5</v>
      </c>
      <c r="E6" s="8" t="str">
        <f>IFERROR(__xludf.DUMMYFUNCTION("SPLIT(A6,""TX"")"),"Blache, Sidney
12900 Preston Road
Dallas, ")</f>
        <v>Blache, Sidney
12900 Preston Road
Dallas, </v>
      </c>
      <c r="F6" s="8">
        <f>IFERROR(__xludf.DUMMYFUNCTION("""COMPUTED_VALUE"""),75230.0)</f>
        <v>75230</v>
      </c>
      <c r="I6" s="8">
        <f t="shared" si="1"/>
        <v>75230</v>
      </c>
      <c r="J6" s="9">
        <f>IFERROR(__xludf.DUMMYFUNCTION("SPLIT(I6,""-"")"),75230.0)</f>
        <v>75230</v>
      </c>
    </row>
    <row r="7">
      <c r="A7" s="10" t="s">
        <v>11</v>
      </c>
      <c r="B7" s="11">
        <v>1000.0</v>
      </c>
      <c r="C7" s="12" t="s">
        <v>8</v>
      </c>
      <c r="E7" s="8" t="str">
        <f>IFERROR(__xludf.DUMMYFUNCTION("SPLIT(A7,""TX"")"),"Jennings, Nancy
2301 North Henderson Avenue
Dallas, ")</f>
        <v>Jennings, Nancy
2301 North Henderson Avenue
Dallas, </v>
      </c>
      <c r="F7" s="8">
        <f>IFERROR(__xludf.DUMMYFUNCTION("""COMPUTED_VALUE"""),75218.0)</f>
        <v>75218</v>
      </c>
      <c r="I7" s="8">
        <f t="shared" si="1"/>
        <v>75218</v>
      </c>
      <c r="J7" s="9">
        <f>IFERROR(__xludf.DUMMYFUNCTION("SPLIT(I7,""-"")"),75218.0)</f>
        <v>75218</v>
      </c>
    </row>
    <row r="8">
      <c r="A8" s="10" t="s">
        <v>12</v>
      </c>
      <c r="B8" s="11">
        <v>200.0</v>
      </c>
      <c r="C8" s="12" t="s">
        <v>5</v>
      </c>
      <c r="E8" s="8" t="str">
        <f>IFERROR(__xludf.DUMMYFUNCTION("SPLIT(A8,""TX"")"),"Crumpecker, Brad
4630 Gulfstream Drive
Dallas, ")</f>
        <v>Crumpecker, Brad
4630 Gulfstream Drive
Dallas, </v>
      </c>
      <c r="F8" s="8">
        <f>IFERROR(__xludf.DUMMYFUNCTION("""COMPUTED_VALUE"""),75244.0)</f>
        <v>75244</v>
      </c>
      <c r="I8" s="8">
        <f t="shared" si="1"/>
        <v>75244</v>
      </c>
      <c r="J8" s="9">
        <f>IFERROR(__xludf.DUMMYFUNCTION("SPLIT(I8,""-"")"),75244.0)</f>
        <v>75244</v>
      </c>
    </row>
    <row r="9">
      <c r="A9" s="10" t="s">
        <v>13</v>
      </c>
      <c r="B9" s="11">
        <v>250.0</v>
      </c>
      <c r="C9" s="12" t="s">
        <v>5</v>
      </c>
      <c r="E9" s="8" t="str">
        <f>IFERROR(__xludf.DUMMYFUNCTION("SPLIT(A9,""TX"")"),"Abtahi, Bobby
1126 N. Zang Blvd, Dallas, ")</f>
        <v>Abtahi, Bobby
1126 N. Zang Blvd, Dallas, </v>
      </c>
      <c r="F9" s="8" t="str">
        <f>IFERROR(__xludf.DUMMYFUNCTION("""COMPUTED_VALUE"""),"
Dallas, ")</f>
        <v>
Dallas, </v>
      </c>
      <c r="G9" s="8">
        <f>IFERROR(__xludf.DUMMYFUNCTION("""COMPUTED_VALUE"""),75203.0)</f>
        <v>75203</v>
      </c>
      <c r="I9" s="8">
        <f t="shared" si="1"/>
        <v>75203</v>
      </c>
      <c r="J9" s="9">
        <f>IFERROR(__xludf.DUMMYFUNCTION("SPLIT(I9,""-"")"),75203.0)</f>
        <v>75203</v>
      </c>
    </row>
    <row r="10">
      <c r="A10" s="10" t="s">
        <v>14</v>
      </c>
      <c r="B10" s="11">
        <v>250.0</v>
      </c>
      <c r="C10" s="12" t="s">
        <v>5</v>
      </c>
      <c r="E10" s="8" t="str">
        <f>IFERROR(__xludf.DUMMYFUNCTION("SPLIT(A10,""TX"")"),"Byrne, Daniel
4931 ")</f>
        <v>Byrne, Daniel
4931 </v>
      </c>
      <c r="F10" s="8" t="str">
        <f>IFERROR(__xludf.DUMMYFUNCTION("""COMPUTED_VALUE"""),"hunder Road
Dallas, ")</f>
        <v>hunder Road
Dallas, </v>
      </c>
      <c r="G10" s="8">
        <f>IFERROR(__xludf.DUMMYFUNCTION("""COMPUTED_VALUE"""),75244.0)</f>
        <v>75244</v>
      </c>
      <c r="I10" s="8">
        <f t="shared" si="1"/>
        <v>75244</v>
      </c>
      <c r="J10" s="9">
        <f>IFERROR(__xludf.DUMMYFUNCTION("SPLIT(I10,""-"")"),75244.0)</f>
        <v>75244</v>
      </c>
    </row>
    <row r="11">
      <c r="A11" s="10" t="s">
        <v>15</v>
      </c>
      <c r="B11" s="11">
        <v>500.0</v>
      </c>
      <c r="C11" s="12" t="s">
        <v>8</v>
      </c>
      <c r="E11" s="8" t="str">
        <f>IFERROR(__xludf.DUMMYFUNCTION("SPLIT(A11,""TX"")"),"Schlossberg, Sheila
6254 Preston Creek Dr.
Dallas, ")</f>
        <v>Schlossberg, Sheila
6254 Preston Creek Dr.
Dallas, </v>
      </c>
      <c r="F11" s="8">
        <f>IFERROR(__xludf.DUMMYFUNCTION("""COMPUTED_VALUE"""),75230.0)</f>
        <v>75230</v>
      </c>
      <c r="I11" s="8">
        <f t="shared" si="1"/>
        <v>75230</v>
      </c>
      <c r="J11" s="9">
        <f>IFERROR(__xludf.DUMMYFUNCTION("SPLIT(I11,""-"")"),75230.0)</f>
        <v>75230</v>
      </c>
    </row>
    <row r="12">
      <c r="A12" s="10" t="s">
        <v>16</v>
      </c>
      <c r="B12" s="11">
        <v>25.0</v>
      </c>
      <c r="C12" s="12" t="s">
        <v>5</v>
      </c>
      <c r="E12" s="8" t="str">
        <f>IFERROR(__xludf.DUMMYFUNCTION("SPLIT(A12,""TX"")"),"Dooley, Ellen
7311 Foxworth Drive, Dallas, ")</f>
        <v>Dooley, Ellen
7311 Foxworth Drive, Dallas, </v>
      </c>
      <c r="F12" s="8" t="str">
        <f>IFERROR(__xludf.DUMMYFUNCTION("""COMPUTED_VALUE"""),"
Dallas, ")</f>
        <v>
Dallas, </v>
      </c>
      <c r="G12" s="8">
        <f>IFERROR(__xludf.DUMMYFUNCTION("""COMPUTED_VALUE"""),75248.0)</f>
        <v>75248</v>
      </c>
      <c r="I12" s="8">
        <f t="shared" si="1"/>
        <v>75248</v>
      </c>
      <c r="J12" s="9">
        <f>IFERROR(__xludf.DUMMYFUNCTION("SPLIT(I12,""-"")"),75248.0)</f>
        <v>75248</v>
      </c>
    </row>
    <row r="13">
      <c r="A13" s="10" t="s">
        <v>17</v>
      </c>
      <c r="B13" s="11">
        <v>50.0</v>
      </c>
      <c r="C13" s="12" t="s">
        <v>5</v>
      </c>
      <c r="E13" s="8" t="str">
        <f>IFERROR(__xludf.DUMMYFUNCTION("SPLIT(A13,""TX"")"),"Newman, Kate
10740 SAIN")</f>
        <v>Newman, Kate
10740 SAIN</v>
      </c>
      <c r="F13" s="8" t="str">
        <f>IFERROR(__xludf.DUMMYFUNCTION("""COMPUTED_VALUE""")," MICHAELS DR, DALLAS, ")</f>
        <v> MICHAELS DR, DALLAS, </v>
      </c>
      <c r="G13" s="8" t="str">
        <f>IFERROR(__xludf.DUMMYFUNCTION("""COMPUTED_VALUE"""),"
Dallas, ")</f>
        <v>
Dallas, </v>
      </c>
      <c r="H13" s="8">
        <f>IFERROR(__xludf.DUMMYFUNCTION("""COMPUTED_VALUE"""),75230.0)</f>
        <v>75230</v>
      </c>
      <c r="I13" s="13">
        <v>75230.0</v>
      </c>
      <c r="J13" s="9">
        <f>IFERROR(__xludf.DUMMYFUNCTION("SPLIT(I13,""-"")"),75230.0)</f>
        <v>75230</v>
      </c>
    </row>
    <row r="14">
      <c r="A14" s="10" t="s">
        <v>18</v>
      </c>
      <c r="B14" s="11">
        <v>1000.0</v>
      </c>
      <c r="C14" s="12" t="s">
        <v>8</v>
      </c>
      <c r="E14" s="8" t="str">
        <f>IFERROR(__xludf.DUMMYFUNCTION("SPLIT(A14,""TX"")"),"Garrett, Kim
11438 East Ricks Circle
Dallas, ")</f>
        <v>Garrett, Kim
11438 East Ricks Circle
Dallas, </v>
      </c>
      <c r="F14" s="8">
        <f>IFERROR(__xludf.DUMMYFUNCTION("""COMPUTED_VALUE"""),75230.0)</f>
        <v>75230</v>
      </c>
      <c r="I14" s="8">
        <f t="shared" ref="I14:I237" si="2">IF(ISBLANK(G14),F14,G14)</f>
        <v>75230</v>
      </c>
      <c r="J14" s="9">
        <f>IFERROR(__xludf.DUMMYFUNCTION("SPLIT(I14,""-"")"),75230.0)</f>
        <v>75230</v>
      </c>
    </row>
    <row r="15">
      <c r="A15" s="10" t="s">
        <v>19</v>
      </c>
      <c r="B15" s="11">
        <v>500.0</v>
      </c>
      <c r="C15" s="12" t="s">
        <v>5</v>
      </c>
      <c r="E15" s="8" t="str">
        <f>IFERROR(__xludf.DUMMYFUNCTION("SPLIT(A15,""TX"")"),"Elk, Charles
6504 Bailey Road
Sachse, ")</f>
        <v>Elk, Charles
6504 Bailey Road
Sachse, </v>
      </c>
      <c r="F15" s="8">
        <f>IFERROR(__xludf.DUMMYFUNCTION("""COMPUTED_VALUE"""),75048.0)</f>
        <v>75048</v>
      </c>
      <c r="I15" s="8">
        <f t="shared" si="2"/>
        <v>75048</v>
      </c>
      <c r="J15" s="9">
        <f>IFERROR(__xludf.DUMMYFUNCTION("SPLIT(I15,""-"")"),75048.0)</f>
        <v>75048</v>
      </c>
    </row>
    <row r="16">
      <c r="A16" s="10" t="s">
        <v>20</v>
      </c>
      <c r="B16" s="11">
        <v>100.0</v>
      </c>
      <c r="C16" s="12" t="s">
        <v>5</v>
      </c>
      <c r="E16" s="8" t="str">
        <f>IFERROR(__xludf.DUMMYFUNCTION("SPLIT(A16,""TX"")"),"Brown, Susana
4175 Wilada Drive, Dallas, ")</f>
        <v>Brown, Susana
4175 Wilada Drive, Dallas, </v>
      </c>
      <c r="F16" s="8" t="str">
        <f>IFERROR(__xludf.DUMMYFUNCTION("""COMPUTED_VALUE"""),"
Dallas, ")</f>
        <v>
Dallas, </v>
      </c>
      <c r="G16" s="8">
        <f>IFERROR(__xludf.DUMMYFUNCTION("""COMPUTED_VALUE"""),75220.0)</f>
        <v>75220</v>
      </c>
      <c r="I16" s="8">
        <f t="shared" si="2"/>
        <v>75220</v>
      </c>
      <c r="J16" s="9">
        <f>IFERROR(__xludf.DUMMYFUNCTION("SPLIT(I16,""-"")"),75220.0)</f>
        <v>75220</v>
      </c>
    </row>
    <row r="17">
      <c r="A17" s="10" t="s">
        <v>21</v>
      </c>
      <c r="B17" s="11">
        <v>500.0</v>
      </c>
      <c r="C17" s="12" t="s">
        <v>8</v>
      </c>
      <c r="E17" s="8" t="str">
        <f>IFERROR(__xludf.DUMMYFUNCTION("SPLIT(A17,""TX"")"),"Pitchford, Beverly
7422 Midbury Drive
Dallas, ")</f>
        <v>Pitchford, Beverly
7422 Midbury Drive
Dallas, </v>
      </c>
      <c r="F17" s="8">
        <f>IFERROR(__xludf.DUMMYFUNCTION("""COMPUTED_VALUE"""),75230.0)</f>
        <v>75230</v>
      </c>
      <c r="I17" s="8">
        <f t="shared" si="2"/>
        <v>75230</v>
      </c>
      <c r="J17" s="9">
        <f>IFERROR(__xludf.DUMMYFUNCTION("SPLIT(I17,""-"")"),75230.0)</f>
        <v>75230</v>
      </c>
    </row>
    <row r="18">
      <c r="A18" s="10" t="s">
        <v>22</v>
      </c>
      <c r="B18" s="11">
        <v>500.0</v>
      </c>
      <c r="C18" s="12" t="s">
        <v>5</v>
      </c>
      <c r="E18" s="8" t="str">
        <f>IFERROR(__xludf.DUMMYFUNCTION("SPLIT(A18,""TX"")"),"Kemble, Steve
2206 Marilla Street, Dallas, ")</f>
        <v>Kemble, Steve
2206 Marilla Street, Dallas, </v>
      </c>
      <c r="F18" s="8" t="str">
        <f>IFERROR(__xludf.DUMMYFUNCTION("""COMPUTED_VALUE"""),"
Dallas, ")</f>
        <v>
Dallas, </v>
      </c>
      <c r="G18" s="8">
        <f>IFERROR(__xludf.DUMMYFUNCTION("""COMPUTED_VALUE"""),75201.0)</f>
        <v>75201</v>
      </c>
      <c r="I18" s="8">
        <f t="shared" si="2"/>
        <v>75201</v>
      </c>
      <c r="J18" s="9">
        <f>IFERROR(__xludf.DUMMYFUNCTION("SPLIT(I18,""-"")"),75201.0)</f>
        <v>75201</v>
      </c>
    </row>
    <row r="19">
      <c r="A19" s="10" t="s">
        <v>23</v>
      </c>
      <c r="B19" s="11">
        <v>500.0</v>
      </c>
      <c r="C19" s="12" t="s">
        <v>5</v>
      </c>
      <c r="E19" s="8" t="str">
        <f>IFERROR(__xludf.DUMMYFUNCTION("SPLIT(A19,""TX"")"),"Stowe, Jason
3905 Weeburn Drive
Dallas, ")</f>
        <v>Stowe, Jason
3905 Weeburn Drive
Dallas, </v>
      </c>
      <c r="F19" s="8">
        <f>IFERROR(__xludf.DUMMYFUNCTION("""COMPUTED_VALUE"""),75229.0)</f>
        <v>75229</v>
      </c>
      <c r="I19" s="8">
        <f t="shared" si="2"/>
        <v>75229</v>
      </c>
      <c r="J19" s="9">
        <f>IFERROR(__xludf.DUMMYFUNCTION("SPLIT(I19,""-"")"),75229.0)</f>
        <v>75229</v>
      </c>
    </row>
    <row r="20">
      <c r="A20" s="10" t="s">
        <v>24</v>
      </c>
      <c r="B20" s="11">
        <v>1000.0</v>
      </c>
      <c r="C20" s="12" t="s">
        <v>5</v>
      </c>
      <c r="E20" s="8" t="str">
        <f>IFERROR(__xludf.DUMMYFUNCTION("SPLIT(A20,""TX"")"),"Brown, Ike
5430 Palomar Ln
Dallas, ")</f>
        <v>Brown, Ike
5430 Palomar Ln
Dallas, </v>
      </c>
      <c r="F20" s="8">
        <f>IFERROR(__xludf.DUMMYFUNCTION("""COMPUTED_VALUE"""),75229.0)</f>
        <v>75229</v>
      </c>
      <c r="I20" s="8">
        <f t="shared" si="2"/>
        <v>75229</v>
      </c>
      <c r="J20" s="9">
        <f>IFERROR(__xludf.DUMMYFUNCTION("SPLIT(I20,""-"")"),75229.0)</f>
        <v>75229</v>
      </c>
    </row>
    <row r="21">
      <c r="A21" s="10" t="s">
        <v>25</v>
      </c>
      <c r="B21" s="11">
        <v>150.0</v>
      </c>
      <c r="C21" s="12" t="s">
        <v>5</v>
      </c>
      <c r="E21" s="8" t="str">
        <f>IFERROR(__xludf.DUMMYFUNCTION("SPLIT(A21,""TX"")"),"Lill, Veletta
622 Blair Blvd.
Dallas, ")</f>
        <v>Lill, Veletta
622 Blair Blvd.
Dallas, </v>
      </c>
      <c r="F21" s="8">
        <f>IFERROR(__xludf.DUMMYFUNCTION("""COMPUTED_VALUE"""),75223.0)</f>
        <v>75223</v>
      </c>
      <c r="I21" s="8">
        <f t="shared" si="2"/>
        <v>75223</v>
      </c>
      <c r="J21" s="9">
        <f>IFERROR(__xludf.DUMMYFUNCTION("SPLIT(I21,""-"")"),75223.0)</f>
        <v>75223</v>
      </c>
    </row>
    <row r="22">
      <c r="A22" s="10" t="s">
        <v>26</v>
      </c>
      <c r="B22" s="11">
        <v>1000.0</v>
      </c>
      <c r="C22" s="12" t="s">
        <v>5</v>
      </c>
      <c r="E22" s="8" t="str">
        <f>IFERROR(__xludf.DUMMYFUNCTION("SPLIT(A22,""TX"")"),"Deason, Darwin
3953 Maple Ave Ste 150, Dallas, ")</f>
        <v>Deason, Darwin
3953 Maple Ave Ste 150, Dallas, </v>
      </c>
      <c r="F22" s="8" t="str">
        <f>IFERROR(__xludf.DUMMYFUNCTION("""COMPUTED_VALUE"""),"
Dallas, ")</f>
        <v>
Dallas, </v>
      </c>
      <c r="G22" s="8">
        <f>IFERROR(__xludf.DUMMYFUNCTION("""COMPUTED_VALUE"""),75219.0)</f>
        <v>75219</v>
      </c>
      <c r="I22" s="8">
        <f t="shared" si="2"/>
        <v>75219</v>
      </c>
      <c r="J22" s="9">
        <f>IFERROR(__xludf.DUMMYFUNCTION("SPLIT(I22,""-"")"),75219.0)</f>
        <v>75219</v>
      </c>
    </row>
    <row r="23">
      <c r="A23" s="10" t="s">
        <v>27</v>
      </c>
      <c r="B23" s="11">
        <v>1000.0</v>
      </c>
      <c r="C23" s="12" t="s">
        <v>5</v>
      </c>
      <c r="E23" s="8" t="str">
        <f>IFERROR(__xludf.DUMMYFUNCTION("SPLIT(A23,""TX"")"),"Deason, Doug
10134 Waller Drive
Dallas, ")</f>
        <v>Deason, Doug
10134 Waller Drive
Dallas, </v>
      </c>
      <c r="F23" s="8">
        <f>IFERROR(__xludf.DUMMYFUNCTION("""COMPUTED_VALUE"""),75229.0)</f>
        <v>75229</v>
      </c>
      <c r="I23" s="8">
        <f t="shared" si="2"/>
        <v>75229</v>
      </c>
      <c r="J23" s="9">
        <f>IFERROR(__xludf.DUMMYFUNCTION("SPLIT(I23,""-"")"),75229.0)</f>
        <v>75229</v>
      </c>
    </row>
    <row r="24">
      <c r="A24" s="10" t="s">
        <v>28</v>
      </c>
      <c r="B24" s="11">
        <v>1000.0</v>
      </c>
      <c r="C24" s="12" t="s">
        <v>5</v>
      </c>
      <c r="E24" s="8" t="str">
        <f>IFERROR(__xludf.DUMMYFUNCTION("SPLIT(A24,""TX"")"),"Pick, Jacki
10134 Waller Drive
Dallas, ")</f>
        <v>Pick, Jacki
10134 Waller Drive
Dallas, </v>
      </c>
      <c r="F24" s="8">
        <f>IFERROR(__xludf.DUMMYFUNCTION("""COMPUTED_VALUE"""),75229.0)</f>
        <v>75229</v>
      </c>
      <c r="I24" s="8">
        <f t="shared" si="2"/>
        <v>75229</v>
      </c>
      <c r="J24" s="9">
        <f>IFERROR(__xludf.DUMMYFUNCTION("SPLIT(I24,""-"")"),75229.0)</f>
        <v>75229</v>
      </c>
    </row>
    <row r="25">
      <c r="A25" s="10" t="s">
        <v>29</v>
      </c>
      <c r="B25" s="11">
        <v>100.0</v>
      </c>
      <c r="C25" s="12" t="s">
        <v>5</v>
      </c>
      <c r="E25" s="8" t="str">
        <f>IFERROR(__xludf.DUMMYFUNCTION("SPLIT(A25,""TX"")"),"Ritter, Philip
8616 ")</f>
        <v>Ritter, Philip
8616 </v>
      </c>
      <c r="F25" s="8" t="str">
        <f>IFERROR(__xludf.DUMMYFUNCTION("""COMPUTED_VALUE"""),"urtle Creek Boulevard
Dallas, ")</f>
        <v>urtle Creek Boulevard
Dallas, </v>
      </c>
      <c r="G25" s="8">
        <f>IFERROR(__xludf.DUMMYFUNCTION("""COMPUTED_VALUE"""),75225.0)</f>
        <v>75225</v>
      </c>
      <c r="I25" s="8">
        <f t="shared" si="2"/>
        <v>75225</v>
      </c>
      <c r="J25" s="9">
        <f>IFERROR(__xludf.DUMMYFUNCTION("SPLIT(I25,""-"")"),75225.0)</f>
        <v>75225</v>
      </c>
    </row>
    <row r="26">
      <c r="A26" s="10" t="s">
        <v>30</v>
      </c>
      <c r="B26" s="11">
        <v>1000.0</v>
      </c>
      <c r="C26" s="12" t="s">
        <v>5</v>
      </c>
      <c r="E26" s="8" t="str">
        <f>IFERROR(__xludf.DUMMYFUNCTION("SPLIT(A26,""TX"")"),"Losinger, Sarah
4506 Park Ln
Dallas, ")</f>
        <v>Losinger, Sarah
4506 Park Ln
Dallas, </v>
      </c>
      <c r="F26" s="8">
        <f>IFERROR(__xludf.DUMMYFUNCTION("""COMPUTED_VALUE"""),75220.0)</f>
        <v>75220</v>
      </c>
      <c r="I26" s="8">
        <f t="shared" si="2"/>
        <v>75220</v>
      </c>
      <c r="J26" s="9">
        <f>IFERROR(__xludf.DUMMYFUNCTION("SPLIT(I26,""-"")"),75220.0)</f>
        <v>75220</v>
      </c>
    </row>
    <row r="27">
      <c r="A27" s="10" t="s">
        <v>31</v>
      </c>
      <c r="B27" s="11">
        <v>100.0</v>
      </c>
      <c r="C27" s="12" t="s">
        <v>5</v>
      </c>
      <c r="E27" s="8" t="str">
        <f>IFERROR(__xludf.DUMMYFUNCTION("SPLIT(A27,""TX"")"),"Clark, Carol
4629 Heatherbrook Drive
Dallas, ")</f>
        <v>Clark, Carol
4629 Heatherbrook Drive
Dallas, </v>
      </c>
      <c r="F27" s="8">
        <f>IFERROR(__xludf.DUMMYFUNCTION("""COMPUTED_VALUE"""),75244.0)</f>
        <v>75244</v>
      </c>
      <c r="I27" s="8">
        <f t="shared" si="2"/>
        <v>75244</v>
      </c>
      <c r="J27" s="9">
        <f>IFERROR(__xludf.DUMMYFUNCTION("SPLIT(I27,""-"")"),75244.0)</f>
        <v>75244</v>
      </c>
    </row>
    <row r="28">
      <c r="A28" s="10" t="s">
        <v>32</v>
      </c>
      <c r="B28" s="11">
        <v>100.0</v>
      </c>
      <c r="C28" s="12" t="s">
        <v>33</v>
      </c>
      <c r="E28" s="8" t="str">
        <f>IFERROR(__xludf.DUMMYFUNCTION("SPLIT(A28,""TX"")"),"Hodge, ")</f>
        <v>Hodge, </v>
      </c>
      <c r="F28" s="8" t="str">
        <f>IFERROR(__xludf.DUMMYFUNCTION("""COMPUTED_VALUE"""),"erri
7106 Abrams Rd
Dallas, ")</f>
        <v>erri
7106 Abrams Rd
Dallas, </v>
      </c>
      <c r="G28" s="8" t="str">
        <f>IFERROR(__xludf.DUMMYFUNCTION("""COMPUTED_VALUE""")," 75231-5722")</f>
        <v> 75231-5722</v>
      </c>
      <c r="I28" s="8" t="str">
        <f t="shared" si="2"/>
        <v> 75231-5722</v>
      </c>
      <c r="J28" s="9">
        <f>IFERROR(__xludf.DUMMYFUNCTION("SPLIT(I28,""-"")"),75231.0)</f>
        <v>75231</v>
      </c>
      <c r="K28" s="8">
        <f>IFERROR(__xludf.DUMMYFUNCTION("""COMPUTED_VALUE"""),5722.0)</f>
        <v>5722</v>
      </c>
    </row>
    <row r="29">
      <c r="A29" s="10" t="s">
        <v>34</v>
      </c>
      <c r="B29" s="11">
        <v>2000.0</v>
      </c>
      <c r="C29" s="12" t="s">
        <v>35</v>
      </c>
      <c r="E29" s="8" t="str">
        <f>IFERROR(__xludf.DUMMYFUNCTION("SPLIT(A29,""TX"")"),"Matthews, Mr. &amp; Mrs. John
120 Winding Creek
Argyle, ")</f>
        <v>Matthews, Mr. &amp; Mrs. John
120 Winding Creek
Argyle, </v>
      </c>
      <c r="F29" s="8">
        <f>IFERROR(__xludf.DUMMYFUNCTION("""COMPUTED_VALUE"""),75226.0)</f>
        <v>75226</v>
      </c>
      <c r="I29" s="8">
        <f t="shared" si="2"/>
        <v>75226</v>
      </c>
      <c r="J29" s="9">
        <f>IFERROR(__xludf.DUMMYFUNCTION("SPLIT(I29,""-"")"),75226.0)</f>
        <v>75226</v>
      </c>
    </row>
    <row r="30">
      <c r="A30" s="5" t="s">
        <v>36</v>
      </c>
      <c r="B30" s="6">
        <v>2000.0</v>
      </c>
      <c r="C30" s="7" t="s">
        <v>35</v>
      </c>
      <c r="E30" s="8" t="str">
        <f>IFERROR(__xludf.DUMMYFUNCTION("SPLIT(A30,""TX"")"),"Darren Brown, Mr. &amp; Mrs.
4313 Dunning
Austin, ")</f>
        <v>Darren Brown, Mr. &amp; Mrs.
4313 Dunning
Austin, </v>
      </c>
      <c r="F30" s="8">
        <f>IFERROR(__xludf.DUMMYFUNCTION("""COMPUTED_VALUE"""),78746.0)</f>
        <v>78746</v>
      </c>
      <c r="I30" s="8">
        <f t="shared" si="2"/>
        <v>78746</v>
      </c>
      <c r="J30" s="9">
        <f>IFERROR(__xludf.DUMMYFUNCTION("SPLIT(I30,""-"")"),78746.0)</f>
        <v>78746</v>
      </c>
    </row>
    <row r="31">
      <c r="A31" s="10" t="s">
        <v>37</v>
      </c>
      <c r="B31" s="11">
        <v>2000.0</v>
      </c>
      <c r="C31" s="12" t="s">
        <v>35</v>
      </c>
      <c r="E31" s="8" t="str">
        <f>IFERROR(__xludf.DUMMYFUNCTION("SPLIT(A31,""TX"")"),"James Crow, Mr. &amp; Mrs.
4600 Secluded
Austin, ")</f>
        <v>James Crow, Mr. &amp; Mrs.
4600 Secluded
Austin, </v>
      </c>
      <c r="F31" s="8">
        <f>IFERROR(__xludf.DUMMYFUNCTION("""COMPUTED_VALUE"""),78727.0)</f>
        <v>78727</v>
      </c>
      <c r="I31" s="8">
        <f t="shared" si="2"/>
        <v>78727</v>
      </c>
      <c r="J31" s="9">
        <f>IFERROR(__xludf.DUMMYFUNCTION("SPLIT(I31,""-"")"),78727.0)</f>
        <v>78727</v>
      </c>
    </row>
    <row r="32">
      <c r="A32" s="5" t="s">
        <v>38</v>
      </c>
      <c r="B32" s="6">
        <v>2000.0</v>
      </c>
      <c r="C32" s="7" t="s">
        <v>35</v>
      </c>
      <c r="E32" s="8" t="str">
        <f>IFERROR(__xludf.DUMMYFUNCTION("SPLIT(A32,""TX"")"),"Strozeweski, Mr. &amp; Mrs. Kirk
2904 Cascade Cv
Round Rock, ")</f>
        <v>Strozeweski, Mr. &amp; Mrs. Kirk
2904 Cascade Cv
Round Rock, </v>
      </c>
      <c r="F32" s="8">
        <f>IFERROR(__xludf.DUMMYFUNCTION("""COMPUTED_VALUE"""),78664.0)</f>
        <v>78664</v>
      </c>
      <c r="I32" s="8">
        <f t="shared" si="2"/>
        <v>78664</v>
      </c>
      <c r="J32" s="9">
        <f>IFERROR(__xludf.DUMMYFUNCTION("SPLIT(I32,""-"")"),78664.0)</f>
        <v>78664</v>
      </c>
    </row>
    <row r="33">
      <c r="A33" s="10" t="s">
        <v>39</v>
      </c>
      <c r="B33" s="11">
        <v>2000.0</v>
      </c>
      <c r="C33" s="12" t="s">
        <v>35</v>
      </c>
      <c r="E33" s="8" t="str">
        <f>IFERROR(__xludf.DUMMYFUNCTION("SPLIT(A33,""TX"")"),"Leon, Mr. &amp; Mrs. Victor
6080 Water St
Plano, ")</f>
        <v>Leon, Mr. &amp; Mrs. Victor
6080 Water St
Plano, </v>
      </c>
      <c r="F33" s="8">
        <f>IFERROR(__xludf.DUMMYFUNCTION("""COMPUTED_VALUE"""),75024.0)</f>
        <v>75024</v>
      </c>
      <c r="I33" s="8">
        <f t="shared" si="2"/>
        <v>75024</v>
      </c>
      <c r="J33" s="9">
        <f>IFERROR(__xludf.DUMMYFUNCTION("SPLIT(I33,""-"")"),75024.0)</f>
        <v>75024</v>
      </c>
    </row>
    <row r="34">
      <c r="A34" s="5" t="s">
        <v>40</v>
      </c>
      <c r="B34" s="6">
        <v>750.0</v>
      </c>
      <c r="C34" s="7" t="s">
        <v>35</v>
      </c>
      <c r="E34" s="8" t="str">
        <f>IFERROR(__xludf.DUMMYFUNCTION("SPLIT(A34,""TX"")"),"Stonewall Democrats of Dallas
PO Box 192305
Dallas, ")</f>
        <v>Stonewall Democrats of Dallas
PO Box 192305
Dallas, </v>
      </c>
      <c r="F34" s="8">
        <f>IFERROR(__xludf.DUMMYFUNCTION("""COMPUTED_VALUE"""),75219.0)</f>
        <v>75219</v>
      </c>
      <c r="I34" s="8">
        <f t="shared" si="2"/>
        <v>75219</v>
      </c>
      <c r="J34" s="9">
        <f>IFERROR(__xludf.DUMMYFUNCTION("SPLIT(I34,""-"")"),75219.0)</f>
        <v>75219</v>
      </c>
    </row>
    <row r="35">
      <c r="A35" s="10" t="s">
        <v>41</v>
      </c>
      <c r="B35" s="11">
        <v>1000.0</v>
      </c>
      <c r="C35" s="12" t="s">
        <v>35</v>
      </c>
      <c r="E35" s="8" t="str">
        <f>IFERROR(__xludf.DUMMYFUNCTION("SPLIT(A35,""TX"")"),"Rodriguez Sanchez, Maria
PO Box 13405
Dallas, ")</f>
        <v>Rodriguez Sanchez, Maria
PO Box 13405
Dallas, </v>
      </c>
      <c r="F35" s="8">
        <f>IFERROR(__xludf.DUMMYFUNCTION("""COMPUTED_VALUE"""),75219.0)</f>
        <v>75219</v>
      </c>
      <c r="I35" s="8">
        <f t="shared" si="2"/>
        <v>75219</v>
      </c>
      <c r="J35" s="9">
        <f>IFERROR(__xludf.DUMMYFUNCTION("SPLIT(I35,""-"")"),75219.0)</f>
        <v>75219</v>
      </c>
    </row>
    <row r="36">
      <c r="A36" s="5" t="s">
        <v>42</v>
      </c>
      <c r="B36" s="6">
        <v>500.0</v>
      </c>
      <c r="C36" s="7" t="s">
        <v>35</v>
      </c>
      <c r="E36" s="8" t="str">
        <f>IFERROR(__xludf.DUMMYFUNCTION("SPLIT(A36,""TX"")"),"Altillo, Jose
3720 Westgate
Addison, ")</f>
        <v>Altillo, Jose
3720 Westgate
Addison, </v>
      </c>
      <c r="F36" s="8">
        <f>IFERROR(__xludf.DUMMYFUNCTION("""COMPUTED_VALUE"""),75001.0)</f>
        <v>75001</v>
      </c>
      <c r="I36" s="8">
        <f t="shared" si="2"/>
        <v>75001</v>
      </c>
      <c r="J36" s="9">
        <f>IFERROR(__xludf.DUMMYFUNCTION("SPLIT(I36,""-"")"),75001.0)</f>
        <v>75001</v>
      </c>
    </row>
    <row r="37">
      <c r="A37" s="10" t="s">
        <v>43</v>
      </c>
      <c r="B37" s="11">
        <v>1000.0</v>
      </c>
      <c r="C37" s="12" t="s">
        <v>44</v>
      </c>
      <c r="E37" s="8" t="str">
        <f>IFERROR(__xludf.DUMMYFUNCTION("SPLIT(A37,""TX"")"),"Jennings, Steve
2310 North Henderson Avenue
Dallas, ")</f>
        <v>Jennings, Steve
2310 North Henderson Avenue
Dallas, </v>
      </c>
      <c r="F37" s="8">
        <f>IFERROR(__xludf.DUMMYFUNCTION("""COMPUTED_VALUE"""),75206.0)</f>
        <v>75206</v>
      </c>
      <c r="I37" s="8">
        <f t="shared" si="2"/>
        <v>75206</v>
      </c>
      <c r="J37" s="9">
        <f>IFERROR(__xludf.DUMMYFUNCTION("SPLIT(I37,""-"")"),75206.0)</f>
        <v>75206</v>
      </c>
    </row>
    <row r="38">
      <c r="A38" s="10" t="s">
        <v>45</v>
      </c>
      <c r="B38" s="11">
        <v>1000.0</v>
      </c>
      <c r="C38" s="12" t="s">
        <v>44</v>
      </c>
      <c r="E38" s="8" t="str">
        <f>IFERROR(__xludf.DUMMYFUNCTION("SPLIT(A38,""TX"")"),"Jennings, Nancy
2310 North Henderson Avenue
Dallas, ")</f>
        <v>Jennings, Nancy
2310 North Henderson Avenue
Dallas, </v>
      </c>
      <c r="F38" s="8">
        <f>IFERROR(__xludf.DUMMYFUNCTION("""COMPUTED_VALUE"""),75206.0)</f>
        <v>75206</v>
      </c>
      <c r="I38" s="8">
        <f t="shared" si="2"/>
        <v>75206</v>
      </c>
      <c r="J38" s="9">
        <f>IFERROR(__xludf.DUMMYFUNCTION("SPLIT(I38,""-"")"),75206.0)</f>
        <v>75206</v>
      </c>
    </row>
    <row r="39">
      <c r="A39" s="10" t="s">
        <v>46</v>
      </c>
      <c r="B39" s="11">
        <v>200.0</v>
      </c>
      <c r="C39" s="12" t="s">
        <v>44</v>
      </c>
      <c r="E39" s="8" t="str">
        <f>IFERROR(__xludf.DUMMYFUNCTION("SPLIT(A39,""TX"")"),"Elliott, Monica
1007 legacy Ranch Road
Waxahachie, ")</f>
        <v>Elliott, Monica
1007 legacy Ranch Road
Waxahachie, </v>
      </c>
      <c r="F39" s="8">
        <f>IFERROR(__xludf.DUMMYFUNCTION("""COMPUTED_VALUE"""),75165.0)</f>
        <v>75165</v>
      </c>
      <c r="I39" s="8">
        <f t="shared" si="2"/>
        <v>75165</v>
      </c>
      <c r="J39" s="9">
        <f>IFERROR(__xludf.DUMMYFUNCTION("SPLIT(I39,""-"")"),75165.0)</f>
        <v>75165</v>
      </c>
    </row>
    <row r="40">
      <c r="A40" s="10" t="s">
        <v>47</v>
      </c>
      <c r="B40" s="11">
        <v>50.0</v>
      </c>
      <c r="C40" s="12" t="s">
        <v>44</v>
      </c>
      <c r="E40" s="8" t="str">
        <f>IFERROR(__xludf.DUMMYFUNCTION("SPLIT(A40,""TX"")"),"Hansen, Misty
8021 Boat Wind Rd
Fort Worth, ")</f>
        <v>Hansen, Misty
8021 Boat Wind Rd
Fort Worth, </v>
      </c>
      <c r="F40" s="8">
        <f>IFERROR(__xludf.DUMMYFUNCTION("""COMPUTED_VALUE"""),76179.0)</f>
        <v>76179</v>
      </c>
      <c r="I40" s="8">
        <f t="shared" si="2"/>
        <v>76179</v>
      </c>
      <c r="J40" s="9">
        <f>IFERROR(__xludf.DUMMYFUNCTION("SPLIT(I40,""-"")"),76179.0)</f>
        <v>76179</v>
      </c>
    </row>
    <row r="41">
      <c r="A41" s="10" t="s">
        <v>48</v>
      </c>
      <c r="B41" s="11">
        <v>500.0</v>
      </c>
      <c r="C41" s="12" t="s">
        <v>44</v>
      </c>
      <c r="E41" s="8" t="str">
        <f>IFERROR(__xludf.DUMMYFUNCTION("SPLIT(A41,""TX"")"),"Mason, Ajua
8501 Old Hickory
Dallas, ")</f>
        <v>Mason, Ajua
8501 Old Hickory
Dallas, </v>
      </c>
      <c r="F41" s="8">
        <f>IFERROR(__xludf.DUMMYFUNCTION("""COMPUTED_VALUE"""),75237.0)</f>
        <v>75237</v>
      </c>
      <c r="I41" s="8">
        <f t="shared" si="2"/>
        <v>75237</v>
      </c>
      <c r="J41" s="9">
        <f>IFERROR(__xludf.DUMMYFUNCTION("SPLIT(I41,""-"")"),75237.0)</f>
        <v>75237</v>
      </c>
    </row>
    <row r="42">
      <c r="A42" s="10" t="s">
        <v>49</v>
      </c>
      <c r="B42" s="11">
        <v>100.0</v>
      </c>
      <c r="C42" s="12" t="s">
        <v>50</v>
      </c>
      <c r="E42" s="8" t="str">
        <f>IFERROR(__xludf.DUMMYFUNCTION("SPLIT(A42,""TX"")"),"Bradford, Pam
1333 Windingbrook
DeSoto, ")</f>
        <v>Bradford, Pam
1333 Windingbrook
DeSoto, </v>
      </c>
      <c r="F42" s="8">
        <f>IFERROR(__xludf.DUMMYFUNCTION("""COMPUTED_VALUE"""),75115.0)</f>
        <v>75115</v>
      </c>
      <c r="I42" s="8">
        <f t="shared" si="2"/>
        <v>75115</v>
      </c>
      <c r="J42" s="9">
        <f>IFERROR(__xludf.DUMMYFUNCTION("SPLIT(I42,""-"")"),75115.0)</f>
        <v>75115</v>
      </c>
    </row>
    <row r="43">
      <c r="A43" s="10" t="s">
        <v>51</v>
      </c>
      <c r="B43" s="11">
        <v>250.0</v>
      </c>
      <c r="C43" s="12" t="s">
        <v>50</v>
      </c>
      <c r="E43" s="8" t="str">
        <f>IFERROR(__xludf.DUMMYFUNCTION("SPLIT(A43,""TX"")"),"Forsythe Lill, Veletta
622 Blair
Dallas, ")</f>
        <v>Forsythe Lill, Veletta
622 Blair
Dallas, </v>
      </c>
      <c r="F43" s="8">
        <f>IFERROR(__xludf.DUMMYFUNCTION("""COMPUTED_VALUE"""),75223.0)</f>
        <v>75223</v>
      </c>
      <c r="I43" s="8">
        <f t="shared" si="2"/>
        <v>75223</v>
      </c>
      <c r="J43" s="9">
        <f>IFERROR(__xludf.DUMMYFUNCTION("SPLIT(I43,""-"")"),75223.0)</f>
        <v>75223</v>
      </c>
    </row>
    <row r="44">
      <c r="A44" s="10" t="s">
        <v>52</v>
      </c>
      <c r="B44" s="11">
        <v>1000.0</v>
      </c>
      <c r="C44" s="12" t="s">
        <v>50</v>
      </c>
      <c r="E44" s="8" t="str">
        <f>IFERROR(__xludf.DUMMYFUNCTION("SPLIT(A44,""TX"")"),"Invest in South Dallas, LLC
3208 Cole Ave
Dallas, ")</f>
        <v>Invest in South Dallas, LLC
3208 Cole Ave
Dallas, </v>
      </c>
      <c r="F44" s="8">
        <f>IFERROR(__xludf.DUMMYFUNCTION("""COMPUTED_VALUE"""),75204.0)</f>
        <v>75204</v>
      </c>
      <c r="I44" s="8">
        <f t="shared" si="2"/>
        <v>75204</v>
      </c>
      <c r="J44" s="9">
        <f>IFERROR(__xludf.DUMMYFUNCTION("SPLIT(I44,""-"")"),75204.0)</f>
        <v>75204</v>
      </c>
    </row>
    <row r="45">
      <c r="A45" s="10" t="s">
        <v>53</v>
      </c>
      <c r="B45" s="11">
        <v>50.0</v>
      </c>
      <c r="C45" s="12" t="s">
        <v>50</v>
      </c>
      <c r="E45" s="8" t="str">
        <f>IFERROR(__xludf.DUMMYFUNCTION("SPLIT(A45,""TX"")"),"Hornor, Heather
1011 Pearl
Dallas, ")</f>
        <v>Hornor, Heather
1011 Pearl
Dallas, </v>
      </c>
      <c r="F45" s="8">
        <f>IFERROR(__xludf.DUMMYFUNCTION("""COMPUTED_VALUE"""),75201.0)</f>
        <v>75201</v>
      </c>
      <c r="I45" s="8">
        <f t="shared" si="2"/>
        <v>75201</v>
      </c>
      <c r="J45" s="9">
        <f>IFERROR(__xludf.DUMMYFUNCTION("SPLIT(I45,""-"")"),75201.0)</f>
        <v>75201</v>
      </c>
    </row>
    <row r="46">
      <c r="A46" s="10" t="s">
        <v>54</v>
      </c>
      <c r="B46" s="11">
        <v>50.0</v>
      </c>
      <c r="C46" s="12" t="s">
        <v>50</v>
      </c>
      <c r="E46" s="8" t="str">
        <f>IFERROR(__xludf.DUMMYFUNCTION("SPLIT(A46,""TX"")"),"Kovich, Sarah
3323 Dothan
Dallas, ")</f>
        <v>Kovich, Sarah
3323 Dothan
Dallas, </v>
      </c>
      <c r="F46" s="8">
        <f>IFERROR(__xludf.DUMMYFUNCTION("""COMPUTED_VALUE"""),75229.0)</f>
        <v>75229</v>
      </c>
      <c r="I46" s="8">
        <f t="shared" si="2"/>
        <v>75229</v>
      </c>
      <c r="J46" s="9">
        <f>IFERROR(__xludf.DUMMYFUNCTION("SPLIT(I46,""-"")"),75229.0)</f>
        <v>75229</v>
      </c>
    </row>
    <row r="47">
      <c r="A47" s="10" t="s">
        <v>55</v>
      </c>
      <c r="B47" s="11">
        <v>500.0</v>
      </c>
      <c r="C47" s="12" t="s">
        <v>50</v>
      </c>
      <c r="E47" s="8" t="str">
        <f>IFERROR(__xludf.DUMMYFUNCTION("SPLIT(A47,""TX"")"),"Collins-Bratton, Calvert
4738 Hallmark
Dallas, ")</f>
        <v>Collins-Bratton, Calvert
4738 Hallmark
Dallas, </v>
      </c>
      <c r="F47" s="8">
        <f>IFERROR(__xludf.DUMMYFUNCTION("""COMPUTED_VALUE"""),75229.0)</f>
        <v>75229</v>
      </c>
      <c r="I47" s="8">
        <f t="shared" si="2"/>
        <v>75229</v>
      </c>
      <c r="J47" s="9">
        <f>IFERROR(__xludf.DUMMYFUNCTION("SPLIT(I47,""-"")"),75229.0)</f>
        <v>75229</v>
      </c>
    </row>
    <row r="48">
      <c r="A48" s="10" t="s">
        <v>56</v>
      </c>
      <c r="B48" s="11">
        <v>1000.0</v>
      </c>
      <c r="C48" s="12" t="s">
        <v>50</v>
      </c>
      <c r="E48" s="8" t="str">
        <f>IFERROR(__xludf.DUMMYFUNCTION("SPLIT(A48,""TX"")"),"matthews, john
120 Winding Creek
Argyle, ")</f>
        <v>matthews, john
120 Winding Creek
Argyle, </v>
      </c>
      <c r="F48" s="8">
        <f>IFERROR(__xludf.DUMMYFUNCTION("""COMPUTED_VALUE"""),76226.0)</f>
        <v>76226</v>
      </c>
      <c r="I48" s="8">
        <f t="shared" si="2"/>
        <v>76226</v>
      </c>
      <c r="J48" s="9">
        <f>IFERROR(__xludf.DUMMYFUNCTION("SPLIT(I48,""-"")"),76226.0)</f>
        <v>76226</v>
      </c>
    </row>
    <row r="49">
      <c r="A49" s="10" t="s">
        <v>57</v>
      </c>
      <c r="B49" s="11">
        <v>1000.0</v>
      </c>
      <c r="C49" s="12" t="s">
        <v>50</v>
      </c>
      <c r="E49" s="8" t="str">
        <f>IFERROR(__xludf.DUMMYFUNCTION("SPLIT(A49,""TX"")"),"Myers, Kirk
1604 Carraige Creek
DeSoto, ")</f>
        <v>Myers, Kirk
1604 Carraige Creek
DeSoto, </v>
      </c>
      <c r="F49" s="8">
        <f>IFERROR(__xludf.DUMMYFUNCTION("""COMPUTED_VALUE"""),75115.0)</f>
        <v>75115</v>
      </c>
      <c r="I49" s="8">
        <f t="shared" si="2"/>
        <v>75115</v>
      </c>
      <c r="J49" s="9">
        <f>IFERROR(__xludf.DUMMYFUNCTION("SPLIT(I49,""-"")"),75115.0)</f>
        <v>75115</v>
      </c>
    </row>
    <row r="50">
      <c r="A50" s="10" t="s">
        <v>58</v>
      </c>
      <c r="B50" s="11">
        <v>100.0</v>
      </c>
      <c r="C50" s="12" t="s">
        <v>50</v>
      </c>
      <c r="E50" s="8" t="str">
        <f>IFERROR(__xludf.DUMMYFUNCTION("SPLIT(A50,""TX"")"),"Bennett, Jennifer
PO Box 820862
Dallas, ")</f>
        <v>Bennett, Jennifer
PO Box 820862
Dallas, </v>
      </c>
      <c r="F50" s="8">
        <f>IFERROR(__xludf.DUMMYFUNCTION("""COMPUTED_VALUE"""),75382.0)</f>
        <v>75382</v>
      </c>
      <c r="I50" s="8">
        <f t="shared" si="2"/>
        <v>75382</v>
      </c>
      <c r="J50" s="9">
        <f>IFERROR(__xludf.DUMMYFUNCTION("SPLIT(I50,""-"")"),75382.0)</f>
        <v>75382</v>
      </c>
    </row>
    <row r="51">
      <c r="A51" s="10" t="s">
        <v>59</v>
      </c>
      <c r="B51" s="11">
        <v>50.0</v>
      </c>
      <c r="C51" s="12" t="s">
        <v>50</v>
      </c>
      <c r="E51" s="8" t="str">
        <f>IFERROR(__xludf.DUMMYFUNCTION("SPLIT(A51,""TX"")"),"Daniel, ")</f>
        <v>Daniel, </v>
      </c>
      <c r="F51" s="8" t="str">
        <f>IFERROR(__xludf.DUMMYFUNCTION("""COMPUTED_VALUE"""),"heresa
2228 Springhill
Dallas, ")</f>
        <v>heresa
2228 Springhill
Dallas, </v>
      </c>
      <c r="G51" s="8">
        <f>IFERROR(__xludf.DUMMYFUNCTION("""COMPUTED_VALUE"""),75228.0)</f>
        <v>75228</v>
      </c>
      <c r="I51" s="8">
        <f t="shared" si="2"/>
        <v>75228</v>
      </c>
      <c r="J51" s="9">
        <f>IFERROR(__xludf.DUMMYFUNCTION("SPLIT(I51,""-"")"),75228.0)</f>
        <v>75228</v>
      </c>
    </row>
    <row r="52">
      <c r="A52" s="10" t="s">
        <v>60</v>
      </c>
      <c r="B52" s="11">
        <v>50.0</v>
      </c>
      <c r="C52" s="12" t="s">
        <v>50</v>
      </c>
      <c r="E52" s="8" t="str">
        <f>IFERROR(__xludf.DUMMYFUNCTION("SPLIT(A52,""TX"")"),"Stamport, Linda
5706 Everglade
Dallas, ")</f>
        <v>Stamport, Linda
5706 Everglade
Dallas, </v>
      </c>
      <c r="F52" s="8">
        <f>IFERROR(__xludf.DUMMYFUNCTION("""COMPUTED_VALUE"""),75227.0)</f>
        <v>75227</v>
      </c>
      <c r="I52" s="8">
        <f t="shared" si="2"/>
        <v>75227</v>
      </c>
      <c r="J52" s="9">
        <f>IFERROR(__xludf.DUMMYFUNCTION("SPLIT(I52,""-"")"),75227.0)</f>
        <v>75227</v>
      </c>
    </row>
    <row r="53">
      <c r="A53" s="10" t="s">
        <v>61</v>
      </c>
      <c r="B53" s="11">
        <v>75.0</v>
      </c>
      <c r="C53" s="12" t="s">
        <v>50</v>
      </c>
      <c r="E53" s="8" t="str">
        <f>IFERROR(__xludf.DUMMYFUNCTION("SPLIT(A53,""TX"")"),"Grahn, Shane
6922 Belteau
Dallas, ")</f>
        <v>Grahn, Shane
6922 Belteau
Dallas, </v>
      </c>
      <c r="F53" s="8">
        <f>IFERROR(__xludf.DUMMYFUNCTION("""COMPUTED_VALUE"""),75227.0)</f>
        <v>75227</v>
      </c>
      <c r="I53" s="8">
        <f t="shared" si="2"/>
        <v>75227</v>
      </c>
      <c r="J53" s="9">
        <f>IFERROR(__xludf.DUMMYFUNCTION("SPLIT(I53,""-"")"),75227.0)</f>
        <v>75227</v>
      </c>
    </row>
    <row r="54">
      <c r="A54" s="10" t="s">
        <v>62</v>
      </c>
      <c r="B54" s="11">
        <v>100.0</v>
      </c>
      <c r="C54" s="12" t="s">
        <v>50</v>
      </c>
      <c r="E54" s="8" t="str">
        <f>IFERROR(__xludf.DUMMYFUNCTION("SPLIT(A54,""TX"")"),"Espinal, Jackie
1200 Main
Dallas, ")</f>
        <v>Espinal, Jackie
1200 Main
Dallas, </v>
      </c>
      <c r="F54" s="8">
        <f>IFERROR(__xludf.DUMMYFUNCTION("""COMPUTED_VALUE"""),75201.0)</f>
        <v>75201</v>
      </c>
      <c r="I54" s="8">
        <f t="shared" si="2"/>
        <v>75201</v>
      </c>
      <c r="J54" s="9">
        <f>IFERROR(__xludf.DUMMYFUNCTION("SPLIT(I54,""-"")"),75201.0)</f>
        <v>75201</v>
      </c>
    </row>
    <row r="55">
      <c r="A55" s="10" t="s">
        <v>63</v>
      </c>
      <c r="B55" s="11">
        <v>200.0</v>
      </c>
      <c r="C55" s="12" t="s">
        <v>50</v>
      </c>
      <c r="E55" s="8" t="str">
        <f>IFERROR(__xludf.DUMMYFUNCTION("SPLIT(A55,""TX"")"),"Collins, Patty
5739 Banting Way
Dallas, ")</f>
        <v>Collins, Patty
5739 Banting Way
Dallas, </v>
      </c>
      <c r="F55" s="8">
        <f>IFERROR(__xludf.DUMMYFUNCTION("""COMPUTED_VALUE"""),75227.0)</f>
        <v>75227</v>
      </c>
      <c r="I55" s="8">
        <f t="shared" si="2"/>
        <v>75227</v>
      </c>
      <c r="J55" s="9">
        <f>IFERROR(__xludf.DUMMYFUNCTION("SPLIT(I55,""-"")"),75227.0)</f>
        <v>75227</v>
      </c>
    </row>
    <row r="56">
      <c r="A56" s="10" t="s">
        <v>64</v>
      </c>
      <c r="B56" s="11">
        <v>400.0</v>
      </c>
      <c r="C56" s="12" t="s">
        <v>50</v>
      </c>
      <c r="E56" s="8" t="str">
        <f>IFERROR(__xludf.DUMMYFUNCTION("SPLIT(A56,""TX"")"),"Noltemy, Kim
300 Rivercrest
Allen, ")</f>
        <v>Noltemy, Kim
300 Rivercrest
Allen, </v>
      </c>
      <c r="F56" s="8">
        <f>IFERROR(__xludf.DUMMYFUNCTION("""COMPUTED_VALUE"""),75002.0)</f>
        <v>75002</v>
      </c>
      <c r="I56" s="8">
        <f t="shared" si="2"/>
        <v>75002</v>
      </c>
      <c r="J56" s="9">
        <f>IFERROR(__xludf.DUMMYFUNCTION("SPLIT(I56,""-"")"),75002.0)</f>
        <v>75002</v>
      </c>
    </row>
    <row r="57">
      <c r="A57" s="10" t="s">
        <v>65</v>
      </c>
      <c r="B57" s="11">
        <v>250.0</v>
      </c>
      <c r="C57" s="12" t="s">
        <v>50</v>
      </c>
      <c r="E57" s="8" t="str">
        <f>IFERROR(__xludf.DUMMYFUNCTION("SPLIT(A57,""TX"")"),"Miller, Cliffton
1412 Main
Dallas, ")</f>
        <v>Miller, Cliffton
1412 Main
Dallas, </v>
      </c>
      <c r="F57" s="8">
        <f>IFERROR(__xludf.DUMMYFUNCTION("""COMPUTED_VALUE"""),75202.0)</f>
        <v>75202</v>
      </c>
      <c r="I57" s="8">
        <f t="shared" si="2"/>
        <v>75202</v>
      </c>
      <c r="J57" s="9">
        <f>IFERROR(__xludf.DUMMYFUNCTION("SPLIT(I57,""-"")"),75202.0)</f>
        <v>75202</v>
      </c>
    </row>
    <row r="58">
      <c r="A58" s="10" t="s">
        <v>66</v>
      </c>
      <c r="B58" s="11">
        <v>500.0</v>
      </c>
      <c r="C58" s="12" t="s">
        <v>50</v>
      </c>
      <c r="E58" s="8" t="str">
        <f>IFERROR(__xludf.DUMMYFUNCTION("SPLIT(A58,""TX"")"),"Johnson, Willis
1700 Pacific
Dallas, ")</f>
        <v>Johnson, Willis
1700 Pacific
Dallas, </v>
      </c>
      <c r="F58" s="8">
        <f>IFERROR(__xludf.DUMMYFUNCTION("""COMPUTED_VALUE"""),75201.0)</f>
        <v>75201</v>
      </c>
      <c r="I58" s="8">
        <f t="shared" si="2"/>
        <v>75201</v>
      </c>
      <c r="J58" s="9">
        <f>IFERROR(__xludf.DUMMYFUNCTION("SPLIT(I58,""-"")"),75201.0)</f>
        <v>75201</v>
      </c>
    </row>
    <row r="59">
      <c r="A59" s="10" t="s">
        <v>67</v>
      </c>
      <c r="B59" s="11">
        <v>100.0</v>
      </c>
      <c r="C59" s="12" t="s">
        <v>50</v>
      </c>
      <c r="E59" s="8" t="str">
        <f>IFERROR(__xludf.DUMMYFUNCTION("SPLIT(A59,""TX"")"),"Campbell, Stewart
15729 Artist Way
Dallas, ")</f>
        <v>Campbell, Stewart
15729 Artist Way
Dallas, </v>
      </c>
      <c r="F59" s="8">
        <f>IFERROR(__xludf.DUMMYFUNCTION("""COMPUTED_VALUE"""),75001.0)</f>
        <v>75001</v>
      </c>
      <c r="I59" s="8">
        <f t="shared" si="2"/>
        <v>75001</v>
      </c>
      <c r="J59" s="9">
        <f>IFERROR(__xludf.DUMMYFUNCTION("SPLIT(I59,""-"")"),75001.0)</f>
        <v>75001</v>
      </c>
    </row>
    <row r="60">
      <c r="A60" s="10" t="s">
        <v>68</v>
      </c>
      <c r="B60" s="11">
        <v>100.0</v>
      </c>
      <c r="C60" s="12" t="s">
        <v>50</v>
      </c>
      <c r="E60" s="8" t="str">
        <f>IFERROR(__xludf.DUMMYFUNCTION("SPLIT(A60,""TX"")"),"Wynhausen, Aaron
12420 W. 85th
Lenexa, KS 66215")</f>
        <v>Wynhausen, Aaron
12420 W. 85th
Lenexa, KS 66215</v>
      </c>
      <c r="I60" s="8" t="str">
        <f t="shared" si="2"/>
        <v/>
      </c>
      <c r="J60" s="9"/>
    </row>
    <row r="61">
      <c r="A61" s="10" t="s">
        <v>69</v>
      </c>
      <c r="B61" s="11">
        <v>50.0</v>
      </c>
      <c r="C61" s="12" t="s">
        <v>50</v>
      </c>
      <c r="E61" s="8" t="str">
        <f>IFERROR(__xludf.DUMMYFUNCTION("SPLIT(A61,""TX"")"),"Lawler, Gary
5620 Live Oak
Dallas, ")</f>
        <v>Lawler, Gary
5620 Live Oak
Dallas, </v>
      </c>
      <c r="F61" s="8">
        <f>IFERROR(__xludf.DUMMYFUNCTION("""COMPUTED_VALUE"""),75207.0)</f>
        <v>75207</v>
      </c>
      <c r="I61" s="8">
        <f t="shared" si="2"/>
        <v>75207</v>
      </c>
      <c r="J61" s="9">
        <f>IFERROR(__xludf.DUMMYFUNCTION("SPLIT(I61,""-"")"),75207.0)</f>
        <v>75207</v>
      </c>
    </row>
    <row r="62">
      <c r="A62" s="10" t="s">
        <v>70</v>
      </c>
      <c r="B62" s="11">
        <v>1000.0</v>
      </c>
      <c r="C62" s="12" t="s">
        <v>50</v>
      </c>
      <c r="E62" s="8" t="str">
        <f>IFERROR(__xludf.DUMMYFUNCTION("SPLIT(A62,""TX"")"),"Kolenovic, Enver
1906 Hillside
Rowlett, ")</f>
        <v>Kolenovic, Enver
1906 Hillside
Rowlett, </v>
      </c>
      <c r="F62" s="8">
        <f>IFERROR(__xludf.DUMMYFUNCTION("""COMPUTED_VALUE"""),75088.0)</f>
        <v>75088</v>
      </c>
      <c r="I62" s="8">
        <f t="shared" si="2"/>
        <v>75088</v>
      </c>
      <c r="J62" s="9">
        <f>IFERROR(__xludf.DUMMYFUNCTION("SPLIT(I62,""-"")"),75088.0)</f>
        <v>75088</v>
      </c>
    </row>
    <row r="63">
      <c r="A63" s="10" t="s">
        <v>71</v>
      </c>
      <c r="B63" s="11">
        <v>100.0</v>
      </c>
      <c r="C63" s="12" t="s">
        <v>50</v>
      </c>
      <c r="E63" s="8" t="str">
        <f>IFERROR(__xludf.DUMMYFUNCTION("SPLIT(A63,""TX"")"),"Flores, Hector
1030 ")</f>
        <v>Flores, Hector
1030 </v>
      </c>
      <c r="F63" s="8" t="str">
        <f>IFERROR(__xludf.DUMMYFUNCTION("""COMPUTED_VALUE"""),"racy
Duncanville, ")</f>
        <v>racy
Duncanville, </v>
      </c>
      <c r="G63" s="8">
        <f>IFERROR(__xludf.DUMMYFUNCTION("""COMPUTED_VALUE"""),75137.0)</f>
        <v>75137</v>
      </c>
      <c r="I63" s="8">
        <f t="shared" si="2"/>
        <v>75137</v>
      </c>
      <c r="J63" s="9">
        <f>IFERROR(__xludf.DUMMYFUNCTION("SPLIT(I63,""-"")"),75137.0)</f>
        <v>75137</v>
      </c>
    </row>
    <row r="64">
      <c r="A64" s="10" t="s">
        <v>72</v>
      </c>
      <c r="B64" s="11">
        <v>500.0</v>
      </c>
      <c r="C64" s="12" t="s">
        <v>50</v>
      </c>
      <c r="E64" s="8" t="str">
        <f>IFERROR(__xludf.DUMMYFUNCTION("SPLIT(A64,""TX"")"),"Schenkel, Pete
614 Bishop
Dallas, ")</f>
        <v>Schenkel, Pete
614 Bishop
Dallas, </v>
      </c>
      <c r="F64" s="8">
        <f>IFERROR(__xludf.DUMMYFUNCTION("""COMPUTED_VALUE"""),75208.0)</f>
        <v>75208</v>
      </c>
      <c r="I64" s="8">
        <f t="shared" si="2"/>
        <v>75208</v>
      </c>
      <c r="J64" s="9">
        <f>IFERROR(__xludf.DUMMYFUNCTION("SPLIT(I64,""-"")"),75208.0)</f>
        <v>75208</v>
      </c>
    </row>
    <row r="65">
      <c r="A65" s="10" t="s">
        <v>73</v>
      </c>
      <c r="B65" s="11">
        <v>100.0</v>
      </c>
      <c r="C65" s="12" t="s">
        <v>50</v>
      </c>
      <c r="E65" s="8" t="str">
        <f>IFERROR(__xludf.DUMMYFUNCTION("SPLIT(A65,""TX"")"),"Dohanian, Armen
5859 Windingwoods
Dallas, ")</f>
        <v>Dohanian, Armen
5859 Windingwoods
Dallas, </v>
      </c>
      <c r="F65" s="8">
        <f>IFERROR(__xludf.DUMMYFUNCTION("""COMPUTED_VALUE"""),75227.0)</f>
        <v>75227</v>
      </c>
      <c r="I65" s="8">
        <f t="shared" si="2"/>
        <v>75227</v>
      </c>
      <c r="J65" s="9">
        <f>IFERROR(__xludf.DUMMYFUNCTION("SPLIT(I65,""-"")"),75227.0)</f>
        <v>75227</v>
      </c>
    </row>
    <row r="66">
      <c r="A66" s="10" t="s">
        <v>74</v>
      </c>
      <c r="B66" s="11">
        <v>1000.0</v>
      </c>
      <c r="C66" s="12" t="s">
        <v>50</v>
      </c>
      <c r="E66" s="8" t="str">
        <f>IFERROR(__xludf.DUMMYFUNCTION("SPLIT(A66,""TX"")"),"Vasquez, Mary
1709 East
Katy, ")</f>
        <v>Vasquez, Mary
1709 East
Katy, </v>
      </c>
      <c r="F66" s="8">
        <f>IFERROR(__xludf.DUMMYFUNCTION("""COMPUTED_VALUE"""),77493.0)</f>
        <v>77493</v>
      </c>
      <c r="I66" s="8">
        <f t="shared" si="2"/>
        <v>77493</v>
      </c>
      <c r="J66" s="9">
        <f>IFERROR(__xludf.DUMMYFUNCTION("SPLIT(I66,""-"")"),77493.0)</f>
        <v>77493</v>
      </c>
    </row>
    <row r="67">
      <c r="A67" s="10" t="s">
        <v>75</v>
      </c>
      <c r="B67" s="11">
        <v>1000.0</v>
      </c>
      <c r="C67" s="12" t="s">
        <v>50</v>
      </c>
      <c r="E67" s="8" t="str">
        <f>IFERROR(__xludf.DUMMYFUNCTION("SPLIT(A67,""TX"")"),"Montfort, Jesus
1610 Hyland Greens
Grapevine, ")</f>
        <v>Montfort, Jesus
1610 Hyland Greens
Grapevine, </v>
      </c>
      <c r="F67" s="8">
        <f>IFERROR(__xludf.DUMMYFUNCTION("""COMPUTED_VALUE"""),76051.0)</f>
        <v>76051</v>
      </c>
      <c r="I67" s="8">
        <f t="shared" si="2"/>
        <v>76051</v>
      </c>
      <c r="J67" s="9">
        <f>IFERROR(__xludf.DUMMYFUNCTION("SPLIT(I67,""-"")"),76051.0)</f>
        <v>76051</v>
      </c>
    </row>
    <row r="68">
      <c r="A68" s="10" t="s">
        <v>76</v>
      </c>
      <c r="B68" s="11">
        <v>1000.0</v>
      </c>
      <c r="C68" s="12" t="s">
        <v>50</v>
      </c>
      <c r="E68" s="8" t="str">
        <f>IFERROR(__xludf.DUMMYFUNCTION("SPLIT(A68,""TX"")"),"Montfort, Jane
1610 Hyland Greens
Grapevine, ")</f>
        <v>Montfort, Jane
1610 Hyland Greens
Grapevine, </v>
      </c>
      <c r="F68" s="8">
        <f>IFERROR(__xludf.DUMMYFUNCTION("""COMPUTED_VALUE"""),76051.0)</f>
        <v>76051</v>
      </c>
      <c r="I68" s="8">
        <f t="shared" si="2"/>
        <v>76051</v>
      </c>
      <c r="J68" s="9">
        <f>IFERROR(__xludf.DUMMYFUNCTION("SPLIT(I68,""-"")"),76051.0)</f>
        <v>76051</v>
      </c>
    </row>
    <row r="69">
      <c r="A69" s="10" t="s">
        <v>77</v>
      </c>
      <c r="B69" s="11">
        <v>1000.0</v>
      </c>
      <c r="C69" s="12" t="s">
        <v>50</v>
      </c>
      <c r="E69" s="8" t="str">
        <f>IFERROR(__xludf.DUMMYFUNCTION("SPLIT(A69,""TX"")"),"Aranza, Gilbert
PO Box 601527
Dallas, ")</f>
        <v>Aranza, Gilbert
PO Box 601527
Dallas, </v>
      </c>
      <c r="F69" s="8">
        <f>IFERROR(__xludf.DUMMYFUNCTION("""COMPUTED_VALUE"""),75360.0)</f>
        <v>75360</v>
      </c>
      <c r="I69" s="8">
        <f t="shared" si="2"/>
        <v>75360</v>
      </c>
      <c r="J69" s="9">
        <f>IFERROR(__xludf.DUMMYFUNCTION("SPLIT(I69,""-"")"),75360.0)</f>
        <v>75360</v>
      </c>
    </row>
    <row r="70">
      <c r="A70" s="10" t="s">
        <v>78</v>
      </c>
      <c r="B70" s="11">
        <v>500.0</v>
      </c>
      <c r="C70" s="12" t="s">
        <v>50</v>
      </c>
      <c r="E70" s="8" t="str">
        <f>IFERROR(__xludf.DUMMYFUNCTION("SPLIT(A70,""TX"")"),"Patel, Sunil
5122 Second Ave
Dallas, ")</f>
        <v>Patel, Sunil
5122 Second Ave
Dallas, </v>
      </c>
      <c r="F70" s="8">
        <f>IFERROR(__xludf.DUMMYFUNCTION("""COMPUTED_VALUE"""),75210.0)</f>
        <v>75210</v>
      </c>
      <c r="I70" s="8">
        <f t="shared" si="2"/>
        <v>75210</v>
      </c>
      <c r="J70" s="9">
        <f>IFERROR(__xludf.DUMMYFUNCTION("SPLIT(I70,""-"")"),75210.0)</f>
        <v>75210</v>
      </c>
    </row>
    <row r="71">
      <c r="A71" s="10" t="s">
        <v>79</v>
      </c>
      <c r="B71" s="11">
        <v>250.0</v>
      </c>
      <c r="C71" s="12" t="s">
        <v>50</v>
      </c>
      <c r="E71" s="8" t="str">
        <f>IFERROR(__xludf.DUMMYFUNCTION("SPLIT(A71,""TX"")"),"iona, Alisa
11404 Bertram
Austin, ")</f>
        <v>iona, Alisa
11404 Bertram
Austin, </v>
      </c>
      <c r="F71" s="8">
        <f>IFERROR(__xludf.DUMMYFUNCTION("""COMPUTED_VALUE"""),78645.0)</f>
        <v>78645</v>
      </c>
      <c r="I71" s="8">
        <f t="shared" si="2"/>
        <v>78645</v>
      </c>
      <c r="J71" s="9">
        <f>IFERROR(__xludf.DUMMYFUNCTION("SPLIT(I71,""-"")"),78645.0)</f>
        <v>78645</v>
      </c>
    </row>
    <row r="72">
      <c r="A72" s="10" t="s">
        <v>80</v>
      </c>
      <c r="B72" s="11">
        <v>250.0</v>
      </c>
      <c r="C72" s="12" t="s">
        <v>50</v>
      </c>
      <c r="E72" s="8" t="str">
        <f>IFERROR(__xludf.DUMMYFUNCTION("SPLIT(A72,""TX"")"),"Black American Futures PAC
2647 White Oak
Decatur, GA 30032")</f>
        <v>Black American Futures PAC
2647 White Oak
Decatur, GA 30032</v>
      </c>
      <c r="I72" s="8" t="str">
        <f t="shared" si="2"/>
        <v/>
      </c>
      <c r="J72" s="9"/>
    </row>
    <row r="73">
      <c r="A73" s="10" t="s">
        <v>81</v>
      </c>
      <c r="B73" s="11">
        <v>1000.0</v>
      </c>
      <c r="C73" s="12" t="s">
        <v>50</v>
      </c>
      <c r="E73" s="8" t="str">
        <f>IFERROR(__xludf.DUMMYFUNCTION("SPLIT(A73,""TX"")"),"Hill, Ricky
1604 Carraige Creek
DeSoto, ")</f>
        <v>Hill, Ricky
1604 Carraige Creek
DeSoto, </v>
      </c>
      <c r="F73" s="8">
        <f>IFERROR(__xludf.DUMMYFUNCTION("""COMPUTED_VALUE"""),75115.0)</f>
        <v>75115</v>
      </c>
      <c r="I73" s="8">
        <f t="shared" si="2"/>
        <v>75115</v>
      </c>
      <c r="J73" s="9">
        <f>IFERROR(__xludf.DUMMYFUNCTION("SPLIT(I73,""-"")"),75115.0)</f>
        <v>75115</v>
      </c>
    </row>
    <row r="74">
      <c r="A74" s="10" t="s">
        <v>82</v>
      </c>
      <c r="B74" s="11">
        <v>100.0</v>
      </c>
      <c r="C74" s="12" t="s">
        <v>50</v>
      </c>
      <c r="E74" s="8" t="str">
        <f>IFERROR(__xludf.DUMMYFUNCTION("SPLIT(A74,""TX"")"),"Chase, Scott
1700 Pacific
Dallas, ")</f>
        <v>Chase, Scott
1700 Pacific
Dallas, </v>
      </c>
      <c r="F74" s="8">
        <f>IFERROR(__xludf.DUMMYFUNCTION("""COMPUTED_VALUE"""),75201.0)</f>
        <v>75201</v>
      </c>
      <c r="I74" s="8">
        <f t="shared" si="2"/>
        <v>75201</v>
      </c>
      <c r="J74" s="9">
        <f>IFERROR(__xludf.DUMMYFUNCTION("SPLIT(I74,""-"")"),75201.0)</f>
        <v>75201</v>
      </c>
    </row>
    <row r="75">
      <c r="A75" s="10" t="s">
        <v>83</v>
      </c>
      <c r="B75" s="11">
        <v>50.0</v>
      </c>
      <c r="C75" s="12" t="s">
        <v>50</v>
      </c>
      <c r="E75" s="8" t="str">
        <f>IFERROR(__xludf.DUMMYFUNCTION("SPLIT(A75,""TX"")"),"Palmer, Kelly
PO Box 2570
Waco, ")</f>
        <v>Palmer, Kelly
PO Box 2570
Waco, </v>
      </c>
      <c r="F75" s="8">
        <f>IFERROR(__xludf.DUMMYFUNCTION("""COMPUTED_VALUE"""),76702.0)</f>
        <v>76702</v>
      </c>
      <c r="I75" s="8">
        <f t="shared" si="2"/>
        <v>76702</v>
      </c>
      <c r="J75" s="9">
        <f>IFERROR(__xludf.DUMMYFUNCTION("SPLIT(I75,""-"")"),76702.0)</f>
        <v>76702</v>
      </c>
    </row>
    <row r="76">
      <c r="A76" s="10" t="s">
        <v>84</v>
      </c>
      <c r="B76" s="11">
        <v>100.0</v>
      </c>
      <c r="C76" s="12" t="s">
        <v>50</v>
      </c>
      <c r="E76" s="8" t="str">
        <f>IFERROR(__xludf.DUMMYFUNCTION("SPLIT(A76,""TX"")"),"Flores, Fabiola
1407 Ridgemont
Austin, ")</f>
        <v>Flores, Fabiola
1407 Ridgemont
Austin, </v>
      </c>
      <c r="F76" s="8">
        <f>IFERROR(__xludf.DUMMYFUNCTION("""COMPUTED_VALUE"""),78723.0)</f>
        <v>78723</v>
      </c>
      <c r="I76" s="8">
        <f t="shared" si="2"/>
        <v>78723</v>
      </c>
      <c r="J76" s="9">
        <f>IFERROR(__xludf.DUMMYFUNCTION("SPLIT(I76,""-"")"),78723.0)</f>
        <v>78723</v>
      </c>
    </row>
    <row r="77">
      <c r="A77" s="10" t="s">
        <v>85</v>
      </c>
      <c r="B77" s="11">
        <v>250.0</v>
      </c>
      <c r="C77" s="12" t="s">
        <v>50</v>
      </c>
      <c r="E77" s="8" t="str">
        <f>IFERROR(__xludf.DUMMYFUNCTION("SPLIT(A77,""TX"")"),"Keyes, Katrina
3839 McKinney
Dallas, ")</f>
        <v>Keyes, Katrina
3839 McKinney
Dallas, </v>
      </c>
      <c r="F77" s="8">
        <f>IFERROR(__xludf.DUMMYFUNCTION("""COMPUTED_VALUE"""),75204.0)</f>
        <v>75204</v>
      </c>
      <c r="I77" s="8">
        <f t="shared" si="2"/>
        <v>75204</v>
      </c>
      <c r="J77" s="9">
        <f>IFERROR(__xludf.DUMMYFUNCTION("SPLIT(I77,""-"")"),75204.0)</f>
        <v>75204</v>
      </c>
    </row>
    <row r="78">
      <c r="A78" s="10" t="s">
        <v>86</v>
      </c>
      <c r="B78" s="11">
        <v>50.0</v>
      </c>
      <c r="C78" s="12" t="s">
        <v>50</v>
      </c>
      <c r="E78" s="8" t="str">
        <f>IFERROR(__xludf.DUMMYFUNCTION("SPLIT(A78,""TX"")"),"Nurre, Mike
4923 ")</f>
        <v>Nurre, Mike
4923 </v>
      </c>
      <c r="F78" s="8" t="str">
        <f>IFERROR(__xludf.DUMMYFUNCTION("""COMPUTED_VALUE"""),"win Post
Dallas, ")</f>
        <v>win Post
Dallas, </v>
      </c>
      <c r="G78" s="8">
        <f>IFERROR(__xludf.DUMMYFUNCTION("""COMPUTED_VALUE"""),75244.0)</f>
        <v>75244</v>
      </c>
      <c r="I78" s="8">
        <f t="shared" si="2"/>
        <v>75244</v>
      </c>
      <c r="J78" s="9">
        <f>IFERROR(__xludf.DUMMYFUNCTION("SPLIT(I78,""-"")"),75244.0)</f>
        <v>75244</v>
      </c>
    </row>
    <row r="79">
      <c r="A79" s="10" t="s">
        <v>87</v>
      </c>
      <c r="B79" s="11">
        <v>100.0</v>
      </c>
      <c r="C79" s="12" t="s">
        <v>50</v>
      </c>
      <c r="E79" s="8" t="str">
        <f>IFERROR(__xludf.DUMMYFUNCTION("SPLIT(A79,""TX"")"),"Howard, ")</f>
        <v>Howard, </v>
      </c>
      <c r="F79" s="8" t="str">
        <f>IFERROR(__xludf.DUMMYFUNCTION("""COMPUTED_VALUE"""),"odd
9632 Athlone
Dallas, ")</f>
        <v>odd
9632 Athlone
Dallas, </v>
      </c>
      <c r="G79" s="8">
        <f>IFERROR(__xludf.DUMMYFUNCTION("""COMPUTED_VALUE"""),75218.0)</f>
        <v>75218</v>
      </c>
      <c r="I79" s="8">
        <f t="shared" si="2"/>
        <v>75218</v>
      </c>
      <c r="J79" s="9">
        <f>IFERROR(__xludf.DUMMYFUNCTION("SPLIT(I79,""-"")"),75218.0)</f>
        <v>75218</v>
      </c>
    </row>
    <row r="80">
      <c r="A80" s="10" t="s">
        <v>88</v>
      </c>
      <c r="B80" s="11">
        <v>500.0</v>
      </c>
      <c r="C80" s="12" t="s">
        <v>50</v>
      </c>
      <c r="E80" s="8" t="str">
        <f>IFERROR(__xludf.DUMMYFUNCTION("SPLIT(A80,""TX"")"),"Best, Randy
9762 Aududob Place
Dallas, ")</f>
        <v>Best, Randy
9762 Aududob Place
Dallas, </v>
      </c>
      <c r="F80" s="8">
        <f>IFERROR(__xludf.DUMMYFUNCTION("""COMPUTED_VALUE"""),75220.0)</f>
        <v>75220</v>
      </c>
      <c r="I80" s="8">
        <f t="shared" si="2"/>
        <v>75220</v>
      </c>
      <c r="J80" s="9">
        <f>IFERROR(__xludf.DUMMYFUNCTION("SPLIT(I80,""-"")"),75220.0)</f>
        <v>75220</v>
      </c>
    </row>
    <row r="81">
      <c r="A81" s="10" t="s">
        <v>89</v>
      </c>
      <c r="B81" s="11">
        <v>500.0</v>
      </c>
      <c r="C81" s="12" t="s">
        <v>50</v>
      </c>
      <c r="E81" s="8" t="str">
        <f>IFERROR(__xludf.DUMMYFUNCTION("SPLIT(A81,""TX"")"),"Norris, Patrick
4240 Prescott
Dallas, ")</f>
        <v>Norris, Patrick
4240 Prescott
Dallas, </v>
      </c>
      <c r="F81" s="8">
        <f>IFERROR(__xludf.DUMMYFUNCTION("""COMPUTED_VALUE"""),75219.0)</f>
        <v>75219</v>
      </c>
      <c r="I81" s="8">
        <f t="shared" si="2"/>
        <v>75219</v>
      </c>
      <c r="J81" s="9">
        <f>IFERROR(__xludf.DUMMYFUNCTION("SPLIT(I81,""-"")"),75219.0)</f>
        <v>75219</v>
      </c>
    </row>
    <row r="82">
      <c r="A82" s="10" t="s">
        <v>90</v>
      </c>
      <c r="B82" s="11">
        <v>1000.0</v>
      </c>
      <c r="C82" s="12" t="s">
        <v>50</v>
      </c>
      <c r="E82" s="8" t="str">
        <f>IFERROR(__xludf.DUMMYFUNCTION("SPLIT(A82,""TX"")"),"Hurley, Sydney
3910 Gillon
Dallas, ")</f>
        <v>Hurley, Sydney
3910 Gillon
Dallas, </v>
      </c>
      <c r="F82" s="8">
        <f>IFERROR(__xludf.DUMMYFUNCTION("""COMPUTED_VALUE"""),75205.0)</f>
        <v>75205</v>
      </c>
      <c r="I82" s="8">
        <f t="shared" si="2"/>
        <v>75205</v>
      </c>
      <c r="J82" s="9">
        <f>IFERROR(__xludf.DUMMYFUNCTION("SPLIT(I82,""-"")"),75205.0)</f>
        <v>75205</v>
      </c>
    </row>
    <row r="83">
      <c r="A83" s="10" t="s">
        <v>91</v>
      </c>
      <c r="B83" s="11">
        <v>250.0</v>
      </c>
      <c r="C83" s="12" t="s">
        <v>50</v>
      </c>
      <c r="E83" s="8" t="str">
        <f>IFERROR(__xludf.DUMMYFUNCTION("SPLIT(A83,""TX"")"),"Stevens, Seth
2560 Honeycuckle
Richardson, ")</f>
        <v>Stevens, Seth
2560 Honeycuckle
Richardson, </v>
      </c>
      <c r="F83" s="8">
        <f>IFERROR(__xludf.DUMMYFUNCTION("""COMPUTED_VALUE"""),75082.0)</f>
        <v>75082</v>
      </c>
      <c r="I83" s="8">
        <f t="shared" si="2"/>
        <v>75082</v>
      </c>
      <c r="J83" s="9">
        <f>IFERROR(__xludf.DUMMYFUNCTION("SPLIT(I83,""-"")"),75082.0)</f>
        <v>75082</v>
      </c>
    </row>
    <row r="84">
      <c r="A84" s="10" t="s">
        <v>92</v>
      </c>
      <c r="B84" s="11">
        <v>100.0</v>
      </c>
      <c r="C84" s="12" t="s">
        <v>50</v>
      </c>
      <c r="E84" s="8" t="str">
        <f>IFERROR(__xludf.DUMMYFUNCTION("SPLIT(A84,""TX"")"),"Angelo, Joanna
3221 Red Bird
Grapevine, ")</f>
        <v>Angelo, Joanna
3221 Red Bird
Grapevine, </v>
      </c>
      <c r="F84" s="8">
        <f>IFERROR(__xludf.DUMMYFUNCTION("""COMPUTED_VALUE"""),76051.0)</f>
        <v>76051</v>
      </c>
      <c r="I84" s="8">
        <f t="shared" si="2"/>
        <v>76051</v>
      </c>
      <c r="J84" s="9">
        <f>IFERROR(__xludf.DUMMYFUNCTION("SPLIT(I84,""-"")"),76051.0)</f>
        <v>76051</v>
      </c>
    </row>
    <row r="85">
      <c r="A85" s="10" t="s">
        <v>93</v>
      </c>
      <c r="B85" s="11">
        <v>50.0</v>
      </c>
      <c r="C85" s="12" t="s">
        <v>50</v>
      </c>
      <c r="E85" s="8" t="str">
        <f>IFERROR(__xludf.DUMMYFUNCTION("SPLIT(A85,""TX"")"),"Garcia, Hector
1409 Lamar
Dallas, ")</f>
        <v>Garcia, Hector
1409 Lamar
Dallas, </v>
      </c>
      <c r="F85" s="8">
        <f>IFERROR(__xludf.DUMMYFUNCTION("""COMPUTED_VALUE"""),75215.0)</f>
        <v>75215</v>
      </c>
      <c r="I85" s="8">
        <f t="shared" si="2"/>
        <v>75215</v>
      </c>
      <c r="J85" s="9">
        <f>IFERROR(__xludf.DUMMYFUNCTION("SPLIT(I85,""-"")"),75215.0)</f>
        <v>75215</v>
      </c>
    </row>
    <row r="86">
      <c r="A86" s="10" t="s">
        <v>94</v>
      </c>
      <c r="B86" s="11">
        <v>250.0</v>
      </c>
      <c r="C86" s="12" t="s">
        <v>50</v>
      </c>
      <c r="E86" s="8" t="str">
        <f>IFERROR(__xludf.DUMMYFUNCTION("SPLIT(A86,""TX"")"),"King, Johnnie
1243 Pleasant Run
DeSoto, ")</f>
        <v>King, Johnnie
1243 Pleasant Run
DeSoto, </v>
      </c>
      <c r="F86" s="8">
        <f>IFERROR(__xludf.DUMMYFUNCTION("""COMPUTED_VALUE"""),75115.0)</f>
        <v>75115</v>
      </c>
      <c r="I86" s="8">
        <f t="shared" si="2"/>
        <v>75115</v>
      </c>
      <c r="J86" s="9">
        <f>IFERROR(__xludf.DUMMYFUNCTION("SPLIT(I86,""-"")"),75115.0)</f>
        <v>75115</v>
      </c>
    </row>
    <row r="87">
      <c r="A87" s="10" t="s">
        <v>95</v>
      </c>
      <c r="B87" s="11">
        <v>1000.0</v>
      </c>
      <c r="C87" s="12" t="s">
        <v>50</v>
      </c>
      <c r="E87" s="8" t="str">
        <f>IFERROR(__xludf.DUMMYFUNCTION("SPLIT(A87,""TX"")"),"Davis, Christopher
541 Mendenhall
Bozeman, M")</f>
        <v>Davis, Christopher
541 Mendenhall
Bozeman, M</v>
      </c>
      <c r="F87" s="8">
        <f>IFERROR(__xludf.DUMMYFUNCTION("""COMPUTED_VALUE"""),59715.0)</f>
        <v>59715</v>
      </c>
      <c r="I87" s="8">
        <f t="shared" si="2"/>
        <v>59715</v>
      </c>
      <c r="J87" s="9">
        <f>IFERROR(__xludf.DUMMYFUNCTION("SPLIT(I87,""-"")"),59715.0)</f>
        <v>59715</v>
      </c>
    </row>
    <row r="88">
      <c r="A88" s="10" t="s">
        <v>96</v>
      </c>
      <c r="B88" s="11">
        <v>500.0</v>
      </c>
      <c r="C88" s="12" t="s">
        <v>50</v>
      </c>
      <c r="E88" s="8" t="str">
        <f>IFERROR(__xludf.DUMMYFUNCTION("SPLIT(A88,""TX"")"),"White, ")</f>
        <v>White, </v>
      </c>
      <c r="F88" s="8" t="str">
        <f>IFERROR(__xludf.DUMMYFUNCTION("""COMPUTED_VALUE"""),"om
5819 Winding Woods
Dallas, ")</f>
        <v>om
5819 Winding Woods
Dallas, </v>
      </c>
      <c r="G88" s="8">
        <f>IFERROR(__xludf.DUMMYFUNCTION("""COMPUTED_VALUE"""),75227.0)</f>
        <v>75227</v>
      </c>
      <c r="I88" s="8">
        <f t="shared" si="2"/>
        <v>75227</v>
      </c>
      <c r="J88" s="9">
        <f>IFERROR(__xludf.DUMMYFUNCTION("SPLIT(I88,""-"")"),75227.0)</f>
        <v>75227</v>
      </c>
    </row>
    <row r="89">
      <c r="A89" s="10" t="s">
        <v>97</v>
      </c>
      <c r="B89" s="11">
        <v>500.0</v>
      </c>
      <c r="C89" s="12" t="s">
        <v>5</v>
      </c>
      <c r="E89" s="8" t="str">
        <f>IFERROR(__xludf.DUMMYFUNCTION("SPLIT(A89,""TX"")"),"Nugent, Jim
4717 Mill Run Road
Dallas, ")</f>
        <v>Nugent, Jim
4717 Mill Run Road
Dallas, </v>
      </c>
      <c r="F89" s="8">
        <f>IFERROR(__xludf.DUMMYFUNCTION("""COMPUTED_VALUE"""),75244.0)</f>
        <v>75244</v>
      </c>
      <c r="I89" s="8">
        <f t="shared" si="2"/>
        <v>75244</v>
      </c>
      <c r="J89" s="9">
        <f>IFERROR(__xludf.DUMMYFUNCTION("SPLIT(I89,""-"")"),75244.0)</f>
        <v>75244</v>
      </c>
    </row>
    <row r="90">
      <c r="A90" s="5" t="s">
        <v>98</v>
      </c>
      <c r="B90" s="6">
        <v>250.0</v>
      </c>
      <c r="C90" s="7" t="s">
        <v>5</v>
      </c>
      <c r="E90" s="8" t="str">
        <f>IFERROR(__xludf.DUMMYFUNCTION("SPLIT(A90,""TX"")"),"Walne, Alan
10020 Caribou ")</f>
        <v>Walne, Alan
10020 Caribou </v>
      </c>
      <c r="F90" s="8" t="str">
        <f>IFERROR(__xludf.DUMMYFUNCTION("""COMPUTED_VALUE"""),"rail
Dallas, ")</f>
        <v>rail
Dallas, </v>
      </c>
      <c r="G90" s="8">
        <f>IFERROR(__xludf.DUMMYFUNCTION("""COMPUTED_VALUE"""),75238.0)</f>
        <v>75238</v>
      </c>
      <c r="I90" s="8">
        <f t="shared" si="2"/>
        <v>75238</v>
      </c>
      <c r="J90" s="9">
        <f>IFERROR(__xludf.DUMMYFUNCTION("SPLIT(I90,""-"")"),75238.0)</f>
        <v>75238</v>
      </c>
    </row>
    <row r="91">
      <c r="A91" s="10" t="s">
        <v>99</v>
      </c>
      <c r="B91" s="11">
        <v>1000.0</v>
      </c>
      <c r="C91" s="12" t="s">
        <v>5</v>
      </c>
      <c r="E91" s="8" t="str">
        <f>IFERROR(__xludf.DUMMYFUNCTION("SPLIT(A91,""TX"")"),"Kolenovic, Enver
1906 Hillside Drive
Rowlett, ")</f>
        <v>Kolenovic, Enver
1906 Hillside Drive
Rowlett, </v>
      </c>
      <c r="F91" s="8">
        <f>IFERROR(__xludf.DUMMYFUNCTION("""COMPUTED_VALUE"""),76088.0)</f>
        <v>76088</v>
      </c>
      <c r="I91" s="8">
        <f t="shared" si="2"/>
        <v>76088</v>
      </c>
      <c r="J91" s="9">
        <f>IFERROR(__xludf.DUMMYFUNCTION("SPLIT(I91,""-"")"),76088.0)</f>
        <v>76088</v>
      </c>
    </row>
    <row r="92">
      <c r="A92" s="5" t="s">
        <v>100</v>
      </c>
      <c r="B92" s="6">
        <v>250.0</v>
      </c>
      <c r="C92" s="7" t="s">
        <v>5</v>
      </c>
      <c r="E92" s="8" t="str">
        <f>IFERROR(__xludf.DUMMYFUNCTION("SPLIT(A92,""TX"")"),"Joyce Schiska Designs
3815 Antigua
Dallas, ")</f>
        <v>Joyce Schiska Designs
3815 Antigua
Dallas, </v>
      </c>
      <c r="F92" s="8">
        <f>IFERROR(__xludf.DUMMYFUNCTION("""COMPUTED_VALUE"""),75244.0)</f>
        <v>75244</v>
      </c>
      <c r="I92" s="8">
        <f t="shared" si="2"/>
        <v>75244</v>
      </c>
      <c r="J92" s="9">
        <f>IFERROR(__xludf.DUMMYFUNCTION("SPLIT(I92,""-"")"),75244.0)</f>
        <v>75244</v>
      </c>
    </row>
    <row r="93">
      <c r="A93" s="10" t="s">
        <v>101</v>
      </c>
      <c r="B93" s="11">
        <v>250.0</v>
      </c>
      <c r="C93" s="12" t="s">
        <v>5</v>
      </c>
      <c r="E93" s="8" t="str">
        <f>IFERROR(__xludf.DUMMYFUNCTION("SPLIT(A93,""TX"")"),"Rothschild, Debra
6404 Orchid Lane
Dallas, ")</f>
        <v>Rothschild, Debra
6404 Orchid Lane
Dallas, </v>
      </c>
      <c r="F93" s="8">
        <f>IFERROR(__xludf.DUMMYFUNCTION("""COMPUTED_VALUE"""),75230.0)</f>
        <v>75230</v>
      </c>
      <c r="I93" s="8">
        <f t="shared" si="2"/>
        <v>75230</v>
      </c>
      <c r="J93" s="9">
        <f>IFERROR(__xludf.DUMMYFUNCTION("SPLIT(I93,""-"")"),75230.0)</f>
        <v>75230</v>
      </c>
    </row>
    <row r="94">
      <c r="A94" s="5" t="s">
        <v>102</v>
      </c>
      <c r="B94" s="6">
        <v>250.0</v>
      </c>
      <c r="C94" s="7" t="s">
        <v>5</v>
      </c>
      <c r="E94" s="8" t="str">
        <f>IFERROR(__xludf.DUMMYFUNCTION("SPLIT(A94,""TX"")"),"Schlosser, Rodney
6366 ")</f>
        <v>Schlosser, Rodney
6366 </v>
      </c>
      <c r="F94" s="8" t="str">
        <f>IFERROR(__xludf.DUMMYFUNCTION("""COMPUTED_VALUE"""),"ulip Lane
Dallas, ")</f>
        <v>ulip Lane
Dallas, </v>
      </c>
      <c r="G94" s="8">
        <f>IFERROR(__xludf.DUMMYFUNCTION("""COMPUTED_VALUE"""),75230.0)</f>
        <v>75230</v>
      </c>
      <c r="I94" s="8">
        <f t="shared" si="2"/>
        <v>75230</v>
      </c>
      <c r="J94" s="9">
        <f>IFERROR(__xludf.DUMMYFUNCTION("SPLIT(I94,""-"")"),75230.0)</f>
        <v>75230</v>
      </c>
    </row>
    <row r="95">
      <c r="A95" s="10" t="s">
        <v>103</v>
      </c>
      <c r="B95" s="11">
        <v>25.0</v>
      </c>
      <c r="C95" s="12" t="s">
        <v>5</v>
      </c>
      <c r="E95" s="8" t="str">
        <f>IFERROR(__xludf.DUMMYFUNCTION("SPLIT(A95,""TX"")"),"Moyers, James
2808 ")</f>
        <v>Moyers, James
2808 </v>
      </c>
      <c r="F95" s="8" t="str">
        <f>IFERROR(__xludf.DUMMYFUNCTION("""COMPUTED_VALUE"""),"hrockmorton
Dallas, ")</f>
        <v>hrockmorton
Dallas, </v>
      </c>
      <c r="G95" s="8">
        <f>IFERROR(__xludf.DUMMYFUNCTION("""COMPUTED_VALUE"""),75219.0)</f>
        <v>75219</v>
      </c>
      <c r="I95" s="8">
        <f t="shared" si="2"/>
        <v>75219</v>
      </c>
      <c r="J95" s="9">
        <f>IFERROR(__xludf.DUMMYFUNCTION("SPLIT(I95,""-"")"),75219.0)</f>
        <v>75219</v>
      </c>
    </row>
    <row r="96">
      <c r="A96" s="5" t="s">
        <v>104</v>
      </c>
      <c r="B96" s="6">
        <v>500.0</v>
      </c>
      <c r="C96" s="7" t="s">
        <v>5</v>
      </c>
      <c r="E96" s="8" t="str">
        <f>IFERROR(__xludf.DUMMYFUNCTION("SPLIT(A96,""TX"")"),"Rubin, Candace
25 Highland Park Village
Dallas, ")</f>
        <v>Rubin, Candace
25 Highland Park Village
Dallas, </v>
      </c>
      <c r="F96" s="8">
        <f>IFERROR(__xludf.DUMMYFUNCTION("""COMPUTED_VALUE"""),75205.0)</f>
        <v>75205</v>
      </c>
      <c r="I96" s="8">
        <f t="shared" si="2"/>
        <v>75205</v>
      </c>
      <c r="J96" s="9">
        <f>IFERROR(__xludf.DUMMYFUNCTION("SPLIT(I96,""-"")"),75205.0)</f>
        <v>75205</v>
      </c>
    </row>
    <row r="97">
      <c r="A97" s="5" t="s">
        <v>105</v>
      </c>
      <c r="B97" s="6">
        <v>25.0</v>
      </c>
      <c r="C97" s="7" t="s">
        <v>106</v>
      </c>
      <c r="E97" s="8" t="str">
        <f>IFERROR(__xludf.DUMMYFUNCTION("SPLIT(A97,""TX"")"),"Miles, Kayla
404 North Winnetka Avenue
Dallas, ")</f>
        <v>Miles, Kayla
404 North Winnetka Avenue
Dallas, </v>
      </c>
      <c r="F97" s="8">
        <f>IFERROR(__xludf.DUMMYFUNCTION("""COMPUTED_VALUE"""),75208.0)</f>
        <v>75208</v>
      </c>
      <c r="I97" s="8">
        <f t="shared" si="2"/>
        <v>75208</v>
      </c>
      <c r="J97" s="9">
        <f>IFERROR(__xludf.DUMMYFUNCTION("SPLIT(I97,""-"")"),75208.0)</f>
        <v>75208</v>
      </c>
    </row>
    <row r="98">
      <c r="A98" s="5" t="s">
        <v>107</v>
      </c>
      <c r="B98" s="6">
        <v>50.0</v>
      </c>
      <c r="C98" s="7" t="s">
        <v>106</v>
      </c>
      <c r="E98" s="8" t="str">
        <f>IFERROR(__xludf.DUMMYFUNCTION("SPLIT(A98,""TX"")"),"Aguirre, Alejandra
10320 ")</f>
        <v>Aguirre, Alejandra
10320 </v>
      </c>
      <c r="F98" s="8" t="str">
        <f>IFERROR(__xludf.DUMMYFUNCTION("""COMPUTED_VALUE"""),"rail Lane
Dallas, ")</f>
        <v>rail Lane
Dallas, </v>
      </c>
      <c r="G98" s="8">
        <f>IFERROR(__xludf.DUMMYFUNCTION("""COMPUTED_VALUE"""),75217.0)</f>
        <v>75217</v>
      </c>
      <c r="I98" s="8">
        <f t="shared" si="2"/>
        <v>75217</v>
      </c>
      <c r="J98" s="9">
        <f>IFERROR(__xludf.DUMMYFUNCTION("SPLIT(I98,""-"")"),75217.0)</f>
        <v>75217</v>
      </c>
    </row>
    <row r="99">
      <c r="A99" s="10" t="s">
        <v>108</v>
      </c>
      <c r="B99" s="11">
        <v>35.0</v>
      </c>
      <c r="C99" s="12" t="s">
        <v>106</v>
      </c>
      <c r="E99" s="8" t="str">
        <f>IFERROR(__xludf.DUMMYFUNCTION("SPLIT(A99,""TX"")"),"inajero, Maribel
5609 Junkin Ct
Dallas, ")</f>
        <v>inajero, Maribel
5609 Junkin Ct
Dallas, </v>
      </c>
      <c r="F99" s="8">
        <f>IFERROR(__xludf.DUMMYFUNCTION("""COMPUTED_VALUE"""),75249.0)</f>
        <v>75249</v>
      </c>
      <c r="I99" s="8">
        <f t="shared" si="2"/>
        <v>75249</v>
      </c>
      <c r="J99" s="9">
        <f>IFERROR(__xludf.DUMMYFUNCTION("SPLIT(I99,""-"")"),75249.0)</f>
        <v>75249</v>
      </c>
    </row>
    <row r="100">
      <c r="A100" s="5" t="s">
        <v>109</v>
      </c>
      <c r="B100" s="6">
        <v>6.0</v>
      </c>
      <c r="C100" s="7" t="s">
        <v>106</v>
      </c>
      <c r="E100" s="8" t="str">
        <f>IFERROR(__xludf.DUMMYFUNCTION("SPLIT(A100,""TX"")"),"Stanley, ")</f>
        <v>Stanley, </v>
      </c>
      <c r="F100" s="8" t="str">
        <f>IFERROR(__xludf.DUMMYFUNCTION("""COMPUTED_VALUE"""),"iara
1309 Lenvoy Street
Dallas, ")</f>
        <v>iara
1309 Lenvoy Street
Dallas, </v>
      </c>
      <c r="G100" s="8">
        <f>IFERROR(__xludf.DUMMYFUNCTION("""COMPUTED_VALUE"""),75215.0)</f>
        <v>75215</v>
      </c>
      <c r="I100" s="8">
        <f t="shared" si="2"/>
        <v>75215</v>
      </c>
      <c r="J100" s="9">
        <f>IFERROR(__xludf.DUMMYFUNCTION("SPLIT(I100,""-"")"),75215.0)</f>
        <v>75215</v>
      </c>
    </row>
    <row r="101">
      <c r="A101" s="10" t="s">
        <v>110</v>
      </c>
      <c r="B101" s="11">
        <v>25.0</v>
      </c>
      <c r="C101" s="12" t="s">
        <v>106</v>
      </c>
      <c r="E101" s="8" t="str">
        <f>IFERROR(__xludf.DUMMYFUNCTION("SPLIT(A101,""TX"")"),"Campos, Val
2525 Bolton Boone
Desoto, ")</f>
        <v>Campos, Val
2525 Bolton Boone
Desoto, </v>
      </c>
      <c r="F101" s="8">
        <f>IFERROR(__xludf.DUMMYFUNCTION("""COMPUTED_VALUE"""),75115.0)</f>
        <v>75115</v>
      </c>
      <c r="I101" s="8">
        <f t="shared" si="2"/>
        <v>75115</v>
      </c>
      <c r="J101" s="9">
        <f>IFERROR(__xludf.DUMMYFUNCTION("SPLIT(I101,""-"")"),75115.0)</f>
        <v>75115</v>
      </c>
    </row>
    <row r="102">
      <c r="A102" s="5" t="s">
        <v>111</v>
      </c>
      <c r="B102" s="6">
        <v>150.0</v>
      </c>
      <c r="C102" s="7" t="s">
        <v>106</v>
      </c>
      <c r="E102" s="8" t="str">
        <f>IFERROR(__xludf.DUMMYFUNCTION("SPLIT(A102,""TX"")"),"Lagos, Alfred
131 North Montclair Avenue
Glen Ellyn, IL 60137")</f>
        <v>Lagos, Alfred
131 North Montclair Avenue
Glen Ellyn, IL 60137</v>
      </c>
      <c r="I102" s="8" t="str">
        <f t="shared" si="2"/>
        <v/>
      </c>
      <c r="J102" s="9"/>
    </row>
    <row r="103">
      <c r="A103" s="10" t="s">
        <v>112</v>
      </c>
      <c r="B103" s="11">
        <v>5.0</v>
      </c>
      <c r="C103" s="12" t="s">
        <v>106</v>
      </c>
      <c r="E103" s="8" t="str">
        <f>IFERROR(__xludf.DUMMYFUNCTION("SPLIT(A103,""TX"")"),"Alvarez, Daniel
815 N Montclair Ave
Dallas, ")</f>
        <v>Alvarez, Daniel
815 N Montclair Ave
Dallas, </v>
      </c>
      <c r="F103" s="8">
        <f>IFERROR(__xludf.DUMMYFUNCTION("""COMPUTED_VALUE"""),75208.0)</f>
        <v>75208</v>
      </c>
      <c r="I103" s="8">
        <f t="shared" si="2"/>
        <v>75208</v>
      </c>
      <c r="J103" s="9">
        <f>IFERROR(__xludf.DUMMYFUNCTION("SPLIT(I103,""-"")"),75208.0)</f>
        <v>75208</v>
      </c>
    </row>
    <row r="104">
      <c r="A104" s="5" t="s">
        <v>113</v>
      </c>
      <c r="B104" s="6">
        <v>100.0</v>
      </c>
      <c r="C104" s="7" t="s">
        <v>106</v>
      </c>
      <c r="E104" s="8" t="str">
        <f>IFERROR(__xludf.DUMMYFUNCTION("SPLIT(A104,""TX"")"),"Arciniega Nevarez, Sara
2625 Wilbur St
Dallas, ")</f>
        <v>Arciniega Nevarez, Sara
2625 Wilbur St
Dallas, </v>
      </c>
      <c r="F104" s="8">
        <f>IFERROR(__xludf.DUMMYFUNCTION("""COMPUTED_VALUE"""),75233.0)</f>
        <v>75233</v>
      </c>
      <c r="I104" s="8">
        <f t="shared" si="2"/>
        <v>75233</v>
      </c>
      <c r="J104" s="9">
        <f>IFERROR(__xludf.DUMMYFUNCTION("SPLIT(I104,""-"")"),75233.0)</f>
        <v>75233</v>
      </c>
    </row>
    <row r="105">
      <c r="A105" s="10" t="s">
        <v>114</v>
      </c>
      <c r="B105" s="11">
        <v>20.0</v>
      </c>
      <c r="C105" s="12" t="s">
        <v>106</v>
      </c>
      <c r="E105" s="8" t="str">
        <f>IFERROR(__xludf.DUMMYFUNCTION("SPLIT(A105,""TX"")"),"Williams, Giana
8232 Wes Hodges Road
Dallas, ")</f>
        <v>Williams, Giana
8232 Wes Hodges Road
Dallas, </v>
      </c>
      <c r="F105" s="8">
        <f>IFERROR(__xludf.DUMMYFUNCTION("""COMPUTED_VALUE"""),75217.0)</f>
        <v>75217</v>
      </c>
      <c r="I105" s="8">
        <f t="shared" si="2"/>
        <v>75217</v>
      </c>
      <c r="J105" s="9">
        <f>IFERROR(__xludf.DUMMYFUNCTION("SPLIT(I105,""-"")"),75217.0)</f>
        <v>75217</v>
      </c>
    </row>
    <row r="106">
      <c r="A106" s="5" t="s">
        <v>115</v>
      </c>
      <c r="B106" s="6">
        <v>40.0</v>
      </c>
      <c r="C106" s="7" t="s">
        <v>106</v>
      </c>
      <c r="E106" s="8" t="str">
        <f>IFERROR(__xludf.DUMMYFUNCTION("SPLIT(A106,""TX"")"),"Gonzales, Gilbert
16700 FM 3486
")</f>
        <v>Gonzales, Gilbert
16700 FM 3486
</v>
      </c>
      <c r="F106" s="8" t="str">
        <f>IFERROR(__xludf.DUMMYFUNCTION("""COMPUTED_VALUE"""),"errell, ")</f>
        <v>errell, </v>
      </c>
      <c r="G106" s="8">
        <f>IFERROR(__xludf.DUMMYFUNCTION("""COMPUTED_VALUE"""),75160.0)</f>
        <v>75160</v>
      </c>
      <c r="I106" s="8">
        <f t="shared" si="2"/>
        <v>75160</v>
      </c>
      <c r="J106" s="9">
        <f>IFERROR(__xludf.DUMMYFUNCTION("SPLIT(I106,""-"")"),75160.0)</f>
        <v>75160</v>
      </c>
    </row>
    <row r="107">
      <c r="A107" s="10" t="s">
        <v>116</v>
      </c>
      <c r="B107" s="11">
        <v>20.0</v>
      </c>
      <c r="C107" s="12" t="s">
        <v>106</v>
      </c>
      <c r="E107" s="8" t="str">
        <f>IFERROR(__xludf.DUMMYFUNCTION("SPLIT(A107,""TX"")"),"Garcia, Gina
423 E Ledbetter Dr
Dallas, ")</f>
        <v>Garcia, Gina
423 E Ledbetter Dr
Dallas, </v>
      </c>
      <c r="F107" s="8">
        <f>IFERROR(__xludf.DUMMYFUNCTION("""COMPUTED_VALUE"""),75216.0)</f>
        <v>75216</v>
      </c>
      <c r="I107" s="8">
        <f t="shared" si="2"/>
        <v>75216</v>
      </c>
      <c r="J107" s="9">
        <f>IFERROR(__xludf.DUMMYFUNCTION("SPLIT(I107,""-"")"),75216.0)</f>
        <v>75216</v>
      </c>
    </row>
    <row r="108">
      <c r="A108" s="5" t="s">
        <v>117</v>
      </c>
      <c r="B108" s="6">
        <v>25.0</v>
      </c>
      <c r="C108" s="7" t="s">
        <v>106</v>
      </c>
      <c r="E108" s="8" t="str">
        <f>IFERROR(__xludf.DUMMYFUNCTION("SPLIT(A108,""TX"")"),"Davila, Juanita
908 ")</f>
        <v>Davila, Juanita
908 </v>
      </c>
      <c r="F108" s="8" t="str">
        <f>IFERROR(__xludf.DUMMYFUNCTION("""COMPUTED_VALUE"""),"urner Avenue
Dallas, ")</f>
        <v>urner Avenue
Dallas, </v>
      </c>
      <c r="G108" s="8">
        <f>IFERROR(__xludf.DUMMYFUNCTION("""COMPUTED_VALUE"""),75208.0)</f>
        <v>75208</v>
      </c>
      <c r="I108" s="8">
        <f t="shared" si="2"/>
        <v>75208</v>
      </c>
      <c r="J108" s="9">
        <f>IFERROR(__xludf.DUMMYFUNCTION("SPLIT(I108,""-"")"),75208.0)</f>
        <v>75208</v>
      </c>
    </row>
    <row r="109">
      <c r="A109" s="10" t="s">
        <v>118</v>
      </c>
      <c r="B109" s="11">
        <v>250.0</v>
      </c>
      <c r="C109" s="12" t="s">
        <v>106</v>
      </c>
      <c r="E109" s="8" t="str">
        <f>IFERROR(__xludf.DUMMYFUNCTION("SPLIT(A109,""TX"")"),"Garcia, Catalina
10455 N. Central Expressway
Dallas, ")</f>
        <v>Garcia, Catalina
10455 N. Central Expressway
Dallas, </v>
      </c>
      <c r="F109" s="8">
        <f>IFERROR(__xludf.DUMMYFUNCTION("""COMPUTED_VALUE"""),75231.0)</f>
        <v>75231</v>
      </c>
      <c r="I109" s="8">
        <f t="shared" si="2"/>
        <v>75231</v>
      </c>
      <c r="J109" s="9">
        <f>IFERROR(__xludf.DUMMYFUNCTION("SPLIT(I109,""-"")"),75231.0)</f>
        <v>75231</v>
      </c>
    </row>
    <row r="110">
      <c r="A110" s="5" t="s">
        <v>119</v>
      </c>
      <c r="B110" s="6">
        <v>10.0</v>
      </c>
      <c r="C110" s="7" t="s">
        <v>106</v>
      </c>
      <c r="E110" s="8" t="str">
        <f>IFERROR(__xludf.DUMMYFUNCTION("SPLIT(A110,""TX"")"),"Hua, Cindy
718 Crested Cove Drive
Garland, ")</f>
        <v>Hua, Cindy
718 Crested Cove Drive
Garland, </v>
      </c>
      <c r="F110" s="8">
        <f>IFERROR(__xludf.DUMMYFUNCTION("""COMPUTED_VALUE"""),75040.0)</f>
        <v>75040</v>
      </c>
      <c r="I110" s="8">
        <f t="shared" si="2"/>
        <v>75040</v>
      </c>
      <c r="J110" s="9">
        <f>IFERROR(__xludf.DUMMYFUNCTION("SPLIT(I110,""-"")"),75040.0)</f>
        <v>75040</v>
      </c>
    </row>
    <row r="111">
      <c r="A111" s="10" t="s">
        <v>120</v>
      </c>
      <c r="B111" s="11">
        <v>200.0</v>
      </c>
      <c r="C111" s="12" t="s">
        <v>106</v>
      </c>
      <c r="E111" s="8" t="str">
        <f>IFERROR(__xludf.DUMMYFUNCTION("SPLIT(A111,""TX"")"),"Wood, Dylan
862 Union Street
Brooklyn, NY 11215")</f>
        <v>Wood, Dylan
862 Union Street
Brooklyn, NY 11215</v>
      </c>
      <c r="I111" s="8" t="str">
        <f t="shared" si="2"/>
        <v/>
      </c>
      <c r="J111" s="9"/>
    </row>
    <row r="112">
      <c r="A112" s="5" t="s">
        <v>121</v>
      </c>
      <c r="B112" s="6">
        <v>400.0</v>
      </c>
      <c r="C112" s="7" t="s">
        <v>106</v>
      </c>
      <c r="E112" s="8" t="str">
        <f>IFERROR(__xludf.DUMMYFUNCTION("SPLIT(A112,""TX"")"),"Gonzales, Jose
2105 Madera Drive
Waco, ")</f>
        <v>Gonzales, Jose
2105 Madera Drive
Waco, </v>
      </c>
      <c r="F112" s="8">
        <f>IFERROR(__xludf.DUMMYFUNCTION("""COMPUTED_VALUE"""),76705.0)</f>
        <v>76705</v>
      </c>
      <c r="I112" s="8">
        <f t="shared" si="2"/>
        <v>76705</v>
      </c>
      <c r="J112" s="9">
        <f>IFERROR(__xludf.DUMMYFUNCTION("SPLIT(I112,""-"")"),76705.0)</f>
        <v>76705</v>
      </c>
    </row>
    <row r="113">
      <c r="A113" s="10" t="s">
        <v>122</v>
      </c>
      <c r="B113" s="11">
        <v>1000.0</v>
      </c>
      <c r="C113" s="12" t="s">
        <v>35</v>
      </c>
      <c r="E113" s="8" t="str">
        <f>IFERROR(__xludf.DUMMYFUNCTION("SPLIT(A113,""TX"")"),"Stevens, Jennifer
17500 Northlake Hills
Jonestown, ")</f>
        <v>Stevens, Jennifer
17500 Northlake Hills
Jonestown, </v>
      </c>
      <c r="F113" s="8">
        <f>IFERROR(__xludf.DUMMYFUNCTION("""COMPUTED_VALUE"""),78645.0)</f>
        <v>78645</v>
      </c>
      <c r="I113" s="8">
        <f t="shared" si="2"/>
        <v>78645</v>
      </c>
      <c r="J113" s="9">
        <f>IFERROR(__xludf.DUMMYFUNCTION("SPLIT(I113,""-"")"),78645.0)</f>
        <v>78645</v>
      </c>
    </row>
    <row r="114">
      <c r="A114" s="5" t="s">
        <v>123</v>
      </c>
      <c r="B114" s="6">
        <v>2000.0</v>
      </c>
      <c r="C114" s="7" t="s">
        <v>35</v>
      </c>
      <c r="E114" s="8" t="str">
        <f>IFERROR(__xludf.DUMMYFUNCTION("SPLIT(A114,""TX"")"),"Fuentes, Mr. &amp; Mrs. Janice &amp; Francisco
4114 Broadstone
Dallas, ")</f>
        <v>Fuentes, Mr. &amp; Mrs. Janice &amp; Francisco
4114 Broadstone
Dallas, </v>
      </c>
      <c r="F114" s="8">
        <f>IFERROR(__xludf.DUMMYFUNCTION("""COMPUTED_VALUE"""),75211.0)</f>
        <v>75211</v>
      </c>
      <c r="I114" s="8">
        <f t="shared" si="2"/>
        <v>75211</v>
      </c>
      <c r="J114" s="9">
        <f>IFERROR(__xludf.DUMMYFUNCTION("SPLIT(I114,""-"")"),75211.0)</f>
        <v>75211</v>
      </c>
    </row>
    <row r="115">
      <c r="A115" s="10" t="s">
        <v>124</v>
      </c>
      <c r="B115" s="11">
        <v>100.0</v>
      </c>
      <c r="C115" s="12" t="s">
        <v>35</v>
      </c>
      <c r="E115" s="8" t="str">
        <f>IFERROR(__xludf.DUMMYFUNCTION("SPLIT(A115,""TX"")"),"Jolomo, Augustine
607 W Canty
Dallas, ")</f>
        <v>Jolomo, Augustine
607 W Canty
Dallas, </v>
      </c>
      <c r="F115" s="8">
        <f>IFERROR(__xludf.DUMMYFUNCTION("""COMPUTED_VALUE"""),75208.0)</f>
        <v>75208</v>
      </c>
      <c r="I115" s="8">
        <f t="shared" si="2"/>
        <v>75208</v>
      </c>
      <c r="J115" s="9">
        <f>IFERROR(__xludf.DUMMYFUNCTION("SPLIT(I115,""-"")"),75208.0)</f>
        <v>75208</v>
      </c>
    </row>
    <row r="116">
      <c r="A116" s="5" t="s">
        <v>125</v>
      </c>
      <c r="B116" s="6">
        <v>250.0</v>
      </c>
      <c r="C116" s="7" t="s">
        <v>126</v>
      </c>
      <c r="E116" s="8" t="str">
        <f>IFERROR(__xludf.DUMMYFUNCTION("SPLIT(A116,""TX"")"),"Johnson, Daniel
805 Sleepy Hollow Dr
Cedar Hill, ")</f>
        <v>Johnson, Daniel
805 Sleepy Hollow Dr
Cedar Hill, </v>
      </c>
      <c r="F116" s="8">
        <f>IFERROR(__xludf.DUMMYFUNCTION("""COMPUTED_VALUE"""),75104.0)</f>
        <v>75104</v>
      </c>
      <c r="I116" s="8">
        <f t="shared" si="2"/>
        <v>75104</v>
      </c>
      <c r="J116" s="9">
        <f>IFERROR(__xludf.DUMMYFUNCTION("SPLIT(I116,""-"")"),75104.0)</f>
        <v>75104</v>
      </c>
    </row>
    <row r="117">
      <c r="A117" s="5" t="s">
        <v>127</v>
      </c>
      <c r="B117" s="6">
        <v>200.0</v>
      </c>
      <c r="C117" s="7" t="s">
        <v>126</v>
      </c>
      <c r="E117" s="8" t="str">
        <f>IFERROR(__xludf.DUMMYFUNCTION("SPLIT(A117,""TX"")"),"Easter, Avan
5023 Linnet Ln
Dallas, ")</f>
        <v>Easter, Avan
5023 Linnet Ln
Dallas, </v>
      </c>
      <c r="F117" s="8">
        <f>IFERROR(__xludf.DUMMYFUNCTION("""COMPUTED_VALUE"""),75209.0)</f>
        <v>75209</v>
      </c>
      <c r="I117" s="8">
        <f t="shared" si="2"/>
        <v>75209</v>
      </c>
      <c r="J117" s="9">
        <f>IFERROR(__xludf.DUMMYFUNCTION("SPLIT(I117,""-"")"),75209.0)</f>
        <v>75209</v>
      </c>
    </row>
    <row r="118">
      <c r="A118" s="5" t="s">
        <v>128</v>
      </c>
      <c r="B118" s="6">
        <v>100.0</v>
      </c>
      <c r="C118" s="7" t="s">
        <v>126</v>
      </c>
      <c r="E118" s="8" t="str">
        <f>IFERROR(__xludf.DUMMYFUNCTION("SPLIT(A118,""TX"")"),"ennyson, Alfred
335 Wren St
Mineola, ")</f>
        <v>ennyson, Alfred
335 Wren St
Mineola, </v>
      </c>
      <c r="F118" s="8">
        <f>IFERROR(__xludf.DUMMYFUNCTION("""COMPUTED_VALUE"""),75773.0)</f>
        <v>75773</v>
      </c>
      <c r="I118" s="8">
        <f t="shared" si="2"/>
        <v>75773</v>
      </c>
      <c r="J118" s="9">
        <f>IFERROR(__xludf.DUMMYFUNCTION("SPLIT(I118,""-"")"),75773.0)</f>
        <v>75773</v>
      </c>
    </row>
    <row r="119">
      <c r="A119" s="5" t="s">
        <v>129</v>
      </c>
      <c r="B119" s="6">
        <v>1000.0</v>
      </c>
      <c r="C119" s="7" t="s">
        <v>126</v>
      </c>
      <c r="E119" s="8" t="str">
        <f>IFERROR(__xludf.DUMMYFUNCTION("SPLIT(A119,""TX"")"),"Rollins Developmment Group
5720 LBJ Freeway
Dallas, ")</f>
        <v>Rollins Developmment Group
5720 LBJ Freeway
Dallas, </v>
      </c>
      <c r="F119" s="8">
        <f>IFERROR(__xludf.DUMMYFUNCTION("""COMPUTED_VALUE"""),75240.0)</f>
        <v>75240</v>
      </c>
      <c r="I119" s="8">
        <f t="shared" si="2"/>
        <v>75240</v>
      </c>
      <c r="J119" s="9">
        <f>IFERROR(__xludf.DUMMYFUNCTION("SPLIT(I119,""-"")"),75240.0)</f>
        <v>75240</v>
      </c>
    </row>
    <row r="120">
      <c r="A120" s="5" t="s">
        <v>130</v>
      </c>
      <c r="B120" s="6">
        <v>50.0</v>
      </c>
      <c r="C120" s="7" t="s">
        <v>126</v>
      </c>
      <c r="E120" s="8" t="str">
        <f>IFERROR(__xludf.DUMMYFUNCTION("SPLIT(A120,""TX"")"),"Evans, Marsha
5218 Alec Dr
Garland, ")</f>
        <v>Evans, Marsha
5218 Alec Dr
Garland, </v>
      </c>
      <c r="F120" s="8">
        <f>IFERROR(__xludf.DUMMYFUNCTION("""COMPUTED_VALUE"""),75043.0)</f>
        <v>75043</v>
      </c>
      <c r="I120" s="8">
        <f t="shared" si="2"/>
        <v>75043</v>
      </c>
      <c r="J120" s="9">
        <f>IFERROR(__xludf.DUMMYFUNCTION("SPLIT(I120,""-"")"),75043.0)</f>
        <v>75043</v>
      </c>
    </row>
    <row r="121">
      <c r="A121" s="5" t="s">
        <v>131</v>
      </c>
      <c r="B121" s="6">
        <v>500.0</v>
      </c>
      <c r="C121" s="7" t="s">
        <v>126</v>
      </c>
      <c r="E121" s="8" t="str">
        <f>IFERROR(__xludf.DUMMYFUNCTION("SPLIT(A121,""TX"")"),"Ace ")</f>
        <v>Ace </v>
      </c>
      <c r="F121" s="8" t="str">
        <f>IFERROR(__xludf.DUMMYFUNCTION("""COMPUTED_VALUE"""),"hree LLC
6449 University Hills Blvd
Dallas, ")</f>
        <v>hree LLC
6449 University Hills Blvd
Dallas, </v>
      </c>
      <c r="G121" s="8">
        <f>IFERROR(__xludf.DUMMYFUNCTION("""COMPUTED_VALUE"""),75241.0)</f>
        <v>75241</v>
      </c>
      <c r="I121" s="8">
        <f t="shared" si="2"/>
        <v>75241</v>
      </c>
      <c r="J121" s="9">
        <f>IFERROR(__xludf.DUMMYFUNCTION("SPLIT(I121,""-"")"),75241.0)</f>
        <v>75241</v>
      </c>
    </row>
    <row r="122">
      <c r="A122" s="5" t="s">
        <v>132</v>
      </c>
      <c r="B122" s="6">
        <v>350.0</v>
      </c>
      <c r="C122" s="7" t="s">
        <v>35</v>
      </c>
      <c r="E122" s="8" t="str">
        <f>IFERROR(__xludf.DUMMYFUNCTION("SPLIT(A122,""TX"")"),"Marcus, Nancy
300 Crescent Court
Dallas, ")</f>
        <v>Marcus, Nancy
300 Crescent Court
Dallas, </v>
      </c>
      <c r="F122" s="8">
        <f>IFERROR(__xludf.DUMMYFUNCTION("""COMPUTED_VALUE"""),75201.0)</f>
        <v>75201</v>
      </c>
      <c r="I122" s="8">
        <f t="shared" si="2"/>
        <v>75201</v>
      </c>
      <c r="J122" s="9">
        <f>IFERROR(__xludf.DUMMYFUNCTION("SPLIT(I122,""-"")"),75201.0)</f>
        <v>75201</v>
      </c>
    </row>
    <row r="123">
      <c r="A123" s="10" t="s">
        <v>133</v>
      </c>
      <c r="B123" s="11">
        <v>1000.0</v>
      </c>
      <c r="C123" s="12" t="s">
        <v>35</v>
      </c>
      <c r="E123" s="8" t="str">
        <f>IFERROR(__xludf.DUMMYFUNCTION("SPLIT(A123,""TX"")"),"Gonzalez, Jessica
400 S Zang
Dallas, ")</f>
        <v>Gonzalez, Jessica
400 S Zang
Dallas, </v>
      </c>
      <c r="F123" s="8">
        <f>IFERROR(__xludf.DUMMYFUNCTION("""COMPUTED_VALUE"""),75208.0)</f>
        <v>75208</v>
      </c>
      <c r="I123" s="8">
        <f t="shared" si="2"/>
        <v>75208</v>
      </c>
      <c r="J123" s="9">
        <f>IFERROR(__xludf.DUMMYFUNCTION("SPLIT(I123,""-"")"),75208.0)</f>
        <v>75208</v>
      </c>
    </row>
    <row r="124">
      <c r="A124" s="5" t="s">
        <v>104</v>
      </c>
      <c r="B124" s="6">
        <v>1000.0</v>
      </c>
      <c r="C124" s="7" t="s">
        <v>8</v>
      </c>
      <c r="E124" s="8" t="str">
        <f>IFERROR(__xludf.DUMMYFUNCTION("SPLIT(A124,""TX"")"),"Rubin, Candace
25 Highland Park Village
Dallas, ")</f>
        <v>Rubin, Candace
25 Highland Park Village
Dallas, </v>
      </c>
      <c r="F124" s="8">
        <f>IFERROR(__xludf.DUMMYFUNCTION("""COMPUTED_VALUE"""),75205.0)</f>
        <v>75205</v>
      </c>
      <c r="I124" s="8">
        <f t="shared" si="2"/>
        <v>75205</v>
      </c>
      <c r="J124" s="9">
        <f>IFERROR(__xludf.DUMMYFUNCTION("SPLIT(I124,""-"")"),75205.0)</f>
        <v>75205</v>
      </c>
    </row>
    <row r="125">
      <c r="A125" s="5" t="s">
        <v>134</v>
      </c>
      <c r="B125" s="6">
        <v>25.0</v>
      </c>
      <c r="C125" s="7" t="s">
        <v>35</v>
      </c>
      <c r="E125" s="8" t="str">
        <f>IFERROR(__xludf.DUMMYFUNCTION("SPLIT(A125,""TX"")"),"Alexander, A.
932 Lausanne
Dallas, ")</f>
        <v>Alexander, A.
932 Lausanne
Dallas, </v>
      </c>
      <c r="F125" s="8">
        <f>IFERROR(__xludf.DUMMYFUNCTION("""COMPUTED_VALUE"""),75208.0)</f>
        <v>75208</v>
      </c>
      <c r="I125" s="8">
        <f t="shared" si="2"/>
        <v>75208</v>
      </c>
      <c r="J125" s="9">
        <f>IFERROR(__xludf.DUMMYFUNCTION("SPLIT(I125,""-"")"),75208.0)</f>
        <v>75208</v>
      </c>
    </row>
    <row r="126">
      <c r="A126" s="10" t="s">
        <v>135</v>
      </c>
      <c r="B126" s="11">
        <v>100.0</v>
      </c>
      <c r="C126" s="12" t="s">
        <v>35</v>
      </c>
      <c r="E126" s="8" t="str">
        <f>IFERROR(__xludf.DUMMYFUNCTION("SPLIT(A126,""TX"")"),"Loring, M.S.
9917 Lenel
Dallas, ")</f>
        <v>Loring, M.S.
9917 Lenel
Dallas, </v>
      </c>
      <c r="F126" s="8">
        <f>IFERROR(__xludf.DUMMYFUNCTION("""COMPUTED_VALUE"""),75220.0)</f>
        <v>75220</v>
      </c>
      <c r="I126" s="8">
        <f t="shared" si="2"/>
        <v>75220</v>
      </c>
      <c r="J126" s="9">
        <f>IFERROR(__xludf.DUMMYFUNCTION("SPLIT(I126,""-"")"),75220.0)</f>
        <v>75220</v>
      </c>
    </row>
    <row r="127">
      <c r="A127" s="5" t="s">
        <v>136</v>
      </c>
      <c r="B127" s="6">
        <v>1000.0</v>
      </c>
      <c r="C127" s="7" t="s">
        <v>8</v>
      </c>
      <c r="E127" s="8" t="str">
        <f>IFERROR(__xludf.DUMMYFUNCTION("SPLIT(A127,""TX"")"),"Weatherall, Cynthia
7318 Yamini
Dallas, ")</f>
        <v>Weatherall, Cynthia
7318 Yamini
Dallas, </v>
      </c>
      <c r="F127" s="8">
        <f>IFERROR(__xludf.DUMMYFUNCTION("""COMPUTED_VALUE"""),75230.0)</f>
        <v>75230</v>
      </c>
      <c r="I127" s="8">
        <f t="shared" si="2"/>
        <v>75230</v>
      </c>
      <c r="J127" s="9">
        <f>IFERROR(__xludf.DUMMYFUNCTION("SPLIT(I127,""-"")"),75230.0)</f>
        <v>75230</v>
      </c>
    </row>
    <row r="128">
      <c r="A128" s="5" t="s">
        <v>137</v>
      </c>
      <c r="B128" s="6">
        <v>500.0</v>
      </c>
      <c r="C128" s="7" t="s">
        <v>35</v>
      </c>
      <c r="E128" s="8" t="str">
        <f>IFERROR(__xludf.DUMMYFUNCTION("SPLIT(A128,""TX"")"),"Orozco, Michael
5707 Vanderbilt
Dallas, ")</f>
        <v>Orozco, Michael
5707 Vanderbilt
Dallas, </v>
      </c>
      <c r="F128" s="8">
        <f>IFERROR(__xludf.DUMMYFUNCTION("""COMPUTED_VALUE"""),75206.0)</f>
        <v>75206</v>
      </c>
      <c r="I128" s="8">
        <f t="shared" si="2"/>
        <v>75206</v>
      </c>
      <c r="J128" s="9">
        <f>IFERROR(__xludf.DUMMYFUNCTION("SPLIT(I128,""-"")"),75206.0)</f>
        <v>75206</v>
      </c>
    </row>
    <row r="129">
      <c r="A129" s="10" t="s">
        <v>138</v>
      </c>
      <c r="B129" s="11">
        <v>500.0</v>
      </c>
      <c r="C129" s="12" t="s">
        <v>35</v>
      </c>
      <c r="E129" s="8" t="str">
        <f>IFERROR(__xludf.DUMMYFUNCTION("SPLIT(A129,""TX"")"),"Halperin, James
5823 Saint Andrews
Dallas, ")</f>
        <v>Halperin, James
5823 Saint Andrews
Dallas, </v>
      </c>
      <c r="F129" s="8">
        <f>IFERROR(__xludf.DUMMYFUNCTION("""COMPUTED_VALUE"""),75208.0)</f>
        <v>75208</v>
      </c>
      <c r="I129" s="8">
        <f t="shared" si="2"/>
        <v>75208</v>
      </c>
      <c r="J129" s="9">
        <f>IFERROR(__xludf.DUMMYFUNCTION("SPLIT(I129,""-"")"),75208.0)</f>
        <v>75208</v>
      </c>
    </row>
    <row r="130">
      <c r="A130" s="5" t="s">
        <v>139</v>
      </c>
      <c r="B130" s="6">
        <v>1000.0</v>
      </c>
      <c r="C130" s="7" t="s">
        <v>8</v>
      </c>
      <c r="E130" s="8" t="str">
        <f>IFERROR(__xludf.DUMMYFUNCTION("SPLIT(A130,""TX"")"),"Deason, Doug
10134 Waller
Dallas, ")</f>
        <v>Deason, Doug
10134 Waller
Dallas, </v>
      </c>
      <c r="F130" s="8">
        <f>IFERROR(__xludf.DUMMYFUNCTION("""COMPUTED_VALUE"""),75229.0)</f>
        <v>75229</v>
      </c>
      <c r="I130" s="8">
        <f t="shared" si="2"/>
        <v>75229</v>
      </c>
      <c r="J130" s="9">
        <f>IFERROR(__xludf.DUMMYFUNCTION("SPLIT(I130,""-"")"),75229.0)</f>
        <v>75229</v>
      </c>
    </row>
    <row r="131">
      <c r="A131" s="5" t="s">
        <v>140</v>
      </c>
      <c r="B131" s="6">
        <v>1000.0</v>
      </c>
      <c r="C131" s="7" t="s">
        <v>8</v>
      </c>
      <c r="E131" s="8" t="str">
        <f>IFERROR(__xludf.DUMMYFUNCTION("SPLIT(A131,""TX"")"),"Deason, Jackie
10134 Waller
Dallas, ")</f>
        <v>Deason, Jackie
10134 Waller
Dallas, </v>
      </c>
      <c r="F131" s="8">
        <f>IFERROR(__xludf.DUMMYFUNCTION("""COMPUTED_VALUE"""),75229.0)</f>
        <v>75229</v>
      </c>
      <c r="I131" s="8">
        <f t="shared" si="2"/>
        <v>75229</v>
      </c>
      <c r="J131" s="9">
        <f>IFERROR(__xludf.DUMMYFUNCTION("SPLIT(I131,""-"")"),75229.0)</f>
        <v>75229</v>
      </c>
    </row>
    <row r="132">
      <c r="A132" s="5" t="s">
        <v>141</v>
      </c>
      <c r="B132" s="6">
        <v>1.0</v>
      </c>
      <c r="C132" s="7" t="s">
        <v>142</v>
      </c>
      <c r="E132" s="8" t="str">
        <f>IFERROR(__xludf.DUMMYFUNCTION("SPLIT(A132,""TX"")"),"Madison, Kendra
8650 Southwestern Blvd
Dallas, ")</f>
        <v>Madison, Kendra
8650 Southwestern Blvd
Dallas, </v>
      </c>
      <c r="F132" s="8">
        <f>IFERROR(__xludf.DUMMYFUNCTION("""COMPUTED_VALUE"""),75206.0)</f>
        <v>75206</v>
      </c>
      <c r="I132" s="8">
        <f t="shared" si="2"/>
        <v>75206</v>
      </c>
      <c r="J132" s="9">
        <f>IFERROR(__xludf.DUMMYFUNCTION("SPLIT(I132,""-"")"),75206.0)</f>
        <v>75206</v>
      </c>
    </row>
    <row r="133">
      <c r="A133" s="10" t="s">
        <v>143</v>
      </c>
      <c r="B133" s="11">
        <v>100.0</v>
      </c>
      <c r="C133" s="12" t="s">
        <v>142</v>
      </c>
      <c r="E133" s="8" t="str">
        <f>IFERROR(__xludf.DUMMYFUNCTION("SPLIT(A133,""TX"")"),"Berggren, Jerry
1128 Easton Rd
Dallas, ")</f>
        <v>Berggren, Jerry
1128 Easton Rd
Dallas, </v>
      </c>
      <c r="F133" s="8">
        <f>IFERROR(__xludf.DUMMYFUNCTION("""COMPUTED_VALUE"""),75218.0)</f>
        <v>75218</v>
      </c>
      <c r="I133" s="8">
        <f t="shared" si="2"/>
        <v>75218</v>
      </c>
      <c r="J133" s="9">
        <f>IFERROR(__xludf.DUMMYFUNCTION("SPLIT(I133,""-"")"),75218.0)</f>
        <v>75218</v>
      </c>
    </row>
    <row r="134">
      <c r="A134" s="5" t="s">
        <v>144</v>
      </c>
      <c r="B134" s="6">
        <v>100.0</v>
      </c>
      <c r="C134" s="7" t="s">
        <v>142</v>
      </c>
      <c r="E134" s="8" t="str">
        <f>IFERROR(__xludf.DUMMYFUNCTION("SPLIT(A134,""TX"")"),"Klement, Christopher
7030 Wakefield St
Dallas, ")</f>
        <v>Klement, Christopher
7030 Wakefield St
Dallas, </v>
      </c>
      <c r="F134" s="8">
        <f>IFERROR(__xludf.DUMMYFUNCTION("""COMPUTED_VALUE"""),75231.0)</f>
        <v>75231</v>
      </c>
      <c r="I134" s="8">
        <f t="shared" si="2"/>
        <v>75231</v>
      </c>
      <c r="J134" s="9">
        <f>IFERROR(__xludf.DUMMYFUNCTION("SPLIT(I134,""-"")"),75231.0)</f>
        <v>75231</v>
      </c>
    </row>
    <row r="135">
      <c r="A135" s="10" t="s">
        <v>145</v>
      </c>
      <c r="B135" s="11">
        <v>250.0</v>
      </c>
      <c r="C135" s="12" t="s">
        <v>142</v>
      </c>
      <c r="E135" s="8" t="str">
        <f>IFERROR(__xludf.DUMMYFUNCTION("SPLIT(A135,""TX"")"),"Jourdan, Emily
4653 S Versailles Avenue
Dallas, ")</f>
        <v>Jourdan, Emily
4653 S Versailles Avenue
Dallas, </v>
      </c>
      <c r="F135" s="8">
        <f>IFERROR(__xludf.DUMMYFUNCTION("""COMPUTED_VALUE"""),75209.0)</f>
        <v>75209</v>
      </c>
      <c r="I135" s="8">
        <f t="shared" si="2"/>
        <v>75209</v>
      </c>
      <c r="J135" s="9">
        <f>IFERROR(__xludf.DUMMYFUNCTION("SPLIT(I135,""-"")"),75209.0)</f>
        <v>75209</v>
      </c>
    </row>
    <row r="136">
      <c r="A136" s="5" t="s">
        <v>146</v>
      </c>
      <c r="B136" s="6">
        <v>100.0</v>
      </c>
      <c r="C136" s="7" t="s">
        <v>142</v>
      </c>
      <c r="E136" s="8" t="str">
        <f>IFERROR(__xludf.DUMMYFUNCTION("SPLIT(A136,""TX"")"),"Zvara, Julie
5423 Emerson
Dallas, ")</f>
        <v>Zvara, Julie
5423 Emerson
Dallas, </v>
      </c>
      <c r="F136" s="8">
        <f>IFERROR(__xludf.DUMMYFUNCTION("""COMPUTED_VALUE"""),75209.0)</f>
        <v>75209</v>
      </c>
      <c r="I136" s="8">
        <f t="shared" si="2"/>
        <v>75209</v>
      </c>
      <c r="J136" s="9">
        <f>IFERROR(__xludf.DUMMYFUNCTION("SPLIT(I136,""-"")"),75209.0)</f>
        <v>75209</v>
      </c>
    </row>
    <row r="137">
      <c r="A137" s="10" t="s">
        <v>147</v>
      </c>
      <c r="B137" s="11">
        <v>250.0</v>
      </c>
      <c r="C137" s="12" t="s">
        <v>142</v>
      </c>
      <c r="E137" s="8" t="str">
        <f>IFERROR(__xludf.DUMMYFUNCTION("SPLIT(A137,""TX"")"),"Arnett, Deborah
9702 El Patio
Dallas, ")</f>
        <v>Arnett, Deborah
9702 El Patio
Dallas, </v>
      </c>
      <c r="F137" s="8">
        <f>IFERROR(__xludf.DUMMYFUNCTION("""COMPUTED_VALUE"""),75218.0)</f>
        <v>75218</v>
      </c>
      <c r="I137" s="8">
        <f t="shared" si="2"/>
        <v>75218</v>
      </c>
      <c r="J137" s="9">
        <f>IFERROR(__xludf.DUMMYFUNCTION("SPLIT(I137,""-"")"),75218.0)</f>
        <v>75218</v>
      </c>
    </row>
    <row r="138">
      <c r="A138" s="5" t="s">
        <v>148</v>
      </c>
      <c r="B138" s="6">
        <v>100.0</v>
      </c>
      <c r="C138" s="7" t="s">
        <v>142</v>
      </c>
      <c r="E138" s="8" t="str">
        <f>IFERROR(__xludf.DUMMYFUNCTION("SPLIT(A138,""TX"")"),"Masters, Philip
10905 Ridgemeadow Dr
Dallas, ")</f>
        <v>Masters, Philip
10905 Ridgemeadow Dr
Dallas, </v>
      </c>
      <c r="F138" s="8">
        <f>IFERROR(__xludf.DUMMYFUNCTION("""COMPUTED_VALUE"""),75218.0)</f>
        <v>75218</v>
      </c>
      <c r="I138" s="8">
        <f t="shared" si="2"/>
        <v>75218</v>
      </c>
      <c r="J138" s="9">
        <f>IFERROR(__xludf.DUMMYFUNCTION("SPLIT(I138,""-"")"),75218.0)</f>
        <v>75218</v>
      </c>
    </row>
    <row r="139">
      <c r="A139" s="10" t="s">
        <v>149</v>
      </c>
      <c r="B139" s="11">
        <v>100.0</v>
      </c>
      <c r="C139" s="12" t="s">
        <v>142</v>
      </c>
      <c r="E139" s="8" t="str">
        <f>IFERROR(__xludf.DUMMYFUNCTION("SPLIT(A139,""TX"")"),"Masters, Kay
10905 Ridgemeadow Dr
Dallas, ")</f>
        <v>Masters, Kay
10905 Ridgemeadow Dr
Dallas, </v>
      </c>
      <c r="F139" s="8">
        <f>IFERROR(__xludf.DUMMYFUNCTION("""COMPUTED_VALUE"""),75218.0)</f>
        <v>75218</v>
      </c>
      <c r="I139" s="8">
        <f t="shared" si="2"/>
        <v>75218</v>
      </c>
      <c r="J139" s="9">
        <f>IFERROR(__xludf.DUMMYFUNCTION("SPLIT(I139,""-"")"),75218.0)</f>
        <v>75218</v>
      </c>
    </row>
    <row r="140">
      <c r="A140" s="5" t="s">
        <v>150</v>
      </c>
      <c r="B140" s="6">
        <v>60.0</v>
      </c>
      <c r="C140" s="7" t="s">
        <v>142</v>
      </c>
      <c r="E140" s="8" t="str">
        <f>IFERROR(__xludf.DUMMYFUNCTION("SPLIT(A140,""TX"")"),"Bryson, Neal
918 Sylvania Dr
Dallas, ")</f>
        <v>Bryson, Neal
918 Sylvania Dr
Dallas, </v>
      </c>
      <c r="F140" s="8">
        <f>IFERROR(__xludf.DUMMYFUNCTION("""COMPUTED_VALUE"""),75218.0)</f>
        <v>75218</v>
      </c>
      <c r="I140" s="8">
        <f t="shared" si="2"/>
        <v>75218</v>
      </c>
      <c r="J140" s="9">
        <f>IFERROR(__xludf.DUMMYFUNCTION("SPLIT(I140,""-"")"),75218.0)</f>
        <v>75218</v>
      </c>
    </row>
    <row r="141">
      <c r="A141" s="10" t="s">
        <v>151</v>
      </c>
      <c r="B141" s="11">
        <v>100.0</v>
      </c>
      <c r="C141" s="12" t="s">
        <v>142</v>
      </c>
      <c r="E141" s="8" t="str">
        <f>IFERROR(__xludf.DUMMYFUNCTION("SPLIT(A141,""TX"")"),"Leonard, Diana
10509 Swallow Ln
Dallas, ")</f>
        <v>Leonard, Diana
10509 Swallow Ln
Dallas, </v>
      </c>
      <c r="F141" s="8">
        <f>IFERROR(__xludf.DUMMYFUNCTION("""COMPUTED_VALUE"""),75218.0)</f>
        <v>75218</v>
      </c>
      <c r="I141" s="8">
        <f t="shared" si="2"/>
        <v>75218</v>
      </c>
      <c r="J141" s="9">
        <f>IFERROR(__xludf.DUMMYFUNCTION("SPLIT(I141,""-"")"),75218.0)</f>
        <v>75218</v>
      </c>
    </row>
    <row r="142">
      <c r="A142" s="5" t="s">
        <v>152</v>
      </c>
      <c r="B142" s="6">
        <v>40.0</v>
      </c>
      <c r="C142" s="7" t="s">
        <v>142</v>
      </c>
      <c r="E142" s="8" t="str">
        <f>IFERROR(__xludf.DUMMYFUNCTION("SPLIT(A142,""TX"")"),"Potter, Gregg
10926 Ridgemeadow Dr
Dallas, ")</f>
        <v>Potter, Gregg
10926 Ridgemeadow Dr
Dallas, </v>
      </c>
      <c r="F142" s="8">
        <f>IFERROR(__xludf.DUMMYFUNCTION("""COMPUTED_VALUE"""),75218.0)</f>
        <v>75218</v>
      </c>
      <c r="I142" s="8">
        <f t="shared" si="2"/>
        <v>75218</v>
      </c>
      <c r="J142" s="9">
        <f>IFERROR(__xludf.DUMMYFUNCTION("SPLIT(I142,""-"")"),75218.0)</f>
        <v>75218</v>
      </c>
    </row>
    <row r="143">
      <c r="A143" s="10" t="s">
        <v>153</v>
      </c>
      <c r="B143" s="11">
        <v>1000.0</v>
      </c>
      <c r="C143" s="12" t="s">
        <v>8</v>
      </c>
      <c r="E143" s="8" t="str">
        <f>IFERROR(__xludf.DUMMYFUNCTION("SPLIT(A143,""TX"")"),"Deason, Darwin
3953 Maple Ave
Dallas, ")</f>
        <v>Deason, Darwin
3953 Maple Ave
Dallas, </v>
      </c>
      <c r="F143" s="8">
        <f>IFERROR(__xludf.DUMMYFUNCTION("""COMPUTED_VALUE"""),75219.0)</f>
        <v>75219</v>
      </c>
      <c r="I143" s="8">
        <f t="shared" si="2"/>
        <v>75219</v>
      </c>
      <c r="J143" s="9">
        <f>IFERROR(__xludf.DUMMYFUNCTION("SPLIT(I143,""-"")"),75219.0)</f>
        <v>75219</v>
      </c>
    </row>
    <row r="144">
      <c r="A144" s="10" t="s">
        <v>154</v>
      </c>
      <c r="B144" s="11">
        <v>1000.0</v>
      </c>
      <c r="C144" s="12" t="s">
        <v>8</v>
      </c>
      <c r="E144" s="8" t="str">
        <f>IFERROR(__xludf.DUMMYFUNCTION("SPLIT(A144,""TX"")"),"Deason, Kimberly
3953 Maple Ave
Dallas, ")</f>
        <v>Deason, Kimberly
3953 Maple Ave
Dallas, </v>
      </c>
      <c r="F144" s="8">
        <f>IFERROR(__xludf.DUMMYFUNCTION("""COMPUTED_VALUE"""),75219.0)</f>
        <v>75219</v>
      </c>
      <c r="I144" s="8">
        <f t="shared" si="2"/>
        <v>75219</v>
      </c>
      <c r="J144" s="9">
        <f>IFERROR(__xludf.DUMMYFUNCTION("SPLIT(I144,""-"")"),75219.0)</f>
        <v>75219</v>
      </c>
    </row>
    <row r="145">
      <c r="A145" s="10" t="s">
        <v>155</v>
      </c>
      <c r="B145" s="11">
        <v>100.0</v>
      </c>
      <c r="C145" s="12" t="s">
        <v>8</v>
      </c>
      <c r="E145" s="8" t="str">
        <f>IFERROR(__xludf.DUMMYFUNCTION("SPLIT(A145,""TX"")"),"Sherman, Susan
6219 Churchill
Dallas, ")</f>
        <v>Sherman, Susan
6219 Churchill
Dallas, </v>
      </c>
      <c r="F145" s="8">
        <f>IFERROR(__xludf.DUMMYFUNCTION("""COMPUTED_VALUE"""),75230.0)</f>
        <v>75230</v>
      </c>
      <c r="I145" s="8">
        <f t="shared" si="2"/>
        <v>75230</v>
      </c>
      <c r="J145" s="9">
        <f>IFERROR(__xludf.DUMMYFUNCTION("SPLIT(I145,""-"")"),75230.0)</f>
        <v>75230</v>
      </c>
    </row>
    <row r="146">
      <c r="A146" s="10" t="s">
        <v>156</v>
      </c>
      <c r="B146" s="11">
        <v>1000.0</v>
      </c>
      <c r="C146" s="12" t="s">
        <v>8</v>
      </c>
      <c r="E146" s="8" t="str">
        <f>IFERROR(__xludf.DUMMYFUNCTION("SPLIT(A146,""TX"")"),"Griffith, Kenneth
6228 Northaven
Dallas, ")</f>
        <v>Griffith, Kenneth
6228 Northaven
Dallas, </v>
      </c>
      <c r="F146" s="8">
        <f>IFERROR(__xludf.DUMMYFUNCTION("""COMPUTED_VALUE"""),75230.0)</f>
        <v>75230</v>
      </c>
      <c r="I146" s="8">
        <f t="shared" si="2"/>
        <v>75230</v>
      </c>
      <c r="J146" s="9">
        <f>IFERROR(__xludf.DUMMYFUNCTION("SPLIT(I146,""-"")"),75230.0)</f>
        <v>75230</v>
      </c>
    </row>
    <row r="147">
      <c r="A147" s="10" t="s">
        <v>157</v>
      </c>
      <c r="B147" s="11">
        <v>1000.0</v>
      </c>
      <c r="C147" s="12" t="s">
        <v>8</v>
      </c>
      <c r="E147" s="8" t="str">
        <f>IFERROR(__xludf.DUMMYFUNCTION("SPLIT(A147,""TX"")"),"hackston, Jessica
11400 East Ricks Circle
Dallas, ")</f>
        <v>hackston, Jessica
11400 East Ricks Circle
Dallas, </v>
      </c>
      <c r="F147" s="8">
        <f>IFERROR(__xludf.DUMMYFUNCTION("""COMPUTED_VALUE"""),75230.0)</f>
        <v>75230</v>
      </c>
      <c r="I147" s="8">
        <f t="shared" si="2"/>
        <v>75230</v>
      </c>
      <c r="J147" s="9">
        <f>IFERROR(__xludf.DUMMYFUNCTION("SPLIT(I147,""-"")"),75230.0)</f>
        <v>75230</v>
      </c>
    </row>
    <row r="148">
      <c r="A148" s="10" t="s">
        <v>158</v>
      </c>
      <c r="B148" s="11">
        <v>200.0</v>
      </c>
      <c r="C148" s="12" t="s">
        <v>8</v>
      </c>
      <c r="E148" s="8" t="str">
        <f>IFERROR(__xludf.DUMMYFUNCTION("SPLIT(A148,""TX"")"),"Fallon, Barbara
12271 Coit Road
Dallas, ")</f>
        <v>Fallon, Barbara
12271 Coit Road
Dallas, </v>
      </c>
      <c r="F148" s="8">
        <f>IFERROR(__xludf.DUMMYFUNCTION("""COMPUTED_VALUE"""),75251.0)</f>
        <v>75251</v>
      </c>
      <c r="I148" s="8">
        <f t="shared" si="2"/>
        <v>75251</v>
      </c>
      <c r="J148" s="9">
        <f>IFERROR(__xludf.DUMMYFUNCTION("SPLIT(I148,""-"")"),75251.0)</f>
        <v>75251</v>
      </c>
    </row>
    <row r="149">
      <c r="A149" s="10" t="s">
        <v>159</v>
      </c>
      <c r="B149" s="11">
        <v>500.0</v>
      </c>
      <c r="C149" s="12" t="s">
        <v>35</v>
      </c>
      <c r="E149" s="8" t="str">
        <f>IFERROR(__xludf.DUMMYFUNCTION("SPLIT(A149,""TX"")"),"Pena, Lucilo
1717 Arts Plaza
Dallas, ")</f>
        <v>Pena, Lucilo
1717 Arts Plaza
Dallas, </v>
      </c>
      <c r="F149" s="8">
        <f>IFERROR(__xludf.DUMMYFUNCTION("""COMPUTED_VALUE"""),75201.0)</f>
        <v>75201</v>
      </c>
      <c r="I149" s="8">
        <f t="shared" si="2"/>
        <v>75201</v>
      </c>
      <c r="J149" s="9">
        <f>IFERROR(__xludf.DUMMYFUNCTION("SPLIT(I149,""-"")"),75201.0)</f>
        <v>75201</v>
      </c>
    </row>
    <row r="150">
      <c r="A150" s="5" t="s">
        <v>160</v>
      </c>
      <c r="B150" s="6">
        <v>500.0</v>
      </c>
      <c r="C150" s="7" t="s">
        <v>35</v>
      </c>
      <c r="E150" s="8" t="str">
        <f>IFERROR(__xludf.DUMMYFUNCTION("SPLIT(A150,""TX"")"),"Rose, Evelyn
5 Willow wood
Dallas, ")</f>
        <v>Rose, Evelyn
5 Willow wood
Dallas, </v>
      </c>
      <c r="F150" s="8">
        <f>IFERROR(__xludf.DUMMYFUNCTION("""COMPUTED_VALUE"""),75205.0)</f>
        <v>75205</v>
      </c>
      <c r="I150" s="8">
        <f t="shared" si="2"/>
        <v>75205</v>
      </c>
      <c r="J150" s="9">
        <f>IFERROR(__xludf.DUMMYFUNCTION("SPLIT(I150,""-"")"),75205.0)</f>
        <v>75205</v>
      </c>
    </row>
    <row r="151">
      <c r="A151" s="10" t="s">
        <v>161</v>
      </c>
      <c r="B151" s="11">
        <v>500.0</v>
      </c>
      <c r="C151" s="12" t="s">
        <v>35</v>
      </c>
      <c r="E151" s="8" t="str">
        <f>IFERROR(__xludf.DUMMYFUNCTION("SPLIT(A151,""TX"")"),"Stimson, Bob
2116 Kessler Court
Dallas, ")</f>
        <v>Stimson, Bob
2116 Kessler Court
Dallas, </v>
      </c>
      <c r="F151" s="8">
        <f>IFERROR(__xludf.DUMMYFUNCTION("""COMPUTED_VALUE"""),75208.0)</f>
        <v>75208</v>
      </c>
      <c r="I151" s="8">
        <f t="shared" si="2"/>
        <v>75208</v>
      </c>
      <c r="J151" s="9">
        <f>IFERROR(__xludf.DUMMYFUNCTION("SPLIT(I151,""-"")"),75208.0)</f>
        <v>75208</v>
      </c>
    </row>
    <row r="152">
      <c r="A152" s="5" t="s">
        <v>162</v>
      </c>
      <c r="B152" s="6">
        <v>200.0</v>
      </c>
      <c r="C152" s="7" t="s">
        <v>35</v>
      </c>
      <c r="E152" s="8" t="str">
        <f>IFERROR(__xludf.DUMMYFUNCTION("SPLIT(A152,""TX"")"),"alley, Olive
6133 Prospect
Dallas, ")</f>
        <v>alley, Olive
6133 Prospect
Dallas, </v>
      </c>
      <c r="F152" s="8">
        <f>IFERROR(__xludf.DUMMYFUNCTION("""COMPUTED_VALUE"""),75214.0)</f>
        <v>75214</v>
      </c>
      <c r="I152" s="8">
        <f t="shared" si="2"/>
        <v>75214</v>
      </c>
      <c r="J152" s="9">
        <f>IFERROR(__xludf.DUMMYFUNCTION("SPLIT(I152,""-"")"),75214.0)</f>
        <v>75214</v>
      </c>
    </row>
    <row r="153">
      <c r="A153" s="10" t="s">
        <v>163</v>
      </c>
      <c r="B153" s="11">
        <v>1000.0</v>
      </c>
      <c r="C153" s="12" t="s">
        <v>35</v>
      </c>
      <c r="E153" s="8" t="str">
        <f>IFERROR(__xludf.DUMMYFUNCTION("SPLIT(A153,""TX"")"),"Hoffman, Marguerite
9963 Rockbrook
Dallas, ")</f>
        <v>Hoffman, Marguerite
9963 Rockbrook
Dallas, </v>
      </c>
      <c r="F153" s="8">
        <f>IFERROR(__xludf.DUMMYFUNCTION("""COMPUTED_VALUE"""),75220.0)</f>
        <v>75220</v>
      </c>
      <c r="I153" s="8">
        <f t="shared" si="2"/>
        <v>75220</v>
      </c>
      <c r="J153" s="9">
        <f>IFERROR(__xludf.DUMMYFUNCTION("SPLIT(I153,""-"")"),75220.0)</f>
        <v>75220</v>
      </c>
    </row>
    <row r="154">
      <c r="A154" s="5" t="s">
        <v>164</v>
      </c>
      <c r="B154" s="6">
        <v>250.0</v>
      </c>
      <c r="C154" s="7" t="s">
        <v>35</v>
      </c>
      <c r="E154" s="8" t="str">
        <f>IFERROR(__xludf.DUMMYFUNCTION("SPLIT(A154,""TX"")"),"Estell, Greg
411 Bondstone
Dallas, ")</f>
        <v>Estell, Greg
411 Bondstone
Dallas, </v>
      </c>
      <c r="F154" s="8">
        <f>IFERROR(__xludf.DUMMYFUNCTION("""COMPUTED_VALUE"""),75218.0)</f>
        <v>75218</v>
      </c>
      <c r="I154" s="8">
        <f t="shared" si="2"/>
        <v>75218</v>
      </c>
      <c r="J154" s="9">
        <f>IFERROR(__xludf.DUMMYFUNCTION("SPLIT(I154,""-"")"),75218.0)</f>
        <v>75218</v>
      </c>
    </row>
    <row r="155">
      <c r="A155" s="10" t="s">
        <v>165</v>
      </c>
      <c r="B155" s="11">
        <v>500.0</v>
      </c>
      <c r="C155" s="12" t="s">
        <v>35</v>
      </c>
      <c r="E155" s="8" t="str">
        <f>IFERROR(__xludf.DUMMYFUNCTION("SPLIT(A155,""TX"")"),"West, Royce
1212 Regents Park Ct
Desoto, ")</f>
        <v>West, Royce
1212 Regents Park Ct
Desoto, </v>
      </c>
      <c r="F155" s="8">
        <f>IFERROR(__xludf.DUMMYFUNCTION("""COMPUTED_VALUE"""),75115.0)</f>
        <v>75115</v>
      </c>
      <c r="I155" s="8">
        <f t="shared" si="2"/>
        <v>75115</v>
      </c>
      <c r="J155" s="9">
        <f>IFERROR(__xludf.DUMMYFUNCTION("SPLIT(I155,""-"")"),75115.0)</f>
        <v>75115</v>
      </c>
    </row>
    <row r="156">
      <c r="A156" s="5" t="s">
        <v>166</v>
      </c>
      <c r="B156" s="6">
        <v>500.0</v>
      </c>
      <c r="C156" s="7" t="s">
        <v>35</v>
      </c>
      <c r="E156" s="8" t="str">
        <f>IFERROR(__xludf.DUMMYFUNCTION("SPLIT(A156,""TX"")"),"Lopez, Bridget
4326 Meadowdale Lane
Dallas, ")</f>
        <v>Lopez, Bridget
4326 Meadowdale Lane
Dallas, </v>
      </c>
      <c r="F156" s="8">
        <f>IFERROR(__xludf.DUMMYFUNCTION("""COMPUTED_VALUE"""),75229.0)</f>
        <v>75229</v>
      </c>
      <c r="I156" s="8">
        <f t="shared" si="2"/>
        <v>75229</v>
      </c>
      <c r="J156" s="9">
        <f>IFERROR(__xludf.DUMMYFUNCTION("SPLIT(I156,""-"")"),75229.0)</f>
        <v>75229</v>
      </c>
    </row>
    <row r="157">
      <c r="A157" s="10" t="s">
        <v>167</v>
      </c>
      <c r="B157" s="11">
        <v>1000.0</v>
      </c>
      <c r="C157" s="12" t="s">
        <v>35</v>
      </c>
      <c r="E157" s="8" t="str">
        <f>IFERROR(__xludf.DUMMYFUNCTION("SPLIT(A157,""TX"")"),"De Aztlan, Lali
7817 Kentwood Ave
Los Angeles, CA 90045")</f>
        <v>De Aztlan, Lali
7817 Kentwood Ave
Los Angeles, CA 90045</v>
      </c>
      <c r="I157" s="8" t="str">
        <f t="shared" si="2"/>
        <v/>
      </c>
      <c r="J157" s="9"/>
    </row>
    <row r="158">
      <c r="A158" s="5" t="s">
        <v>168</v>
      </c>
      <c r="B158" s="6">
        <v>1000.0</v>
      </c>
      <c r="C158" s="7" t="s">
        <v>35</v>
      </c>
      <c r="E158" s="8" t="str">
        <f>IFERROR(__xludf.DUMMYFUNCTION("SPLIT(A158,""TX"")"),"Carey, Jeff
300 E ROUND GROVE RD AP")</f>
        <v>Carey, Jeff
300 E ROUND GROVE RD AP</v>
      </c>
      <c r="F158" s="8" t="str">
        <f>IFERROR(__xludf.DUMMYFUNCTION("""COMPUTED_VALUE""")," 621
LEWISVILLE, ")</f>
        <v> 621
LEWISVILLE, </v>
      </c>
      <c r="G158" s="8">
        <f>IFERROR(__xludf.DUMMYFUNCTION("""COMPUTED_VALUE"""),75067.0)</f>
        <v>75067</v>
      </c>
      <c r="I158" s="8">
        <f t="shared" si="2"/>
        <v>75067</v>
      </c>
      <c r="J158" s="9">
        <f>IFERROR(__xludf.DUMMYFUNCTION("SPLIT(I158,""-"")"),75067.0)</f>
        <v>75067</v>
      </c>
    </row>
    <row r="159">
      <c r="A159" s="10" t="s">
        <v>169</v>
      </c>
      <c r="B159" s="11">
        <v>1000.0</v>
      </c>
      <c r="C159" s="12" t="s">
        <v>35</v>
      </c>
      <c r="E159" s="8" t="str">
        <f>IFERROR(__xludf.DUMMYFUNCTION("SPLIT(A159,""TX"")"),"Lopez, Edward
4719 Byron Circle
Irving, ")</f>
        <v>Lopez, Edward
4719 Byron Circle
Irving, </v>
      </c>
      <c r="F159" s="8">
        <f>IFERROR(__xludf.DUMMYFUNCTION("""COMPUTED_VALUE"""),75038.0)</f>
        <v>75038</v>
      </c>
      <c r="I159" s="8">
        <f t="shared" si="2"/>
        <v>75038</v>
      </c>
      <c r="J159" s="9">
        <f>IFERROR(__xludf.DUMMYFUNCTION("SPLIT(I159,""-"")"),75038.0)</f>
        <v>75038</v>
      </c>
    </row>
    <row r="160">
      <c r="A160" s="5" t="s">
        <v>170</v>
      </c>
      <c r="B160" s="6">
        <v>200.0</v>
      </c>
      <c r="C160" s="7" t="s">
        <v>35</v>
      </c>
      <c r="E160" s="8" t="str">
        <f>IFERROR(__xludf.DUMMYFUNCTION("SPLIT(A160,""TX"")"),"Knighton, Sherrel
2777 N Stemmons Frwy Suite 1000
Dallas, ")</f>
        <v>Knighton, Sherrel
2777 N Stemmons Frwy Suite 1000
Dallas, </v>
      </c>
      <c r="F160" s="8">
        <f>IFERROR(__xludf.DUMMYFUNCTION("""COMPUTED_VALUE"""),75207.0)</f>
        <v>75207</v>
      </c>
      <c r="I160" s="8">
        <f t="shared" si="2"/>
        <v>75207</v>
      </c>
      <c r="J160" s="9">
        <f>IFERROR(__xludf.DUMMYFUNCTION("SPLIT(I160,""-"")"),75207.0)</f>
        <v>75207</v>
      </c>
    </row>
    <row r="161">
      <c r="A161" s="10" t="s">
        <v>171</v>
      </c>
      <c r="B161" s="11">
        <v>100.0</v>
      </c>
      <c r="C161" s="12" t="s">
        <v>35</v>
      </c>
      <c r="E161" s="8" t="str">
        <f>IFERROR(__xludf.DUMMYFUNCTION("SPLIT(A161,""TX"")"),"atkins, ashly
307 s waverly
Dallas, ")</f>
        <v>atkins, ashly
307 s waverly
Dallas, </v>
      </c>
      <c r="F161" s="8">
        <f>IFERROR(__xludf.DUMMYFUNCTION("""COMPUTED_VALUE"""),75208.0)</f>
        <v>75208</v>
      </c>
      <c r="I161" s="8">
        <f t="shared" si="2"/>
        <v>75208</v>
      </c>
      <c r="J161" s="9">
        <f>IFERROR(__xludf.DUMMYFUNCTION("SPLIT(I161,""-"")"),75208.0)</f>
        <v>75208</v>
      </c>
    </row>
    <row r="162">
      <c r="A162" s="5" t="s">
        <v>172</v>
      </c>
      <c r="B162" s="6">
        <v>100.0</v>
      </c>
      <c r="C162" s="7" t="s">
        <v>35</v>
      </c>
      <c r="E162" s="8" t="str">
        <f>IFERROR(__xludf.DUMMYFUNCTION("SPLIT(A162,""TX"")"),"homas, Belinda
1820 Browder Street
Dallas, ")</f>
        <v>homas, Belinda
1820 Browder Street
Dallas, </v>
      </c>
      <c r="F162" s="8">
        <f>IFERROR(__xludf.DUMMYFUNCTION("""COMPUTED_VALUE"""),75215.0)</f>
        <v>75215</v>
      </c>
      <c r="I162" s="8">
        <f t="shared" si="2"/>
        <v>75215</v>
      </c>
      <c r="J162" s="9">
        <f>IFERROR(__xludf.DUMMYFUNCTION("SPLIT(I162,""-"")"),75215.0)</f>
        <v>75215</v>
      </c>
    </row>
    <row r="163">
      <c r="A163" s="10" t="s">
        <v>173</v>
      </c>
      <c r="B163" s="11">
        <v>500.0</v>
      </c>
      <c r="C163" s="12" t="s">
        <v>35</v>
      </c>
      <c r="E163" s="8" t="str">
        <f>IFERROR(__xludf.DUMMYFUNCTION("SPLIT(A163,""TX"")"),"Lopez, Roy
4326 Meadowdale Ln
Dallas, ")</f>
        <v>Lopez, Roy
4326 Meadowdale Ln
Dallas, </v>
      </c>
      <c r="F163" s="8">
        <f>IFERROR(__xludf.DUMMYFUNCTION("""COMPUTED_VALUE"""),75229.0)</f>
        <v>75229</v>
      </c>
      <c r="I163" s="8">
        <f t="shared" si="2"/>
        <v>75229</v>
      </c>
      <c r="J163" s="9">
        <f>IFERROR(__xludf.DUMMYFUNCTION("SPLIT(I163,""-"")"),75229.0)</f>
        <v>75229</v>
      </c>
    </row>
    <row r="164">
      <c r="A164" s="5" t="s">
        <v>174</v>
      </c>
      <c r="B164" s="6">
        <v>250.0</v>
      </c>
      <c r="C164" s="7" t="s">
        <v>35</v>
      </c>
      <c r="E164" s="8" t="str">
        <f>IFERROR(__xludf.DUMMYFUNCTION("SPLIT(A164,""TX"")"),"Garcia MD, Catalina E
10455 N Central Expressway 109 314
Dallas, ")</f>
        <v>Garcia MD, Catalina E
10455 N Central Expressway 109 314
Dallas, </v>
      </c>
      <c r="F164" s="8">
        <f>IFERROR(__xludf.DUMMYFUNCTION("""COMPUTED_VALUE"""),75231.0)</f>
        <v>75231</v>
      </c>
      <c r="I164" s="8">
        <f t="shared" si="2"/>
        <v>75231</v>
      </c>
      <c r="J164" s="9">
        <f>IFERROR(__xludf.DUMMYFUNCTION("SPLIT(I164,""-"")"),75231.0)</f>
        <v>75231</v>
      </c>
    </row>
    <row r="165">
      <c r="A165" s="10" t="s">
        <v>175</v>
      </c>
      <c r="B165" s="11">
        <v>250.0</v>
      </c>
      <c r="C165" s="12" t="s">
        <v>35</v>
      </c>
      <c r="E165" s="8" t="str">
        <f>IFERROR(__xludf.DUMMYFUNCTION("SPLIT(A165,""TX"")"),"Forsythe-Lill, Veletta
622 Blair Blvd
Dallas, ")</f>
        <v>Forsythe-Lill, Veletta
622 Blair Blvd
Dallas, </v>
      </c>
      <c r="F165" s="8">
        <f>IFERROR(__xludf.DUMMYFUNCTION("""COMPUTED_VALUE"""),75223.0)</f>
        <v>75223</v>
      </c>
      <c r="I165" s="8">
        <f t="shared" si="2"/>
        <v>75223</v>
      </c>
      <c r="J165" s="9">
        <f>IFERROR(__xludf.DUMMYFUNCTION("SPLIT(I165,""-"")"),75223.0)</f>
        <v>75223</v>
      </c>
    </row>
    <row r="166">
      <c r="A166" s="5" t="s">
        <v>176</v>
      </c>
      <c r="B166" s="6">
        <v>100.0</v>
      </c>
      <c r="C166" s="7" t="s">
        <v>35</v>
      </c>
      <c r="E166" s="8" t="str">
        <f>IFERROR(__xludf.DUMMYFUNCTION("SPLIT(A166,""TX"")"),"Mao, Diana
5928 Sandhurst Lane
Dallas, ")</f>
        <v>Mao, Diana
5928 Sandhurst Lane
Dallas, </v>
      </c>
      <c r="F166" s="8">
        <f>IFERROR(__xludf.DUMMYFUNCTION("""COMPUTED_VALUE"""),75206.0)</f>
        <v>75206</v>
      </c>
      <c r="I166" s="8">
        <f t="shared" si="2"/>
        <v>75206</v>
      </c>
      <c r="J166" s="9">
        <f>IFERROR(__xludf.DUMMYFUNCTION("SPLIT(I166,""-"")"),75206.0)</f>
        <v>75206</v>
      </c>
    </row>
    <row r="167">
      <c r="A167" s="10" t="s">
        <v>177</v>
      </c>
      <c r="B167" s="11">
        <v>200.0</v>
      </c>
      <c r="C167" s="12" t="s">
        <v>35</v>
      </c>
      <c r="E167" s="8" t="str">
        <f>IFERROR(__xludf.DUMMYFUNCTION("SPLIT(A167,""TX"")"),"Pomykal, Keith
3001 Sale St 409
Dallas, ")</f>
        <v>Pomykal, Keith
3001 Sale St 409
Dallas, </v>
      </c>
      <c r="F167" s="8">
        <f>IFERROR(__xludf.DUMMYFUNCTION("""COMPUTED_VALUE"""),75219.0)</f>
        <v>75219</v>
      </c>
      <c r="I167" s="8">
        <f t="shared" si="2"/>
        <v>75219</v>
      </c>
      <c r="J167" s="9">
        <f>IFERROR(__xludf.DUMMYFUNCTION("SPLIT(I167,""-"")"),75219.0)</f>
        <v>75219</v>
      </c>
    </row>
    <row r="168">
      <c r="A168" s="5" t="s">
        <v>178</v>
      </c>
      <c r="B168" s="6">
        <v>50.0</v>
      </c>
      <c r="C168" s="7" t="s">
        <v>35</v>
      </c>
      <c r="E168" s="8" t="str">
        <f>IFERROR(__xludf.DUMMYFUNCTION("SPLIT(A168,""TX"")"),"Przekwas, Michael
1602 Beaumont St
Dallas, ")</f>
        <v>Przekwas, Michael
1602 Beaumont St
Dallas, </v>
      </c>
      <c r="F168" s="8">
        <f>IFERROR(__xludf.DUMMYFUNCTION("""COMPUTED_VALUE"""),75215.0)</f>
        <v>75215</v>
      </c>
      <c r="I168" s="8">
        <f t="shared" si="2"/>
        <v>75215</v>
      </c>
      <c r="J168" s="9">
        <f>IFERROR(__xludf.DUMMYFUNCTION("SPLIT(I168,""-"")"),75215.0)</f>
        <v>75215</v>
      </c>
    </row>
    <row r="169">
      <c r="A169" s="10" t="s">
        <v>179</v>
      </c>
      <c r="B169" s="11">
        <v>500.0</v>
      </c>
      <c r="C169" s="12" t="s">
        <v>35</v>
      </c>
      <c r="E169" s="8" t="str">
        <f>IFERROR(__xludf.DUMMYFUNCTION("SPLIT(A169,""TX"")"),"Ragan, ")</f>
        <v>Ragan, </v>
      </c>
      <c r="F169" s="8" t="str">
        <f>IFERROR(__xludf.DUMMYFUNCTION("""COMPUTED_VALUE"""),"anya
630 S Pearl Expressway
Dallas, ")</f>
        <v>anya
630 S Pearl Expressway
Dallas, </v>
      </c>
      <c r="G169" s="8">
        <f>IFERROR(__xludf.DUMMYFUNCTION("""COMPUTED_VALUE"""),75201.0)</f>
        <v>75201</v>
      </c>
      <c r="I169" s="8">
        <f t="shared" si="2"/>
        <v>75201</v>
      </c>
      <c r="J169" s="9">
        <f>IFERROR(__xludf.DUMMYFUNCTION("SPLIT(I169,""-"")"),75201.0)</f>
        <v>75201</v>
      </c>
    </row>
    <row r="170">
      <c r="A170" s="5" t="s">
        <v>180</v>
      </c>
      <c r="B170" s="6">
        <v>250.0</v>
      </c>
      <c r="C170" s="7" t="s">
        <v>35</v>
      </c>
      <c r="E170" s="8" t="str">
        <f>IFERROR(__xludf.DUMMYFUNCTION("SPLIT(A170,""TX"")"),"Lee, Pamela
2117 FLORA LN
DeSoto, ")</f>
        <v>Lee, Pamela
2117 FLORA LN
DeSoto, </v>
      </c>
      <c r="F170" s="8">
        <f>IFERROR(__xludf.DUMMYFUNCTION("""COMPUTED_VALUE"""),75115.0)</f>
        <v>75115</v>
      </c>
      <c r="I170" s="8">
        <f t="shared" si="2"/>
        <v>75115</v>
      </c>
      <c r="J170" s="9">
        <f>IFERROR(__xludf.DUMMYFUNCTION("SPLIT(I170,""-"")"),75115.0)</f>
        <v>75115</v>
      </c>
    </row>
    <row r="171">
      <c r="A171" s="10" t="s">
        <v>181</v>
      </c>
      <c r="B171" s="11">
        <v>250.0</v>
      </c>
      <c r="C171" s="12" t="s">
        <v>35</v>
      </c>
      <c r="E171" s="8" t="str">
        <f>IFERROR(__xludf.DUMMYFUNCTION("SPLIT(A171,""TX"")"),"Mayers, ")</f>
        <v>Mayers, </v>
      </c>
      <c r="F171" s="8" t="str">
        <f>IFERROR(__xludf.DUMMYFUNCTION("""COMPUTED_VALUE"""),"shomba
5600 W Lovers
Dallas, ")</f>
        <v>shomba
5600 W Lovers
Dallas, </v>
      </c>
      <c r="G171" s="8">
        <f>IFERROR(__xludf.DUMMYFUNCTION("""COMPUTED_VALUE"""),75209.0)</f>
        <v>75209</v>
      </c>
      <c r="I171" s="8">
        <f t="shared" si="2"/>
        <v>75209</v>
      </c>
      <c r="J171" s="9">
        <f>IFERROR(__xludf.DUMMYFUNCTION("SPLIT(I171,""-"")"),75209.0)</f>
        <v>75209</v>
      </c>
    </row>
    <row r="172">
      <c r="A172" s="5" t="s">
        <v>182</v>
      </c>
      <c r="B172" s="6">
        <v>250.0</v>
      </c>
      <c r="C172" s="7" t="s">
        <v>35</v>
      </c>
      <c r="E172" s="8" t="str">
        <f>IFERROR(__xludf.DUMMYFUNCTION("SPLIT(A172,""TX"")"),"Ruiz+, Eliseo
214 S WILLOME")</f>
        <v>Ruiz+, Eliseo
214 S WILLOME</v>
      </c>
      <c r="F172" s="8" t="str">
        <f>IFERROR(__xludf.DUMMYFUNCTION("""COMPUTED_VALUE""")," AVE
Dallas, ")</f>
        <v> AVE
Dallas, </v>
      </c>
      <c r="G172" s="8">
        <f>IFERROR(__xludf.DUMMYFUNCTION("""COMPUTED_VALUE"""),75208.0)</f>
        <v>75208</v>
      </c>
      <c r="I172" s="8">
        <f t="shared" si="2"/>
        <v>75208</v>
      </c>
      <c r="J172" s="9">
        <f>IFERROR(__xludf.DUMMYFUNCTION("SPLIT(I172,""-"")"),75208.0)</f>
        <v>75208</v>
      </c>
    </row>
    <row r="173">
      <c r="A173" s="10" t="s">
        <v>183</v>
      </c>
      <c r="B173" s="11">
        <v>500.0</v>
      </c>
      <c r="C173" s="12" t="s">
        <v>35</v>
      </c>
      <c r="E173" s="8" t="str">
        <f>IFERROR(__xludf.DUMMYFUNCTION("SPLIT(A173,""TX"")"),"Quintanilla, Lisa
9903 ILA Drive
Dallas, ")</f>
        <v>Quintanilla, Lisa
9903 ILA Drive
Dallas, </v>
      </c>
      <c r="F173" s="8">
        <f>IFERROR(__xludf.DUMMYFUNCTION("""COMPUTED_VALUE"""),75220.0)</f>
        <v>75220</v>
      </c>
      <c r="I173" s="8">
        <f t="shared" si="2"/>
        <v>75220</v>
      </c>
      <c r="J173" s="9">
        <f>IFERROR(__xludf.DUMMYFUNCTION("SPLIT(I173,""-"")"),75220.0)</f>
        <v>75220</v>
      </c>
    </row>
    <row r="174">
      <c r="A174" s="5" t="s">
        <v>184</v>
      </c>
      <c r="B174" s="6">
        <v>50.0</v>
      </c>
      <c r="C174" s="7" t="s">
        <v>35</v>
      </c>
      <c r="E174" s="8" t="str">
        <f>IFERROR(__xludf.DUMMYFUNCTION("SPLIT(A174,""TX"")"),"Cuellar, John
16302 Sunset Valley
Dallas, ")</f>
        <v>Cuellar, John
16302 Sunset Valley
Dallas, </v>
      </c>
      <c r="F174" s="8">
        <f>IFERROR(__xludf.DUMMYFUNCTION("""COMPUTED_VALUE"""),75248.0)</f>
        <v>75248</v>
      </c>
      <c r="I174" s="8">
        <f t="shared" si="2"/>
        <v>75248</v>
      </c>
      <c r="J174" s="9">
        <f>IFERROR(__xludf.DUMMYFUNCTION("SPLIT(I174,""-"")"),75248.0)</f>
        <v>75248</v>
      </c>
    </row>
    <row r="175">
      <c r="A175" s="10" t="s">
        <v>185</v>
      </c>
      <c r="B175" s="11">
        <v>500.0</v>
      </c>
      <c r="C175" s="12" t="s">
        <v>35</v>
      </c>
      <c r="E175" s="8" t="str">
        <f>IFERROR(__xludf.DUMMYFUNCTION("SPLIT(A175,""TX"")"),"Armstrong, J
603 Suite
Dallas, ")</f>
        <v>Armstrong, J
603 Suite
Dallas, </v>
      </c>
      <c r="F175" s="8">
        <f>IFERROR(__xludf.DUMMYFUNCTION("""COMPUTED_VALUE"""),75292.0)</f>
        <v>75292</v>
      </c>
      <c r="I175" s="8">
        <f t="shared" si="2"/>
        <v>75292</v>
      </c>
      <c r="J175" s="9">
        <f>IFERROR(__xludf.DUMMYFUNCTION("SPLIT(I175,""-"")"),75292.0)</f>
        <v>75292</v>
      </c>
    </row>
    <row r="176">
      <c r="A176" s="5" t="s">
        <v>186</v>
      </c>
      <c r="B176" s="6">
        <v>750.0</v>
      </c>
      <c r="C176" s="7" t="s">
        <v>35</v>
      </c>
      <c r="E176" s="8" t="str">
        <f>IFERROR(__xludf.DUMMYFUNCTION("SPLIT(A176,""TX"")"),"Rodriguez, Pat
3765 Seguin Dr
Dallas, ")</f>
        <v>Rodriguez, Pat
3765 Seguin Dr
Dallas, </v>
      </c>
      <c r="F176" s="8">
        <f>IFERROR(__xludf.DUMMYFUNCTION("""COMPUTED_VALUE"""),75220.0)</f>
        <v>75220</v>
      </c>
      <c r="I176" s="8">
        <f t="shared" si="2"/>
        <v>75220</v>
      </c>
      <c r="J176" s="9">
        <f>IFERROR(__xludf.DUMMYFUNCTION("SPLIT(I176,""-"")"),75220.0)</f>
        <v>75220</v>
      </c>
    </row>
    <row r="177">
      <c r="A177" s="10" t="s">
        <v>187</v>
      </c>
      <c r="B177" s="11">
        <v>100.0</v>
      </c>
      <c r="C177" s="12" t="s">
        <v>35</v>
      </c>
      <c r="E177" s="8" t="str">
        <f>IFERROR(__xludf.DUMMYFUNCTION("SPLIT(A177,""TX"")"),"Jordan, Cris
4842 Junius St
Dallas, ")</f>
        <v>Jordan, Cris
4842 Junius St
Dallas, </v>
      </c>
      <c r="F177" s="8">
        <f>IFERROR(__xludf.DUMMYFUNCTION("""COMPUTED_VALUE"""),75246.0)</f>
        <v>75246</v>
      </c>
      <c r="I177" s="8">
        <f t="shared" si="2"/>
        <v>75246</v>
      </c>
      <c r="J177" s="9">
        <f>IFERROR(__xludf.DUMMYFUNCTION("SPLIT(I177,""-"")"),75246.0)</f>
        <v>75246</v>
      </c>
    </row>
    <row r="178">
      <c r="A178" s="5" t="s">
        <v>188</v>
      </c>
      <c r="B178" s="6">
        <v>1000.0</v>
      </c>
      <c r="C178" s="7" t="s">
        <v>35</v>
      </c>
      <c r="E178" s="8" t="str">
        <f>IFERROR(__xludf.DUMMYFUNCTION("SPLIT(A178,""TX"")"),"Solis, Erica
2322 Kenesaw Drive
Dallas, ")</f>
        <v>Solis, Erica
2322 Kenesaw Drive
Dallas, </v>
      </c>
      <c r="F178" s="8">
        <f>IFERROR(__xludf.DUMMYFUNCTION("""COMPUTED_VALUE"""),75212.0)</f>
        <v>75212</v>
      </c>
      <c r="I178" s="8">
        <f t="shared" si="2"/>
        <v>75212</v>
      </c>
      <c r="J178" s="9">
        <f>IFERROR(__xludf.DUMMYFUNCTION("SPLIT(I178,""-"")"),75212.0)</f>
        <v>75212</v>
      </c>
    </row>
    <row r="179">
      <c r="A179" s="10" t="s">
        <v>189</v>
      </c>
      <c r="B179" s="11">
        <v>250.0</v>
      </c>
      <c r="C179" s="12" t="s">
        <v>35</v>
      </c>
      <c r="E179" s="8" t="str">
        <f>IFERROR(__xludf.DUMMYFUNCTION("SPLIT(A179,""TX"")"),"MELDE, CRAIG
3415 UNIVERSI")</f>
        <v>MELDE, CRAIG
3415 UNIVERSI</v>
      </c>
      <c r="F179" s="8" t="str">
        <f>IFERROR(__xludf.DUMMYFUNCTION("""COMPUTED_VALUE"""),"Y BLVD
DALLAS, ")</f>
        <v>Y BLVD
DALLAS, </v>
      </c>
      <c r="G179" s="8">
        <f>IFERROR(__xludf.DUMMYFUNCTION("""COMPUTED_VALUE"""),75205.0)</f>
        <v>75205</v>
      </c>
      <c r="I179" s="8">
        <f t="shared" si="2"/>
        <v>75205</v>
      </c>
      <c r="J179" s="9">
        <f>IFERROR(__xludf.DUMMYFUNCTION("SPLIT(I179,""-"")"),75205.0)</f>
        <v>75205</v>
      </c>
    </row>
    <row r="180">
      <c r="A180" s="5" t="s">
        <v>190</v>
      </c>
      <c r="B180" s="6">
        <v>500.0</v>
      </c>
      <c r="C180" s="7" t="s">
        <v>35</v>
      </c>
      <c r="E180" s="8" t="str">
        <f>IFERROR(__xludf.DUMMYFUNCTION("SPLIT(A180,""TX"")"),"Cabaniss, Edwin
1230 West Davis
Dallas, ")</f>
        <v>Cabaniss, Edwin
1230 West Davis
Dallas, </v>
      </c>
      <c r="F180" s="8">
        <f>IFERROR(__xludf.DUMMYFUNCTION("""COMPUTED_VALUE"""),75208.0)</f>
        <v>75208</v>
      </c>
      <c r="I180" s="8">
        <f t="shared" si="2"/>
        <v>75208</v>
      </c>
      <c r="J180" s="9">
        <f>IFERROR(__xludf.DUMMYFUNCTION("SPLIT(I180,""-"")"),75208.0)</f>
        <v>75208</v>
      </c>
    </row>
    <row r="181">
      <c r="A181" s="10" t="s">
        <v>191</v>
      </c>
      <c r="B181" s="11">
        <v>250.0</v>
      </c>
      <c r="C181" s="12" t="s">
        <v>35</v>
      </c>
      <c r="E181" s="8" t="str">
        <f>IFERROR(__xludf.DUMMYFUNCTION("SPLIT(A181,""TX"")"),"Hill, ")</f>
        <v>Hill, </v>
      </c>
      <c r="F181" s="8" t="str">
        <f>IFERROR(__xludf.DUMMYFUNCTION("""COMPUTED_VALUE"""),"odd
604 Fort Worth Avenue 3013
Dallas, ")</f>
        <v>odd
604 Fort Worth Avenue 3013
Dallas, </v>
      </c>
      <c r="G181" s="8">
        <f>IFERROR(__xludf.DUMMYFUNCTION("""COMPUTED_VALUE"""),75208.0)</f>
        <v>75208</v>
      </c>
      <c r="I181" s="8">
        <f t="shared" si="2"/>
        <v>75208</v>
      </c>
      <c r="J181" s="9">
        <f>IFERROR(__xludf.DUMMYFUNCTION("SPLIT(I181,""-"")"),75208.0)</f>
        <v>75208</v>
      </c>
    </row>
    <row r="182">
      <c r="A182" s="5" t="s">
        <v>192</v>
      </c>
      <c r="B182" s="6">
        <v>500.0</v>
      </c>
      <c r="C182" s="7" t="s">
        <v>35</v>
      </c>
      <c r="E182" s="8" t="str">
        <f>IFERROR(__xludf.DUMMYFUNCTION("SPLIT(A182,""TX"")"),"West, Chad
3606 South ")</f>
        <v>West, Chad
3606 South </v>
      </c>
      <c r="F182" s="8" t="str">
        <f>IFERROR(__xludf.DUMMYFUNCTION("""COMPUTED_VALUE"""),"yler Street
Dallas, ")</f>
        <v>yler Street
Dallas, </v>
      </c>
      <c r="G182" s="8">
        <f>IFERROR(__xludf.DUMMYFUNCTION("""COMPUTED_VALUE"""),75224.0)</f>
        <v>75224</v>
      </c>
      <c r="I182" s="8">
        <f t="shared" si="2"/>
        <v>75224</v>
      </c>
      <c r="J182" s="9">
        <f>IFERROR(__xludf.DUMMYFUNCTION("SPLIT(I182,""-"")"),75224.0)</f>
        <v>75224</v>
      </c>
    </row>
    <row r="183">
      <c r="A183" s="10" t="s">
        <v>193</v>
      </c>
      <c r="B183" s="11">
        <v>100.0</v>
      </c>
      <c r="C183" s="12" t="s">
        <v>35</v>
      </c>
      <c r="E183" s="8" t="str">
        <f>IFERROR(__xludf.DUMMYFUNCTION("SPLIT(A183,""TX"")"),"Bober, Joanne
3510 ")</f>
        <v>Bober, Joanne
3510 </v>
      </c>
      <c r="F183" s="8" t="str">
        <f>IFERROR(__xludf.DUMMYFUNCTION("""COMPUTED_VALUE"""),"urtle Creek Blvd 10B
Dallas, ")</f>
        <v>urtle Creek Blvd 10B
Dallas, </v>
      </c>
      <c r="G183" s="8">
        <f>IFERROR(__xludf.DUMMYFUNCTION("""COMPUTED_VALUE"""),75219.0)</f>
        <v>75219</v>
      </c>
      <c r="I183" s="8">
        <f t="shared" si="2"/>
        <v>75219</v>
      </c>
      <c r="J183" s="9">
        <f>IFERROR(__xludf.DUMMYFUNCTION("SPLIT(I183,""-"")"),75219.0)</f>
        <v>75219</v>
      </c>
    </row>
    <row r="184">
      <c r="A184" s="5" t="s">
        <v>194</v>
      </c>
      <c r="B184" s="6">
        <v>50.0</v>
      </c>
      <c r="C184" s="7" t="s">
        <v>35</v>
      </c>
      <c r="E184" s="8" t="str">
        <f>IFERROR(__xludf.DUMMYFUNCTION("SPLIT(A184,""TX"")"),"Sanders, Byron
708 Mayrant Dr
Dallas, ")</f>
        <v>Sanders, Byron
708 Mayrant Dr
Dallas, </v>
      </c>
      <c r="F184" s="8">
        <f>IFERROR(__xludf.DUMMYFUNCTION("""COMPUTED_VALUE"""),75224.0)</f>
        <v>75224</v>
      </c>
      <c r="I184" s="8">
        <f t="shared" si="2"/>
        <v>75224</v>
      </c>
      <c r="J184" s="9">
        <f>IFERROR(__xludf.DUMMYFUNCTION("SPLIT(I184,""-"")"),75224.0)</f>
        <v>75224</v>
      </c>
    </row>
    <row r="185">
      <c r="A185" s="10" t="s">
        <v>195</v>
      </c>
      <c r="B185" s="11">
        <v>500.0</v>
      </c>
      <c r="C185" s="12" t="s">
        <v>35</v>
      </c>
      <c r="E185" s="8" t="str">
        <f>IFERROR(__xludf.DUMMYFUNCTION("SPLIT(A185,""TX"")"),"Reznik, Staci
4007 Lively
Dallas, ")</f>
        <v>Reznik, Staci
4007 Lively
Dallas, </v>
      </c>
      <c r="F185" s="8">
        <f>IFERROR(__xludf.DUMMYFUNCTION("""COMPUTED_VALUE"""),75220.0)</f>
        <v>75220</v>
      </c>
      <c r="I185" s="8">
        <f t="shared" si="2"/>
        <v>75220</v>
      </c>
      <c r="J185" s="9">
        <f>IFERROR(__xludf.DUMMYFUNCTION("SPLIT(I185,""-"")"),75220.0)</f>
        <v>75220</v>
      </c>
    </row>
    <row r="186">
      <c r="A186" s="5" t="s">
        <v>196</v>
      </c>
      <c r="B186" s="6">
        <v>27.0</v>
      </c>
      <c r="C186" s="7" t="s">
        <v>35</v>
      </c>
      <c r="E186" s="8" t="str">
        <f>IFERROR(__xludf.DUMMYFUNCTION("SPLIT(A186,""TX"")"),"Labrador, Fred
3320 Douglas Avenue
Dallas, ")</f>
        <v>Labrador, Fred
3320 Douglas Avenue
Dallas, </v>
      </c>
      <c r="F186" s="8">
        <f>IFERROR(__xludf.DUMMYFUNCTION("""COMPUTED_VALUE"""),75219.0)</f>
        <v>75219</v>
      </c>
      <c r="I186" s="8">
        <f t="shared" si="2"/>
        <v>75219</v>
      </c>
      <c r="J186" s="9">
        <f>IFERROR(__xludf.DUMMYFUNCTION("SPLIT(I186,""-"")"),75219.0)</f>
        <v>75219</v>
      </c>
    </row>
    <row r="187">
      <c r="A187" s="10" t="s">
        <v>197</v>
      </c>
      <c r="B187" s="11">
        <v>100.0</v>
      </c>
      <c r="C187" s="12" t="s">
        <v>35</v>
      </c>
      <c r="E187" s="8" t="str">
        <f>IFERROR(__xludf.DUMMYFUNCTION("SPLIT(A187,""TX"")"),"Colon, Brian
1101 Diamondback Dr NE
Albuquerque, NM 87113")</f>
        <v>Colon, Brian
1101 Diamondback Dr NE
Albuquerque, NM 87113</v>
      </c>
      <c r="I187" s="8" t="str">
        <f t="shared" si="2"/>
        <v/>
      </c>
      <c r="J187" s="9" t="str">
        <f>IFERROR(__xludf.DUMMYFUNCTION("SPLIT(I187,""-"")"),"#VALUE!")</f>
        <v>#VALUE!</v>
      </c>
    </row>
    <row r="188">
      <c r="A188" s="5" t="s">
        <v>198</v>
      </c>
      <c r="B188" s="6">
        <v>250.0</v>
      </c>
      <c r="C188" s="7" t="s">
        <v>35</v>
      </c>
      <c r="E188" s="8" t="str">
        <f>IFERROR(__xludf.DUMMYFUNCTION("SPLIT(A188,""TX"")"),"Martinez, Susan
15021 Ventura Blvd. #311
Sherman Oaks, CA 91403")</f>
        <v>Martinez, Susan
15021 Ventura Blvd. #311
Sherman Oaks, CA 91403</v>
      </c>
      <c r="I188" s="8" t="str">
        <f t="shared" si="2"/>
        <v/>
      </c>
      <c r="J188" s="9" t="str">
        <f>IFERROR(__xludf.DUMMYFUNCTION("SPLIT(I188,""-"")"),"#VALUE!")</f>
        <v>#VALUE!</v>
      </c>
    </row>
    <row r="189">
      <c r="A189" s="10" t="s">
        <v>199</v>
      </c>
      <c r="B189" s="11">
        <v>1000.0</v>
      </c>
      <c r="C189" s="12" t="s">
        <v>35</v>
      </c>
      <c r="E189" s="8" t="str">
        <f>IFERROR(__xludf.DUMMYFUNCTION("SPLIT(A189,""TX"")"),"Vasquez, Gilbert
1002 Roxbury Rd
San Marino, CA 91108")</f>
        <v>Vasquez, Gilbert
1002 Roxbury Rd
San Marino, CA 91108</v>
      </c>
      <c r="I189" s="8" t="str">
        <f t="shared" si="2"/>
        <v/>
      </c>
      <c r="J189" s="9" t="str">
        <f>IFERROR(__xludf.DUMMYFUNCTION("SPLIT(I189,""-"")"),"#VALUE!")</f>
        <v>#VALUE!</v>
      </c>
    </row>
    <row r="190">
      <c r="A190" s="5" t="s">
        <v>200</v>
      </c>
      <c r="B190" s="6">
        <v>1000.0</v>
      </c>
      <c r="C190" s="7" t="s">
        <v>35</v>
      </c>
      <c r="E190" s="8" t="str">
        <f>IFERROR(__xludf.DUMMYFUNCTION("SPLIT(A190,""TX"")"),"Gutierrez, Rudy
13067 Arlington Lane
Chino, CA 91710")</f>
        <v>Gutierrez, Rudy
13067 Arlington Lane
Chino, CA 91710</v>
      </c>
      <c r="I190" s="8" t="str">
        <f t="shared" si="2"/>
        <v/>
      </c>
      <c r="J190" s="9" t="str">
        <f>IFERROR(__xludf.DUMMYFUNCTION("SPLIT(I190,""-"")"),"#VALUE!")</f>
        <v>#VALUE!</v>
      </c>
    </row>
    <row r="191">
      <c r="A191" s="10" t="s">
        <v>201</v>
      </c>
      <c r="B191" s="11">
        <v>1000.0</v>
      </c>
      <c r="C191" s="12" t="s">
        <v>35</v>
      </c>
      <c r="E191" s="8" t="str">
        <f>IFERROR(__xludf.DUMMYFUNCTION("SPLIT(A191,""TX"")"),"Orlando, Joseph
1016 W JACKSON BLVD
Chicago, IL 60607")</f>
        <v>Orlando, Joseph
1016 W JACKSON BLVD
Chicago, IL 60607</v>
      </c>
      <c r="I191" s="8" t="str">
        <f t="shared" si="2"/>
        <v/>
      </c>
      <c r="J191" s="9" t="str">
        <f>IFERROR(__xludf.DUMMYFUNCTION("SPLIT(I191,""-"")"),"#VALUE!")</f>
        <v>#VALUE!</v>
      </c>
    </row>
    <row r="192">
      <c r="A192" s="5" t="s">
        <v>202</v>
      </c>
      <c r="B192" s="6">
        <v>250.0</v>
      </c>
      <c r="C192" s="7" t="s">
        <v>35</v>
      </c>
      <c r="E192" s="8" t="str">
        <f>IFERROR(__xludf.DUMMYFUNCTION("SPLIT(A192,""TX"")"),"Diaz, Denise
10365 Virginia ave
South Gate, CA 90280")</f>
        <v>Diaz, Denise
10365 Virginia ave
South Gate, CA 90280</v>
      </c>
      <c r="I192" s="8" t="str">
        <f t="shared" si="2"/>
        <v/>
      </c>
      <c r="J192" s="9" t="str">
        <f>IFERROR(__xludf.DUMMYFUNCTION("SPLIT(I192,""-"")"),"#VALUE!")</f>
        <v>#VALUE!</v>
      </c>
    </row>
    <row r="193">
      <c r="A193" s="10" t="s">
        <v>203</v>
      </c>
      <c r="B193" s="11">
        <v>1000.0</v>
      </c>
      <c r="C193" s="12" t="s">
        <v>35</v>
      </c>
      <c r="E193" s="8" t="str">
        <f>IFERROR(__xludf.DUMMYFUNCTION("SPLIT(A193,""TX"")"),"Smith, James &amp; Francis
104 Lyndsey Court
Boyd, ")</f>
        <v>Smith, James &amp; Francis
104 Lyndsey Court
Boyd, </v>
      </c>
      <c r="F193" s="8">
        <f>IFERROR(__xludf.DUMMYFUNCTION("""COMPUTED_VALUE"""),76023.0)</f>
        <v>76023</v>
      </c>
      <c r="I193" s="8">
        <f t="shared" si="2"/>
        <v>76023</v>
      </c>
      <c r="J193" s="9">
        <f>IFERROR(__xludf.DUMMYFUNCTION("SPLIT(I193,""-"")"),76023.0)</f>
        <v>76023</v>
      </c>
    </row>
    <row r="194">
      <c r="A194" s="5" t="s">
        <v>204</v>
      </c>
      <c r="B194" s="6">
        <v>500.0</v>
      </c>
      <c r="C194" s="7" t="s">
        <v>35</v>
      </c>
      <c r="E194" s="8" t="str">
        <f>IFERROR(__xludf.DUMMYFUNCTION("SPLIT(A194,""TX"")"),"Villegas, Peter
11036 De Anza Dr
Rancho Cucamonga, CA 91730")</f>
        <v>Villegas, Peter
11036 De Anza Dr
Rancho Cucamonga, CA 91730</v>
      </c>
      <c r="I194" s="8" t="str">
        <f t="shared" si="2"/>
        <v/>
      </c>
      <c r="J194" s="9" t="str">
        <f>IFERROR(__xludf.DUMMYFUNCTION("SPLIT(I194,""-"")"),"#VALUE!")</f>
        <v>#VALUE!</v>
      </c>
    </row>
    <row r="195">
      <c r="A195" s="10" t="s">
        <v>205</v>
      </c>
      <c r="B195" s="11">
        <v>1000.0</v>
      </c>
      <c r="C195" s="12" t="s">
        <v>35</v>
      </c>
      <c r="E195" s="8" t="str">
        <f>IFERROR(__xludf.DUMMYFUNCTION("SPLIT(A195,""TX"")"),"Boone, Garrett
4809 Cole Ave Suite 300
Dallas, ")</f>
        <v>Boone, Garrett
4809 Cole Ave Suite 300
Dallas, </v>
      </c>
      <c r="F195" s="8">
        <f>IFERROR(__xludf.DUMMYFUNCTION("""COMPUTED_VALUE"""),75205.0)</f>
        <v>75205</v>
      </c>
      <c r="I195" s="8">
        <f t="shared" si="2"/>
        <v>75205</v>
      </c>
      <c r="J195" s="9">
        <f>IFERROR(__xludf.DUMMYFUNCTION("SPLIT(I195,""-"")"),75205.0)</f>
        <v>75205</v>
      </c>
    </row>
    <row r="196">
      <c r="A196" s="5" t="s">
        <v>206</v>
      </c>
      <c r="B196" s="6">
        <v>100.0</v>
      </c>
      <c r="C196" s="7" t="s">
        <v>35</v>
      </c>
      <c r="E196" s="8" t="str">
        <f>IFERROR(__xludf.DUMMYFUNCTION("SPLIT(A196,""TX"")"),"Hagestad, Robb
1887 Whitney Mesa Dr 2022
Henderson, NV 89014")</f>
        <v>Hagestad, Robb
1887 Whitney Mesa Dr 2022
Henderson, NV 89014</v>
      </c>
      <c r="I196" s="8" t="str">
        <f t="shared" si="2"/>
        <v/>
      </c>
      <c r="J196" s="9" t="str">
        <f>IFERROR(__xludf.DUMMYFUNCTION("SPLIT(I196,""-"")"),"#VALUE!")</f>
        <v>#VALUE!</v>
      </c>
    </row>
    <row r="197">
      <c r="A197" s="10" t="s">
        <v>207</v>
      </c>
      <c r="B197" s="11">
        <v>1000.0</v>
      </c>
      <c r="C197" s="12" t="s">
        <v>35</v>
      </c>
      <c r="E197" s="8" t="str">
        <f>IFERROR(__xludf.DUMMYFUNCTION("SPLIT(A197,""TX"")"),"Smith, Ruben
2321 N Lowell Lane
Santa Ana, CA 92706")</f>
        <v>Smith, Ruben
2321 N Lowell Lane
Santa Ana, CA 92706</v>
      </c>
      <c r="I197" s="8" t="str">
        <f t="shared" si="2"/>
        <v/>
      </c>
      <c r="J197" s="9" t="str">
        <f>IFERROR(__xludf.DUMMYFUNCTION("SPLIT(I197,""-"")"),"#VALUE!")</f>
        <v>#VALUE!</v>
      </c>
    </row>
    <row r="198">
      <c r="A198" s="5" t="s">
        <v>208</v>
      </c>
      <c r="B198" s="6">
        <v>100.0</v>
      </c>
      <c r="C198" s="7" t="s">
        <v>35</v>
      </c>
      <c r="E198" s="8" t="str">
        <f>IFERROR(__xludf.DUMMYFUNCTION("SPLIT(A198,""TX"")"),"Moriarty, Kevin
400 N Ervay Apt 328
Dallas, ")</f>
        <v>Moriarty, Kevin
400 N Ervay Apt 328
Dallas, </v>
      </c>
      <c r="F198" s="8">
        <f>IFERROR(__xludf.DUMMYFUNCTION("""COMPUTED_VALUE"""),75201.0)</f>
        <v>75201</v>
      </c>
      <c r="I198" s="8">
        <f t="shared" si="2"/>
        <v>75201</v>
      </c>
      <c r="J198" s="9">
        <f>IFERROR(__xludf.DUMMYFUNCTION("SPLIT(I198,""-"")"),75201.0)</f>
        <v>75201</v>
      </c>
    </row>
    <row r="199">
      <c r="A199" s="10" t="s">
        <v>209</v>
      </c>
      <c r="B199" s="11">
        <v>1000.0</v>
      </c>
      <c r="C199" s="12" t="s">
        <v>35</v>
      </c>
      <c r="E199" s="8" t="str">
        <f>IFERROR(__xludf.DUMMYFUNCTION("SPLIT(A199,""TX"")"),"Reed, Alexander
9428 lilac drive
Forest falls, CA 92339")</f>
        <v>Reed, Alexander
9428 lilac drive
Forest falls, CA 92339</v>
      </c>
      <c r="I199" s="8" t="str">
        <f t="shared" si="2"/>
        <v/>
      </c>
      <c r="J199" s="9" t="str">
        <f>IFERROR(__xludf.DUMMYFUNCTION("SPLIT(I199,""-"")"),"#VALUE!")</f>
        <v>#VALUE!</v>
      </c>
    </row>
    <row r="200">
      <c r="A200" s="5" t="s">
        <v>210</v>
      </c>
      <c r="B200" s="6">
        <v>100.0</v>
      </c>
      <c r="C200" s="7" t="s">
        <v>35</v>
      </c>
      <c r="E200" s="8" t="str">
        <f>IFERROR(__xludf.DUMMYFUNCTION("SPLIT(A200,""TX"")"),"Haley, Clinton
6311 Club Lake Ct
Dallas, ")</f>
        <v>Haley, Clinton
6311 Club Lake Ct
Dallas, </v>
      </c>
      <c r="F200" s="8">
        <f>IFERROR(__xludf.DUMMYFUNCTION("""COMPUTED_VALUE"""),75214.0)</f>
        <v>75214</v>
      </c>
      <c r="I200" s="8">
        <f t="shared" si="2"/>
        <v>75214</v>
      </c>
      <c r="J200" s="9">
        <f>IFERROR(__xludf.DUMMYFUNCTION("SPLIT(I200,""-"")"),75214.0)</f>
        <v>75214</v>
      </c>
    </row>
    <row r="201">
      <c r="A201" s="10" t="s">
        <v>211</v>
      </c>
      <c r="B201" s="11">
        <v>250.0</v>
      </c>
      <c r="C201" s="12" t="s">
        <v>35</v>
      </c>
      <c r="E201" s="8" t="str">
        <f>IFERROR(__xludf.DUMMYFUNCTION("SPLIT(A201,""TX"")"),"Dalton, Jeff
8552 Royal County Down Drive
McKinney, ")</f>
        <v>Dalton, Jeff
8552 Royal County Down Drive
McKinney, </v>
      </c>
      <c r="F201" s="8">
        <f>IFERROR(__xludf.DUMMYFUNCTION("""COMPUTED_VALUE"""),75070.0)</f>
        <v>75070</v>
      </c>
      <c r="I201" s="8">
        <f t="shared" si="2"/>
        <v>75070</v>
      </c>
      <c r="J201" s="9">
        <f>IFERROR(__xludf.DUMMYFUNCTION("SPLIT(I201,""-"")"),75070.0)</f>
        <v>75070</v>
      </c>
    </row>
    <row r="202">
      <c r="A202" s="5" t="s">
        <v>212</v>
      </c>
      <c r="B202" s="6">
        <v>100.0</v>
      </c>
      <c r="C202" s="7" t="s">
        <v>35</v>
      </c>
      <c r="E202" s="8" t="str">
        <f>IFERROR(__xludf.DUMMYFUNCTION("SPLIT(A202,""TX"")"),"Rane, Jeff
3528 Cedar Plaza Ln
Dallas, ")</f>
        <v>Rane, Jeff
3528 Cedar Plaza Ln
Dallas, </v>
      </c>
      <c r="F202" s="8">
        <f>IFERROR(__xludf.DUMMYFUNCTION("""COMPUTED_VALUE"""),75209.0)</f>
        <v>75209</v>
      </c>
      <c r="I202" s="8">
        <f t="shared" si="2"/>
        <v>75209</v>
      </c>
      <c r="J202" s="9">
        <f>IFERROR(__xludf.DUMMYFUNCTION("SPLIT(I202,""-"")"),75209.0)</f>
        <v>75209</v>
      </c>
    </row>
    <row r="203">
      <c r="A203" s="10" t="s">
        <v>213</v>
      </c>
      <c r="B203" s="11">
        <v>100.0</v>
      </c>
      <c r="C203" s="12" t="s">
        <v>35</v>
      </c>
      <c r="E203" s="8" t="str">
        <f>IFERROR(__xludf.DUMMYFUNCTION("SPLIT(A203,""TX"")"),"Loftis, ")</f>
        <v>Loftis, </v>
      </c>
      <c r="F203" s="8" t="str">
        <f>IFERROR(__xludf.DUMMYFUNCTION("""COMPUTED_VALUE"""),"erry
2323 N Houston Street
Dallas, ")</f>
        <v>erry
2323 N Houston Street
Dallas, </v>
      </c>
      <c r="G203" s="8">
        <f>IFERROR(__xludf.DUMMYFUNCTION("""COMPUTED_VALUE"""),75219.0)</f>
        <v>75219</v>
      </c>
      <c r="I203" s="8">
        <f t="shared" si="2"/>
        <v>75219</v>
      </c>
      <c r="J203" s="9">
        <f>IFERROR(__xludf.DUMMYFUNCTION("SPLIT(I203,""-"")"),75219.0)</f>
        <v>75219</v>
      </c>
    </row>
    <row r="204">
      <c r="A204" s="5" t="s">
        <v>214</v>
      </c>
      <c r="B204" s="6">
        <v>1000.0</v>
      </c>
      <c r="C204" s="7" t="s">
        <v>35</v>
      </c>
      <c r="E204" s="8" t="str">
        <f>IFERROR(__xludf.DUMMYFUNCTION("SPLIT(A204,""TX"")"),"Gandy, Susan
202 E Wheatland Rd Ste 100 suite 100
Duncanville, ")</f>
        <v>Gandy, Susan
202 E Wheatland Rd Ste 100 suite 100
Duncanville, </v>
      </c>
      <c r="F204" s="8">
        <f>IFERROR(__xludf.DUMMYFUNCTION("""COMPUTED_VALUE"""),75116.0)</f>
        <v>75116</v>
      </c>
      <c r="I204" s="8">
        <f t="shared" si="2"/>
        <v>75116</v>
      </c>
      <c r="J204" s="9">
        <f>IFERROR(__xludf.DUMMYFUNCTION("SPLIT(I204,""-"")"),75116.0)</f>
        <v>75116</v>
      </c>
    </row>
    <row r="205">
      <c r="A205" s="10" t="s">
        <v>215</v>
      </c>
      <c r="B205" s="11">
        <v>50.0</v>
      </c>
      <c r="C205" s="12" t="s">
        <v>35</v>
      </c>
      <c r="E205" s="8" t="str">
        <f>IFERROR(__xludf.DUMMYFUNCTION("SPLIT(A205,""TX"")"),"Newman, Kate
10740 St. Michaels Drive
Dallas, ")</f>
        <v>Newman, Kate
10740 St. Michaels Drive
Dallas, </v>
      </c>
      <c r="F205" s="8">
        <f>IFERROR(__xludf.DUMMYFUNCTION("""COMPUTED_VALUE"""),75230.0)</f>
        <v>75230</v>
      </c>
      <c r="I205" s="8">
        <f t="shared" si="2"/>
        <v>75230</v>
      </c>
      <c r="J205" s="9">
        <f>IFERROR(__xludf.DUMMYFUNCTION("SPLIT(I205,""-"")"),75230.0)</f>
        <v>75230</v>
      </c>
    </row>
    <row r="206">
      <c r="A206" s="5" t="s">
        <v>216</v>
      </c>
      <c r="B206" s="6">
        <v>100.0</v>
      </c>
      <c r="C206" s="7" t="s">
        <v>35</v>
      </c>
      <c r="E206" s="8" t="str">
        <f>IFERROR(__xludf.DUMMYFUNCTION("SPLIT(A206,""TX"")"),"Santos, Charles
5567 Ledgestone Dr
Dallas, ")</f>
        <v>Santos, Charles
5567 Ledgestone Dr
Dallas, </v>
      </c>
      <c r="F206" s="8">
        <f>IFERROR(__xludf.DUMMYFUNCTION("""COMPUTED_VALUE"""),75214.0)</f>
        <v>75214</v>
      </c>
      <c r="I206" s="8">
        <f t="shared" si="2"/>
        <v>75214</v>
      </c>
      <c r="J206" s="9">
        <f>IFERROR(__xludf.DUMMYFUNCTION("SPLIT(I206,""-"")"),75214.0)</f>
        <v>75214</v>
      </c>
    </row>
    <row r="207">
      <c r="A207" s="10" t="s">
        <v>217</v>
      </c>
      <c r="B207" s="11">
        <v>100.0</v>
      </c>
      <c r="C207" s="12" t="s">
        <v>35</v>
      </c>
      <c r="E207" s="8" t="str">
        <f>IFERROR(__xludf.DUMMYFUNCTION("SPLIT(A207,""TX"")"),"Spaur, Amy
2732 San Jose Dr
Dallas, ")</f>
        <v>Spaur, Amy
2732 San Jose Dr
Dallas, </v>
      </c>
      <c r="F207" s="8">
        <f>IFERROR(__xludf.DUMMYFUNCTION("""COMPUTED_VALUE"""),75211.0)</f>
        <v>75211</v>
      </c>
      <c r="I207" s="8">
        <f t="shared" si="2"/>
        <v>75211</v>
      </c>
      <c r="J207" s="9">
        <f>IFERROR(__xludf.DUMMYFUNCTION("SPLIT(I207,""-"")"),75211.0)</f>
        <v>75211</v>
      </c>
    </row>
    <row r="208">
      <c r="A208" s="5" t="s">
        <v>218</v>
      </c>
      <c r="B208" s="6">
        <v>50.0</v>
      </c>
      <c r="C208" s="7" t="s">
        <v>35</v>
      </c>
      <c r="E208" s="8" t="str">
        <f>IFERROR(__xludf.DUMMYFUNCTION("SPLIT(A208,""TX"")"),"Kochie, Andrew
3223 Lemmon Ave Apartment 4140
Dallas, ")</f>
        <v>Kochie, Andrew
3223 Lemmon Ave Apartment 4140
Dallas, </v>
      </c>
      <c r="F208" s="8">
        <f>IFERROR(__xludf.DUMMYFUNCTION("""COMPUTED_VALUE"""),75204.0)</f>
        <v>75204</v>
      </c>
      <c r="I208" s="8">
        <f t="shared" si="2"/>
        <v>75204</v>
      </c>
      <c r="J208" s="9">
        <f>IFERROR(__xludf.DUMMYFUNCTION("SPLIT(I208,""-"")"),75204.0)</f>
        <v>75204</v>
      </c>
    </row>
    <row r="209">
      <c r="A209" s="10" t="s">
        <v>219</v>
      </c>
      <c r="B209" s="11">
        <v>27.0</v>
      </c>
      <c r="C209" s="12" t="s">
        <v>35</v>
      </c>
      <c r="E209" s="8" t="str">
        <f>IFERROR(__xludf.DUMMYFUNCTION("SPLIT(A209,""TX"")"),"De La Cruz, Sandra
3917 Van Ness Ln
Dallas, ")</f>
        <v>De La Cruz, Sandra
3917 Van Ness Ln
Dallas, </v>
      </c>
      <c r="F209" s="8">
        <f>IFERROR(__xludf.DUMMYFUNCTION("""COMPUTED_VALUE"""),75220.0)</f>
        <v>75220</v>
      </c>
      <c r="I209" s="8">
        <f t="shared" si="2"/>
        <v>75220</v>
      </c>
      <c r="J209" s="9">
        <f>IFERROR(__xludf.DUMMYFUNCTION("SPLIT(I209,""-"")"),75220.0)</f>
        <v>75220</v>
      </c>
    </row>
    <row r="210">
      <c r="A210" s="5" t="s">
        <v>220</v>
      </c>
      <c r="B210" s="6">
        <v>100.0</v>
      </c>
      <c r="C210" s="7" t="s">
        <v>35</v>
      </c>
      <c r="E210" s="8" t="str">
        <f>IFERROR(__xludf.DUMMYFUNCTION("SPLIT(A210,""TX"")"),"Flores, Hector
1030 ")</f>
        <v>Flores, Hector
1030 </v>
      </c>
      <c r="F210" s="8" t="str">
        <f>IFERROR(__xludf.DUMMYFUNCTION("""COMPUTED_VALUE"""),"racy Avenue
Duncanville, ")</f>
        <v>racy Avenue
Duncanville, </v>
      </c>
      <c r="G210" s="8">
        <f>IFERROR(__xludf.DUMMYFUNCTION("""COMPUTED_VALUE"""),75137.0)</f>
        <v>75137</v>
      </c>
      <c r="I210" s="8">
        <f t="shared" si="2"/>
        <v>75137</v>
      </c>
      <c r="J210" s="9">
        <f>IFERROR(__xludf.DUMMYFUNCTION("SPLIT(I210,""-"")"),75137.0)</f>
        <v>75137</v>
      </c>
    </row>
    <row r="211">
      <c r="A211" s="10" t="s">
        <v>221</v>
      </c>
      <c r="B211" s="11">
        <v>100.0</v>
      </c>
      <c r="C211" s="12" t="s">
        <v>35</v>
      </c>
      <c r="E211" s="8" t="str">
        <f>IFERROR(__xludf.DUMMYFUNCTION("SPLIT(A211,""TX"")"),"Montemayor, Lorraine
164 Wetzel
Kyle, ")</f>
        <v>Montemayor, Lorraine
164 Wetzel
Kyle, </v>
      </c>
      <c r="F211" s="8">
        <f>IFERROR(__xludf.DUMMYFUNCTION("""COMPUTED_VALUE"""),78640.0)</f>
        <v>78640</v>
      </c>
      <c r="I211" s="8">
        <f t="shared" si="2"/>
        <v>78640</v>
      </c>
      <c r="J211" s="9">
        <f>IFERROR(__xludf.DUMMYFUNCTION("SPLIT(I211,""-"")"),78640.0)</f>
        <v>78640</v>
      </c>
    </row>
    <row r="212">
      <c r="A212" s="5" t="s">
        <v>222</v>
      </c>
      <c r="B212" s="6">
        <v>50.0</v>
      </c>
      <c r="C212" s="7" t="s">
        <v>35</v>
      </c>
      <c r="E212" s="8" t="str">
        <f>IFERROR(__xludf.DUMMYFUNCTION("SPLIT(A212,""TX"")"),"Garcia, Abel
2805 Rice Dr.
Rowlett, ")</f>
        <v>Garcia, Abel
2805 Rice Dr.
Rowlett, </v>
      </c>
      <c r="F212" s="8">
        <f>IFERROR(__xludf.DUMMYFUNCTION("""COMPUTED_VALUE"""),75088.0)</f>
        <v>75088</v>
      </c>
      <c r="I212" s="8">
        <f t="shared" si="2"/>
        <v>75088</v>
      </c>
      <c r="J212" s="9">
        <f>IFERROR(__xludf.DUMMYFUNCTION("SPLIT(I212,""-"")"),75088.0)</f>
        <v>75088</v>
      </c>
    </row>
    <row r="213">
      <c r="A213" s="10" t="s">
        <v>223</v>
      </c>
      <c r="B213" s="11">
        <v>100.0</v>
      </c>
      <c r="C213" s="12" t="s">
        <v>35</v>
      </c>
      <c r="E213" s="8" t="str">
        <f>IFERROR(__xludf.DUMMYFUNCTION("SPLIT(A213,""TX"")"),"magee, susan
4022 Highgrove Drive
Dallas, ")</f>
        <v>magee, susan
4022 Highgrove Drive
Dallas, </v>
      </c>
      <c r="F213" s="8">
        <f>IFERROR(__xludf.DUMMYFUNCTION("""COMPUTED_VALUE"""),75220.0)</f>
        <v>75220</v>
      </c>
      <c r="I213" s="8">
        <f t="shared" si="2"/>
        <v>75220</v>
      </c>
      <c r="J213" s="9">
        <f>IFERROR(__xludf.DUMMYFUNCTION("SPLIT(I213,""-"")"),75220.0)</f>
        <v>75220</v>
      </c>
    </row>
    <row r="214">
      <c r="A214" s="5" t="s">
        <v>224</v>
      </c>
      <c r="B214" s="6">
        <v>100.0</v>
      </c>
      <c r="C214" s="7" t="s">
        <v>35</v>
      </c>
      <c r="E214" s="8" t="str">
        <f>IFERROR(__xludf.DUMMYFUNCTION("SPLIT(A214,""TX"")"),"Douglas, Lori
4540 Duckhorn Drive Ste 100
Sacramento, CA 95834")</f>
        <v>Douglas, Lori
4540 Duckhorn Drive Ste 100
Sacramento, CA 95834</v>
      </c>
      <c r="I214" s="8" t="str">
        <f t="shared" si="2"/>
        <v/>
      </c>
      <c r="J214" s="9" t="str">
        <f>IFERROR(__xludf.DUMMYFUNCTION("SPLIT(I214,""-"")"),"#VALUE!")</f>
        <v>#VALUE!</v>
      </c>
    </row>
    <row r="215">
      <c r="A215" s="10" t="s">
        <v>225</v>
      </c>
      <c r="B215" s="11">
        <v>1000.0</v>
      </c>
      <c r="C215" s="12" t="s">
        <v>35</v>
      </c>
      <c r="E215" s="8" t="str">
        <f>IFERROR(__xludf.DUMMYFUNCTION("SPLIT(A215,""TX"")"),"W, Christopher
1900 North Akard Street
Dallas, ")</f>
        <v>W, Christopher
1900 North Akard Street
Dallas, </v>
      </c>
      <c r="F215" s="8">
        <f>IFERROR(__xludf.DUMMYFUNCTION("""COMPUTED_VALUE"""),75201.0)</f>
        <v>75201</v>
      </c>
      <c r="I215" s="8">
        <f t="shared" si="2"/>
        <v>75201</v>
      </c>
      <c r="J215" s="9">
        <f>IFERROR(__xludf.DUMMYFUNCTION("SPLIT(I215,""-"")"),75201.0)</f>
        <v>75201</v>
      </c>
    </row>
    <row r="216">
      <c r="A216" s="5" t="s">
        <v>226</v>
      </c>
      <c r="B216" s="6">
        <v>50.0</v>
      </c>
      <c r="C216" s="7" t="s">
        <v>35</v>
      </c>
      <c r="E216" s="8" t="str">
        <f>IFERROR(__xludf.DUMMYFUNCTION("SPLIT(A216,""TX"")"),"Beckles, Loris A
4851 Cedar Springs Rd 282
Dallas, ")</f>
        <v>Beckles, Loris A
4851 Cedar Springs Rd 282
Dallas, </v>
      </c>
      <c r="F216" s="8">
        <f>IFERROR(__xludf.DUMMYFUNCTION("""COMPUTED_VALUE"""),75219.0)</f>
        <v>75219</v>
      </c>
      <c r="I216" s="8">
        <f t="shared" si="2"/>
        <v>75219</v>
      </c>
      <c r="J216" s="9">
        <f>IFERROR(__xludf.DUMMYFUNCTION("SPLIT(I216,""-"")"),75219.0)</f>
        <v>75219</v>
      </c>
    </row>
    <row r="217">
      <c r="A217" s="10" t="s">
        <v>227</v>
      </c>
      <c r="B217" s="11">
        <v>50.0</v>
      </c>
      <c r="C217" s="12" t="s">
        <v>35</v>
      </c>
      <c r="E217" s="8" t="str">
        <f>IFERROR(__xludf.DUMMYFUNCTION("SPLIT(A217,""TX"")"),"Long, Cyndi
1303 Chemical St
Dallas, ")</f>
        <v>Long, Cyndi
1303 Chemical St
Dallas, </v>
      </c>
      <c r="F217" s="8">
        <f>IFERROR(__xludf.DUMMYFUNCTION("""COMPUTED_VALUE"""),75207.0)</f>
        <v>75207</v>
      </c>
      <c r="I217" s="8">
        <f t="shared" si="2"/>
        <v>75207</v>
      </c>
      <c r="J217" s="9">
        <f>IFERROR(__xludf.DUMMYFUNCTION("SPLIT(I217,""-"")"),75207.0)</f>
        <v>75207</v>
      </c>
    </row>
    <row r="218">
      <c r="A218" s="5" t="s">
        <v>228</v>
      </c>
      <c r="B218" s="6">
        <v>50.0</v>
      </c>
      <c r="C218" s="7" t="s">
        <v>35</v>
      </c>
      <c r="E218" s="8" t="str">
        <f>IFERROR(__xludf.DUMMYFUNCTION("SPLIT(A218,""TX"")"),"Morgan, Aschelle
390 E Oakenwald St
Dallas, ")</f>
        <v>Morgan, Aschelle
390 E Oakenwald St
Dallas, </v>
      </c>
      <c r="F218" s="8">
        <f>IFERROR(__xludf.DUMMYFUNCTION("""COMPUTED_VALUE"""),75203.0)</f>
        <v>75203</v>
      </c>
      <c r="I218" s="8">
        <f t="shared" si="2"/>
        <v>75203</v>
      </c>
      <c r="J218" s="9">
        <f>IFERROR(__xludf.DUMMYFUNCTION("SPLIT(I218,""-"")"),75203.0)</f>
        <v>75203</v>
      </c>
    </row>
    <row r="219">
      <c r="A219" s="10" t="s">
        <v>229</v>
      </c>
      <c r="B219" s="11">
        <v>50.0</v>
      </c>
      <c r="C219" s="12" t="s">
        <v>35</v>
      </c>
      <c r="E219" s="8" t="str">
        <f>IFERROR(__xludf.DUMMYFUNCTION("SPLIT(A219,""TX"")"),"Cardona, Sara
304 St. Michaels Drive
Dallas, ")</f>
        <v>Cardona, Sara
304 St. Michaels Drive
Dallas, </v>
      </c>
      <c r="F219" s="8">
        <f>IFERROR(__xludf.DUMMYFUNCTION("""COMPUTED_VALUE"""),75208.0)</f>
        <v>75208</v>
      </c>
      <c r="I219" s="8">
        <f t="shared" si="2"/>
        <v>75208</v>
      </c>
      <c r="J219" s="9">
        <f>IFERROR(__xludf.DUMMYFUNCTION("SPLIT(I219,""-"")"),75208.0)</f>
        <v>75208</v>
      </c>
    </row>
    <row r="220">
      <c r="A220" s="5" t="s">
        <v>230</v>
      </c>
      <c r="B220" s="6">
        <v>100.0</v>
      </c>
      <c r="C220" s="7" t="s">
        <v>35</v>
      </c>
      <c r="E220" s="8" t="str">
        <f>IFERROR(__xludf.DUMMYFUNCTION("SPLIT(A220,""TX"")"),"Considine, Carol
7230 Westlake Ave
Dallas, ")</f>
        <v>Considine, Carol
7230 Westlake Ave
Dallas, </v>
      </c>
      <c r="F220" s="8">
        <f>IFERROR(__xludf.DUMMYFUNCTION("""COMPUTED_VALUE"""),75214.0)</f>
        <v>75214</v>
      </c>
      <c r="I220" s="8">
        <f t="shared" si="2"/>
        <v>75214</v>
      </c>
      <c r="J220" s="9">
        <f>IFERROR(__xludf.DUMMYFUNCTION("SPLIT(I220,""-"")"),75214.0)</f>
        <v>75214</v>
      </c>
    </row>
    <row r="221">
      <c r="A221" s="10" t="s">
        <v>219</v>
      </c>
      <c r="B221" s="11">
        <v>27.0</v>
      </c>
      <c r="C221" s="12" t="s">
        <v>35</v>
      </c>
      <c r="E221" s="8" t="str">
        <f>IFERROR(__xludf.DUMMYFUNCTION("SPLIT(A221,""TX"")"),"De La Cruz, Sandra
3917 Van Ness Ln
Dallas, ")</f>
        <v>De La Cruz, Sandra
3917 Van Ness Ln
Dallas, </v>
      </c>
      <c r="F221" s="8">
        <f>IFERROR(__xludf.DUMMYFUNCTION("""COMPUTED_VALUE"""),75220.0)</f>
        <v>75220</v>
      </c>
      <c r="I221" s="8">
        <f t="shared" si="2"/>
        <v>75220</v>
      </c>
      <c r="J221" s="9">
        <f>IFERROR(__xludf.DUMMYFUNCTION("SPLIT(I221,""-"")"),75220.0)</f>
        <v>75220</v>
      </c>
    </row>
    <row r="222">
      <c r="A222" s="5" t="s">
        <v>231</v>
      </c>
      <c r="B222" s="6">
        <v>200.0</v>
      </c>
      <c r="C222" s="7" t="s">
        <v>35</v>
      </c>
      <c r="E222" s="8" t="str">
        <f>IFERROR(__xludf.DUMMYFUNCTION("SPLIT(A222,""TX"")"),"Brown, Susanna
4175 Wilada Drive
Dallas, ")</f>
        <v>Brown, Susanna
4175 Wilada Drive
Dallas, </v>
      </c>
      <c r="F222" s="8">
        <f>IFERROR(__xludf.DUMMYFUNCTION("""COMPUTED_VALUE"""),75220.0)</f>
        <v>75220</v>
      </c>
      <c r="I222" s="8">
        <f t="shared" si="2"/>
        <v>75220</v>
      </c>
      <c r="J222" s="9">
        <f>IFERROR(__xludf.DUMMYFUNCTION("SPLIT(I222,""-"")"),75220.0)</f>
        <v>75220</v>
      </c>
    </row>
    <row r="223">
      <c r="A223" s="10" t="s">
        <v>232</v>
      </c>
      <c r="B223" s="11">
        <v>27.0</v>
      </c>
      <c r="C223" s="12" t="s">
        <v>35</v>
      </c>
      <c r="E223" s="8" t="str">
        <f>IFERROR(__xludf.DUMMYFUNCTION("SPLIT(A223,""TX"")"),"Sholars, Cora
3154 LOCKMOOR LANE
DALLAS, ")</f>
        <v>Sholars, Cora
3154 LOCKMOOR LANE
DALLAS, </v>
      </c>
      <c r="F223" s="8">
        <f>IFERROR(__xludf.DUMMYFUNCTION("""COMPUTED_VALUE"""),75220.0)</f>
        <v>75220</v>
      </c>
      <c r="I223" s="8">
        <f t="shared" si="2"/>
        <v>75220</v>
      </c>
      <c r="J223" s="9">
        <f>IFERROR(__xludf.DUMMYFUNCTION("SPLIT(I223,""-"")"),75220.0)</f>
        <v>75220</v>
      </c>
    </row>
    <row r="224">
      <c r="A224" s="5" t="s">
        <v>233</v>
      </c>
      <c r="B224" s="6">
        <v>1000.0</v>
      </c>
      <c r="C224" s="7" t="s">
        <v>35</v>
      </c>
      <c r="E224" s="8" t="str">
        <f>IFERROR(__xludf.DUMMYFUNCTION("SPLIT(A224,""TX"")"),"Davis, Macey
8322 Ridgelea St
Dallas, ")</f>
        <v>Davis, Macey
8322 Ridgelea St
Dallas, </v>
      </c>
      <c r="F224" s="8">
        <f>IFERROR(__xludf.DUMMYFUNCTION("""COMPUTED_VALUE"""),75209.0)</f>
        <v>75209</v>
      </c>
      <c r="I224" s="8">
        <f t="shared" si="2"/>
        <v>75209</v>
      </c>
      <c r="J224" s="9">
        <f>IFERROR(__xludf.DUMMYFUNCTION("SPLIT(I224,""-"")"),75209.0)</f>
        <v>75209</v>
      </c>
    </row>
    <row r="225">
      <c r="A225" s="10" t="s">
        <v>234</v>
      </c>
      <c r="B225" s="11">
        <v>50.0</v>
      </c>
      <c r="C225" s="12" t="s">
        <v>35</v>
      </c>
      <c r="E225" s="8" t="str">
        <f>IFERROR(__xludf.DUMMYFUNCTION("SPLIT(A225,""TX"")"),"Wilson, Chris
3176 Darvany Dr
Dallas, ")</f>
        <v>Wilson, Chris
3176 Darvany Dr
Dallas, </v>
      </c>
      <c r="F225" s="8">
        <f>IFERROR(__xludf.DUMMYFUNCTION("""COMPUTED_VALUE"""),75220.0)</f>
        <v>75220</v>
      </c>
      <c r="I225" s="8">
        <f t="shared" si="2"/>
        <v>75220</v>
      </c>
      <c r="J225" s="9">
        <f>IFERROR(__xludf.DUMMYFUNCTION("SPLIT(I225,""-"")"),75220.0)</f>
        <v>75220</v>
      </c>
    </row>
    <row r="226">
      <c r="A226" s="5" t="s">
        <v>235</v>
      </c>
      <c r="B226" s="6">
        <v>500.0</v>
      </c>
      <c r="C226" s="7" t="s">
        <v>35</v>
      </c>
      <c r="E226" s="8" t="str">
        <f>IFERROR(__xludf.DUMMYFUNCTION("SPLIT(A226,""TX"")"),"Khan, Margo
11410 Harry Hines
Dallas, ")</f>
        <v>Khan, Margo
11410 Harry Hines
Dallas, </v>
      </c>
      <c r="F226" s="8">
        <f>IFERROR(__xludf.DUMMYFUNCTION("""COMPUTED_VALUE"""),75229.0)</f>
        <v>75229</v>
      </c>
      <c r="I226" s="8">
        <f t="shared" si="2"/>
        <v>75229</v>
      </c>
      <c r="J226" s="9">
        <f>IFERROR(__xludf.DUMMYFUNCTION("SPLIT(I226,""-"")"),75229.0)</f>
        <v>75229</v>
      </c>
    </row>
    <row r="227">
      <c r="A227" s="10" t="s">
        <v>236</v>
      </c>
      <c r="B227" s="11">
        <v>500.0</v>
      </c>
      <c r="C227" s="12" t="s">
        <v>35</v>
      </c>
      <c r="E227" s="8" t="str">
        <f>IFERROR(__xludf.DUMMYFUNCTION("SPLIT(A227,""TX"")"),"Hannara Centre LLC
7416 Summitview
Irving, ")</f>
        <v>Hannara Centre LLC
7416 Summitview
Irving, </v>
      </c>
      <c r="F227" s="8">
        <f>IFERROR(__xludf.DUMMYFUNCTION("""COMPUTED_VALUE"""),75063.0)</f>
        <v>75063</v>
      </c>
      <c r="I227" s="8">
        <f t="shared" si="2"/>
        <v>75063</v>
      </c>
      <c r="J227" s="9">
        <f>IFERROR(__xludf.DUMMYFUNCTION("SPLIT(I227,""-"")"),75063.0)</f>
        <v>75063</v>
      </c>
    </row>
    <row r="228">
      <c r="A228" s="5" t="s">
        <v>237</v>
      </c>
      <c r="B228" s="6">
        <v>1000.0</v>
      </c>
      <c r="C228" s="7" t="s">
        <v>35</v>
      </c>
      <c r="E228" s="8" t="str">
        <f>IFERROR(__xludf.DUMMYFUNCTION("SPLIT(A228,""TX"")"),"Kim, Rae
2529 Royal Lane
Dallas, ")</f>
        <v>Kim, Rae
2529 Royal Lane
Dallas, </v>
      </c>
      <c r="F228" s="8">
        <f>IFERROR(__xludf.DUMMYFUNCTION("""COMPUTED_VALUE"""),75229.0)</f>
        <v>75229</v>
      </c>
      <c r="I228" s="8">
        <f t="shared" si="2"/>
        <v>75229</v>
      </c>
      <c r="J228" s="9">
        <f>IFERROR(__xludf.DUMMYFUNCTION("SPLIT(I228,""-"")"),75229.0)</f>
        <v>75229</v>
      </c>
    </row>
    <row r="229">
      <c r="A229" s="10" t="s">
        <v>238</v>
      </c>
      <c r="B229" s="11">
        <v>1000.0</v>
      </c>
      <c r="C229" s="12" t="s">
        <v>35</v>
      </c>
      <c r="E229" s="8" t="str">
        <f>IFERROR(__xludf.DUMMYFUNCTION("SPLIT(A229,""TX"")"),"Jeanne Dallasrealty LLC
1528 Van Winkle
Carrollton, ")</f>
        <v>Jeanne Dallasrealty LLC
1528 Van Winkle
Carrollton, </v>
      </c>
      <c r="F229" s="8">
        <f>IFERROR(__xludf.DUMMYFUNCTION("""COMPUTED_VALUE"""),75007.0)</f>
        <v>75007</v>
      </c>
      <c r="I229" s="8">
        <f t="shared" si="2"/>
        <v>75007</v>
      </c>
      <c r="J229" s="9">
        <f>IFERROR(__xludf.DUMMYFUNCTION("SPLIT(I229,""-"")"),75007.0)</f>
        <v>75007</v>
      </c>
    </row>
    <row r="230">
      <c r="A230" s="5" t="s">
        <v>239</v>
      </c>
      <c r="B230" s="6">
        <v>500.0</v>
      </c>
      <c r="C230" s="7" t="s">
        <v>35</v>
      </c>
      <c r="E230" s="8" t="str">
        <f>IFERROR(__xludf.DUMMYFUNCTION("SPLIT(A230,""TX"")"),"Han, Song
2411 Huntersridge
Irving, ")</f>
        <v>Han, Song
2411 Huntersridge
Irving, </v>
      </c>
      <c r="F230" s="8">
        <f>IFERROR(__xludf.DUMMYFUNCTION("""COMPUTED_VALUE"""),75063.0)</f>
        <v>75063</v>
      </c>
      <c r="I230" s="8">
        <f t="shared" si="2"/>
        <v>75063</v>
      </c>
      <c r="J230" s="9">
        <f>IFERROR(__xludf.DUMMYFUNCTION("SPLIT(I230,""-"")"),75063.0)</f>
        <v>75063</v>
      </c>
    </row>
    <row r="231">
      <c r="A231" s="10" t="s">
        <v>240</v>
      </c>
      <c r="B231" s="11">
        <v>500.0</v>
      </c>
      <c r="C231" s="12" t="s">
        <v>241</v>
      </c>
      <c r="E231" s="8" t="str">
        <f>IFERROR(__xludf.DUMMYFUNCTION("SPLIT(A231,""TX"")"),"homas, Okema
2603 Southland St.
Dallas, ")</f>
        <v>homas, Okema
2603 Southland St.
Dallas, </v>
      </c>
      <c r="F231" s="8">
        <f>IFERROR(__xludf.DUMMYFUNCTION("""COMPUTED_VALUE"""),75215.0)</f>
        <v>75215</v>
      </c>
      <c r="I231" s="8">
        <f t="shared" si="2"/>
        <v>75215</v>
      </c>
      <c r="J231" s="9">
        <f>IFERROR(__xludf.DUMMYFUNCTION("SPLIT(I231,""-"")"),75215.0)</f>
        <v>75215</v>
      </c>
    </row>
    <row r="232">
      <c r="A232" s="5" t="s">
        <v>242</v>
      </c>
      <c r="B232" s="6">
        <v>200.0</v>
      </c>
      <c r="C232" s="7" t="s">
        <v>35</v>
      </c>
      <c r="E232" s="8" t="str">
        <f>IFERROR(__xludf.DUMMYFUNCTION("SPLIT(A232,""TX"")"),"Seo, Hwang
7416 Summitview
Irving, ")</f>
        <v>Seo, Hwang
7416 Summitview
Irving, </v>
      </c>
      <c r="F232" s="8">
        <f>IFERROR(__xludf.DUMMYFUNCTION("""COMPUTED_VALUE"""),75063.0)</f>
        <v>75063</v>
      </c>
      <c r="I232" s="8">
        <f t="shared" si="2"/>
        <v>75063</v>
      </c>
      <c r="J232" s="9">
        <f>IFERROR(__xludf.DUMMYFUNCTION("SPLIT(I232,""-"")"),75063.0)</f>
        <v>75063</v>
      </c>
    </row>
    <row r="233">
      <c r="A233" s="10" t="s">
        <v>243</v>
      </c>
      <c r="B233" s="11">
        <v>300.0</v>
      </c>
      <c r="C233" s="12" t="s">
        <v>35</v>
      </c>
      <c r="E233" s="8" t="str">
        <f>IFERROR(__xludf.DUMMYFUNCTION("SPLIT(A233,""TX"")"),"Hong, Ho
971 Laguna
Dallas, ")</f>
        <v>Hong, Ho
971 Laguna
Dallas, </v>
      </c>
      <c r="F233" s="8">
        <f>IFERROR(__xludf.DUMMYFUNCTION("""COMPUTED_VALUE"""),75019.0)</f>
        <v>75019</v>
      </c>
      <c r="I233" s="8">
        <f t="shared" si="2"/>
        <v>75019</v>
      </c>
      <c r="J233" s="9">
        <f>IFERROR(__xludf.DUMMYFUNCTION("SPLIT(I233,""-"")"),75019.0)</f>
        <v>75019</v>
      </c>
    </row>
    <row r="234">
      <c r="A234" s="5" t="s">
        <v>240</v>
      </c>
      <c r="B234" s="6">
        <v>500.0</v>
      </c>
      <c r="C234" s="7" t="s">
        <v>241</v>
      </c>
      <c r="E234" s="8" t="str">
        <f>IFERROR(__xludf.DUMMYFUNCTION("SPLIT(A234,""TX"")"),"homas, Okema
2603 Southland St.
Dallas, ")</f>
        <v>homas, Okema
2603 Southland St.
Dallas, </v>
      </c>
      <c r="F234" s="8">
        <f>IFERROR(__xludf.DUMMYFUNCTION("""COMPUTED_VALUE"""),75215.0)</f>
        <v>75215</v>
      </c>
      <c r="I234" s="8">
        <f t="shared" si="2"/>
        <v>75215</v>
      </c>
      <c r="J234" s="9">
        <f>IFERROR(__xludf.DUMMYFUNCTION("SPLIT(I234,""-"")"),75215.0)</f>
        <v>75215</v>
      </c>
    </row>
    <row r="235">
      <c r="A235" s="10" t="s">
        <v>244</v>
      </c>
      <c r="B235" s="11">
        <v>500.0</v>
      </c>
      <c r="C235" s="12" t="s">
        <v>35</v>
      </c>
      <c r="E235" s="8" t="str">
        <f>IFERROR(__xludf.DUMMYFUNCTION("SPLIT(A235,""TX"")"),"Lee, Youn
117 S holly st
Coppell, ")</f>
        <v>Lee, Youn
117 S holly st
Coppell, </v>
      </c>
      <c r="F235" s="8">
        <f>IFERROR(__xludf.DUMMYFUNCTION("""COMPUTED_VALUE"""),75019.0)</f>
        <v>75019</v>
      </c>
      <c r="I235" s="8">
        <f t="shared" si="2"/>
        <v>75019</v>
      </c>
      <c r="J235" s="9">
        <f>IFERROR(__xludf.DUMMYFUNCTION("SPLIT(I235,""-"")"),75019.0)</f>
        <v>75019</v>
      </c>
    </row>
    <row r="236">
      <c r="A236" s="5" t="s">
        <v>245</v>
      </c>
      <c r="B236" s="6">
        <v>500.0</v>
      </c>
      <c r="C236" s="7" t="s">
        <v>35</v>
      </c>
      <c r="E236" s="8" t="str">
        <f>IFERROR(__xludf.DUMMYFUNCTION("SPLIT(A236,""TX"")"),"Santiago, Sally
2010 Woods
Monterrey Park, CA 91754")</f>
        <v>Santiago, Sally
2010 Woods
Monterrey Park, CA 91754</v>
      </c>
      <c r="I236" s="8" t="str">
        <f t="shared" si="2"/>
        <v/>
      </c>
      <c r="J236" s="9" t="str">
        <f>IFERROR(__xludf.DUMMYFUNCTION("SPLIT(I236,""-"")"),"#VALUE!")</f>
        <v>#VALUE!</v>
      </c>
    </row>
    <row r="237">
      <c r="A237" s="10" t="s">
        <v>246</v>
      </c>
      <c r="B237" s="11">
        <v>1000.0</v>
      </c>
      <c r="C237" s="12" t="s">
        <v>35</v>
      </c>
      <c r="E237" s="8" t="str">
        <f>IFERROR(__xludf.DUMMYFUNCTION("SPLIT(A237,""TX"")"),"Regalado, Rosalie
713 Stargazer
Beaumont, CA 92222")</f>
        <v>Regalado, Rosalie
713 Stargazer
Beaumont, CA 92222</v>
      </c>
      <c r="I237" s="8" t="str">
        <f t="shared" si="2"/>
        <v/>
      </c>
      <c r="J237" s="9" t="str">
        <f>IFERROR(__xludf.DUMMYFUNCTION("SPLIT(I237,""-"")"),"#VALUE!")</f>
        <v>#VALUE!</v>
      </c>
    </row>
    <row r="238">
      <c r="A238" s="5" t="s">
        <v>247</v>
      </c>
      <c r="B238" s="6">
        <v>100.0</v>
      </c>
      <c r="C238" s="7" t="s">
        <v>35</v>
      </c>
      <c r="E238" s="8" t="str">
        <f>IFERROR(__xludf.DUMMYFUNCTION("SPLIT(A238,""TX"")"),"Martinez, Maria
10403 La rosa dr
")</f>
        <v>Martinez, Maria
10403 La rosa dr
</v>
      </c>
      <c r="F238" s="8" t="str">
        <f>IFERROR(__xludf.DUMMYFUNCTION("""COMPUTED_VALUE"""),"emple City, CA 91780")</f>
        <v>emple City, CA 91780</v>
      </c>
      <c r="J238" s="9" t="str">
        <f>IFERROR(__xludf.DUMMYFUNCTION("SPLIT(I238,""-"")"),"#VALUE!")</f>
        <v>#VALUE!</v>
      </c>
    </row>
    <row r="239">
      <c r="A239" s="10" t="s">
        <v>248</v>
      </c>
      <c r="B239" s="11">
        <v>500.0</v>
      </c>
      <c r="C239" s="12" t="s">
        <v>35</v>
      </c>
      <c r="E239" s="8" t="str">
        <f>IFERROR(__xludf.DUMMYFUNCTION("SPLIT(A239,""TX"")"),"Ko, Kun
229 Bricknel
Coppell, ")</f>
        <v>Ko, Kun
229 Bricknel
Coppell, </v>
      </c>
      <c r="F239" s="8">
        <f>IFERROR(__xludf.DUMMYFUNCTION("""COMPUTED_VALUE"""),75019.0)</f>
        <v>75019</v>
      </c>
      <c r="I239" s="8">
        <f t="shared" ref="I239:I338" si="3">IF(ISBLANK(G239),F239,G239)</f>
        <v>75019</v>
      </c>
      <c r="J239" s="9">
        <f>IFERROR(__xludf.DUMMYFUNCTION("SPLIT(I239,""-"")"),75019.0)</f>
        <v>75019</v>
      </c>
    </row>
    <row r="240">
      <c r="A240" s="5" t="s">
        <v>249</v>
      </c>
      <c r="B240" s="6">
        <v>1000.0</v>
      </c>
      <c r="C240" s="7" t="s">
        <v>35</v>
      </c>
      <c r="E240" s="8" t="str">
        <f>IFERROR(__xludf.DUMMYFUNCTION("SPLIT(A240,""TX"")"),"Lee, Sang
6409 Crestmoor
Sachse, ")</f>
        <v>Lee, Sang
6409 Crestmoor
Sachse, </v>
      </c>
      <c r="F240" s="8">
        <f>IFERROR(__xludf.DUMMYFUNCTION("""COMPUTED_VALUE"""),75048.0)</f>
        <v>75048</v>
      </c>
      <c r="I240" s="8">
        <f t="shared" si="3"/>
        <v>75048</v>
      </c>
      <c r="J240" s="9">
        <f>IFERROR(__xludf.DUMMYFUNCTION("SPLIT(I240,""-"")"),75048.0)</f>
        <v>75048</v>
      </c>
    </row>
    <row r="241">
      <c r="A241" s="10" t="s">
        <v>250</v>
      </c>
      <c r="B241" s="11">
        <v>500.0</v>
      </c>
      <c r="C241" s="12" t="s">
        <v>35</v>
      </c>
      <c r="E241" s="8" t="str">
        <f>IFERROR(__xludf.DUMMYFUNCTION("SPLIT(A241,""TX"")"),"Sohn, Steven
816 Rockingham
Irving, ")</f>
        <v>Sohn, Steven
816 Rockingham
Irving, </v>
      </c>
      <c r="F241" s="8">
        <f>IFERROR(__xludf.DUMMYFUNCTION("""COMPUTED_VALUE"""),75063.0)</f>
        <v>75063</v>
      </c>
      <c r="I241" s="8">
        <f t="shared" si="3"/>
        <v>75063</v>
      </c>
      <c r="J241" s="9">
        <f>IFERROR(__xludf.DUMMYFUNCTION("SPLIT(I241,""-"")"),75063.0)</f>
        <v>75063</v>
      </c>
    </row>
    <row r="242">
      <c r="A242" s="5" t="s">
        <v>251</v>
      </c>
      <c r="B242" s="6">
        <v>1000.0</v>
      </c>
      <c r="C242" s="7" t="s">
        <v>35</v>
      </c>
      <c r="E242" s="8" t="str">
        <f>IFERROR(__xludf.DUMMYFUNCTION("SPLIT(A242,""TX"")"),"Dominguez, Benjamin
PO Box 1189
Rialto, CA 92377")</f>
        <v>Dominguez, Benjamin
PO Box 1189
Rialto, CA 92377</v>
      </c>
      <c r="I242" s="8" t="str">
        <f t="shared" si="3"/>
        <v/>
      </c>
      <c r="J242" s="9" t="str">
        <f>IFERROR(__xludf.DUMMYFUNCTION("SPLIT(I242,""-"")"),"#VALUE!")</f>
        <v>#VALUE!</v>
      </c>
    </row>
    <row r="243">
      <c r="A243" s="10" t="s">
        <v>252</v>
      </c>
      <c r="B243" s="11">
        <v>500.0</v>
      </c>
      <c r="C243" s="12" t="s">
        <v>35</v>
      </c>
      <c r="E243" s="8" t="str">
        <f>IFERROR(__xludf.DUMMYFUNCTION("SPLIT(A243,""TX"")"),"Dominga, Carol
6083 Bristol Parkway
Culver City, CA 90230")</f>
        <v>Dominga, Carol
6083 Bristol Parkway
Culver City, CA 90230</v>
      </c>
      <c r="I243" s="8" t="str">
        <f t="shared" si="3"/>
        <v/>
      </c>
      <c r="J243" s="9" t="str">
        <f>IFERROR(__xludf.DUMMYFUNCTION("SPLIT(I243,""-"")"),"#VALUE!")</f>
        <v>#VALUE!</v>
      </c>
    </row>
    <row r="244">
      <c r="A244" s="5" t="s">
        <v>253</v>
      </c>
      <c r="B244" s="6">
        <v>500.0</v>
      </c>
      <c r="C244" s="7" t="s">
        <v>35</v>
      </c>
      <c r="E244" s="8" t="str">
        <f>IFERROR(__xludf.DUMMYFUNCTION("SPLIT(A244,""TX"")"),"Empire SCH Enterprise LLC
2680 Old Denton Rd
Carrollton, ")</f>
        <v>Empire SCH Enterprise LLC
2680 Old Denton Rd
Carrollton, </v>
      </c>
      <c r="F244" s="8">
        <f>IFERROR(__xludf.DUMMYFUNCTION("""COMPUTED_VALUE"""),75007.0)</f>
        <v>75007</v>
      </c>
      <c r="I244" s="8">
        <f t="shared" si="3"/>
        <v>75007</v>
      </c>
      <c r="J244" s="9">
        <f>IFERROR(__xludf.DUMMYFUNCTION("SPLIT(I244,""-"")"),75007.0)</f>
        <v>75007</v>
      </c>
    </row>
    <row r="245">
      <c r="A245" s="10" t="s">
        <v>254</v>
      </c>
      <c r="B245" s="11">
        <v>250.0</v>
      </c>
      <c r="C245" s="12" t="s">
        <v>35</v>
      </c>
      <c r="E245" s="8" t="str">
        <f>IFERROR(__xludf.DUMMYFUNCTION("SPLIT(A245,""TX"")"),"Minnis, Norma
PO Box 140977
Dallas, ")</f>
        <v>Minnis, Norma
PO Box 140977
Dallas, </v>
      </c>
      <c r="F245" s="8">
        <f>IFERROR(__xludf.DUMMYFUNCTION("""COMPUTED_VALUE"""),75214.0)</f>
        <v>75214</v>
      </c>
      <c r="I245" s="8">
        <f t="shared" si="3"/>
        <v>75214</v>
      </c>
      <c r="J245" s="9">
        <f>IFERROR(__xludf.DUMMYFUNCTION("SPLIT(I245,""-"")"),75214.0)</f>
        <v>75214</v>
      </c>
    </row>
    <row r="246">
      <c r="A246" s="10" t="s">
        <v>255</v>
      </c>
      <c r="B246" s="11">
        <v>500.0</v>
      </c>
      <c r="C246" s="12" t="s">
        <v>35</v>
      </c>
      <c r="E246" s="8" t="str">
        <f>IFERROR(__xludf.DUMMYFUNCTION("SPLIT(A246,""TX"")"),"Hobiho, Hae
7416 Summitview
Irving, ")</f>
        <v>Hobiho, Hae
7416 Summitview
Irving, </v>
      </c>
      <c r="F246" s="8">
        <f>IFERROR(__xludf.DUMMYFUNCTION("""COMPUTED_VALUE"""),75063.0)</f>
        <v>75063</v>
      </c>
      <c r="I246" s="8">
        <f t="shared" si="3"/>
        <v>75063</v>
      </c>
      <c r="J246" s="9">
        <f>IFERROR(__xludf.DUMMYFUNCTION("SPLIT(I246,""-"")"),75063.0)</f>
        <v>75063</v>
      </c>
    </row>
    <row r="247">
      <c r="A247" s="5" t="s">
        <v>256</v>
      </c>
      <c r="B247" s="6">
        <v>1000.0</v>
      </c>
      <c r="C247" s="7" t="s">
        <v>35</v>
      </c>
      <c r="E247" s="8" t="str">
        <f>IFERROR(__xludf.DUMMYFUNCTION("SPLIT(A247,""TX"")"),"Royal Plaza Investment LLC
2625 Old Denton Road
Carrollton, ")</f>
        <v>Royal Plaza Investment LLC
2625 Old Denton Road
Carrollton, </v>
      </c>
      <c r="F247" s="8">
        <f>IFERROR(__xludf.DUMMYFUNCTION("""COMPUTED_VALUE"""),75007.0)</f>
        <v>75007</v>
      </c>
      <c r="I247" s="8">
        <f t="shared" si="3"/>
        <v>75007</v>
      </c>
      <c r="J247" s="9">
        <f>IFERROR(__xludf.DUMMYFUNCTION("SPLIT(I247,""-"")"),75007.0)</f>
        <v>75007</v>
      </c>
    </row>
    <row r="248">
      <c r="A248" s="10" t="s">
        <v>257</v>
      </c>
      <c r="B248" s="11">
        <v>500.0</v>
      </c>
      <c r="C248" s="12" t="s">
        <v>35</v>
      </c>
      <c r="E248" s="8" t="str">
        <f>IFERROR(__xludf.DUMMYFUNCTION("SPLIT(A248,""TX"")"),"Kim, Margaret
11410 Harry Hines
Dallas, ")</f>
        <v>Kim, Margaret
11410 Harry Hines
Dallas, </v>
      </c>
      <c r="F248" s="8">
        <f>IFERROR(__xludf.DUMMYFUNCTION("""COMPUTED_VALUE"""),75229.0)</f>
        <v>75229</v>
      </c>
      <c r="I248" s="8">
        <f t="shared" si="3"/>
        <v>75229</v>
      </c>
      <c r="J248" s="9">
        <f>IFERROR(__xludf.DUMMYFUNCTION("SPLIT(I248,""-"")"),75229.0)</f>
        <v>75229</v>
      </c>
    </row>
    <row r="249">
      <c r="A249" s="5" t="s">
        <v>258</v>
      </c>
      <c r="B249" s="6">
        <v>1000.0</v>
      </c>
      <c r="C249" s="7" t="s">
        <v>35</v>
      </c>
      <c r="E249" s="8" t="str">
        <f>IFERROR(__xludf.DUMMYFUNCTION("SPLIT(A249,""TX"")"),"Kwon, Il
14601 Northern
Flushing, NY 00771")</f>
        <v>Kwon, Il
14601 Northern
Flushing, NY 00771</v>
      </c>
      <c r="I249" s="8" t="str">
        <f t="shared" si="3"/>
        <v/>
      </c>
      <c r="J249" s="9" t="str">
        <f>IFERROR(__xludf.DUMMYFUNCTION("SPLIT(I249,""-"")"),"#VALUE!")</f>
        <v>#VALUE!</v>
      </c>
    </row>
    <row r="250">
      <c r="A250" s="10" t="s">
        <v>259</v>
      </c>
      <c r="B250" s="11">
        <v>1000.0</v>
      </c>
      <c r="C250" s="12" t="s">
        <v>35</v>
      </c>
      <c r="E250" s="8" t="str">
        <f>IFERROR(__xludf.DUMMYFUNCTION("SPLIT(A250,""TX"")"),"Lee, Soo
2174 Royal lane
Dallas, ")</f>
        <v>Lee, Soo
2174 Royal lane
Dallas, </v>
      </c>
      <c r="F250" s="8">
        <f>IFERROR(__xludf.DUMMYFUNCTION("""COMPUTED_VALUE"""),75229.0)</f>
        <v>75229</v>
      </c>
      <c r="I250" s="8">
        <f t="shared" si="3"/>
        <v>75229</v>
      </c>
      <c r="J250" s="9">
        <f>IFERROR(__xludf.DUMMYFUNCTION("SPLIT(I250,""-"")"),75229.0)</f>
        <v>75229</v>
      </c>
    </row>
    <row r="251">
      <c r="A251" s="5" t="s">
        <v>260</v>
      </c>
      <c r="B251" s="6">
        <v>1000.0</v>
      </c>
      <c r="C251" s="7" t="s">
        <v>35</v>
      </c>
      <c r="E251" s="8" t="str">
        <f>IFERROR(__xludf.DUMMYFUNCTION("SPLIT(A251,""TX"")"),"Park, Bong
3713 Winchester
Lewisville, ")</f>
        <v>Park, Bong
3713 Winchester
Lewisville, </v>
      </c>
      <c r="F251" s="8">
        <f>IFERROR(__xludf.DUMMYFUNCTION("""COMPUTED_VALUE"""),75056.0)</f>
        <v>75056</v>
      </c>
      <c r="I251" s="8">
        <f t="shared" si="3"/>
        <v>75056</v>
      </c>
      <c r="J251" s="9">
        <f>IFERROR(__xludf.DUMMYFUNCTION("SPLIT(I251,""-"")"),75056.0)</f>
        <v>75056</v>
      </c>
    </row>
    <row r="252">
      <c r="A252" s="10" t="s">
        <v>261</v>
      </c>
      <c r="B252" s="11">
        <v>1000.0</v>
      </c>
      <c r="C252" s="12" t="s">
        <v>5</v>
      </c>
      <c r="E252" s="8" t="str">
        <f>IFERROR(__xludf.DUMMYFUNCTION("SPLIT(A252,""TX"")"),"Kline, Peter
5807 Deloache Avenue
Dallas, ")</f>
        <v>Kline, Peter
5807 Deloache Avenue
Dallas, </v>
      </c>
      <c r="F252" s="8">
        <f>IFERROR(__xludf.DUMMYFUNCTION("""COMPUTED_VALUE"""),75225.0)</f>
        <v>75225</v>
      </c>
      <c r="I252" s="8">
        <f t="shared" si="3"/>
        <v>75225</v>
      </c>
      <c r="J252" s="9">
        <f>IFERROR(__xludf.DUMMYFUNCTION("SPLIT(I252,""-"")"),75225.0)</f>
        <v>75225</v>
      </c>
    </row>
    <row r="253">
      <c r="A253" s="10" t="s">
        <v>262</v>
      </c>
      <c r="B253" s="11">
        <v>1000.0</v>
      </c>
      <c r="C253" s="12" t="s">
        <v>35</v>
      </c>
      <c r="E253" s="8" t="str">
        <f>IFERROR(__xludf.DUMMYFUNCTION("SPLIT(A253,""TX"")"),"Do, Sihyoung
3713 Cliff stone Way
Mckinney, ")</f>
        <v>Do, Sihyoung
3713 Cliff stone Way
Mckinney, </v>
      </c>
      <c r="F253" s="8">
        <f>IFERROR(__xludf.DUMMYFUNCTION("""COMPUTED_VALUE"""),75070.0)</f>
        <v>75070</v>
      </c>
      <c r="I253" s="8">
        <f t="shared" si="3"/>
        <v>75070</v>
      </c>
      <c r="J253" s="9">
        <f>IFERROR(__xludf.DUMMYFUNCTION("SPLIT(I253,""-"")"),75070.0)</f>
        <v>75070</v>
      </c>
    </row>
    <row r="254">
      <c r="A254" s="5" t="s">
        <v>263</v>
      </c>
      <c r="B254" s="6">
        <v>1000.0</v>
      </c>
      <c r="C254" s="7" t="s">
        <v>5</v>
      </c>
      <c r="E254" s="8" t="str">
        <f>IFERROR(__xludf.DUMMYFUNCTION("SPLIT(A254,""TX"")"),"Bratton, Vince
4738 Hallmark Drive
Dallas, ")</f>
        <v>Bratton, Vince
4738 Hallmark Drive
Dallas, </v>
      </c>
      <c r="F254" s="8">
        <f>IFERROR(__xludf.DUMMYFUNCTION("""COMPUTED_VALUE"""),75229.0)</f>
        <v>75229</v>
      </c>
      <c r="I254" s="8">
        <f t="shared" si="3"/>
        <v>75229</v>
      </c>
      <c r="J254" s="9">
        <f>IFERROR(__xludf.DUMMYFUNCTION("SPLIT(I254,""-"")"),75229.0)</f>
        <v>75229</v>
      </c>
    </row>
    <row r="255">
      <c r="A255" s="5" t="s">
        <v>264</v>
      </c>
      <c r="B255" s="6">
        <v>500.0</v>
      </c>
      <c r="C255" s="7" t="s">
        <v>5</v>
      </c>
      <c r="E255" s="8" t="str">
        <f>IFERROR(__xludf.DUMMYFUNCTION("SPLIT(A255,""TX"")"),"Collins-Bratton, Calvert
4738 Hallmark Drive
Dallas, ")</f>
        <v>Collins-Bratton, Calvert
4738 Hallmark Drive
Dallas, </v>
      </c>
      <c r="F255" s="8">
        <f>IFERROR(__xludf.DUMMYFUNCTION("""COMPUTED_VALUE"""),75229.0)</f>
        <v>75229</v>
      </c>
      <c r="I255" s="8">
        <f t="shared" si="3"/>
        <v>75229</v>
      </c>
      <c r="J255" s="9">
        <f>IFERROR(__xludf.DUMMYFUNCTION("SPLIT(I255,""-"")"),75229.0)</f>
        <v>75229</v>
      </c>
    </row>
    <row r="256">
      <c r="A256" s="5" t="s">
        <v>265</v>
      </c>
      <c r="B256" s="6">
        <v>1000.0</v>
      </c>
      <c r="C256" s="7" t="s">
        <v>35</v>
      </c>
      <c r="E256" s="8" t="str">
        <f>IFERROR(__xludf.DUMMYFUNCTION("SPLIT(A256,""TX"")"),"Park, Woo
11649 ")</f>
        <v>Park, Woo
11649 </v>
      </c>
      <c r="F256" s="8" t="str">
        <f>IFERROR(__xludf.DUMMYFUNCTION("""COMPUTED_VALUE"""),"eresa
Frisco, ")</f>
        <v>eresa
Frisco, </v>
      </c>
      <c r="G256" s="8">
        <f>IFERROR(__xludf.DUMMYFUNCTION("""COMPUTED_VALUE"""),75035.0)</f>
        <v>75035</v>
      </c>
      <c r="I256" s="8">
        <f t="shared" si="3"/>
        <v>75035</v>
      </c>
      <c r="J256" s="9">
        <f>IFERROR(__xludf.DUMMYFUNCTION("SPLIT(I256,""-"")"),75035.0)</f>
        <v>75035</v>
      </c>
    </row>
    <row r="257">
      <c r="A257" s="10" t="s">
        <v>266</v>
      </c>
      <c r="B257" s="11">
        <v>150.0</v>
      </c>
      <c r="C257" s="12" t="s">
        <v>5</v>
      </c>
      <c r="E257" s="8" t="str">
        <f>IFERROR(__xludf.DUMMYFUNCTION("SPLIT(A257,""TX"")"),"Schulz, Amanda
5943 Palo Pinto Avenue, Dallas, ")</f>
        <v>Schulz, Amanda
5943 Palo Pinto Avenue, Dallas, </v>
      </c>
      <c r="F257" s="8" t="str">
        <f>IFERROR(__xludf.DUMMYFUNCTION("""COMPUTED_VALUE"""),"
Dallas, ")</f>
        <v>
Dallas, </v>
      </c>
      <c r="G257" s="8">
        <f>IFERROR(__xludf.DUMMYFUNCTION("""COMPUTED_VALUE"""),75206.0)</f>
        <v>75206</v>
      </c>
      <c r="I257" s="8">
        <f t="shared" si="3"/>
        <v>75206</v>
      </c>
      <c r="J257" s="9">
        <f>IFERROR(__xludf.DUMMYFUNCTION("SPLIT(I257,""-"")"),75206.0)</f>
        <v>75206</v>
      </c>
    </row>
    <row r="258">
      <c r="A258" s="10" t="s">
        <v>267</v>
      </c>
      <c r="B258" s="11">
        <v>1000.0</v>
      </c>
      <c r="C258" s="12" t="s">
        <v>35</v>
      </c>
      <c r="E258" s="8" t="str">
        <f>IFERROR(__xludf.DUMMYFUNCTION("SPLIT(A258,""TX"")"),"Choi, Jin
1049 Broken Spoke
Little Elm, ")</f>
        <v>Choi, Jin
1049 Broken Spoke
Little Elm, </v>
      </c>
      <c r="F258" s="8">
        <f>IFERROR(__xludf.DUMMYFUNCTION("""COMPUTED_VALUE"""),75068.0)</f>
        <v>75068</v>
      </c>
      <c r="I258" s="8">
        <f t="shared" si="3"/>
        <v>75068</v>
      </c>
      <c r="J258" s="9">
        <f>IFERROR(__xludf.DUMMYFUNCTION("SPLIT(I258,""-"")"),75068.0)</f>
        <v>75068</v>
      </c>
    </row>
    <row r="259">
      <c r="A259" s="5" t="s">
        <v>268</v>
      </c>
      <c r="B259" s="6">
        <v>150.0</v>
      </c>
      <c r="C259" s="7" t="s">
        <v>5</v>
      </c>
      <c r="E259" s="8" t="str">
        <f>IFERROR(__xludf.DUMMYFUNCTION("SPLIT(A259,""TX"")"),"alley, Olive
6133 Prospect Avenue, Dallas, ")</f>
        <v>alley, Olive
6133 Prospect Avenue, Dallas, </v>
      </c>
      <c r="F259" s="8" t="str">
        <f>IFERROR(__xludf.DUMMYFUNCTION("""COMPUTED_VALUE"""),"
Dallas, ")</f>
        <v>
Dallas, </v>
      </c>
      <c r="G259" s="8">
        <f>IFERROR(__xludf.DUMMYFUNCTION("""COMPUTED_VALUE"""),75214.0)</f>
        <v>75214</v>
      </c>
      <c r="I259" s="8">
        <f t="shared" si="3"/>
        <v>75214</v>
      </c>
      <c r="J259" s="9">
        <f>IFERROR(__xludf.DUMMYFUNCTION("SPLIT(I259,""-"")"),75214.0)</f>
        <v>75214</v>
      </c>
    </row>
    <row r="260">
      <c r="A260" s="5" t="s">
        <v>269</v>
      </c>
      <c r="B260" s="6">
        <v>1000.0</v>
      </c>
      <c r="C260" s="7" t="s">
        <v>35</v>
      </c>
      <c r="E260" s="8" t="str">
        <f>IFERROR(__xludf.DUMMYFUNCTION("SPLIT(A260,""TX"")"),"Kang, Nasim
3119 Luallen
Carrollton, ")</f>
        <v>Kang, Nasim
3119 Luallen
Carrollton, </v>
      </c>
      <c r="F260" s="8">
        <f>IFERROR(__xludf.DUMMYFUNCTION("""COMPUTED_VALUE"""),75007.0)</f>
        <v>75007</v>
      </c>
      <c r="I260" s="8">
        <f t="shared" si="3"/>
        <v>75007</v>
      </c>
      <c r="J260" s="9">
        <f>IFERROR(__xludf.DUMMYFUNCTION("SPLIT(I260,""-"")"),75007.0)</f>
        <v>75007</v>
      </c>
    </row>
    <row r="261">
      <c r="A261" s="10" t="s">
        <v>270</v>
      </c>
      <c r="B261" s="11">
        <v>1000.0</v>
      </c>
      <c r="C261" s="12" t="s">
        <v>35</v>
      </c>
      <c r="E261" s="8" t="str">
        <f>IFERROR(__xludf.DUMMYFUNCTION("SPLIT(A261,""TX"")"),"Cho, Hyun
2469 Stallion
Carrollton, ")</f>
        <v>Cho, Hyun
2469 Stallion
Carrollton, </v>
      </c>
      <c r="F261" s="8">
        <f>IFERROR(__xludf.DUMMYFUNCTION("""COMPUTED_VALUE"""),75010.0)</f>
        <v>75010</v>
      </c>
      <c r="I261" s="8">
        <f t="shared" si="3"/>
        <v>75010</v>
      </c>
      <c r="J261" s="9">
        <f>IFERROR(__xludf.DUMMYFUNCTION("SPLIT(I261,""-"")"),75010.0)</f>
        <v>75010</v>
      </c>
    </row>
    <row r="262">
      <c r="A262" s="5" t="s">
        <v>271</v>
      </c>
      <c r="B262" s="6">
        <v>100.0</v>
      </c>
      <c r="C262" s="7" t="s">
        <v>5</v>
      </c>
      <c r="E262" s="8" t="str">
        <f>IFERROR(__xludf.DUMMYFUNCTION("SPLIT(A262,""TX"")"),"Hellstern, Cindy
10827 Crooked Creek Drive
Dallas, ")</f>
        <v>Hellstern, Cindy
10827 Crooked Creek Drive
Dallas, </v>
      </c>
      <c r="F262" s="8">
        <f>IFERROR(__xludf.DUMMYFUNCTION("""COMPUTED_VALUE"""),75229.0)</f>
        <v>75229</v>
      </c>
      <c r="I262" s="8">
        <f t="shared" si="3"/>
        <v>75229</v>
      </c>
      <c r="J262" s="9">
        <f>IFERROR(__xludf.DUMMYFUNCTION("SPLIT(I262,""-"")"),75229.0)</f>
        <v>75229</v>
      </c>
    </row>
    <row r="263">
      <c r="A263" s="5" t="s">
        <v>272</v>
      </c>
      <c r="B263" s="6">
        <v>1000.0</v>
      </c>
      <c r="C263" s="7" t="s">
        <v>35</v>
      </c>
      <c r="E263" s="8" t="str">
        <f>IFERROR(__xludf.DUMMYFUNCTION("SPLIT(A263,""TX"")"),"Lee, Min
5285 Highland
Bellvue, WA 98006")</f>
        <v>Lee, Min
5285 Highland
Bellvue, WA 98006</v>
      </c>
      <c r="I263" s="8" t="str">
        <f t="shared" si="3"/>
        <v/>
      </c>
      <c r="J263" s="9" t="str">
        <f>IFERROR(__xludf.DUMMYFUNCTION("SPLIT(I263,""-"")"),"#VALUE!")</f>
        <v>#VALUE!</v>
      </c>
    </row>
    <row r="264">
      <c r="A264" s="10" t="s">
        <v>273</v>
      </c>
      <c r="B264" s="11">
        <v>1000.0</v>
      </c>
      <c r="C264" s="12" t="s">
        <v>5</v>
      </c>
      <c r="E264" s="8" t="str">
        <f>IFERROR(__xludf.DUMMYFUNCTION("SPLIT(A264,""TX"")"),"Genender, Paul
6131 ")</f>
        <v>Genender, Paul
6131 </v>
      </c>
      <c r="F264" s="8" t="str">
        <f>IFERROR(__xludf.DUMMYFUNCTION("""COMPUTED_VALUE"""),"ulip Lane
Dallas, ")</f>
        <v>ulip Lane
Dallas, </v>
      </c>
      <c r="G264" s="8">
        <f>IFERROR(__xludf.DUMMYFUNCTION("""COMPUTED_VALUE"""),75230.0)</f>
        <v>75230</v>
      </c>
      <c r="I264" s="8">
        <f t="shared" si="3"/>
        <v>75230</v>
      </c>
      <c r="J264" s="9">
        <f>IFERROR(__xludf.DUMMYFUNCTION("SPLIT(I264,""-"")"),75230.0)</f>
        <v>75230</v>
      </c>
    </row>
    <row r="265">
      <c r="A265" s="10" t="s">
        <v>274</v>
      </c>
      <c r="B265" s="11">
        <v>1000.0</v>
      </c>
      <c r="C265" s="12" t="s">
        <v>35</v>
      </c>
      <c r="E265" s="8" t="str">
        <f>IFERROR(__xludf.DUMMYFUNCTION("SPLIT(A265,""TX"")"),"Lee, Hee
2411 Fondren
Houston, ")</f>
        <v>Lee, Hee
2411 Fondren
Houston, </v>
      </c>
      <c r="F265" s="8">
        <f>IFERROR(__xludf.DUMMYFUNCTION("""COMPUTED_VALUE"""),77063.0)</f>
        <v>77063</v>
      </c>
      <c r="I265" s="8">
        <f t="shared" si="3"/>
        <v>77063</v>
      </c>
      <c r="J265" s="9">
        <f>IFERROR(__xludf.DUMMYFUNCTION("SPLIT(I265,""-"")"),77063.0)</f>
        <v>77063</v>
      </c>
    </row>
    <row r="266">
      <c r="A266" s="5" t="s">
        <v>275</v>
      </c>
      <c r="B266" s="6">
        <v>100.0</v>
      </c>
      <c r="C266" s="7" t="s">
        <v>35</v>
      </c>
      <c r="E266" s="8" t="str">
        <f>IFERROR(__xludf.DUMMYFUNCTION("SPLIT(A266,""TX"")"),"Sebesta, Edward
1003 Valencia
Dallas, ")</f>
        <v>Sebesta, Edward
1003 Valencia
Dallas, </v>
      </c>
      <c r="F266" s="8">
        <f>IFERROR(__xludf.DUMMYFUNCTION("""COMPUTED_VALUE"""),75223.0)</f>
        <v>75223</v>
      </c>
      <c r="I266" s="8">
        <f t="shared" si="3"/>
        <v>75223</v>
      </c>
      <c r="J266" s="9">
        <f>IFERROR(__xludf.DUMMYFUNCTION("SPLIT(I266,""-"")"),75223.0)</f>
        <v>75223</v>
      </c>
    </row>
    <row r="267">
      <c r="A267" s="10" t="s">
        <v>276</v>
      </c>
      <c r="B267" s="11">
        <v>1000.0</v>
      </c>
      <c r="C267" s="12" t="s">
        <v>5</v>
      </c>
      <c r="E267" s="8" t="str">
        <f>IFERROR(__xludf.DUMMYFUNCTION("SPLIT(A267,""TX"")"),"Cobb, Will
1000 3rd Street,
San Francisco, CA 94158")</f>
        <v>Cobb, Will
1000 3rd Street,
San Francisco, CA 94158</v>
      </c>
      <c r="I267" s="8" t="str">
        <f t="shared" si="3"/>
        <v/>
      </c>
      <c r="J267" s="9" t="str">
        <f>IFERROR(__xludf.DUMMYFUNCTION("SPLIT(I267,""-"")"),"#VALUE!")</f>
        <v>#VALUE!</v>
      </c>
    </row>
    <row r="268">
      <c r="A268" s="10" t="s">
        <v>277</v>
      </c>
      <c r="B268" s="11">
        <v>100.0</v>
      </c>
      <c r="C268" s="12" t="s">
        <v>35</v>
      </c>
      <c r="E268" s="8" t="str">
        <f>IFERROR(__xludf.DUMMYFUNCTION("SPLIT(A268,""TX"")"),"Heinbaugh, Chris
1801 Annex
Dallas, ")</f>
        <v>Heinbaugh, Chris
1801 Annex
Dallas, </v>
      </c>
      <c r="F268" s="8">
        <f>IFERROR(__xludf.DUMMYFUNCTION("""COMPUTED_VALUE"""),75204.0)</f>
        <v>75204</v>
      </c>
      <c r="I268" s="8">
        <f t="shared" si="3"/>
        <v>75204</v>
      </c>
      <c r="J268" s="9">
        <f>IFERROR(__xludf.DUMMYFUNCTION("SPLIT(I268,""-"")"),75204.0)</f>
        <v>75204</v>
      </c>
    </row>
    <row r="269">
      <c r="A269" s="5" t="s">
        <v>278</v>
      </c>
      <c r="B269" s="6">
        <v>50.0</v>
      </c>
      <c r="C269" s="7" t="s">
        <v>5</v>
      </c>
      <c r="E269" s="8" t="str">
        <f>IFERROR(__xludf.DUMMYFUNCTION("SPLIT(A269,""TX"")"),"Crawford, Robert
4416 Forest Bend Rd
Dallas, CA 75244")</f>
        <v>Crawford, Robert
4416 Forest Bend Rd
Dallas, CA 75244</v>
      </c>
      <c r="I269" s="8" t="str">
        <f t="shared" si="3"/>
        <v/>
      </c>
      <c r="J269" s="9" t="str">
        <f>IFERROR(__xludf.DUMMYFUNCTION("SPLIT(I269,""-"")"),"#VALUE!")</f>
        <v>#VALUE!</v>
      </c>
    </row>
    <row r="270">
      <c r="A270" s="5" t="s">
        <v>279</v>
      </c>
      <c r="B270" s="6">
        <v>100.0</v>
      </c>
      <c r="C270" s="7" t="s">
        <v>35</v>
      </c>
      <c r="E270" s="8" t="str">
        <f>IFERROR(__xludf.DUMMYFUNCTION("SPLIT(A270,""TX"")"),"Wash, ")</f>
        <v>Wash, </v>
      </c>
      <c r="F270" s="8" t="str">
        <f>IFERROR(__xludf.DUMMYFUNCTION("""COMPUTED_VALUE"""),"eresa
420 Kearsarge
De Soto, ")</f>
        <v>eresa
420 Kearsarge
De Soto, </v>
      </c>
      <c r="G270" s="8">
        <f>IFERROR(__xludf.DUMMYFUNCTION("""COMPUTED_VALUE"""),75115.0)</f>
        <v>75115</v>
      </c>
      <c r="I270" s="8">
        <f t="shared" si="3"/>
        <v>75115</v>
      </c>
      <c r="J270" s="9">
        <f>IFERROR(__xludf.DUMMYFUNCTION("SPLIT(I270,""-"")"),75115.0)</f>
        <v>75115</v>
      </c>
    </row>
    <row r="271">
      <c r="A271" s="10" t="s">
        <v>280</v>
      </c>
      <c r="B271" s="11">
        <v>500.0</v>
      </c>
      <c r="C271" s="12" t="s">
        <v>5</v>
      </c>
      <c r="E271" s="8" t="str">
        <f>IFERROR(__xludf.DUMMYFUNCTION("SPLIT(A271,""TX"")"),"Klion, Howard
5927 Joyce Way
Dallas, ")</f>
        <v>Klion, Howard
5927 Joyce Way
Dallas, </v>
      </c>
      <c r="F271" s="8">
        <f>IFERROR(__xludf.DUMMYFUNCTION("""COMPUTED_VALUE"""),75225.0)</f>
        <v>75225</v>
      </c>
      <c r="I271" s="8">
        <f t="shared" si="3"/>
        <v>75225</v>
      </c>
      <c r="J271" s="9">
        <f>IFERROR(__xludf.DUMMYFUNCTION("SPLIT(I271,""-"")"),75225.0)</f>
        <v>75225</v>
      </c>
    </row>
    <row r="272">
      <c r="A272" s="10" t="s">
        <v>281</v>
      </c>
      <c r="B272" s="11">
        <v>150.0</v>
      </c>
      <c r="C272" s="12" t="s">
        <v>35</v>
      </c>
      <c r="E272" s="8" t="str">
        <f>IFERROR(__xludf.DUMMYFUNCTION("SPLIT(A272,""TX"")"),"St. Angelo, Joanna
3224 Red bird
Grapevine, ")</f>
        <v>St. Angelo, Joanna
3224 Red bird
Grapevine, </v>
      </c>
      <c r="F272" s="8">
        <f>IFERROR(__xludf.DUMMYFUNCTION("""COMPUTED_VALUE"""),76051.0)</f>
        <v>76051</v>
      </c>
      <c r="I272" s="8">
        <f t="shared" si="3"/>
        <v>76051</v>
      </c>
      <c r="J272" s="9">
        <f>IFERROR(__xludf.DUMMYFUNCTION("SPLIT(I272,""-"")"),76051.0)</f>
        <v>76051</v>
      </c>
    </row>
    <row r="273">
      <c r="A273" s="5" t="s">
        <v>282</v>
      </c>
      <c r="B273" s="6">
        <v>500.0</v>
      </c>
      <c r="C273" s="7" t="s">
        <v>5</v>
      </c>
      <c r="E273" s="8" t="str">
        <f>IFERROR(__xludf.DUMMYFUNCTION("SPLIT(A273,""TX"")"),"Griffiths, Aimee
12116 Edgestone Rd
Dallas, ")</f>
        <v>Griffiths, Aimee
12116 Edgestone Rd
Dallas, </v>
      </c>
      <c r="F273" s="8">
        <f>IFERROR(__xludf.DUMMYFUNCTION("""COMPUTED_VALUE"""),75230.0)</f>
        <v>75230</v>
      </c>
      <c r="I273" s="8">
        <f t="shared" si="3"/>
        <v>75230</v>
      </c>
      <c r="J273" s="9">
        <f>IFERROR(__xludf.DUMMYFUNCTION("SPLIT(I273,""-"")"),75230.0)</f>
        <v>75230</v>
      </c>
    </row>
    <row r="274">
      <c r="A274" s="5" t="s">
        <v>283</v>
      </c>
      <c r="B274" s="6">
        <v>150.0</v>
      </c>
      <c r="C274" s="7" t="s">
        <v>35</v>
      </c>
      <c r="E274" s="8" t="str">
        <f>IFERROR(__xludf.DUMMYFUNCTION("SPLIT(A274,""TX"")"),"Clemmons, Philip
6435 Northwood
Dallas, ")</f>
        <v>Clemmons, Philip
6435 Northwood
Dallas, </v>
      </c>
      <c r="F274" s="8">
        <f>IFERROR(__xludf.DUMMYFUNCTION("""COMPUTED_VALUE"""),75225.0)</f>
        <v>75225</v>
      </c>
      <c r="I274" s="8">
        <f t="shared" si="3"/>
        <v>75225</v>
      </c>
      <c r="J274" s="9">
        <f>IFERROR(__xludf.DUMMYFUNCTION("SPLIT(I274,""-"")"),75225.0)</f>
        <v>75225</v>
      </c>
    </row>
    <row r="275">
      <c r="A275" s="10" t="s">
        <v>284</v>
      </c>
      <c r="B275" s="11">
        <v>100.0</v>
      </c>
      <c r="C275" s="12" t="s">
        <v>35</v>
      </c>
      <c r="E275" s="8" t="str">
        <f>IFERROR(__xludf.DUMMYFUNCTION("SPLIT(A275,""TX"")"),"Rosenberg, Barbara
6946 Casa Loma
Dallas, ")</f>
        <v>Rosenberg, Barbara
6946 Casa Loma
Dallas, </v>
      </c>
      <c r="F275" s="8">
        <f>IFERROR(__xludf.DUMMYFUNCTION("""COMPUTED_VALUE"""),75214.0)</f>
        <v>75214</v>
      </c>
      <c r="I275" s="8">
        <f t="shared" si="3"/>
        <v>75214</v>
      </c>
      <c r="J275" s="9">
        <f>IFERROR(__xludf.DUMMYFUNCTION("SPLIT(I275,""-"")"),75214.0)</f>
        <v>75214</v>
      </c>
    </row>
    <row r="276">
      <c r="A276" s="5" t="s">
        <v>285</v>
      </c>
      <c r="B276" s="6">
        <v>1000.0</v>
      </c>
      <c r="C276" s="7" t="s">
        <v>5</v>
      </c>
      <c r="E276" s="8" t="str">
        <f>IFERROR(__xludf.DUMMYFUNCTION("SPLIT(A276,""TX"")"),"Margolin, Ann
3535 Gillespie
Dallas, ")</f>
        <v>Margolin, Ann
3535 Gillespie
Dallas, </v>
      </c>
      <c r="F276" s="8">
        <f>IFERROR(__xludf.DUMMYFUNCTION("""COMPUTED_VALUE"""),75219.0)</f>
        <v>75219</v>
      </c>
      <c r="I276" s="8">
        <f t="shared" si="3"/>
        <v>75219</v>
      </c>
      <c r="J276" s="9">
        <f>IFERROR(__xludf.DUMMYFUNCTION("SPLIT(I276,""-"")"),75219.0)</f>
        <v>75219</v>
      </c>
    </row>
    <row r="277">
      <c r="A277" s="5" t="s">
        <v>286</v>
      </c>
      <c r="B277" s="6">
        <v>100.0</v>
      </c>
      <c r="C277" s="7" t="s">
        <v>35</v>
      </c>
      <c r="E277" s="8" t="str">
        <f>IFERROR(__xludf.DUMMYFUNCTION("SPLIT(A277,""TX"")"),"Weiss, Aurelia
2685 Fern valley
Rockwall, ")</f>
        <v>Weiss, Aurelia
2685 Fern valley
Rockwall, </v>
      </c>
      <c r="F277" s="8">
        <f>IFERROR(__xludf.DUMMYFUNCTION("""COMPUTED_VALUE"""),75087.0)</f>
        <v>75087</v>
      </c>
      <c r="I277" s="8">
        <f t="shared" si="3"/>
        <v>75087</v>
      </c>
      <c r="J277" s="9">
        <f>IFERROR(__xludf.DUMMYFUNCTION("SPLIT(I277,""-"")"),75087.0)</f>
        <v>75087</v>
      </c>
    </row>
    <row r="278">
      <c r="A278" s="10" t="s">
        <v>287</v>
      </c>
      <c r="B278" s="11">
        <v>100.0</v>
      </c>
      <c r="C278" s="12" t="s">
        <v>5</v>
      </c>
      <c r="E278" s="8" t="str">
        <f>IFERROR(__xludf.DUMMYFUNCTION("SPLIT(A278,""TX"")"),"Crawford, Robert
4416 Forest Bend Rd
Dallas, ")</f>
        <v>Crawford, Robert
4416 Forest Bend Rd
Dallas, </v>
      </c>
      <c r="F278" s="8">
        <f>IFERROR(__xludf.DUMMYFUNCTION("""COMPUTED_VALUE"""),75244.0)</f>
        <v>75244</v>
      </c>
      <c r="I278" s="8">
        <f t="shared" si="3"/>
        <v>75244</v>
      </c>
      <c r="J278" s="9">
        <f>IFERROR(__xludf.DUMMYFUNCTION("SPLIT(I278,""-"")"),75244.0)</f>
        <v>75244</v>
      </c>
    </row>
    <row r="279">
      <c r="A279" s="10" t="s">
        <v>288</v>
      </c>
      <c r="B279" s="11">
        <v>500.0</v>
      </c>
      <c r="C279" s="12" t="s">
        <v>35</v>
      </c>
      <c r="E279" s="8" t="str">
        <f>IFERROR(__xludf.DUMMYFUNCTION("SPLIT(A279,""TX"")"),"Halperin, James
5933 Saint Andrews
Dallas, ")</f>
        <v>Halperin, James
5933 Saint Andrews
Dallas, </v>
      </c>
      <c r="F279" s="8">
        <f>IFERROR(__xludf.DUMMYFUNCTION("""COMPUTED_VALUE"""),75708.0)</f>
        <v>75708</v>
      </c>
      <c r="I279" s="8">
        <f t="shared" si="3"/>
        <v>75708</v>
      </c>
      <c r="J279" s="9">
        <f>IFERROR(__xludf.DUMMYFUNCTION("SPLIT(I279,""-"")"),75708.0)</f>
        <v>75708</v>
      </c>
    </row>
    <row r="280">
      <c r="A280" s="5" t="s">
        <v>289</v>
      </c>
      <c r="B280" s="6">
        <v>1000.0</v>
      </c>
      <c r="C280" s="7" t="s">
        <v>5</v>
      </c>
      <c r="E280" s="8" t="str">
        <f>IFERROR(__xludf.DUMMYFUNCTION("SPLIT(A280,""TX"")"),"Gussoni, Richard
8727 Douglas Ave
Dallas, ")</f>
        <v>Gussoni, Richard
8727 Douglas Ave
Dallas, </v>
      </c>
      <c r="F280" s="8">
        <f>IFERROR(__xludf.DUMMYFUNCTION("""COMPUTED_VALUE"""),75225.0)</f>
        <v>75225</v>
      </c>
      <c r="I280" s="8">
        <f t="shared" si="3"/>
        <v>75225</v>
      </c>
      <c r="J280" s="9">
        <f>IFERROR(__xludf.DUMMYFUNCTION("SPLIT(I280,""-"")"),75225.0)</f>
        <v>75225</v>
      </c>
    </row>
    <row r="281">
      <c r="A281" s="5" t="s">
        <v>290</v>
      </c>
      <c r="B281" s="6">
        <v>500.0</v>
      </c>
      <c r="C281" s="7" t="s">
        <v>35</v>
      </c>
      <c r="E281" s="8" t="str">
        <f>IFERROR(__xludf.DUMMYFUNCTION("SPLIT(A281,""TX"")"),"Noltemy, Kim
222 Browder
Dallas, ")</f>
        <v>Noltemy, Kim
222 Browder
Dallas, </v>
      </c>
      <c r="F281" s="8">
        <f>IFERROR(__xludf.DUMMYFUNCTION("""COMPUTED_VALUE"""),75201.0)</f>
        <v>75201</v>
      </c>
      <c r="I281" s="8">
        <f t="shared" si="3"/>
        <v>75201</v>
      </c>
      <c r="J281" s="9">
        <f>IFERROR(__xludf.DUMMYFUNCTION("SPLIT(I281,""-"")"),75201.0)</f>
        <v>75201</v>
      </c>
    </row>
    <row r="282">
      <c r="A282" s="10" t="s">
        <v>291</v>
      </c>
      <c r="B282" s="11">
        <v>1000.0</v>
      </c>
      <c r="C282" s="12" t="s">
        <v>5</v>
      </c>
      <c r="E282" s="8" t="str">
        <f>IFERROR(__xludf.DUMMYFUNCTION("SPLIT(A282,""TX"")"),"Gussoni, Lucy
8727 Douglas Ave.
Dallas, ")</f>
        <v>Gussoni, Lucy
8727 Douglas Ave.
Dallas, </v>
      </c>
      <c r="F282" s="8">
        <f>IFERROR(__xludf.DUMMYFUNCTION("""COMPUTED_VALUE"""),75225.0)</f>
        <v>75225</v>
      </c>
      <c r="I282" s="8">
        <f t="shared" si="3"/>
        <v>75225</v>
      </c>
      <c r="J282" s="9">
        <f>IFERROR(__xludf.DUMMYFUNCTION("SPLIT(I282,""-"")"),75225.0)</f>
        <v>75225</v>
      </c>
    </row>
    <row r="283">
      <c r="A283" s="10" t="s">
        <v>292</v>
      </c>
      <c r="B283" s="11">
        <v>1000.0</v>
      </c>
      <c r="C283" s="12" t="s">
        <v>5</v>
      </c>
      <c r="E283" s="8" t="str">
        <f>IFERROR(__xludf.DUMMYFUNCTION("SPLIT(A283,""TX"")"),"Gussoni, Nicola
3610 Gillespie Street
Dallas, ")</f>
        <v>Gussoni, Nicola
3610 Gillespie Street
Dallas, </v>
      </c>
      <c r="F283" s="8">
        <f>IFERROR(__xludf.DUMMYFUNCTION("""COMPUTED_VALUE"""),75219.0)</f>
        <v>75219</v>
      </c>
      <c r="I283" s="8">
        <f t="shared" si="3"/>
        <v>75219</v>
      </c>
      <c r="J283" s="9">
        <f>IFERROR(__xludf.DUMMYFUNCTION("SPLIT(I283,""-"")"),75219.0)</f>
        <v>75219</v>
      </c>
    </row>
    <row r="284">
      <c r="A284" s="10" t="s">
        <v>293</v>
      </c>
      <c r="B284" s="11">
        <v>16.0</v>
      </c>
      <c r="C284" s="12" t="s">
        <v>8</v>
      </c>
      <c r="E284" s="8" t="str">
        <f>IFERROR(__xludf.DUMMYFUNCTION("SPLIT(A284,""TX"")"),"Evans, Candy
11407 West Ricks Circle
DALLAS, ")</f>
        <v>Evans, Candy
11407 West Ricks Circle
DALLAS, </v>
      </c>
      <c r="F284" s="8">
        <f>IFERROR(__xludf.DUMMYFUNCTION("""COMPUTED_VALUE"""),75230.0)</f>
        <v>75230</v>
      </c>
      <c r="I284" s="8">
        <f t="shared" si="3"/>
        <v>75230</v>
      </c>
      <c r="J284" s="9">
        <f>IFERROR(__xludf.DUMMYFUNCTION("SPLIT(I284,""-"")"),75230.0)</f>
        <v>75230</v>
      </c>
    </row>
    <row r="285">
      <c r="A285" s="10" t="s">
        <v>294</v>
      </c>
      <c r="B285" s="11">
        <v>100.0</v>
      </c>
      <c r="C285" s="12" t="s">
        <v>5</v>
      </c>
      <c r="E285" s="8" t="str">
        <f>IFERROR(__xludf.DUMMYFUNCTION("SPLIT(A285,""TX"")"),"Ghoyareb, Basheer
8626 Chadbourne Road
Dallas, ")</f>
        <v>Ghoyareb, Basheer
8626 Chadbourne Road
Dallas, </v>
      </c>
      <c r="F285" s="8">
        <f>IFERROR(__xludf.DUMMYFUNCTION("""COMPUTED_VALUE"""),75209.0)</f>
        <v>75209</v>
      </c>
      <c r="I285" s="8">
        <f t="shared" si="3"/>
        <v>75209</v>
      </c>
      <c r="J285" s="9">
        <f>IFERROR(__xludf.DUMMYFUNCTION("SPLIT(I285,""-"")"),75209.0)</f>
        <v>75209</v>
      </c>
    </row>
    <row r="286">
      <c r="A286" s="10" t="s">
        <v>295</v>
      </c>
      <c r="B286" s="11">
        <v>750.0</v>
      </c>
      <c r="C286" s="12" t="s">
        <v>5</v>
      </c>
      <c r="E286" s="8" t="str">
        <f>IFERROR(__xludf.DUMMYFUNCTION("SPLIT(A286,""TX"")"),"McCabe, Libby
10200 Hollow Way Rd, Dallas, ")</f>
        <v>McCabe, Libby
10200 Hollow Way Rd, Dallas, </v>
      </c>
      <c r="F286" s="8" t="str">
        <f>IFERROR(__xludf.DUMMYFUNCTION("""COMPUTED_VALUE"""),"
Dallas, ")</f>
        <v>
Dallas, </v>
      </c>
      <c r="G286" s="8">
        <f>IFERROR(__xludf.DUMMYFUNCTION("""COMPUTED_VALUE"""),75229.0)</f>
        <v>75229</v>
      </c>
      <c r="I286" s="8">
        <f t="shared" si="3"/>
        <v>75229</v>
      </c>
      <c r="J286" s="9">
        <f>IFERROR(__xludf.DUMMYFUNCTION("SPLIT(I286,""-"")"),75229.0)</f>
        <v>75229</v>
      </c>
    </row>
    <row r="287">
      <c r="A287" s="10" t="s">
        <v>296</v>
      </c>
      <c r="B287" s="11">
        <v>100.0</v>
      </c>
      <c r="C287" s="12" t="s">
        <v>8</v>
      </c>
      <c r="E287" s="8" t="str">
        <f>IFERROR(__xludf.DUMMYFUNCTION("SPLIT(A287,""TX"")"),"Elder, Bill
8328 Briar
Dallas, ")</f>
        <v>Elder, Bill
8328 Briar
Dallas, </v>
      </c>
      <c r="F287" s="8">
        <f>IFERROR(__xludf.DUMMYFUNCTION("""COMPUTED_VALUE"""),75243.0)</f>
        <v>75243</v>
      </c>
      <c r="I287" s="8">
        <f t="shared" si="3"/>
        <v>75243</v>
      </c>
      <c r="J287" s="9">
        <f>IFERROR(__xludf.DUMMYFUNCTION("SPLIT(I287,""-"")"),75243.0)</f>
        <v>75243</v>
      </c>
    </row>
    <row r="288">
      <c r="A288" s="5" t="s">
        <v>297</v>
      </c>
      <c r="B288" s="6">
        <v>250.0</v>
      </c>
      <c r="C288" s="7" t="s">
        <v>33</v>
      </c>
      <c r="E288" s="8" t="str">
        <f>IFERROR(__xludf.DUMMYFUNCTION("SPLIT(A288,""TX"")"),"Horchow, Regen
1918 N. Olive Street
Dallas, ")</f>
        <v>Horchow, Regen
1918 N. Olive Street
Dallas, </v>
      </c>
      <c r="F288" s="8">
        <f>IFERROR(__xludf.DUMMYFUNCTION("""COMPUTED_VALUE"""),75201.0)</f>
        <v>75201</v>
      </c>
      <c r="I288" s="8">
        <f t="shared" si="3"/>
        <v>75201</v>
      </c>
      <c r="J288" s="9">
        <f>IFERROR(__xludf.DUMMYFUNCTION("SPLIT(I288,""-"")"),75201.0)</f>
        <v>75201</v>
      </c>
    </row>
    <row r="289">
      <c r="A289" s="10" t="s">
        <v>298</v>
      </c>
      <c r="B289" s="11">
        <v>1000.0</v>
      </c>
      <c r="C289" s="12" t="s">
        <v>33</v>
      </c>
      <c r="E289" s="8" t="str">
        <f>IFERROR(__xludf.DUMMYFUNCTION("SPLIT(A289,""TX"")"),"Kraus, Lisa
4906 Shadywood Ln
Dallas, ")</f>
        <v>Kraus, Lisa
4906 Shadywood Ln
Dallas, </v>
      </c>
      <c r="F289" s="8">
        <f>IFERROR(__xludf.DUMMYFUNCTION("""COMPUTED_VALUE"""),75209.0)</f>
        <v>75209</v>
      </c>
      <c r="I289" s="8">
        <f t="shared" si="3"/>
        <v>75209</v>
      </c>
      <c r="J289" s="9">
        <f>IFERROR(__xludf.DUMMYFUNCTION("SPLIT(I289,""-"")"),75209.0)</f>
        <v>75209</v>
      </c>
    </row>
    <row r="290">
      <c r="A290" s="10" t="s">
        <v>299</v>
      </c>
      <c r="B290" s="11">
        <v>250.0</v>
      </c>
      <c r="C290" s="12" t="s">
        <v>33</v>
      </c>
      <c r="E290" s="8" t="str">
        <f>IFERROR(__xludf.DUMMYFUNCTION("SPLIT(A290,""TX"")"),"Wahl, Sara and Peter
6434 Malcolm Drive
Dallas, ")</f>
        <v>Wahl, Sara and Peter
6434 Malcolm Drive
Dallas, </v>
      </c>
      <c r="F290" s="8">
        <f>IFERROR(__xludf.DUMMYFUNCTION("""COMPUTED_VALUE"""),75214.0)</f>
        <v>75214</v>
      </c>
      <c r="I290" s="8">
        <f t="shared" si="3"/>
        <v>75214</v>
      </c>
      <c r="J290" s="9">
        <f>IFERROR(__xludf.DUMMYFUNCTION("SPLIT(I290,""-"")"),75214.0)</f>
        <v>75214</v>
      </c>
    </row>
    <row r="291">
      <c r="A291" s="10" t="s">
        <v>300</v>
      </c>
      <c r="B291" s="11">
        <v>1000.0</v>
      </c>
      <c r="C291" s="12" t="s">
        <v>33</v>
      </c>
      <c r="E291" s="8" t="str">
        <f>IFERROR(__xludf.DUMMYFUNCTION("SPLIT(A291,""TX"")"),"Rose, Deedie
3963 Maple Ave
Dallas, ")</f>
        <v>Rose, Deedie
3963 Maple Ave
Dallas, </v>
      </c>
      <c r="F291" s="8">
        <f>IFERROR(__xludf.DUMMYFUNCTION("""COMPUTED_VALUE"""),75205.0)</f>
        <v>75205</v>
      </c>
      <c r="I291" s="8">
        <f t="shared" si="3"/>
        <v>75205</v>
      </c>
      <c r="J291" s="9">
        <f>IFERROR(__xludf.DUMMYFUNCTION("SPLIT(I291,""-"")"),75205.0)</f>
        <v>75205</v>
      </c>
    </row>
    <row r="292">
      <c r="A292" s="10" t="s">
        <v>301</v>
      </c>
      <c r="B292" s="11">
        <v>1000.0</v>
      </c>
      <c r="C292" s="12" t="s">
        <v>33</v>
      </c>
      <c r="E292" s="8" t="str">
        <f>IFERROR(__xludf.DUMMYFUNCTION("SPLIT(A292,""TX"")"),"Johnson, Elliott
30 Pheasant Road
Matteson, IL 60443")</f>
        <v>Johnson, Elliott
30 Pheasant Road
Matteson, IL 60443</v>
      </c>
      <c r="I292" s="8" t="str">
        <f t="shared" si="3"/>
        <v/>
      </c>
      <c r="J292" s="9" t="str">
        <f>IFERROR(__xludf.DUMMYFUNCTION("SPLIT(I292,""-"")"),"#VALUE!")</f>
        <v>#VALUE!</v>
      </c>
    </row>
    <row r="293">
      <c r="A293" s="10" t="s">
        <v>302</v>
      </c>
      <c r="B293" s="11">
        <v>500.0</v>
      </c>
      <c r="C293" s="12" t="s">
        <v>33</v>
      </c>
      <c r="E293" s="8" t="str">
        <f>IFERROR(__xludf.DUMMYFUNCTION("SPLIT(A293,""TX"")"),"Horne, Michael
6323 Royalton Dr.
Dallas, ")</f>
        <v>Horne, Michael
6323 Royalton Dr.
Dallas, </v>
      </c>
      <c r="F293" s="8">
        <f>IFERROR(__xludf.DUMMYFUNCTION("""COMPUTED_VALUE"""),75230.0)</f>
        <v>75230</v>
      </c>
      <c r="I293" s="8">
        <f t="shared" si="3"/>
        <v>75230</v>
      </c>
      <c r="J293" s="9">
        <f>IFERROR(__xludf.DUMMYFUNCTION("SPLIT(I293,""-"")"),75230.0)</f>
        <v>75230</v>
      </c>
    </row>
    <row r="294">
      <c r="A294" s="10" t="s">
        <v>303</v>
      </c>
      <c r="B294" s="11">
        <v>1000.0</v>
      </c>
      <c r="C294" s="12" t="s">
        <v>33</v>
      </c>
      <c r="E294" s="8" t="str">
        <f>IFERROR(__xludf.DUMMYFUNCTION("SPLIT(A294,""TX"")"),"Addy, William
3805 Normandy Ave
Dallas, ")</f>
        <v>Addy, William
3805 Normandy Ave
Dallas, </v>
      </c>
      <c r="F294" s="8">
        <f>IFERROR(__xludf.DUMMYFUNCTION("""COMPUTED_VALUE"""),75205.0)</f>
        <v>75205</v>
      </c>
      <c r="I294" s="8">
        <f t="shared" si="3"/>
        <v>75205</v>
      </c>
      <c r="J294" s="9">
        <f>IFERROR(__xludf.DUMMYFUNCTION("SPLIT(I294,""-"")"),75205.0)</f>
        <v>75205</v>
      </c>
    </row>
    <row r="295">
      <c r="A295" s="10" t="s">
        <v>304</v>
      </c>
      <c r="B295" s="11">
        <v>1000.0</v>
      </c>
      <c r="C295" s="12" t="s">
        <v>33</v>
      </c>
      <c r="E295" s="8" t="str">
        <f>IFERROR(__xludf.DUMMYFUNCTION("SPLIT(A295,""TX"")"),"Addy, Lydia
3805 Normandy Ave
Dallas, ")</f>
        <v>Addy, Lydia
3805 Normandy Ave
Dallas, </v>
      </c>
      <c r="F295" s="8">
        <f>IFERROR(__xludf.DUMMYFUNCTION("""COMPUTED_VALUE"""),75205.0)</f>
        <v>75205</v>
      </c>
      <c r="I295" s="8">
        <f t="shared" si="3"/>
        <v>75205</v>
      </c>
      <c r="J295" s="9">
        <f>IFERROR(__xludf.DUMMYFUNCTION("SPLIT(I295,""-"")"),75205.0)</f>
        <v>75205</v>
      </c>
    </row>
    <row r="296">
      <c r="A296" s="10" t="s">
        <v>305</v>
      </c>
      <c r="B296" s="11">
        <v>1000.0</v>
      </c>
      <c r="C296" s="12" t="s">
        <v>33</v>
      </c>
      <c r="E296" s="8" t="str">
        <f>IFERROR(__xludf.DUMMYFUNCTION("SPLIT(A296,""TX"")"),"McGee, SUzanne
6929 Vassar
Dallas, ")</f>
        <v>McGee, SUzanne
6929 Vassar
Dallas, </v>
      </c>
      <c r="F296" s="8">
        <f>IFERROR(__xludf.DUMMYFUNCTION("""COMPUTED_VALUE"""),75205.0)</f>
        <v>75205</v>
      </c>
      <c r="I296" s="8">
        <f t="shared" si="3"/>
        <v>75205</v>
      </c>
      <c r="J296" s="9">
        <f>IFERROR(__xludf.DUMMYFUNCTION("SPLIT(I296,""-"")"),75205.0)</f>
        <v>75205</v>
      </c>
    </row>
    <row r="297">
      <c r="A297" s="10" t="s">
        <v>306</v>
      </c>
      <c r="B297" s="11">
        <v>500.0</v>
      </c>
      <c r="C297" s="12" t="s">
        <v>33</v>
      </c>
      <c r="E297" s="8" t="str">
        <f>IFERROR(__xludf.DUMMYFUNCTION("SPLIT(A297,""TX"")"),"Ozarow, Meaders
5103 W Hanover Ave
Dallas, ")</f>
        <v>Ozarow, Meaders
5103 W Hanover Ave
Dallas, </v>
      </c>
      <c r="F297" s="8">
        <f>IFERROR(__xludf.DUMMYFUNCTION("""COMPUTED_VALUE"""),75209.0)</f>
        <v>75209</v>
      </c>
      <c r="I297" s="8">
        <f t="shared" si="3"/>
        <v>75209</v>
      </c>
      <c r="J297" s="9">
        <f>IFERROR(__xludf.DUMMYFUNCTION("SPLIT(I297,""-"")"),75209.0)</f>
        <v>75209</v>
      </c>
    </row>
    <row r="298">
      <c r="A298" s="10" t="s">
        <v>307</v>
      </c>
      <c r="B298" s="11">
        <v>500.0</v>
      </c>
      <c r="C298" s="12" t="s">
        <v>33</v>
      </c>
      <c r="E298" s="8" t="str">
        <f>IFERROR(__xludf.DUMMYFUNCTION("SPLIT(A298,""TX"")"),"Dawson ")</f>
        <v>Dawson </v>
      </c>
      <c r="F298" s="8" t="str">
        <f>IFERROR(__xludf.DUMMYFUNCTION("""COMPUTED_VALUE"""),"hompson, Roslyn
2 Abbotsford Ct
Dallas, ")</f>
        <v>hompson, Roslyn
2 Abbotsford Ct
Dallas, </v>
      </c>
      <c r="G298" s="8">
        <f>IFERROR(__xludf.DUMMYFUNCTION("""COMPUTED_VALUE"""),75225.0)</f>
        <v>75225</v>
      </c>
      <c r="I298" s="8">
        <f t="shared" si="3"/>
        <v>75225</v>
      </c>
      <c r="J298" s="9">
        <f>IFERROR(__xludf.DUMMYFUNCTION("SPLIT(I298,""-"")"),75225.0)</f>
        <v>75225</v>
      </c>
    </row>
    <row r="299">
      <c r="A299" s="10" t="s">
        <v>308</v>
      </c>
      <c r="B299" s="11">
        <v>500.0</v>
      </c>
      <c r="C299" s="12" t="s">
        <v>33</v>
      </c>
      <c r="E299" s="8" t="str">
        <f>IFERROR(__xludf.DUMMYFUNCTION("SPLIT(A299,""TX"")"),"Anderson, Clarence
10923 Apple Creek Dr
Dallas, ")</f>
        <v>Anderson, Clarence
10923 Apple Creek Dr
Dallas, </v>
      </c>
      <c r="F299" s="8">
        <f>IFERROR(__xludf.DUMMYFUNCTION("""COMPUTED_VALUE"""),75243.0)</f>
        <v>75243</v>
      </c>
      <c r="I299" s="8">
        <f t="shared" si="3"/>
        <v>75243</v>
      </c>
      <c r="J299" s="9">
        <f>IFERROR(__xludf.DUMMYFUNCTION("SPLIT(I299,""-"")"),75243.0)</f>
        <v>75243</v>
      </c>
    </row>
    <row r="300">
      <c r="A300" s="10" t="s">
        <v>309</v>
      </c>
      <c r="B300" s="11">
        <v>1000.0</v>
      </c>
      <c r="C300" s="12" t="s">
        <v>33</v>
      </c>
      <c r="E300" s="8" t="str">
        <f>IFERROR(__xludf.DUMMYFUNCTION("SPLIT(A300,""TX"")"),"Hoffman, Marguerite
9963 Rockbrook Dr.
Dallas, ")</f>
        <v>Hoffman, Marguerite
9963 Rockbrook Dr.
Dallas, </v>
      </c>
      <c r="F300" s="8">
        <f>IFERROR(__xludf.DUMMYFUNCTION("""COMPUTED_VALUE"""),75220.0)</f>
        <v>75220</v>
      </c>
      <c r="I300" s="8">
        <f t="shared" si="3"/>
        <v>75220</v>
      </c>
      <c r="J300" s="9">
        <f>IFERROR(__xludf.DUMMYFUNCTION("SPLIT(I300,""-"")"),75220.0)</f>
        <v>75220</v>
      </c>
    </row>
    <row r="301">
      <c r="A301" s="10" t="s">
        <v>310</v>
      </c>
      <c r="B301" s="11">
        <v>1000.0</v>
      </c>
      <c r="C301" s="12" t="s">
        <v>33</v>
      </c>
      <c r="E301" s="8" t="str">
        <f>IFERROR(__xludf.DUMMYFUNCTION("SPLIT(A301,""TX"")"),"Perot, Nancy
3000 ")</f>
        <v>Perot, Nancy
3000 </v>
      </c>
      <c r="F301" s="8" t="str">
        <f>IFERROR(__xludf.DUMMYFUNCTION("""COMPUTED_VALUE"""),"urtle Creek Blvd
Dallas, ")</f>
        <v>urtle Creek Blvd
Dallas, </v>
      </c>
      <c r="G301" s="8">
        <f>IFERROR(__xludf.DUMMYFUNCTION("""COMPUTED_VALUE"""),75219.0)</f>
        <v>75219</v>
      </c>
      <c r="I301" s="8">
        <f t="shared" si="3"/>
        <v>75219</v>
      </c>
      <c r="J301" s="9">
        <f>IFERROR(__xludf.DUMMYFUNCTION("SPLIT(I301,""-"")"),75219.0)</f>
        <v>75219</v>
      </c>
    </row>
    <row r="302">
      <c r="A302" s="10" t="s">
        <v>311</v>
      </c>
      <c r="B302" s="11">
        <v>1000.0</v>
      </c>
      <c r="C302" s="12" t="s">
        <v>33</v>
      </c>
      <c r="E302" s="8" t="str">
        <f>IFERROR(__xludf.DUMMYFUNCTION("SPLIT(A302,""TX"")"),"Byrne, J ")</f>
        <v>Byrne, J </v>
      </c>
      <c r="F302" s="8" t="str">
        <f>IFERROR(__xludf.DUMMYFUNCTION("""COMPUTED_VALUE"""),"im
3720 Miramar Ave
Dallas, ")</f>
        <v>im
3720 Miramar Ave
Dallas, </v>
      </c>
      <c r="G302" s="8">
        <f>IFERROR(__xludf.DUMMYFUNCTION("""COMPUTED_VALUE"""),75205.0)</f>
        <v>75205</v>
      </c>
      <c r="I302" s="8">
        <f t="shared" si="3"/>
        <v>75205</v>
      </c>
      <c r="J302" s="9">
        <f>IFERROR(__xludf.DUMMYFUNCTION("SPLIT(I302,""-"")"),75205.0)</f>
        <v>75205</v>
      </c>
    </row>
    <row r="303">
      <c r="A303" s="10" t="s">
        <v>312</v>
      </c>
      <c r="B303" s="11">
        <v>150.0</v>
      </c>
      <c r="C303" s="12" t="s">
        <v>33</v>
      </c>
      <c r="E303" s="8" t="str">
        <f>IFERROR(__xludf.DUMMYFUNCTION("SPLIT(A303,""TX"")"),"Hill, Vonceil
1627 Alcapulco Dr
Dallas, ")</f>
        <v>Hill, Vonceil
1627 Alcapulco Dr
Dallas, </v>
      </c>
      <c r="F303" s="8">
        <f>IFERROR(__xludf.DUMMYFUNCTION("""COMPUTED_VALUE"""),75232.0)</f>
        <v>75232</v>
      </c>
      <c r="I303" s="8">
        <f t="shared" si="3"/>
        <v>75232</v>
      </c>
      <c r="J303" s="9">
        <f>IFERROR(__xludf.DUMMYFUNCTION("SPLIT(I303,""-"")"),75232.0)</f>
        <v>75232</v>
      </c>
    </row>
    <row r="304">
      <c r="A304" s="10" t="s">
        <v>313</v>
      </c>
      <c r="B304" s="11">
        <v>250.0</v>
      </c>
      <c r="C304" s="12" t="s">
        <v>33</v>
      </c>
      <c r="E304" s="8" t="str">
        <f>IFERROR(__xludf.DUMMYFUNCTION("SPLIT(A304,""TX"")"),"PAC, Black American Futures
2647 White Oak Dr.
Decatur, GA 30032")</f>
        <v>PAC, Black American Futures
2647 White Oak Dr.
Decatur, GA 30032</v>
      </c>
      <c r="I304" s="8" t="str">
        <f t="shared" si="3"/>
        <v/>
      </c>
      <c r="J304" s="9" t="str">
        <f>IFERROR(__xludf.DUMMYFUNCTION("SPLIT(I304,""-"")"),"#VALUE!")</f>
        <v>#VALUE!</v>
      </c>
    </row>
    <row r="305">
      <c r="A305" s="10" t="s">
        <v>314</v>
      </c>
      <c r="B305" s="11">
        <v>500.0</v>
      </c>
      <c r="C305" s="12" t="s">
        <v>33</v>
      </c>
      <c r="E305" s="8" t="str">
        <f>IFERROR(__xludf.DUMMYFUNCTION("SPLIT(A305,""TX"")"),"Simmons, Lisa
9750 Hollow Way Rd
Dallas, ")</f>
        <v>Simmons, Lisa
9750 Hollow Way Rd
Dallas, </v>
      </c>
      <c r="F305" s="8">
        <f>IFERROR(__xludf.DUMMYFUNCTION("""COMPUTED_VALUE"""),75220.0)</f>
        <v>75220</v>
      </c>
      <c r="I305" s="8">
        <f t="shared" si="3"/>
        <v>75220</v>
      </c>
      <c r="J305" s="9">
        <f>IFERROR(__xludf.DUMMYFUNCTION("SPLIT(I305,""-"")"),75220.0)</f>
        <v>75220</v>
      </c>
    </row>
    <row r="306">
      <c r="A306" s="10" t="s">
        <v>315</v>
      </c>
      <c r="B306" s="11">
        <v>300.0</v>
      </c>
      <c r="C306" s="12" t="s">
        <v>33</v>
      </c>
      <c r="E306" s="8" t="str">
        <f>IFERROR(__xludf.DUMMYFUNCTION("SPLIT(A306,""TX"")"),"Jordan, Harry
1627 Boca Chica Dr
Dallas, ")</f>
        <v>Jordan, Harry
1627 Boca Chica Dr
Dallas, </v>
      </c>
      <c r="F306" s="8">
        <f>IFERROR(__xludf.DUMMYFUNCTION("""COMPUTED_VALUE"""),75232.0)</f>
        <v>75232</v>
      </c>
      <c r="I306" s="8">
        <f t="shared" si="3"/>
        <v>75232</v>
      </c>
      <c r="J306" s="9">
        <f>IFERROR(__xludf.DUMMYFUNCTION("SPLIT(I306,""-"")"),75232.0)</f>
        <v>75232</v>
      </c>
    </row>
    <row r="307">
      <c r="A307" s="10" t="s">
        <v>316</v>
      </c>
      <c r="B307" s="11">
        <v>100.0</v>
      </c>
      <c r="C307" s="12" t="s">
        <v>33</v>
      </c>
      <c r="E307" s="8" t="str">
        <f>IFERROR(__xludf.DUMMYFUNCTION("SPLIT(A307,""TX"")"),"Neumann, Dave
6318 ")</f>
        <v>Neumann, Dave
6318 </v>
      </c>
      <c r="F307" s="8" t="str">
        <f>IFERROR(__xludf.DUMMYFUNCTION("""COMPUTED_VALUE"""),"urner Way
Dallas, ")</f>
        <v>urner Way
Dallas, </v>
      </c>
      <c r="G307" s="8">
        <f>IFERROR(__xludf.DUMMYFUNCTION("""COMPUTED_VALUE"""),75230.0)</f>
        <v>75230</v>
      </c>
      <c r="I307" s="8">
        <f t="shared" si="3"/>
        <v>75230</v>
      </c>
      <c r="J307" s="9">
        <f>IFERROR(__xludf.DUMMYFUNCTION("SPLIT(I307,""-"")"),75230.0)</f>
        <v>75230</v>
      </c>
    </row>
    <row r="308">
      <c r="A308" s="10" t="s">
        <v>317</v>
      </c>
      <c r="B308" s="11">
        <v>500.0</v>
      </c>
      <c r="C308" s="12" t="s">
        <v>33</v>
      </c>
      <c r="E308" s="8" t="str">
        <f>IFERROR(__xludf.DUMMYFUNCTION("SPLIT(A308,""TX"")"),"Billingsley, Lucy
1722 Routh Street
Dallas, ")</f>
        <v>Billingsley, Lucy
1722 Routh Street
Dallas, </v>
      </c>
      <c r="F308" s="8">
        <f>IFERROR(__xludf.DUMMYFUNCTION("""COMPUTED_VALUE"""),75201.0)</f>
        <v>75201</v>
      </c>
      <c r="I308" s="8">
        <f t="shared" si="3"/>
        <v>75201</v>
      </c>
      <c r="J308" s="9">
        <f>IFERROR(__xludf.DUMMYFUNCTION("SPLIT(I308,""-"")"),75201.0)</f>
        <v>75201</v>
      </c>
    </row>
    <row r="309">
      <c r="A309" s="10" t="s">
        <v>318</v>
      </c>
      <c r="B309" s="11">
        <v>500.0</v>
      </c>
      <c r="C309" s="12" t="s">
        <v>33</v>
      </c>
      <c r="E309" s="8" t="str">
        <f>IFERROR(__xludf.DUMMYFUNCTION("SPLIT(A309,""TX"")"),"Williams, ")</f>
        <v>Williams, </v>
      </c>
      <c r="F309" s="8" t="str">
        <f>IFERROR(__xludf.DUMMYFUNCTION("""COMPUTED_VALUE"""),"odd
5119 Seneca Drive
Dallas, ")</f>
        <v>odd
5119 Seneca Drive
Dallas, </v>
      </c>
      <c r="G309" s="8">
        <f>IFERROR(__xludf.DUMMYFUNCTION("""COMPUTED_VALUE"""),75209.0)</f>
        <v>75209</v>
      </c>
      <c r="I309" s="8">
        <f t="shared" si="3"/>
        <v>75209</v>
      </c>
      <c r="J309" s="9">
        <f>IFERROR(__xludf.DUMMYFUNCTION("SPLIT(I309,""-"")"),75209.0)</f>
        <v>75209</v>
      </c>
    </row>
    <row r="310">
      <c r="A310" s="10" t="s">
        <v>319</v>
      </c>
      <c r="B310" s="11">
        <v>100.0</v>
      </c>
      <c r="C310" s="12" t="s">
        <v>33</v>
      </c>
      <c r="E310" s="8" t="str">
        <f>IFERROR(__xludf.DUMMYFUNCTION("SPLIT(A310,""TX"")"),"Lidji, Fay
9024 Broken Arrow Lane
Dallas, ")</f>
        <v>Lidji, Fay
9024 Broken Arrow Lane
Dallas, </v>
      </c>
      <c r="F310" s="8">
        <f>IFERROR(__xludf.DUMMYFUNCTION("""COMPUTED_VALUE"""),75209.0)</f>
        <v>75209</v>
      </c>
      <c r="I310" s="8">
        <f t="shared" si="3"/>
        <v>75209</v>
      </c>
      <c r="J310" s="9">
        <f>IFERROR(__xludf.DUMMYFUNCTION("SPLIT(I310,""-"")"),75209.0)</f>
        <v>75209</v>
      </c>
    </row>
    <row r="311">
      <c r="A311" s="10" t="s">
        <v>320</v>
      </c>
      <c r="B311" s="11">
        <v>500.0</v>
      </c>
      <c r="C311" s="12" t="s">
        <v>33</v>
      </c>
      <c r="E311" s="8" t="str">
        <f>IFERROR(__xludf.DUMMYFUNCTION("SPLIT(A311,""TX"")"),"Levy, John
5839 Desco Drive
Dallas, ")</f>
        <v>Levy, John
5839 Desco Drive
Dallas, </v>
      </c>
      <c r="F311" s="8">
        <f>IFERROR(__xludf.DUMMYFUNCTION("""COMPUTED_VALUE"""),75225.0)</f>
        <v>75225</v>
      </c>
      <c r="I311" s="8">
        <f t="shared" si="3"/>
        <v>75225</v>
      </c>
      <c r="J311" s="9">
        <f>IFERROR(__xludf.DUMMYFUNCTION("SPLIT(I311,""-"")"),75225.0)</f>
        <v>75225</v>
      </c>
    </row>
    <row r="312">
      <c r="A312" s="10" t="s">
        <v>321</v>
      </c>
      <c r="B312" s="11">
        <v>250.0</v>
      </c>
      <c r="C312" s="12" t="s">
        <v>33</v>
      </c>
      <c r="E312" s="8" t="str">
        <f>IFERROR(__xludf.DUMMYFUNCTION("SPLIT(A312,""TX"")"),"Karol, Jennifer
5370 Meaders Lane
Dallas, ")</f>
        <v>Karol, Jennifer
5370 Meaders Lane
Dallas, </v>
      </c>
      <c r="F312" s="8">
        <f>IFERROR(__xludf.DUMMYFUNCTION("""COMPUTED_VALUE"""),75229.0)</f>
        <v>75229</v>
      </c>
      <c r="I312" s="8">
        <f t="shared" si="3"/>
        <v>75229</v>
      </c>
      <c r="J312" s="9">
        <f>IFERROR(__xludf.DUMMYFUNCTION("SPLIT(I312,""-"")"),75229.0)</f>
        <v>75229</v>
      </c>
    </row>
    <row r="313">
      <c r="A313" s="10" t="s">
        <v>322</v>
      </c>
      <c r="B313" s="11">
        <v>1000.0</v>
      </c>
      <c r="C313" s="12" t="s">
        <v>33</v>
      </c>
      <c r="E313" s="8" t="str">
        <f>IFERROR(__xludf.DUMMYFUNCTION("SPLIT(A313,""TX"")"),"Rachofsky, Cindy
5370 Meaders Lane
Dallas, ")</f>
        <v>Rachofsky, Cindy
5370 Meaders Lane
Dallas, </v>
      </c>
      <c r="F313" s="8">
        <f>IFERROR(__xludf.DUMMYFUNCTION("""COMPUTED_VALUE"""),75225.0)</f>
        <v>75225</v>
      </c>
      <c r="I313" s="8">
        <f t="shared" si="3"/>
        <v>75225</v>
      </c>
      <c r="J313" s="9">
        <f>IFERROR(__xludf.DUMMYFUNCTION("SPLIT(I313,""-"")"),75225.0)</f>
        <v>75225</v>
      </c>
    </row>
    <row r="314">
      <c r="A314" s="10" t="s">
        <v>323</v>
      </c>
      <c r="B314" s="11">
        <v>1000.0</v>
      </c>
      <c r="C314" s="12" t="s">
        <v>33</v>
      </c>
      <c r="E314" s="8" t="str">
        <f>IFERROR(__xludf.DUMMYFUNCTION("SPLIT(A314,""TX"")"),"Rachofsky, Howard
5370 Meaders Lane
Dallas, ")</f>
        <v>Rachofsky, Howard
5370 Meaders Lane
Dallas, </v>
      </c>
      <c r="F314" s="8">
        <f>IFERROR(__xludf.DUMMYFUNCTION("""COMPUTED_VALUE"""),75225.0)</f>
        <v>75225</v>
      </c>
      <c r="I314" s="8">
        <f t="shared" si="3"/>
        <v>75225</v>
      </c>
      <c r="J314" s="9">
        <f>IFERROR(__xludf.DUMMYFUNCTION("SPLIT(I314,""-"")"),75225.0)</f>
        <v>75225</v>
      </c>
    </row>
    <row r="315">
      <c r="A315" s="10" t="s">
        <v>324</v>
      </c>
      <c r="B315" s="11">
        <v>500.0</v>
      </c>
      <c r="C315" s="12" t="s">
        <v>33</v>
      </c>
      <c r="E315" s="8" t="str">
        <f>IFERROR(__xludf.DUMMYFUNCTION("SPLIT(A315,""TX"")"),"Looney, Meghan
5370 Meaders Lane
Dallas, ")</f>
        <v>Looney, Meghan
5370 Meaders Lane
Dallas, </v>
      </c>
      <c r="F315" s="8">
        <f>IFERROR(__xludf.DUMMYFUNCTION("""COMPUTED_VALUE"""),75225.0)</f>
        <v>75225</v>
      </c>
      <c r="I315" s="8">
        <f t="shared" si="3"/>
        <v>75225</v>
      </c>
      <c r="J315" s="9">
        <f>IFERROR(__xludf.DUMMYFUNCTION("SPLIT(I315,""-"")"),75225.0)</f>
        <v>75225</v>
      </c>
    </row>
    <row r="316">
      <c r="A316" s="10" t="s">
        <v>325</v>
      </c>
      <c r="B316" s="11">
        <v>1000.0</v>
      </c>
      <c r="C316" s="12" t="s">
        <v>33</v>
      </c>
      <c r="E316" s="8" t="str">
        <f>IFERROR(__xludf.DUMMYFUNCTION("SPLIT(A316,""TX"")"),"Kleinert, Ashlee
5909 Steuben Court
Dallas, ")</f>
        <v>Kleinert, Ashlee
5909 Steuben Court
Dallas, </v>
      </c>
      <c r="F316" s="8">
        <f>IFERROR(__xludf.DUMMYFUNCTION("""COMPUTED_VALUE"""),75248.0)</f>
        <v>75248</v>
      </c>
      <c r="I316" s="8">
        <f t="shared" si="3"/>
        <v>75248</v>
      </c>
      <c r="J316" s="9">
        <f>IFERROR(__xludf.DUMMYFUNCTION("SPLIT(I316,""-"")"),75248.0)</f>
        <v>75248</v>
      </c>
    </row>
    <row r="317">
      <c r="A317" s="10" t="s">
        <v>326</v>
      </c>
      <c r="B317" s="11">
        <v>1000.0</v>
      </c>
      <c r="C317" s="12" t="s">
        <v>33</v>
      </c>
      <c r="E317" s="8" t="str">
        <f>IFERROR(__xludf.DUMMYFUNCTION("SPLIT(A317,""TX"")"),"Kleinert, Chris
5909 Steuben Court
Dallas, ")</f>
        <v>Kleinert, Chris
5909 Steuben Court
Dallas, </v>
      </c>
      <c r="F317" s="8">
        <f>IFERROR(__xludf.DUMMYFUNCTION("""COMPUTED_VALUE"""),75248.0)</f>
        <v>75248</v>
      </c>
      <c r="I317" s="8">
        <f t="shared" si="3"/>
        <v>75248</v>
      </c>
      <c r="J317" s="9">
        <f>IFERROR(__xludf.DUMMYFUNCTION("SPLIT(I317,""-"")"),75248.0)</f>
        <v>75248</v>
      </c>
    </row>
    <row r="318">
      <c r="A318" s="10" t="s">
        <v>327</v>
      </c>
      <c r="B318" s="11">
        <v>500.0</v>
      </c>
      <c r="C318" s="12" t="s">
        <v>33</v>
      </c>
      <c r="E318" s="8" t="str">
        <f>IFERROR(__xludf.DUMMYFUNCTION("SPLIT(A318,""TX"")"),"Kleinert, ")</f>
        <v>Kleinert, </v>
      </c>
      <c r="F318" s="8" t="str">
        <f>IFERROR(__xludf.DUMMYFUNCTION("""COMPUTED_VALUE"""),"yler
5909 Steuben Court
Dallas, ")</f>
        <v>yler
5909 Steuben Court
Dallas, </v>
      </c>
      <c r="G318" s="8">
        <f>IFERROR(__xludf.DUMMYFUNCTION("""COMPUTED_VALUE"""),75248.0)</f>
        <v>75248</v>
      </c>
      <c r="I318" s="8">
        <f t="shared" si="3"/>
        <v>75248</v>
      </c>
      <c r="J318" s="9">
        <f>IFERROR(__xludf.DUMMYFUNCTION("SPLIT(I318,""-"")"),75248.0)</f>
        <v>75248</v>
      </c>
    </row>
    <row r="319">
      <c r="A319" s="10" t="s">
        <v>328</v>
      </c>
      <c r="B319" s="11">
        <v>250.0</v>
      </c>
      <c r="C319" s="12" t="s">
        <v>33</v>
      </c>
      <c r="E319" s="8" t="str">
        <f>IFERROR(__xludf.DUMMYFUNCTION("SPLIT(A319,""TX"")"),"Malveaux, Mark
6138 Desco Dr
Dallas, ")</f>
        <v>Malveaux, Mark
6138 Desco Dr
Dallas, </v>
      </c>
      <c r="F319" s="8">
        <f>IFERROR(__xludf.DUMMYFUNCTION("""COMPUTED_VALUE"""),75225.0)</f>
        <v>75225</v>
      </c>
      <c r="I319" s="8">
        <f t="shared" si="3"/>
        <v>75225</v>
      </c>
      <c r="J319" s="9">
        <f>IFERROR(__xludf.DUMMYFUNCTION("SPLIT(I319,""-"")"),75225.0)</f>
        <v>75225</v>
      </c>
    </row>
    <row r="320">
      <c r="A320" s="10" t="s">
        <v>329</v>
      </c>
      <c r="B320" s="11">
        <v>1000.0</v>
      </c>
      <c r="C320" s="12" t="s">
        <v>33</v>
      </c>
      <c r="E320" s="8" t="str">
        <f>IFERROR(__xludf.DUMMYFUNCTION("SPLIT(A320,""TX"")"),"Kirk, Ron
6342 Mercedes Ave.
DALLAS, ")</f>
        <v>Kirk, Ron
6342 Mercedes Ave.
DALLAS, </v>
      </c>
      <c r="F320" s="8">
        <f>IFERROR(__xludf.DUMMYFUNCTION("""COMPUTED_VALUE"""),75214.0)</f>
        <v>75214</v>
      </c>
      <c r="I320" s="8">
        <f t="shared" si="3"/>
        <v>75214</v>
      </c>
      <c r="J320" s="9">
        <f>IFERROR(__xludf.DUMMYFUNCTION("SPLIT(I320,""-"")"),75214.0)</f>
        <v>75214</v>
      </c>
    </row>
    <row r="321">
      <c r="A321" s="10" t="s">
        <v>159</v>
      </c>
      <c r="B321" s="11">
        <v>250.0</v>
      </c>
      <c r="C321" s="12" t="s">
        <v>33</v>
      </c>
      <c r="E321" s="8" t="str">
        <f>IFERROR(__xludf.DUMMYFUNCTION("SPLIT(A321,""TX"")"),"Pena, Lucilo
1717 Arts Plaza
Dallas, ")</f>
        <v>Pena, Lucilo
1717 Arts Plaza
Dallas, </v>
      </c>
      <c r="F321" s="8">
        <f>IFERROR(__xludf.DUMMYFUNCTION("""COMPUTED_VALUE"""),75201.0)</f>
        <v>75201</v>
      </c>
      <c r="I321" s="8">
        <f t="shared" si="3"/>
        <v>75201</v>
      </c>
      <c r="J321" s="9">
        <f>IFERROR(__xludf.DUMMYFUNCTION("SPLIT(I321,""-"")"),75201.0)</f>
        <v>75201</v>
      </c>
    </row>
    <row r="322">
      <c r="A322" s="10" t="s">
        <v>330</v>
      </c>
      <c r="B322" s="11">
        <v>1000.0</v>
      </c>
      <c r="C322" s="12" t="s">
        <v>33</v>
      </c>
      <c r="E322" s="8" t="str">
        <f>IFERROR(__xludf.DUMMYFUNCTION("SPLIT(A322,""TX"")"),"Glendenning, Don
3401 Lee Parkway
Dallas, ")</f>
        <v>Glendenning, Don
3401 Lee Parkway
Dallas, </v>
      </c>
      <c r="F322" s="8">
        <f>IFERROR(__xludf.DUMMYFUNCTION("""COMPUTED_VALUE"""),75219.0)</f>
        <v>75219</v>
      </c>
      <c r="I322" s="8">
        <f t="shared" si="3"/>
        <v>75219</v>
      </c>
      <c r="J322" s="9">
        <f>IFERROR(__xludf.DUMMYFUNCTION("SPLIT(I322,""-"")"),75219.0)</f>
        <v>75219</v>
      </c>
    </row>
    <row r="323">
      <c r="A323" s="10" t="s">
        <v>331</v>
      </c>
      <c r="B323" s="11">
        <v>1000.0</v>
      </c>
      <c r="C323" s="12" t="s">
        <v>33</v>
      </c>
      <c r="E323" s="8" t="str">
        <f>IFERROR(__xludf.DUMMYFUNCTION("SPLIT(A323,""TX"")"),"Natarajan, Gowri
3557 Marquette st
Dallas, ")</f>
        <v>Natarajan, Gowri
3557 Marquette st
Dallas, </v>
      </c>
      <c r="F323" s="8">
        <f>IFERROR(__xludf.DUMMYFUNCTION("""COMPUTED_VALUE"""),75225.0)</f>
        <v>75225</v>
      </c>
      <c r="I323" s="8">
        <f t="shared" si="3"/>
        <v>75225</v>
      </c>
      <c r="J323" s="9">
        <f>IFERROR(__xludf.DUMMYFUNCTION("SPLIT(I323,""-"")"),75225.0)</f>
        <v>75225</v>
      </c>
    </row>
    <row r="324">
      <c r="A324" s="10" t="s">
        <v>332</v>
      </c>
      <c r="B324" s="11">
        <v>25.0</v>
      </c>
      <c r="C324" s="12" t="s">
        <v>33</v>
      </c>
      <c r="E324" s="8" t="str">
        <f>IFERROR(__xludf.DUMMYFUNCTION("SPLIT(A324,""TX"")"),"Lee, ")</f>
        <v>Lee, </v>
      </c>
      <c r="F324" s="8" t="str">
        <f>IFERROR(__xludf.DUMMYFUNCTION("""COMPUTED_VALUE"""),"amela
409 Running Bear Ct
Euless, ")</f>
        <v>amela
409 Running Bear Ct
Euless, </v>
      </c>
      <c r="G324" s="8">
        <f>IFERROR(__xludf.DUMMYFUNCTION("""COMPUTED_VALUE"""),76039.0)</f>
        <v>76039</v>
      </c>
      <c r="I324" s="8">
        <f t="shared" si="3"/>
        <v>76039</v>
      </c>
      <c r="J324" s="9">
        <f>IFERROR(__xludf.DUMMYFUNCTION("SPLIT(I324,""-"")"),76039.0)</f>
        <v>76039</v>
      </c>
    </row>
    <row r="325">
      <c r="A325" s="10" t="s">
        <v>333</v>
      </c>
      <c r="B325" s="11">
        <v>100.0</v>
      </c>
      <c r="C325" s="12" t="s">
        <v>33</v>
      </c>
      <c r="E325" s="8" t="str">
        <f>IFERROR(__xludf.DUMMYFUNCTION("SPLIT(A325,""TX"")"),"Lewis, Peter
4348 Rickover Dr
Dallas, ")</f>
        <v>Lewis, Peter
4348 Rickover Dr
Dallas, </v>
      </c>
      <c r="F325" s="8">
        <f>IFERROR(__xludf.DUMMYFUNCTION("""COMPUTED_VALUE"""),75244.0)</f>
        <v>75244</v>
      </c>
      <c r="I325" s="8">
        <f t="shared" si="3"/>
        <v>75244</v>
      </c>
      <c r="J325" s="9">
        <f>IFERROR(__xludf.DUMMYFUNCTION("SPLIT(I325,""-"")"),75244.0)</f>
        <v>75244</v>
      </c>
    </row>
    <row r="326">
      <c r="A326" s="10" t="s">
        <v>334</v>
      </c>
      <c r="B326" s="11">
        <v>1000.0</v>
      </c>
      <c r="C326" s="12" t="s">
        <v>33</v>
      </c>
      <c r="E326" s="8" t="str">
        <f>IFERROR(__xludf.DUMMYFUNCTION("SPLIT(A326,""TX"")"),"McManemin, W Casey
5145 Yolanda Ln
Dallas, ")</f>
        <v>McManemin, W Casey
5145 Yolanda Ln
Dallas, </v>
      </c>
      <c r="F326" s="8">
        <f>IFERROR(__xludf.DUMMYFUNCTION("""COMPUTED_VALUE"""),75229.0)</f>
        <v>75229</v>
      </c>
      <c r="I326" s="8">
        <f t="shared" si="3"/>
        <v>75229</v>
      </c>
      <c r="J326" s="9">
        <f>IFERROR(__xludf.DUMMYFUNCTION("SPLIT(I326,""-"")"),75229.0)</f>
        <v>75229</v>
      </c>
    </row>
    <row r="327">
      <c r="A327" s="10" t="s">
        <v>335</v>
      </c>
      <c r="B327" s="11">
        <v>500.0</v>
      </c>
      <c r="C327" s="12" t="s">
        <v>33</v>
      </c>
      <c r="E327" s="8" t="str">
        <f>IFERROR(__xludf.DUMMYFUNCTION("SPLIT(A327,""TX"")"),"Rose, Catherine
4808 Meadowood Rd
Dallas, ")</f>
        <v>Rose, Catherine
4808 Meadowood Rd
Dallas, </v>
      </c>
      <c r="F327" s="8">
        <f>IFERROR(__xludf.DUMMYFUNCTION("""COMPUTED_VALUE"""),75220.0)</f>
        <v>75220</v>
      </c>
      <c r="I327" s="8">
        <f t="shared" si="3"/>
        <v>75220</v>
      </c>
      <c r="J327" s="9">
        <f>IFERROR(__xludf.DUMMYFUNCTION("SPLIT(I327,""-"")"),75220.0)</f>
        <v>75220</v>
      </c>
    </row>
    <row r="328">
      <c r="A328" s="10" t="s">
        <v>336</v>
      </c>
      <c r="B328" s="11">
        <v>500.0</v>
      </c>
      <c r="C328" s="12" t="s">
        <v>33</v>
      </c>
      <c r="E328" s="8" t="str">
        <f>IFERROR(__xludf.DUMMYFUNCTION("SPLIT(A328,""TX"")"),"Bruder, Rebecca
5506 Wenonah Dr
Dallas, ")</f>
        <v>Bruder, Rebecca
5506 Wenonah Dr
Dallas, </v>
      </c>
      <c r="F328" s="8">
        <f>IFERROR(__xludf.DUMMYFUNCTION("""COMPUTED_VALUE"""),75209.0)</f>
        <v>75209</v>
      </c>
      <c r="I328" s="8">
        <f t="shared" si="3"/>
        <v>75209</v>
      </c>
      <c r="J328" s="9">
        <f>IFERROR(__xludf.DUMMYFUNCTION("SPLIT(I328,""-"")"),75209.0)</f>
        <v>75209</v>
      </c>
    </row>
    <row r="329">
      <c r="A329" s="10" t="s">
        <v>173</v>
      </c>
      <c r="B329" s="11">
        <v>500.0</v>
      </c>
      <c r="C329" s="12" t="s">
        <v>33</v>
      </c>
      <c r="E329" s="8" t="str">
        <f>IFERROR(__xludf.DUMMYFUNCTION("SPLIT(A329,""TX"")"),"Lopez, Roy
4326 Meadowdale Ln
Dallas, ")</f>
        <v>Lopez, Roy
4326 Meadowdale Ln
Dallas, </v>
      </c>
      <c r="F329" s="8">
        <f>IFERROR(__xludf.DUMMYFUNCTION("""COMPUTED_VALUE"""),75229.0)</f>
        <v>75229</v>
      </c>
      <c r="I329" s="8">
        <f t="shared" si="3"/>
        <v>75229</v>
      </c>
      <c r="J329" s="9">
        <f>IFERROR(__xludf.DUMMYFUNCTION("SPLIT(I329,""-"")"),75229.0)</f>
        <v>75229</v>
      </c>
    </row>
    <row r="330">
      <c r="A330" s="10" t="s">
        <v>337</v>
      </c>
      <c r="B330" s="11">
        <v>1000.0</v>
      </c>
      <c r="C330" s="12" t="s">
        <v>33</v>
      </c>
      <c r="E330" s="8" t="str">
        <f>IFERROR(__xludf.DUMMYFUNCTION("SPLIT(A330,""TX"")"),"Hart, Milledge
3811 ")</f>
        <v>Hart, Milledge
3811 </v>
      </c>
      <c r="F330" s="8" t="str">
        <f>IFERROR(__xludf.DUMMYFUNCTION("""COMPUTED_VALUE"""),"utle Creek Blvd
Dallas, ")</f>
        <v>utle Creek Blvd
Dallas, </v>
      </c>
      <c r="G330" s="8">
        <f>IFERROR(__xludf.DUMMYFUNCTION("""COMPUTED_VALUE"""),75219.0)</f>
        <v>75219</v>
      </c>
      <c r="I330" s="8">
        <f t="shared" si="3"/>
        <v>75219</v>
      </c>
      <c r="J330" s="9">
        <f>IFERROR(__xludf.DUMMYFUNCTION("SPLIT(I330,""-"")"),75219.0)</f>
        <v>75219</v>
      </c>
    </row>
    <row r="331">
      <c r="A331" s="10" t="s">
        <v>338</v>
      </c>
      <c r="B331" s="11">
        <v>500.0</v>
      </c>
      <c r="C331" s="12" t="s">
        <v>33</v>
      </c>
      <c r="E331" s="8" t="str">
        <f>IFERROR(__xludf.DUMMYFUNCTION("SPLIT(A331,""TX"")"),"Jordan, Cris
4843 Junius St
Dallas, ")</f>
        <v>Jordan, Cris
4843 Junius St
Dallas, </v>
      </c>
      <c r="F331" s="8">
        <f>IFERROR(__xludf.DUMMYFUNCTION("""COMPUTED_VALUE"""),75246.0)</f>
        <v>75246</v>
      </c>
      <c r="I331" s="8">
        <f t="shared" si="3"/>
        <v>75246</v>
      </c>
      <c r="J331" s="9">
        <f>IFERROR(__xludf.DUMMYFUNCTION("SPLIT(I331,""-"")"),75246.0)</f>
        <v>75246</v>
      </c>
    </row>
    <row r="332">
      <c r="A332" s="10" t="s">
        <v>339</v>
      </c>
      <c r="B332" s="11">
        <v>100.0</v>
      </c>
      <c r="C332" s="12" t="s">
        <v>33</v>
      </c>
      <c r="E332" s="8" t="str">
        <f>IFERROR(__xludf.DUMMYFUNCTION("SPLIT(A332,""TX"")"),"Morris-Smith, Cylena
2662 Bonnywood Lane
Dallas, ")</f>
        <v>Morris-Smith, Cylena
2662 Bonnywood Lane
Dallas, </v>
      </c>
      <c r="F332" s="8">
        <f>IFERROR(__xludf.DUMMYFUNCTION("""COMPUTED_VALUE"""),75233.0)</f>
        <v>75233</v>
      </c>
      <c r="I332" s="8">
        <f t="shared" si="3"/>
        <v>75233</v>
      </c>
      <c r="J332" s="9">
        <f>IFERROR(__xludf.DUMMYFUNCTION("SPLIT(I332,""-"")"),75233.0)</f>
        <v>75233</v>
      </c>
    </row>
    <row r="333">
      <c r="A333" s="10" t="s">
        <v>340</v>
      </c>
      <c r="B333" s="11">
        <v>1000.0</v>
      </c>
      <c r="C333" s="12" t="s">
        <v>33</v>
      </c>
      <c r="E333" s="8" t="str">
        <f>IFERROR(__xludf.DUMMYFUNCTION("SPLIT(A333,""TX"")"),"Bowman, Randy
6637 Northaven Road
Dallas, ")</f>
        <v>Bowman, Randy
6637 Northaven Road
Dallas, </v>
      </c>
      <c r="F333" s="8">
        <f>IFERROR(__xludf.DUMMYFUNCTION("""COMPUTED_VALUE"""),75230.0)</f>
        <v>75230</v>
      </c>
      <c r="I333" s="8">
        <f t="shared" si="3"/>
        <v>75230</v>
      </c>
      <c r="J333" s="9">
        <f>IFERROR(__xludf.DUMMYFUNCTION("SPLIT(I333,""-"")"),75230.0)</f>
        <v>75230</v>
      </c>
    </row>
    <row r="334">
      <c r="A334" s="10" t="s">
        <v>341</v>
      </c>
      <c r="B334" s="11">
        <v>1000.0</v>
      </c>
      <c r="C334" s="12" t="s">
        <v>33</v>
      </c>
      <c r="E334" s="8" t="str">
        <f>IFERROR(__xludf.DUMMYFUNCTION("SPLIT(A334,""TX"")"),"Boone, Garrett
4809 Cole Ave.
Dallas, ")</f>
        <v>Boone, Garrett
4809 Cole Ave.
Dallas, </v>
      </c>
      <c r="F334" s="8">
        <f>IFERROR(__xludf.DUMMYFUNCTION("""COMPUTED_VALUE"""),75205.0)</f>
        <v>75205</v>
      </c>
      <c r="I334" s="8">
        <f t="shared" si="3"/>
        <v>75205</v>
      </c>
      <c r="J334" s="9">
        <f>IFERROR(__xludf.DUMMYFUNCTION("SPLIT(I334,""-"")"),75205.0)</f>
        <v>75205</v>
      </c>
    </row>
    <row r="335">
      <c r="A335" s="10" t="s">
        <v>342</v>
      </c>
      <c r="B335" s="11">
        <v>1000.0</v>
      </c>
      <c r="C335" s="12" t="s">
        <v>33</v>
      </c>
      <c r="E335" s="8" t="str">
        <f>IFERROR(__xludf.DUMMYFUNCTION("SPLIT(A335,""TX"")"),"Boone, Cecilia
4809 Cole Ave.
Dallas, ")</f>
        <v>Boone, Cecilia
4809 Cole Ave.
Dallas, </v>
      </c>
      <c r="F335" s="8">
        <f>IFERROR(__xludf.DUMMYFUNCTION("""COMPUTED_VALUE"""),75205.0)</f>
        <v>75205</v>
      </c>
      <c r="I335" s="8">
        <f t="shared" si="3"/>
        <v>75205</v>
      </c>
      <c r="J335" s="9">
        <f>IFERROR(__xludf.DUMMYFUNCTION("SPLIT(I335,""-"")"),75205.0)</f>
        <v>75205</v>
      </c>
    </row>
    <row r="336">
      <c r="A336" s="10" t="s">
        <v>343</v>
      </c>
      <c r="B336" s="11">
        <v>250.0</v>
      </c>
      <c r="C336" s="12" t="s">
        <v>33</v>
      </c>
      <c r="E336" s="8" t="str">
        <f>IFERROR(__xludf.DUMMYFUNCTION("SPLIT(A336,""TX"")"),"Prothro, Caren
3929 Potomac Avenue
Dallas, ")</f>
        <v>Prothro, Caren
3929 Potomac Avenue
Dallas, </v>
      </c>
      <c r="F336" s="8">
        <f>IFERROR(__xludf.DUMMYFUNCTION("""COMPUTED_VALUE"""),75205.0)</f>
        <v>75205</v>
      </c>
      <c r="I336" s="8">
        <f t="shared" si="3"/>
        <v>75205</v>
      </c>
      <c r="J336" s="9">
        <f>IFERROR(__xludf.DUMMYFUNCTION("SPLIT(I336,""-"")"),75205.0)</f>
        <v>75205</v>
      </c>
    </row>
    <row r="337">
      <c r="A337" s="10" t="s">
        <v>344</v>
      </c>
      <c r="B337" s="11">
        <v>250.0</v>
      </c>
      <c r="C337" s="12" t="s">
        <v>33</v>
      </c>
      <c r="E337" s="8" t="str">
        <f>IFERROR(__xludf.DUMMYFUNCTION("SPLIT(A337,""TX"")"),"Sampson, Demetris
PO Box 763834
Dallas, ")</f>
        <v>Sampson, Demetris
PO Box 763834
Dallas, </v>
      </c>
      <c r="F337" s="8">
        <f>IFERROR(__xludf.DUMMYFUNCTION("""COMPUTED_VALUE"""),75376.0)</f>
        <v>75376</v>
      </c>
      <c r="I337" s="8">
        <f t="shared" si="3"/>
        <v>75376</v>
      </c>
      <c r="J337" s="9">
        <f>IFERROR(__xludf.DUMMYFUNCTION("SPLIT(I337,""-"")"),75376.0)</f>
        <v>75376</v>
      </c>
    </row>
    <row r="338">
      <c r="A338" s="10" t="s">
        <v>345</v>
      </c>
      <c r="B338" s="11">
        <v>250.0</v>
      </c>
      <c r="C338" s="12" t="s">
        <v>33</v>
      </c>
      <c r="E338" s="8" t="str">
        <f>IFERROR(__xludf.DUMMYFUNCTION("SPLIT(A338,""TX"")"),"Foster, Irby
2811 Bonnywood lane
Dallas, ")</f>
        <v>Foster, Irby
2811 Bonnywood lane
Dallas, </v>
      </c>
      <c r="F338" s="8">
        <f>IFERROR(__xludf.DUMMYFUNCTION("""COMPUTED_VALUE"""),75233.0)</f>
        <v>75233</v>
      </c>
      <c r="I338" s="8">
        <f t="shared" si="3"/>
        <v>75233</v>
      </c>
      <c r="J338" s="9">
        <f>IFERROR(__xludf.DUMMYFUNCTION("SPLIT(I338,""-"")"),75233.0)</f>
        <v>75233</v>
      </c>
    </row>
    <row r="339">
      <c r="A339" s="10" t="s">
        <v>346</v>
      </c>
      <c r="B339" s="11">
        <v>100.0</v>
      </c>
      <c r="C339" s="12" t="s">
        <v>33</v>
      </c>
      <c r="E339" s="8" t="str">
        <f>IFERROR(__xludf.DUMMYFUNCTION("SPLIT(A339,""TX"")"),"Boyea-Robinson, ")</f>
        <v>Boyea-Robinson, </v>
      </c>
      <c r="F339" s="8" t="str">
        <f>IFERROR(__xludf.DUMMYFUNCTION("""COMPUTED_VALUE"""),"ynesia
3710 Lindenleaf Court
Winston-Salem, NC 27106")</f>
        <v>ynesia
3710 Lindenleaf Court
Winston-Salem, NC 27106</v>
      </c>
      <c r="J339" s="9" t="str">
        <f>IFERROR(__xludf.DUMMYFUNCTION("SPLIT(I339,""-"")"),"#VALUE!")</f>
        <v>#VALUE!</v>
      </c>
    </row>
    <row r="340">
      <c r="A340" s="10" t="s">
        <v>347</v>
      </c>
      <c r="B340" s="11">
        <v>500.0</v>
      </c>
      <c r="C340" s="12" t="s">
        <v>33</v>
      </c>
      <c r="E340" s="8" t="str">
        <f>IFERROR(__xludf.DUMMYFUNCTION("SPLIT(A340,""TX"")"),"Keyes, Katrina
3839 McKinney Avenue
Dallas, ")</f>
        <v>Keyes, Katrina
3839 McKinney Avenue
Dallas, </v>
      </c>
      <c r="F340" s="8">
        <f>IFERROR(__xludf.DUMMYFUNCTION("""COMPUTED_VALUE"""),75204.0)</f>
        <v>75204</v>
      </c>
      <c r="I340" s="8">
        <f t="shared" ref="I340:I357" si="4">IF(ISBLANK(G340),F340,G340)</f>
        <v>75204</v>
      </c>
      <c r="J340" s="9">
        <f>IFERROR(__xludf.DUMMYFUNCTION("SPLIT(I340,""-"")"),75204.0)</f>
        <v>75204</v>
      </c>
    </row>
    <row r="341">
      <c r="A341" s="10" t="s">
        <v>316</v>
      </c>
      <c r="B341" s="11">
        <v>100.0</v>
      </c>
      <c r="C341" s="12" t="s">
        <v>33</v>
      </c>
      <c r="E341" s="8" t="str">
        <f>IFERROR(__xludf.DUMMYFUNCTION("SPLIT(A341,""TX"")"),"Neumann, Dave
6318 ")</f>
        <v>Neumann, Dave
6318 </v>
      </c>
      <c r="F341" s="8" t="str">
        <f>IFERROR(__xludf.DUMMYFUNCTION("""COMPUTED_VALUE"""),"urner Way
Dallas, ")</f>
        <v>urner Way
Dallas, </v>
      </c>
      <c r="G341" s="8">
        <f>IFERROR(__xludf.DUMMYFUNCTION("""COMPUTED_VALUE"""),75230.0)</f>
        <v>75230</v>
      </c>
      <c r="I341" s="8">
        <f t="shared" si="4"/>
        <v>75230</v>
      </c>
      <c r="J341" s="9">
        <f>IFERROR(__xludf.DUMMYFUNCTION("SPLIT(I341,""-"")"),75230.0)</f>
        <v>75230</v>
      </c>
    </row>
    <row r="342">
      <c r="A342" s="10" t="s">
        <v>348</v>
      </c>
      <c r="B342" s="11">
        <v>1000.0</v>
      </c>
      <c r="C342" s="12" t="s">
        <v>349</v>
      </c>
      <c r="E342" s="8" t="str">
        <f>IFERROR(__xludf.DUMMYFUNCTION("SPLIT(A342,""TX"")"),"Citizen, Concerned
1500 Marilla
Dallas, ")</f>
        <v>Citizen, Concerned
1500 Marilla
Dallas, </v>
      </c>
      <c r="F342" s="8">
        <f>IFERROR(__xludf.DUMMYFUNCTION("""COMPUTED_VALUE"""),75201.0)</f>
        <v>75201</v>
      </c>
      <c r="I342" s="8">
        <f t="shared" si="4"/>
        <v>75201</v>
      </c>
      <c r="J342" s="9">
        <f>IFERROR(__xludf.DUMMYFUNCTION("SPLIT(I342,""-"")"),75201.0)</f>
        <v>75201</v>
      </c>
    </row>
    <row r="343">
      <c r="A343" s="10" t="s">
        <v>350</v>
      </c>
      <c r="B343" s="11">
        <v>1000.0</v>
      </c>
      <c r="C343" s="12" t="s">
        <v>349</v>
      </c>
      <c r="E343" s="8" t="str">
        <f>IFERROR(__xludf.DUMMYFUNCTION("SPLIT(A343,""TX"")"),"HOA, Dallas
1500 Marilla
Dallas, ")</f>
        <v>HOA, Dallas
1500 Marilla
Dallas, </v>
      </c>
      <c r="F343" s="8">
        <f>IFERROR(__xludf.DUMMYFUNCTION("""COMPUTED_VALUE"""),75201.0)</f>
        <v>75201</v>
      </c>
      <c r="I343" s="8">
        <f t="shared" si="4"/>
        <v>75201</v>
      </c>
      <c r="J343" s="9">
        <f>IFERROR(__xludf.DUMMYFUNCTION("SPLIT(I343,""-"")"),75201.0)</f>
        <v>75201</v>
      </c>
    </row>
    <row r="344">
      <c r="A344" s="10" t="s">
        <v>351</v>
      </c>
      <c r="B344" s="11">
        <v>1000.0</v>
      </c>
      <c r="C344" s="12" t="s">
        <v>349</v>
      </c>
      <c r="E344" s="8" t="str">
        <f>IFERROR(__xludf.DUMMYFUNCTION("SPLIT(A344,""TX"")"),"Developer, Dallas
1500 Marilla
Dallas, ")</f>
        <v>Developer, Dallas
1500 Marilla
Dallas, </v>
      </c>
      <c r="F344" s="8">
        <f>IFERROR(__xludf.DUMMYFUNCTION("""COMPUTED_VALUE"""),75201.0)</f>
        <v>75201</v>
      </c>
      <c r="I344" s="8">
        <f t="shared" si="4"/>
        <v>75201</v>
      </c>
      <c r="J344" s="9">
        <f>IFERROR(__xludf.DUMMYFUNCTION("SPLIT(I344,""-"")"),75201.0)</f>
        <v>75201</v>
      </c>
    </row>
    <row r="345">
      <c r="A345" s="10" t="s">
        <v>352</v>
      </c>
      <c r="B345" s="11">
        <v>500.0</v>
      </c>
      <c r="C345" s="12" t="s">
        <v>353</v>
      </c>
      <c r="E345" s="8" t="str">
        <f>IFERROR(__xludf.DUMMYFUNCTION("SPLIT(A345,""TX"")"),"Bridget, Lopez
4322 Meadowdale
Dallas, ")</f>
        <v>Bridget, Lopez
4322 Meadowdale
Dallas, </v>
      </c>
      <c r="F345" s="8">
        <f>IFERROR(__xludf.DUMMYFUNCTION("""COMPUTED_VALUE"""),75229.0)</f>
        <v>75229</v>
      </c>
      <c r="I345" s="8">
        <f t="shared" si="4"/>
        <v>75229</v>
      </c>
      <c r="J345" s="9">
        <f>IFERROR(__xludf.DUMMYFUNCTION("SPLIT(I345,""-"")"),75229.0)</f>
        <v>75229</v>
      </c>
    </row>
    <row r="346">
      <c r="A346" s="10" t="s">
        <v>354</v>
      </c>
      <c r="B346" s="11">
        <v>500.0</v>
      </c>
      <c r="C346" s="12" t="s">
        <v>353</v>
      </c>
      <c r="E346" s="8" t="str">
        <f>IFERROR(__xludf.DUMMYFUNCTION("SPLIT(A346,""TX"")"),"Pitre, Pennie
2642 Harwood
Dallas, ")</f>
        <v>Pitre, Pennie
2642 Harwood
Dallas, </v>
      </c>
      <c r="F346" s="8">
        <f>IFERROR(__xludf.DUMMYFUNCTION("""COMPUTED_VALUE"""),75215.0)</f>
        <v>75215</v>
      </c>
      <c r="I346" s="8">
        <f t="shared" si="4"/>
        <v>75215</v>
      </c>
      <c r="J346" s="9">
        <f>IFERROR(__xludf.DUMMYFUNCTION("SPLIT(I346,""-"")"),75215.0)</f>
        <v>75215</v>
      </c>
    </row>
    <row r="347">
      <c r="A347" s="10" t="s">
        <v>254</v>
      </c>
      <c r="B347" s="11">
        <v>250.0</v>
      </c>
      <c r="C347" s="12" t="s">
        <v>353</v>
      </c>
      <c r="E347" s="8" t="str">
        <f>IFERROR(__xludf.DUMMYFUNCTION("SPLIT(A347,""TX"")"),"Minnis, Norma
PO Box 140977
Dallas, ")</f>
        <v>Minnis, Norma
PO Box 140977
Dallas, </v>
      </c>
      <c r="F347" s="8">
        <f>IFERROR(__xludf.DUMMYFUNCTION("""COMPUTED_VALUE"""),75214.0)</f>
        <v>75214</v>
      </c>
      <c r="I347" s="8">
        <f t="shared" si="4"/>
        <v>75214</v>
      </c>
      <c r="J347" s="9">
        <f>IFERROR(__xludf.DUMMYFUNCTION("SPLIT(I347,""-"")"),75214.0)</f>
        <v>75214</v>
      </c>
    </row>
    <row r="348">
      <c r="A348" s="10" t="s">
        <v>355</v>
      </c>
      <c r="B348" s="11">
        <v>250.0</v>
      </c>
      <c r="C348" s="12" t="s">
        <v>353</v>
      </c>
      <c r="E348" s="8" t="str">
        <f>IFERROR(__xludf.DUMMYFUNCTION("SPLIT(A348,""TX"")"),"hompson, Karl
724 Brook Valley
Dallas, ")</f>
        <v>hompson, Karl
724 Brook Valley
Dallas, </v>
      </c>
      <c r="F348" s="8">
        <f>IFERROR(__xludf.DUMMYFUNCTION("""COMPUTED_VALUE"""),75232.0)</f>
        <v>75232</v>
      </c>
      <c r="I348" s="8">
        <f t="shared" si="4"/>
        <v>75232</v>
      </c>
      <c r="J348" s="9">
        <f>IFERROR(__xludf.DUMMYFUNCTION("SPLIT(I348,""-"")"),75232.0)</f>
        <v>75232</v>
      </c>
    </row>
    <row r="349">
      <c r="A349" s="10" t="s">
        <v>356</v>
      </c>
      <c r="B349" s="11">
        <v>250.0</v>
      </c>
      <c r="C349" s="12" t="s">
        <v>353</v>
      </c>
      <c r="E349" s="8" t="str">
        <f>IFERROR(__xludf.DUMMYFUNCTION("SPLIT(A349,""TX"")"),"Flores, Hector
1030 S. Zang
Dallas, ")</f>
        <v>Flores, Hector
1030 S. Zang
Dallas, </v>
      </c>
      <c r="F349" s="8">
        <f>IFERROR(__xludf.DUMMYFUNCTION("""COMPUTED_VALUE"""),75206.0)</f>
        <v>75206</v>
      </c>
      <c r="I349" s="8">
        <f t="shared" si="4"/>
        <v>75206</v>
      </c>
      <c r="J349" s="9">
        <f>IFERROR(__xludf.DUMMYFUNCTION("SPLIT(I349,""-"")"),75206.0)</f>
        <v>75206</v>
      </c>
    </row>
    <row r="350">
      <c r="A350" s="10" t="s">
        <v>357</v>
      </c>
      <c r="B350" s="11">
        <v>150.0</v>
      </c>
      <c r="C350" s="12" t="s">
        <v>353</v>
      </c>
      <c r="E350" s="8" t="str">
        <f>IFERROR(__xludf.DUMMYFUNCTION("SPLIT(A350,""TX"")"),"Smith, Kenneth
4615 Bradshaw
Dallas, ")</f>
        <v>Smith, Kenneth
4615 Bradshaw
Dallas, </v>
      </c>
      <c r="F350" s="8">
        <f>IFERROR(__xludf.DUMMYFUNCTION("""COMPUTED_VALUE"""),75215.0)</f>
        <v>75215</v>
      </c>
      <c r="I350" s="8">
        <f t="shared" si="4"/>
        <v>75215</v>
      </c>
      <c r="J350" s="9">
        <f>IFERROR(__xludf.DUMMYFUNCTION("SPLIT(I350,""-"")"),75215.0)</f>
        <v>75215</v>
      </c>
    </row>
    <row r="351">
      <c r="A351" s="10" t="s">
        <v>358</v>
      </c>
      <c r="B351" s="11">
        <v>100.0</v>
      </c>
      <c r="C351" s="12" t="s">
        <v>353</v>
      </c>
      <c r="E351" s="8" t="str">
        <f>IFERROR(__xludf.DUMMYFUNCTION("SPLIT(A351,""TX"")"),"Martinez, Rene
1007 Arbor
Dallas, ")</f>
        <v>Martinez, Rene
1007 Arbor
Dallas, </v>
      </c>
      <c r="F351" s="8">
        <f>IFERROR(__xludf.DUMMYFUNCTION("""COMPUTED_VALUE"""),75231.0)</f>
        <v>75231</v>
      </c>
      <c r="I351" s="8">
        <f t="shared" si="4"/>
        <v>75231</v>
      </c>
      <c r="J351" s="9">
        <f>IFERROR(__xludf.DUMMYFUNCTION("SPLIT(I351,""-"")"),75231.0)</f>
        <v>75231</v>
      </c>
    </row>
    <row r="352">
      <c r="A352" s="10" t="s">
        <v>359</v>
      </c>
      <c r="B352" s="11">
        <v>1000.0</v>
      </c>
      <c r="C352" s="12" t="s">
        <v>353</v>
      </c>
      <c r="E352" s="8" t="str">
        <f>IFERROR(__xludf.DUMMYFUNCTION("SPLIT(A352,""TX"")"),"King, Delva
1230 W. Pleasant Run
DeSoto, ")</f>
        <v>King, Delva
1230 W. Pleasant Run
DeSoto, </v>
      </c>
      <c r="F352" s="8">
        <f>IFERROR(__xludf.DUMMYFUNCTION("""COMPUTED_VALUE"""),75115.0)</f>
        <v>75115</v>
      </c>
      <c r="I352" s="8">
        <f t="shared" si="4"/>
        <v>75115</v>
      </c>
      <c r="J352" s="9">
        <f>IFERROR(__xludf.DUMMYFUNCTION("SPLIT(I352,""-"")"),75115.0)</f>
        <v>75115</v>
      </c>
    </row>
    <row r="353">
      <c r="A353" s="10" t="s">
        <v>360</v>
      </c>
      <c r="B353" s="11">
        <v>800.0</v>
      </c>
      <c r="C353" s="12" t="s">
        <v>353</v>
      </c>
      <c r="E353" s="8" t="str">
        <f>IFERROR(__xludf.DUMMYFUNCTION("SPLIT(A353,""TX"")"),"Williams, Evalynn
1104 Shadow ")</f>
        <v>Williams, Evalynn
1104 Shadow </v>
      </c>
      <c r="F353" s="8" t="str">
        <f>IFERROR(__xludf.DUMMYFUNCTION("""COMPUTED_VALUE"""),"rail
Dallas, ")</f>
        <v>rail
Dallas, </v>
      </c>
      <c r="G353" s="8">
        <f>IFERROR(__xludf.DUMMYFUNCTION("""COMPUTED_VALUE"""),75115.0)</f>
        <v>75115</v>
      </c>
      <c r="I353" s="8">
        <f t="shared" si="4"/>
        <v>75115</v>
      </c>
      <c r="J353" s="9">
        <f>IFERROR(__xludf.DUMMYFUNCTION("SPLIT(I353,""-"")"),75115.0)</f>
        <v>75115</v>
      </c>
    </row>
    <row r="354">
      <c r="A354" s="10" t="s">
        <v>361</v>
      </c>
      <c r="B354" s="11">
        <v>200.0</v>
      </c>
      <c r="C354" s="12" t="s">
        <v>362</v>
      </c>
      <c r="E354" s="8" t="str">
        <f>IFERROR(__xludf.DUMMYFUNCTION("SPLIT(A354,""TX"")"),"Doyle, Clyde
9401 Denker
Los Angles, CA 90047")</f>
        <v>Doyle, Clyde
9401 Denker
Los Angles, CA 90047</v>
      </c>
      <c r="I354" s="8" t="str">
        <f t="shared" si="4"/>
        <v/>
      </c>
      <c r="J354" s="9" t="str">
        <f>IFERROR(__xludf.DUMMYFUNCTION("SPLIT(I354,""-"")"),"#VALUE!")</f>
        <v>#VALUE!</v>
      </c>
    </row>
    <row r="355">
      <c r="A355" s="10" t="s">
        <v>363</v>
      </c>
      <c r="B355" s="11">
        <v>100.0</v>
      </c>
      <c r="C355" s="12" t="s">
        <v>362</v>
      </c>
      <c r="E355" s="8" t="str">
        <f>IFERROR(__xludf.DUMMYFUNCTION("SPLIT(A355,""TX"")"),"Ford, Anita
6134 Songwood
Dallas, ")</f>
        <v>Ford, Anita
6134 Songwood
Dallas, </v>
      </c>
      <c r="F355" s="8">
        <f>IFERROR(__xludf.DUMMYFUNCTION("""COMPUTED_VALUE"""),75241.0)</f>
        <v>75241</v>
      </c>
      <c r="I355" s="8">
        <f t="shared" si="4"/>
        <v>75241</v>
      </c>
      <c r="J355" s="9">
        <f>IFERROR(__xludf.DUMMYFUNCTION("SPLIT(I355,""-"")"),75241.0)</f>
        <v>75241</v>
      </c>
    </row>
    <row r="356">
      <c r="A356" s="10" t="s">
        <v>364</v>
      </c>
      <c r="B356" s="11">
        <v>90.0</v>
      </c>
      <c r="C356" s="12" t="s">
        <v>362</v>
      </c>
      <c r="E356" s="8" t="str">
        <f>IFERROR(__xludf.DUMMYFUNCTION("SPLIT(A356,""TX"")"),"McCoy, Dwayne
1239 Woodburn ")</f>
        <v>McCoy, Dwayne
1239 Woodburn </v>
      </c>
      <c r="F356" s="8" t="str">
        <f>IFERROR(__xludf.DUMMYFUNCTION("""COMPUTED_VALUE"""),"r
Dallas, ")</f>
        <v>r
Dallas, </v>
      </c>
      <c r="G356" s="8">
        <f>IFERROR(__xludf.DUMMYFUNCTION("""COMPUTED_VALUE"""),75241.0)</f>
        <v>75241</v>
      </c>
      <c r="I356" s="8">
        <f t="shared" si="4"/>
        <v>75241</v>
      </c>
      <c r="J356" s="9">
        <f>IFERROR(__xludf.DUMMYFUNCTION("SPLIT(I356,""-"")"),75241.0)</f>
        <v>75241</v>
      </c>
    </row>
    <row r="357">
      <c r="A357" s="10" t="s">
        <v>365</v>
      </c>
      <c r="B357" s="11">
        <v>200.0</v>
      </c>
      <c r="C357" s="12" t="s">
        <v>362</v>
      </c>
      <c r="E357" s="8" t="str">
        <f>IFERROR(__xludf.DUMMYFUNCTION("SPLIT(A357,""TX"")"),"Foreman, Frazier
5923 Keeneland
Dallas, ")</f>
        <v>Foreman, Frazier
5923 Keeneland
Dallas, </v>
      </c>
      <c r="F357" s="8">
        <f>IFERROR(__xludf.DUMMYFUNCTION("""COMPUTED_VALUE"""),75211.0)</f>
        <v>75211</v>
      </c>
      <c r="I357" s="8">
        <f t="shared" si="4"/>
        <v>75211</v>
      </c>
      <c r="J357" s="9">
        <f>IFERROR(__xludf.DUMMYFUNCTION("SPLIT(I357,""-"")"),75211.0)</f>
        <v>75211</v>
      </c>
    </row>
    <row r="358">
      <c r="A358" s="10" t="s">
        <v>366</v>
      </c>
      <c r="B358" s="11">
        <v>100.0</v>
      </c>
      <c r="C358" s="12" t="s">
        <v>362</v>
      </c>
      <c r="E358" s="8" t="str">
        <f>IFERROR(__xludf.DUMMYFUNCTION("SPLIT(A358,""TX"")"),"Redmon, Shirley
3828 W 77")</f>
        <v>Redmon, Shirley
3828 W 77</v>
      </c>
      <c r="F358" s="8" t="str">
        <f>IFERROR(__xludf.DUMMYFUNCTION("""COMPUTED_VALUE"""),"h st
Los Angles, CA 90043")</f>
        <v>h st
Los Angles, CA 90043</v>
      </c>
      <c r="J358" s="9" t="str">
        <f>IFERROR(__xludf.DUMMYFUNCTION("SPLIT(I358,""-"")"),"#VALUE!")</f>
        <v>#VALUE!</v>
      </c>
    </row>
    <row r="359">
      <c r="A359" s="10" t="s">
        <v>367</v>
      </c>
      <c r="B359" s="11">
        <v>100.0</v>
      </c>
      <c r="C359" s="12" t="s">
        <v>362</v>
      </c>
      <c r="E359" s="8" t="str">
        <f>IFERROR(__xludf.DUMMYFUNCTION("SPLIT(A359,""TX"")"),"hompson, Margaret
5003 Moss Point Rd
Dallas, ")</f>
        <v>hompson, Margaret
5003 Moss Point Rd
Dallas, </v>
      </c>
      <c r="F359" s="8">
        <f>IFERROR(__xludf.DUMMYFUNCTION("""COMPUTED_VALUE"""),75232.0)</f>
        <v>75232</v>
      </c>
      <c r="I359" s="8">
        <f t="shared" ref="I359:I432" si="5">IF(ISBLANK(G359),F359,G359)</f>
        <v>75232</v>
      </c>
      <c r="J359" s="9">
        <f>IFERROR(__xludf.DUMMYFUNCTION("SPLIT(I359,""-"")"),75232.0)</f>
        <v>75232</v>
      </c>
    </row>
    <row r="360">
      <c r="A360" s="10" t="s">
        <v>368</v>
      </c>
      <c r="B360" s="11">
        <v>200.0</v>
      </c>
      <c r="C360" s="12" t="s">
        <v>362</v>
      </c>
      <c r="E360" s="8" t="str">
        <f>IFERROR(__xludf.DUMMYFUNCTION("SPLIT(A360,""TX"")"),"Moore, Chris
5335 Nueces
Grand Prarie, ")</f>
        <v>Moore, Chris
5335 Nueces
Grand Prarie, </v>
      </c>
      <c r="F360" s="8">
        <f>IFERROR(__xludf.DUMMYFUNCTION("""COMPUTED_VALUE"""),75052.0)</f>
        <v>75052</v>
      </c>
      <c r="I360" s="8">
        <f t="shared" si="5"/>
        <v>75052</v>
      </c>
      <c r="J360" s="9">
        <f>IFERROR(__xludf.DUMMYFUNCTION("SPLIT(I360,""-"")"),75052.0)</f>
        <v>75052</v>
      </c>
    </row>
    <row r="361">
      <c r="A361" s="10" t="s">
        <v>369</v>
      </c>
      <c r="B361" s="11">
        <v>200.0</v>
      </c>
      <c r="C361" s="12" t="s">
        <v>362</v>
      </c>
      <c r="E361" s="8" t="str">
        <f>IFERROR(__xludf.DUMMYFUNCTION("SPLIT(A361,""TX"")"),"Judge, John
709 Robin Meadow
Desoto, ")</f>
        <v>Judge, John
709 Robin Meadow
Desoto, </v>
      </c>
      <c r="F361" s="8">
        <f>IFERROR(__xludf.DUMMYFUNCTION("""COMPUTED_VALUE"""),75115.0)</f>
        <v>75115</v>
      </c>
      <c r="I361" s="8">
        <f t="shared" si="5"/>
        <v>75115</v>
      </c>
      <c r="J361" s="9">
        <f>IFERROR(__xludf.DUMMYFUNCTION("SPLIT(I361,""-"")"),75115.0)</f>
        <v>75115</v>
      </c>
    </row>
    <row r="362">
      <c r="A362" s="10" t="s">
        <v>370</v>
      </c>
      <c r="B362" s="11">
        <v>200.0</v>
      </c>
      <c r="C362" s="12" t="s">
        <v>362</v>
      </c>
      <c r="E362" s="8" t="str">
        <f>IFERROR(__xludf.DUMMYFUNCTION("SPLIT(A362,""TX"")"),"Glenn, Debrah
3814 Bachman Blvd
Garland, ")</f>
        <v>Glenn, Debrah
3814 Bachman Blvd
Garland, </v>
      </c>
      <c r="F362" s="8">
        <f>IFERROR(__xludf.DUMMYFUNCTION("""COMPUTED_VALUE"""),75040.0)</f>
        <v>75040</v>
      </c>
      <c r="I362" s="8">
        <f t="shared" si="5"/>
        <v>75040</v>
      </c>
      <c r="J362" s="9">
        <f>IFERROR(__xludf.DUMMYFUNCTION("SPLIT(I362,""-"")"),75040.0)</f>
        <v>75040</v>
      </c>
    </row>
    <row r="363">
      <c r="A363" s="10" t="s">
        <v>371</v>
      </c>
      <c r="B363" s="11">
        <v>200.0</v>
      </c>
      <c r="C363" s="12" t="s">
        <v>362</v>
      </c>
      <c r="E363" s="8" t="str">
        <f>IFERROR(__xludf.DUMMYFUNCTION("SPLIT(A363,""TX"")"),"Jackson, Elmer
1236 Frenchman
Desoto, ")</f>
        <v>Jackson, Elmer
1236 Frenchman
Desoto, </v>
      </c>
      <c r="F363" s="8">
        <f>IFERROR(__xludf.DUMMYFUNCTION("""COMPUTED_VALUE"""),75115.0)</f>
        <v>75115</v>
      </c>
      <c r="I363" s="8">
        <f t="shared" si="5"/>
        <v>75115</v>
      </c>
      <c r="J363" s="9">
        <f>IFERROR(__xludf.DUMMYFUNCTION("SPLIT(I363,""-"")"),75115.0)</f>
        <v>75115</v>
      </c>
    </row>
    <row r="364">
      <c r="A364" s="10" t="s">
        <v>372</v>
      </c>
      <c r="B364" s="11">
        <v>200.0</v>
      </c>
      <c r="C364" s="12" t="s">
        <v>362</v>
      </c>
      <c r="E364" s="8" t="str">
        <f>IFERROR(__xludf.DUMMYFUNCTION("SPLIT(A364,""TX"")"),"Woodson, Florance
1207 Valencia
Lewisville, ")</f>
        <v>Woodson, Florance
1207 Valencia
Lewisville, </v>
      </c>
      <c r="F364" s="8">
        <f>IFERROR(__xludf.DUMMYFUNCTION("""COMPUTED_VALUE"""),75067.0)</f>
        <v>75067</v>
      </c>
      <c r="I364" s="8">
        <f t="shared" si="5"/>
        <v>75067</v>
      </c>
      <c r="J364" s="9">
        <f>IFERROR(__xludf.DUMMYFUNCTION("SPLIT(I364,""-"")"),75067.0)</f>
        <v>75067</v>
      </c>
    </row>
    <row r="365">
      <c r="A365" s="10" t="s">
        <v>373</v>
      </c>
      <c r="B365" s="11">
        <v>100.0</v>
      </c>
      <c r="C365" s="12" t="s">
        <v>362</v>
      </c>
      <c r="E365" s="8" t="str">
        <f>IFERROR(__xludf.DUMMYFUNCTION("SPLIT(A365,""TX"")"),"Woodson, Florance
1207 Valencia
Dallas, ")</f>
        <v>Woodson, Florance
1207 Valencia
Dallas, </v>
      </c>
      <c r="F365" s="8">
        <f>IFERROR(__xludf.DUMMYFUNCTION("""COMPUTED_VALUE"""),75067.0)</f>
        <v>75067</v>
      </c>
      <c r="I365" s="8">
        <f t="shared" si="5"/>
        <v>75067</v>
      </c>
      <c r="J365" s="9">
        <f>IFERROR(__xludf.DUMMYFUNCTION("SPLIT(I365,""-"")"),75067.0)</f>
        <v>75067</v>
      </c>
    </row>
    <row r="366">
      <c r="A366" s="10" t="s">
        <v>374</v>
      </c>
      <c r="B366" s="11">
        <v>150.0</v>
      </c>
      <c r="C366" s="12" t="s">
        <v>375</v>
      </c>
      <c r="E366" s="8" t="str">
        <f>IFERROR(__xludf.DUMMYFUNCTION("SPLIT(A366,""TX"")"),"Gearing, Charles
9332 Mercer Drive
Dallas, ")</f>
        <v>Gearing, Charles
9332 Mercer Drive
Dallas, </v>
      </c>
      <c r="F366" s="8">
        <f>IFERROR(__xludf.DUMMYFUNCTION("""COMPUTED_VALUE"""),75228.0)</f>
        <v>75228</v>
      </c>
      <c r="I366" s="8">
        <f t="shared" si="5"/>
        <v>75228</v>
      </c>
      <c r="J366" s="9">
        <f>IFERROR(__xludf.DUMMYFUNCTION("SPLIT(I366,""-"")"),75228.0)</f>
        <v>75228</v>
      </c>
    </row>
    <row r="367">
      <c r="A367" s="10" t="s">
        <v>376</v>
      </c>
      <c r="B367" s="11">
        <v>50.0</v>
      </c>
      <c r="C367" s="12" t="s">
        <v>375</v>
      </c>
      <c r="E367" s="8" t="str">
        <f>IFERROR(__xludf.DUMMYFUNCTION("SPLIT(A367,""TX"")"),"Gonzales, Rachael
6537 Royal Crest Drive
Dallas, ")</f>
        <v>Gonzales, Rachael
6537 Royal Crest Drive
Dallas, </v>
      </c>
      <c r="F367" s="8">
        <f>IFERROR(__xludf.DUMMYFUNCTION("""COMPUTED_VALUE"""),75230.0)</f>
        <v>75230</v>
      </c>
      <c r="I367" s="8">
        <f t="shared" si="5"/>
        <v>75230</v>
      </c>
      <c r="J367" s="9">
        <f>IFERROR(__xludf.DUMMYFUNCTION("SPLIT(I367,""-"")"),75230.0)</f>
        <v>75230</v>
      </c>
    </row>
    <row r="368">
      <c r="A368" s="10" t="s">
        <v>377</v>
      </c>
      <c r="B368" s="11">
        <v>200.0</v>
      </c>
      <c r="C368" s="12" t="s">
        <v>375</v>
      </c>
      <c r="E368" s="8" t="str">
        <f>IFERROR(__xludf.DUMMYFUNCTION("SPLIT(A368,""TX"")"),"Offutt, Larry
6038 Bryan Parkway
Dallas, ")</f>
        <v>Offutt, Larry
6038 Bryan Parkway
Dallas, </v>
      </c>
      <c r="F368" s="8">
        <f>IFERROR(__xludf.DUMMYFUNCTION("""COMPUTED_VALUE"""),75206.0)</f>
        <v>75206</v>
      </c>
      <c r="I368" s="8">
        <f t="shared" si="5"/>
        <v>75206</v>
      </c>
      <c r="J368" s="9">
        <f>IFERROR(__xludf.DUMMYFUNCTION("SPLIT(I368,""-"")"),75206.0)</f>
        <v>75206</v>
      </c>
    </row>
    <row r="369">
      <c r="A369" s="10" t="s">
        <v>378</v>
      </c>
      <c r="B369" s="11">
        <v>200.0</v>
      </c>
      <c r="C369" s="12" t="s">
        <v>375</v>
      </c>
      <c r="E369" s="8" t="str">
        <f>IFERROR(__xludf.DUMMYFUNCTION("SPLIT(A369,""TX"")"),"ucker, ")</f>
        <v>ucker, </v>
      </c>
      <c r="F369" s="8" t="str">
        <f>IFERROR(__xludf.DUMMYFUNCTION("""COMPUTED_VALUE"""),"homas
6 Nonesouch Road
Dallas, ")</f>
        <v>homas
6 Nonesouch Road
Dallas, </v>
      </c>
      <c r="G369" s="8">
        <f>IFERROR(__xludf.DUMMYFUNCTION("""COMPUTED_VALUE"""),75214.0)</f>
        <v>75214</v>
      </c>
      <c r="I369" s="8">
        <f t="shared" si="5"/>
        <v>75214</v>
      </c>
      <c r="J369" s="9">
        <f>IFERROR(__xludf.DUMMYFUNCTION("SPLIT(I369,""-"")"),75214.0)</f>
        <v>75214</v>
      </c>
    </row>
    <row r="370">
      <c r="A370" s="10" t="s">
        <v>379</v>
      </c>
      <c r="B370" s="11">
        <v>100.0</v>
      </c>
      <c r="C370" s="12" t="s">
        <v>375</v>
      </c>
      <c r="E370" s="8" t="str">
        <f>IFERROR(__xludf.DUMMYFUNCTION("SPLIT(A370,""TX"")"),"Burnett, Jared
639 Morton Place
Washington, DC 20002")</f>
        <v>Burnett, Jared
639 Morton Place
Washington, DC 20002</v>
      </c>
      <c r="I370" s="8" t="str">
        <f t="shared" si="5"/>
        <v/>
      </c>
      <c r="J370" s="9" t="str">
        <f>IFERROR(__xludf.DUMMYFUNCTION("SPLIT(I370,""-"")"),"#VALUE!")</f>
        <v>#VALUE!</v>
      </c>
    </row>
    <row r="371">
      <c r="A371" s="10" t="s">
        <v>380</v>
      </c>
      <c r="B371" s="11">
        <v>150.0</v>
      </c>
      <c r="C371" s="12" t="s">
        <v>375</v>
      </c>
      <c r="E371" s="8" t="str">
        <f>IFERROR(__xludf.DUMMYFUNCTION("SPLIT(A371,""TX"")"),"Rives, Mark
5530 Goodwin
Dallas, ")</f>
        <v>Rives, Mark
5530 Goodwin
Dallas, </v>
      </c>
      <c r="F371" s="8">
        <f>IFERROR(__xludf.DUMMYFUNCTION("""COMPUTED_VALUE"""),75206.0)</f>
        <v>75206</v>
      </c>
      <c r="I371" s="8">
        <f t="shared" si="5"/>
        <v>75206</v>
      </c>
      <c r="J371" s="9">
        <f>IFERROR(__xludf.DUMMYFUNCTION("SPLIT(I371,""-"")"),75206.0)</f>
        <v>75206</v>
      </c>
    </row>
    <row r="372">
      <c r="A372" s="10" t="s">
        <v>381</v>
      </c>
      <c r="B372" s="11">
        <v>500.0</v>
      </c>
      <c r="C372" s="12" t="s">
        <v>375</v>
      </c>
      <c r="E372" s="8" t="str">
        <f>IFERROR(__xludf.DUMMYFUNCTION("SPLIT(A372,""TX"")"),"Dahrma, Charaka
4530 Victor St
Dallas, ")</f>
        <v>Dahrma, Charaka
4530 Victor St
Dallas, </v>
      </c>
      <c r="F372" s="8">
        <f>IFERROR(__xludf.DUMMYFUNCTION("""COMPUTED_VALUE"""),75246.0)</f>
        <v>75246</v>
      </c>
      <c r="I372" s="8">
        <f t="shared" si="5"/>
        <v>75246</v>
      </c>
      <c r="J372" s="9">
        <f>IFERROR(__xludf.DUMMYFUNCTION("SPLIT(I372,""-"")"),75246.0)</f>
        <v>75246</v>
      </c>
    </row>
    <row r="373">
      <c r="A373" s="10" t="s">
        <v>210</v>
      </c>
      <c r="B373" s="11">
        <v>100.0</v>
      </c>
      <c r="C373" s="12" t="s">
        <v>375</v>
      </c>
      <c r="E373" s="8" t="str">
        <f>IFERROR(__xludf.DUMMYFUNCTION("SPLIT(A373,""TX"")"),"Haley, Clinton
6311 Club Lake Ct
Dallas, ")</f>
        <v>Haley, Clinton
6311 Club Lake Ct
Dallas, </v>
      </c>
      <c r="F373" s="8">
        <f>IFERROR(__xludf.DUMMYFUNCTION("""COMPUTED_VALUE"""),75214.0)</f>
        <v>75214</v>
      </c>
      <c r="I373" s="8">
        <f t="shared" si="5"/>
        <v>75214</v>
      </c>
      <c r="J373" s="9">
        <f>IFERROR(__xludf.DUMMYFUNCTION("SPLIT(I373,""-"")"),75214.0)</f>
        <v>75214</v>
      </c>
    </row>
    <row r="374">
      <c r="A374" s="10" t="s">
        <v>382</v>
      </c>
      <c r="B374" s="11">
        <v>100.0</v>
      </c>
      <c r="C374" s="12" t="s">
        <v>375</v>
      </c>
      <c r="E374" s="8" t="str">
        <f>IFERROR(__xludf.DUMMYFUNCTION("SPLIT(A374,""TX"")"),"Friedman, Brad
1505 Seegar St
Dallas, ")</f>
        <v>Friedman, Brad
1505 Seegar St
Dallas, </v>
      </c>
      <c r="F374" s="8">
        <f>IFERROR(__xludf.DUMMYFUNCTION("""COMPUTED_VALUE"""),75215.0)</f>
        <v>75215</v>
      </c>
      <c r="I374" s="8">
        <f t="shared" si="5"/>
        <v>75215</v>
      </c>
      <c r="J374" s="9">
        <f>IFERROR(__xludf.DUMMYFUNCTION("SPLIT(I374,""-"")"),75215.0)</f>
        <v>75215</v>
      </c>
    </row>
    <row r="375">
      <c r="A375" s="10" t="s">
        <v>383</v>
      </c>
      <c r="B375" s="11">
        <v>100.0</v>
      </c>
      <c r="C375" s="12" t="s">
        <v>375</v>
      </c>
      <c r="E375" s="8" t="str">
        <f>IFERROR(__xludf.DUMMYFUNCTION("SPLIT(A375,""TX"")"),"alley, Olive
6133 Prospect Ave
Dallas, ")</f>
        <v>alley, Olive
6133 Prospect Ave
Dallas, </v>
      </c>
      <c r="F375" s="8">
        <f>IFERROR(__xludf.DUMMYFUNCTION("""COMPUTED_VALUE"""),75214.0)</f>
        <v>75214</v>
      </c>
      <c r="I375" s="8">
        <f t="shared" si="5"/>
        <v>75214</v>
      </c>
      <c r="J375" s="9">
        <f>IFERROR(__xludf.DUMMYFUNCTION("SPLIT(I375,""-"")"),75214.0)</f>
        <v>75214</v>
      </c>
    </row>
    <row r="376">
      <c r="A376" s="10" t="s">
        <v>384</v>
      </c>
      <c r="B376" s="11">
        <v>25.0</v>
      </c>
      <c r="C376" s="12" t="s">
        <v>375</v>
      </c>
      <c r="E376" s="8" t="str">
        <f>IFERROR(__xludf.DUMMYFUNCTION("SPLIT(A376,""TX"")"),"Martin, Vikki
8230 Claremont Dr.
Dallas, ")</f>
        <v>Martin, Vikki
8230 Claremont Dr.
Dallas, </v>
      </c>
      <c r="F376" s="8">
        <f>IFERROR(__xludf.DUMMYFUNCTION("""COMPUTED_VALUE"""),75228.0)</f>
        <v>75228</v>
      </c>
      <c r="I376" s="8">
        <f t="shared" si="5"/>
        <v>75228</v>
      </c>
      <c r="J376" s="9">
        <f>IFERROR(__xludf.DUMMYFUNCTION("SPLIT(I376,""-"")"),75228.0)</f>
        <v>75228</v>
      </c>
    </row>
    <row r="377">
      <c r="A377" s="10" t="s">
        <v>385</v>
      </c>
      <c r="B377" s="11">
        <v>50.0</v>
      </c>
      <c r="C377" s="12" t="s">
        <v>375</v>
      </c>
      <c r="E377" s="8" t="str">
        <f>IFERROR(__xludf.DUMMYFUNCTION("SPLIT(A377,""TX"")"),"Roberts, Karen
502 Cameron Ave.
Dallas, ")</f>
        <v>Roberts, Karen
502 Cameron Ave.
Dallas, </v>
      </c>
      <c r="F377" s="8">
        <f>IFERROR(__xludf.DUMMYFUNCTION("""COMPUTED_VALUE"""),75223.0)</f>
        <v>75223</v>
      </c>
      <c r="I377" s="8">
        <f t="shared" si="5"/>
        <v>75223</v>
      </c>
      <c r="J377" s="9">
        <f>IFERROR(__xludf.DUMMYFUNCTION("SPLIT(I377,""-"")"),75223.0)</f>
        <v>75223</v>
      </c>
    </row>
    <row r="378">
      <c r="A378" s="10" t="s">
        <v>386</v>
      </c>
      <c r="B378" s="11">
        <v>1000.0</v>
      </c>
      <c r="C378" s="12" t="s">
        <v>375</v>
      </c>
      <c r="E378" s="8" t="str">
        <f>IFERROR(__xludf.DUMMYFUNCTION("SPLIT(A378,""TX"")"),"Donlin, Patrick
6253 Prospect Ave.
Dallas, ")</f>
        <v>Donlin, Patrick
6253 Prospect Ave.
Dallas, </v>
      </c>
      <c r="F378" s="8">
        <f>IFERROR(__xludf.DUMMYFUNCTION("""COMPUTED_VALUE"""),75214.0)</f>
        <v>75214</v>
      </c>
      <c r="I378" s="8">
        <f t="shared" si="5"/>
        <v>75214</v>
      </c>
      <c r="J378" s="9">
        <f>IFERROR(__xludf.DUMMYFUNCTION("SPLIT(I378,""-"")"),75214.0)</f>
        <v>75214</v>
      </c>
    </row>
    <row r="379">
      <c r="A379" s="10" t="s">
        <v>387</v>
      </c>
      <c r="B379" s="11">
        <v>1000.0</v>
      </c>
      <c r="C379" s="12" t="s">
        <v>375</v>
      </c>
      <c r="E379" s="8" t="str">
        <f>IFERROR(__xludf.DUMMYFUNCTION("SPLIT(A379,""TX"")"),"Kolenovic, Enver 
1906 Hillside Dr
Dallas, ")</f>
        <v>Kolenovic, Enver 
1906 Hillside Dr
Dallas, </v>
      </c>
      <c r="F379" s="8">
        <f>IFERROR(__xludf.DUMMYFUNCTION("""COMPUTED_VALUE"""),75088.0)</f>
        <v>75088</v>
      </c>
      <c r="I379" s="8">
        <f t="shared" si="5"/>
        <v>75088</v>
      </c>
      <c r="J379" s="9">
        <f>IFERROR(__xludf.DUMMYFUNCTION("SPLIT(I379,""-"")"),75088.0)</f>
        <v>75088</v>
      </c>
    </row>
    <row r="380">
      <c r="A380" s="10" t="s">
        <v>388</v>
      </c>
      <c r="B380" s="11">
        <v>100.0</v>
      </c>
      <c r="C380" s="12" t="s">
        <v>375</v>
      </c>
      <c r="E380" s="8" t="str">
        <f>IFERROR(__xludf.DUMMYFUNCTION("SPLIT(A380,""TX"")"),"revino, David
10028 Millttrail
Dallas, ")</f>
        <v>revino, David
10028 Millttrail
Dallas, </v>
      </c>
      <c r="F380" s="8">
        <f>IFERROR(__xludf.DUMMYFUNCTION("""COMPUTED_VALUE"""),75238.0)</f>
        <v>75238</v>
      </c>
      <c r="I380" s="8">
        <f t="shared" si="5"/>
        <v>75238</v>
      </c>
      <c r="J380" s="9">
        <f>IFERROR(__xludf.DUMMYFUNCTION("SPLIT(I380,""-"")"),75238.0)</f>
        <v>75238</v>
      </c>
    </row>
    <row r="381">
      <c r="A381" s="10" t="s">
        <v>389</v>
      </c>
      <c r="B381" s="11">
        <v>25.0</v>
      </c>
      <c r="C381" s="12" t="s">
        <v>375</v>
      </c>
      <c r="E381" s="8" t="str">
        <f>IFERROR(__xludf.DUMMYFUNCTION("SPLIT(A381,""TX"")"),"Morgan, Eddie
109 Juliette Fowler
Dallas, ")</f>
        <v>Morgan, Eddie
109 Juliette Fowler
Dallas, </v>
      </c>
      <c r="F381" s="8">
        <f>IFERROR(__xludf.DUMMYFUNCTION("""COMPUTED_VALUE"""),75214.0)</f>
        <v>75214</v>
      </c>
      <c r="I381" s="8">
        <f t="shared" si="5"/>
        <v>75214</v>
      </c>
      <c r="J381" s="9">
        <f>IFERROR(__xludf.DUMMYFUNCTION("SPLIT(I381,""-"")"),75214.0)</f>
        <v>75214</v>
      </c>
    </row>
    <row r="382">
      <c r="A382" s="10" t="s">
        <v>390</v>
      </c>
      <c r="B382" s="11">
        <v>500.0</v>
      </c>
      <c r="C382" s="12" t="s">
        <v>375</v>
      </c>
      <c r="E382" s="8" t="str">
        <f>IFERROR(__xludf.DUMMYFUNCTION("SPLIT(A382,""TX"")"),"Johnsom, Willis
1001 Bellview
Dallas, ")</f>
        <v>Johnsom, Willis
1001 Bellview
Dallas, </v>
      </c>
      <c r="F382" s="8">
        <f>IFERROR(__xludf.DUMMYFUNCTION("""COMPUTED_VALUE"""),75215.0)</f>
        <v>75215</v>
      </c>
      <c r="I382" s="8">
        <f t="shared" si="5"/>
        <v>75215</v>
      </c>
      <c r="J382" s="9">
        <f>IFERROR(__xludf.DUMMYFUNCTION("SPLIT(I382,""-"")"),75215.0)</f>
        <v>75215</v>
      </c>
    </row>
    <row r="383">
      <c r="A383" s="10" t="s">
        <v>391</v>
      </c>
      <c r="B383" s="11">
        <v>100.0</v>
      </c>
      <c r="C383" s="12" t="s">
        <v>375</v>
      </c>
      <c r="E383" s="8" t="str">
        <f>IFERROR(__xludf.DUMMYFUNCTION("SPLIT(A383,""TX"")"),"Barrett, Michael
1602 Beaumont. St
Dallas, ")</f>
        <v>Barrett, Michael
1602 Beaumont. St
Dallas, </v>
      </c>
      <c r="F383" s="8">
        <f>IFERROR(__xludf.DUMMYFUNCTION("""COMPUTED_VALUE"""),75215.0)</f>
        <v>75215</v>
      </c>
      <c r="I383" s="8">
        <f t="shared" si="5"/>
        <v>75215</v>
      </c>
      <c r="J383" s="9">
        <f>IFERROR(__xludf.DUMMYFUNCTION("SPLIT(I383,""-"")"),75215.0)</f>
        <v>75215</v>
      </c>
    </row>
    <row r="384">
      <c r="A384" s="10" t="s">
        <v>392</v>
      </c>
      <c r="B384" s="11">
        <v>500.0</v>
      </c>
      <c r="C384" s="12" t="s">
        <v>375</v>
      </c>
      <c r="E384" s="8" t="str">
        <f>IFERROR(__xludf.DUMMYFUNCTION("SPLIT(A384,""TX"")"),"Elevation Management LLC
6208 Copperhill
Dallas, ")</f>
        <v>Elevation Management LLC
6208 Copperhill
Dallas, </v>
      </c>
      <c r="F384" s="8">
        <f>IFERROR(__xludf.DUMMYFUNCTION("""COMPUTED_VALUE"""),75248.0)</f>
        <v>75248</v>
      </c>
      <c r="I384" s="8">
        <f t="shared" si="5"/>
        <v>75248</v>
      </c>
      <c r="J384" s="9">
        <f>IFERROR(__xludf.DUMMYFUNCTION("SPLIT(I384,""-"")"),75248.0)</f>
        <v>75248</v>
      </c>
    </row>
    <row r="385">
      <c r="A385" s="10" t="s">
        <v>393</v>
      </c>
      <c r="B385" s="11">
        <v>100.0</v>
      </c>
      <c r="C385" s="12" t="s">
        <v>375</v>
      </c>
      <c r="E385" s="8" t="str">
        <f>IFERROR(__xludf.DUMMYFUNCTION("SPLIT(A385,""TX"")"),"Linville, Stephen
5023 Maple Springs Blvd
Dallas, ")</f>
        <v>Linville, Stephen
5023 Maple Springs Blvd
Dallas, </v>
      </c>
      <c r="F385" s="8">
        <f>IFERROR(__xludf.DUMMYFUNCTION("""COMPUTED_VALUE"""),75235.0)</f>
        <v>75235</v>
      </c>
      <c r="I385" s="8">
        <f t="shared" si="5"/>
        <v>75235</v>
      </c>
      <c r="J385" s="9">
        <f>IFERROR(__xludf.DUMMYFUNCTION("SPLIT(I385,""-"")"),75235.0)</f>
        <v>75235</v>
      </c>
    </row>
    <row r="386">
      <c r="A386" s="10" t="s">
        <v>394</v>
      </c>
      <c r="B386" s="11">
        <v>250.0</v>
      </c>
      <c r="C386" s="12" t="s">
        <v>375</v>
      </c>
      <c r="E386" s="8" t="str">
        <f>IFERROR(__xludf.DUMMYFUNCTION("SPLIT(A386,""TX"")"),"Garza, Georgette
2331 Hondo Ave
Dallas, ")</f>
        <v>Garza, Georgette
2331 Hondo Ave
Dallas, </v>
      </c>
      <c r="F386" s="8">
        <f>IFERROR(__xludf.DUMMYFUNCTION("""COMPUTED_VALUE"""),75219.0)</f>
        <v>75219</v>
      </c>
      <c r="I386" s="8">
        <f t="shared" si="5"/>
        <v>75219</v>
      </c>
      <c r="J386" s="9">
        <f>IFERROR(__xludf.DUMMYFUNCTION("SPLIT(I386,""-"")"),75219.0)</f>
        <v>75219</v>
      </c>
    </row>
    <row r="387">
      <c r="A387" s="10" t="s">
        <v>395</v>
      </c>
      <c r="B387" s="11">
        <v>1000.0</v>
      </c>
      <c r="C387" s="12" t="s">
        <v>375</v>
      </c>
      <c r="E387" s="8" t="str">
        <f>IFERROR(__xludf.DUMMYFUNCTION("SPLIT(A387,""TX"")"),"Beaver, Paul
4232 San Carlos
Dallas, ")</f>
        <v>Beaver, Paul
4232 San Carlos
Dallas, </v>
      </c>
      <c r="F387" s="8">
        <f>IFERROR(__xludf.DUMMYFUNCTION("""COMPUTED_VALUE"""),75205.0)</f>
        <v>75205</v>
      </c>
      <c r="I387" s="8">
        <f t="shared" si="5"/>
        <v>75205</v>
      </c>
      <c r="J387" s="9">
        <f>IFERROR(__xludf.DUMMYFUNCTION("SPLIT(I387,""-"")"),75205.0)</f>
        <v>75205</v>
      </c>
    </row>
    <row r="388">
      <c r="A388" s="10" t="s">
        <v>396</v>
      </c>
      <c r="B388" s="11">
        <v>250.0</v>
      </c>
      <c r="C388" s="12" t="s">
        <v>375</v>
      </c>
      <c r="E388" s="8" t="str">
        <f>IFERROR(__xludf.DUMMYFUNCTION("SPLIT(A388,""TX"")"),"Hill, ")</f>
        <v>Hill, </v>
      </c>
      <c r="F388" s="8" t="str">
        <f>IFERROR(__xludf.DUMMYFUNCTION("""COMPUTED_VALUE"""),"odd
604 Fort Worth Ave
Dallas, ")</f>
        <v>odd
604 Fort Worth Ave
Dallas, </v>
      </c>
      <c r="G388" s="8">
        <f>IFERROR(__xludf.DUMMYFUNCTION("""COMPUTED_VALUE"""),75208.0)</f>
        <v>75208</v>
      </c>
      <c r="I388" s="8">
        <f t="shared" si="5"/>
        <v>75208</v>
      </c>
      <c r="J388" s="9">
        <f>IFERROR(__xludf.DUMMYFUNCTION("SPLIT(I388,""-"")"),75208.0)</f>
        <v>75208</v>
      </c>
    </row>
    <row r="389">
      <c r="A389" s="10" t="s">
        <v>397</v>
      </c>
      <c r="B389" s="11">
        <v>1000.0</v>
      </c>
      <c r="C389" s="12" t="s">
        <v>375</v>
      </c>
      <c r="E389" s="8" t="str">
        <f>IFERROR(__xludf.DUMMYFUNCTION("SPLIT(A389,""TX"")"),"Dean, Jean
PO Box 140039
Dallas, ")</f>
        <v>Dean, Jean
PO Box 140039
Dallas, </v>
      </c>
      <c r="F389" s="8">
        <f>IFERROR(__xludf.DUMMYFUNCTION("""COMPUTED_VALUE"""),75214.0)</f>
        <v>75214</v>
      </c>
      <c r="I389" s="8">
        <f t="shared" si="5"/>
        <v>75214</v>
      </c>
      <c r="J389" s="9">
        <f>IFERROR(__xludf.DUMMYFUNCTION("SPLIT(I389,""-"")"),75214.0)</f>
        <v>75214</v>
      </c>
    </row>
    <row r="390">
      <c r="A390" s="10" t="s">
        <v>398</v>
      </c>
      <c r="B390" s="11">
        <v>100.0</v>
      </c>
      <c r="C390" s="12" t="s">
        <v>375</v>
      </c>
      <c r="E390" s="8" t="str">
        <f>IFERROR(__xludf.DUMMYFUNCTION("SPLIT(A390,""TX"")"),"Martinez, Sara
4427 Blackheath
Dallas, ")</f>
        <v>Martinez, Sara
4427 Blackheath
Dallas, </v>
      </c>
      <c r="F390" s="8">
        <f>IFERROR(__xludf.DUMMYFUNCTION("""COMPUTED_VALUE"""),75227.0)</f>
        <v>75227</v>
      </c>
      <c r="I390" s="8">
        <f t="shared" si="5"/>
        <v>75227</v>
      </c>
      <c r="J390" s="9">
        <f>IFERROR(__xludf.DUMMYFUNCTION("SPLIT(I390,""-"")"),75227.0)</f>
        <v>75227</v>
      </c>
    </row>
    <row r="391">
      <c r="A391" s="10" t="s">
        <v>399</v>
      </c>
      <c r="B391" s="11">
        <v>250.0</v>
      </c>
      <c r="C391" s="12" t="s">
        <v>375</v>
      </c>
      <c r="E391" s="8" t="str">
        <f>IFERROR(__xludf.DUMMYFUNCTION("SPLIT(A391,""TX"")"),"Black American Future Pac
2647 White Oak Drive
Decatur, GA 30032")</f>
        <v>Black American Future Pac
2647 White Oak Drive
Decatur, GA 30032</v>
      </c>
      <c r="I391" s="8" t="str">
        <f t="shared" si="5"/>
        <v/>
      </c>
      <c r="J391" s="9" t="str">
        <f>IFERROR(__xludf.DUMMYFUNCTION("SPLIT(I391,""-"")"),"#VALUE!")</f>
        <v>#VALUE!</v>
      </c>
    </row>
    <row r="392">
      <c r="A392" s="10" t="s">
        <v>400</v>
      </c>
      <c r="B392" s="11">
        <v>200.0</v>
      </c>
      <c r="C392" s="12" t="s">
        <v>375</v>
      </c>
      <c r="E392" s="8" t="str">
        <f>IFERROR(__xludf.DUMMYFUNCTION("SPLIT(A392,""TX"")"),"Moser, Brooke
1134 N Clinton
Dallas, ")</f>
        <v>Moser, Brooke
1134 N Clinton
Dallas, </v>
      </c>
      <c r="F392" s="8">
        <f>IFERROR(__xludf.DUMMYFUNCTION("""COMPUTED_VALUE"""),75208.0)</f>
        <v>75208</v>
      </c>
      <c r="I392" s="8">
        <f t="shared" si="5"/>
        <v>75208</v>
      </c>
      <c r="J392" s="9">
        <f>IFERROR(__xludf.DUMMYFUNCTION("SPLIT(I392,""-"")"),75208.0)</f>
        <v>75208</v>
      </c>
    </row>
    <row r="393">
      <c r="A393" s="10" t="s">
        <v>401</v>
      </c>
      <c r="B393" s="11">
        <v>200.0</v>
      </c>
      <c r="C393" s="12" t="s">
        <v>375</v>
      </c>
      <c r="E393" s="8" t="str">
        <f>IFERROR(__xludf.DUMMYFUNCTION("SPLIT(A393,""TX"")"),"Gordon, Gregory
6630 Lakewood Blvd
Dallas, ")</f>
        <v>Gordon, Gregory
6630 Lakewood Blvd
Dallas, </v>
      </c>
      <c r="F393" s="8">
        <f>IFERROR(__xludf.DUMMYFUNCTION("""COMPUTED_VALUE"""),75214.0)</f>
        <v>75214</v>
      </c>
      <c r="I393" s="8">
        <f t="shared" si="5"/>
        <v>75214</v>
      </c>
      <c r="J393" s="9">
        <f>IFERROR(__xludf.DUMMYFUNCTION("SPLIT(I393,""-"")"),75214.0)</f>
        <v>75214</v>
      </c>
    </row>
    <row r="394">
      <c r="A394" s="10" t="s">
        <v>402</v>
      </c>
      <c r="B394" s="11">
        <v>500.0</v>
      </c>
      <c r="C394" s="12" t="s">
        <v>375</v>
      </c>
      <c r="E394" s="8" t="str">
        <f>IFERROR(__xludf.DUMMYFUNCTION("SPLIT(A394,""TX"")"),"Honea, Michelle
10055 Field Fare
Dallas, ")</f>
        <v>Honea, Michelle
10055 Field Fare
Dallas, </v>
      </c>
      <c r="F394" s="8">
        <f>IFERROR(__xludf.DUMMYFUNCTION("""COMPUTED_VALUE"""),75229.0)</f>
        <v>75229</v>
      </c>
      <c r="I394" s="8">
        <f t="shared" si="5"/>
        <v>75229</v>
      </c>
      <c r="J394" s="9">
        <f>IFERROR(__xludf.DUMMYFUNCTION("SPLIT(I394,""-"")"),75229.0)</f>
        <v>75229</v>
      </c>
    </row>
    <row r="395">
      <c r="A395" s="10" t="s">
        <v>403</v>
      </c>
      <c r="B395" s="11">
        <v>20.0</v>
      </c>
      <c r="C395" s="12" t="s">
        <v>375</v>
      </c>
      <c r="E395" s="8" t="str">
        <f>IFERROR(__xludf.DUMMYFUNCTION("SPLIT(A395,""TX"")"),"Morrow, John
8522 Stable Glen
Dallas, ")</f>
        <v>Morrow, John
8522 Stable Glen
Dallas, </v>
      </c>
      <c r="F395" s="8">
        <f>IFERROR(__xludf.DUMMYFUNCTION("""COMPUTED_VALUE"""),75243.0)</f>
        <v>75243</v>
      </c>
      <c r="I395" s="8">
        <f t="shared" si="5"/>
        <v>75243</v>
      </c>
      <c r="J395" s="9">
        <f>IFERROR(__xludf.DUMMYFUNCTION("SPLIT(I395,""-"")"),75243.0)</f>
        <v>75243</v>
      </c>
    </row>
    <row r="396">
      <c r="A396" s="10" t="s">
        <v>404</v>
      </c>
      <c r="B396" s="11">
        <v>20.0</v>
      </c>
      <c r="C396" s="12" t="s">
        <v>375</v>
      </c>
      <c r="E396" s="8" t="str">
        <f>IFERROR(__xludf.DUMMYFUNCTION("SPLIT(A396,""TX"")"),"Greenberg, ")</f>
        <v>Greenberg, </v>
      </c>
      <c r="F396" s="8" t="str">
        <f>IFERROR(__xludf.DUMMYFUNCTION("""COMPUTED_VALUE"""),"ammy
1529 Hickory St
Dallas, ")</f>
        <v>ammy
1529 Hickory St
Dallas, </v>
      </c>
      <c r="G396" s="8">
        <f>IFERROR(__xludf.DUMMYFUNCTION("""COMPUTED_VALUE"""),75215.0)</f>
        <v>75215</v>
      </c>
      <c r="I396" s="8">
        <f t="shared" si="5"/>
        <v>75215</v>
      </c>
      <c r="J396" s="9">
        <f>IFERROR(__xludf.DUMMYFUNCTION("SPLIT(I396,""-"")"),75215.0)</f>
        <v>75215</v>
      </c>
    </row>
    <row r="397">
      <c r="A397" s="10" t="s">
        <v>405</v>
      </c>
      <c r="B397" s="11">
        <v>100.0</v>
      </c>
      <c r="C397" s="12" t="s">
        <v>375</v>
      </c>
      <c r="E397" s="8" t="str">
        <f>IFERROR(__xludf.DUMMYFUNCTION("SPLIT(A397,""TX"")"),"Buckey, Sean
560 S Pearl Expy
Dallas, ")</f>
        <v>Buckey, Sean
560 S Pearl Expy
Dallas, </v>
      </c>
      <c r="F397" s="8">
        <f>IFERROR(__xludf.DUMMYFUNCTION("""COMPUTED_VALUE"""),75201.0)</f>
        <v>75201</v>
      </c>
      <c r="I397" s="8">
        <f t="shared" si="5"/>
        <v>75201</v>
      </c>
      <c r="J397" s="9">
        <f>IFERROR(__xludf.DUMMYFUNCTION("SPLIT(I397,""-"")"),75201.0)</f>
        <v>75201</v>
      </c>
    </row>
    <row r="398">
      <c r="A398" s="10" t="s">
        <v>406</v>
      </c>
      <c r="B398" s="11">
        <v>100.0</v>
      </c>
      <c r="C398" s="12" t="s">
        <v>375</v>
      </c>
      <c r="E398" s="8" t="str">
        <f>IFERROR(__xludf.DUMMYFUNCTION("SPLIT(A398,""TX"")"),"Harriison, Deniss
1207 Annex Ave
Dallas, ")</f>
        <v>Harriison, Deniss
1207 Annex Ave
Dallas, </v>
      </c>
      <c r="F398" s="8">
        <f>IFERROR(__xludf.DUMMYFUNCTION("""COMPUTED_VALUE"""),75204.0)</f>
        <v>75204</v>
      </c>
      <c r="I398" s="8">
        <f t="shared" si="5"/>
        <v>75204</v>
      </c>
      <c r="J398" s="9">
        <f>IFERROR(__xludf.DUMMYFUNCTION("SPLIT(I398,""-"")"),75204.0)</f>
        <v>75204</v>
      </c>
    </row>
    <row r="399">
      <c r="A399" s="10" t="s">
        <v>178</v>
      </c>
      <c r="B399" s="11">
        <v>100.0</v>
      </c>
      <c r="C399" s="12" t="s">
        <v>375</v>
      </c>
      <c r="E399" s="8" t="str">
        <f>IFERROR(__xludf.DUMMYFUNCTION("SPLIT(A399,""TX"")"),"Przekwas, Michael
1602 Beaumont St
Dallas, ")</f>
        <v>Przekwas, Michael
1602 Beaumont St
Dallas, </v>
      </c>
      <c r="F399" s="8">
        <f>IFERROR(__xludf.DUMMYFUNCTION("""COMPUTED_VALUE"""),75215.0)</f>
        <v>75215</v>
      </c>
      <c r="I399" s="8">
        <f t="shared" si="5"/>
        <v>75215</v>
      </c>
      <c r="J399" s="9">
        <f>IFERROR(__xludf.DUMMYFUNCTION("SPLIT(I399,""-"")"),75215.0)</f>
        <v>75215</v>
      </c>
    </row>
    <row r="400">
      <c r="A400" s="10" t="s">
        <v>407</v>
      </c>
      <c r="B400" s="11">
        <v>250.0</v>
      </c>
      <c r="C400" s="12" t="s">
        <v>375</v>
      </c>
      <c r="E400" s="8" t="str">
        <f>IFERROR(__xludf.DUMMYFUNCTION("SPLIT(A400,""TX"")"),"West, Chad
3606 South ")</f>
        <v>West, Chad
3606 South </v>
      </c>
      <c r="F400" s="8" t="str">
        <f>IFERROR(__xludf.DUMMYFUNCTION("""COMPUTED_VALUE"""),"aylor St
Dallas, ")</f>
        <v>aylor St
Dallas, </v>
      </c>
      <c r="G400" s="8">
        <f>IFERROR(__xludf.DUMMYFUNCTION("""COMPUTED_VALUE"""),75224.0)</f>
        <v>75224</v>
      </c>
      <c r="I400" s="8">
        <f t="shared" si="5"/>
        <v>75224</v>
      </c>
      <c r="J400" s="9">
        <f>IFERROR(__xludf.DUMMYFUNCTION("SPLIT(I400,""-"")"),75224.0)</f>
        <v>75224</v>
      </c>
    </row>
    <row r="401">
      <c r="A401" s="10" t="s">
        <v>408</v>
      </c>
      <c r="B401" s="11">
        <v>100.0</v>
      </c>
      <c r="C401" s="12" t="s">
        <v>375</v>
      </c>
      <c r="E401" s="8" t="str">
        <f>IFERROR(__xludf.DUMMYFUNCTION("SPLIT(A401,""TX"")"),"Carter, ")</f>
        <v>Carter, </v>
      </c>
      <c r="F401" s="8" t="str">
        <f>IFERROR(__xludf.DUMMYFUNCTION("""COMPUTED_VALUE"""),"anya
2228 Colony Ct
Dallas, ")</f>
        <v>anya
2228 Colony Ct
Dallas, </v>
      </c>
      <c r="G401" s="8">
        <f>IFERROR(__xludf.DUMMYFUNCTION("""COMPUTED_VALUE"""),75235.0)</f>
        <v>75235</v>
      </c>
      <c r="I401" s="8">
        <f t="shared" si="5"/>
        <v>75235</v>
      </c>
      <c r="J401" s="9">
        <f>IFERROR(__xludf.DUMMYFUNCTION("SPLIT(I401,""-"")"),75235.0)</f>
        <v>75235</v>
      </c>
    </row>
    <row r="402">
      <c r="A402" s="10" t="s">
        <v>409</v>
      </c>
      <c r="B402" s="11">
        <v>100.0</v>
      </c>
      <c r="C402" s="12" t="s">
        <v>375</v>
      </c>
      <c r="E402" s="8" t="str">
        <f>IFERROR(__xludf.DUMMYFUNCTION("SPLIT(A402,""TX"")"),"Ezeonu, Junior
5332 W Cove Way
Grand Prairie, ")</f>
        <v>Ezeonu, Junior
5332 W Cove Way
Grand Prairie, </v>
      </c>
      <c r="F402" s="8">
        <f>IFERROR(__xludf.DUMMYFUNCTION("""COMPUTED_VALUE"""),75052.0)</f>
        <v>75052</v>
      </c>
      <c r="I402" s="8">
        <f t="shared" si="5"/>
        <v>75052</v>
      </c>
      <c r="J402" s="9">
        <f>IFERROR(__xludf.DUMMYFUNCTION("SPLIT(I402,""-"")"),75052.0)</f>
        <v>75052</v>
      </c>
    </row>
    <row r="403">
      <c r="A403" s="10" t="s">
        <v>410</v>
      </c>
      <c r="B403" s="11">
        <v>100.0</v>
      </c>
      <c r="C403" s="12" t="s">
        <v>375</v>
      </c>
      <c r="E403" s="8" t="str">
        <f>IFERROR(__xludf.DUMMYFUNCTION("SPLIT(A403,""TX"")"),"Mata, Albert
105 S. Bishop Ave.
Dallas, ")</f>
        <v>Mata, Albert
105 S. Bishop Ave.
Dallas, </v>
      </c>
      <c r="F403" s="8">
        <f>IFERROR(__xludf.DUMMYFUNCTION("""COMPUTED_VALUE"""),75208.0)</f>
        <v>75208</v>
      </c>
      <c r="I403" s="8">
        <f t="shared" si="5"/>
        <v>75208</v>
      </c>
      <c r="J403" s="9">
        <f>IFERROR(__xludf.DUMMYFUNCTION("SPLIT(I403,""-"")"),75208.0)</f>
        <v>75208</v>
      </c>
    </row>
    <row r="404">
      <c r="A404" s="10" t="s">
        <v>411</v>
      </c>
      <c r="B404" s="11">
        <v>500.0</v>
      </c>
      <c r="C404" s="12" t="s">
        <v>375</v>
      </c>
      <c r="E404" s="8" t="str">
        <f>IFERROR(__xludf.DUMMYFUNCTION("SPLIT(A404,""TX"")"),"Knudson, Greg
1040 ")</f>
        <v>Knudson, Greg
1040 </v>
      </c>
      <c r="F404" s="8" t="str">
        <f>IFERROR(__xludf.DUMMYFUNCTION("""COMPUTED_VALUE"""),"housand Oaks Ct
Dallas, ")</f>
        <v>housand Oaks Ct
Dallas, </v>
      </c>
      <c r="G404" s="8">
        <f>IFERROR(__xludf.DUMMYFUNCTION("""COMPUTED_VALUE"""),75235.0)</f>
        <v>75235</v>
      </c>
      <c r="I404" s="8">
        <f t="shared" si="5"/>
        <v>75235</v>
      </c>
      <c r="J404" s="9">
        <f>IFERROR(__xludf.DUMMYFUNCTION("SPLIT(I404,""-"")"),75235.0)</f>
        <v>75235</v>
      </c>
    </row>
    <row r="405">
      <c r="A405" s="10" t="s">
        <v>412</v>
      </c>
      <c r="B405" s="11">
        <v>50.0</v>
      </c>
      <c r="C405" s="12" t="s">
        <v>375</v>
      </c>
      <c r="E405" s="8" t="str">
        <f>IFERROR(__xludf.DUMMYFUNCTION("SPLIT(A405,""TX"")"),"Bartos, Lorlee
3211 Culver
Dallas, ")</f>
        <v>Bartos, Lorlee
3211 Culver
Dallas, </v>
      </c>
      <c r="F405" s="8">
        <f>IFERROR(__xludf.DUMMYFUNCTION("""COMPUTED_VALUE"""),75223.0)</f>
        <v>75223</v>
      </c>
      <c r="I405" s="8">
        <f t="shared" si="5"/>
        <v>75223</v>
      </c>
      <c r="J405" s="9">
        <f>IFERROR(__xludf.DUMMYFUNCTION("SPLIT(I405,""-"")"),75223.0)</f>
        <v>75223</v>
      </c>
    </row>
    <row r="406">
      <c r="A406" s="10" t="s">
        <v>413</v>
      </c>
      <c r="B406" s="11">
        <v>100.0</v>
      </c>
      <c r="C406" s="12" t="s">
        <v>375</v>
      </c>
      <c r="E406" s="8" t="str">
        <f>IFERROR(__xludf.DUMMYFUNCTION("SPLIT(A406,""TX"")"),"Schlosser, Rodney
6336 ")</f>
        <v>Schlosser, Rodney
6336 </v>
      </c>
      <c r="F406" s="8" t="str">
        <f>IFERROR(__xludf.DUMMYFUNCTION("""COMPUTED_VALUE"""),"ulip Ln
Dallas, ")</f>
        <v>ulip Ln
Dallas, </v>
      </c>
      <c r="G406" s="8">
        <f>IFERROR(__xludf.DUMMYFUNCTION("""COMPUTED_VALUE"""),75230.0)</f>
        <v>75230</v>
      </c>
      <c r="I406" s="8">
        <f t="shared" si="5"/>
        <v>75230</v>
      </c>
      <c r="J406" s="9">
        <f>IFERROR(__xludf.DUMMYFUNCTION("SPLIT(I406,""-"")"),75230.0)</f>
        <v>75230</v>
      </c>
    </row>
    <row r="407">
      <c r="A407" s="10" t="s">
        <v>414</v>
      </c>
      <c r="B407" s="11">
        <v>1000.0</v>
      </c>
      <c r="C407" s="12" t="s">
        <v>375</v>
      </c>
      <c r="E407" s="8" t="str">
        <f>IFERROR(__xludf.DUMMYFUNCTION("SPLIT(A407,""TX"")"),"Burk, Leland
5311 Park Ln
Dallas, ")</f>
        <v>Burk, Leland
5311 Park Ln
Dallas, </v>
      </c>
      <c r="F407" s="8">
        <f>IFERROR(__xludf.DUMMYFUNCTION("""COMPUTED_VALUE"""),75220.0)</f>
        <v>75220</v>
      </c>
      <c r="I407" s="8">
        <f t="shared" si="5"/>
        <v>75220</v>
      </c>
      <c r="J407" s="9">
        <f>IFERROR(__xludf.DUMMYFUNCTION("SPLIT(I407,""-"")"),75220.0)</f>
        <v>75220</v>
      </c>
    </row>
    <row r="408">
      <c r="A408" s="10" t="s">
        <v>415</v>
      </c>
      <c r="B408" s="11">
        <v>25.0</v>
      </c>
      <c r="C408" s="12" t="s">
        <v>375</v>
      </c>
      <c r="E408" s="8" t="str">
        <f>IFERROR(__xludf.DUMMYFUNCTION("SPLIT(A408,""TX"")"),"Brown, Kari
10624 Pernell
McKinney, ")</f>
        <v>Brown, Kari
10624 Pernell
McKinney, </v>
      </c>
      <c r="F408" s="8">
        <f>IFERROR(__xludf.DUMMYFUNCTION("""COMPUTED_VALUE"""),75072.0)</f>
        <v>75072</v>
      </c>
      <c r="I408" s="8">
        <f t="shared" si="5"/>
        <v>75072</v>
      </c>
      <c r="J408" s="9">
        <f>IFERROR(__xludf.DUMMYFUNCTION("SPLIT(I408,""-"")"),75072.0)</f>
        <v>75072</v>
      </c>
    </row>
    <row r="409">
      <c r="A409" s="10" t="s">
        <v>416</v>
      </c>
      <c r="B409" s="11">
        <v>250.0</v>
      </c>
      <c r="C409" s="12" t="s">
        <v>375</v>
      </c>
      <c r="E409" s="8" t="str">
        <f>IFERROR(__xludf.DUMMYFUNCTION("SPLIT(A409,""TX"")"),"Martinez, Susan
400 North Pearl St
Dallas, ")</f>
        <v>Martinez, Susan
400 North Pearl St
Dallas, </v>
      </c>
      <c r="F409" s="8">
        <f>IFERROR(__xludf.DUMMYFUNCTION("""COMPUTED_VALUE"""),75201.0)</f>
        <v>75201</v>
      </c>
      <c r="I409" s="8">
        <f t="shared" si="5"/>
        <v>75201</v>
      </c>
      <c r="J409" s="9">
        <f>IFERROR(__xludf.DUMMYFUNCTION("SPLIT(I409,""-"")"),75201.0)</f>
        <v>75201</v>
      </c>
    </row>
    <row r="410">
      <c r="A410" s="10" t="s">
        <v>417</v>
      </c>
      <c r="B410" s="11">
        <v>50.0</v>
      </c>
      <c r="C410" s="12" t="s">
        <v>375</v>
      </c>
      <c r="E410" s="8" t="str">
        <f>IFERROR(__xludf.DUMMYFUNCTION("SPLIT(A410,""TX"")"),"Blair, Brennan
706 Domont St
Dallas, ")</f>
        <v>Blair, Brennan
706 Domont St
Dallas, </v>
      </c>
      <c r="F410" s="8">
        <f>IFERROR(__xludf.DUMMYFUNCTION("""COMPUTED_VALUE"""),75214.0)</f>
        <v>75214</v>
      </c>
      <c r="I410" s="8">
        <f t="shared" si="5"/>
        <v>75214</v>
      </c>
      <c r="J410" s="9">
        <f>IFERROR(__xludf.DUMMYFUNCTION("SPLIT(I410,""-"")"),75214.0)</f>
        <v>75214</v>
      </c>
    </row>
    <row r="411">
      <c r="A411" s="10" t="s">
        <v>418</v>
      </c>
      <c r="B411" s="11">
        <v>1000.0</v>
      </c>
      <c r="C411" s="12" t="s">
        <v>375</v>
      </c>
      <c r="E411" s="8" t="str">
        <f>IFERROR(__xludf.DUMMYFUNCTION("SPLIT(A411,""TX"")"),"Cabaniss, Lisa
1344 North Windmore Ave
Dallas, ")</f>
        <v>Cabaniss, Lisa
1344 North Windmore Ave
Dallas, </v>
      </c>
      <c r="F411" s="8">
        <f>IFERROR(__xludf.DUMMYFUNCTION("""COMPUTED_VALUE"""),75208.0)</f>
        <v>75208</v>
      </c>
      <c r="I411" s="8">
        <f t="shared" si="5"/>
        <v>75208</v>
      </c>
      <c r="J411" s="9">
        <f>IFERROR(__xludf.DUMMYFUNCTION("SPLIT(I411,""-"")"),75208.0)</f>
        <v>75208</v>
      </c>
    </row>
    <row r="412">
      <c r="A412" s="10" t="s">
        <v>419</v>
      </c>
      <c r="B412" s="11">
        <v>1000.0</v>
      </c>
      <c r="C412" s="12" t="s">
        <v>375</v>
      </c>
      <c r="E412" s="8" t="str">
        <f>IFERROR(__xludf.DUMMYFUNCTION("SPLIT(A412,""TX"")"),"Cabaniss, Edwin
1344 North Windmore Ave
Dallas, ")</f>
        <v>Cabaniss, Edwin
1344 North Windmore Ave
Dallas, </v>
      </c>
      <c r="F412" s="8">
        <f>IFERROR(__xludf.DUMMYFUNCTION("""COMPUTED_VALUE"""),75208.0)</f>
        <v>75208</v>
      </c>
      <c r="I412" s="8">
        <f t="shared" si="5"/>
        <v>75208</v>
      </c>
      <c r="J412" s="9">
        <f>IFERROR(__xludf.DUMMYFUNCTION("SPLIT(I412,""-"")"),75208.0)</f>
        <v>75208</v>
      </c>
    </row>
    <row r="413">
      <c r="A413" s="10" t="s">
        <v>420</v>
      </c>
      <c r="B413" s="11">
        <v>200.0</v>
      </c>
      <c r="C413" s="12" t="s">
        <v>375</v>
      </c>
      <c r="E413" s="8" t="str">
        <f>IFERROR(__xludf.DUMMYFUNCTION("SPLIT(A413,""TX"")"),"Scudder, Kendall
5635 Worth St
Dallas, ")</f>
        <v>Scudder, Kendall
5635 Worth St
Dallas, </v>
      </c>
      <c r="F413" s="8">
        <f>IFERROR(__xludf.DUMMYFUNCTION("""COMPUTED_VALUE"""),75214.0)</f>
        <v>75214</v>
      </c>
      <c r="I413" s="8">
        <f t="shared" si="5"/>
        <v>75214</v>
      </c>
      <c r="J413" s="9">
        <f>IFERROR(__xludf.DUMMYFUNCTION("SPLIT(I413,""-"")"),75214.0)</f>
        <v>75214</v>
      </c>
    </row>
    <row r="414">
      <c r="A414" s="10" t="s">
        <v>421</v>
      </c>
      <c r="B414" s="11">
        <v>250.0</v>
      </c>
      <c r="C414" s="12" t="s">
        <v>375</v>
      </c>
      <c r="E414" s="8" t="str">
        <f>IFERROR(__xludf.DUMMYFUNCTION("SPLIT(A414,""TX"")"),"Donovan, Carol
6509 Malcolm Dr
Dallas, ")</f>
        <v>Donovan, Carol
6509 Malcolm Dr
Dallas, </v>
      </c>
      <c r="F414" s="8">
        <f>IFERROR(__xludf.DUMMYFUNCTION("""COMPUTED_VALUE"""),75214.0)</f>
        <v>75214</v>
      </c>
      <c r="I414" s="8">
        <f t="shared" si="5"/>
        <v>75214</v>
      </c>
      <c r="J414" s="9">
        <f>IFERROR(__xludf.DUMMYFUNCTION("SPLIT(I414,""-"")"),75214.0)</f>
        <v>75214</v>
      </c>
    </row>
    <row r="415">
      <c r="A415" s="10" t="s">
        <v>422</v>
      </c>
      <c r="B415" s="11">
        <v>25.0</v>
      </c>
      <c r="C415" s="12" t="s">
        <v>375</v>
      </c>
      <c r="E415" s="8" t="str">
        <f>IFERROR(__xludf.DUMMYFUNCTION("SPLIT(A415,""TX"")"),"Sexton, ")</f>
        <v>Sexton, </v>
      </c>
      <c r="F415" s="8" t="str">
        <f>IFERROR(__xludf.DUMMYFUNCTION("""COMPUTED_VALUE"""),"imothy
9930 Donegal Dr
Dallas, ")</f>
        <v>imothy
9930 Donegal Dr
Dallas, </v>
      </c>
      <c r="G415" s="8">
        <f>IFERROR(__xludf.DUMMYFUNCTION("""COMPUTED_VALUE"""),75218.0)</f>
        <v>75218</v>
      </c>
      <c r="I415" s="8">
        <f t="shared" si="5"/>
        <v>75218</v>
      </c>
      <c r="J415" s="9">
        <f>IFERROR(__xludf.DUMMYFUNCTION("SPLIT(I415,""-"")"),75218.0)</f>
        <v>75218</v>
      </c>
    </row>
    <row r="416">
      <c r="A416" s="10" t="s">
        <v>423</v>
      </c>
      <c r="B416" s="11">
        <v>1000.0</v>
      </c>
      <c r="C416" s="12" t="s">
        <v>106</v>
      </c>
      <c r="E416" s="8" t="str">
        <f>IFERROR(__xludf.DUMMYFUNCTION("SPLIT(A416,""TX"")"),"orres, Jocabed
4611 La Rue St
Dallas, ")</f>
        <v>orres, Jocabed
4611 La Rue St
Dallas, </v>
      </c>
      <c r="F416" s="8">
        <f>IFERROR(__xludf.DUMMYFUNCTION("""COMPUTED_VALUE"""),75211.0)</f>
        <v>75211</v>
      </c>
      <c r="I416" s="8">
        <f t="shared" si="5"/>
        <v>75211</v>
      </c>
      <c r="J416" s="9">
        <f>IFERROR(__xludf.DUMMYFUNCTION("SPLIT(I416,""-"")"),75211.0)</f>
        <v>75211</v>
      </c>
    </row>
    <row r="417">
      <c r="A417" s="5" t="s">
        <v>424</v>
      </c>
      <c r="B417" s="6">
        <v>30.0</v>
      </c>
      <c r="C417" s="7" t="s">
        <v>106</v>
      </c>
      <c r="E417" s="8" t="str">
        <f>IFERROR(__xludf.DUMMYFUNCTION("SPLIT(A417,""TX"")"),"Ramirez, Andrea
4650 Farm to Market Road 1863
Bulverde, ")</f>
        <v>Ramirez, Andrea
4650 Farm to Market Road 1863
Bulverde, </v>
      </c>
      <c r="F417" s="8">
        <f>IFERROR(__xludf.DUMMYFUNCTION("""COMPUTED_VALUE"""),78163.0)</f>
        <v>78163</v>
      </c>
      <c r="I417" s="8">
        <f t="shared" si="5"/>
        <v>78163</v>
      </c>
      <c r="J417" s="9">
        <f>IFERROR(__xludf.DUMMYFUNCTION("SPLIT(I417,""-"")"),78163.0)</f>
        <v>78163</v>
      </c>
    </row>
    <row r="418">
      <c r="A418" s="10" t="s">
        <v>425</v>
      </c>
      <c r="B418" s="11">
        <v>250.0</v>
      </c>
      <c r="C418" s="12" t="s">
        <v>106</v>
      </c>
      <c r="E418" s="8" t="str">
        <f>IFERROR(__xludf.DUMMYFUNCTION("SPLIT(A418,""TX"")"),"Garcia, Javier
8916 Siller Loop
Laredo, ")</f>
        <v>Garcia, Javier
8916 Siller Loop
Laredo, </v>
      </c>
      <c r="F418" s="8">
        <f>IFERROR(__xludf.DUMMYFUNCTION("""COMPUTED_VALUE"""),78045.0)</f>
        <v>78045</v>
      </c>
      <c r="I418" s="8">
        <f t="shared" si="5"/>
        <v>78045</v>
      </c>
      <c r="J418" s="9">
        <f>IFERROR(__xludf.DUMMYFUNCTION("SPLIT(I418,""-"")"),78045.0)</f>
        <v>78045</v>
      </c>
    </row>
    <row r="419">
      <c r="A419" s="5" t="s">
        <v>426</v>
      </c>
      <c r="B419" s="6">
        <v>250.0</v>
      </c>
      <c r="C419" s="7" t="s">
        <v>106</v>
      </c>
      <c r="E419" s="8" t="str">
        <f>IFERROR(__xludf.DUMMYFUNCTION("SPLIT(A419,""TX"")"),"Sanchez, Luis
7001 Nutria Run
Austin, ")</f>
        <v>Sanchez, Luis
7001 Nutria Run
Austin, </v>
      </c>
      <c r="F419" s="8">
        <f>IFERROR(__xludf.DUMMYFUNCTION("""COMPUTED_VALUE"""),78744.0)</f>
        <v>78744</v>
      </c>
      <c r="I419" s="8">
        <f t="shared" si="5"/>
        <v>78744</v>
      </c>
      <c r="J419" s="9">
        <f>IFERROR(__xludf.DUMMYFUNCTION("SPLIT(I419,""-"")"),78744.0)</f>
        <v>78744</v>
      </c>
    </row>
    <row r="420">
      <c r="A420" s="10" t="s">
        <v>427</v>
      </c>
      <c r="B420" s="11">
        <v>50.0</v>
      </c>
      <c r="C420" s="12" t="s">
        <v>106</v>
      </c>
      <c r="E420" s="8" t="str">
        <f>IFERROR(__xludf.DUMMYFUNCTION("SPLIT(A420,""TX"")"),"Sanchez, Benedicto
1127 Scenic Loop
Marshall, ")</f>
        <v>Sanchez, Benedicto
1127 Scenic Loop
Marshall, </v>
      </c>
      <c r="F420" s="8">
        <f>IFERROR(__xludf.DUMMYFUNCTION("""COMPUTED_VALUE"""),75672.0)</f>
        <v>75672</v>
      </c>
      <c r="I420" s="8">
        <f t="shared" si="5"/>
        <v>75672</v>
      </c>
      <c r="J420" s="9">
        <f>IFERROR(__xludf.DUMMYFUNCTION("SPLIT(I420,""-"")"),75672.0)</f>
        <v>75672</v>
      </c>
    </row>
    <row r="421">
      <c r="A421" s="5" t="s">
        <v>428</v>
      </c>
      <c r="B421" s="6">
        <v>300.0</v>
      </c>
      <c r="C421" s="7" t="s">
        <v>106</v>
      </c>
      <c r="E421" s="8" t="str">
        <f>IFERROR(__xludf.DUMMYFUNCTION("SPLIT(A421,""TX"")"),"Cai, Emily and Bowen
7101 ")</f>
        <v>Cai, Emily and Bowen
7101 </v>
      </c>
      <c r="F421" s="8" t="str">
        <f>IFERROR(__xludf.DUMMYFUNCTION("""COMPUTED_VALUE"""),"ravertine Spring Drive
Austin, ")</f>
        <v>ravertine Spring Drive
Austin, </v>
      </c>
      <c r="G421" s="8">
        <f>IFERROR(__xludf.DUMMYFUNCTION("""COMPUTED_VALUE"""),78744.0)</f>
        <v>78744</v>
      </c>
      <c r="I421" s="8">
        <f t="shared" si="5"/>
        <v>78744</v>
      </c>
      <c r="J421" s="9">
        <f>IFERROR(__xludf.DUMMYFUNCTION("SPLIT(I421,""-"")"),78744.0)</f>
        <v>78744</v>
      </c>
    </row>
    <row r="422">
      <c r="A422" s="10" t="s">
        <v>429</v>
      </c>
      <c r="B422" s="11">
        <v>100.0</v>
      </c>
      <c r="C422" s="12" t="s">
        <v>106</v>
      </c>
      <c r="E422" s="8" t="str">
        <f>IFERROR(__xludf.DUMMYFUNCTION("SPLIT(A422,""TX"")"),"Rangel, Jennifer
1441 Westmount Avenue
Dallas, ")</f>
        <v>Rangel, Jennifer
1441 Westmount Avenue
Dallas, </v>
      </c>
      <c r="F422" s="8">
        <f>IFERROR(__xludf.DUMMYFUNCTION("""COMPUTED_VALUE"""),75211.0)</f>
        <v>75211</v>
      </c>
      <c r="I422" s="8">
        <f t="shared" si="5"/>
        <v>75211</v>
      </c>
      <c r="J422" s="9">
        <f>IFERROR(__xludf.DUMMYFUNCTION("SPLIT(I422,""-"")"),75211.0)</f>
        <v>75211</v>
      </c>
    </row>
    <row r="423">
      <c r="A423" s="5" t="s">
        <v>430</v>
      </c>
      <c r="B423" s="6">
        <v>100.0</v>
      </c>
      <c r="C423" s="7" t="s">
        <v>106</v>
      </c>
      <c r="E423" s="8" t="str">
        <f>IFERROR(__xludf.DUMMYFUNCTION("SPLIT(A423,""TX"")"),"Mayo, Evelyn
7732 Village ")</f>
        <v>Mayo, Evelyn
7732 Village </v>
      </c>
      <c r="F423" s="8" t="str">
        <f>IFERROR(__xludf.DUMMYFUNCTION("""COMPUTED_VALUE"""),"rail Drive
Dallas, ")</f>
        <v>rail Drive
Dallas, </v>
      </c>
      <c r="G423" s="8">
        <f>IFERROR(__xludf.DUMMYFUNCTION("""COMPUTED_VALUE"""),75254.0)</f>
        <v>75254</v>
      </c>
      <c r="I423" s="8">
        <f t="shared" si="5"/>
        <v>75254</v>
      </c>
      <c r="J423" s="9">
        <f>IFERROR(__xludf.DUMMYFUNCTION("SPLIT(I423,""-"")"),75254.0)</f>
        <v>75254</v>
      </c>
    </row>
    <row r="424">
      <c r="A424" s="10" t="s">
        <v>431</v>
      </c>
      <c r="B424" s="11">
        <v>100.0</v>
      </c>
      <c r="C424" s="12" t="s">
        <v>106</v>
      </c>
      <c r="E424" s="8" t="str">
        <f>IFERROR(__xludf.DUMMYFUNCTION("SPLIT(A424,""TX"")"),"Ortiz, Jessica
307 Bandara Woods Blvd
Elgin, ")</f>
        <v>Ortiz, Jessica
307 Bandara Woods Blvd
Elgin, </v>
      </c>
      <c r="F424" s="8">
        <f>IFERROR(__xludf.DUMMYFUNCTION("""COMPUTED_VALUE"""),78621.0)</f>
        <v>78621</v>
      </c>
      <c r="I424" s="8">
        <f t="shared" si="5"/>
        <v>78621</v>
      </c>
      <c r="J424" s="9">
        <f>IFERROR(__xludf.DUMMYFUNCTION("SPLIT(I424,""-"")"),78621.0)</f>
        <v>78621</v>
      </c>
    </row>
    <row r="425">
      <c r="A425" s="5" t="s">
        <v>432</v>
      </c>
      <c r="B425" s="6">
        <v>100.0</v>
      </c>
      <c r="C425" s="7" t="s">
        <v>106</v>
      </c>
      <c r="E425" s="8" t="str">
        <f>IFERROR(__xludf.DUMMYFUNCTION("SPLIT(A425,""TX"")"),"Flores, Hector
1030 ")</f>
        <v>Flores, Hector
1030 </v>
      </c>
      <c r="F425" s="8" t="str">
        <f>IFERROR(__xludf.DUMMYFUNCTION("""COMPUTED_VALUE"""),"racy Ave.
Duncanville, ")</f>
        <v>racy Ave.
Duncanville, </v>
      </c>
      <c r="G425" s="8">
        <f>IFERROR(__xludf.DUMMYFUNCTION("""COMPUTED_VALUE"""),75137.0)</f>
        <v>75137</v>
      </c>
      <c r="I425" s="8">
        <f t="shared" si="5"/>
        <v>75137</v>
      </c>
      <c r="J425" s="9">
        <f>IFERROR(__xludf.DUMMYFUNCTION("SPLIT(I425,""-"")"),75137.0)</f>
        <v>75137</v>
      </c>
    </row>
    <row r="426">
      <c r="A426" s="10" t="s">
        <v>433</v>
      </c>
      <c r="B426" s="11">
        <v>50.0</v>
      </c>
      <c r="C426" s="12" t="s">
        <v>106</v>
      </c>
      <c r="E426" s="8" t="str">
        <f>IFERROR(__xludf.DUMMYFUNCTION("SPLIT(A426,""TX"")"),"Saenz, Maribel
1214 Dolton Dr
Dallas, ")</f>
        <v>Saenz, Maribel
1214 Dolton Dr
Dallas, </v>
      </c>
      <c r="F426" s="8">
        <f>IFERROR(__xludf.DUMMYFUNCTION("""COMPUTED_VALUE"""),75207.0)</f>
        <v>75207</v>
      </c>
      <c r="I426" s="8">
        <f t="shared" si="5"/>
        <v>75207</v>
      </c>
      <c r="J426" s="9">
        <f>IFERROR(__xludf.DUMMYFUNCTION("SPLIT(I426,""-"")"),75207.0)</f>
        <v>75207</v>
      </c>
    </row>
    <row r="427">
      <c r="A427" s="5" t="s">
        <v>434</v>
      </c>
      <c r="B427" s="6">
        <v>100.0</v>
      </c>
      <c r="C427" s="7" t="s">
        <v>106</v>
      </c>
      <c r="E427" s="8" t="str">
        <f>IFERROR(__xludf.DUMMYFUNCTION("SPLIT(A427,""TX"")"),"Rueda, Gabriel
40911 FM 149
Magnolia, ")</f>
        <v>Rueda, Gabriel
40911 FM 149
Magnolia, </v>
      </c>
      <c r="F427" s="8">
        <f>IFERROR(__xludf.DUMMYFUNCTION("""COMPUTED_VALUE"""),77354.0)</f>
        <v>77354</v>
      </c>
      <c r="I427" s="8">
        <f t="shared" si="5"/>
        <v>77354</v>
      </c>
      <c r="J427" s="9">
        <f>IFERROR(__xludf.DUMMYFUNCTION("SPLIT(I427,""-"")"),77354.0)</f>
        <v>77354</v>
      </c>
    </row>
    <row r="428">
      <c r="A428" s="10" t="s">
        <v>435</v>
      </c>
      <c r="B428" s="11">
        <v>250.0</v>
      </c>
      <c r="C428" s="12" t="s">
        <v>106</v>
      </c>
      <c r="E428" s="8" t="str">
        <f>IFERROR(__xludf.DUMMYFUNCTION("SPLIT(A428,""TX"")"),"Resendiz, Imelda
2991 FM 602
Floydada, ")</f>
        <v>Resendiz, Imelda
2991 FM 602
Floydada, </v>
      </c>
      <c r="F428" s="8">
        <f>IFERROR(__xludf.DUMMYFUNCTION("""COMPUTED_VALUE"""),79235.0)</f>
        <v>79235</v>
      </c>
      <c r="I428" s="8">
        <f t="shared" si="5"/>
        <v>79235</v>
      </c>
      <c r="J428" s="9">
        <f>IFERROR(__xludf.DUMMYFUNCTION("SPLIT(I428,""-"")"),79235.0)</f>
        <v>79235</v>
      </c>
    </row>
    <row r="429">
      <c r="A429" s="5" t="s">
        <v>436</v>
      </c>
      <c r="B429" s="6">
        <v>50.0</v>
      </c>
      <c r="C429" s="7" t="s">
        <v>106</v>
      </c>
      <c r="E429" s="8" t="str">
        <f>IFERROR(__xludf.DUMMYFUNCTION("SPLIT(A429,""TX"")"),"Zendejas, Alejandra
2414 S Polk St
Dallas, ")</f>
        <v>Zendejas, Alejandra
2414 S Polk St
Dallas, </v>
      </c>
      <c r="F429" s="8">
        <f>IFERROR(__xludf.DUMMYFUNCTION("""COMPUTED_VALUE"""),75224.0)</f>
        <v>75224</v>
      </c>
      <c r="I429" s="8">
        <f t="shared" si="5"/>
        <v>75224</v>
      </c>
      <c r="J429" s="9">
        <f>IFERROR(__xludf.DUMMYFUNCTION("SPLIT(I429,""-"")"),75224.0)</f>
        <v>75224</v>
      </c>
    </row>
    <row r="430">
      <c r="A430" s="10" t="s">
        <v>437</v>
      </c>
      <c r="B430" s="11">
        <v>1000.0</v>
      </c>
      <c r="C430" s="12" t="s">
        <v>106</v>
      </c>
      <c r="E430" s="8" t="str">
        <f>IFERROR(__xludf.DUMMYFUNCTION("SPLIT(A430,""TX"")"),"Alameda, Yolanda
1607 S. ")</f>
        <v>Alameda, Yolanda
1607 S. </v>
      </c>
      <c r="F430" s="8" t="str">
        <f>IFERROR(__xludf.DUMMYFUNCTION("""COMPUTED_VALUE"""),"yler St.
Dallas, ")</f>
        <v>yler St.
Dallas, </v>
      </c>
      <c r="G430" s="8">
        <f>IFERROR(__xludf.DUMMYFUNCTION("""COMPUTED_VALUE"""),75224.0)</f>
        <v>75224</v>
      </c>
      <c r="I430" s="8">
        <f t="shared" si="5"/>
        <v>75224</v>
      </c>
      <c r="J430" s="9">
        <f>IFERROR(__xludf.DUMMYFUNCTION("SPLIT(I430,""-"")"),75224.0)</f>
        <v>75224</v>
      </c>
    </row>
    <row r="431">
      <c r="A431" s="5" t="s">
        <v>438</v>
      </c>
      <c r="B431" s="6">
        <v>1000.0</v>
      </c>
      <c r="C431" s="7" t="s">
        <v>106</v>
      </c>
      <c r="E431" s="8" t="str">
        <f>IFERROR(__xludf.DUMMYFUNCTION("SPLIT(A431,""TX"")"),"Alkhatib, Angie
3524 Omar Lane
Plano, ")</f>
        <v>Alkhatib, Angie
3524 Omar Lane
Plano, </v>
      </c>
      <c r="F431" s="8">
        <f>IFERROR(__xludf.DUMMYFUNCTION("""COMPUTED_VALUE"""),75023.0)</f>
        <v>75023</v>
      </c>
      <c r="I431" s="8">
        <f t="shared" si="5"/>
        <v>75023</v>
      </c>
      <c r="J431" s="9">
        <f>IFERROR(__xludf.DUMMYFUNCTION("SPLIT(I431,""-"")"),75023.0)</f>
        <v>75023</v>
      </c>
    </row>
    <row r="432">
      <c r="A432" s="10" t="s">
        <v>439</v>
      </c>
      <c r="B432" s="11">
        <v>40.0</v>
      </c>
      <c r="C432" s="12" t="s">
        <v>106</v>
      </c>
      <c r="E432" s="8" t="str">
        <f>IFERROR(__xludf.DUMMYFUNCTION("SPLIT(A432,""TX"")"),"Fierro, Carlos
905 Brookwood Drive
Dallas, ")</f>
        <v>Fierro, Carlos
905 Brookwood Drive
Dallas, </v>
      </c>
      <c r="F432" s="8">
        <f>IFERROR(__xludf.DUMMYFUNCTION("""COMPUTED_VALUE"""),75224.0)</f>
        <v>75224</v>
      </c>
      <c r="I432" s="8">
        <f t="shared" si="5"/>
        <v>75224</v>
      </c>
      <c r="J432" s="9">
        <f>IFERROR(__xludf.DUMMYFUNCTION("SPLIT(I432,""-"")"),75224.0)</f>
        <v>75224</v>
      </c>
    </row>
    <row r="433">
      <c r="A433" s="5" t="s">
        <v>440</v>
      </c>
      <c r="B433" s="6">
        <v>25.0</v>
      </c>
      <c r="C433" s="7" t="s">
        <v>106</v>
      </c>
      <c r="E433" s="8" t="str">
        <f>IFERROR(__xludf.DUMMYFUNCTION("SPLIT(A433,""TX"")"),"Cross, Michael
10346 Park Meadows Dr.
Lone ")</f>
        <v>Cross, Michael
10346 Park Meadows Dr.
Lone </v>
      </c>
      <c r="F433" s="8" t="str">
        <f>IFERROR(__xludf.DUMMYFUNCTION("""COMPUTED_VALUE"""),"ree, CO 80124")</f>
        <v>ree, CO 80124</v>
      </c>
      <c r="J433" s="9" t="str">
        <f>IFERROR(__xludf.DUMMYFUNCTION("SPLIT(I433,""-"")"),"#VALUE!")</f>
        <v>#VALUE!</v>
      </c>
    </row>
    <row r="434">
      <c r="A434" s="10" t="s">
        <v>441</v>
      </c>
      <c r="B434" s="11">
        <v>35.0</v>
      </c>
      <c r="C434" s="12" t="s">
        <v>106</v>
      </c>
      <c r="E434" s="8" t="str">
        <f>IFERROR(__xludf.DUMMYFUNCTION("SPLIT(A434,""TX"")"),"Cardona, Sara
304 South Montclair Avenue
Dallas, ")</f>
        <v>Cardona, Sara
304 South Montclair Avenue
Dallas, </v>
      </c>
      <c r="F434" s="8">
        <f>IFERROR(__xludf.DUMMYFUNCTION("""COMPUTED_VALUE"""),75208.0)</f>
        <v>75208</v>
      </c>
      <c r="I434" s="8">
        <f t="shared" ref="I434:I614" si="6">IF(ISBLANK(G434),F434,G434)</f>
        <v>75208</v>
      </c>
      <c r="J434" s="9">
        <f>IFERROR(__xludf.DUMMYFUNCTION("SPLIT(I434,""-"")"),75208.0)</f>
        <v>75208</v>
      </c>
    </row>
    <row r="435">
      <c r="A435" s="5" t="s">
        <v>442</v>
      </c>
      <c r="B435" s="6">
        <v>350.0</v>
      </c>
      <c r="C435" s="7" t="s">
        <v>106</v>
      </c>
      <c r="E435" s="8" t="str">
        <f>IFERROR(__xludf.DUMMYFUNCTION("SPLIT(A435,""TX"")"),"Figueroa, Gerardo
5017 Frontier Rd
Garland, ")</f>
        <v>Figueroa, Gerardo
5017 Frontier Rd
Garland, </v>
      </c>
      <c r="F435" s="8">
        <f>IFERROR(__xludf.DUMMYFUNCTION("""COMPUTED_VALUE"""),75043.0)</f>
        <v>75043</v>
      </c>
      <c r="I435" s="8">
        <f t="shared" si="6"/>
        <v>75043</v>
      </c>
      <c r="J435" s="9">
        <f>IFERROR(__xludf.DUMMYFUNCTION("SPLIT(I435,""-"")"),75043.0)</f>
        <v>75043</v>
      </c>
    </row>
    <row r="436">
      <c r="A436" s="10" t="s">
        <v>443</v>
      </c>
      <c r="B436" s="11">
        <v>100.0</v>
      </c>
      <c r="C436" s="12" t="s">
        <v>106</v>
      </c>
      <c r="E436" s="8" t="str">
        <f>IFERROR(__xludf.DUMMYFUNCTION("SPLIT(A436,""TX"")"),"Contreras, Elizabeth
4601 Concord Dr
Garland, ")</f>
        <v>Contreras, Elizabeth
4601 Concord Dr
Garland, </v>
      </c>
      <c r="F436" s="8">
        <f>IFERROR(__xludf.DUMMYFUNCTION("""COMPUTED_VALUE"""),75042.0)</f>
        <v>75042</v>
      </c>
      <c r="I436" s="8">
        <f t="shared" si="6"/>
        <v>75042</v>
      </c>
      <c r="J436" s="9">
        <f>IFERROR(__xludf.DUMMYFUNCTION("SPLIT(I436,""-"")"),75042.0)</f>
        <v>75042</v>
      </c>
    </row>
    <row r="437">
      <c r="A437" s="5" t="s">
        <v>444</v>
      </c>
      <c r="B437" s="6">
        <v>25.0</v>
      </c>
      <c r="C437" s="7" t="s">
        <v>106</v>
      </c>
      <c r="E437" s="8" t="str">
        <f>IFERROR(__xludf.DUMMYFUNCTION("SPLIT(A437,""TX"")"),"Sosa, Annette
7166 Havenridge Lane
Kaufman, ")</f>
        <v>Sosa, Annette
7166 Havenridge Lane
Kaufman, </v>
      </c>
      <c r="F437" s="8">
        <f>IFERROR(__xludf.DUMMYFUNCTION("""COMPUTED_VALUE"""),75142.0)</f>
        <v>75142</v>
      </c>
      <c r="I437" s="8">
        <f t="shared" si="6"/>
        <v>75142</v>
      </c>
      <c r="J437" s="9">
        <f>IFERROR(__xludf.DUMMYFUNCTION("SPLIT(I437,""-"")"),75142.0)</f>
        <v>75142</v>
      </c>
    </row>
    <row r="438">
      <c r="A438" s="10" t="s">
        <v>445</v>
      </c>
      <c r="B438" s="11">
        <v>50.0</v>
      </c>
      <c r="C438" s="12" t="s">
        <v>106</v>
      </c>
      <c r="E438" s="8" t="str">
        <f>IFERROR(__xludf.DUMMYFUNCTION("SPLIT(A438,""TX"")"),"Nguyen, ")</f>
        <v>Nguyen, </v>
      </c>
      <c r="F438" s="8" t="str">
        <f>IFERROR(__xludf.DUMMYFUNCTION("""COMPUTED_VALUE"""),"hanh
7228 Rueda
Grand Prairie, ")</f>
        <v>hanh
7228 Rueda
Grand Prairie, </v>
      </c>
      <c r="G438" s="8">
        <f>IFERROR(__xludf.DUMMYFUNCTION("""COMPUTED_VALUE"""),75054.0)</f>
        <v>75054</v>
      </c>
      <c r="I438" s="8">
        <f t="shared" si="6"/>
        <v>75054</v>
      </c>
      <c r="J438" s="9">
        <f>IFERROR(__xludf.DUMMYFUNCTION("SPLIT(I438,""-"")"),75054.0)</f>
        <v>75054</v>
      </c>
    </row>
    <row r="439">
      <c r="A439" s="5" t="s">
        <v>446</v>
      </c>
      <c r="B439" s="6">
        <v>50.0</v>
      </c>
      <c r="C439" s="7" t="s">
        <v>106</v>
      </c>
      <c r="E439" s="8" t="str">
        <f>IFERROR(__xludf.DUMMYFUNCTION("SPLIT(A439,""TX"")"),"Acosta, Berta
1644 Blackstone Dr
Carrollton, ")</f>
        <v>Acosta, Berta
1644 Blackstone Dr
Carrollton, </v>
      </c>
      <c r="F439" s="8">
        <f>IFERROR(__xludf.DUMMYFUNCTION("""COMPUTED_VALUE"""),75007.0)</f>
        <v>75007</v>
      </c>
      <c r="I439" s="8">
        <f t="shared" si="6"/>
        <v>75007</v>
      </c>
      <c r="J439" s="9">
        <f>IFERROR(__xludf.DUMMYFUNCTION("SPLIT(I439,""-"")"),75007.0)</f>
        <v>75007</v>
      </c>
    </row>
    <row r="440">
      <c r="A440" s="10" t="s">
        <v>447</v>
      </c>
      <c r="B440" s="11">
        <v>50.0</v>
      </c>
      <c r="C440" s="12" t="s">
        <v>106</v>
      </c>
      <c r="E440" s="8" t="str">
        <f>IFERROR(__xludf.DUMMYFUNCTION("SPLIT(A440,""TX"")"),"Palacios, Edna
800 Cedarwood Drive
Cedar Hill, ")</f>
        <v>Palacios, Edna
800 Cedarwood Drive
Cedar Hill, </v>
      </c>
      <c r="F440" s="8">
        <f>IFERROR(__xludf.DUMMYFUNCTION("""COMPUTED_VALUE"""),75104.0)</f>
        <v>75104</v>
      </c>
      <c r="I440" s="8">
        <f t="shared" si="6"/>
        <v>75104</v>
      </c>
      <c r="J440" s="9">
        <f>IFERROR(__xludf.DUMMYFUNCTION("SPLIT(I440,""-"")"),75104.0)</f>
        <v>75104</v>
      </c>
    </row>
    <row r="441">
      <c r="A441" s="5" t="s">
        <v>448</v>
      </c>
      <c r="B441" s="6">
        <v>100.0</v>
      </c>
      <c r="C441" s="7" t="s">
        <v>106</v>
      </c>
      <c r="E441" s="8" t="str">
        <f>IFERROR(__xludf.DUMMYFUNCTION("SPLIT(A441,""TX"")"),"Griffith, Gary
6875 Carolyncrest Drive
Dallas, ")</f>
        <v>Griffith, Gary
6875 Carolyncrest Drive
Dallas, </v>
      </c>
      <c r="F441" s="8">
        <f>IFERROR(__xludf.DUMMYFUNCTION("""COMPUTED_VALUE"""),75214.0)</f>
        <v>75214</v>
      </c>
      <c r="I441" s="8">
        <f t="shared" si="6"/>
        <v>75214</v>
      </c>
      <c r="J441" s="9">
        <f>IFERROR(__xludf.DUMMYFUNCTION("SPLIT(I441,""-"")"),75214.0)</f>
        <v>75214</v>
      </c>
    </row>
    <row r="442">
      <c r="A442" s="10" t="s">
        <v>449</v>
      </c>
      <c r="B442" s="11">
        <v>100.0</v>
      </c>
      <c r="C442" s="12" t="s">
        <v>106</v>
      </c>
      <c r="E442" s="8" t="str">
        <f>IFERROR(__xludf.DUMMYFUNCTION("SPLIT(A442,""TX"")"),"hompson, Zac
1041 Hampshire Lane
Cedar Hill, ")</f>
        <v>hompson, Zac
1041 Hampshire Lane
Cedar Hill, </v>
      </c>
      <c r="F442" s="8">
        <f>IFERROR(__xludf.DUMMYFUNCTION("""COMPUTED_VALUE"""),75104.0)</f>
        <v>75104</v>
      </c>
      <c r="I442" s="8">
        <f t="shared" si="6"/>
        <v>75104</v>
      </c>
      <c r="J442" s="9">
        <f>IFERROR(__xludf.DUMMYFUNCTION("SPLIT(I442,""-"")"),75104.0)</f>
        <v>75104</v>
      </c>
    </row>
    <row r="443">
      <c r="A443" s="5" t="s">
        <v>450</v>
      </c>
      <c r="B443" s="6">
        <v>50.0</v>
      </c>
      <c r="C443" s="7" t="s">
        <v>106</v>
      </c>
      <c r="E443" s="8" t="str">
        <f>IFERROR(__xludf.DUMMYFUNCTION("SPLIT(A443,""TX"")"),"Hinojosa, Rosemary
3614 Crepe Myrtle Circle
Dallas, ")</f>
        <v>Hinojosa, Rosemary
3614 Crepe Myrtle Circle
Dallas, </v>
      </c>
      <c r="F443" s="8">
        <f>IFERROR(__xludf.DUMMYFUNCTION("""COMPUTED_VALUE"""),75233.0)</f>
        <v>75233</v>
      </c>
      <c r="I443" s="8">
        <f t="shared" si="6"/>
        <v>75233</v>
      </c>
      <c r="J443" s="9">
        <f>IFERROR(__xludf.DUMMYFUNCTION("SPLIT(I443,""-"")"),75233.0)</f>
        <v>75233</v>
      </c>
    </row>
    <row r="444">
      <c r="A444" s="10" t="s">
        <v>451</v>
      </c>
      <c r="B444" s="11">
        <v>50.0</v>
      </c>
      <c r="C444" s="12" t="s">
        <v>106</v>
      </c>
      <c r="E444" s="8" t="str">
        <f>IFERROR(__xludf.DUMMYFUNCTION("SPLIT(A444,""TX"")"),"Marquez, Christian
935 Algonquin Dr
Dallas, ")</f>
        <v>Marquez, Christian
935 Algonquin Dr
Dallas, </v>
      </c>
      <c r="F444" s="8">
        <f>IFERROR(__xludf.DUMMYFUNCTION("""COMPUTED_VALUE"""),75217.0)</f>
        <v>75217</v>
      </c>
      <c r="I444" s="8">
        <f t="shared" si="6"/>
        <v>75217</v>
      </c>
      <c r="J444" s="9">
        <f>IFERROR(__xludf.DUMMYFUNCTION("SPLIT(I444,""-"")"),75217.0)</f>
        <v>75217</v>
      </c>
    </row>
    <row r="445">
      <c r="A445" s="5" t="s">
        <v>452</v>
      </c>
      <c r="B445" s="6">
        <v>50.0</v>
      </c>
      <c r="C445" s="7" t="s">
        <v>106</v>
      </c>
      <c r="E445" s="8" t="str">
        <f>IFERROR(__xludf.DUMMYFUNCTION("SPLIT(A445,""TX"")"),"Martinez, Samantha
1021 Antique Heritage Drive
Pflugerville, ")</f>
        <v>Martinez, Samantha
1021 Antique Heritage Drive
Pflugerville, </v>
      </c>
      <c r="F445" s="8">
        <f>IFERROR(__xludf.DUMMYFUNCTION("""COMPUTED_VALUE"""),78660.0)</f>
        <v>78660</v>
      </c>
      <c r="I445" s="8">
        <f t="shared" si="6"/>
        <v>78660</v>
      </c>
      <c r="J445" s="9">
        <f>IFERROR(__xludf.DUMMYFUNCTION("SPLIT(I445,""-"")"),78660.0)</f>
        <v>78660</v>
      </c>
    </row>
    <row r="446">
      <c r="A446" s="10" t="s">
        <v>453</v>
      </c>
      <c r="B446" s="11">
        <v>20.0</v>
      </c>
      <c r="C446" s="12" t="s">
        <v>106</v>
      </c>
      <c r="E446" s="8" t="str">
        <f>IFERROR(__xludf.DUMMYFUNCTION("SPLIT(A446,""TX"")"),"Wonders, Nancy
207 N Waverly Drive
Dallas, ")</f>
        <v>Wonders, Nancy
207 N Waverly Drive
Dallas, </v>
      </c>
      <c r="F446" s="8">
        <f>IFERROR(__xludf.DUMMYFUNCTION("""COMPUTED_VALUE"""),75280.0)</f>
        <v>75280</v>
      </c>
      <c r="I446" s="8">
        <f t="shared" si="6"/>
        <v>75280</v>
      </c>
      <c r="J446" s="9">
        <f>IFERROR(__xludf.DUMMYFUNCTION("SPLIT(I446,""-"")"),75280.0)</f>
        <v>75280</v>
      </c>
    </row>
    <row r="447">
      <c r="A447" s="5" t="s">
        <v>454</v>
      </c>
      <c r="B447" s="6">
        <v>10.0</v>
      </c>
      <c r="C447" s="7" t="s">
        <v>106</v>
      </c>
      <c r="E447" s="8" t="str">
        <f>IFERROR(__xludf.DUMMYFUNCTION("SPLIT(A447,""TX"")"),"Angeles, Felix
3910 Rockford
Dallas, ")</f>
        <v>Angeles, Felix
3910 Rockford
Dallas, </v>
      </c>
      <c r="F447" s="8">
        <f>IFERROR(__xludf.DUMMYFUNCTION("""COMPUTED_VALUE"""),75211.0)</f>
        <v>75211</v>
      </c>
      <c r="I447" s="8">
        <f t="shared" si="6"/>
        <v>75211</v>
      </c>
      <c r="J447" s="9">
        <f>IFERROR(__xludf.DUMMYFUNCTION("SPLIT(I447,""-"")"),75211.0)</f>
        <v>75211</v>
      </c>
    </row>
    <row r="448">
      <c r="A448" s="10" t="s">
        <v>455</v>
      </c>
      <c r="B448" s="11">
        <v>100.0</v>
      </c>
      <c r="C448" s="12" t="s">
        <v>106</v>
      </c>
      <c r="E448" s="8" t="str">
        <f>IFERROR(__xludf.DUMMYFUNCTION("SPLIT(A448,""TX"")"),"Palmer, Daniela
1718 Homewood Place
Dallas, ")</f>
        <v>Palmer, Daniela
1718 Homewood Place
Dallas, </v>
      </c>
      <c r="F448" s="8">
        <f>IFERROR(__xludf.DUMMYFUNCTION("""COMPUTED_VALUE"""),75224.0)</f>
        <v>75224</v>
      </c>
      <c r="I448" s="8">
        <f t="shared" si="6"/>
        <v>75224</v>
      </c>
      <c r="J448" s="9">
        <f>IFERROR(__xludf.DUMMYFUNCTION("SPLIT(I448,""-"")"),75224.0)</f>
        <v>75224</v>
      </c>
    </row>
    <row r="449">
      <c r="A449" s="5" t="s">
        <v>456</v>
      </c>
      <c r="B449" s="6">
        <v>100.0</v>
      </c>
      <c r="C449" s="7" t="s">
        <v>106</v>
      </c>
      <c r="E449" s="8" t="str">
        <f>IFERROR(__xludf.DUMMYFUNCTION("SPLIT(A449,""TX"")"),"Reyes, Johnny
2768 Aster Street
Dallas, ")</f>
        <v>Reyes, Johnny
2768 Aster Street
Dallas, </v>
      </c>
      <c r="F449" s="8">
        <f>IFERROR(__xludf.DUMMYFUNCTION("""COMPUTED_VALUE"""),75211.0)</f>
        <v>75211</v>
      </c>
      <c r="I449" s="8">
        <f t="shared" si="6"/>
        <v>75211</v>
      </c>
      <c r="J449" s="9">
        <f>IFERROR(__xludf.DUMMYFUNCTION("SPLIT(I449,""-"")"),75211.0)</f>
        <v>75211</v>
      </c>
    </row>
    <row r="450">
      <c r="A450" s="10" t="s">
        <v>457</v>
      </c>
      <c r="B450" s="11">
        <v>60.0</v>
      </c>
      <c r="C450" s="12" t="s">
        <v>106</v>
      </c>
      <c r="E450" s="8" t="str">
        <f>IFERROR(__xludf.DUMMYFUNCTION("SPLIT(A450,""TX"")"),"Hernandez, Cecelia
218 Merribrook ")</f>
        <v>Hernandez, Cecelia
218 Merribrook </v>
      </c>
      <c r="F450" s="8" t="str">
        <f>IFERROR(__xludf.DUMMYFUNCTION("""COMPUTED_VALUE"""),"rail
Duncanville, ")</f>
        <v>rail
Duncanville, </v>
      </c>
      <c r="G450" s="8">
        <f>IFERROR(__xludf.DUMMYFUNCTION("""COMPUTED_VALUE"""),75116.0)</f>
        <v>75116</v>
      </c>
      <c r="I450" s="8">
        <f t="shared" si="6"/>
        <v>75116</v>
      </c>
      <c r="J450" s="9">
        <f>IFERROR(__xludf.DUMMYFUNCTION("SPLIT(I450,""-"")"),75116.0)</f>
        <v>75116</v>
      </c>
    </row>
    <row r="451">
      <c r="A451" s="5" t="s">
        <v>458</v>
      </c>
      <c r="B451" s="6">
        <v>50.0</v>
      </c>
      <c r="C451" s="7" t="s">
        <v>106</v>
      </c>
      <c r="E451" s="8" t="str">
        <f>IFERROR(__xludf.DUMMYFUNCTION("SPLIT(A451,""TX"")"),"Angeles, Maria
12227 Quail Drive
Balch Springs, ")</f>
        <v>Angeles, Maria
12227 Quail Drive
Balch Springs, </v>
      </c>
      <c r="F451" s="8">
        <f>IFERROR(__xludf.DUMMYFUNCTION("""COMPUTED_VALUE"""),75180.0)</f>
        <v>75180</v>
      </c>
      <c r="I451" s="8">
        <f t="shared" si="6"/>
        <v>75180</v>
      </c>
      <c r="J451" s="9">
        <f>IFERROR(__xludf.DUMMYFUNCTION("SPLIT(I451,""-"")"),75180.0)</f>
        <v>75180</v>
      </c>
    </row>
    <row r="452">
      <c r="A452" s="10" t="s">
        <v>459</v>
      </c>
      <c r="B452" s="11">
        <v>50.0</v>
      </c>
      <c r="C452" s="12" t="s">
        <v>106</v>
      </c>
      <c r="E452" s="8" t="str">
        <f>IFERROR(__xludf.DUMMYFUNCTION("SPLIT(A452,""TX"")"),"Subias, Enrique
3414 ")</f>
        <v>Subias, Enrique
3414 </v>
      </c>
      <c r="F452" s="8" t="str">
        <f>IFERROR(__xludf.DUMMYFUNCTION("""COMPUTED_VALUE"""),"exas Drive
Dallas, ")</f>
        <v>exas Drive
Dallas, </v>
      </c>
      <c r="G452" s="8">
        <f>IFERROR(__xludf.DUMMYFUNCTION("""COMPUTED_VALUE"""),75211.0)</f>
        <v>75211</v>
      </c>
      <c r="I452" s="8">
        <f t="shared" si="6"/>
        <v>75211</v>
      </c>
      <c r="J452" s="9">
        <f>IFERROR(__xludf.DUMMYFUNCTION("SPLIT(I452,""-"")"),75211.0)</f>
        <v>75211</v>
      </c>
    </row>
    <row r="453">
      <c r="A453" s="5" t="s">
        <v>460</v>
      </c>
      <c r="B453" s="6">
        <v>20.0</v>
      </c>
      <c r="C453" s="7" t="s">
        <v>106</v>
      </c>
      <c r="E453" s="8" t="str">
        <f>IFERROR(__xludf.DUMMYFUNCTION("SPLIT(A453,""TX"")"),"Bocanegra, Lucy
918 Hartsdale
Dallas, ")</f>
        <v>Bocanegra, Lucy
918 Hartsdale
Dallas, </v>
      </c>
      <c r="F453" s="8">
        <f>IFERROR(__xludf.DUMMYFUNCTION("""COMPUTED_VALUE"""),75211.0)</f>
        <v>75211</v>
      </c>
      <c r="I453" s="8">
        <f t="shared" si="6"/>
        <v>75211</v>
      </c>
      <c r="J453" s="9">
        <f>IFERROR(__xludf.DUMMYFUNCTION("SPLIT(I453,""-"")"),75211.0)</f>
        <v>75211</v>
      </c>
    </row>
    <row r="454">
      <c r="A454" s="10" t="s">
        <v>461</v>
      </c>
      <c r="B454" s="11">
        <v>100.0</v>
      </c>
      <c r="C454" s="12" t="s">
        <v>106</v>
      </c>
      <c r="E454" s="8" t="str">
        <f>IFERROR(__xludf.DUMMYFUNCTION("SPLIT(A454,""TX"")"),"Gomez, Roberto
2800 W. Clarendon Drive
Dallas, ")</f>
        <v>Gomez, Roberto
2800 W. Clarendon Drive
Dallas, </v>
      </c>
      <c r="F454" s="8">
        <f>IFERROR(__xludf.DUMMYFUNCTION("""COMPUTED_VALUE"""),75211.0)</f>
        <v>75211</v>
      </c>
      <c r="I454" s="8">
        <f t="shared" si="6"/>
        <v>75211</v>
      </c>
      <c r="J454" s="9">
        <f>IFERROR(__xludf.DUMMYFUNCTION("SPLIT(I454,""-"")"),75211.0)</f>
        <v>75211</v>
      </c>
    </row>
    <row r="455">
      <c r="A455" s="5" t="s">
        <v>462</v>
      </c>
      <c r="B455" s="6">
        <v>20.0</v>
      </c>
      <c r="C455" s="7" t="s">
        <v>106</v>
      </c>
      <c r="E455" s="8" t="str">
        <f>IFERROR(__xludf.DUMMYFUNCTION("SPLIT(A455,""TX"")"),"Castillo, Maria
3619 ")</f>
        <v>Castillo, Maria
3619 </v>
      </c>
      <c r="F455" s="8" t="str">
        <f>IFERROR(__xludf.DUMMYFUNCTION("""COMPUTED_VALUE"""),"exas Drive
Dallas, ")</f>
        <v>exas Drive
Dallas, </v>
      </c>
      <c r="G455" s="8">
        <f>IFERROR(__xludf.DUMMYFUNCTION("""COMPUTED_VALUE"""),75211.0)</f>
        <v>75211</v>
      </c>
      <c r="I455" s="8">
        <f t="shared" si="6"/>
        <v>75211</v>
      </c>
      <c r="J455" s="9">
        <f>IFERROR(__xludf.DUMMYFUNCTION("SPLIT(I455,""-"")"),75211.0)</f>
        <v>75211</v>
      </c>
    </row>
    <row r="456">
      <c r="A456" s="10" t="s">
        <v>463</v>
      </c>
      <c r="B456" s="11">
        <v>40.0</v>
      </c>
      <c r="C456" s="12" t="s">
        <v>106</v>
      </c>
      <c r="E456" s="8" t="str">
        <f>IFERROR(__xludf.DUMMYFUNCTION("SPLIT(A456,""TX"")"),"Leiato, Victoria
938 W. Page Avenue
Dallas, ")</f>
        <v>Leiato, Victoria
938 W. Page Avenue
Dallas, </v>
      </c>
      <c r="F456" s="8">
        <f>IFERROR(__xludf.DUMMYFUNCTION("""COMPUTED_VALUE"""),75208.0)</f>
        <v>75208</v>
      </c>
      <c r="I456" s="8">
        <f t="shared" si="6"/>
        <v>75208</v>
      </c>
      <c r="J456" s="9">
        <f>IFERROR(__xludf.DUMMYFUNCTION("SPLIT(I456,""-"")"),75208.0)</f>
        <v>75208</v>
      </c>
    </row>
    <row r="457">
      <c r="A457" s="5" t="s">
        <v>464</v>
      </c>
      <c r="B457" s="6">
        <v>40.0</v>
      </c>
      <c r="C457" s="7" t="s">
        <v>106</v>
      </c>
      <c r="E457" s="8" t="str">
        <f>IFERROR(__xludf.DUMMYFUNCTION("SPLIT(A457,""TX"")"),"Saldaña, Vanessa
410 N. Clinton Avenue
Dallas, ")</f>
        <v>Saldaña, Vanessa
410 N. Clinton Avenue
Dallas, </v>
      </c>
      <c r="F457" s="8">
        <f>IFERROR(__xludf.DUMMYFUNCTION("""COMPUTED_VALUE"""),75208.0)</f>
        <v>75208</v>
      </c>
      <c r="I457" s="8">
        <f t="shared" si="6"/>
        <v>75208</v>
      </c>
      <c r="J457" s="9">
        <f>IFERROR(__xludf.DUMMYFUNCTION("SPLIT(I457,""-"")"),75208.0)</f>
        <v>75208</v>
      </c>
    </row>
    <row r="458">
      <c r="A458" s="10" t="s">
        <v>465</v>
      </c>
      <c r="B458" s="11">
        <v>100.0</v>
      </c>
      <c r="C458" s="12" t="s">
        <v>106</v>
      </c>
      <c r="E458" s="8" t="str">
        <f>IFERROR(__xludf.DUMMYFUNCTION("SPLIT(A458,""TX"")"),"Nearpass, Victoria
1639 Cedar Hill Avenue
Dallas, ")</f>
        <v>Nearpass, Victoria
1639 Cedar Hill Avenue
Dallas, </v>
      </c>
      <c r="F458" s="8">
        <f>IFERROR(__xludf.DUMMYFUNCTION("""COMPUTED_VALUE"""),75208.0)</f>
        <v>75208</v>
      </c>
      <c r="I458" s="8">
        <f t="shared" si="6"/>
        <v>75208</v>
      </c>
      <c r="J458" s="9">
        <f>IFERROR(__xludf.DUMMYFUNCTION("SPLIT(I458,""-"")"),75208.0)</f>
        <v>75208</v>
      </c>
    </row>
    <row r="459">
      <c r="A459" s="5" t="s">
        <v>466</v>
      </c>
      <c r="B459" s="6">
        <v>10.0</v>
      </c>
      <c r="C459" s="7" t="s">
        <v>106</v>
      </c>
      <c r="E459" s="8" t="str">
        <f>IFERROR(__xludf.DUMMYFUNCTION("SPLIT(A459,""TX"")"),"Pryor, Pascale
1704 Homewood Place
Dallas, ")</f>
        <v>Pryor, Pascale
1704 Homewood Place
Dallas, </v>
      </c>
      <c r="F459" s="8">
        <f>IFERROR(__xludf.DUMMYFUNCTION("""COMPUTED_VALUE"""),75224.0)</f>
        <v>75224</v>
      </c>
      <c r="I459" s="8">
        <f t="shared" si="6"/>
        <v>75224</v>
      </c>
      <c r="J459" s="9">
        <f>IFERROR(__xludf.DUMMYFUNCTION("SPLIT(I459,""-"")"),75224.0)</f>
        <v>75224</v>
      </c>
    </row>
    <row r="460">
      <c r="A460" s="10" t="s">
        <v>467</v>
      </c>
      <c r="B460" s="11">
        <v>150.0</v>
      </c>
      <c r="C460" s="12" t="s">
        <v>106</v>
      </c>
      <c r="E460" s="8" t="str">
        <f>IFERROR(__xludf.DUMMYFUNCTION("SPLIT(A460,""TX"")"),"Valtierra, Frank
1406 Mariano Plaza
Dallas, ")</f>
        <v>Valtierra, Frank
1406 Mariano Plaza
Dallas, </v>
      </c>
      <c r="F460" s="8">
        <f>IFERROR(__xludf.DUMMYFUNCTION("""COMPUTED_VALUE"""),75211.0)</f>
        <v>75211</v>
      </c>
      <c r="I460" s="8">
        <f t="shared" si="6"/>
        <v>75211</v>
      </c>
      <c r="J460" s="9">
        <f>IFERROR(__xludf.DUMMYFUNCTION("SPLIT(I460,""-"")"),75211.0)</f>
        <v>75211</v>
      </c>
    </row>
    <row r="461">
      <c r="A461" s="5" t="s">
        <v>468</v>
      </c>
      <c r="B461" s="6">
        <v>50.0</v>
      </c>
      <c r="C461" s="7" t="s">
        <v>106</v>
      </c>
      <c r="E461" s="8" t="str">
        <f>IFERROR(__xludf.DUMMYFUNCTION("SPLIT(A461,""TX"")"),"Betzen, Bill
6717 Cliffwood Drive
Dallas, ")</f>
        <v>Betzen, Bill
6717 Cliffwood Drive
Dallas, </v>
      </c>
      <c r="F461" s="8">
        <f>IFERROR(__xludf.DUMMYFUNCTION("""COMPUTED_VALUE"""),75237.0)</f>
        <v>75237</v>
      </c>
      <c r="I461" s="8">
        <f t="shared" si="6"/>
        <v>75237</v>
      </c>
      <c r="J461" s="9">
        <f>IFERROR(__xludf.DUMMYFUNCTION("SPLIT(I461,""-"")"),75237.0)</f>
        <v>75237</v>
      </c>
    </row>
    <row r="462">
      <c r="A462" s="10" t="s">
        <v>469</v>
      </c>
      <c r="B462" s="11">
        <v>50.0</v>
      </c>
      <c r="C462" s="12" t="s">
        <v>106</v>
      </c>
      <c r="E462" s="8" t="str">
        <f>IFERROR(__xludf.DUMMYFUNCTION("SPLIT(A462,""TX"")"),"Champion, Stephanie
1842 McBroom St
Dallas, ")</f>
        <v>Champion, Stephanie
1842 McBroom St
Dallas, </v>
      </c>
      <c r="F462" s="8">
        <f>IFERROR(__xludf.DUMMYFUNCTION("""COMPUTED_VALUE"""),75212.0)</f>
        <v>75212</v>
      </c>
      <c r="I462" s="8">
        <f t="shared" si="6"/>
        <v>75212</v>
      </c>
      <c r="J462" s="9">
        <f>IFERROR(__xludf.DUMMYFUNCTION("SPLIT(I462,""-"")"),75212.0)</f>
        <v>75212</v>
      </c>
    </row>
    <row r="463">
      <c r="A463" s="5" t="s">
        <v>470</v>
      </c>
      <c r="B463" s="6">
        <v>100.0</v>
      </c>
      <c r="C463" s="7" t="s">
        <v>106</v>
      </c>
      <c r="E463" s="8" t="str">
        <f>IFERROR(__xludf.DUMMYFUNCTION("SPLIT(A463,""TX"")"),"Angeles, Peter
832 Crooked Creek Ln
Desoto, ")</f>
        <v>Angeles, Peter
832 Crooked Creek Ln
Desoto, </v>
      </c>
      <c r="F463" s="8">
        <f>IFERROR(__xludf.DUMMYFUNCTION("""COMPUTED_VALUE"""),75115.0)</f>
        <v>75115</v>
      </c>
      <c r="I463" s="8">
        <f t="shared" si="6"/>
        <v>75115</v>
      </c>
      <c r="J463" s="9">
        <f>IFERROR(__xludf.DUMMYFUNCTION("SPLIT(I463,""-"")"),75115.0)</f>
        <v>75115</v>
      </c>
    </row>
    <row r="464">
      <c r="A464" s="10" t="s">
        <v>471</v>
      </c>
      <c r="B464" s="11">
        <v>25.0</v>
      </c>
      <c r="C464" s="12" t="s">
        <v>106</v>
      </c>
      <c r="E464" s="8" t="str">
        <f>IFERROR(__xludf.DUMMYFUNCTION("SPLIT(A464,""TX"")"),"Angeles, Jonathan
4748 St. Francis Ave
Dallas, ")</f>
        <v>Angeles, Jonathan
4748 St. Francis Ave
Dallas, </v>
      </c>
      <c r="F464" s="8">
        <f>IFERROR(__xludf.DUMMYFUNCTION("""COMPUTED_VALUE"""),75227.0)</f>
        <v>75227</v>
      </c>
      <c r="I464" s="8">
        <f t="shared" si="6"/>
        <v>75227</v>
      </c>
      <c r="J464" s="9">
        <f>IFERROR(__xludf.DUMMYFUNCTION("SPLIT(I464,""-"")"),75227.0)</f>
        <v>75227</v>
      </c>
    </row>
    <row r="465">
      <c r="A465" s="5" t="s">
        <v>472</v>
      </c>
      <c r="B465" s="6">
        <v>20.0</v>
      </c>
      <c r="C465" s="7" t="s">
        <v>106</v>
      </c>
      <c r="E465" s="8" t="str">
        <f>IFERROR(__xludf.DUMMYFUNCTION("SPLIT(A465,""TX"")"),"Alkhatib, Yousef
3524 Omar Lane
Plano, ")</f>
        <v>Alkhatib, Yousef
3524 Omar Lane
Plano, </v>
      </c>
      <c r="F465" s="8">
        <f>IFERROR(__xludf.DUMMYFUNCTION("""COMPUTED_VALUE"""),75023.0)</f>
        <v>75023</v>
      </c>
      <c r="I465" s="8">
        <f t="shared" si="6"/>
        <v>75023</v>
      </c>
      <c r="J465" s="9">
        <f>IFERROR(__xludf.DUMMYFUNCTION("SPLIT(I465,""-"")"),75023.0)</f>
        <v>75023</v>
      </c>
    </row>
    <row r="466">
      <c r="A466" s="10" t="s">
        <v>473</v>
      </c>
      <c r="B466" s="11">
        <v>50.0</v>
      </c>
      <c r="C466" s="12" t="s">
        <v>106</v>
      </c>
      <c r="E466" s="8" t="str">
        <f>IFERROR(__xludf.DUMMYFUNCTION("SPLIT(A466,""TX"")"),"Rosas, Mari
2929 Larkspur Lane
Dallas, ")</f>
        <v>Rosas, Mari
2929 Larkspur Lane
Dallas, </v>
      </c>
      <c r="F466" s="8">
        <f>IFERROR(__xludf.DUMMYFUNCTION("""COMPUTED_VALUE"""),75233.0)</f>
        <v>75233</v>
      </c>
      <c r="I466" s="8">
        <f t="shared" si="6"/>
        <v>75233</v>
      </c>
      <c r="J466" s="9">
        <f>IFERROR(__xludf.DUMMYFUNCTION("SPLIT(I466,""-"")"),75233.0)</f>
        <v>75233</v>
      </c>
    </row>
    <row r="467">
      <c r="A467" s="5" t="s">
        <v>474</v>
      </c>
      <c r="B467" s="6">
        <v>25.0</v>
      </c>
      <c r="C467" s="7" t="s">
        <v>106</v>
      </c>
      <c r="E467" s="8" t="str">
        <f>IFERROR(__xludf.DUMMYFUNCTION("SPLIT(A467,""TX"")"),"Del Bosque, Isaac
3327 Kiesthill Dr
Dallas, ")</f>
        <v>Del Bosque, Isaac
3327 Kiesthill Dr
Dallas, </v>
      </c>
      <c r="F467" s="8">
        <f>IFERROR(__xludf.DUMMYFUNCTION("""COMPUTED_VALUE"""),75233.0)</f>
        <v>75233</v>
      </c>
      <c r="I467" s="8">
        <f t="shared" si="6"/>
        <v>75233</v>
      </c>
      <c r="J467" s="9">
        <f>IFERROR(__xludf.DUMMYFUNCTION("SPLIT(I467,""-"")"),75233.0)</f>
        <v>75233</v>
      </c>
    </row>
    <row r="468">
      <c r="A468" s="10" t="s">
        <v>475</v>
      </c>
      <c r="B468" s="11">
        <v>20.0</v>
      </c>
      <c r="C468" s="12" t="s">
        <v>106</v>
      </c>
      <c r="E468" s="8" t="str">
        <f>IFERROR(__xludf.DUMMYFUNCTION("SPLIT(A468,""TX"")"),"Castillo, Cynthia
3619 ")</f>
        <v>Castillo, Cynthia
3619 </v>
      </c>
      <c r="F468" s="8" t="str">
        <f>IFERROR(__xludf.DUMMYFUNCTION("""COMPUTED_VALUE"""),"exas Drive
Dallas, ")</f>
        <v>exas Drive
Dallas, </v>
      </c>
      <c r="G468" s="8">
        <f>IFERROR(__xludf.DUMMYFUNCTION("""COMPUTED_VALUE"""),75211.0)</f>
        <v>75211</v>
      </c>
      <c r="I468" s="8">
        <f t="shared" si="6"/>
        <v>75211</v>
      </c>
      <c r="J468" s="9">
        <f>IFERROR(__xludf.DUMMYFUNCTION("SPLIT(I468,""-"")"),75211.0)</f>
        <v>75211</v>
      </c>
    </row>
    <row r="469">
      <c r="A469" s="5" t="s">
        <v>476</v>
      </c>
      <c r="B469" s="6">
        <v>50.0</v>
      </c>
      <c r="C469" s="7" t="s">
        <v>106</v>
      </c>
      <c r="E469" s="8" t="str">
        <f>IFERROR(__xludf.DUMMYFUNCTION("SPLIT(A469,""TX"")"),"Robles, Christopher
931 Whitehall Dr
Richardson, ")</f>
        <v>Robles, Christopher
931 Whitehall Dr
Richardson, </v>
      </c>
      <c r="F469" s="8">
        <f>IFERROR(__xludf.DUMMYFUNCTION("""COMPUTED_VALUE"""),75081.0)</f>
        <v>75081</v>
      </c>
      <c r="I469" s="8">
        <f t="shared" si="6"/>
        <v>75081</v>
      </c>
      <c r="J469" s="9">
        <f>IFERROR(__xludf.DUMMYFUNCTION("SPLIT(I469,""-"")"),75081.0)</f>
        <v>75081</v>
      </c>
    </row>
    <row r="470">
      <c r="A470" s="10" t="s">
        <v>477</v>
      </c>
      <c r="B470" s="11">
        <v>50.0</v>
      </c>
      <c r="C470" s="12" t="s">
        <v>106</v>
      </c>
      <c r="E470" s="8" t="str">
        <f>IFERROR(__xludf.DUMMYFUNCTION("SPLIT(A470,""TX"")"),"De Los Santos, Renato
918 Carriage Way
Duncanville, ")</f>
        <v>De Los Santos, Renato
918 Carriage Way
Duncanville, </v>
      </c>
      <c r="F470" s="8">
        <f>IFERROR(__xludf.DUMMYFUNCTION("""COMPUTED_VALUE"""),75137.0)</f>
        <v>75137</v>
      </c>
      <c r="I470" s="8">
        <f t="shared" si="6"/>
        <v>75137</v>
      </c>
      <c r="J470" s="9">
        <f>IFERROR(__xludf.DUMMYFUNCTION("SPLIT(I470,""-"")"),75137.0)</f>
        <v>75137</v>
      </c>
    </row>
    <row r="471">
      <c r="A471" s="5" t="s">
        <v>478</v>
      </c>
      <c r="B471" s="6">
        <v>20.0</v>
      </c>
      <c r="C471" s="7" t="s">
        <v>106</v>
      </c>
      <c r="E471" s="8" t="str">
        <f>IFERROR(__xludf.DUMMYFUNCTION("SPLIT(A471,""TX"")"),"Panjwani, Aashish
3009 Hereford Dr
Lewisville, ")</f>
        <v>Panjwani, Aashish
3009 Hereford Dr
Lewisville, </v>
      </c>
      <c r="F471" s="8">
        <f>IFERROR(__xludf.DUMMYFUNCTION("""COMPUTED_VALUE"""),75056.0)</f>
        <v>75056</v>
      </c>
      <c r="I471" s="8">
        <f t="shared" si="6"/>
        <v>75056</v>
      </c>
      <c r="J471" s="9">
        <f>IFERROR(__xludf.DUMMYFUNCTION("SPLIT(I471,""-"")"),75056.0)</f>
        <v>75056</v>
      </c>
    </row>
    <row r="472">
      <c r="A472" s="10" t="s">
        <v>105</v>
      </c>
      <c r="B472" s="11">
        <v>20.0</v>
      </c>
      <c r="C472" s="12" t="s">
        <v>106</v>
      </c>
      <c r="E472" s="8" t="str">
        <f>IFERROR(__xludf.DUMMYFUNCTION("SPLIT(A472,""TX"")"),"Miles, Kayla
404 North Winnetka Avenue
Dallas, ")</f>
        <v>Miles, Kayla
404 North Winnetka Avenue
Dallas, </v>
      </c>
      <c r="F472" s="8">
        <f>IFERROR(__xludf.DUMMYFUNCTION("""COMPUTED_VALUE"""),75208.0)</f>
        <v>75208</v>
      </c>
      <c r="I472" s="8">
        <f t="shared" si="6"/>
        <v>75208</v>
      </c>
      <c r="J472" s="9">
        <f>IFERROR(__xludf.DUMMYFUNCTION("SPLIT(I472,""-"")"),75208.0)</f>
        <v>75208</v>
      </c>
    </row>
    <row r="473">
      <c r="A473" s="5" t="s">
        <v>479</v>
      </c>
      <c r="B473" s="6">
        <v>50.0</v>
      </c>
      <c r="C473" s="7" t="s">
        <v>106</v>
      </c>
      <c r="E473" s="8" t="str">
        <f>IFERROR(__xludf.DUMMYFUNCTION("SPLIT(A473,""TX"")"),"Gonzales, Linda
247 East Corporate Drive
Lewisville, ")</f>
        <v>Gonzales, Linda
247 East Corporate Drive
Lewisville, </v>
      </c>
      <c r="F473" s="8">
        <f>IFERROR(__xludf.DUMMYFUNCTION("""COMPUTED_VALUE"""),75067.0)</f>
        <v>75067</v>
      </c>
      <c r="I473" s="8">
        <f t="shared" si="6"/>
        <v>75067</v>
      </c>
      <c r="J473" s="9">
        <f>IFERROR(__xludf.DUMMYFUNCTION("SPLIT(I473,""-"")"),75067.0)</f>
        <v>75067</v>
      </c>
    </row>
    <row r="474">
      <c r="A474" s="10" t="s">
        <v>480</v>
      </c>
      <c r="B474" s="11">
        <v>20.0</v>
      </c>
      <c r="C474" s="12" t="s">
        <v>106</v>
      </c>
      <c r="E474" s="8" t="str">
        <f>IFERROR(__xludf.DUMMYFUNCTION("SPLIT(A474,""TX"")"),"Estelle, Frances
914 Nolte Drive
Dallas, ")</f>
        <v>Estelle, Frances
914 Nolte Drive
Dallas, </v>
      </c>
      <c r="F474" s="8">
        <f>IFERROR(__xludf.DUMMYFUNCTION("""COMPUTED_VALUE"""),75208.0)</f>
        <v>75208</v>
      </c>
      <c r="I474" s="8">
        <f t="shared" si="6"/>
        <v>75208</v>
      </c>
      <c r="J474" s="9">
        <f>IFERROR(__xludf.DUMMYFUNCTION("SPLIT(I474,""-"")"),75208.0)</f>
        <v>75208</v>
      </c>
    </row>
    <row r="475">
      <c r="A475" s="5" t="s">
        <v>478</v>
      </c>
      <c r="B475" s="6">
        <v>100.0</v>
      </c>
      <c r="C475" s="7" t="s">
        <v>106</v>
      </c>
      <c r="E475" s="8" t="str">
        <f>IFERROR(__xludf.DUMMYFUNCTION("SPLIT(A475,""TX"")"),"Panjwani, Aashish
3009 Hereford Dr
Lewisville, ")</f>
        <v>Panjwani, Aashish
3009 Hereford Dr
Lewisville, </v>
      </c>
      <c r="F475" s="8">
        <f>IFERROR(__xludf.DUMMYFUNCTION("""COMPUTED_VALUE"""),75056.0)</f>
        <v>75056</v>
      </c>
      <c r="I475" s="8">
        <f t="shared" si="6"/>
        <v>75056</v>
      </c>
      <c r="J475" s="9">
        <f>IFERROR(__xludf.DUMMYFUNCTION("SPLIT(I475,""-"")"),75056.0)</f>
        <v>75056</v>
      </c>
    </row>
    <row r="476">
      <c r="A476" s="10" t="s">
        <v>481</v>
      </c>
      <c r="B476" s="11">
        <v>20.0</v>
      </c>
      <c r="C476" s="12" t="s">
        <v>106</v>
      </c>
      <c r="E476" s="8" t="str">
        <f>IFERROR(__xludf.DUMMYFUNCTION("SPLIT(A476,""TX"")"),"Romero, Angel
2235 Carnes St
Dallas, ")</f>
        <v>Romero, Angel
2235 Carnes St
Dallas, </v>
      </c>
      <c r="F476" s="8">
        <f>IFERROR(__xludf.DUMMYFUNCTION("""COMPUTED_VALUE"""),75208.0)</f>
        <v>75208</v>
      </c>
      <c r="I476" s="8">
        <f t="shared" si="6"/>
        <v>75208</v>
      </c>
      <c r="J476" s="9">
        <f>IFERROR(__xludf.DUMMYFUNCTION("SPLIT(I476,""-"")"),75208.0)</f>
        <v>75208</v>
      </c>
    </row>
    <row r="477">
      <c r="A477" s="5" t="s">
        <v>482</v>
      </c>
      <c r="B477" s="6">
        <v>50.0</v>
      </c>
      <c r="C477" s="7" t="s">
        <v>106</v>
      </c>
      <c r="E477" s="8" t="str">
        <f>IFERROR(__xludf.DUMMYFUNCTION("SPLIT(A477,""TX"")"),"Alfadil, Fahad
8105 Hermisillo Ct
Arlington, ")</f>
        <v>Alfadil, Fahad
8105 Hermisillo Ct
Arlington, </v>
      </c>
      <c r="F477" s="8">
        <f>IFERROR(__xludf.DUMMYFUNCTION("""COMPUTED_VALUE"""),76002.0)</f>
        <v>76002</v>
      </c>
      <c r="I477" s="8">
        <f t="shared" si="6"/>
        <v>76002</v>
      </c>
      <c r="J477" s="9">
        <f>IFERROR(__xludf.DUMMYFUNCTION("SPLIT(I477,""-"")"),76002.0)</f>
        <v>76002</v>
      </c>
    </row>
    <row r="478">
      <c r="A478" s="10" t="s">
        <v>483</v>
      </c>
      <c r="B478" s="11">
        <v>100.0</v>
      </c>
      <c r="C478" s="12" t="s">
        <v>106</v>
      </c>
      <c r="E478" s="8" t="str">
        <f>IFERROR(__xludf.DUMMYFUNCTION("SPLIT(A478,""TX"")"),"Mooti, Rami
8709 Gladwood Lane
Dallas, ")</f>
        <v>Mooti, Rami
8709 Gladwood Lane
Dallas, </v>
      </c>
      <c r="F478" s="8">
        <f>IFERROR(__xludf.DUMMYFUNCTION("""COMPUTED_VALUE"""),75243.0)</f>
        <v>75243</v>
      </c>
      <c r="I478" s="8">
        <f t="shared" si="6"/>
        <v>75243</v>
      </c>
      <c r="J478" s="9">
        <f>IFERROR(__xludf.DUMMYFUNCTION("SPLIT(I478,""-"")"),75243.0)</f>
        <v>75243</v>
      </c>
    </row>
    <row r="479">
      <c r="A479" s="5" t="s">
        <v>484</v>
      </c>
      <c r="B479" s="6">
        <v>20.0</v>
      </c>
      <c r="C479" s="7" t="s">
        <v>106</v>
      </c>
      <c r="E479" s="8" t="str">
        <f>IFERROR(__xludf.DUMMYFUNCTION("SPLIT(A479,""TX"")"),"Lozano, Devin
223 Melba St
Dallas, ")</f>
        <v>Lozano, Devin
223 Melba St
Dallas, </v>
      </c>
      <c r="F479" s="8">
        <f>IFERROR(__xludf.DUMMYFUNCTION("""COMPUTED_VALUE"""),75208.0)</f>
        <v>75208</v>
      </c>
      <c r="I479" s="8">
        <f t="shared" si="6"/>
        <v>75208</v>
      </c>
      <c r="J479" s="9">
        <f>IFERROR(__xludf.DUMMYFUNCTION("SPLIT(I479,""-"")"),75208.0)</f>
        <v>75208</v>
      </c>
    </row>
    <row r="480">
      <c r="A480" s="10" t="s">
        <v>485</v>
      </c>
      <c r="B480" s="11">
        <v>50.0</v>
      </c>
      <c r="C480" s="12" t="s">
        <v>106</v>
      </c>
      <c r="E480" s="8" t="str">
        <f>IFERROR(__xludf.DUMMYFUNCTION("SPLIT(A480,""TX"")"),"Velez, Eduardo
704 South Clinton Avenue
Dallas, ")</f>
        <v>Velez, Eduardo
704 South Clinton Avenue
Dallas, </v>
      </c>
      <c r="F480" s="8">
        <f>IFERROR(__xludf.DUMMYFUNCTION("""COMPUTED_VALUE"""),75208.0)</f>
        <v>75208</v>
      </c>
      <c r="I480" s="8">
        <f t="shared" si="6"/>
        <v>75208</v>
      </c>
      <c r="J480" s="9">
        <f>IFERROR(__xludf.DUMMYFUNCTION("SPLIT(I480,""-"")"),75208.0)</f>
        <v>75208</v>
      </c>
    </row>
    <row r="481">
      <c r="A481" s="5" t="s">
        <v>486</v>
      </c>
      <c r="B481" s="6">
        <v>10.0</v>
      </c>
      <c r="C481" s="7" t="s">
        <v>106</v>
      </c>
      <c r="E481" s="8" t="str">
        <f>IFERROR(__xludf.DUMMYFUNCTION("SPLIT(A481,""TX"")"),"Graciano, Rodrigo
4605 Western Oaks Dr
Dallas, ")</f>
        <v>Graciano, Rodrigo
4605 Western Oaks Dr
Dallas, </v>
      </c>
      <c r="F481" s="8">
        <f>IFERROR(__xludf.DUMMYFUNCTION("""COMPUTED_VALUE"""),75211.0)</f>
        <v>75211</v>
      </c>
      <c r="I481" s="8">
        <f t="shared" si="6"/>
        <v>75211</v>
      </c>
      <c r="J481" s="9">
        <f>IFERROR(__xludf.DUMMYFUNCTION("SPLIT(I481,""-"")"),75211.0)</f>
        <v>75211</v>
      </c>
    </row>
    <row r="482">
      <c r="A482" s="10" t="s">
        <v>487</v>
      </c>
      <c r="B482" s="11">
        <v>100.0</v>
      </c>
      <c r="C482" s="12" t="s">
        <v>106</v>
      </c>
      <c r="E482" s="8" t="str">
        <f>IFERROR(__xludf.DUMMYFUNCTION("SPLIT(A482,""TX"")"),"Rutledge, John
1426 S Oak Cliff Blvd
Dallas, ")</f>
        <v>Rutledge, John
1426 S Oak Cliff Blvd
Dallas, </v>
      </c>
      <c r="F482" s="8">
        <f>IFERROR(__xludf.DUMMYFUNCTION("""COMPUTED_VALUE"""),75208.0)</f>
        <v>75208</v>
      </c>
      <c r="I482" s="8">
        <f t="shared" si="6"/>
        <v>75208</v>
      </c>
      <c r="J482" s="9">
        <f>IFERROR(__xludf.DUMMYFUNCTION("SPLIT(I482,""-"")"),75208.0)</f>
        <v>75208</v>
      </c>
    </row>
    <row r="483">
      <c r="A483" s="5" t="s">
        <v>488</v>
      </c>
      <c r="B483" s="6">
        <v>25.0</v>
      </c>
      <c r="C483" s="7" t="s">
        <v>106</v>
      </c>
      <c r="E483" s="8" t="str">
        <f>IFERROR(__xludf.DUMMYFUNCTION("SPLIT(A483,""TX"")"),"Graciano, Oscar
4605 Western Oaks Dr
Dallas, ")</f>
        <v>Graciano, Oscar
4605 Western Oaks Dr
Dallas, </v>
      </c>
      <c r="F483" s="8">
        <f>IFERROR(__xludf.DUMMYFUNCTION("""COMPUTED_VALUE"""),75211.0)</f>
        <v>75211</v>
      </c>
      <c r="I483" s="8">
        <f t="shared" si="6"/>
        <v>75211</v>
      </c>
      <c r="J483" s="9">
        <f>IFERROR(__xludf.DUMMYFUNCTION("SPLIT(I483,""-"")"),75211.0)</f>
        <v>75211</v>
      </c>
    </row>
    <row r="484">
      <c r="A484" s="10" t="s">
        <v>489</v>
      </c>
      <c r="B484" s="11">
        <v>20.0</v>
      </c>
      <c r="C484" s="12" t="s">
        <v>106</v>
      </c>
      <c r="E484" s="8" t="str">
        <f>IFERROR(__xludf.DUMMYFUNCTION("SPLIT(A484,""TX"")"),"Moran, Erik
441 W Suffolk ave
Dallas, ")</f>
        <v>Moran, Erik
441 W Suffolk ave
Dallas, </v>
      </c>
      <c r="F484" s="8">
        <f>IFERROR(__xludf.DUMMYFUNCTION("""COMPUTED_VALUE"""),75208.0)</f>
        <v>75208</v>
      </c>
      <c r="I484" s="8">
        <f t="shared" si="6"/>
        <v>75208</v>
      </c>
      <c r="J484" s="9">
        <f>IFERROR(__xludf.DUMMYFUNCTION("SPLIT(I484,""-"")"),75208.0)</f>
        <v>75208</v>
      </c>
    </row>
    <row r="485">
      <c r="A485" s="5" t="s">
        <v>490</v>
      </c>
      <c r="B485" s="6">
        <v>50.0</v>
      </c>
      <c r="C485" s="7" t="s">
        <v>106</v>
      </c>
      <c r="E485" s="8" t="str">
        <f>IFERROR(__xludf.DUMMYFUNCTION("SPLIT(A485,""TX"")"),"Moncada, Anastasia
908 Dale Street
Dallas, ")</f>
        <v>Moncada, Anastasia
908 Dale Street
Dallas, </v>
      </c>
      <c r="F485" s="8">
        <f>IFERROR(__xludf.DUMMYFUNCTION("""COMPUTED_VALUE"""),75203.0)</f>
        <v>75203</v>
      </c>
      <c r="I485" s="8">
        <f t="shared" si="6"/>
        <v>75203</v>
      </c>
      <c r="J485" s="9">
        <f>IFERROR(__xludf.DUMMYFUNCTION("SPLIT(I485,""-"")"),75203.0)</f>
        <v>75203</v>
      </c>
    </row>
    <row r="486">
      <c r="A486" s="10" t="s">
        <v>491</v>
      </c>
      <c r="B486" s="11">
        <v>200.0</v>
      </c>
      <c r="C486" s="12" t="s">
        <v>106</v>
      </c>
      <c r="E486" s="8" t="str">
        <f>IFERROR(__xludf.DUMMYFUNCTION("SPLIT(A486,""TX"")"),"Amaya, Hector
1106 Susan Dr
Garland, ")</f>
        <v>Amaya, Hector
1106 Susan Dr
Garland, </v>
      </c>
      <c r="F486" s="8">
        <f>IFERROR(__xludf.DUMMYFUNCTION("""COMPUTED_VALUE"""),75040.0)</f>
        <v>75040</v>
      </c>
      <c r="I486" s="8">
        <f t="shared" si="6"/>
        <v>75040</v>
      </c>
      <c r="J486" s="9">
        <f>IFERROR(__xludf.DUMMYFUNCTION("SPLIT(I486,""-"")"),75040.0)</f>
        <v>75040</v>
      </c>
    </row>
    <row r="487">
      <c r="A487" s="5" t="s">
        <v>492</v>
      </c>
      <c r="B487" s="6">
        <v>10.0</v>
      </c>
      <c r="C487" s="7" t="s">
        <v>106</v>
      </c>
      <c r="E487" s="8" t="str">
        <f>IFERROR(__xludf.DUMMYFUNCTION("SPLIT(A487,""TX"")"),"Fuentes, Juanita
1819 Boyd St
Dallas, ")</f>
        <v>Fuentes, Juanita
1819 Boyd St
Dallas, </v>
      </c>
      <c r="F487" s="8">
        <f>IFERROR(__xludf.DUMMYFUNCTION("""COMPUTED_VALUE"""),75224.0)</f>
        <v>75224</v>
      </c>
      <c r="I487" s="8">
        <f t="shared" si="6"/>
        <v>75224</v>
      </c>
      <c r="J487" s="9">
        <f>IFERROR(__xludf.DUMMYFUNCTION("SPLIT(I487,""-"")"),75224.0)</f>
        <v>75224</v>
      </c>
    </row>
    <row r="488">
      <c r="A488" s="10" t="s">
        <v>493</v>
      </c>
      <c r="B488" s="11">
        <v>10.0</v>
      </c>
      <c r="C488" s="12" t="s">
        <v>106</v>
      </c>
      <c r="E488" s="8" t="str">
        <f>IFERROR(__xludf.DUMMYFUNCTION("SPLIT(A488,""TX"")"),"Kumler, Joshua
1715 Berkley Avenue
Dallas, ")</f>
        <v>Kumler, Joshua
1715 Berkley Avenue
Dallas, </v>
      </c>
      <c r="F488" s="8">
        <f>IFERROR(__xludf.DUMMYFUNCTION("""COMPUTED_VALUE"""),75224.0)</f>
        <v>75224</v>
      </c>
      <c r="I488" s="8">
        <f t="shared" si="6"/>
        <v>75224</v>
      </c>
      <c r="J488" s="9">
        <f>IFERROR(__xludf.DUMMYFUNCTION("SPLIT(I488,""-"")"),75224.0)</f>
        <v>75224</v>
      </c>
    </row>
    <row r="489">
      <c r="A489" s="5" t="s">
        <v>494</v>
      </c>
      <c r="B489" s="6">
        <v>75.0</v>
      </c>
      <c r="C489" s="7" t="s">
        <v>106</v>
      </c>
      <c r="E489" s="8" t="str">
        <f>IFERROR(__xludf.DUMMYFUNCTION("SPLIT(A489,""TX"")"),"Rodriguez, Damien
14826 Academy Oak
San Antonio, ")</f>
        <v>Rodriguez, Damien
14826 Academy Oak
San Antonio, </v>
      </c>
      <c r="F489" s="8">
        <f>IFERROR(__xludf.DUMMYFUNCTION("""COMPUTED_VALUE"""),78247.0)</f>
        <v>78247</v>
      </c>
      <c r="I489" s="8">
        <f t="shared" si="6"/>
        <v>78247</v>
      </c>
      <c r="J489" s="9">
        <f>IFERROR(__xludf.DUMMYFUNCTION("SPLIT(I489,""-"")"),78247.0)</f>
        <v>78247</v>
      </c>
    </row>
    <row r="490">
      <c r="A490" s="10" t="s">
        <v>495</v>
      </c>
      <c r="B490" s="11">
        <v>25.0</v>
      </c>
      <c r="C490" s="12" t="s">
        <v>106</v>
      </c>
      <c r="E490" s="8" t="str">
        <f>IFERROR(__xludf.DUMMYFUNCTION("SPLIT(A490,""TX"")"),"Ramirez, Andrea
4650 FM 1863
Bulverde, ")</f>
        <v>Ramirez, Andrea
4650 FM 1863
Bulverde, </v>
      </c>
      <c r="F490" s="8">
        <f>IFERROR(__xludf.DUMMYFUNCTION("""COMPUTED_VALUE"""),78163.0)</f>
        <v>78163</v>
      </c>
      <c r="I490" s="8">
        <f t="shared" si="6"/>
        <v>78163</v>
      </c>
      <c r="J490" s="9">
        <f>IFERROR(__xludf.DUMMYFUNCTION("SPLIT(I490,""-"")"),78163.0)</f>
        <v>78163</v>
      </c>
    </row>
    <row r="491">
      <c r="A491" s="5" t="s">
        <v>496</v>
      </c>
      <c r="B491" s="6">
        <v>20.0</v>
      </c>
      <c r="C491" s="7" t="s">
        <v>106</v>
      </c>
      <c r="E491" s="8" t="str">
        <f>IFERROR(__xludf.DUMMYFUNCTION("SPLIT(A491,""TX"")"),"Anderson, Justin
6831 Loupe Ln
Missouri City, ")</f>
        <v>Anderson, Justin
6831 Loupe Ln
Missouri City, </v>
      </c>
      <c r="F491" s="8">
        <f>IFERROR(__xludf.DUMMYFUNCTION("""COMPUTED_VALUE"""),77459.0)</f>
        <v>77459</v>
      </c>
      <c r="I491" s="8">
        <f t="shared" si="6"/>
        <v>77459</v>
      </c>
      <c r="J491" s="9">
        <f>IFERROR(__xludf.DUMMYFUNCTION("SPLIT(I491,""-"")"),77459.0)</f>
        <v>77459</v>
      </c>
    </row>
    <row r="492">
      <c r="A492" s="10" t="s">
        <v>497</v>
      </c>
      <c r="B492" s="11">
        <v>20.0</v>
      </c>
      <c r="C492" s="12" t="s">
        <v>106</v>
      </c>
      <c r="E492" s="8" t="str">
        <f>IFERROR(__xludf.DUMMYFUNCTION("SPLIT(A492,""TX"")"),"Ornelas, Alison
2719 Emmett St.
Dallas, ")</f>
        <v>Ornelas, Alison
2719 Emmett St.
Dallas, </v>
      </c>
      <c r="F492" s="8">
        <f>IFERROR(__xludf.DUMMYFUNCTION("""COMPUTED_VALUE"""),75211.0)</f>
        <v>75211</v>
      </c>
      <c r="I492" s="8">
        <f t="shared" si="6"/>
        <v>75211</v>
      </c>
      <c r="J492" s="9">
        <f>IFERROR(__xludf.DUMMYFUNCTION("SPLIT(I492,""-"")"),75211.0)</f>
        <v>75211</v>
      </c>
    </row>
    <row r="493">
      <c r="A493" s="5" t="s">
        <v>498</v>
      </c>
      <c r="B493" s="6">
        <v>100.0</v>
      </c>
      <c r="C493" s="7" t="s">
        <v>106</v>
      </c>
      <c r="E493" s="8" t="str">
        <f>IFERROR(__xludf.DUMMYFUNCTION("SPLIT(A493,""TX"")"),"Delgado, ")</f>
        <v>Delgado, </v>
      </c>
      <c r="F493" s="8" t="str">
        <f>IFERROR(__xludf.DUMMYFUNCTION("""COMPUTED_VALUE"""),"eresita
2434 Searcy Dr
Dallas, ")</f>
        <v>eresita
2434 Searcy Dr
Dallas, </v>
      </c>
      <c r="G493" s="8">
        <f>IFERROR(__xludf.DUMMYFUNCTION("""COMPUTED_VALUE"""),75211.0)</f>
        <v>75211</v>
      </c>
      <c r="I493" s="8">
        <f t="shared" si="6"/>
        <v>75211</v>
      </c>
      <c r="J493" s="9">
        <f>IFERROR(__xludf.DUMMYFUNCTION("SPLIT(I493,""-"")"),75211.0)</f>
        <v>75211</v>
      </c>
    </row>
    <row r="494">
      <c r="A494" s="10" t="s">
        <v>499</v>
      </c>
      <c r="B494" s="11">
        <v>20.0</v>
      </c>
      <c r="C494" s="12" t="s">
        <v>106</v>
      </c>
      <c r="E494" s="8" t="str">
        <f>IFERROR(__xludf.DUMMYFUNCTION("SPLIT(A494,""TX"")"),"Guadian, Jonathan
202 South Willomet Avenue
Dallas, ")</f>
        <v>Guadian, Jonathan
202 South Willomet Avenue
Dallas, </v>
      </c>
      <c r="F494" s="8">
        <f>IFERROR(__xludf.DUMMYFUNCTION("""COMPUTED_VALUE"""),75208.0)</f>
        <v>75208</v>
      </c>
      <c r="I494" s="8">
        <f t="shared" si="6"/>
        <v>75208</v>
      </c>
      <c r="J494" s="9">
        <f>IFERROR(__xludf.DUMMYFUNCTION("SPLIT(I494,""-"")"),75208.0)</f>
        <v>75208</v>
      </c>
    </row>
    <row r="495">
      <c r="A495" s="5" t="s">
        <v>500</v>
      </c>
      <c r="B495" s="6">
        <v>20.0</v>
      </c>
      <c r="C495" s="7" t="s">
        <v>106</v>
      </c>
      <c r="E495" s="8" t="str">
        <f>IFERROR(__xludf.DUMMYFUNCTION("SPLIT(A495,""TX"")"),"Hernandez, Helga
832 Haines Avenue
Dallas, ")</f>
        <v>Hernandez, Helga
832 Haines Avenue
Dallas, </v>
      </c>
      <c r="F495" s="8">
        <f>IFERROR(__xludf.DUMMYFUNCTION("""COMPUTED_VALUE"""),75208.0)</f>
        <v>75208</v>
      </c>
      <c r="I495" s="8">
        <f t="shared" si="6"/>
        <v>75208</v>
      </c>
      <c r="J495" s="9">
        <f>IFERROR(__xludf.DUMMYFUNCTION("SPLIT(I495,""-"")"),75208.0)</f>
        <v>75208</v>
      </c>
    </row>
    <row r="496">
      <c r="A496" s="10" t="s">
        <v>501</v>
      </c>
      <c r="B496" s="11">
        <v>10.0</v>
      </c>
      <c r="C496" s="12" t="s">
        <v>106</v>
      </c>
      <c r="E496" s="8" t="str">
        <f>IFERROR(__xludf.DUMMYFUNCTION("SPLIT(A496,""TX"")"),"ovar, Oscar
2611 Falls Drive
Dallas, ")</f>
        <v>ovar, Oscar
2611 Falls Drive
Dallas, </v>
      </c>
      <c r="F496" s="8">
        <f>IFERROR(__xludf.DUMMYFUNCTION("""COMPUTED_VALUE"""),75211.0)</f>
        <v>75211</v>
      </c>
      <c r="I496" s="8">
        <f t="shared" si="6"/>
        <v>75211</v>
      </c>
      <c r="J496" s="9">
        <f>IFERROR(__xludf.DUMMYFUNCTION("SPLIT(I496,""-"")"),75211.0)</f>
        <v>75211</v>
      </c>
    </row>
    <row r="497">
      <c r="A497" s="5" t="s">
        <v>502</v>
      </c>
      <c r="B497" s="6">
        <v>40.0</v>
      </c>
      <c r="C497" s="7" t="s">
        <v>106</v>
      </c>
      <c r="E497" s="8" t="str">
        <f>IFERROR(__xludf.DUMMYFUNCTION("SPLIT(A497,""TX"")"),"Monterrubio, Dulce
302 E 6th St
Dallas, ")</f>
        <v>Monterrubio, Dulce
302 E 6th St
Dallas, </v>
      </c>
      <c r="F497" s="8">
        <f>IFERROR(__xludf.DUMMYFUNCTION("""COMPUTED_VALUE"""),75203.0)</f>
        <v>75203</v>
      </c>
      <c r="I497" s="8">
        <f t="shared" si="6"/>
        <v>75203</v>
      </c>
      <c r="J497" s="9">
        <f>IFERROR(__xludf.DUMMYFUNCTION("SPLIT(I497,""-"")"),75203.0)</f>
        <v>75203</v>
      </c>
    </row>
    <row r="498">
      <c r="A498" s="10" t="s">
        <v>503</v>
      </c>
      <c r="B498" s="11">
        <v>250.0</v>
      </c>
      <c r="C498" s="12" t="s">
        <v>106</v>
      </c>
      <c r="E498" s="8" t="str">
        <f>IFERROR(__xludf.DUMMYFUNCTION("SPLIT(A498,""TX"")"),"Dockery, David
1110 South Polk Street
Dallas, ")</f>
        <v>Dockery, David
1110 South Polk Street
Dallas, </v>
      </c>
      <c r="F498" s="8">
        <f>IFERROR(__xludf.DUMMYFUNCTION("""COMPUTED_VALUE"""),75208.0)</f>
        <v>75208</v>
      </c>
      <c r="I498" s="8">
        <f t="shared" si="6"/>
        <v>75208</v>
      </c>
      <c r="J498" s="9">
        <f>IFERROR(__xludf.DUMMYFUNCTION("SPLIT(I498,""-"")"),75208.0)</f>
        <v>75208</v>
      </c>
    </row>
    <row r="499">
      <c r="A499" s="5" t="s">
        <v>504</v>
      </c>
      <c r="B499" s="6">
        <v>50.0</v>
      </c>
      <c r="C499" s="7" t="s">
        <v>106</v>
      </c>
      <c r="E499" s="8" t="str">
        <f>IFERROR(__xludf.DUMMYFUNCTION("SPLIT(A499,""TX"")"),"Iqbal, Salman
1042 W Byron St
Chicago, IL 60613")</f>
        <v>Iqbal, Salman
1042 W Byron St
Chicago, IL 60613</v>
      </c>
      <c r="I499" s="8" t="str">
        <f t="shared" si="6"/>
        <v/>
      </c>
      <c r="J499" s="9" t="str">
        <f>IFERROR(__xludf.DUMMYFUNCTION("SPLIT(I499,""-"")"),"#VALUE!")</f>
        <v>#VALUE!</v>
      </c>
    </row>
    <row r="500">
      <c r="A500" s="10" t="s">
        <v>505</v>
      </c>
      <c r="B500" s="11">
        <v>50.0</v>
      </c>
      <c r="C500" s="12" t="s">
        <v>106</v>
      </c>
      <c r="E500" s="8" t="str">
        <f>IFERROR(__xludf.DUMMYFUNCTION("SPLIT(A500,""TX"")"),"Hanson, Philip
1816 W Division St
Chicago, IL 60622")</f>
        <v>Hanson, Philip
1816 W Division St
Chicago, IL 60622</v>
      </c>
      <c r="I500" s="8" t="str">
        <f t="shared" si="6"/>
        <v/>
      </c>
      <c r="J500" s="9" t="str">
        <f>IFERROR(__xludf.DUMMYFUNCTION("SPLIT(I500,""-"")"),"#VALUE!")</f>
        <v>#VALUE!</v>
      </c>
    </row>
    <row r="501">
      <c r="A501" s="5" t="s">
        <v>506</v>
      </c>
      <c r="B501" s="6">
        <v>20.0</v>
      </c>
      <c r="C501" s="7" t="s">
        <v>106</v>
      </c>
      <c r="E501" s="8" t="str">
        <f>IFERROR(__xludf.DUMMYFUNCTION("SPLIT(A501,""TX"")"),"Mata, Eric
1500 North Fitzhugh Avenue
Dallas, ")</f>
        <v>Mata, Eric
1500 North Fitzhugh Avenue
Dallas, </v>
      </c>
      <c r="F501" s="8">
        <f>IFERROR(__xludf.DUMMYFUNCTION("""COMPUTED_VALUE"""),75204.0)</f>
        <v>75204</v>
      </c>
      <c r="I501" s="8">
        <f t="shared" si="6"/>
        <v>75204</v>
      </c>
      <c r="J501" s="9">
        <f>IFERROR(__xludf.DUMMYFUNCTION("SPLIT(I501,""-"")"),75204.0)</f>
        <v>75204</v>
      </c>
    </row>
    <row r="502">
      <c r="A502" s="10" t="s">
        <v>507</v>
      </c>
      <c r="B502" s="11">
        <v>500.0</v>
      </c>
      <c r="C502" s="12" t="s">
        <v>106</v>
      </c>
      <c r="E502" s="8" t="str">
        <f>IFERROR(__xludf.DUMMYFUNCTION("SPLIT(A502,""TX"")"),"Lagos, Sylvia
131 N Montclair Avenue
Dallas, ")</f>
        <v>Lagos, Sylvia
131 N Montclair Avenue
Dallas, </v>
      </c>
      <c r="F502" s="8">
        <f>IFERROR(__xludf.DUMMYFUNCTION("""COMPUTED_VALUE"""),75208.0)</f>
        <v>75208</v>
      </c>
      <c r="I502" s="8">
        <f t="shared" si="6"/>
        <v>75208</v>
      </c>
      <c r="J502" s="9">
        <f>IFERROR(__xludf.DUMMYFUNCTION("SPLIT(I502,""-"")"),75208.0)</f>
        <v>75208</v>
      </c>
    </row>
    <row r="503">
      <c r="A503" s="5" t="s">
        <v>508</v>
      </c>
      <c r="B503" s="6">
        <v>1000.0</v>
      </c>
      <c r="C503" s="7" t="s">
        <v>106</v>
      </c>
      <c r="E503" s="8" t="str">
        <f>IFERROR(__xludf.DUMMYFUNCTION("SPLIT(A503,""TX"")"),"Garcia, Domingo
1111 W Mockingbird Lane
Dallas, ")</f>
        <v>Garcia, Domingo
1111 W Mockingbird Lane
Dallas, </v>
      </c>
      <c r="F503" s="8">
        <f>IFERROR(__xludf.DUMMYFUNCTION("""COMPUTED_VALUE"""),75247.0)</f>
        <v>75247</v>
      </c>
      <c r="I503" s="8">
        <f t="shared" si="6"/>
        <v>75247</v>
      </c>
      <c r="J503" s="9">
        <f>IFERROR(__xludf.DUMMYFUNCTION("SPLIT(I503,""-"")"),75247.0)</f>
        <v>75247</v>
      </c>
    </row>
    <row r="504">
      <c r="A504" s="10" t="s">
        <v>509</v>
      </c>
      <c r="B504" s="11">
        <v>50.0</v>
      </c>
      <c r="C504" s="12" t="s">
        <v>106</v>
      </c>
      <c r="E504" s="8" t="str">
        <f>IFERROR(__xludf.DUMMYFUNCTION("SPLIT(A504,""TX"")"),"Leestma, Reid
2877 Ames Street
Wheat Ridge, CO 80214")</f>
        <v>Leestma, Reid
2877 Ames Street
Wheat Ridge, CO 80214</v>
      </c>
      <c r="I504" s="8" t="str">
        <f t="shared" si="6"/>
        <v/>
      </c>
      <c r="J504" s="9" t="str">
        <f>IFERROR(__xludf.DUMMYFUNCTION("SPLIT(I504,""-"")"),"#VALUE!")</f>
        <v>#VALUE!</v>
      </c>
    </row>
    <row r="505">
      <c r="A505" s="5" t="s">
        <v>510</v>
      </c>
      <c r="B505" s="6">
        <v>50.0</v>
      </c>
      <c r="C505" s="7" t="s">
        <v>106</v>
      </c>
      <c r="E505" s="8" t="str">
        <f>IFERROR(__xludf.DUMMYFUNCTION("SPLIT(A505,""TX"")"),"Aditya, Shyam Mohan
27435 Iris Avenue
Mission Viejo, CA 92692")</f>
        <v>Aditya, Shyam Mohan
27435 Iris Avenue
Mission Viejo, CA 92692</v>
      </c>
      <c r="I505" s="8" t="str">
        <f t="shared" si="6"/>
        <v/>
      </c>
      <c r="J505" s="9" t="str">
        <f>IFERROR(__xludf.DUMMYFUNCTION("SPLIT(I505,""-"")"),"#VALUE!")</f>
        <v>#VALUE!</v>
      </c>
    </row>
    <row r="506">
      <c r="A506" s="10" t="s">
        <v>511</v>
      </c>
      <c r="B506" s="11">
        <v>125.0</v>
      </c>
      <c r="C506" s="12" t="s">
        <v>106</v>
      </c>
      <c r="E506" s="8" t="str">
        <f>IFERROR(__xludf.DUMMYFUNCTION("SPLIT(A506,""TX"")"),"eng, Rebecca
1 East Scott Street
Chicago, IL 60610")</f>
        <v>eng, Rebecca
1 East Scott Street
Chicago, IL 60610</v>
      </c>
      <c r="I506" s="8" t="str">
        <f t="shared" si="6"/>
        <v/>
      </c>
      <c r="J506" s="9" t="str">
        <f>IFERROR(__xludf.DUMMYFUNCTION("SPLIT(I506,""-"")"),"#VALUE!")</f>
        <v>#VALUE!</v>
      </c>
    </row>
    <row r="507">
      <c r="A507" s="5" t="s">
        <v>512</v>
      </c>
      <c r="B507" s="6">
        <v>100.0</v>
      </c>
      <c r="C507" s="7" t="s">
        <v>106</v>
      </c>
      <c r="E507" s="8" t="str">
        <f>IFERROR(__xludf.DUMMYFUNCTION("SPLIT(A507,""TX"")"),"Lopez, Daniel
197 mammoth Dr
Kyle, ")</f>
        <v>Lopez, Daniel
197 mammoth Dr
Kyle, </v>
      </c>
      <c r="F507" s="8">
        <f>IFERROR(__xludf.DUMMYFUNCTION("""COMPUTED_VALUE"""),78640.0)</f>
        <v>78640</v>
      </c>
      <c r="I507" s="8">
        <f t="shared" si="6"/>
        <v>78640</v>
      </c>
      <c r="J507" s="9">
        <f>IFERROR(__xludf.DUMMYFUNCTION("SPLIT(I507,""-"")"),78640.0)</f>
        <v>78640</v>
      </c>
    </row>
    <row r="508">
      <c r="A508" s="10" t="s">
        <v>513</v>
      </c>
      <c r="B508" s="11">
        <v>50.0</v>
      </c>
      <c r="C508" s="12" t="s">
        <v>106</v>
      </c>
      <c r="E508" s="8" t="str">
        <f>IFERROR(__xludf.DUMMYFUNCTION("SPLIT(A508,""TX"")"),"Nieto, Miguel
100 W Rosedale Ave
Presidio, ")</f>
        <v>Nieto, Miguel
100 W Rosedale Ave
Presidio, </v>
      </c>
      <c r="F508" s="8">
        <f>IFERROR(__xludf.DUMMYFUNCTION("""COMPUTED_VALUE"""),79845.0)</f>
        <v>79845</v>
      </c>
      <c r="I508" s="8">
        <f t="shared" si="6"/>
        <v>79845</v>
      </c>
      <c r="J508" s="9">
        <f>IFERROR(__xludf.DUMMYFUNCTION("SPLIT(I508,""-"")"),79845.0)</f>
        <v>79845</v>
      </c>
    </row>
    <row r="509">
      <c r="A509" s="5" t="s">
        <v>514</v>
      </c>
      <c r="B509" s="6">
        <v>100.0</v>
      </c>
      <c r="C509" s="7" t="s">
        <v>106</v>
      </c>
      <c r="E509" s="8" t="str">
        <f>IFERROR(__xludf.DUMMYFUNCTION("SPLIT(A509,""TX"")"),"Reyes, Brigette
741 Bimebella Ln
Dallas, ")</f>
        <v>Reyes, Brigette
741 Bimebella Ln
Dallas, </v>
      </c>
      <c r="F509" s="8">
        <f>IFERROR(__xludf.DUMMYFUNCTION("""COMPUTED_VALUE"""),75211.0)</f>
        <v>75211</v>
      </c>
      <c r="I509" s="8">
        <f t="shared" si="6"/>
        <v>75211</v>
      </c>
      <c r="J509" s="9">
        <f>IFERROR(__xludf.DUMMYFUNCTION("SPLIT(I509,""-"")"),75211.0)</f>
        <v>75211</v>
      </c>
    </row>
    <row r="510">
      <c r="A510" s="10" t="s">
        <v>515</v>
      </c>
      <c r="B510" s="11">
        <v>200.0</v>
      </c>
      <c r="C510" s="12" t="s">
        <v>106</v>
      </c>
      <c r="E510" s="8" t="str">
        <f>IFERROR(__xludf.DUMMYFUNCTION("SPLIT(A510,""TX"")"),"Perez, Aaron
6301 De Soto
Woodland Hills, CA 91367")</f>
        <v>Perez, Aaron
6301 De Soto
Woodland Hills, CA 91367</v>
      </c>
      <c r="I510" s="8" t="str">
        <f t="shared" si="6"/>
        <v/>
      </c>
      <c r="J510" s="9" t="str">
        <f>IFERROR(__xludf.DUMMYFUNCTION("SPLIT(I510,""-"")"),"#VALUE!")</f>
        <v>#VALUE!</v>
      </c>
    </row>
    <row r="511">
      <c r="A511" s="5" t="s">
        <v>516</v>
      </c>
      <c r="B511" s="6">
        <v>25.0</v>
      </c>
      <c r="C511" s="7" t="s">
        <v>106</v>
      </c>
      <c r="E511" s="8" t="str">
        <f>IFERROR(__xludf.DUMMYFUNCTION("SPLIT(A511,""TX"")"),"Wilson, ")</f>
        <v>Wilson, </v>
      </c>
      <c r="F511" s="8" t="str">
        <f>IFERROR(__xludf.DUMMYFUNCTION("""COMPUTED_VALUE"""),"ara
2309 San Jose Dr
Fort Worth, ")</f>
        <v>ara
2309 San Jose Dr
Fort Worth, </v>
      </c>
      <c r="G511" s="8">
        <f>IFERROR(__xludf.DUMMYFUNCTION("""COMPUTED_VALUE"""),76112.0)</f>
        <v>76112</v>
      </c>
      <c r="I511" s="8">
        <f t="shared" si="6"/>
        <v>76112</v>
      </c>
      <c r="J511" s="9">
        <f>IFERROR(__xludf.DUMMYFUNCTION("SPLIT(I511,""-"")"),76112.0)</f>
        <v>76112</v>
      </c>
    </row>
    <row r="512">
      <c r="A512" s="10" t="s">
        <v>517</v>
      </c>
      <c r="B512" s="11">
        <v>100.0</v>
      </c>
      <c r="C512" s="12" t="s">
        <v>106</v>
      </c>
      <c r="E512" s="8" t="str">
        <f>IFERROR(__xludf.DUMMYFUNCTION("SPLIT(A512,""TX"")"),"Faz, Isaac
101 N. Clinton Ave
Dallas, ")</f>
        <v>Faz, Isaac
101 N. Clinton Ave
Dallas, </v>
      </c>
      <c r="F512" s="8">
        <f>IFERROR(__xludf.DUMMYFUNCTION("""COMPUTED_VALUE"""),75208.0)</f>
        <v>75208</v>
      </c>
      <c r="I512" s="8">
        <f t="shared" si="6"/>
        <v>75208</v>
      </c>
      <c r="J512" s="9">
        <f>IFERROR(__xludf.DUMMYFUNCTION("SPLIT(I512,""-"")"),75208.0)</f>
        <v>75208</v>
      </c>
    </row>
    <row r="513">
      <c r="A513" s="5" t="s">
        <v>518</v>
      </c>
      <c r="B513" s="6">
        <v>50.0</v>
      </c>
      <c r="C513" s="7" t="s">
        <v>106</v>
      </c>
      <c r="E513" s="8" t="str">
        <f>IFERROR(__xludf.DUMMYFUNCTION("SPLIT(A513,""TX"")"),"Faz-Garza, Ofelia
2614 Gladstone Drive
Dallas, ")</f>
        <v>Faz-Garza, Ofelia
2614 Gladstone Drive
Dallas, </v>
      </c>
      <c r="F513" s="8">
        <f>IFERROR(__xludf.DUMMYFUNCTION("""COMPUTED_VALUE"""),75211.0)</f>
        <v>75211</v>
      </c>
      <c r="I513" s="8">
        <f t="shared" si="6"/>
        <v>75211</v>
      </c>
      <c r="J513" s="9">
        <f>IFERROR(__xludf.DUMMYFUNCTION("SPLIT(I513,""-"")"),75211.0)</f>
        <v>75211</v>
      </c>
    </row>
    <row r="514">
      <c r="A514" s="10" t="s">
        <v>519</v>
      </c>
      <c r="B514" s="11">
        <v>100.0</v>
      </c>
      <c r="C514" s="12" t="s">
        <v>106</v>
      </c>
      <c r="E514" s="8" t="str">
        <f>IFERROR(__xludf.DUMMYFUNCTION("SPLIT(A514,""TX"")"),"Elizondo, Isaac
6259 Kenwood Avenue
Dallas, ")</f>
        <v>Elizondo, Isaac
6259 Kenwood Avenue
Dallas, </v>
      </c>
      <c r="F514" s="8">
        <f>IFERROR(__xludf.DUMMYFUNCTION("""COMPUTED_VALUE"""),75214.0)</f>
        <v>75214</v>
      </c>
      <c r="I514" s="8">
        <f t="shared" si="6"/>
        <v>75214</v>
      </c>
      <c r="J514" s="9">
        <f>IFERROR(__xludf.DUMMYFUNCTION("SPLIT(I514,""-"")"),75214.0)</f>
        <v>75214</v>
      </c>
    </row>
    <row r="515">
      <c r="A515" s="5" t="s">
        <v>520</v>
      </c>
      <c r="B515" s="6">
        <v>2500.0</v>
      </c>
      <c r="C515" s="7" t="s">
        <v>106</v>
      </c>
      <c r="E515" s="8" t="str">
        <f>IFERROR(__xludf.DUMMYFUNCTION("SPLIT(A515,""TX"")"),"New American PAC
400 S Zang BLVD
Dallas, ")</f>
        <v>New American PAC
400 S Zang BLVD
Dallas, </v>
      </c>
      <c r="F515" s="8">
        <f>IFERROR(__xludf.DUMMYFUNCTION("""COMPUTED_VALUE"""),75208.0)</f>
        <v>75208</v>
      </c>
      <c r="I515" s="8">
        <f t="shared" si="6"/>
        <v>75208</v>
      </c>
      <c r="J515" s="9">
        <f>IFERROR(__xludf.DUMMYFUNCTION("SPLIT(I515,""-"")"),75208.0)</f>
        <v>75208</v>
      </c>
    </row>
    <row r="516">
      <c r="A516" s="10" t="s">
        <v>521</v>
      </c>
      <c r="B516" s="11">
        <v>100.0</v>
      </c>
      <c r="C516" s="12" t="s">
        <v>106</v>
      </c>
      <c r="E516" s="8" t="str">
        <f>IFERROR(__xludf.DUMMYFUNCTION("SPLIT(A516,""TX"")"),"Hamilton, Jeremy
1300 Mildred Ln
Benbrook, ")</f>
        <v>Hamilton, Jeremy
1300 Mildred Ln
Benbrook, </v>
      </c>
      <c r="F516" s="8">
        <f>IFERROR(__xludf.DUMMYFUNCTION("""COMPUTED_VALUE"""),76126.0)</f>
        <v>76126</v>
      </c>
      <c r="I516" s="8">
        <f t="shared" si="6"/>
        <v>76126</v>
      </c>
      <c r="J516" s="9">
        <f>IFERROR(__xludf.DUMMYFUNCTION("SPLIT(I516,""-"")"),76126.0)</f>
        <v>76126</v>
      </c>
    </row>
    <row r="517">
      <c r="A517" s="5" t="s">
        <v>522</v>
      </c>
      <c r="B517" s="6">
        <v>20.0</v>
      </c>
      <c r="C517" s="7" t="s">
        <v>106</v>
      </c>
      <c r="E517" s="8" t="str">
        <f>IFERROR(__xludf.DUMMYFUNCTION("SPLIT(A517,""TX"")"),"Sanchez, Sindi
727 Hollywood Avenue
Dallas, ")</f>
        <v>Sanchez, Sindi
727 Hollywood Avenue
Dallas, </v>
      </c>
      <c r="F517" s="8">
        <f>IFERROR(__xludf.DUMMYFUNCTION("""COMPUTED_VALUE"""),75208.0)</f>
        <v>75208</v>
      </c>
      <c r="I517" s="8">
        <f t="shared" si="6"/>
        <v>75208</v>
      </c>
      <c r="J517" s="9">
        <f>IFERROR(__xludf.DUMMYFUNCTION("SPLIT(I517,""-"")"),75208.0)</f>
        <v>75208</v>
      </c>
    </row>
    <row r="518">
      <c r="A518" s="10" t="s">
        <v>523</v>
      </c>
      <c r="B518" s="11">
        <v>250.0</v>
      </c>
      <c r="C518" s="12" t="s">
        <v>106</v>
      </c>
      <c r="E518" s="8" t="str">
        <f>IFERROR(__xludf.DUMMYFUNCTION("SPLIT(A518,""TX"")"),"Provost, Elizabeth
2835 West Brooklyn Ave
Dallas, ")</f>
        <v>Provost, Elizabeth
2835 West Brooklyn Ave
Dallas, </v>
      </c>
      <c r="F518" s="8">
        <f>IFERROR(__xludf.DUMMYFUNCTION("""COMPUTED_VALUE"""),75211.0)</f>
        <v>75211</v>
      </c>
      <c r="I518" s="8">
        <f t="shared" si="6"/>
        <v>75211</v>
      </c>
      <c r="J518" s="9">
        <f>IFERROR(__xludf.DUMMYFUNCTION("SPLIT(I518,""-"")"),75211.0)</f>
        <v>75211</v>
      </c>
    </row>
    <row r="519">
      <c r="A519" s="5" t="s">
        <v>524</v>
      </c>
      <c r="B519" s="6">
        <v>10.0</v>
      </c>
      <c r="C519" s="7" t="s">
        <v>106</v>
      </c>
      <c r="E519" s="8" t="str">
        <f>IFERROR(__xludf.DUMMYFUNCTION("SPLIT(A519,""TX"")"),"Wonders, Nancy
207 N Waverly Dr
Dallas, ")</f>
        <v>Wonders, Nancy
207 N Waverly Dr
Dallas, </v>
      </c>
      <c r="F519" s="8">
        <f>IFERROR(__xludf.DUMMYFUNCTION("""COMPUTED_VALUE"""),75208.0)</f>
        <v>75208</v>
      </c>
      <c r="I519" s="8">
        <f t="shared" si="6"/>
        <v>75208</v>
      </c>
      <c r="J519" s="9">
        <f>IFERROR(__xludf.DUMMYFUNCTION("SPLIT(I519,""-"")"),75208.0)</f>
        <v>75208</v>
      </c>
    </row>
    <row r="520">
      <c r="A520" s="10" t="s">
        <v>525</v>
      </c>
      <c r="B520" s="11">
        <v>500.0</v>
      </c>
      <c r="C520" s="12" t="s">
        <v>106</v>
      </c>
      <c r="E520" s="8" t="str">
        <f>IFERROR(__xludf.DUMMYFUNCTION("SPLIT(A520,""TX"")"),"Rodriguez, Ernesto
1609 HARDY RD
Grand Prairie, ")</f>
        <v>Rodriguez, Ernesto
1609 HARDY RD
Grand Prairie, </v>
      </c>
      <c r="F520" s="8">
        <f>IFERROR(__xludf.DUMMYFUNCTION("""COMPUTED_VALUE"""),75051.0)</f>
        <v>75051</v>
      </c>
      <c r="I520" s="8">
        <f t="shared" si="6"/>
        <v>75051</v>
      </c>
      <c r="J520" s="9">
        <f>IFERROR(__xludf.DUMMYFUNCTION("SPLIT(I520,""-"")"),75051.0)</f>
        <v>75051</v>
      </c>
    </row>
    <row r="521">
      <c r="A521" s="5" t="s">
        <v>526</v>
      </c>
      <c r="B521" s="6">
        <v>40.0</v>
      </c>
      <c r="C521" s="7" t="s">
        <v>106</v>
      </c>
      <c r="E521" s="8" t="str">
        <f>IFERROR(__xludf.DUMMYFUNCTION("SPLIT(A521,""TX"")"),"Lamy, Lionel
1826 South Polk Street
Dallas, ")</f>
        <v>Lamy, Lionel
1826 South Polk Street
Dallas, </v>
      </c>
      <c r="F521" s="8">
        <f>IFERROR(__xludf.DUMMYFUNCTION("""COMPUTED_VALUE"""),75224.0)</f>
        <v>75224</v>
      </c>
      <c r="I521" s="8">
        <f t="shared" si="6"/>
        <v>75224</v>
      </c>
      <c r="J521" s="9">
        <f>IFERROR(__xludf.DUMMYFUNCTION("SPLIT(I521,""-"")"),75224.0)</f>
        <v>75224</v>
      </c>
    </row>
    <row r="522">
      <c r="A522" s="10" t="s">
        <v>459</v>
      </c>
      <c r="B522" s="11">
        <v>50.0</v>
      </c>
      <c r="C522" s="12" t="s">
        <v>106</v>
      </c>
      <c r="E522" s="8" t="str">
        <f>IFERROR(__xludf.DUMMYFUNCTION("SPLIT(A522,""TX"")"),"Subias, Enrique
3414 ")</f>
        <v>Subias, Enrique
3414 </v>
      </c>
      <c r="F522" s="8" t="str">
        <f>IFERROR(__xludf.DUMMYFUNCTION("""COMPUTED_VALUE"""),"exas Drive
Dallas, ")</f>
        <v>exas Drive
Dallas, </v>
      </c>
      <c r="G522" s="8">
        <f>IFERROR(__xludf.DUMMYFUNCTION("""COMPUTED_VALUE"""),75211.0)</f>
        <v>75211</v>
      </c>
      <c r="I522" s="8">
        <f t="shared" si="6"/>
        <v>75211</v>
      </c>
      <c r="J522" s="9">
        <f>IFERROR(__xludf.DUMMYFUNCTION("SPLIT(I522,""-"")"),75211.0)</f>
        <v>75211</v>
      </c>
    </row>
    <row r="523">
      <c r="A523" s="5" t="s">
        <v>527</v>
      </c>
      <c r="B523" s="6">
        <v>100.0</v>
      </c>
      <c r="C523" s="7" t="s">
        <v>106</v>
      </c>
      <c r="E523" s="8" t="str">
        <f>IFERROR(__xludf.DUMMYFUNCTION("SPLIT(A523,""TX"")"),"Bronco Auto Service, LLC
1022 S Hampton Rd.
Dallas, ")</f>
        <v>Bronco Auto Service, LLC
1022 S Hampton Rd.
Dallas, </v>
      </c>
      <c r="F523" s="8">
        <f>IFERROR(__xludf.DUMMYFUNCTION("""COMPUTED_VALUE"""),75208.0)</f>
        <v>75208</v>
      </c>
      <c r="I523" s="8">
        <f t="shared" si="6"/>
        <v>75208</v>
      </c>
      <c r="J523" s="9">
        <f>IFERROR(__xludf.DUMMYFUNCTION("SPLIT(I523,""-"")"),75208.0)</f>
        <v>75208</v>
      </c>
    </row>
    <row r="524">
      <c r="A524" s="10" t="s">
        <v>461</v>
      </c>
      <c r="B524" s="11">
        <v>100.0</v>
      </c>
      <c r="C524" s="12" t="s">
        <v>106</v>
      </c>
      <c r="E524" s="8" t="str">
        <f>IFERROR(__xludf.DUMMYFUNCTION("SPLIT(A524,""TX"")"),"Gomez, Roberto
2800 W. Clarendon Drive
Dallas, ")</f>
        <v>Gomez, Roberto
2800 W. Clarendon Drive
Dallas, </v>
      </c>
      <c r="F524" s="8">
        <f>IFERROR(__xludf.DUMMYFUNCTION("""COMPUTED_VALUE"""),75211.0)</f>
        <v>75211</v>
      </c>
      <c r="I524" s="8">
        <f t="shared" si="6"/>
        <v>75211</v>
      </c>
      <c r="J524" s="9">
        <f>IFERROR(__xludf.DUMMYFUNCTION("SPLIT(I524,""-"")"),75211.0)</f>
        <v>75211</v>
      </c>
    </row>
    <row r="525">
      <c r="A525" s="5" t="s">
        <v>528</v>
      </c>
      <c r="B525" s="6">
        <v>100.0</v>
      </c>
      <c r="C525" s="7" t="s">
        <v>106</v>
      </c>
      <c r="E525" s="8" t="str">
        <f>IFERROR(__xludf.DUMMYFUNCTION("SPLIT(A525,""TX"")"),"Urbina, Jose
3211 W. Clarendon Drive
Dallas, ")</f>
        <v>Urbina, Jose
3211 W. Clarendon Drive
Dallas, </v>
      </c>
      <c r="F525" s="8">
        <f>IFERROR(__xludf.DUMMYFUNCTION("""COMPUTED_VALUE"""),75211.0)</f>
        <v>75211</v>
      </c>
      <c r="I525" s="8">
        <f t="shared" si="6"/>
        <v>75211</v>
      </c>
      <c r="J525" s="9">
        <f>IFERROR(__xludf.DUMMYFUNCTION("SPLIT(I525,""-"")"),75211.0)</f>
        <v>75211</v>
      </c>
    </row>
    <row r="526">
      <c r="A526" s="10" t="s">
        <v>529</v>
      </c>
      <c r="B526" s="11">
        <v>50.0</v>
      </c>
      <c r="C526" s="12" t="s">
        <v>106</v>
      </c>
      <c r="E526" s="8" t="str">
        <f>IFERROR(__xludf.DUMMYFUNCTION("SPLIT(A526,""TX"")"),"Ruiz, Jose
3845 Mount Royal
Dallas, ")</f>
        <v>Ruiz, Jose
3845 Mount Royal
Dallas, </v>
      </c>
      <c r="F526" s="8">
        <f>IFERROR(__xludf.DUMMYFUNCTION("""COMPUTED_VALUE"""),75211.0)</f>
        <v>75211</v>
      </c>
      <c r="I526" s="8">
        <f t="shared" si="6"/>
        <v>75211</v>
      </c>
      <c r="J526" s="9">
        <f>IFERROR(__xludf.DUMMYFUNCTION("SPLIT(I526,""-"")"),75211.0)</f>
        <v>75211</v>
      </c>
    </row>
    <row r="527">
      <c r="A527" s="5" t="s">
        <v>442</v>
      </c>
      <c r="B527" s="6">
        <v>100.0</v>
      </c>
      <c r="C527" s="7" t="s">
        <v>106</v>
      </c>
      <c r="E527" s="8" t="str">
        <f>IFERROR(__xludf.DUMMYFUNCTION("SPLIT(A527,""TX"")"),"Figueroa, Gerardo
5017 Frontier Rd
Garland, ")</f>
        <v>Figueroa, Gerardo
5017 Frontier Rd
Garland, </v>
      </c>
      <c r="F527" s="8">
        <f>IFERROR(__xludf.DUMMYFUNCTION("""COMPUTED_VALUE"""),75043.0)</f>
        <v>75043</v>
      </c>
      <c r="I527" s="8">
        <f t="shared" si="6"/>
        <v>75043</v>
      </c>
      <c r="J527" s="9">
        <f>IFERROR(__xludf.DUMMYFUNCTION("SPLIT(I527,""-"")"),75043.0)</f>
        <v>75043</v>
      </c>
    </row>
    <row r="528">
      <c r="A528" s="10" t="s">
        <v>530</v>
      </c>
      <c r="B528" s="11">
        <v>20.0</v>
      </c>
      <c r="C528" s="12" t="s">
        <v>106</v>
      </c>
      <c r="E528" s="8" t="str">
        <f>IFERROR(__xludf.DUMMYFUNCTION("SPLIT(A528,""TX"")"),"Alfadil, Fahad
8105 Hermisillo Ct
Arlington, ")</f>
        <v>Alfadil, Fahad
8105 Hermisillo Ct
Arlington, </v>
      </c>
      <c r="F528" s="8">
        <f>IFERROR(__xludf.DUMMYFUNCTION("""COMPUTED_VALUE"""),75043.0)</f>
        <v>75043</v>
      </c>
      <c r="I528" s="8">
        <f t="shared" si="6"/>
        <v>75043</v>
      </c>
      <c r="J528" s="9">
        <f>IFERROR(__xludf.DUMMYFUNCTION("SPLIT(I528,""-"")"),75043.0)</f>
        <v>75043</v>
      </c>
    </row>
    <row r="529">
      <c r="A529" s="5" t="s">
        <v>531</v>
      </c>
      <c r="B529" s="6">
        <v>1000.0</v>
      </c>
      <c r="C529" s="7" t="s">
        <v>106</v>
      </c>
      <c r="E529" s="8" t="str">
        <f>IFERROR(__xludf.DUMMYFUNCTION("SPLIT(A529,""TX"")"),"Cisneros, Janie
2821 Bedford St.
Dallas, ")</f>
        <v>Cisneros, Janie
2821 Bedford St.
Dallas, </v>
      </c>
      <c r="F529" s="8">
        <f>IFERROR(__xludf.DUMMYFUNCTION("""COMPUTED_VALUE"""),75212.0)</f>
        <v>75212</v>
      </c>
      <c r="I529" s="8">
        <f t="shared" si="6"/>
        <v>75212</v>
      </c>
      <c r="J529" s="9">
        <f>IFERROR(__xludf.DUMMYFUNCTION("SPLIT(I529,""-"")"),75212.0)</f>
        <v>75212</v>
      </c>
    </row>
    <row r="530">
      <c r="A530" s="10" t="s">
        <v>532</v>
      </c>
      <c r="B530" s="11">
        <v>100.0</v>
      </c>
      <c r="C530" s="12" t="s">
        <v>106</v>
      </c>
      <c r="E530" s="8" t="str">
        <f>IFERROR(__xludf.DUMMYFUNCTION("SPLIT(A530,""TX"")"),"saldana, Vanessa
410 N Clinton Ave
Dallas, ")</f>
        <v>saldana, Vanessa
410 N Clinton Ave
Dallas, </v>
      </c>
      <c r="F530" s="8">
        <f>IFERROR(__xludf.DUMMYFUNCTION("""COMPUTED_VALUE"""),75208.0)</f>
        <v>75208</v>
      </c>
      <c r="I530" s="8">
        <f t="shared" si="6"/>
        <v>75208</v>
      </c>
      <c r="J530" s="9">
        <f>IFERROR(__xludf.DUMMYFUNCTION("SPLIT(I530,""-"")"),75208.0)</f>
        <v>75208</v>
      </c>
    </row>
    <row r="531">
      <c r="A531" s="5" t="s">
        <v>533</v>
      </c>
      <c r="B531" s="6">
        <v>10.0</v>
      </c>
      <c r="C531" s="7" t="s">
        <v>106</v>
      </c>
      <c r="E531" s="8" t="str">
        <f>IFERROR(__xludf.DUMMYFUNCTION("SPLIT(A531,""TX"")"),"Hernandez, Nicholas
2411 Hollywood Ave
Dallas, ")</f>
        <v>Hernandez, Nicholas
2411 Hollywood Ave
Dallas, </v>
      </c>
      <c r="F531" s="8">
        <f>IFERROR(__xludf.DUMMYFUNCTION("""COMPUTED_VALUE"""),75224.0)</f>
        <v>75224</v>
      </c>
      <c r="I531" s="8">
        <f t="shared" si="6"/>
        <v>75224</v>
      </c>
      <c r="J531" s="9">
        <f>IFERROR(__xludf.DUMMYFUNCTION("SPLIT(I531,""-"")"),75224.0)</f>
        <v>75224</v>
      </c>
    </row>
    <row r="532">
      <c r="A532" s="10" t="s">
        <v>534</v>
      </c>
      <c r="B532" s="11">
        <v>50.0</v>
      </c>
      <c r="C532" s="12" t="s">
        <v>106</v>
      </c>
      <c r="E532" s="8" t="str">
        <f>IFERROR(__xludf.DUMMYFUNCTION("SPLIT(A532,""TX"")"),"Lehe, Joyce
1702 Melbourne Ave
Dallas, ")</f>
        <v>Lehe, Joyce
1702 Melbourne Ave
Dallas, </v>
      </c>
      <c r="F532" s="8">
        <f>IFERROR(__xludf.DUMMYFUNCTION("""COMPUTED_VALUE"""),75224.0)</f>
        <v>75224</v>
      </c>
      <c r="I532" s="8">
        <f t="shared" si="6"/>
        <v>75224</v>
      </c>
      <c r="J532" s="9">
        <f>IFERROR(__xludf.DUMMYFUNCTION("SPLIT(I532,""-"")"),75224.0)</f>
        <v>75224</v>
      </c>
    </row>
    <row r="533">
      <c r="A533" s="5" t="s">
        <v>535</v>
      </c>
      <c r="B533" s="6">
        <v>20.0</v>
      </c>
      <c r="C533" s="7" t="s">
        <v>106</v>
      </c>
      <c r="E533" s="8" t="str">
        <f>IFERROR(__xludf.DUMMYFUNCTION("SPLIT(A533,""TX"")"),"Pedraza, Cindy
3435 ")</f>
        <v>Pedraza, Cindy
3435 </v>
      </c>
      <c r="F533" s="8" t="str">
        <f>IFERROR(__xludf.DUMMYFUNCTION("""COMPUTED_VALUE"""),"ennessee Ave
Dallas, ")</f>
        <v>ennessee Ave
Dallas, </v>
      </c>
      <c r="G533" s="8">
        <f>IFERROR(__xludf.DUMMYFUNCTION("""COMPUTED_VALUE"""),75224.0)</f>
        <v>75224</v>
      </c>
      <c r="I533" s="8">
        <f t="shared" si="6"/>
        <v>75224</v>
      </c>
      <c r="J533" s="9">
        <f>IFERROR(__xludf.DUMMYFUNCTION("SPLIT(I533,""-"")"),75224.0)</f>
        <v>75224</v>
      </c>
    </row>
    <row r="534">
      <c r="A534" s="10" t="s">
        <v>536</v>
      </c>
      <c r="B534" s="11">
        <v>75.0</v>
      </c>
      <c r="C534" s="12" t="s">
        <v>106</v>
      </c>
      <c r="E534" s="8" t="str">
        <f>IFERROR(__xludf.DUMMYFUNCTION("SPLIT(A534,""TX"")"),"Rodriguez, Christina
1720 Hidden Brook Dr
Grand Prairie, ")</f>
        <v>Rodriguez, Christina
1720 Hidden Brook Dr
Grand Prairie, </v>
      </c>
      <c r="F534" s="8">
        <f>IFERROR(__xludf.DUMMYFUNCTION("""COMPUTED_VALUE"""),75050.0)</f>
        <v>75050</v>
      </c>
      <c r="I534" s="8">
        <f t="shared" si="6"/>
        <v>75050</v>
      </c>
      <c r="J534" s="9">
        <f>IFERROR(__xludf.DUMMYFUNCTION("SPLIT(I534,""-"")"),75050.0)</f>
        <v>75050</v>
      </c>
    </row>
    <row r="535">
      <c r="A535" s="5" t="s">
        <v>537</v>
      </c>
      <c r="B535" s="6">
        <v>50.0</v>
      </c>
      <c r="C535" s="7" t="s">
        <v>106</v>
      </c>
      <c r="E535" s="8" t="str">
        <f>IFERROR(__xludf.DUMMYFUNCTION("SPLIT(A535,""TX"")"),"Alvarez, Veronica
1914 Mountain Lake Road
Dallas, ")</f>
        <v>Alvarez, Veronica
1914 Mountain Lake Road
Dallas, </v>
      </c>
      <c r="F535" s="8">
        <f>IFERROR(__xludf.DUMMYFUNCTION("""COMPUTED_VALUE"""),75224.0)</f>
        <v>75224</v>
      </c>
      <c r="I535" s="8">
        <f t="shared" si="6"/>
        <v>75224</v>
      </c>
      <c r="J535" s="9">
        <f>IFERROR(__xludf.DUMMYFUNCTION("SPLIT(I535,""-"")"),75224.0)</f>
        <v>75224</v>
      </c>
    </row>
    <row r="536">
      <c r="A536" s="10" t="s">
        <v>538</v>
      </c>
      <c r="B536" s="11">
        <v>100.0</v>
      </c>
      <c r="C536" s="12" t="s">
        <v>106</v>
      </c>
      <c r="E536" s="8" t="str">
        <f>IFERROR(__xludf.DUMMYFUNCTION("SPLIT(A536,""TX"")"),"Hernandez, Fernando
2144 Lovedale Avenue
Dallas, ")</f>
        <v>Hernandez, Fernando
2144 Lovedale Avenue
Dallas, </v>
      </c>
      <c r="F536" s="8">
        <f>IFERROR(__xludf.DUMMYFUNCTION("""COMPUTED_VALUE"""),75235.0)</f>
        <v>75235</v>
      </c>
      <c r="I536" s="8">
        <f t="shared" si="6"/>
        <v>75235</v>
      </c>
      <c r="J536" s="9">
        <f>IFERROR(__xludf.DUMMYFUNCTION("SPLIT(I536,""-"")"),75235.0)</f>
        <v>75235</v>
      </c>
    </row>
    <row r="537">
      <c r="A537" s="5" t="s">
        <v>105</v>
      </c>
      <c r="B537" s="6">
        <v>20.0</v>
      </c>
      <c r="C537" s="7" t="s">
        <v>106</v>
      </c>
      <c r="E537" s="8" t="str">
        <f>IFERROR(__xludf.DUMMYFUNCTION("SPLIT(A537,""TX"")"),"Miles, Kayla
404 North Winnetka Avenue
Dallas, ")</f>
        <v>Miles, Kayla
404 North Winnetka Avenue
Dallas, </v>
      </c>
      <c r="F537" s="8">
        <f>IFERROR(__xludf.DUMMYFUNCTION("""COMPUTED_VALUE"""),75208.0)</f>
        <v>75208</v>
      </c>
      <c r="I537" s="8">
        <f t="shared" si="6"/>
        <v>75208</v>
      </c>
      <c r="J537" s="9">
        <f>IFERROR(__xludf.DUMMYFUNCTION("SPLIT(I537,""-"")"),75208.0)</f>
        <v>75208</v>
      </c>
    </row>
    <row r="538">
      <c r="A538" s="10" t="s">
        <v>539</v>
      </c>
      <c r="B538" s="11">
        <v>500.0</v>
      </c>
      <c r="C538" s="12" t="s">
        <v>106</v>
      </c>
      <c r="E538" s="8" t="str">
        <f>IFERROR(__xludf.DUMMYFUNCTION("SPLIT(A538,""TX"")"),"Guio, Alexandra
5606 SMU Blvd
Dallas, ")</f>
        <v>Guio, Alexandra
5606 SMU Blvd
Dallas, </v>
      </c>
      <c r="F538" s="8">
        <f>IFERROR(__xludf.DUMMYFUNCTION("""COMPUTED_VALUE"""),75206.0)</f>
        <v>75206</v>
      </c>
      <c r="I538" s="8">
        <f t="shared" si="6"/>
        <v>75206</v>
      </c>
      <c r="J538" s="9">
        <f>IFERROR(__xludf.DUMMYFUNCTION("SPLIT(I538,""-"")"),75206.0)</f>
        <v>75206</v>
      </c>
    </row>
    <row r="539">
      <c r="A539" s="5" t="s">
        <v>540</v>
      </c>
      <c r="B539" s="6">
        <v>100.0</v>
      </c>
      <c r="C539" s="7" t="s">
        <v>106</v>
      </c>
      <c r="E539" s="8" t="str">
        <f>IFERROR(__xludf.DUMMYFUNCTION("SPLIT(A539,""TX"")"),"Friesenhahn, Elva
1003 Cliffdale Ave
Dallas, ")</f>
        <v>Friesenhahn, Elva
1003 Cliffdale Ave
Dallas, </v>
      </c>
      <c r="F539" s="8">
        <f>IFERROR(__xludf.DUMMYFUNCTION("""COMPUTED_VALUE"""),75211.0)</f>
        <v>75211</v>
      </c>
      <c r="I539" s="8">
        <f t="shared" si="6"/>
        <v>75211</v>
      </c>
      <c r="J539" s="9">
        <f>IFERROR(__xludf.DUMMYFUNCTION("SPLIT(I539,""-"")"),75211.0)</f>
        <v>75211</v>
      </c>
    </row>
    <row r="540">
      <c r="A540" s="10" t="s">
        <v>541</v>
      </c>
      <c r="B540" s="11">
        <v>50.0</v>
      </c>
      <c r="C540" s="12" t="s">
        <v>106</v>
      </c>
      <c r="E540" s="8" t="str">
        <f>IFERROR(__xludf.DUMMYFUNCTION("SPLIT(A540,""TX"")"),"Cotton, Cheryl
1732 Homewood Place
Dallas, ")</f>
        <v>Cotton, Cheryl
1732 Homewood Place
Dallas, </v>
      </c>
      <c r="F540" s="8">
        <f>IFERROR(__xludf.DUMMYFUNCTION("""COMPUTED_VALUE"""),75224.0)</f>
        <v>75224</v>
      </c>
      <c r="I540" s="8">
        <f t="shared" si="6"/>
        <v>75224</v>
      </c>
      <c r="J540" s="9">
        <f>IFERROR(__xludf.DUMMYFUNCTION("SPLIT(I540,""-"")"),75224.0)</f>
        <v>75224</v>
      </c>
    </row>
    <row r="541">
      <c r="A541" s="5" t="s">
        <v>542</v>
      </c>
      <c r="B541" s="6">
        <v>20.0</v>
      </c>
      <c r="C541" s="7" t="s">
        <v>106</v>
      </c>
      <c r="E541" s="8" t="str">
        <f>IFERROR(__xludf.DUMMYFUNCTION("SPLIT(A541,""TX"")"),"Loera, Hugo
1153 S Hampton Rd
Dallas, ")</f>
        <v>Loera, Hugo
1153 S Hampton Rd
Dallas, </v>
      </c>
      <c r="F541" s="8">
        <f>IFERROR(__xludf.DUMMYFUNCTION("""COMPUTED_VALUE"""),75208.0)</f>
        <v>75208</v>
      </c>
      <c r="I541" s="8">
        <f t="shared" si="6"/>
        <v>75208</v>
      </c>
      <c r="J541" s="9">
        <f>IFERROR(__xludf.DUMMYFUNCTION("SPLIT(I541,""-"")"),75208.0)</f>
        <v>75208</v>
      </c>
    </row>
    <row r="542">
      <c r="A542" s="10" t="s">
        <v>543</v>
      </c>
      <c r="B542" s="11">
        <v>100.0</v>
      </c>
      <c r="C542" s="12" t="s">
        <v>106</v>
      </c>
      <c r="E542" s="8" t="str">
        <f>IFERROR(__xludf.DUMMYFUNCTION("SPLIT(A542,""TX"")"),"Horres, Debbie
7311 Pleasant View
Dallas, ")</f>
        <v>Horres, Debbie
7311 Pleasant View
Dallas, </v>
      </c>
      <c r="F542" s="8">
        <f>IFERROR(__xludf.DUMMYFUNCTION("""COMPUTED_VALUE"""),75231.0)</f>
        <v>75231</v>
      </c>
      <c r="I542" s="8">
        <f t="shared" si="6"/>
        <v>75231</v>
      </c>
      <c r="J542" s="9">
        <f>IFERROR(__xludf.DUMMYFUNCTION("SPLIT(I542,""-"")"),75231.0)</f>
        <v>75231</v>
      </c>
    </row>
    <row r="543">
      <c r="A543" s="5" t="s">
        <v>544</v>
      </c>
      <c r="B543" s="6">
        <v>200.0</v>
      </c>
      <c r="C543" s="7" t="s">
        <v>106</v>
      </c>
      <c r="E543" s="8" t="str">
        <f>IFERROR(__xludf.DUMMYFUNCTION("SPLIT(A543,""TX"")"),"Valtierra, Albert
1141 Anderson Street
Irving, ")</f>
        <v>Valtierra, Albert
1141 Anderson Street
Irving, </v>
      </c>
      <c r="F543" s="8">
        <f>IFERROR(__xludf.DUMMYFUNCTION("""COMPUTED_VALUE"""),75062.0)</f>
        <v>75062</v>
      </c>
      <c r="I543" s="8">
        <f t="shared" si="6"/>
        <v>75062</v>
      </c>
      <c r="J543" s="9">
        <f>IFERROR(__xludf.DUMMYFUNCTION("SPLIT(I543,""-"")"),75062.0)</f>
        <v>75062</v>
      </c>
    </row>
    <row r="544">
      <c r="A544" s="10" t="s">
        <v>545</v>
      </c>
      <c r="B544" s="11">
        <v>250.0</v>
      </c>
      <c r="C544" s="12" t="s">
        <v>106</v>
      </c>
      <c r="E544" s="8" t="str">
        <f>IFERROR(__xludf.DUMMYFUNCTION("SPLIT(A544,""TX"")"),"Wev, Elissa
1919 Jackson St
Dallas, ")</f>
        <v>Wev, Elissa
1919 Jackson St
Dallas, </v>
      </c>
      <c r="F544" s="8">
        <f>IFERROR(__xludf.DUMMYFUNCTION("""COMPUTED_VALUE"""),75201.0)</f>
        <v>75201</v>
      </c>
      <c r="I544" s="8">
        <f t="shared" si="6"/>
        <v>75201</v>
      </c>
      <c r="J544" s="9">
        <f>IFERROR(__xludf.DUMMYFUNCTION("SPLIT(I544,""-"")"),75201.0)</f>
        <v>75201</v>
      </c>
    </row>
    <row r="545">
      <c r="A545" s="5" t="s">
        <v>546</v>
      </c>
      <c r="B545" s="6">
        <v>20.0</v>
      </c>
      <c r="C545" s="7" t="s">
        <v>106</v>
      </c>
      <c r="E545" s="8" t="str">
        <f>IFERROR(__xludf.DUMMYFUNCTION("SPLIT(A545,""TX"")"),"Lopez, Paulina
3540 Burlingdell Avenue
Dallas, ")</f>
        <v>Lopez, Paulina
3540 Burlingdell Avenue
Dallas, </v>
      </c>
      <c r="F545" s="8">
        <f>IFERROR(__xludf.DUMMYFUNCTION("""COMPUTED_VALUE"""),75211.0)</f>
        <v>75211</v>
      </c>
      <c r="I545" s="8">
        <f t="shared" si="6"/>
        <v>75211</v>
      </c>
      <c r="J545" s="9">
        <f>IFERROR(__xludf.DUMMYFUNCTION("SPLIT(I545,""-"")"),75211.0)</f>
        <v>75211</v>
      </c>
    </row>
    <row r="546">
      <c r="A546" s="10" t="s">
        <v>547</v>
      </c>
      <c r="B546" s="11">
        <v>20.0</v>
      </c>
      <c r="C546" s="12" t="s">
        <v>106</v>
      </c>
      <c r="E546" s="8" t="str">
        <f>IFERROR(__xludf.DUMMYFUNCTION("SPLIT(A546,""TX"")"),"Ordex, ")</f>
        <v>Ordex, </v>
      </c>
      <c r="F546" s="8" t="str">
        <f>IFERROR(__xludf.DUMMYFUNCTION("""COMPUTED_VALUE"""),"risteza
3415 Navajo Ct
Dallas, ")</f>
        <v>risteza
3415 Navajo Ct
Dallas, </v>
      </c>
      <c r="G546" s="8">
        <f>IFERROR(__xludf.DUMMYFUNCTION("""COMPUTED_VALUE"""),75224.0)</f>
        <v>75224</v>
      </c>
      <c r="I546" s="8">
        <f t="shared" si="6"/>
        <v>75224</v>
      </c>
      <c r="J546" s="9">
        <f>IFERROR(__xludf.DUMMYFUNCTION("SPLIT(I546,""-"")"),75224.0)</f>
        <v>75224</v>
      </c>
    </row>
    <row r="547">
      <c r="A547" s="5" t="s">
        <v>548</v>
      </c>
      <c r="B547" s="6">
        <v>100.0</v>
      </c>
      <c r="C547" s="7" t="s">
        <v>106</v>
      </c>
      <c r="E547" s="8" t="str">
        <f>IFERROR(__xludf.DUMMYFUNCTION("SPLIT(A547,""TX"")"),"Cantu, Gerardo
1210 South Oak Cliff Boulevard
Dallas, ")</f>
        <v>Cantu, Gerardo
1210 South Oak Cliff Boulevard
Dallas, </v>
      </c>
      <c r="F547" s="8">
        <f>IFERROR(__xludf.DUMMYFUNCTION("""COMPUTED_VALUE"""),75208.0)</f>
        <v>75208</v>
      </c>
      <c r="I547" s="8">
        <f t="shared" si="6"/>
        <v>75208</v>
      </c>
      <c r="J547" s="9">
        <f>IFERROR(__xludf.DUMMYFUNCTION("SPLIT(I547,""-"")"),75208.0)</f>
        <v>75208</v>
      </c>
    </row>
    <row r="548">
      <c r="A548" s="10" t="s">
        <v>549</v>
      </c>
      <c r="B548" s="11">
        <v>250.0</v>
      </c>
      <c r="C548" s="12" t="s">
        <v>106</v>
      </c>
      <c r="E548" s="8" t="str">
        <f>IFERROR(__xludf.DUMMYFUNCTION("SPLIT(A548,""TX"")"),"Ortiz, John
6164 Miramonte
Irvine, CA 92618")</f>
        <v>Ortiz, John
6164 Miramonte
Irvine, CA 92618</v>
      </c>
      <c r="I548" s="8" t="str">
        <f t="shared" si="6"/>
        <v/>
      </c>
      <c r="J548" s="9" t="str">
        <f>IFERROR(__xludf.DUMMYFUNCTION("SPLIT(I548,""-"")"),"#VALUE!")</f>
        <v>#VALUE!</v>
      </c>
    </row>
    <row r="549">
      <c r="A549" s="5" t="s">
        <v>550</v>
      </c>
      <c r="B549" s="6">
        <v>50.0</v>
      </c>
      <c r="C549" s="7" t="s">
        <v>106</v>
      </c>
      <c r="E549" s="8" t="str">
        <f>IFERROR(__xludf.DUMMYFUNCTION("SPLIT(A549,""TX"")"),"Solis, Vanessa
2635 Wilbur St
Dallas, ")</f>
        <v>Solis, Vanessa
2635 Wilbur St
Dallas, </v>
      </c>
      <c r="F549" s="8">
        <f>IFERROR(__xludf.DUMMYFUNCTION("""COMPUTED_VALUE"""),75233.0)</f>
        <v>75233</v>
      </c>
      <c r="I549" s="8">
        <f t="shared" si="6"/>
        <v>75233</v>
      </c>
      <c r="J549" s="9">
        <f>IFERROR(__xludf.DUMMYFUNCTION("SPLIT(I549,""-"")"),75233.0)</f>
        <v>75233</v>
      </c>
    </row>
    <row r="550">
      <c r="A550" s="10" t="s">
        <v>551</v>
      </c>
      <c r="B550" s="11">
        <v>100.0</v>
      </c>
      <c r="C550" s="12" t="s">
        <v>106</v>
      </c>
      <c r="E550" s="8" t="str">
        <f>IFERROR(__xludf.DUMMYFUNCTION("SPLIT(A550,""TX"")"),"Hise, ")</f>
        <v>Hise, </v>
      </c>
      <c r="F550" s="8" t="str">
        <f>IFERROR(__xludf.DUMMYFUNCTION("""COMPUTED_VALUE"""),"imothy
328 First Down Dash
Burnet, ")</f>
        <v>imothy
328 First Down Dash
Burnet, </v>
      </c>
      <c r="G550" s="8">
        <f>IFERROR(__xludf.DUMMYFUNCTION("""COMPUTED_VALUE"""),78611.0)</f>
        <v>78611</v>
      </c>
      <c r="I550" s="8">
        <f t="shared" si="6"/>
        <v>78611</v>
      </c>
      <c r="J550" s="9">
        <f>IFERROR(__xludf.DUMMYFUNCTION("SPLIT(I550,""-"")"),78611.0)</f>
        <v>78611</v>
      </c>
    </row>
    <row r="551">
      <c r="A551" s="5" t="s">
        <v>475</v>
      </c>
      <c r="B551" s="6">
        <v>50.0</v>
      </c>
      <c r="C551" s="7" t="s">
        <v>106</v>
      </c>
      <c r="E551" s="8" t="str">
        <f>IFERROR(__xludf.DUMMYFUNCTION("SPLIT(A551,""TX"")"),"Castillo, Cynthia
3619 ")</f>
        <v>Castillo, Cynthia
3619 </v>
      </c>
      <c r="F551" s="8" t="str">
        <f>IFERROR(__xludf.DUMMYFUNCTION("""COMPUTED_VALUE"""),"exas Drive
Dallas, ")</f>
        <v>exas Drive
Dallas, </v>
      </c>
      <c r="G551" s="8">
        <f>IFERROR(__xludf.DUMMYFUNCTION("""COMPUTED_VALUE"""),75211.0)</f>
        <v>75211</v>
      </c>
      <c r="I551" s="8">
        <f t="shared" si="6"/>
        <v>75211</v>
      </c>
      <c r="J551" s="9">
        <f>IFERROR(__xludf.DUMMYFUNCTION("SPLIT(I551,""-"")"),75211.0)</f>
        <v>75211</v>
      </c>
    </row>
    <row r="552">
      <c r="A552" s="10" t="s">
        <v>552</v>
      </c>
      <c r="B552" s="11">
        <v>100.0</v>
      </c>
      <c r="C552" s="12" t="s">
        <v>106</v>
      </c>
      <c r="E552" s="8" t="str">
        <f>IFERROR(__xludf.DUMMYFUNCTION("SPLIT(A552,""TX"")"),"Rangel, Irene
3632 Doris Walker ")</f>
        <v>Rangel, Irene
3632 Doris Walker </v>
      </c>
      <c r="F552" s="8" t="str">
        <f>IFERROR(__xludf.DUMMYFUNCTION("""COMPUTED_VALUE"""),"rail
Burleson, ")</f>
        <v>rail
Burleson, </v>
      </c>
      <c r="G552" s="8">
        <f>IFERROR(__xludf.DUMMYFUNCTION("""COMPUTED_VALUE"""),76028.0)</f>
        <v>76028</v>
      </c>
      <c r="I552" s="8">
        <f t="shared" si="6"/>
        <v>76028</v>
      </c>
      <c r="J552" s="9">
        <f>IFERROR(__xludf.DUMMYFUNCTION("SPLIT(I552,""-"")"),76028.0)</f>
        <v>76028</v>
      </c>
    </row>
    <row r="553">
      <c r="A553" s="5" t="s">
        <v>553</v>
      </c>
      <c r="B553" s="6">
        <v>200.0</v>
      </c>
      <c r="C553" s="7" t="s">
        <v>106</v>
      </c>
      <c r="E553" s="8" t="str">
        <f>IFERROR(__xludf.DUMMYFUNCTION("SPLIT(A553,""TX"")"),"Moore, Montana
835 W Wellington Ave
Chicago, IL 60657")</f>
        <v>Moore, Montana
835 W Wellington Ave
Chicago, IL 60657</v>
      </c>
      <c r="I553" s="8" t="str">
        <f t="shared" si="6"/>
        <v/>
      </c>
      <c r="J553" s="9" t="str">
        <f>IFERROR(__xludf.DUMMYFUNCTION("SPLIT(I553,""-"")"),"#VALUE!")</f>
        <v>#VALUE!</v>
      </c>
    </row>
    <row r="554">
      <c r="A554" s="10" t="s">
        <v>554</v>
      </c>
      <c r="B554" s="11">
        <v>50.0</v>
      </c>
      <c r="C554" s="12" t="s">
        <v>106</v>
      </c>
      <c r="E554" s="8" t="str">
        <f>IFERROR(__xludf.DUMMYFUNCTION("SPLIT(A554,""TX"")"),"Lopez, Erica
2546 Wilton Avenue
Dallas, ")</f>
        <v>Lopez, Erica
2546 Wilton Avenue
Dallas, </v>
      </c>
      <c r="F554" s="8">
        <f>IFERROR(__xludf.DUMMYFUNCTION("""COMPUTED_VALUE"""),75211.0)</f>
        <v>75211</v>
      </c>
      <c r="I554" s="8">
        <f t="shared" si="6"/>
        <v>75211</v>
      </c>
      <c r="J554" s="9">
        <f>IFERROR(__xludf.DUMMYFUNCTION("SPLIT(I554,""-"")"),75211.0)</f>
        <v>75211</v>
      </c>
    </row>
    <row r="555">
      <c r="A555" s="5" t="s">
        <v>555</v>
      </c>
      <c r="B555" s="6">
        <v>500.0</v>
      </c>
      <c r="C555" s="7" t="s">
        <v>106</v>
      </c>
      <c r="E555" s="8" t="str">
        <f>IFERROR(__xludf.DUMMYFUNCTION("SPLIT(A555,""TX"")"),"Ramirez, Mark
2160 Westmoreland Road
Red Oak, ")</f>
        <v>Ramirez, Mark
2160 Westmoreland Road
Red Oak, </v>
      </c>
      <c r="F555" s="8">
        <f>IFERROR(__xludf.DUMMYFUNCTION("""COMPUTED_VALUE"""),75154.0)</f>
        <v>75154</v>
      </c>
      <c r="I555" s="8">
        <f t="shared" si="6"/>
        <v>75154</v>
      </c>
      <c r="J555" s="9">
        <f>IFERROR(__xludf.DUMMYFUNCTION("SPLIT(I555,""-"")"),75154.0)</f>
        <v>75154</v>
      </c>
    </row>
    <row r="556">
      <c r="A556" s="10" t="s">
        <v>556</v>
      </c>
      <c r="B556" s="11">
        <v>50.0</v>
      </c>
      <c r="C556" s="12" t="s">
        <v>106</v>
      </c>
      <c r="E556" s="8" t="str">
        <f>IFERROR(__xludf.DUMMYFUNCTION("SPLIT(A556,""TX"")"),"Chavez, Mayra
1102 South Polk Street
Dallas, ")</f>
        <v>Chavez, Mayra
1102 South Polk Street
Dallas, </v>
      </c>
      <c r="F556" s="8">
        <f>IFERROR(__xludf.DUMMYFUNCTION("""COMPUTED_VALUE"""),75208.0)</f>
        <v>75208</v>
      </c>
      <c r="I556" s="8">
        <f t="shared" si="6"/>
        <v>75208</v>
      </c>
      <c r="J556" s="9">
        <f>IFERROR(__xludf.DUMMYFUNCTION("SPLIT(I556,""-"")"),75208.0)</f>
        <v>75208</v>
      </c>
    </row>
    <row r="557">
      <c r="A557" s="5" t="s">
        <v>557</v>
      </c>
      <c r="B557" s="6">
        <v>1000.0</v>
      </c>
      <c r="C557" s="7" t="s">
        <v>106</v>
      </c>
      <c r="E557" s="8" t="str">
        <f>IFERROR(__xludf.DUMMYFUNCTION("SPLIT(A557,""TX"")"),"orres, Juan
4611 La Rue St
Dallas, ")</f>
        <v>orres, Juan
4611 La Rue St
Dallas, </v>
      </c>
      <c r="F557" s="8">
        <f>IFERROR(__xludf.DUMMYFUNCTION("""COMPUTED_VALUE"""),75211.0)</f>
        <v>75211</v>
      </c>
      <c r="I557" s="8">
        <f t="shared" si="6"/>
        <v>75211</v>
      </c>
      <c r="J557" s="9">
        <f>IFERROR(__xludf.DUMMYFUNCTION("SPLIT(I557,""-"")"),75211.0)</f>
        <v>75211</v>
      </c>
    </row>
    <row r="558">
      <c r="A558" s="10" t="s">
        <v>558</v>
      </c>
      <c r="B558" s="11">
        <v>50.0</v>
      </c>
      <c r="C558" s="12" t="s">
        <v>106</v>
      </c>
      <c r="E558" s="8" t="str">
        <f>IFERROR(__xludf.DUMMYFUNCTION("SPLIT(A558,""TX"")"),"Rash, Anthony
1808 Lansford Avenue
Dallas, ")</f>
        <v>Rash, Anthony
1808 Lansford Avenue
Dallas, </v>
      </c>
      <c r="F558" s="8">
        <f>IFERROR(__xludf.DUMMYFUNCTION("""COMPUTED_VALUE"""),75224.0)</f>
        <v>75224</v>
      </c>
      <c r="I558" s="8">
        <f t="shared" si="6"/>
        <v>75224</v>
      </c>
      <c r="J558" s="9">
        <f>IFERROR(__xludf.DUMMYFUNCTION("SPLIT(I558,""-"")"),75224.0)</f>
        <v>75224</v>
      </c>
    </row>
    <row r="559">
      <c r="A559" s="5" t="s">
        <v>559</v>
      </c>
      <c r="B559" s="6">
        <v>120.0</v>
      </c>
      <c r="C559" s="7" t="s">
        <v>106</v>
      </c>
      <c r="E559" s="8" t="str">
        <f>IFERROR(__xludf.DUMMYFUNCTION("SPLIT(A559,""TX"")"),"Figueroa, Gerardo
5017 Frontier Road
Garland, ")</f>
        <v>Figueroa, Gerardo
5017 Frontier Road
Garland, </v>
      </c>
      <c r="F559" s="8">
        <f>IFERROR(__xludf.DUMMYFUNCTION("""COMPUTED_VALUE"""),75043.0)</f>
        <v>75043</v>
      </c>
      <c r="I559" s="8">
        <f t="shared" si="6"/>
        <v>75043</v>
      </c>
      <c r="J559" s="9">
        <f>IFERROR(__xludf.DUMMYFUNCTION("SPLIT(I559,""-"")"),75043.0)</f>
        <v>75043</v>
      </c>
    </row>
    <row r="560">
      <c r="A560" s="10" t="s">
        <v>560</v>
      </c>
      <c r="B560" s="11">
        <v>25.0</v>
      </c>
      <c r="C560" s="12" t="s">
        <v>106</v>
      </c>
      <c r="E560" s="8" t="str">
        <f>IFERROR(__xludf.DUMMYFUNCTION("SPLIT(A560,""TX"")"),"Faz-Garza, Ofelia
2614 Gladstone
Dallas, ")</f>
        <v>Faz-Garza, Ofelia
2614 Gladstone
Dallas, </v>
      </c>
      <c r="F560" s="8">
        <f>IFERROR(__xludf.DUMMYFUNCTION("""COMPUTED_VALUE"""),75211.0)</f>
        <v>75211</v>
      </c>
      <c r="I560" s="8">
        <f t="shared" si="6"/>
        <v>75211</v>
      </c>
      <c r="J560" s="9">
        <f>IFERROR(__xludf.DUMMYFUNCTION("SPLIT(I560,""-"")"),75211.0)</f>
        <v>75211</v>
      </c>
    </row>
    <row r="561">
      <c r="A561" s="5" t="s">
        <v>487</v>
      </c>
      <c r="B561" s="6">
        <v>100.0</v>
      </c>
      <c r="C561" s="7" t="s">
        <v>106</v>
      </c>
      <c r="E561" s="8" t="str">
        <f>IFERROR(__xludf.DUMMYFUNCTION("SPLIT(A561,""TX"")"),"Rutledge, John
1426 S Oak Cliff Blvd
Dallas, ")</f>
        <v>Rutledge, John
1426 S Oak Cliff Blvd
Dallas, </v>
      </c>
      <c r="F561" s="8">
        <f>IFERROR(__xludf.DUMMYFUNCTION("""COMPUTED_VALUE"""),75208.0)</f>
        <v>75208</v>
      </c>
      <c r="I561" s="8">
        <f t="shared" si="6"/>
        <v>75208</v>
      </c>
      <c r="J561" s="9">
        <f>IFERROR(__xludf.DUMMYFUNCTION("SPLIT(I561,""-"")"),75208.0)</f>
        <v>75208</v>
      </c>
    </row>
    <row r="562">
      <c r="A562" s="10" t="s">
        <v>561</v>
      </c>
      <c r="B562" s="11">
        <v>10.0</v>
      </c>
      <c r="C562" s="12" t="s">
        <v>106</v>
      </c>
      <c r="E562" s="8" t="str">
        <f>IFERROR(__xludf.DUMMYFUNCTION("SPLIT(A562,""TX"")"),"Hernandez, Steph
6307 Elam Road
Dallas, ")</f>
        <v>Hernandez, Steph
6307 Elam Road
Dallas, </v>
      </c>
      <c r="F562" s="8">
        <f>IFERROR(__xludf.DUMMYFUNCTION("""COMPUTED_VALUE"""),75217.0)</f>
        <v>75217</v>
      </c>
      <c r="I562" s="8">
        <f t="shared" si="6"/>
        <v>75217</v>
      </c>
      <c r="J562" s="9">
        <f>IFERROR(__xludf.DUMMYFUNCTION("SPLIT(I562,""-"")"),75217.0)</f>
        <v>75217</v>
      </c>
    </row>
    <row r="563">
      <c r="A563" s="5" t="s">
        <v>562</v>
      </c>
      <c r="B563" s="6">
        <v>100.0</v>
      </c>
      <c r="C563" s="7" t="s">
        <v>106</v>
      </c>
      <c r="E563" s="8" t="str">
        <f>IFERROR(__xludf.DUMMYFUNCTION("SPLIT(A563,""TX"")"),"Resendez, Pilar
PO Box 3234
Alice, ")</f>
        <v>Resendez, Pilar
PO Box 3234
Alice, </v>
      </c>
      <c r="F563" s="8">
        <f>IFERROR(__xludf.DUMMYFUNCTION("""COMPUTED_VALUE"""),78333.0)</f>
        <v>78333</v>
      </c>
      <c r="I563" s="8">
        <f t="shared" si="6"/>
        <v>78333</v>
      </c>
      <c r="J563" s="9">
        <f>IFERROR(__xludf.DUMMYFUNCTION("SPLIT(I563,""-"")"),78333.0)</f>
        <v>78333</v>
      </c>
    </row>
    <row r="564">
      <c r="A564" s="10" t="s">
        <v>503</v>
      </c>
      <c r="B564" s="11">
        <v>500.0</v>
      </c>
      <c r="C564" s="12" t="s">
        <v>106</v>
      </c>
      <c r="E564" s="8" t="str">
        <f>IFERROR(__xludf.DUMMYFUNCTION("SPLIT(A564,""TX"")"),"Dockery, David
1110 South Polk Street
Dallas, ")</f>
        <v>Dockery, David
1110 South Polk Street
Dallas, </v>
      </c>
      <c r="F564" s="8">
        <f>IFERROR(__xludf.DUMMYFUNCTION("""COMPUTED_VALUE"""),75208.0)</f>
        <v>75208</v>
      </c>
      <c r="I564" s="8">
        <f t="shared" si="6"/>
        <v>75208</v>
      </c>
      <c r="J564" s="9">
        <f>IFERROR(__xludf.DUMMYFUNCTION("SPLIT(I564,""-"")"),75208.0)</f>
        <v>75208</v>
      </c>
    </row>
    <row r="565">
      <c r="A565" s="5" t="s">
        <v>494</v>
      </c>
      <c r="B565" s="6">
        <v>40.0</v>
      </c>
      <c r="C565" s="7" t="s">
        <v>106</v>
      </c>
      <c r="E565" s="8" t="str">
        <f>IFERROR(__xludf.DUMMYFUNCTION("SPLIT(A565,""TX"")"),"Rodriguez, Damien
14826 Academy Oak
San Antonio, ")</f>
        <v>Rodriguez, Damien
14826 Academy Oak
San Antonio, </v>
      </c>
      <c r="F565" s="8">
        <f>IFERROR(__xludf.DUMMYFUNCTION("""COMPUTED_VALUE"""),78247.0)</f>
        <v>78247</v>
      </c>
      <c r="I565" s="8">
        <f t="shared" si="6"/>
        <v>78247</v>
      </c>
      <c r="J565" s="9">
        <f>IFERROR(__xludf.DUMMYFUNCTION("SPLIT(I565,""-"")"),78247.0)</f>
        <v>78247</v>
      </c>
    </row>
    <row r="566">
      <c r="A566" s="10" t="s">
        <v>563</v>
      </c>
      <c r="B566" s="11">
        <v>600.0</v>
      </c>
      <c r="C566" s="12" t="s">
        <v>106</v>
      </c>
      <c r="E566" s="8" t="str">
        <f>IFERROR(__xludf.DUMMYFUNCTION("SPLIT(A566,""TX"")"),"Mata, Jesus
4309 N Mile 3 1/2 west
Weslaco, ")</f>
        <v>Mata, Jesus
4309 N Mile 3 1/2 west
Weslaco, </v>
      </c>
      <c r="F566" s="8">
        <f>IFERROR(__xludf.DUMMYFUNCTION("""COMPUTED_VALUE"""),78599.0)</f>
        <v>78599</v>
      </c>
      <c r="I566" s="8">
        <f t="shared" si="6"/>
        <v>78599</v>
      </c>
      <c r="J566" s="9">
        <f>IFERROR(__xludf.DUMMYFUNCTION("SPLIT(I566,""-"")"),78599.0)</f>
        <v>78599</v>
      </c>
    </row>
    <row r="567">
      <c r="A567" s="5" t="s">
        <v>564</v>
      </c>
      <c r="B567" s="6">
        <v>250.0</v>
      </c>
      <c r="C567" s="7" t="s">
        <v>106</v>
      </c>
      <c r="E567" s="8" t="str">
        <f>IFERROR(__xludf.DUMMYFUNCTION("SPLIT(A567,""TX"")"),"Flores, Jasmin
2206 Melbourne Ave
Dallas, ")</f>
        <v>Flores, Jasmin
2206 Melbourne Ave
Dallas, </v>
      </c>
      <c r="F567" s="8">
        <f>IFERROR(__xludf.DUMMYFUNCTION("""COMPUTED_VALUE"""),75224.0)</f>
        <v>75224</v>
      </c>
      <c r="I567" s="8">
        <f t="shared" si="6"/>
        <v>75224</v>
      </c>
      <c r="J567" s="9">
        <f>IFERROR(__xludf.DUMMYFUNCTION("SPLIT(I567,""-"")"),75224.0)</f>
        <v>75224</v>
      </c>
    </row>
    <row r="568">
      <c r="A568" s="10" t="s">
        <v>565</v>
      </c>
      <c r="B568" s="11">
        <v>30.0</v>
      </c>
      <c r="C568" s="12" t="s">
        <v>106</v>
      </c>
      <c r="E568" s="8" t="str">
        <f>IFERROR(__xludf.DUMMYFUNCTION("SPLIT(A568,""TX"")"),"Alcala, Sara
1314 West Davis Street
Dallas, ")</f>
        <v>Alcala, Sara
1314 West Davis Street
Dallas, </v>
      </c>
      <c r="F568" s="8">
        <f>IFERROR(__xludf.DUMMYFUNCTION("""COMPUTED_VALUE"""),75208.0)</f>
        <v>75208</v>
      </c>
      <c r="I568" s="8">
        <f t="shared" si="6"/>
        <v>75208</v>
      </c>
      <c r="J568" s="9">
        <f>IFERROR(__xludf.DUMMYFUNCTION("SPLIT(I568,""-"")"),75208.0)</f>
        <v>75208</v>
      </c>
    </row>
    <row r="569">
      <c r="A569" s="5" t="s">
        <v>547</v>
      </c>
      <c r="B569" s="6">
        <v>10.0</v>
      </c>
      <c r="C569" s="7" t="s">
        <v>106</v>
      </c>
      <c r="E569" s="8" t="str">
        <f>IFERROR(__xludf.DUMMYFUNCTION("SPLIT(A569,""TX"")"),"Ordex, ")</f>
        <v>Ordex, </v>
      </c>
      <c r="F569" s="8" t="str">
        <f>IFERROR(__xludf.DUMMYFUNCTION("""COMPUTED_VALUE"""),"risteza
3415 Navajo Ct
Dallas, ")</f>
        <v>risteza
3415 Navajo Ct
Dallas, </v>
      </c>
      <c r="G569" s="8">
        <f>IFERROR(__xludf.DUMMYFUNCTION("""COMPUTED_VALUE"""),75224.0)</f>
        <v>75224</v>
      </c>
      <c r="I569" s="8">
        <f t="shared" si="6"/>
        <v>75224</v>
      </c>
      <c r="J569" s="9">
        <f>IFERROR(__xludf.DUMMYFUNCTION("SPLIT(I569,""-"")"),75224.0)</f>
        <v>75224</v>
      </c>
    </row>
    <row r="570">
      <c r="A570" s="10" t="s">
        <v>566</v>
      </c>
      <c r="B570" s="11">
        <v>20.0</v>
      </c>
      <c r="C570" s="12" t="s">
        <v>106</v>
      </c>
      <c r="E570" s="8" t="str">
        <f>IFERROR(__xludf.DUMMYFUNCTION("SPLIT(A570,""TX"")"),"Saenz, Lizette
9015 Cattle Baron Path 1902
Austin, ")</f>
        <v>Saenz, Lizette
9015 Cattle Baron Path 1902
Austin, </v>
      </c>
      <c r="F570" s="8">
        <f>IFERROR(__xludf.DUMMYFUNCTION("""COMPUTED_VALUE"""),78747.0)</f>
        <v>78747</v>
      </c>
      <c r="I570" s="8">
        <f t="shared" si="6"/>
        <v>78747</v>
      </c>
      <c r="J570" s="9">
        <f>IFERROR(__xludf.DUMMYFUNCTION("SPLIT(I570,""-"")"),78747.0)</f>
        <v>78747</v>
      </c>
    </row>
    <row r="571">
      <c r="A571" s="5" t="s">
        <v>567</v>
      </c>
      <c r="B571" s="6">
        <v>25.0</v>
      </c>
      <c r="C571" s="7" t="s">
        <v>106</v>
      </c>
      <c r="E571" s="8" t="str">
        <f>IFERROR(__xludf.DUMMYFUNCTION("SPLIT(A571,""TX"")"),"Gallardo, Violeta
1310 Melbourne ave
Dallas, ")</f>
        <v>Gallardo, Violeta
1310 Melbourne ave
Dallas, </v>
      </c>
      <c r="F571" s="8">
        <f>IFERROR(__xludf.DUMMYFUNCTION("""COMPUTED_VALUE"""),75224.0)</f>
        <v>75224</v>
      </c>
      <c r="I571" s="8">
        <f t="shared" si="6"/>
        <v>75224</v>
      </c>
      <c r="J571" s="9">
        <f>IFERROR(__xludf.DUMMYFUNCTION("SPLIT(I571,""-"")"),75224.0)</f>
        <v>75224</v>
      </c>
    </row>
    <row r="572">
      <c r="A572" s="10" t="s">
        <v>425</v>
      </c>
      <c r="B572" s="11">
        <v>10.0</v>
      </c>
      <c r="C572" s="12" t="s">
        <v>106</v>
      </c>
      <c r="E572" s="8" t="str">
        <f>IFERROR(__xludf.DUMMYFUNCTION("SPLIT(A572,""TX"")"),"Garcia, Javier
8916 Siller Loop
Laredo, ")</f>
        <v>Garcia, Javier
8916 Siller Loop
Laredo, </v>
      </c>
      <c r="F572" s="8">
        <f>IFERROR(__xludf.DUMMYFUNCTION("""COMPUTED_VALUE"""),78045.0)</f>
        <v>78045</v>
      </c>
      <c r="I572" s="8">
        <f t="shared" si="6"/>
        <v>78045</v>
      </c>
      <c r="J572" s="9">
        <f>IFERROR(__xludf.DUMMYFUNCTION("SPLIT(I572,""-"")"),78045.0)</f>
        <v>78045</v>
      </c>
    </row>
    <row r="573">
      <c r="A573" s="5" t="s">
        <v>568</v>
      </c>
      <c r="B573" s="6">
        <v>25.0</v>
      </c>
      <c r="C573" s="7" t="s">
        <v>106</v>
      </c>
      <c r="E573" s="8" t="str">
        <f>IFERROR(__xludf.DUMMYFUNCTION("SPLIT(A573,""TX"")"),"Contreras, Elizabeth
4601 Concord Drive
Garland, ")</f>
        <v>Contreras, Elizabeth
4601 Concord Drive
Garland, </v>
      </c>
      <c r="F573" s="8">
        <f>IFERROR(__xludf.DUMMYFUNCTION("""COMPUTED_VALUE"""),75042.0)</f>
        <v>75042</v>
      </c>
      <c r="I573" s="8">
        <f t="shared" si="6"/>
        <v>75042</v>
      </c>
      <c r="J573" s="9">
        <f>IFERROR(__xludf.DUMMYFUNCTION("SPLIT(I573,""-"")"),75042.0)</f>
        <v>75042</v>
      </c>
    </row>
    <row r="574">
      <c r="A574" s="10" t="s">
        <v>569</v>
      </c>
      <c r="B574" s="11">
        <v>10.0</v>
      </c>
      <c r="C574" s="12" t="s">
        <v>106</v>
      </c>
      <c r="E574" s="8" t="str">
        <f>IFERROR(__xludf.DUMMYFUNCTION("SPLIT(A574,""TX"")"),"Colon, Jennifer
2827 St David Dr
Dallas, ")</f>
        <v>Colon, Jennifer
2827 St David Dr
Dallas, </v>
      </c>
      <c r="F574" s="8">
        <f>IFERROR(__xludf.DUMMYFUNCTION("""COMPUTED_VALUE"""),75233.0)</f>
        <v>75233</v>
      </c>
      <c r="I574" s="8">
        <f t="shared" si="6"/>
        <v>75233</v>
      </c>
      <c r="J574" s="9">
        <f>IFERROR(__xludf.DUMMYFUNCTION("SPLIT(I574,""-"")"),75233.0)</f>
        <v>75233</v>
      </c>
    </row>
    <row r="575">
      <c r="A575" s="5" t="s">
        <v>570</v>
      </c>
      <c r="B575" s="6">
        <v>25.0</v>
      </c>
      <c r="C575" s="7" t="s">
        <v>106</v>
      </c>
      <c r="E575" s="8" t="str">
        <f>IFERROR(__xludf.DUMMYFUNCTION("SPLIT(A575,""TX"")"),"Lopez, Alan
5128 ")</f>
        <v>Lopez, Alan
5128 </v>
      </c>
      <c r="F575" s="8" t="str">
        <f>IFERROR(__xludf.DUMMYFUNCTION("""COMPUTED_VALUE"""),"ato Dr
Dallas, ")</f>
        <v>ato Dr
Dallas, </v>
      </c>
      <c r="G575" s="8">
        <f>IFERROR(__xludf.DUMMYFUNCTION("""COMPUTED_VALUE"""),75211.0)</f>
        <v>75211</v>
      </c>
      <c r="I575" s="8">
        <f t="shared" si="6"/>
        <v>75211</v>
      </c>
      <c r="J575" s="9">
        <f>IFERROR(__xludf.DUMMYFUNCTION("SPLIT(I575,""-"")"),75211.0)</f>
        <v>75211</v>
      </c>
    </row>
    <row r="576">
      <c r="A576" s="10" t="s">
        <v>571</v>
      </c>
      <c r="B576" s="11">
        <v>25.0</v>
      </c>
      <c r="C576" s="12" t="s">
        <v>106</v>
      </c>
      <c r="E576" s="8" t="str">
        <f>IFERROR(__xludf.DUMMYFUNCTION("SPLIT(A576,""TX"")"),"Elizondo, Merced
1617 Old Hickory ")</f>
        <v>Elizondo, Merced
1617 Old Hickory </v>
      </c>
      <c r="F576" s="8" t="str">
        <f>IFERROR(__xludf.DUMMYFUNCTION("""COMPUTED_VALUE"""),"rail
Desoto, ")</f>
        <v>rail
Desoto, </v>
      </c>
      <c r="G576" s="8">
        <f>IFERROR(__xludf.DUMMYFUNCTION("""COMPUTED_VALUE"""),75115.0)</f>
        <v>75115</v>
      </c>
      <c r="I576" s="8">
        <f t="shared" si="6"/>
        <v>75115</v>
      </c>
      <c r="J576" s="9">
        <f>IFERROR(__xludf.DUMMYFUNCTION("SPLIT(I576,""-"")"),75115.0)</f>
        <v>75115</v>
      </c>
    </row>
    <row r="577">
      <c r="A577" s="5" t="s">
        <v>114</v>
      </c>
      <c r="B577" s="6">
        <v>10.0</v>
      </c>
      <c r="C577" s="7" t="s">
        <v>106</v>
      </c>
      <c r="E577" s="8" t="str">
        <f>IFERROR(__xludf.DUMMYFUNCTION("SPLIT(A577,""TX"")"),"Williams, Giana
8232 Wes Hodges Road
Dallas, ")</f>
        <v>Williams, Giana
8232 Wes Hodges Road
Dallas, </v>
      </c>
      <c r="F577" s="8">
        <f>IFERROR(__xludf.DUMMYFUNCTION("""COMPUTED_VALUE"""),75217.0)</f>
        <v>75217</v>
      </c>
      <c r="I577" s="8">
        <f t="shared" si="6"/>
        <v>75217</v>
      </c>
      <c r="J577" s="9">
        <f>IFERROR(__xludf.DUMMYFUNCTION("SPLIT(I577,""-"")"),75217.0)</f>
        <v>75217</v>
      </c>
    </row>
    <row r="578">
      <c r="A578" s="10" t="s">
        <v>572</v>
      </c>
      <c r="B578" s="11">
        <v>25.0</v>
      </c>
      <c r="C578" s="12" t="s">
        <v>106</v>
      </c>
      <c r="E578" s="8" t="str">
        <f>IFERROR(__xludf.DUMMYFUNCTION("SPLIT(A578,""TX"")"),"Barrera, Benjamin
6089 Mumford Dr
Colorado Springs, CO 80925")</f>
        <v>Barrera, Benjamin
6089 Mumford Dr
Colorado Springs, CO 80925</v>
      </c>
      <c r="I578" s="8" t="str">
        <f t="shared" si="6"/>
        <v/>
      </c>
      <c r="J578" s="9" t="str">
        <f>IFERROR(__xludf.DUMMYFUNCTION("SPLIT(I578,""-"")"),"#VALUE!")</f>
        <v>#VALUE!</v>
      </c>
    </row>
    <row r="579">
      <c r="A579" s="5" t="s">
        <v>573</v>
      </c>
      <c r="B579" s="6">
        <v>10.0</v>
      </c>
      <c r="C579" s="7" t="s">
        <v>106</v>
      </c>
      <c r="E579" s="8" t="str">
        <f>IFERROR(__xludf.DUMMYFUNCTION("SPLIT(A579,""TX"")"),"Munoz-Meza, Evelyn
1960 Sunshine Dr
Concord, CA 94520")</f>
        <v>Munoz-Meza, Evelyn
1960 Sunshine Dr
Concord, CA 94520</v>
      </c>
      <c r="I579" s="8" t="str">
        <f t="shared" si="6"/>
        <v/>
      </c>
      <c r="J579" s="9" t="str">
        <f>IFERROR(__xludf.DUMMYFUNCTION("SPLIT(I579,""-"")"),"#VALUE!")</f>
        <v>#VALUE!</v>
      </c>
    </row>
    <row r="580">
      <c r="A580" s="10" t="s">
        <v>574</v>
      </c>
      <c r="B580" s="11">
        <v>10.0</v>
      </c>
      <c r="C580" s="12" t="s">
        <v>106</v>
      </c>
      <c r="E580" s="8" t="str">
        <f>IFERROR(__xludf.DUMMYFUNCTION("SPLIT(A580,""TX"")"),"Ruiz, Briana
4233 Flamingo Way
Mesquite, ")</f>
        <v>Ruiz, Briana
4233 Flamingo Way
Mesquite, </v>
      </c>
      <c r="F580" s="8">
        <f>IFERROR(__xludf.DUMMYFUNCTION("""COMPUTED_VALUE"""),75150.0)</f>
        <v>75150</v>
      </c>
      <c r="I580" s="8">
        <f t="shared" si="6"/>
        <v>75150</v>
      </c>
      <c r="J580" s="9">
        <f>IFERROR(__xludf.DUMMYFUNCTION("SPLIT(I580,""-"")"),75150.0)</f>
        <v>75150</v>
      </c>
    </row>
    <row r="581">
      <c r="A581" s="5" t="s">
        <v>575</v>
      </c>
      <c r="B581" s="6">
        <v>75.0</v>
      </c>
      <c r="C581" s="7" t="s">
        <v>106</v>
      </c>
      <c r="E581" s="8" t="str">
        <f>IFERROR(__xludf.DUMMYFUNCTION("SPLIT(A581,""TX"")"),"Fuentes, Astrid
1819 Boyd St
Dallas, ")</f>
        <v>Fuentes, Astrid
1819 Boyd St
Dallas, </v>
      </c>
      <c r="F581" s="8">
        <f>IFERROR(__xludf.DUMMYFUNCTION("""COMPUTED_VALUE"""),75224.0)</f>
        <v>75224</v>
      </c>
      <c r="I581" s="8">
        <f t="shared" si="6"/>
        <v>75224</v>
      </c>
      <c r="J581" s="9">
        <f>IFERROR(__xludf.DUMMYFUNCTION("SPLIT(I581,""-"")"),75224.0)</f>
        <v>75224</v>
      </c>
    </row>
    <row r="582">
      <c r="A582" s="10" t="s">
        <v>576</v>
      </c>
      <c r="B582" s="11">
        <v>50.0</v>
      </c>
      <c r="C582" s="12" t="s">
        <v>106</v>
      </c>
      <c r="E582" s="8" t="str">
        <f>IFERROR(__xludf.DUMMYFUNCTION("SPLIT(A582,""TX"")"),"Mejia, Caroline
130 Caroline Ln
Waxahachie, ")</f>
        <v>Mejia, Caroline
130 Caroline Ln
Waxahachie, </v>
      </c>
      <c r="F582" s="8">
        <f>IFERROR(__xludf.DUMMYFUNCTION("""COMPUTED_VALUE"""),75167.0)</f>
        <v>75167</v>
      </c>
      <c r="I582" s="8">
        <f t="shared" si="6"/>
        <v>75167</v>
      </c>
      <c r="J582" s="9">
        <f>IFERROR(__xludf.DUMMYFUNCTION("SPLIT(I582,""-"")"),75167.0)</f>
        <v>75167</v>
      </c>
    </row>
    <row r="583">
      <c r="A583" s="5" t="s">
        <v>577</v>
      </c>
      <c r="B583" s="6">
        <v>20.0</v>
      </c>
      <c r="C583" s="7" t="s">
        <v>106</v>
      </c>
      <c r="E583" s="8" t="str">
        <f>IFERROR(__xludf.DUMMYFUNCTION("SPLIT(A583,""TX"")"),"Strickland, Juan Carlos
818 S. Winnetka Ave.
Dallas, ")</f>
        <v>Strickland, Juan Carlos
818 S. Winnetka Ave.
Dallas, </v>
      </c>
      <c r="F583" s="8">
        <f>IFERROR(__xludf.DUMMYFUNCTION("""COMPUTED_VALUE"""),75208.0)</f>
        <v>75208</v>
      </c>
      <c r="I583" s="8">
        <f t="shared" si="6"/>
        <v>75208</v>
      </c>
      <c r="J583" s="9">
        <f>IFERROR(__xludf.DUMMYFUNCTION("SPLIT(I583,""-"")"),75208.0)</f>
        <v>75208</v>
      </c>
    </row>
    <row r="584">
      <c r="A584" s="10" t="s">
        <v>578</v>
      </c>
      <c r="B584" s="11">
        <v>10.0</v>
      </c>
      <c r="C584" s="12" t="s">
        <v>106</v>
      </c>
      <c r="E584" s="8" t="str">
        <f>IFERROR(__xludf.DUMMYFUNCTION("SPLIT(A584,""TX"")"),"Vandersteen, Stephanie
1708 Primrose ")</f>
        <v>Vandersteen, Stephanie
1708 Primrose </v>
      </c>
      <c r="F584" s="8" t="str">
        <f>IFERROR(__xludf.DUMMYFUNCTION("""COMPUTED_VALUE"""),"rail
Round Rock, ")</f>
        <v>rail
Round Rock, </v>
      </c>
      <c r="G584" s="8">
        <f>IFERROR(__xludf.DUMMYFUNCTION("""COMPUTED_VALUE"""),78664.0)</f>
        <v>78664</v>
      </c>
      <c r="I584" s="8">
        <f t="shared" si="6"/>
        <v>78664</v>
      </c>
      <c r="J584" s="9">
        <f>IFERROR(__xludf.DUMMYFUNCTION("SPLIT(I584,""-"")"),78664.0)</f>
        <v>78664</v>
      </c>
    </row>
    <row r="585">
      <c r="A585" s="5" t="s">
        <v>579</v>
      </c>
      <c r="B585" s="6">
        <v>50.0</v>
      </c>
      <c r="C585" s="7" t="s">
        <v>106</v>
      </c>
      <c r="E585" s="8" t="str">
        <f>IFERROR(__xludf.DUMMYFUNCTION("SPLIT(A585,""TX"")"),"Iracheta, Bobbie
231 ")</f>
        <v>Iracheta, Bobbie
231 </v>
      </c>
      <c r="F585" s="8" t="str">
        <f>IFERROR(__xludf.DUMMYFUNCTION("""COMPUTED_VALUE"""),"elluride Drive
Georgetown, ")</f>
        <v>elluride Drive
Georgetown, </v>
      </c>
      <c r="G585" s="8">
        <f>IFERROR(__xludf.DUMMYFUNCTION("""COMPUTED_VALUE"""),78626.0)</f>
        <v>78626</v>
      </c>
      <c r="I585" s="8">
        <f t="shared" si="6"/>
        <v>78626</v>
      </c>
      <c r="J585" s="9">
        <f>IFERROR(__xludf.DUMMYFUNCTION("SPLIT(I585,""-"")"),78626.0)</f>
        <v>78626</v>
      </c>
    </row>
    <row r="586">
      <c r="A586" s="10" t="s">
        <v>580</v>
      </c>
      <c r="B586" s="11">
        <v>100.0</v>
      </c>
      <c r="C586" s="12" t="s">
        <v>106</v>
      </c>
      <c r="E586" s="8" t="str">
        <f>IFERROR(__xludf.DUMMYFUNCTION("SPLIT(A586,""TX"")"),"Price, Brody
2235 Lawndale Dr
Dallas, ")</f>
        <v>Price, Brody
2235 Lawndale Dr
Dallas, </v>
      </c>
      <c r="F586" s="8">
        <f>IFERROR(__xludf.DUMMYFUNCTION("""COMPUTED_VALUE"""),75211.0)</f>
        <v>75211</v>
      </c>
      <c r="I586" s="8">
        <f t="shared" si="6"/>
        <v>75211</v>
      </c>
      <c r="J586" s="9">
        <f>IFERROR(__xludf.DUMMYFUNCTION("SPLIT(I586,""-"")"),75211.0)</f>
        <v>75211</v>
      </c>
    </row>
    <row r="587">
      <c r="A587" s="5" t="s">
        <v>581</v>
      </c>
      <c r="B587" s="6">
        <v>50.0</v>
      </c>
      <c r="C587" s="7" t="s">
        <v>106</v>
      </c>
      <c r="E587" s="8" t="str">
        <f>IFERROR(__xludf.DUMMYFUNCTION("SPLIT(A587,""TX"")"),"Carreon, Jose
207 La Estrella Plaza
Dallas, ")</f>
        <v>Carreon, Jose
207 La Estrella Plaza
Dallas, </v>
      </c>
      <c r="F587" s="8">
        <f>IFERROR(__xludf.DUMMYFUNCTION("""COMPUTED_VALUE"""),75203.0)</f>
        <v>75203</v>
      </c>
      <c r="I587" s="8">
        <f t="shared" si="6"/>
        <v>75203</v>
      </c>
      <c r="J587" s="9">
        <f>IFERROR(__xludf.DUMMYFUNCTION("SPLIT(I587,""-"")"),75203.0)</f>
        <v>75203</v>
      </c>
    </row>
    <row r="588">
      <c r="A588" s="10" t="s">
        <v>582</v>
      </c>
      <c r="B588" s="11">
        <v>50.0</v>
      </c>
      <c r="C588" s="12" t="s">
        <v>106</v>
      </c>
      <c r="E588" s="8" t="str">
        <f>IFERROR(__xludf.DUMMYFUNCTION("SPLIT(A588,""TX"")"),"esta, Nino
626 N Montclair Ave
Dallas, ")</f>
        <v>esta, Nino
626 N Montclair Ave
Dallas, </v>
      </c>
      <c r="F588" s="8">
        <f>IFERROR(__xludf.DUMMYFUNCTION("""COMPUTED_VALUE"""),75208.0)</f>
        <v>75208</v>
      </c>
      <c r="I588" s="8">
        <f t="shared" si="6"/>
        <v>75208</v>
      </c>
      <c r="J588" s="9">
        <f>IFERROR(__xludf.DUMMYFUNCTION("SPLIT(I588,""-"")"),75208.0)</f>
        <v>75208</v>
      </c>
    </row>
    <row r="589">
      <c r="A589" s="5" t="s">
        <v>583</v>
      </c>
      <c r="B589" s="6">
        <v>10.0</v>
      </c>
      <c r="C589" s="7" t="s">
        <v>106</v>
      </c>
      <c r="E589" s="8" t="str">
        <f>IFERROR(__xludf.DUMMYFUNCTION("SPLIT(A589,""TX"")"),"Rodriguez, Jessica
827 South Ravinia Drive
Dallas, ")</f>
        <v>Rodriguez, Jessica
827 South Ravinia Drive
Dallas, </v>
      </c>
      <c r="F589" s="8">
        <f>IFERROR(__xludf.DUMMYFUNCTION("""COMPUTED_VALUE"""),75211.0)</f>
        <v>75211</v>
      </c>
      <c r="I589" s="8">
        <f t="shared" si="6"/>
        <v>75211</v>
      </c>
      <c r="J589" s="9">
        <f>IFERROR(__xludf.DUMMYFUNCTION("SPLIT(I589,""-"")"),75211.0)</f>
        <v>75211</v>
      </c>
    </row>
    <row r="590">
      <c r="A590" s="10" t="s">
        <v>584</v>
      </c>
      <c r="B590" s="11">
        <v>10.0</v>
      </c>
      <c r="C590" s="12" t="s">
        <v>106</v>
      </c>
      <c r="E590" s="8" t="str">
        <f>IFERROR(__xludf.DUMMYFUNCTION("SPLIT(A590,""TX"")"),"Gamez, Janet
1306 Lebanon Avenue
Dallas, ")</f>
        <v>Gamez, Janet
1306 Lebanon Avenue
Dallas, </v>
      </c>
      <c r="F590" s="8">
        <f>IFERROR(__xludf.DUMMYFUNCTION("""COMPUTED_VALUE"""),75208.0)</f>
        <v>75208</v>
      </c>
      <c r="I590" s="8">
        <f t="shared" si="6"/>
        <v>75208</v>
      </c>
      <c r="J590" s="9">
        <f>IFERROR(__xludf.DUMMYFUNCTION("SPLIT(I590,""-"")"),75208.0)</f>
        <v>75208</v>
      </c>
    </row>
    <row r="591">
      <c r="A591" s="5" t="s">
        <v>535</v>
      </c>
      <c r="B591" s="6">
        <v>25.0</v>
      </c>
      <c r="C591" s="7" t="s">
        <v>106</v>
      </c>
      <c r="E591" s="8" t="str">
        <f>IFERROR(__xludf.DUMMYFUNCTION("SPLIT(A591,""TX"")"),"Pedraza, Cindy
3435 ")</f>
        <v>Pedraza, Cindy
3435 </v>
      </c>
      <c r="F591" s="8" t="str">
        <f>IFERROR(__xludf.DUMMYFUNCTION("""COMPUTED_VALUE"""),"ennessee Ave
Dallas, ")</f>
        <v>ennessee Ave
Dallas, </v>
      </c>
      <c r="G591" s="8">
        <f>IFERROR(__xludf.DUMMYFUNCTION("""COMPUTED_VALUE"""),75224.0)</f>
        <v>75224</v>
      </c>
      <c r="I591" s="8">
        <f t="shared" si="6"/>
        <v>75224</v>
      </c>
      <c r="J591" s="9">
        <f>IFERROR(__xludf.DUMMYFUNCTION("SPLIT(I591,""-"")"),75224.0)</f>
        <v>75224</v>
      </c>
    </row>
    <row r="592">
      <c r="A592" s="10" t="s">
        <v>585</v>
      </c>
      <c r="B592" s="11">
        <v>10.0</v>
      </c>
      <c r="C592" s="12" t="s">
        <v>106</v>
      </c>
      <c r="E592" s="8" t="str">
        <f>IFERROR(__xludf.DUMMYFUNCTION("SPLIT(A592,""TX"")"),"Campos, Erick
9014 Golden Foliage ")</f>
        <v>Campos, Erick
9014 Golden Foliage </v>
      </c>
      <c r="F592" s="8" t="str">
        <f>IFERROR(__xludf.DUMMYFUNCTION("""COMPUTED_VALUE"""),"rail
Humble, ")</f>
        <v>rail
Humble, </v>
      </c>
      <c r="G592" s="8">
        <f>IFERROR(__xludf.DUMMYFUNCTION("""COMPUTED_VALUE"""),77338.0)</f>
        <v>77338</v>
      </c>
      <c r="I592" s="8">
        <f t="shared" si="6"/>
        <v>77338</v>
      </c>
      <c r="J592" s="9">
        <f>IFERROR(__xludf.DUMMYFUNCTION("SPLIT(I592,""-"")"),77338.0)</f>
        <v>77338</v>
      </c>
    </row>
    <row r="593">
      <c r="A593" s="5" t="s">
        <v>586</v>
      </c>
      <c r="B593" s="6">
        <v>20.0</v>
      </c>
      <c r="C593" s="7" t="s">
        <v>106</v>
      </c>
      <c r="E593" s="8" t="str">
        <f>IFERROR(__xludf.DUMMYFUNCTION("SPLIT(A593,""TX"")"),"Meador, Daryl
1824 Mayflower Dr.
Dallas, ")</f>
        <v>Meador, Daryl
1824 Mayflower Dr.
Dallas, </v>
      </c>
      <c r="F593" s="8">
        <f>IFERROR(__xludf.DUMMYFUNCTION("""COMPUTED_VALUE"""),75208.0)</f>
        <v>75208</v>
      </c>
      <c r="I593" s="8">
        <f t="shared" si="6"/>
        <v>75208</v>
      </c>
      <c r="J593" s="9">
        <f>IFERROR(__xludf.DUMMYFUNCTION("SPLIT(I593,""-"")"),75208.0)</f>
        <v>75208</v>
      </c>
    </row>
    <row r="594">
      <c r="A594" s="10" t="s">
        <v>587</v>
      </c>
      <c r="B594" s="11">
        <v>25.0</v>
      </c>
      <c r="C594" s="12" t="s">
        <v>106</v>
      </c>
      <c r="E594" s="8" t="str">
        <f>IFERROR(__xludf.DUMMYFUNCTION("SPLIT(A594,""TX"")"),"Sanchez, Alondra
508 Centennial Blvd
Richardson, ")</f>
        <v>Sanchez, Alondra
508 Centennial Blvd
Richardson, </v>
      </c>
      <c r="F594" s="8">
        <f>IFERROR(__xludf.DUMMYFUNCTION("""COMPUTED_VALUE"""),75081.0)</f>
        <v>75081</v>
      </c>
      <c r="I594" s="8">
        <f t="shared" si="6"/>
        <v>75081</v>
      </c>
      <c r="J594" s="9">
        <f>IFERROR(__xludf.DUMMYFUNCTION("SPLIT(I594,""-"")"),75081.0)</f>
        <v>75081</v>
      </c>
    </row>
    <row r="595">
      <c r="A595" s="5" t="s">
        <v>588</v>
      </c>
      <c r="B595" s="6">
        <v>150.0</v>
      </c>
      <c r="C595" s="7" t="s">
        <v>106</v>
      </c>
      <c r="E595" s="8" t="str">
        <f>IFERROR(__xludf.DUMMYFUNCTION("SPLIT(A595,""TX"")"),"Anderson-Bookman, Elizabeth
1109 Claude St.
Dallas, ")</f>
        <v>Anderson-Bookman, Elizabeth
1109 Claude St.
Dallas, </v>
      </c>
      <c r="F595" s="8">
        <f>IFERROR(__xludf.DUMMYFUNCTION("""COMPUTED_VALUE"""),75203.0)</f>
        <v>75203</v>
      </c>
      <c r="I595" s="8">
        <f t="shared" si="6"/>
        <v>75203</v>
      </c>
      <c r="J595" s="9">
        <f>IFERROR(__xludf.DUMMYFUNCTION("SPLIT(I595,""-"")"),75203.0)</f>
        <v>75203</v>
      </c>
    </row>
    <row r="596">
      <c r="A596" s="10" t="s">
        <v>424</v>
      </c>
      <c r="B596" s="11">
        <v>25.0</v>
      </c>
      <c r="C596" s="12" t="s">
        <v>106</v>
      </c>
      <c r="E596" s="8" t="str">
        <f>IFERROR(__xludf.DUMMYFUNCTION("SPLIT(A596,""TX"")"),"Ramirez, Andrea
4650 Farm to Market Road 1863
Bulverde, ")</f>
        <v>Ramirez, Andrea
4650 Farm to Market Road 1863
Bulverde, </v>
      </c>
      <c r="F596" s="8">
        <f>IFERROR(__xludf.DUMMYFUNCTION("""COMPUTED_VALUE"""),78163.0)</f>
        <v>78163</v>
      </c>
      <c r="I596" s="8">
        <f t="shared" si="6"/>
        <v>78163</v>
      </c>
      <c r="J596" s="9">
        <f>IFERROR(__xludf.DUMMYFUNCTION("SPLIT(I596,""-"")"),78163.0)</f>
        <v>78163</v>
      </c>
    </row>
    <row r="597">
      <c r="A597" s="5" t="s">
        <v>589</v>
      </c>
      <c r="B597" s="6">
        <v>100.0</v>
      </c>
      <c r="C597" s="7" t="s">
        <v>106</v>
      </c>
      <c r="E597" s="8" t="str">
        <f>IFERROR(__xludf.DUMMYFUNCTION("SPLIT(A597,""TX"")"),"Gutierrez, Rosalba
2740 Duncanville Rd
Dallas, ")</f>
        <v>Gutierrez, Rosalba
2740 Duncanville Rd
Dallas, </v>
      </c>
      <c r="F597" s="8">
        <f>IFERROR(__xludf.DUMMYFUNCTION("""COMPUTED_VALUE"""),75211.0)</f>
        <v>75211</v>
      </c>
      <c r="I597" s="8">
        <f t="shared" si="6"/>
        <v>75211</v>
      </c>
      <c r="J597" s="9">
        <f>IFERROR(__xludf.DUMMYFUNCTION("SPLIT(I597,""-"")"),75211.0)</f>
        <v>75211</v>
      </c>
    </row>
    <row r="598">
      <c r="A598" s="10" t="s">
        <v>590</v>
      </c>
      <c r="B598" s="11">
        <v>100.0</v>
      </c>
      <c r="C598" s="12" t="s">
        <v>106</v>
      </c>
      <c r="E598" s="8" t="str">
        <f>IFERROR(__xludf.DUMMYFUNCTION("SPLIT(A598,""TX"")"),"Avery, Derek
315 Alpine Drive
DeSoto, ")</f>
        <v>Avery, Derek
315 Alpine Drive
DeSoto, </v>
      </c>
      <c r="F598" s="8">
        <f>IFERROR(__xludf.DUMMYFUNCTION("""COMPUTED_VALUE"""),75115.0)</f>
        <v>75115</v>
      </c>
      <c r="I598" s="8">
        <f t="shared" si="6"/>
        <v>75115</v>
      </c>
      <c r="J598" s="9">
        <f>IFERROR(__xludf.DUMMYFUNCTION("SPLIT(I598,""-"")"),75115.0)</f>
        <v>75115</v>
      </c>
    </row>
    <row r="599">
      <c r="A599" s="5" t="s">
        <v>591</v>
      </c>
      <c r="B599" s="6">
        <v>10.0</v>
      </c>
      <c r="C599" s="7" t="s">
        <v>106</v>
      </c>
      <c r="E599" s="8" t="str">
        <f>IFERROR(__xludf.DUMMYFUNCTION("SPLIT(A599,""TX"")"),"Zheng, Benjamin
11606 North Oaks Dr
Austin, ")</f>
        <v>Zheng, Benjamin
11606 North Oaks Dr
Austin, </v>
      </c>
      <c r="F599" s="8">
        <f>IFERROR(__xludf.DUMMYFUNCTION("""COMPUTED_VALUE"""),78753.0)</f>
        <v>78753</v>
      </c>
      <c r="I599" s="8">
        <f t="shared" si="6"/>
        <v>78753</v>
      </c>
      <c r="J599" s="9">
        <f>IFERROR(__xludf.DUMMYFUNCTION("SPLIT(I599,""-"")"),78753.0)</f>
        <v>78753</v>
      </c>
    </row>
    <row r="600">
      <c r="A600" s="10" t="s">
        <v>592</v>
      </c>
      <c r="B600" s="11">
        <v>10.0</v>
      </c>
      <c r="C600" s="12" t="s">
        <v>106</v>
      </c>
      <c r="E600" s="8" t="str">
        <f>IFERROR(__xludf.DUMMYFUNCTION("SPLIT(A600,""TX"")"),"Cruz, Victoria
1119 Mclean Ave
Dallas, ")</f>
        <v>Cruz, Victoria
1119 Mclean Ave
Dallas, </v>
      </c>
      <c r="F600" s="8">
        <f>IFERROR(__xludf.DUMMYFUNCTION("""COMPUTED_VALUE"""),75211.0)</f>
        <v>75211</v>
      </c>
      <c r="I600" s="8">
        <f t="shared" si="6"/>
        <v>75211</v>
      </c>
      <c r="J600" s="9">
        <f>IFERROR(__xludf.DUMMYFUNCTION("SPLIT(I600,""-"")"),75211.0)</f>
        <v>75211</v>
      </c>
    </row>
    <row r="601">
      <c r="A601" s="5" t="s">
        <v>593</v>
      </c>
      <c r="B601" s="6">
        <v>50.0</v>
      </c>
      <c r="C601" s="7" t="s">
        <v>106</v>
      </c>
      <c r="E601" s="8" t="str">
        <f>IFERROR(__xludf.DUMMYFUNCTION("SPLIT(A601,""TX"")"),"Vega, Cecilia
5708 Baythorne Drive
Austin, ")</f>
        <v>Vega, Cecilia
5708 Baythorne Drive
Austin, </v>
      </c>
      <c r="F601" s="8">
        <f>IFERROR(__xludf.DUMMYFUNCTION("""COMPUTED_VALUE"""),78747.0)</f>
        <v>78747</v>
      </c>
      <c r="I601" s="8">
        <f t="shared" si="6"/>
        <v>78747</v>
      </c>
      <c r="J601" s="9">
        <f>IFERROR(__xludf.DUMMYFUNCTION("SPLIT(I601,""-"")"),78747.0)</f>
        <v>78747</v>
      </c>
    </row>
    <row r="602">
      <c r="A602" s="10" t="s">
        <v>503</v>
      </c>
      <c r="B602" s="11">
        <v>250.0</v>
      </c>
      <c r="C602" s="12" t="s">
        <v>106</v>
      </c>
      <c r="E602" s="8" t="str">
        <f>IFERROR(__xludf.DUMMYFUNCTION("SPLIT(A602,""TX"")"),"Dockery, David
1110 South Polk Street
Dallas, ")</f>
        <v>Dockery, David
1110 South Polk Street
Dallas, </v>
      </c>
      <c r="F602" s="8">
        <f>IFERROR(__xludf.DUMMYFUNCTION("""COMPUTED_VALUE"""),75208.0)</f>
        <v>75208</v>
      </c>
      <c r="I602" s="8">
        <f t="shared" si="6"/>
        <v>75208</v>
      </c>
      <c r="J602" s="9">
        <f>IFERROR(__xludf.DUMMYFUNCTION("SPLIT(I602,""-"")"),75208.0)</f>
        <v>75208</v>
      </c>
    </row>
    <row r="603">
      <c r="A603" s="5" t="s">
        <v>594</v>
      </c>
      <c r="B603" s="6">
        <v>10.0</v>
      </c>
      <c r="C603" s="7" t="s">
        <v>106</v>
      </c>
      <c r="E603" s="8" t="str">
        <f>IFERROR(__xludf.DUMMYFUNCTION("SPLIT(A603,""TX"")"),"Castillo, Francisco
2507 Kingston St
Dallas, ")</f>
        <v>Castillo, Francisco
2507 Kingston St
Dallas, </v>
      </c>
      <c r="F603" s="8">
        <f>IFERROR(__xludf.DUMMYFUNCTION("""COMPUTED_VALUE"""),75211.0)</f>
        <v>75211</v>
      </c>
      <c r="I603" s="8">
        <f t="shared" si="6"/>
        <v>75211</v>
      </c>
      <c r="J603" s="9">
        <f>IFERROR(__xludf.DUMMYFUNCTION("SPLIT(I603,""-"")"),75211.0)</f>
        <v>75211</v>
      </c>
    </row>
    <row r="604">
      <c r="A604" s="10" t="s">
        <v>595</v>
      </c>
      <c r="B604" s="11">
        <v>100.0</v>
      </c>
      <c r="C604" s="12" t="s">
        <v>106</v>
      </c>
      <c r="E604" s="8" t="str">
        <f>IFERROR(__xludf.DUMMYFUNCTION("SPLIT(A604,""TX"")"),"Lowery, David
1240 S Marlborough Ave
Dallas, ")</f>
        <v>Lowery, David
1240 S Marlborough Ave
Dallas, </v>
      </c>
      <c r="F604" s="8">
        <f>IFERROR(__xludf.DUMMYFUNCTION("""COMPUTED_VALUE"""),75208.0)</f>
        <v>75208</v>
      </c>
      <c r="I604" s="8">
        <f t="shared" si="6"/>
        <v>75208</v>
      </c>
      <c r="J604" s="9">
        <f>IFERROR(__xludf.DUMMYFUNCTION("SPLIT(I604,""-"")"),75208.0)</f>
        <v>75208</v>
      </c>
    </row>
    <row r="605">
      <c r="A605" s="5" t="s">
        <v>472</v>
      </c>
      <c r="B605" s="6">
        <v>100.0</v>
      </c>
      <c r="C605" s="7" t="s">
        <v>106</v>
      </c>
      <c r="E605" s="8" t="str">
        <f>IFERROR(__xludf.DUMMYFUNCTION("SPLIT(A605,""TX"")"),"Alkhatib, Yousef
3524 Omar Lane
Plano, ")</f>
        <v>Alkhatib, Yousef
3524 Omar Lane
Plano, </v>
      </c>
      <c r="F605" s="8">
        <f>IFERROR(__xludf.DUMMYFUNCTION("""COMPUTED_VALUE"""),75023.0)</f>
        <v>75023</v>
      </c>
      <c r="I605" s="8">
        <f t="shared" si="6"/>
        <v>75023</v>
      </c>
      <c r="J605" s="9">
        <f>IFERROR(__xludf.DUMMYFUNCTION("SPLIT(I605,""-"")"),75023.0)</f>
        <v>75023</v>
      </c>
    </row>
    <row r="606">
      <c r="A606" s="10" t="s">
        <v>596</v>
      </c>
      <c r="B606" s="11">
        <v>25.0</v>
      </c>
      <c r="C606" s="12" t="s">
        <v>106</v>
      </c>
      <c r="E606" s="8" t="str">
        <f>IFERROR(__xludf.DUMMYFUNCTION("SPLIT(A606,""TX"")"),"Aguirre, Janet
2807 Emmett
Dallas, ")</f>
        <v>Aguirre, Janet
2807 Emmett
Dallas, </v>
      </c>
      <c r="F606" s="8">
        <f>IFERROR(__xludf.DUMMYFUNCTION("""COMPUTED_VALUE"""),75211.0)</f>
        <v>75211</v>
      </c>
      <c r="I606" s="8">
        <f t="shared" si="6"/>
        <v>75211</v>
      </c>
      <c r="J606" s="9">
        <f>IFERROR(__xludf.DUMMYFUNCTION("SPLIT(I606,""-"")"),75211.0)</f>
        <v>75211</v>
      </c>
    </row>
    <row r="607">
      <c r="A607" s="5" t="s">
        <v>597</v>
      </c>
      <c r="B607" s="6">
        <v>10.0</v>
      </c>
      <c r="C607" s="7" t="s">
        <v>106</v>
      </c>
      <c r="E607" s="8" t="str">
        <f>IFERROR(__xludf.DUMMYFUNCTION("SPLIT(A607,""TX"")"),"Pintor, Abigail
123 Chamblin Dr
Cedar Hill, ")</f>
        <v>Pintor, Abigail
123 Chamblin Dr
Cedar Hill, </v>
      </c>
      <c r="F607" s="8">
        <f>IFERROR(__xludf.DUMMYFUNCTION("""COMPUTED_VALUE"""),75104.0)</f>
        <v>75104</v>
      </c>
      <c r="I607" s="8">
        <f t="shared" si="6"/>
        <v>75104</v>
      </c>
      <c r="J607" s="9">
        <f>IFERROR(__xludf.DUMMYFUNCTION("SPLIT(I607,""-"")"),75104.0)</f>
        <v>75104</v>
      </c>
    </row>
    <row r="608">
      <c r="A608" s="10" t="s">
        <v>598</v>
      </c>
      <c r="B608" s="11">
        <v>25.0</v>
      </c>
      <c r="C608" s="12" t="s">
        <v>106</v>
      </c>
      <c r="E608" s="8" t="str">
        <f>IFERROR(__xludf.DUMMYFUNCTION("SPLIT(A608,""TX"")"),"Faz, Carina
804 North Madison Avenue
Dallas, ")</f>
        <v>Faz, Carina
804 North Madison Avenue
Dallas, </v>
      </c>
      <c r="F608" s="8">
        <f>IFERROR(__xludf.DUMMYFUNCTION("""COMPUTED_VALUE"""),75208.0)</f>
        <v>75208</v>
      </c>
      <c r="I608" s="8">
        <f t="shared" si="6"/>
        <v>75208</v>
      </c>
      <c r="J608" s="9">
        <f>IFERROR(__xludf.DUMMYFUNCTION("SPLIT(I608,""-"")"),75208.0)</f>
        <v>75208</v>
      </c>
    </row>
    <row r="609">
      <c r="A609" s="5" t="s">
        <v>599</v>
      </c>
      <c r="B609" s="6">
        <v>25.0</v>
      </c>
      <c r="C609" s="7" t="s">
        <v>106</v>
      </c>
      <c r="E609" s="8" t="str">
        <f>IFERROR(__xludf.DUMMYFUNCTION("SPLIT(A609,""TX"")"),"Gonzales, Jessica
3619 Blue Ridge Blvd
Dallas, ")</f>
        <v>Gonzales, Jessica
3619 Blue Ridge Blvd
Dallas, </v>
      </c>
      <c r="F609" s="8">
        <f>IFERROR(__xludf.DUMMYFUNCTION("""COMPUTED_VALUE"""),75233.0)</f>
        <v>75233</v>
      </c>
      <c r="I609" s="8">
        <f t="shared" si="6"/>
        <v>75233</v>
      </c>
      <c r="J609" s="9">
        <f>IFERROR(__xludf.DUMMYFUNCTION("SPLIT(I609,""-"")"),75233.0)</f>
        <v>75233</v>
      </c>
    </row>
    <row r="610">
      <c r="A610" s="10" t="s">
        <v>600</v>
      </c>
      <c r="B610" s="11">
        <v>250.0</v>
      </c>
      <c r="C610" s="12" t="s">
        <v>106</v>
      </c>
      <c r="E610" s="8" t="str">
        <f>IFERROR(__xludf.DUMMYFUNCTION("SPLIT(A610,""TX"")"),"Barrera, Gerardo
1996 Higinio Cir
Roma, ")</f>
        <v>Barrera, Gerardo
1996 Higinio Cir
Roma, </v>
      </c>
      <c r="F610" s="8">
        <f>IFERROR(__xludf.DUMMYFUNCTION("""COMPUTED_VALUE"""),78584.0)</f>
        <v>78584</v>
      </c>
      <c r="I610" s="8">
        <f t="shared" si="6"/>
        <v>78584</v>
      </c>
      <c r="J610" s="9">
        <f>IFERROR(__xludf.DUMMYFUNCTION("SPLIT(I610,""-"")"),78584.0)</f>
        <v>78584</v>
      </c>
    </row>
    <row r="611">
      <c r="A611" s="5" t="s">
        <v>601</v>
      </c>
      <c r="B611" s="6">
        <v>50.0</v>
      </c>
      <c r="C611" s="7" t="s">
        <v>106</v>
      </c>
      <c r="E611" s="8" t="str">
        <f>IFERROR(__xludf.DUMMYFUNCTION("SPLIT(A611,""TX"")"),"Bays, Brandon
3327 Irwindell Boulevard
Dallas, ")</f>
        <v>Bays, Brandon
3327 Irwindell Boulevard
Dallas, </v>
      </c>
      <c r="F611" s="8">
        <f>IFERROR(__xludf.DUMMYFUNCTION("""COMPUTED_VALUE"""),75211.0)</f>
        <v>75211</v>
      </c>
      <c r="I611" s="8">
        <f t="shared" si="6"/>
        <v>75211</v>
      </c>
      <c r="J611" s="9">
        <f>IFERROR(__xludf.DUMMYFUNCTION("SPLIT(I611,""-"")"),75211.0)</f>
        <v>75211</v>
      </c>
    </row>
    <row r="612">
      <c r="A612" s="10" t="s">
        <v>602</v>
      </c>
      <c r="B612" s="11">
        <v>10.0</v>
      </c>
      <c r="C612" s="12" t="s">
        <v>106</v>
      </c>
      <c r="E612" s="8" t="str">
        <f>IFERROR(__xludf.DUMMYFUNCTION("SPLIT(A612,""TX"")"),"Solorzano, Jenifer
3233 South Vernon Avenue
Dallas, ")</f>
        <v>Solorzano, Jenifer
3233 South Vernon Avenue
Dallas, </v>
      </c>
      <c r="F612" s="8">
        <f>IFERROR(__xludf.DUMMYFUNCTION("""COMPUTED_VALUE"""),75224.0)</f>
        <v>75224</v>
      </c>
      <c r="I612" s="8">
        <f t="shared" si="6"/>
        <v>75224</v>
      </c>
      <c r="J612" s="9">
        <f>IFERROR(__xludf.DUMMYFUNCTION("SPLIT(I612,""-"")"),75224.0)</f>
        <v>75224</v>
      </c>
    </row>
    <row r="613">
      <c r="A613" s="5" t="s">
        <v>603</v>
      </c>
      <c r="B613" s="6">
        <v>175.0</v>
      </c>
      <c r="C613" s="7" t="s">
        <v>106</v>
      </c>
      <c r="E613" s="8" t="str">
        <f>IFERROR(__xludf.DUMMYFUNCTION("SPLIT(A613,""TX"")"),"Jafri, Michele
2805 Blodgett St.
Houston, ")</f>
        <v>Jafri, Michele
2805 Blodgett St.
Houston, </v>
      </c>
      <c r="F613" s="8">
        <f>IFERROR(__xludf.DUMMYFUNCTION("""COMPUTED_VALUE"""),77004.0)</f>
        <v>77004</v>
      </c>
      <c r="I613" s="8">
        <f t="shared" si="6"/>
        <v>77004</v>
      </c>
      <c r="J613" s="9">
        <f>IFERROR(__xludf.DUMMYFUNCTION("SPLIT(I613,""-"")"),77004.0)</f>
        <v>77004</v>
      </c>
    </row>
    <row r="614">
      <c r="A614" s="10" t="s">
        <v>604</v>
      </c>
      <c r="B614" s="11">
        <v>20.0</v>
      </c>
      <c r="C614" s="12" t="s">
        <v>106</v>
      </c>
      <c r="E614" s="8" t="str">
        <f>IFERROR(__xludf.DUMMYFUNCTION("SPLIT(A614,""TX"")"),"Gomez, Roy
922 W 9th St
Dallas, ")</f>
        <v>Gomez, Roy
922 W 9th St
Dallas, </v>
      </c>
      <c r="F614" s="8">
        <f>IFERROR(__xludf.DUMMYFUNCTION("""COMPUTED_VALUE"""),75208.0)</f>
        <v>75208</v>
      </c>
      <c r="I614" s="8">
        <f t="shared" si="6"/>
        <v>75208</v>
      </c>
      <c r="J614" s="9">
        <f>IFERROR(__xludf.DUMMYFUNCTION("SPLIT(I614,""-"")"),75208.0)</f>
        <v>75208</v>
      </c>
    </row>
    <row r="615">
      <c r="A615" s="5" t="s">
        <v>605</v>
      </c>
      <c r="B615" s="6">
        <v>200.0</v>
      </c>
      <c r="C615" s="7" t="s">
        <v>106</v>
      </c>
      <c r="E615" s="8" t="str">
        <f>IFERROR(__xludf.DUMMYFUNCTION("SPLIT(A615,""TX"")"),"Allaico-Guadalupe, Steve
700 South Florida Avenue
")</f>
        <v>Allaico-Guadalupe, Steve
700 South Florida Avenue
</v>
      </c>
      <c r="F615" s="8" t="str">
        <f>IFERROR(__xludf.DUMMYFUNCTION("""COMPUTED_VALUE"""),"arpon Springs, FL 34689")</f>
        <v>arpon Springs, FL 34689</v>
      </c>
      <c r="J615" s="9" t="str">
        <f>IFERROR(__xludf.DUMMYFUNCTION("SPLIT(I615,""-"")"),"#VALUE!")</f>
        <v>#VALUE!</v>
      </c>
    </row>
    <row r="616">
      <c r="A616" s="10" t="s">
        <v>606</v>
      </c>
      <c r="B616" s="11">
        <v>100.0</v>
      </c>
      <c r="C616" s="12" t="s">
        <v>106</v>
      </c>
      <c r="E616" s="8" t="str">
        <f>IFERROR(__xludf.DUMMYFUNCTION("SPLIT(A616,""TX"")"),"Bays, Brandon
3327 Irwindell Blvd
Dallas, ")</f>
        <v>Bays, Brandon
3327 Irwindell Blvd
Dallas, </v>
      </c>
      <c r="F616" s="8">
        <f>IFERROR(__xludf.DUMMYFUNCTION("""COMPUTED_VALUE"""),75211.0)</f>
        <v>75211</v>
      </c>
      <c r="I616" s="8">
        <f t="shared" ref="I616:I776" si="7">IF(ISBLANK(G616),F616,G616)</f>
        <v>75211</v>
      </c>
      <c r="J616" s="9">
        <f>IFERROR(__xludf.DUMMYFUNCTION("SPLIT(I616,""-"")"),75211.0)</f>
        <v>75211</v>
      </c>
    </row>
    <row r="617">
      <c r="A617" s="5" t="s">
        <v>607</v>
      </c>
      <c r="B617" s="6">
        <v>200.0</v>
      </c>
      <c r="C617" s="7" t="s">
        <v>106</v>
      </c>
      <c r="E617" s="8" t="str">
        <f>IFERROR(__xludf.DUMMYFUNCTION("SPLIT(A617,""TX"")"),"Goldsmith, Andrew
3000 Wingren Rd
Irving, ")</f>
        <v>Goldsmith, Andrew
3000 Wingren Rd
Irving, </v>
      </c>
      <c r="F617" s="8">
        <f>IFERROR(__xludf.DUMMYFUNCTION("""COMPUTED_VALUE"""),75062.0)</f>
        <v>75062</v>
      </c>
      <c r="I617" s="8">
        <f t="shared" si="7"/>
        <v>75062</v>
      </c>
      <c r="J617" s="9">
        <f>IFERROR(__xludf.DUMMYFUNCTION("SPLIT(I617,""-"")"),75062.0)</f>
        <v>75062</v>
      </c>
    </row>
    <row r="618">
      <c r="A618" s="10" t="s">
        <v>608</v>
      </c>
      <c r="B618" s="11">
        <v>100.0</v>
      </c>
      <c r="C618" s="12" t="s">
        <v>106</v>
      </c>
      <c r="E618" s="8" t="str">
        <f>IFERROR(__xludf.DUMMYFUNCTION("SPLIT(A618,""TX"")"),"Cannon, Emily Ruth
1713 Knob Hill Ct
Cedar Hill, ")</f>
        <v>Cannon, Emily Ruth
1713 Knob Hill Ct
Cedar Hill, </v>
      </c>
      <c r="F618" s="8">
        <f>IFERROR(__xludf.DUMMYFUNCTION("""COMPUTED_VALUE"""),75104.0)</f>
        <v>75104</v>
      </c>
      <c r="I618" s="8">
        <f t="shared" si="7"/>
        <v>75104</v>
      </c>
      <c r="J618" s="9">
        <f>IFERROR(__xludf.DUMMYFUNCTION("SPLIT(I618,""-"")"),75104.0)</f>
        <v>75104</v>
      </c>
    </row>
    <row r="619">
      <c r="A619" s="5" t="s">
        <v>609</v>
      </c>
      <c r="B619" s="6">
        <v>100.0</v>
      </c>
      <c r="C619" s="7" t="s">
        <v>106</v>
      </c>
      <c r="E619" s="8" t="str">
        <f>IFERROR(__xludf.DUMMYFUNCTION("SPLIT(A619,""TX"")"),"Gonzalez, Albert
2108 Kessler Ct
Dallas, ")</f>
        <v>Gonzalez, Albert
2108 Kessler Ct
Dallas, </v>
      </c>
      <c r="F619" s="8">
        <f>IFERROR(__xludf.DUMMYFUNCTION("""COMPUTED_VALUE"""),75208.0)</f>
        <v>75208</v>
      </c>
      <c r="I619" s="8">
        <f t="shared" si="7"/>
        <v>75208</v>
      </c>
      <c r="J619" s="9">
        <f>IFERROR(__xludf.DUMMYFUNCTION("SPLIT(I619,""-"")"),75208.0)</f>
        <v>75208</v>
      </c>
    </row>
    <row r="620">
      <c r="A620" s="10" t="s">
        <v>537</v>
      </c>
      <c r="B620" s="11">
        <v>50.0</v>
      </c>
      <c r="C620" s="12" t="s">
        <v>106</v>
      </c>
      <c r="E620" s="8" t="str">
        <f>IFERROR(__xludf.DUMMYFUNCTION("SPLIT(A620,""TX"")"),"Alvarez, Veronica
1914 Mountain Lake Road
Dallas, ")</f>
        <v>Alvarez, Veronica
1914 Mountain Lake Road
Dallas, </v>
      </c>
      <c r="F620" s="8">
        <f>IFERROR(__xludf.DUMMYFUNCTION("""COMPUTED_VALUE"""),75224.0)</f>
        <v>75224</v>
      </c>
      <c r="I620" s="8">
        <f t="shared" si="7"/>
        <v>75224</v>
      </c>
      <c r="J620" s="9">
        <f>IFERROR(__xludf.DUMMYFUNCTION("SPLIT(I620,""-"")"),75224.0)</f>
        <v>75224</v>
      </c>
    </row>
    <row r="621">
      <c r="A621" s="5" t="s">
        <v>610</v>
      </c>
      <c r="B621" s="6">
        <v>50.0</v>
      </c>
      <c r="C621" s="7" t="s">
        <v>106</v>
      </c>
      <c r="E621" s="8" t="str">
        <f>IFERROR(__xludf.DUMMYFUNCTION("SPLIT(A621,""TX"")"),"Heyl, Marissa
202 East 5th Street
Dallas, ")</f>
        <v>Heyl, Marissa
202 East 5th Street
Dallas, </v>
      </c>
      <c r="F621" s="8">
        <f>IFERROR(__xludf.DUMMYFUNCTION("""COMPUTED_VALUE"""),75203.0)</f>
        <v>75203</v>
      </c>
      <c r="I621" s="8">
        <f t="shared" si="7"/>
        <v>75203</v>
      </c>
      <c r="J621" s="9">
        <f>IFERROR(__xludf.DUMMYFUNCTION("SPLIT(I621,""-"")"),75203.0)</f>
        <v>75203</v>
      </c>
    </row>
    <row r="622">
      <c r="A622" s="10" t="s">
        <v>611</v>
      </c>
      <c r="B622" s="11">
        <v>100.0</v>
      </c>
      <c r="C622" s="12" t="s">
        <v>106</v>
      </c>
      <c r="E622" s="8" t="str">
        <f>IFERROR(__xludf.DUMMYFUNCTION("SPLIT(A622,""TX"")"),"Polk, Mike
4144 Western St
Dallas, ")</f>
        <v>Polk, Mike
4144 Western St
Dallas, </v>
      </c>
      <c r="F622" s="8">
        <f>IFERROR(__xludf.DUMMYFUNCTION("""COMPUTED_VALUE"""),75211.0)</f>
        <v>75211</v>
      </c>
      <c r="I622" s="8">
        <f t="shared" si="7"/>
        <v>75211</v>
      </c>
      <c r="J622" s="9">
        <f>IFERROR(__xludf.DUMMYFUNCTION("SPLIT(I622,""-"")"),75211.0)</f>
        <v>75211</v>
      </c>
    </row>
    <row r="623">
      <c r="A623" s="5" t="s">
        <v>612</v>
      </c>
      <c r="B623" s="6">
        <v>40.0</v>
      </c>
      <c r="C623" s="7" t="s">
        <v>106</v>
      </c>
      <c r="E623" s="8" t="str">
        <f>IFERROR(__xludf.DUMMYFUNCTION("SPLIT(A623,""TX"")"),"Hernandez, Luisira
803 S Edgefield Ave
Dallas, ")</f>
        <v>Hernandez, Luisira
803 S Edgefield Ave
Dallas, </v>
      </c>
      <c r="F623" s="8">
        <f>IFERROR(__xludf.DUMMYFUNCTION("""COMPUTED_VALUE"""),75208.0)</f>
        <v>75208</v>
      </c>
      <c r="I623" s="8">
        <f t="shared" si="7"/>
        <v>75208</v>
      </c>
      <c r="J623" s="9">
        <f>IFERROR(__xludf.DUMMYFUNCTION("SPLIT(I623,""-"")"),75208.0)</f>
        <v>75208</v>
      </c>
    </row>
    <row r="624">
      <c r="A624" s="10" t="s">
        <v>564</v>
      </c>
      <c r="B624" s="11">
        <v>100.0</v>
      </c>
      <c r="C624" s="12" t="s">
        <v>106</v>
      </c>
      <c r="E624" s="8" t="str">
        <f>IFERROR(__xludf.DUMMYFUNCTION("SPLIT(A624,""TX"")"),"Flores, Jasmin
2206 Melbourne Ave
Dallas, ")</f>
        <v>Flores, Jasmin
2206 Melbourne Ave
Dallas, </v>
      </c>
      <c r="F624" s="8">
        <f>IFERROR(__xludf.DUMMYFUNCTION("""COMPUTED_VALUE"""),75224.0)</f>
        <v>75224</v>
      </c>
      <c r="I624" s="8">
        <f t="shared" si="7"/>
        <v>75224</v>
      </c>
      <c r="J624" s="9">
        <f>IFERROR(__xludf.DUMMYFUNCTION("SPLIT(I624,""-"")"),75224.0)</f>
        <v>75224</v>
      </c>
    </row>
    <row r="625">
      <c r="A625" s="5" t="s">
        <v>613</v>
      </c>
      <c r="B625" s="6">
        <v>25.0</v>
      </c>
      <c r="C625" s="7" t="s">
        <v>106</v>
      </c>
      <c r="E625" s="8" t="str">
        <f>IFERROR(__xludf.DUMMYFUNCTION("SPLIT(A625,""TX"")"),"Gonzalez, Cirzy
2707 Overcrest Street
Dallas, ")</f>
        <v>Gonzalez, Cirzy
2707 Overcrest Street
Dallas, </v>
      </c>
      <c r="F625" s="8">
        <f>IFERROR(__xludf.DUMMYFUNCTION("""COMPUTED_VALUE"""),75211.0)</f>
        <v>75211</v>
      </c>
      <c r="I625" s="8">
        <f t="shared" si="7"/>
        <v>75211</v>
      </c>
      <c r="J625" s="9">
        <f>IFERROR(__xludf.DUMMYFUNCTION("SPLIT(I625,""-"")"),75211.0)</f>
        <v>75211</v>
      </c>
    </row>
    <row r="626">
      <c r="A626" s="10" t="s">
        <v>614</v>
      </c>
      <c r="B626" s="11">
        <v>25.0</v>
      </c>
      <c r="C626" s="12" t="s">
        <v>106</v>
      </c>
      <c r="E626" s="8" t="str">
        <f>IFERROR(__xludf.DUMMYFUNCTION("SPLIT(A626,""TX"")"),"Schepps, Peggy
835 North Bishop Avenue
Dallas, ")</f>
        <v>Schepps, Peggy
835 North Bishop Avenue
Dallas, </v>
      </c>
      <c r="F626" s="8">
        <f>IFERROR(__xludf.DUMMYFUNCTION("""COMPUTED_VALUE"""),75208.0)</f>
        <v>75208</v>
      </c>
      <c r="I626" s="8">
        <f t="shared" si="7"/>
        <v>75208</v>
      </c>
      <c r="J626" s="9">
        <f>IFERROR(__xludf.DUMMYFUNCTION("SPLIT(I626,""-"")"),75208.0)</f>
        <v>75208</v>
      </c>
    </row>
    <row r="627">
      <c r="A627" s="5" t="s">
        <v>448</v>
      </c>
      <c r="B627" s="6">
        <v>100.0</v>
      </c>
      <c r="C627" s="7" t="s">
        <v>106</v>
      </c>
      <c r="E627" s="8" t="str">
        <f>IFERROR(__xludf.DUMMYFUNCTION("SPLIT(A627,""TX"")"),"Griffith, Gary
6875 Carolyncrest Drive
Dallas, ")</f>
        <v>Griffith, Gary
6875 Carolyncrest Drive
Dallas, </v>
      </c>
      <c r="F627" s="8">
        <f>IFERROR(__xludf.DUMMYFUNCTION("""COMPUTED_VALUE"""),75214.0)</f>
        <v>75214</v>
      </c>
      <c r="I627" s="8">
        <f t="shared" si="7"/>
        <v>75214</v>
      </c>
      <c r="J627" s="9">
        <f>IFERROR(__xludf.DUMMYFUNCTION("SPLIT(I627,""-"")"),75214.0)</f>
        <v>75214</v>
      </c>
    </row>
    <row r="628">
      <c r="A628" s="10" t="s">
        <v>547</v>
      </c>
      <c r="B628" s="11">
        <v>100.0</v>
      </c>
      <c r="C628" s="12" t="s">
        <v>106</v>
      </c>
      <c r="E628" s="8" t="str">
        <f>IFERROR(__xludf.DUMMYFUNCTION("SPLIT(A628,""TX"")"),"Ordex, ")</f>
        <v>Ordex, </v>
      </c>
      <c r="F628" s="8" t="str">
        <f>IFERROR(__xludf.DUMMYFUNCTION("""COMPUTED_VALUE"""),"risteza
3415 Navajo Ct
Dallas, ")</f>
        <v>risteza
3415 Navajo Ct
Dallas, </v>
      </c>
      <c r="G628" s="8">
        <f>IFERROR(__xludf.DUMMYFUNCTION("""COMPUTED_VALUE"""),75224.0)</f>
        <v>75224</v>
      </c>
      <c r="I628" s="8">
        <f t="shared" si="7"/>
        <v>75224</v>
      </c>
      <c r="J628" s="9">
        <f>IFERROR(__xludf.DUMMYFUNCTION("SPLIT(I628,""-"")"),75224.0)</f>
        <v>75224</v>
      </c>
    </row>
    <row r="629">
      <c r="A629" s="5" t="s">
        <v>615</v>
      </c>
      <c r="B629" s="6">
        <v>10.0</v>
      </c>
      <c r="C629" s="7" t="s">
        <v>106</v>
      </c>
      <c r="E629" s="8" t="str">
        <f>IFERROR(__xludf.DUMMYFUNCTION("SPLIT(A629,""TX"")"),"Gutierrez, Jazmine
4224 W Red Bird Ln
Dallas, ")</f>
        <v>Gutierrez, Jazmine
4224 W Red Bird Ln
Dallas, </v>
      </c>
      <c r="F629" s="8">
        <f>IFERROR(__xludf.DUMMYFUNCTION("""COMPUTED_VALUE"""),75237.0)</f>
        <v>75237</v>
      </c>
      <c r="I629" s="8">
        <f t="shared" si="7"/>
        <v>75237</v>
      </c>
      <c r="J629" s="9">
        <f>IFERROR(__xludf.DUMMYFUNCTION("SPLIT(I629,""-"")"),75237.0)</f>
        <v>75237</v>
      </c>
    </row>
    <row r="630">
      <c r="A630" s="10" t="s">
        <v>616</v>
      </c>
      <c r="B630" s="11">
        <v>25.0</v>
      </c>
      <c r="C630" s="12" t="s">
        <v>106</v>
      </c>
      <c r="E630" s="8" t="str">
        <f>IFERROR(__xludf.DUMMYFUNCTION("SPLIT(A630,""TX"")"),"Saenz, Maribel
1309 Wentwood Dr
Desoto, ")</f>
        <v>Saenz, Maribel
1309 Wentwood Dr
Desoto, </v>
      </c>
      <c r="F630" s="8">
        <f>IFERROR(__xludf.DUMMYFUNCTION("""COMPUTED_VALUE"""),75115.0)</f>
        <v>75115</v>
      </c>
      <c r="I630" s="8">
        <f t="shared" si="7"/>
        <v>75115</v>
      </c>
      <c r="J630" s="9">
        <f>IFERROR(__xludf.DUMMYFUNCTION("SPLIT(I630,""-"")"),75115.0)</f>
        <v>75115</v>
      </c>
    </row>
    <row r="631">
      <c r="A631" s="5" t="s">
        <v>617</v>
      </c>
      <c r="B631" s="6">
        <v>50.0</v>
      </c>
      <c r="C631" s="7" t="s">
        <v>106</v>
      </c>
      <c r="E631" s="8" t="str">
        <f>IFERROR(__xludf.DUMMYFUNCTION("SPLIT(A631,""TX"")"),"Gallardo Montejano, Violeta
1310 Melbourne
Dallas, ")</f>
        <v>Gallardo Montejano, Violeta
1310 Melbourne
Dallas, </v>
      </c>
      <c r="F631" s="8">
        <f>IFERROR(__xludf.DUMMYFUNCTION("""COMPUTED_VALUE"""),75224.0)</f>
        <v>75224</v>
      </c>
      <c r="I631" s="8">
        <f t="shared" si="7"/>
        <v>75224</v>
      </c>
      <c r="J631" s="9">
        <f>IFERROR(__xludf.DUMMYFUNCTION("SPLIT(I631,""-"")"),75224.0)</f>
        <v>75224</v>
      </c>
    </row>
    <row r="632">
      <c r="A632" s="10" t="s">
        <v>618</v>
      </c>
      <c r="B632" s="11">
        <v>50.0</v>
      </c>
      <c r="C632" s="12" t="s">
        <v>106</v>
      </c>
      <c r="E632" s="8" t="str">
        <f>IFERROR(__xludf.DUMMYFUNCTION("SPLIT(A632,""TX"")"),"Hernandez, Cecilia
218 Merribrook ")</f>
        <v>Hernandez, Cecilia
218 Merribrook </v>
      </c>
      <c r="F632" s="8" t="str">
        <f>IFERROR(__xludf.DUMMYFUNCTION("""COMPUTED_VALUE"""),"rail
Duncanville, ")</f>
        <v>rail
Duncanville, </v>
      </c>
      <c r="G632" s="8">
        <f>IFERROR(__xludf.DUMMYFUNCTION("""COMPUTED_VALUE"""),75116.0)</f>
        <v>75116</v>
      </c>
      <c r="I632" s="8">
        <f t="shared" si="7"/>
        <v>75116</v>
      </c>
      <c r="J632" s="9">
        <f>IFERROR(__xludf.DUMMYFUNCTION("SPLIT(I632,""-"")"),75116.0)</f>
        <v>75116</v>
      </c>
    </row>
    <row r="633">
      <c r="A633" s="5" t="s">
        <v>564</v>
      </c>
      <c r="B633" s="6">
        <v>25.0</v>
      </c>
      <c r="C633" s="7" t="s">
        <v>106</v>
      </c>
      <c r="E633" s="8" t="str">
        <f>IFERROR(__xludf.DUMMYFUNCTION("SPLIT(A633,""TX"")"),"Flores, Jasmin
2206 Melbourne Ave
Dallas, ")</f>
        <v>Flores, Jasmin
2206 Melbourne Ave
Dallas, </v>
      </c>
      <c r="F633" s="8">
        <f>IFERROR(__xludf.DUMMYFUNCTION("""COMPUTED_VALUE"""),75224.0)</f>
        <v>75224</v>
      </c>
      <c r="I633" s="8">
        <f t="shared" si="7"/>
        <v>75224</v>
      </c>
      <c r="J633" s="9">
        <f>IFERROR(__xludf.DUMMYFUNCTION("SPLIT(I633,""-"")"),75224.0)</f>
        <v>75224</v>
      </c>
    </row>
    <row r="634">
      <c r="A634" s="10" t="s">
        <v>619</v>
      </c>
      <c r="B634" s="11">
        <v>20.0</v>
      </c>
      <c r="C634" s="12" t="s">
        <v>106</v>
      </c>
      <c r="E634" s="8" t="str">
        <f>IFERROR(__xludf.DUMMYFUNCTION("SPLIT(A634,""TX"")"),"Creel, Eva
2042 Marydale Dr.
Dallas, ")</f>
        <v>Creel, Eva
2042 Marydale Dr.
Dallas, </v>
      </c>
      <c r="F634" s="8">
        <f>IFERROR(__xludf.DUMMYFUNCTION("""COMPUTED_VALUE"""),75208.0)</f>
        <v>75208</v>
      </c>
      <c r="I634" s="8">
        <f t="shared" si="7"/>
        <v>75208</v>
      </c>
      <c r="J634" s="9">
        <f>IFERROR(__xludf.DUMMYFUNCTION("SPLIT(I634,""-"")"),75208.0)</f>
        <v>75208</v>
      </c>
    </row>
    <row r="635">
      <c r="A635" s="5" t="s">
        <v>620</v>
      </c>
      <c r="B635" s="6">
        <v>25.0</v>
      </c>
      <c r="C635" s="7" t="s">
        <v>106</v>
      </c>
      <c r="E635" s="8" t="str">
        <f>IFERROR(__xludf.DUMMYFUNCTION("SPLIT(A635,""TX"")"),"Valderas, Giovanni
427 Marshalldell Avenue
Dallas, ")</f>
        <v>Valderas, Giovanni
427 Marshalldell Avenue
Dallas, </v>
      </c>
      <c r="F635" s="8">
        <f>IFERROR(__xludf.DUMMYFUNCTION("""COMPUTED_VALUE"""),75211.0)</f>
        <v>75211</v>
      </c>
      <c r="I635" s="8">
        <f t="shared" si="7"/>
        <v>75211</v>
      </c>
      <c r="J635" s="9">
        <f>IFERROR(__xludf.DUMMYFUNCTION("SPLIT(I635,""-"")"),75211.0)</f>
        <v>75211</v>
      </c>
    </row>
    <row r="636">
      <c r="A636" s="10" t="s">
        <v>621</v>
      </c>
      <c r="B636" s="11">
        <v>25.0</v>
      </c>
      <c r="C636" s="12" t="s">
        <v>106</v>
      </c>
      <c r="E636" s="8" t="str">
        <f>IFERROR(__xludf.DUMMYFUNCTION("SPLIT(A636,""TX"")"),"Enciso, Angela
918 De Witt Cir
Dallas, ")</f>
        <v>Enciso, Angela
918 De Witt Cir
Dallas, </v>
      </c>
      <c r="F636" s="8">
        <f>IFERROR(__xludf.DUMMYFUNCTION("""COMPUTED_VALUE"""),75224.0)</f>
        <v>75224</v>
      </c>
      <c r="I636" s="8">
        <f t="shared" si="7"/>
        <v>75224</v>
      </c>
      <c r="J636" s="9">
        <f>IFERROR(__xludf.DUMMYFUNCTION("SPLIT(I636,""-"")"),75224.0)</f>
        <v>75224</v>
      </c>
    </row>
    <row r="637">
      <c r="A637" s="5" t="s">
        <v>622</v>
      </c>
      <c r="B637" s="6">
        <v>100.0</v>
      </c>
      <c r="C637" s="7" t="s">
        <v>106</v>
      </c>
      <c r="E637" s="8" t="str">
        <f>IFERROR(__xludf.DUMMYFUNCTION("SPLIT(A637,""TX"")"),"Martinez, Elijah
813 Lowe Drive
Cedar Hill, ")</f>
        <v>Martinez, Elijah
813 Lowe Drive
Cedar Hill, </v>
      </c>
      <c r="F637" s="8">
        <f>IFERROR(__xludf.DUMMYFUNCTION("""COMPUTED_VALUE"""),75104.0)</f>
        <v>75104</v>
      </c>
      <c r="I637" s="8">
        <f t="shared" si="7"/>
        <v>75104</v>
      </c>
      <c r="J637" s="9">
        <f>IFERROR(__xludf.DUMMYFUNCTION("SPLIT(I637,""-"")"),75104.0)</f>
        <v>75104</v>
      </c>
    </row>
    <row r="638">
      <c r="A638" s="10" t="s">
        <v>623</v>
      </c>
      <c r="B638" s="11">
        <v>100.0</v>
      </c>
      <c r="C638" s="12" t="s">
        <v>106</v>
      </c>
      <c r="E638" s="8" t="str">
        <f>IFERROR(__xludf.DUMMYFUNCTION("SPLIT(A638,""TX"")"),"Loredo, Ana
810 Evie Ave
Brownsville, ")</f>
        <v>Loredo, Ana
810 Evie Ave
Brownsville, </v>
      </c>
      <c r="F638" s="8">
        <f>IFERROR(__xludf.DUMMYFUNCTION("""COMPUTED_VALUE"""),78526.0)</f>
        <v>78526</v>
      </c>
      <c r="I638" s="8">
        <f t="shared" si="7"/>
        <v>78526</v>
      </c>
      <c r="J638" s="9">
        <f>IFERROR(__xludf.DUMMYFUNCTION("SPLIT(I638,""-"")"),78526.0)</f>
        <v>78526</v>
      </c>
    </row>
    <row r="639">
      <c r="A639" s="5" t="s">
        <v>624</v>
      </c>
      <c r="B639" s="6">
        <v>10.0</v>
      </c>
      <c r="C639" s="7" t="s">
        <v>106</v>
      </c>
      <c r="E639" s="8" t="str">
        <f>IFERROR(__xludf.DUMMYFUNCTION("SPLIT(A639,""TX"")"),"Romo, Scarleth
4128 ")</f>
        <v>Romo, Scarleth
4128 </v>
      </c>
      <c r="F639" s="8" t="str">
        <f>IFERROR(__xludf.DUMMYFUNCTION("""COMPUTED_VALUE"""),"exas dr
Dallas, ")</f>
        <v>exas dr
Dallas, </v>
      </c>
      <c r="G639" s="8">
        <f>IFERROR(__xludf.DUMMYFUNCTION("""COMPUTED_VALUE"""),75211.0)</f>
        <v>75211</v>
      </c>
      <c r="I639" s="8">
        <f t="shared" si="7"/>
        <v>75211</v>
      </c>
      <c r="J639" s="9">
        <f>IFERROR(__xludf.DUMMYFUNCTION("SPLIT(I639,""-"")"),75211.0)</f>
        <v>75211</v>
      </c>
    </row>
    <row r="640">
      <c r="A640" s="10" t="s">
        <v>625</v>
      </c>
      <c r="B640" s="11">
        <v>50.0</v>
      </c>
      <c r="C640" s="12" t="s">
        <v>106</v>
      </c>
      <c r="E640" s="8" t="str">
        <f>IFERROR(__xludf.DUMMYFUNCTION("SPLIT(A640,""TX"")"),"esta, Nino
626 North Montclair Avenue
Dallas, ")</f>
        <v>esta, Nino
626 North Montclair Avenue
Dallas, </v>
      </c>
      <c r="F640" s="8">
        <f>IFERROR(__xludf.DUMMYFUNCTION("""COMPUTED_VALUE"""),75208.0)</f>
        <v>75208</v>
      </c>
      <c r="I640" s="8">
        <f t="shared" si="7"/>
        <v>75208</v>
      </c>
      <c r="J640" s="9">
        <f>IFERROR(__xludf.DUMMYFUNCTION("SPLIT(I640,""-"")"),75208.0)</f>
        <v>75208</v>
      </c>
    </row>
    <row r="641">
      <c r="A641" s="5" t="s">
        <v>626</v>
      </c>
      <c r="B641" s="6">
        <v>0.0</v>
      </c>
      <c r="C641" s="7" t="s">
        <v>627</v>
      </c>
      <c r="E641" s="8" t="str">
        <f>IFERROR(__xludf.DUMMYFUNCTION("SPLIT(A641,""TX"")"),"REPAC
1115 San Jacinto Blvd
Austin, ")</f>
        <v>REPAC
1115 San Jacinto Blvd
Austin, </v>
      </c>
      <c r="F641" s="8">
        <f>IFERROR(__xludf.DUMMYFUNCTION("""COMPUTED_VALUE"""),78701.0)</f>
        <v>78701</v>
      </c>
      <c r="I641" s="8">
        <f t="shared" si="7"/>
        <v>78701</v>
      </c>
      <c r="J641" s="9">
        <f>IFERROR(__xludf.DUMMYFUNCTION("SPLIT(I641,""-"")"),78701.0)</f>
        <v>78701</v>
      </c>
    </row>
    <row r="642">
      <c r="A642" s="10" t="s">
        <v>628</v>
      </c>
      <c r="B642" s="11">
        <v>1000.0</v>
      </c>
      <c r="C642" s="12" t="s">
        <v>629</v>
      </c>
      <c r="E642" s="8" t="str">
        <f>IFERROR(__xludf.DUMMYFUNCTION("SPLIT(A642,""TX"")"),"Surita, Sylvia
7110 Vicuna Cir
Sachse, ")</f>
        <v>Surita, Sylvia
7110 Vicuna Cir
Sachse, </v>
      </c>
      <c r="F642" s="8">
        <f>IFERROR(__xludf.DUMMYFUNCTION("""COMPUTED_VALUE"""),75048.0)</f>
        <v>75048</v>
      </c>
      <c r="I642" s="8">
        <f t="shared" si="7"/>
        <v>75048</v>
      </c>
      <c r="J642" s="9">
        <f>IFERROR(__xludf.DUMMYFUNCTION("SPLIT(I642,""-"")"),75048.0)</f>
        <v>75048</v>
      </c>
    </row>
    <row r="643">
      <c r="A643" s="5" t="s">
        <v>630</v>
      </c>
      <c r="B643" s="6">
        <v>1000.0</v>
      </c>
      <c r="C643" s="7" t="s">
        <v>629</v>
      </c>
      <c r="E643" s="8" t="str">
        <f>IFERROR(__xludf.DUMMYFUNCTION("SPLIT(A643,""TX"")"),"Surita, Bobby
7110 Vicuna Cir
Sachse, ")</f>
        <v>Surita, Bobby
7110 Vicuna Cir
Sachse, </v>
      </c>
      <c r="F643" s="8">
        <f>IFERROR(__xludf.DUMMYFUNCTION("""COMPUTED_VALUE"""),75048.0)</f>
        <v>75048</v>
      </c>
      <c r="I643" s="8">
        <f t="shared" si="7"/>
        <v>75048</v>
      </c>
      <c r="J643" s="9">
        <f>IFERROR(__xludf.DUMMYFUNCTION("SPLIT(I643,""-"")"),75048.0)</f>
        <v>75048</v>
      </c>
    </row>
    <row r="644">
      <c r="A644" s="10" t="s">
        <v>631</v>
      </c>
      <c r="B644" s="11">
        <v>500.0</v>
      </c>
      <c r="C644" s="12" t="s">
        <v>629</v>
      </c>
      <c r="E644" s="8" t="str">
        <f>IFERROR(__xludf.DUMMYFUNCTION("SPLIT(A644,""TX"")"),"Coffman, Kathy
10805 Larkglen
Dallas, ")</f>
        <v>Coffman, Kathy
10805 Larkglen
Dallas, </v>
      </c>
      <c r="F644" s="8">
        <f>IFERROR(__xludf.DUMMYFUNCTION("""COMPUTED_VALUE"""),75230.0)</f>
        <v>75230</v>
      </c>
      <c r="I644" s="8">
        <f t="shared" si="7"/>
        <v>75230</v>
      </c>
      <c r="J644" s="9">
        <f>IFERROR(__xludf.DUMMYFUNCTION("SPLIT(I644,""-"")"),75230.0)</f>
        <v>75230</v>
      </c>
    </row>
    <row r="645">
      <c r="A645" s="5" t="s">
        <v>632</v>
      </c>
      <c r="B645" s="6">
        <v>100.0</v>
      </c>
      <c r="C645" s="7" t="s">
        <v>353</v>
      </c>
      <c r="E645" s="8" t="str">
        <f>IFERROR(__xludf.DUMMYFUNCTION("SPLIT(A645,""TX"")"),"Wilson, Henri
505 Brook Valley Ln
Dallas, ")</f>
        <v>Wilson, Henri
505 Brook Valley Ln
Dallas, </v>
      </c>
      <c r="F645" s="8">
        <f>IFERROR(__xludf.DUMMYFUNCTION("""COMPUTED_VALUE"""),75232.0)</f>
        <v>75232</v>
      </c>
      <c r="I645" s="8">
        <f t="shared" si="7"/>
        <v>75232</v>
      </c>
      <c r="J645" s="9">
        <f>IFERROR(__xludf.DUMMYFUNCTION("SPLIT(I645,""-"")"),75232.0)</f>
        <v>75232</v>
      </c>
    </row>
    <row r="646">
      <c r="A646" s="5" t="s">
        <v>633</v>
      </c>
      <c r="B646" s="6">
        <v>500.0</v>
      </c>
      <c r="C646" s="7" t="s">
        <v>634</v>
      </c>
      <c r="E646" s="8" t="str">
        <f>IFERROR(__xludf.DUMMYFUNCTION("SPLIT(A646,""TX"")"),"Losinger, Sarah
4506 Park Lane 2023
Dallas, ")</f>
        <v>Losinger, Sarah
4506 Park Lane 2023
Dallas, </v>
      </c>
      <c r="F646" s="8">
        <f>IFERROR(__xludf.DUMMYFUNCTION("""COMPUTED_VALUE"""),75220.0)</f>
        <v>75220</v>
      </c>
      <c r="I646" s="8">
        <f t="shared" si="7"/>
        <v>75220</v>
      </c>
      <c r="J646" s="9">
        <f>IFERROR(__xludf.DUMMYFUNCTION("SPLIT(I646,""-"")"),75220.0)</f>
        <v>75220</v>
      </c>
    </row>
    <row r="647">
      <c r="A647" s="5" t="s">
        <v>635</v>
      </c>
      <c r="B647" s="6">
        <v>50.0</v>
      </c>
      <c r="C647" s="7" t="s">
        <v>636</v>
      </c>
      <c r="E647" s="8" t="str">
        <f>IFERROR(__xludf.DUMMYFUNCTION("SPLIT(A647,""TX"")"),"Rowland, Jeanette
9734 Shadydale Lane
Dallas, ")</f>
        <v>Rowland, Jeanette
9734 Shadydale Lane
Dallas, </v>
      </c>
      <c r="F647" s="8">
        <f>IFERROR(__xludf.DUMMYFUNCTION("""COMPUTED_VALUE"""),75238.0)</f>
        <v>75238</v>
      </c>
      <c r="I647" s="8">
        <f t="shared" si="7"/>
        <v>75238</v>
      </c>
      <c r="J647" s="9">
        <f>IFERROR(__xludf.DUMMYFUNCTION("SPLIT(I647,""-"")"),75238.0)</f>
        <v>75238</v>
      </c>
    </row>
    <row r="648">
      <c r="A648" s="10" t="s">
        <v>637</v>
      </c>
      <c r="B648" s="11">
        <v>50.0</v>
      </c>
      <c r="C648" s="12" t="s">
        <v>636</v>
      </c>
      <c r="E648" s="8" t="str">
        <f>IFERROR(__xludf.DUMMYFUNCTION("SPLIT(A648,""TX"")"),"Sexton, ")</f>
        <v>Sexton, </v>
      </c>
      <c r="F648" s="8" t="str">
        <f>IFERROR(__xludf.DUMMYFUNCTION("""COMPUTED_VALUE"""),"im
9930 Donegal Drive
Dallas, ")</f>
        <v>im
9930 Donegal Drive
Dallas, </v>
      </c>
      <c r="G648" s="8">
        <f>IFERROR(__xludf.DUMMYFUNCTION("""COMPUTED_VALUE"""),75218.0)</f>
        <v>75218</v>
      </c>
      <c r="I648" s="8">
        <f t="shared" si="7"/>
        <v>75218</v>
      </c>
      <c r="J648" s="9">
        <f>IFERROR(__xludf.DUMMYFUNCTION("SPLIT(I648,""-"")"),75218.0)</f>
        <v>75218</v>
      </c>
    </row>
    <row r="649">
      <c r="A649" s="5" t="s">
        <v>638</v>
      </c>
      <c r="B649" s="6">
        <v>100.0</v>
      </c>
      <c r="C649" s="7" t="s">
        <v>636</v>
      </c>
      <c r="E649" s="8" t="str">
        <f>IFERROR(__xludf.DUMMYFUNCTION("SPLIT(A649,""TX"")"),"Green, Rhonda
6646 E. Lovers Lane
Dallas, ")</f>
        <v>Green, Rhonda
6646 E. Lovers Lane
Dallas, </v>
      </c>
      <c r="F649" s="8">
        <f>IFERROR(__xludf.DUMMYFUNCTION("""COMPUTED_VALUE"""),75214.0)</f>
        <v>75214</v>
      </c>
      <c r="I649" s="8">
        <f t="shared" si="7"/>
        <v>75214</v>
      </c>
      <c r="J649" s="9">
        <f>IFERROR(__xludf.DUMMYFUNCTION("SPLIT(I649,""-"")"),75214.0)</f>
        <v>75214</v>
      </c>
    </row>
    <row r="650">
      <c r="A650" s="10" t="s">
        <v>639</v>
      </c>
      <c r="B650" s="11">
        <v>100.0</v>
      </c>
      <c r="C650" s="12" t="s">
        <v>636</v>
      </c>
      <c r="E650" s="8" t="str">
        <f>IFERROR(__xludf.DUMMYFUNCTION("SPLIT(A650,""TX"")"),"empleton, Jeff
9866 Parkford Dr
Dallas, ")</f>
        <v>empleton, Jeff
9866 Parkford Dr
Dallas, </v>
      </c>
      <c r="F650" s="8">
        <f>IFERROR(__xludf.DUMMYFUNCTION("""COMPUTED_VALUE"""),75238.0)</f>
        <v>75238</v>
      </c>
      <c r="I650" s="8">
        <f t="shared" si="7"/>
        <v>75238</v>
      </c>
      <c r="J650" s="9">
        <f>IFERROR(__xludf.DUMMYFUNCTION("SPLIT(I650,""-"")"),75238.0)</f>
        <v>75238</v>
      </c>
    </row>
    <row r="651">
      <c r="A651" s="5" t="s">
        <v>640</v>
      </c>
      <c r="B651" s="6">
        <v>1000.0</v>
      </c>
      <c r="C651" s="7" t="s">
        <v>636</v>
      </c>
      <c r="E651" s="8" t="str">
        <f>IFERROR(__xludf.DUMMYFUNCTION("SPLIT(A651,""TX"")"),"Creuzot, John
8185 San Leandro Drive
Dallas, ")</f>
        <v>Creuzot, John
8185 San Leandro Drive
Dallas, </v>
      </c>
      <c r="F651" s="8">
        <f>IFERROR(__xludf.DUMMYFUNCTION("""COMPUTED_VALUE"""),75218.0)</f>
        <v>75218</v>
      </c>
      <c r="I651" s="8">
        <f t="shared" si="7"/>
        <v>75218</v>
      </c>
      <c r="J651" s="9">
        <f>IFERROR(__xludf.DUMMYFUNCTION("SPLIT(I651,""-"")"),75218.0)</f>
        <v>75218</v>
      </c>
    </row>
    <row r="652">
      <c r="A652" s="10" t="s">
        <v>641</v>
      </c>
      <c r="B652" s="11">
        <v>100.0</v>
      </c>
      <c r="C652" s="12" t="s">
        <v>636</v>
      </c>
      <c r="E652" s="8" t="str">
        <f>IFERROR(__xludf.DUMMYFUNCTION("SPLIT(A652,""TX"")"),"Skemp, Douglas
511 N. Akard Street
Dallas, ")</f>
        <v>Skemp, Douglas
511 N. Akard Street
Dallas, </v>
      </c>
      <c r="F652" s="8">
        <f>IFERROR(__xludf.DUMMYFUNCTION("""COMPUTED_VALUE"""),75201.0)</f>
        <v>75201</v>
      </c>
      <c r="I652" s="8">
        <f t="shared" si="7"/>
        <v>75201</v>
      </c>
      <c r="J652" s="9">
        <f>IFERROR(__xludf.DUMMYFUNCTION("SPLIT(I652,""-"")"),75201.0)</f>
        <v>75201</v>
      </c>
    </row>
    <row r="653">
      <c r="A653" s="5" t="s">
        <v>642</v>
      </c>
      <c r="B653" s="6">
        <v>500.0</v>
      </c>
      <c r="C653" s="7" t="s">
        <v>643</v>
      </c>
      <c r="E653" s="8" t="str">
        <f>IFERROR(__xludf.DUMMYFUNCTION("SPLIT(A653,""TX"")"),"Williams, Yolanda
PO Box 170384
Dallas, ")</f>
        <v>Williams, Yolanda
PO Box 170384
Dallas, </v>
      </c>
      <c r="F653" s="8">
        <f>IFERROR(__xludf.DUMMYFUNCTION("""COMPUTED_VALUE"""),75217.0)</f>
        <v>75217</v>
      </c>
      <c r="I653" s="8">
        <f t="shared" si="7"/>
        <v>75217</v>
      </c>
      <c r="J653" s="9">
        <f>IFERROR(__xludf.DUMMYFUNCTION("SPLIT(I653,""-"")"),75217.0)</f>
        <v>75217</v>
      </c>
    </row>
    <row r="654">
      <c r="A654" s="10" t="s">
        <v>642</v>
      </c>
      <c r="B654" s="11">
        <v>500.0</v>
      </c>
      <c r="C654" s="12" t="s">
        <v>643</v>
      </c>
      <c r="E654" s="8" t="str">
        <f>IFERROR(__xludf.DUMMYFUNCTION("SPLIT(A654,""TX"")"),"Williams, Yolanda
PO Box 170384
Dallas, ")</f>
        <v>Williams, Yolanda
PO Box 170384
Dallas, </v>
      </c>
      <c r="F654" s="8">
        <f>IFERROR(__xludf.DUMMYFUNCTION("""COMPUTED_VALUE"""),75217.0)</f>
        <v>75217</v>
      </c>
      <c r="I654" s="8">
        <f t="shared" si="7"/>
        <v>75217</v>
      </c>
      <c r="J654" s="9">
        <f>IFERROR(__xludf.DUMMYFUNCTION("SPLIT(I654,""-"")"),75217.0)</f>
        <v>75217</v>
      </c>
    </row>
    <row r="655">
      <c r="A655" s="5" t="s">
        <v>644</v>
      </c>
      <c r="B655" s="6">
        <v>1000.0</v>
      </c>
      <c r="C655" s="7" t="s">
        <v>643</v>
      </c>
      <c r="E655" s="8" t="str">
        <f>IFERROR(__xludf.DUMMYFUNCTION("SPLIT(A655,""TX"")"),"Woodall, Laura
4803 West Lovers Lane
Dallas, ")</f>
        <v>Woodall, Laura
4803 West Lovers Lane
Dallas, </v>
      </c>
      <c r="F655" s="8">
        <f>IFERROR(__xludf.DUMMYFUNCTION("""COMPUTED_VALUE"""),75209.0)</f>
        <v>75209</v>
      </c>
      <c r="I655" s="8">
        <f t="shared" si="7"/>
        <v>75209</v>
      </c>
      <c r="J655" s="9">
        <f>IFERROR(__xludf.DUMMYFUNCTION("SPLIT(I655,""-"")"),75209.0)</f>
        <v>75209</v>
      </c>
    </row>
    <row r="656">
      <c r="A656" s="10" t="s">
        <v>644</v>
      </c>
      <c r="B656" s="11">
        <v>1000.0</v>
      </c>
      <c r="C656" s="12" t="s">
        <v>643</v>
      </c>
      <c r="E656" s="8" t="str">
        <f>IFERROR(__xludf.DUMMYFUNCTION("SPLIT(A656,""TX"")"),"Woodall, Laura
4803 West Lovers Lane
Dallas, ")</f>
        <v>Woodall, Laura
4803 West Lovers Lane
Dallas, </v>
      </c>
      <c r="F656" s="8">
        <f>IFERROR(__xludf.DUMMYFUNCTION("""COMPUTED_VALUE"""),75209.0)</f>
        <v>75209</v>
      </c>
      <c r="I656" s="8">
        <f t="shared" si="7"/>
        <v>75209</v>
      </c>
      <c r="J656" s="9">
        <f>IFERROR(__xludf.DUMMYFUNCTION("SPLIT(I656,""-"")"),75209.0)</f>
        <v>75209</v>
      </c>
    </row>
    <row r="657">
      <c r="A657" s="5" t="s">
        <v>45</v>
      </c>
      <c r="B657" s="6">
        <v>1000.0</v>
      </c>
      <c r="C657" s="7" t="s">
        <v>643</v>
      </c>
      <c r="E657" s="8" t="str">
        <f>IFERROR(__xludf.DUMMYFUNCTION("SPLIT(A657,""TX"")"),"Jennings, Nancy
2310 North Henderson Avenue
Dallas, ")</f>
        <v>Jennings, Nancy
2310 North Henderson Avenue
Dallas, </v>
      </c>
      <c r="F657" s="8">
        <f>IFERROR(__xludf.DUMMYFUNCTION("""COMPUTED_VALUE"""),75206.0)</f>
        <v>75206</v>
      </c>
      <c r="I657" s="8">
        <f t="shared" si="7"/>
        <v>75206</v>
      </c>
      <c r="J657" s="9">
        <f>IFERROR(__xludf.DUMMYFUNCTION("SPLIT(I657,""-"")"),75206.0)</f>
        <v>75206</v>
      </c>
    </row>
    <row r="658">
      <c r="A658" s="10" t="s">
        <v>45</v>
      </c>
      <c r="B658" s="11">
        <v>1000.0</v>
      </c>
      <c r="C658" s="12" t="s">
        <v>643</v>
      </c>
      <c r="E658" s="8" t="str">
        <f>IFERROR(__xludf.DUMMYFUNCTION("SPLIT(A658,""TX"")"),"Jennings, Nancy
2310 North Henderson Avenue
Dallas, ")</f>
        <v>Jennings, Nancy
2310 North Henderson Avenue
Dallas, </v>
      </c>
      <c r="F658" s="8">
        <f>IFERROR(__xludf.DUMMYFUNCTION("""COMPUTED_VALUE"""),75206.0)</f>
        <v>75206</v>
      </c>
      <c r="I658" s="8">
        <f t="shared" si="7"/>
        <v>75206</v>
      </c>
      <c r="J658" s="9">
        <f>IFERROR(__xludf.DUMMYFUNCTION("SPLIT(I658,""-"")"),75206.0)</f>
        <v>75206</v>
      </c>
    </row>
    <row r="659">
      <c r="A659" s="5" t="s">
        <v>645</v>
      </c>
      <c r="B659" s="6">
        <v>100.0</v>
      </c>
      <c r="C659" s="7" t="s">
        <v>643</v>
      </c>
      <c r="E659" s="8" t="str">
        <f>IFERROR(__xludf.DUMMYFUNCTION("SPLIT(A659,""TX"")"),"aylor, ")</f>
        <v>aylor, </v>
      </c>
      <c r="F659" s="8" t="str">
        <f>IFERROR(__xludf.DUMMYFUNCTION("""COMPUTED_VALUE"""),"eresa
1367 Glencliff Drive
Dallas, ")</f>
        <v>eresa
1367 Glencliff Drive
Dallas, </v>
      </c>
      <c r="G659" s="8">
        <f>IFERROR(__xludf.DUMMYFUNCTION("""COMPUTED_VALUE"""),75217.0)</f>
        <v>75217</v>
      </c>
      <c r="I659" s="8">
        <f t="shared" si="7"/>
        <v>75217</v>
      </c>
      <c r="J659" s="9">
        <f>IFERROR(__xludf.DUMMYFUNCTION("SPLIT(I659,""-"")"),75217.0)</f>
        <v>75217</v>
      </c>
    </row>
    <row r="660">
      <c r="A660" s="10" t="s">
        <v>645</v>
      </c>
      <c r="B660" s="11">
        <v>100.0</v>
      </c>
      <c r="C660" s="12" t="s">
        <v>643</v>
      </c>
      <c r="E660" s="8" t="str">
        <f>IFERROR(__xludf.DUMMYFUNCTION("SPLIT(A660,""TX"")"),"aylor, ")</f>
        <v>aylor, </v>
      </c>
      <c r="F660" s="8" t="str">
        <f>IFERROR(__xludf.DUMMYFUNCTION("""COMPUTED_VALUE"""),"eresa
1367 Glencliff Drive
Dallas, ")</f>
        <v>eresa
1367 Glencliff Drive
Dallas, </v>
      </c>
      <c r="G660" s="8">
        <f>IFERROR(__xludf.DUMMYFUNCTION("""COMPUTED_VALUE"""),75217.0)</f>
        <v>75217</v>
      </c>
      <c r="I660" s="8">
        <f t="shared" si="7"/>
        <v>75217</v>
      </c>
      <c r="J660" s="9">
        <f>IFERROR(__xludf.DUMMYFUNCTION("SPLIT(I660,""-"")"),75217.0)</f>
        <v>75217</v>
      </c>
    </row>
    <row r="661">
      <c r="A661" s="5" t="s">
        <v>43</v>
      </c>
      <c r="B661" s="6">
        <v>1000.0</v>
      </c>
      <c r="C661" s="7" t="s">
        <v>643</v>
      </c>
      <c r="E661" s="8" t="str">
        <f>IFERROR(__xludf.DUMMYFUNCTION("SPLIT(A661,""TX"")"),"Jennings, Steve
2310 North Henderson Avenue
Dallas, ")</f>
        <v>Jennings, Steve
2310 North Henderson Avenue
Dallas, </v>
      </c>
      <c r="F661" s="8">
        <f>IFERROR(__xludf.DUMMYFUNCTION("""COMPUTED_VALUE"""),75206.0)</f>
        <v>75206</v>
      </c>
      <c r="I661" s="8">
        <f t="shared" si="7"/>
        <v>75206</v>
      </c>
      <c r="J661" s="9">
        <f>IFERROR(__xludf.DUMMYFUNCTION("SPLIT(I661,""-"")"),75206.0)</f>
        <v>75206</v>
      </c>
    </row>
    <row r="662">
      <c r="A662" s="10" t="s">
        <v>43</v>
      </c>
      <c r="B662" s="11">
        <v>1000.0</v>
      </c>
      <c r="C662" s="12" t="s">
        <v>643</v>
      </c>
      <c r="E662" s="8" t="str">
        <f>IFERROR(__xludf.DUMMYFUNCTION("SPLIT(A662,""TX"")"),"Jennings, Steve
2310 North Henderson Avenue
Dallas, ")</f>
        <v>Jennings, Steve
2310 North Henderson Avenue
Dallas, </v>
      </c>
      <c r="F662" s="8">
        <f>IFERROR(__xludf.DUMMYFUNCTION("""COMPUTED_VALUE"""),75206.0)</f>
        <v>75206</v>
      </c>
      <c r="I662" s="8">
        <f t="shared" si="7"/>
        <v>75206</v>
      </c>
      <c r="J662" s="9">
        <f>IFERROR(__xludf.DUMMYFUNCTION("SPLIT(I662,""-"")"),75206.0)</f>
        <v>75206</v>
      </c>
    </row>
    <row r="663">
      <c r="A663" s="5" t="s">
        <v>27</v>
      </c>
      <c r="B663" s="6">
        <v>1000.0</v>
      </c>
      <c r="C663" s="7" t="s">
        <v>643</v>
      </c>
      <c r="E663" s="8" t="str">
        <f>IFERROR(__xludf.DUMMYFUNCTION("SPLIT(A663,""TX"")"),"Deason, Doug
10134 Waller Drive
Dallas, ")</f>
        <v>Deason, Doug
10134 Waller Drive
Dallas, </v>
      </c>
      <c r="F663" s="8">
        <f>IFERROR(__xludf.DUMMYFUNCTION("""COMPUTED_VALUE"""),75229.0)</f>
        <v>75229</v>
      </c>
      <c r="I663" s="8">
        <f t="shared" si="7"/>
        <v>75229</v>
      </c>
      <c r="J663" s="9">
        <f>IFERROR(__xludf.DUMMYFUNCTION("SPLIT(I663,""-"")"),75229.0)</f>
        <v>75229</v>
      </c>
    </row>
    <row r="664">
      <c r="A664" s="10" t="s">
        <v>27</v>
      </c>
      <c r="B664" s="11">
        <v>1000.0</v>
      </c>
      <c r="C664" s="12" t="s">
        <v>643</v>
      </c>
      <c r="E664" s="8" t="str">
        <f>IFERROR(__xludf.DUMMYFUNCTION("SPLIT(A664,""TX"")"),"Deason, Doug
10134 Waller Drive
Dallas, ")</f>
        <v>Deason, Doug
10134 Waller Drive
Dallas, </v>
      </c>
      <c r="F664" s="8">
        <f>IFERROR(__xludf.DUMMYFUNCTION("""COMPUTED_VALUE"""),75229.0)</f>
        <v>75229</v>
      </c>
      <c r="I664" s="8">
        <f t="shared" si="7"/>
        <v>75229</v>
      </c>
      <c r="J664" s="9">
        <f>IFERROR(__xludf.DUMMYFUNCTION("SPLIT(I664,""-"")"),75229.0)</f>
        <v>75229</v>
      </c>
    </row>
    <row r="665">
      <c r="A665" s="5" t="s">
        <v>28</v>
      </c>
      <c r="B665" s="6">
        <v>1000.0</v>
      </c>
      <c r="C665" s="7" t="s">
        <v>643</v>
      </c>
      <c r="E665" s="8" t="str">
        <f>IFERROR(__xludf.DUMMYFUNCTION("SPLIT(A665,""TX"")"),"Pick, Jacki
10134 Waller Drive
Dallas, ")</f>
        <v>Pick, Jacki
10134 Waller Drive
Dallas, </v>
      </c>
      <c r="F665" s="8">
        <f>IFERROR(__xludf.DUMMYFUNCTION("""COMPUTED_VALUE"""),75229.0)</f>
        <v>75229</v>
      </c>
      <c r="I665" s="8">
        <f t="shared" si="7"/>
        <v>75229</v>
      </c>
      <c r="J665" s="9">
        <f>IFERROR(__xludf.DUMMYFUNCTION("SPLIT(I665,""-"")"),75229.0)</f>
        <v>75229</v>
      </c>
    </row>
    <row r="666">
      <c r="A666" s="10" t="s">
        <v>28</v>
      </c>
      <c r="B666" s="11">
        <v>1000.0</v>
      </c>
      <c r="C666" s="12" t="s">
        <v>643</v>
      </c>
      <c r="E666" s="8" t="str">
        <f>IFERROR(__xludf.DUMMYFUNCTION("SPLIT(A666,""TX"")"),"Pick, Jacki
10134 Waller Drive
Dallas, ")</f>
        <v>Pick, Jacki
10134 Waller Drive
Dallas, </v>
      </c>
      <c r="F666" s="8">
        <f>IFERROR(__xludf.DUMMYFUNCTION("""COMPUTED_VALUE"""),75229.0)</f>
        <v>75229</v>
      </c>
      <c r="I666" s="8">
        <f t="shared" si="7"/>
        <v>75229</v>
      </c>
      <c r="J666" s="9">
        <f>IFERROR(__xludf.DUMMYFUNCTION("SPLIT(I666,""-"")"),75229.0)</f>
        <v>75229</v>
      </c>
    </row>
    <row r="667">
      <c r="A667" s="5" t="s">
        <v>646</v>
      </c>
      <c r="B667" s="6">
        <v>1000.0</v>
      </c>
      <c r="C667" s="7" t="s">
        <v>643</v>
      </c>
      <c r="E667" s="8" t="str">
        <f>IFERROR(__xludf.DUMMYFUNCTION("SPLIT(A667,""TX"")"),"Deason, Darwin
3953 Maple Avenue
Dallas, ")</f>
        <v>Deason, Darwin
3953 Maple Avenue
Dallas, </v>
      </c>
      <c r="F667" s="8">
        <f>IFERROR(__xludf.DUMMYFUNCTION("""COMPUTED_VALUE"""),75219.0)</f>
        <v>75219</v>
      </c>
      <c r="I667" s="8">
        <f t="shared" si="7"/>
        <v>75219</v>
      </c>
      <c r="J667" s="9">
        <f>IFERROR(__xludf.DUMMYFUNCTION("SPLIT(I667,""-"")"),75219.0)</f>
        <v>75219</v>
      </c>
    </row>
    <row r="668">
      <c r="A668" s="10" t="s">
        <v>646</v>
      </c>
      <c r="B668" s="11">
        <v>1000.0</v>
      </c>
      <c r="C668" s="12" t="s">
        <v>643</v>
      </c>
      <c r="E668" s="8" t="str">
        <f>IFERROR(__xludf.DUMMYFUNCTION("SPLIT(A668,""TX"")"),"Deason, Darwin
3953 Maple Avenue
Dallas, ")</f>
        <v>Deason, Darwin
3953 Maple Avenue
Dallas, </v>
      </c>
      <c r="F668" s="8">
        <f>IFERROR(__xludf.DUMMYFUNCTION("""COMPUTED_VALUE"""),75219.0)</f>
        <v>75219</v>
      </c>
      <c r="I668" s="8">
        <f t="shared" si="7"/>
        <v>75219</v>
      </c>
      <c r="J668" s="9">
        <f>IFERROR(__xludf.DUMMYFUNCTION("SPLIT(I668,""-"")"),75219.0)</f>
        <v>75219</v>
      </c>
    </row>
    <row r="669">
      <c r="A669" s="5" t="s">
        <v>647</v>
      </c>
      <c r="B669" s="6">
        <v>1000.0</v>
      </c>
      <c r="C669" s="7" t="s">
        <v>643</v>
      </c>
      <c r="E669" s="8" t="str">
        <f>IFERROR(__xludf.DUMMYFUNCTION("SPLIT(A669,""TX"")"),"Deason, Kimberly
3953 Maple Avenue
Dallas, ")</f>
        <v>Deason, Kimberly
3953 Maple Avenue
Dallas, </v>
      </c>
      <c r="F669" s="8">
        <f>IFERROR(__xludf.DUMMYFUNCTION("""COMPUTED_VALUE"""),75219.0)</f>
        <v>75219</v>
      </c>
      <c r="I669" s="8">
        <f t="shared" si="7"/>
        <v>75219</v>
      </c>
      <c r="J669" s="9">
        <f>IFERROR(__xludf.DUMMYFUNCTION("SPLIT(I669,""-"")"),75219.0)</f>
        <v>75219</v>
      </c>
    </row>
    <row r="670">
      <c r="A670" s="10" t="s">
        <v>647</v>
      </c>
      <c r="B670" s="11">
        <v>1000.0</v>
      </c>
      <c r="C670" s="12" t="s">
        <v>643</v>
      </c>
      <c r="E670" s="8" t="str">
        <f>IFERROR(__xludf.DUMMYFUNCTION("SPLIT(A670,""TX"")"),"Deason, Kimberly
3953 Maple Avenue
Dallas, ")</f>
        <v>Deason, Kimberly
3953 Maple Avenue
Dallas, </v>
      </c>
      <c r="F670" s="8">
        <f>IFERROR(__xludf.DUMMYFUNCTION("""COMPUTED_VALUE"""),75219.0)</f>
        <v>75219</v>
      </c>
      <c r="I670" s="8">
        <f t="shared" si="7"/>
        <v>75219</v>
      </c>
      <c r="J670" s="9">
        <f>IFERROR(__xludf.DUMMYFUNCTION("SPLIT(I670,""-"")"),75219.0)</f>
        <v>75219</v>
      </c>
    </row>
    <row r="671">
      <c r="A671" s="5" t="s">
        <v>648</v>
      </c>
      <c r="B671" s="6">
        <v>250.0</v>
      </c>
      <c r="C671" s="7" t="s">
        <v>649</v>
      </c>
      <c r="E671" s="8" t="str">
        <f>IFERROR(__xludf.DUMMYFUNCTION("SPLIT(A671,""TX"")"),"Aikman, Russ
225 S. Windomere Ave.
Dallas, ")</f>
        <v>Aikman, Russ
225 S. Windomere Ave.
Dallas, </v>
      </c>
      <c r="F671" s="8">
        <f>IFERROR(__xludf.DUMMYFUNCTION("""COMPUTED_VALUE"""),75208.0)</f>
        <v>75208</v>
      </c>
      <c r="I671" s="8">
        <f t="shared" si="7"/>
        <v>75208</v>
      </c>
      <c r="J671" s="9">
        <f>IFERROR(__xludf.DUMMYFUNCTION("SPLIT(I671,""-"")"),75208.0)</f>
        <v>75208</v>
      </c>
    </row>
    <row r="672">
      <c r="A672" s="10" t="s">
        <v>650</v>
      </c>
      <c r="B672" s="11">
        <v>250.0</v>
      </c>
      <c r="C672" s="12" t="s">
        <v>649</v>
      </c>
      <c r="E672" s="8" t="str">
        <f>IFERROR(__xludf.DUMMYFUNCTION("SPLIT(A672,""TX"")"),"Alef, Brian
6756 Inverness Ln
Dallas, ")</f>
        <v>Alef, Brian
6756 Inverness Ln
Dallas, </v>
      </c>
      <c r="F672" s="8">
        <f>IFERROR(__xludf.DUMMYFUNCTION("""COMPUTED_VALUE"""),75214.0)</f>
        <v>75214</v>
      </c>
      <c r="I672" s="8">
        <f t="shared" si="7"/>
        <v>75214</v>
      </c>
      <c r="J672" s="9">
        <f>IFERROR(__xludf.DUMMYFUNCTION("SPLIT(I672,""-"")"),75214.0)</f>
        <v>75214</v>
      </c>
    </row>
    <row r="673">
      <c r="A673" s="5" t="s">
        <v>651</v>
      </c>
      <c r="B673" s="6">
        <v>2374.7</v>
      </c>
      <c r="C673" s="7" t="s">
        <v>649</v>
      </c>
      <c r="E673" s="8" t="str">
        <f>IFERROR(__xludf.DUMMYFUNCTION("SPLIT(A673,""TX"")"),"Anderson, Carl
1722 Routh St.
Dallas, ")</f>
        <v>Anderson, Carl
1722 Routh St.
Dallas, </v>
      </c>
      <c r="F673" s="8">
        <f>IFERROR(__xludf.DUMMYFUNCTION("""COMPUTED_VALUE"""),75201.0)</f>
        <v>75201</v>
      </c>
      <c r="I673" s="8">
        <f t="shared" si="7"/>
        <v>75201</v>
      </c>
      <c r="J673" s="9">
        <f>IFERROR(__xludf.DUMMYFUNCTION("SPLIT(I673,""-"")"),75201.0)</f>
        <v>75201</v>
      </c>
    </row>
    <row r="674">
      <c r="A674" s="10" t="s">
        <v>652</v>
      </c>
      <c r="B674" s="11">
        <v>474.7</v>
      </c>
      <c r="C674" s="12" t="s">
        <v>649</v>
      </c>
      <c r="E674" s="8" t="str">
        <f>IFERROR(__xludf.DUMMYFUNCTION("SPLIT(A674,""TX"")"),"Andres, Warren
2104 Creekside Cir. S.
Irving, ")</f>
        <v>Andres, Warren
2104 Creekside Cir. S.
Irving, </v>
      </c>
      <c r="F674" s="8">
        <f>IFERROR(__xludf.DUMMYFUNCTION("""COMPUTED_VALUE"""),75063.0)</f>
        <v>75063</v>
      </c>
      <c r="I674" s="8">
        <f t="shared" si="7"/>
        <v>75063</v>
      </c>
      <c r="J674" s="9">
        <f>IFERROR(__xludf.DUMMYFUNCTION("SPLIT(I674,""-"")"),75063.0)</f>
        <v>75063</v>
      </c>
    </row>
    <row r="675">
      <c r="A675" s="5" t="s">
        <v>653</v>
      </c>
      <c r="B675" s="6">
        <v>1000.0</v>
      </c>
      <c r="C675" s="7" t="s">
        <v>649</v>
      </c>
      <c r="E675" s="8" t="str">
        <f>IFERROR(__xludf.DUMMYFUNCTION("SPLIT(A675,""TX"")"),"Baron, Lisa
25 Highland Park Village
Dallas, ")</f>
        <v>Baron, Lisa
25 Highland Park Village
Dallas, </v>
      </c>
      <c r="F675" s="8">
        <f>IFERROR(__xludf.DUMMYFUNCTION("""COMPUTED_VALUE"""),75205.0)</f>
        <v>75205</v>
      </c>
      <c r="I675" s="8">
        <f t="shared" si="7"/>
        <v>75205</v>
      </c>
      <c r="J675" s="9">
        <f>IFERROR(__xludf.DUMMYFUNCTION("SPLIT(I675,""-"")"),75205.0)</f>
        <v>75205</v>
      </c>
    </row>
    <row r="676">
      <c r="A676" s="10" t="s">
        <v>654</v>
      </c>
      <c r="B676" s="11">
        <v>200.0</v>
      </c>
      <c r="C676" s="12" t="s">
        <v>649</v>
      </c>
      <c r="E676" s="8" t="str">
        <f>IFERROR(__xludf.DUMMYFUNCTION("SPLIT(A676,""TX"")"),"Barr &amp; Assoc., Burt
PO Box 223667
Dallas, ")</f>
        <v>Barr &amp; Assoc., Burt
PO Box 223667
Dallas, </v>
      </c>
      <c r="F676" s="8">
        <f>IFERROR(__xludf.DUMMYFUNCTION("""COMPUTED_VALUE"""),75222.0)</f>
        <v>75222</v>
      </c>
      <c r="I676" s="8">
        <f t="shared" si="7"/>
        <v>75222</v>
      </c>
      <c r="J676" s="9">
        <f>IFERROR(__xludf.DUMMYFUNCTION("SPLIT(I676,""-"")"),75222.0)</f>
        <v>75222</v>
      </c>
    </row>
    <row r="677">
      <c r="A677" s="5" t="s">
        <v>655</v>
      </c>
      <c r="B677" s="6">
        <v>50.0</v>
      </c>
      <c r="C677" s="7" t="s">
        <v>649</v>
      </c>
      <c r="E677" s="8" t="str">
        <f>IFERROR(__xludf.DUMMYFUNCTION("SPLIT(A677,""TX"")"),"Baustert, Jeffrey
935 N. Windomere Ave.
Dallas, ")</f>
        <v>Baustert, Jeffrey
935 N. Windomere Ave.
Dallas, </v>
      </c>
      <c r="F677" s="8">
        <f>IFERROR(__xludf.DUMMYFUNCTION("""COMPUTED_VALUE"""),75208.0)</f>
        <v>75208</v>
      </c>
      <c r="I677" s="8">
        <f t="shared" si="7"/>
        <v>75208</v>
      </c>
      <c r="J677" s="9">
        <f>IFERROR(__xludf.DUMMYFUNCTION("SPLIT(I677,""-"")"),75208.0)</f>
        <v>75208</v>
      </c>
    </row>
    <row r="678">
      <c r="A678" s="10" t="s">
        <v>656</v>
      </c>
      <c r="B678" s="11">
        <v>1000.0</v>
      </c>
      <c r="C678" s="12" t="s">
        <v>649</v>
      </c>
      <c r="E678" s="8" t="str">
        <f>IFERROR(__xludf.DUMMYFUNCTION("SPLIT(A678,""TX"")"),"Benton, Jeff
1825 Market Center
Dallas, ")</f>
        <v>Benton, Jeff
1825 Market Center
Dallas, </v>
      </c>
      <c r="F678" s="8">
        <f>IFERROR(__xludf.DUMMYFUNCTION("""COMPUTED_VALUE"""),75207.0)</f>
        <v>75207</v>
      </c>
      <c r="I678" s="8">
        <f t="shared" si="7"/>
        <v>75207</v>
      </c>
      <c r="J678" s="9">
        <f>IFERROR(__xludf.DUMMYFUNCTION("SPLIT(I678,""-"")"),75207.0)</f>
        <v>75207</v>
      </c>
    </row>
    <row r="679">
      <c r="A679" s="5" t="s">
        <v>657</v>
      </c>
      <c r="B679" s="6">
        <v>1000.0</v>
      </c>
      <c r="C679" s="7" t="s">
        <v>649</v>
      </c>
      <c r="E679" s="8" t="str">
        <f>IFERROR(__xludf.DUMMYFUNCTION("SPLIT(A679,""TX"")"),"Berdine, Scott
14850 Montfort Dr.
Dallas, ")</f>
        <v>Berdine, Scott
14850 Montfort Dr.
Dallas, </v>
      </c>
      <c r="F679" s="8">
        <f>IFERROR(__xludf.DUMMYFUNCTION("""COMPUTED_VALUE"""),75254.0)</f>
        <v>75254</v>
      </c>
      <c r="I679" s="8">
        <f t="shared" si="7"/>
        <v>75254</v>
      </c>
      <c r="J679" s="9">
        <f>IFERROR(__xludf.DUMMYFUNCTION("SPLIT(I679,""-"")"),75254.0)</f>
        <v>75254</v>
      </c>
    </row>
    <row r="680">
      <c r="A680" s="10" t="s">
        <v>658</v>
      </c>
      <c r="B680" s="11">
        <v>474.7</v>
      </c>
      <c r="C680" s="12" t="s">
        <v>649</v>
      </c>
      <c r="E680" s="8" t="str">
        <f>IFERROR(__xludf.DUMMYFUNCTION("SPLIT(A680,""TX"")"),"Bischoff, Brian
3417 Princeton Ave.
Dallas, ")</f>
        <v>Bischoff, Brian
3417 Princeton Ave.
Dallas, </v>
      </c>
      <c r="F680" s="8">
        <f>IFERROR(__xludf.DUMMYFUNCTION("""COMPUTED_VALUE"""),75205.0)</f>
        <v>75205</v>
      </c>
      <c r="I680" s="8">
        <f t="shared" si="7"/>
        <v>75205</v>
      </c>
      <c r="J680" s="9">
        <f>IFERROR(__xludf.DUMMYFUNCTION("SPLIT(I680,""-"")"),75205.0)</f>
        <v>75205</v>
      </c>
    </row>
    <row r="681">
      <c r="A681" s="5" t="s">
        <v>659</v>
      </c>
      <c r="B681" s="6">
        <v>500.0</v>
      </c>
      <c r="C681" s="7" t="s">
        <v>649</v>
      </c>
      <c r="E681" s="8" t="str">
        <f>IFERROR(__xludf.DUMMYFUNCTION("SPLIT(A681,""TX"")"),"Blackwell, Eric
2120 Kiipling St.
Houston, ")</f>
        <v>Blackwell, Eric
2120 Kiipling St.
Houston, </v>
      </c>
      <c r="F681" s="8">
        <f>IFERROR(__xludf.DUMMYFUNCTION("""COMPUTED_VALUE"""),77098.0)</f>
        <v>77098</v>
      </c>
      <c r="I681" s="8">
        <f t="shared" si="7"/>
        <v>77098</v>
      </c>
      <c r="J681" s="9">
        <f>IFERROR(__xludf.DUMMYFUNCTION("SPLIT(I681,""-"")"),77098.0)</f>
        <v>77098</v>
      </c>
    </row>
    <row r="682">
      <c r="A682" s="10" t="s">
        <v>660</v>
      </c>
      <c r="B682" s="11">
        <v>500.0</v>
      </c>
      <c r="C682" s="12" t="s">
        <v>649</v>
      </c>
      <c r="E682" s="8" t="str">
        <f>IFERROR(__xludf.DUMMYFUNCTION("SPLIT(A682,""TX"")"),"Boston, Grant
406 S. Montreal Ave.
Dallas, ")</f>
        <v>Boston, Grant
406 S. Montreal Ave.
Dallas, </v>
      </c>
      <c r="F682" s="8">
        <f>IFERROR(__xludf.DUMMYFUNCTION("""COMPUTED_VALUE"""),75208.0)</f>
        <v>75208</v>
      </c>
      <c r="I682" s="8">
        <f t="shared" si="7"/>
        <v>75208</v>
      </c>
      <c r="J682" s="9">
        <f>IFERROR(__xludf.DUMMYFUNCTION("SPLIT(I682,""-"")"),75208.0)</f>
        <v>75208</v>
      </c>
    </row>
    <row r="683">
      <c r="A683" s="5" t="s">
        <v>661</v>
      </c>
      <c r="B683" s="6">
        <v>1000.0</v>
      </c>
      <c r="C683" s="7" t="s">
        <v>649</v>
      </c>
      <c r="E683" s="8" t="str">
        <f>IFERROR(__xludf.DUMMYFUNCTION("SPLIT(A683,""TX"")"),"Brown, Darren
4313 Dunning Ln
Austin, ")</f>
        <v>Brown, Darren
4313 Dunning Ln
Austin, </v>
      </c>
      <c r="F683" s="8">
        <f>IFERROR(__xludf.DUMMYFUNCTION("""COMPUTED_VALUE"""),78746.0)</f>
        <v>78746</v>
      </c>
      <c r="I683" s="8">
        <f t="shared" si="7"/>
        <v>78746</v>
      </c>
      <c r="J683" s="9">
        <f>IFERROR(__xludf.DUMMYFUNCTION("SPLIT(I683,""-"")"),78746.0)</f>
        <v>78746</v>
      </c>
    </row>
    <row r="684">
      <c r="A684" s="10" t="s">
        <v>661</v>
      </c>
      <c r="B684" s="11">
        <v>1374.7</v>
      </c>
      <c r="C684" s="12" t="s">
        <v>649</v>
      </c>
      <c r="E684" s="8" t="str">
        <f>IFERROR(__xludf.DUMMYFUNCTION("SPLIT(A684,""TX"")"),"Brown, Darren
4313 Dunning Ln
Austin, ")</f>
        <v>Brown, Darren
4313 Dunning Ln
Austin, </v>
      </c>
      <c r="F684" s="8">
        <f>IFERROR(__xludf.DUMMYFUNCTION("""COMPUTED_VALUE"""),78746.0)</f>
        <v>78746</v>
      </c>
      <c r="I684" s="8">
        <f t="shared" si="7"/>
        <v>78746</v>
      </c>
      <c r="J684" s="9">
        <f>IFERROR(__xludf.DUMMYFUNCTION("SPLIT(I684,""-"")"),78746.0)</f>
        <v>78746</v>
      </c>
    </row>
    <row r="685">
      <c r="A685" s="5" t="s">
        <v>662</v>
      </c>
      <c r="B685" s="6">
        <v>1000.0</v>
      </c>
      <c r="C685" s="7" t="s">
        <v>649</v>
      </c>
      <c r="E685" s="8" t="str">
        <f>IFERROR(__xludf.DUMMYFUNCTION("SPLIT(A685,""TX"")"),"Brown, Jacob
1805 W. 29th St.
Austin, ")</f>
        <v>Brown, Jacob
1805 W. 29th St.
Austin, </v>
      </c>
      <c r="F685" s="8">
        <f>IFERROR(__xludf.DUMMYFUNCTION("""COMPUTED_VALUE"""),78703.0)</f>
        <v>78703</v>
      </c>
      <c r="I685" s="8">
        <f t="shared" si="7"/>
        <v>78703</v>
      </c>
      <c r="J685" s="9">
        <f>IFERROR(__xludf.DUMMYFUNCTION("SPLIT(I685,""-"")"),78703.0)</f>
        <v>78703</v>
      </c>
    </row>
    <row r="686">
      <c r="A686" s="10" t="s">
        <v>663</v>
      </c>
      <c r="B686" s="11">
        <v>1000.0</v>
      </c>
      <c r="C686" s="12" t="s">
        <v>649</v>
      </c>
      <c r="E686" s="8" t="str">
        <f>IFERROR(__xludf.DUMMYFUNCTION("SPLIT(A686,""TX"")"),"Burke, Aaron
1201 Elm St.
Dallas, ")</f>
        <v>Burke, Aaron
1201 Elm St.
Dallas, </v>
      </c>
      <c r="F686" s="8">
        <f>IFERROR(__xludf.DUMMYFUNCTION("""COMPUTED_VALUE"""),75270.0)</f>
        <v>75270</v>
      </c>
      <c r="I686" s="8">
        <f t="shared" si="7"/>
        <v>75270</v>
      </c>
      <c r="J686" s="9">
        <f>IFERROR(__xludf.DUMMYFUNCTION("SPLIT(I686,""-"")"),75270.0)</f>
        <v>75270</v>
      </c>
    </row>
    <row r="687">
      <c r="A687" s="5" t="s">
        <v>664</v>
      </c>
      <c r="B687" s="6">
        <v>1000.0</v>
      </c>
      <c r="C687" s="7" t="s">
        <v>649</v>
      </c>
      <c r="E687" s="8" t="str">
        <f>IFERROR(__xludf.DUMMYFUNCTION("SPLIT(A687,""TX"")"),"Burke, Leland
5311 Park Ln.
Dallas, ")</f>
        <v>Burke, Leland
5311 Park Ln.
Dallas, </v>
      </c>
      <c r="F687" s="8">
        <f>IFERROR(__xludf.DUMMYFUNCTION("""COMPUTED_VALUE"""),75220.0)</f>
        <v>75220</v>
      </c>
      <c r="I687" s="8">
        <f t="shared" si="7"/>
        <v>75220</v>
      </c>
      <c r="J687" s="9">
        <f>IFERROR(__xludf.DUMMYFUNCTION("SPLIT(I687,""-"")"),75220.0)</f>
        <v>75220</v>
      </c>
    </row>
    <row r="688">
      <c r="A688" s="10" t="s">
        <v>665</v>
      </c>
      <c r="B688" s="11">
        <v>1000.0</v>
      </c>
      <c r="C688" s="12" t="s">
        <v>649</v>
      </c>
      <c r="E688" s="8" t="str">
        <f>IFERROR(__xludf.DUMMYFUNCTION("SPLIT(A688,""TX"")"),"Cabaniss, Edwin
1344 N. Windomere Ave.
Dallas, ")</f>
        <v>Cabaniss, Edwin
1344 N. Windomere Ave.
Dallas, </v>
      </c>
      <c r="F688" s="8">
        <f>IFERROR(__xludf.DUMMYFUNCTION("""COMPUTED_VALUE"""),75208.0)</f>
        <v>75208</v>
      </c>
      <c r="I688" s="8">
        <f t="shared" si="7"/>
        <v>75208</v>
      </c>
      <c r="J688" s="9">
        <f>IFERROR(__xludf.DUMMYFUNCTION("SPLIT(I688,""-"")"),75208.0)</f>
        <v>75208</v>
      </c>
    </row>
    <row r="689">
      <c r="A689" s="5" t="s">
        <v>666</v>
      </c>
      <c r="B689" s="6">
        <v>1000.0</v>
      </c>
      <c r="C689" s="7" t="s">
        <v>649</v>
      </c>
      <c r="E689" s="8" t="str">
        <f>IFERROR(__xludf.DUMMYFUNCTION("SPLIT(A689,""TX"")"),"Cabaniss, Lisa
1344 N. Windomere Ave.
Dallas, ")</f>
        <v>Cabaniss, Lisa
1344 N. Windomere Ave.
Dallas, </v>
      </c>
      <c r="F689" s="8">
        <f>IFERROR(__xludf.DUMMYFUNCTION("""COMPUTED_VALUE"""),75208.0)</f>
        <v>75208</v>
      </c>
      <c r="I689" s="8">
        <f t="shared" si="7"/>
        <v>75208</v>
      </c>
      <c r="J689" s="9">
        <f>IFERROR(__xludf.DUMMYFUNCTION("SPLIT(I689,""-"")"),75208.0)</f>
        <v>75208</v>
      </c>
    </row>
    <row r="690">
      <c r="A690" s="10" t="s">
        <v>667</v>
      </c>
      <c r="B690" s="11">
        <v>500.0</v>
      </c>
      <c r="C690" s="12" t="s">
        <v>649</v>
      </c>
      <c r="E690" s="8" t="str">
        <f>IFERROR(__xludf.DUMMYFUNCTION("SPLIT(A690,""TX"")"),"Camarillo, Sylvia
3 Richmond Ct.
Mansfield, ")</f>
        <v>Camarillo, Sylvia
3 Richmond Ct.
Mansfield, </v>
      </c>
      <c r="F690" s="8">
        <f>IFERROR(__xludf.DUMMYFUNCTION("""COMPUTED_VALUE"""),76063.0)</f>
        <v>76063</v>
      </c>
      <c r="I690" s="8">
        <f t="shared" si="7"/>
        <v>76063</v>
      </c>
      <c r="J690" s="9">
        <f>IFERROR(__xludf.DUMMYFUNCTION("SPLIT(I690,""-"")"),76063.0)</f>
        <v>76063</v>
      </c>
    </row>
    <row r="691">
      <c r="A691" s="5" t="s">
        <v>668</v>
      </c>
      <c r="B691" s="6">
        <v>94.7</v>
      </c>
      <c r="C691" s="7" t="s">
        <v>649</v>
      </c>
      <c r="E691" s="8" t="str">
        <f>IFERROR(__xludf.DUMMYFUNCTION("SPLIT(A691,""TX"")"),"Carlton, Brian
6837 Avalon Ave.
Dallas, ")</f>
        <v>Carlton, Brian
6837 Avalon Ave.
Dallas, </v>
      </c>
      <c r="F691" s="8">
        <f>IFERROR(__xludf.DUMMYFUNCTION("""COMPUTED_VALUE"""),75214.0)</f>
        <v>75214</v>
      </c>
      <c r="I691" s="8">
        <f t="shared" si="7"/>
        <v>75214</v>
      </c>
      <c r="J691" s="9">
        <f>IFERROR(__xludf.DUMMYFUNCTION("SPLIT(I691,""-"")"),75214.0)</f>
        <v>75214</v>
      </c>
    </row>
    <row r="692">
      <c r="A692" s="10" t="s">
        <v>669</v>
      </c>
      <c r="B692" s="11">
        <v>50.0</v>
      </c>
      <c r="C692" s="12" t="s">
        <v>649</v>
      </c>
      <c r="E692" s="8" t="str">
        <f>IFERROR(__xludf.DUMMYFUNCTION("SPLIT(A692,""TX"")"),"Christopher, Roberta
307 N. Windomere Ave.
Dallas, ")</f>
        <v>Christopher, Roberta
307 N. Windomere Ave.
Dallas, </v>
      </c>
      <c r="F692" s="8">
        <f>IFERROR(__xludf.DUMMYFUNCTION("""COMPUTED_VALUE"""),75208.0)</f>
        <v>75208</v>
      </c>
      <c r="I692" s="8">
        <f t="shared" si="7"/>
        <v>75208</v>
      </c>
      <c r="J692" s="9">
        <f>IFERROR(__xludf.DUMMYFUNCTION("SPLIT(I692,""-"")"),75208.0)</f>
        <v>75208</v>
      </c>
    </row>
    <row r="693">
      <c r="A693" s="5" t="s">
        <v>670</v>
      </c>
      <c r="B693" s="6">
        <v>500.0</v>
      </c>
      <c r="C693" s="7" t="s">
        <v>649</v>
      </c>
      <c r="E693" s="8" t="str">
        <f>IFERROR(__xludf.DUMMYFUNCTION("SPLIT(A693,""TX"")"),"Collins-Bratton, Calvert
4738 Hallmark Dr.
Dallas, ")</f>
        <v>Collins-Bratton, Calvert
4738 Hallmark Dr.
Dallas, </v>
      </c>
      <c r="F693" s="8">
        <f>IFERROR(__xludf.DUMMYFUNCTION("""COMPUTED_VALUE"""),75229.0)</f>
        <v>75229</v>
      </c>
      <c r="I693" s="8">
        <f t="shared" si="7"/>
        <v>75229</v>
      </c>
      <c r="J693" s="9">
        <f>IFERROR(__xludf.DUMMYFUNCTION("SPLIT(I693,""-"")"),75229.0)</f>
        <v>75229</v>
      </c>
    </row>
    <row r="694">
      <c r="A694" s="10" t="s">
        <v>671</v>
      </c>
      <c r="B694" s="11">
        <v>25.0</v>
      </c>
      <c r="C694" s="12" t="s">
        <v>649</v>
      </c>
      <c r="E694" s="8" t="str">
        <f>IFERROR(__xludf.DUMMYFUNCTION("SPLIT(A694,""TX"")"),"Colorado, Hexel
2124 N. Garrett Ave.
Dallas, ")</f>
        <v>Colorado, Hexel
2124 N. Garrett Ave.
Dallas, </v>
      </c>
      <c r="F694" s="8">
        <f>IFERROR(__xludf.DUMMYFUNCTION("""COMPUTED_VALUE"""),75206.0)</f>
        <v>75206</v>
      </c>
      <c r="I694" s="8">
        <f t="shared" si="7"/>
        <v>75206</v>
      </c>
      <c r="J694" s="9">
        <f>IFERROR(__xludf.DUMMYFUNCTION("SPLIT(I694,""-"")"),75206.0)</f>
        <v>75206</v>
      </c>
    </row>
    <row r="695">
      <c r="A695" s="5" t="s">
        <v>672</v>
      </c>
      <c r="B695" s="6">
        <v>1000.0</v>
      </c>
      <c r="C695" s="7" t="s">
        <v>649</v>
      </c>
      <c r="E695" s="8" t="str">
        <f>IFERROR(__xludf.DUMMYFUNCTION("SPLIT(A695,""TX"")"),"Crow, James
4600 Secluded Hollow
Austin, ")</f>
        <v>Crow, James
4600 Secluded Hollow
Austin, </v>
      </c>
      <c r="F695" s="8">
        <f>IFERROR(__xludf.DUMMYFUNCTION("""COMPUTED_VALUE"""),78727.0)</f>
        <v>78727</v>
      </c>
      <c r="I695" s="8">
        <f t="shared" si="7"/>
        <v>78727</v>
      </c>
      <c r="J695" s="9">
        <f>IFERROR(__xludf.DUMMYFUNCTION("SPLIT(I695,""-"")"),78727.0)</f>
        <v>78727</v>
      </c>
    </row>
    <row r="696">
      <c r="A696" s="10" t="s">
        <v>672</v>
      </c>
      <c r="B696" s="11">
        <v>1500.0</v>
      </c>
      <c r="C696" s="12" t="s">
        <v>649</v>
      </c>
      <c r="E696" s="8" t="str">
        <f>IFERROR(__xludf.DUMMYFUNCTION("SPLIT(A696,""TX"")"),"Crow, James
4600 Secluded Hollow
Austin, ")</f>
        <v>Crow, James
4600 Secluded Hollow
Austin, </v>
      </c>
      <c r="F696" s="8">
        <f>IFERROR(__xludf.DUMMYFUNCTION("""COMPUTED_VALUE"""),78727.0)</f>
        <v>78727</v>
      </c>
      <c r="I696" s="8">
        <f t="shared" si="7"/>
        <v>78727</v>
      </c>
      <c r="J696" s="9">
        <f>IFERROR(__xludf.DUMMYFUNCTION("SPLIT(I696,""-"")"),78727.0)</f>
        <v>78727</v>
      </c>
    </row>
    <row r="697">
      <c r="A697" s="5" t="s">
        <v>673</v>
      </c>
      <c r="B697" s="6">
        <v>100.0</v>
      </c>
      <c r="C697" s="7" t="s">
        <v>649</v>
      </c>
      <c r="E697" s="8" t="str">
        <f>IFERROR(__xludf.DUMMYFUNCTION("SPLIT(A697,""TX"")"),"Crowley, John
1109 Lausanne Ave
Dallas, ")</f>
        <v>Crowley, John
1109 Lausanne Ave
Dallas, </v>
      </c>
      <c r="F697" s="8">
        <f>IFERROR(__xludf.DUMMYFUNCTION("""COMPUTED_VALUE"""),75208.0)</f>
        <v>75208</v>
      </c>
      <c r="I697" s="8">
        <f t="shared" si="7"/>
        <v>75208</v>
      </c>
      <c r="J697" s="9">
        <f>IFERROR(__xludf.DUMMYFUNCTION("SPLIT(I697,""-"")"),75208.0)</f>
        <v>75208</v>
      </c>
    </row>
    <row r="698">
      <c r="A698" s="10" t="s">
        <v>674</v>
      </c>
      <c r="B698" s="11">
        <v>25.0</v>
      </c>
      <c r="C698" s="12" t="s">
        <v>649</v>
      </c>
      <c r="E698" s="8" t="str">
        <f>IFERROR(__xludf.DUMMYFUNCTION("SPLIT(A698,""TX"")"),"Cullever, Orlin
4643 Wild Indigo
Houston, ")</f>
        <v>Cullever, Orlin
4643 Wild Indigo
Houston, </v>
      </c>
      <c r="F698" s="8">
        <f>IFERROR(__xludf.DUMMYFUNCTION("""COMPUTED_VALUE"""),77027.0)</f>
        <v>77027</v>
      </c>
      <c r="I698" s="8">
        <f t="shared" si="7"/>
        <v>77027</v>
      </c>
      <c r="J698" s="9">
        <f>IFERROR(__xludf.DUMMYFUNCTION("SPLIT(I698,""-"")"),77027.0)</f>
        <v>77027</v>
      </c>
    </row>
    <row r="699">
      <c r="A699" s="5" t="s">
        <v>675</v>
      </c>
      <c r="B699" s="6">
        <v>500.0</v>
      </c>
      <c r="C699" s="7" t="s">
        <v>649</v>
      </c>
      <c r="E699" s="8" t="str">
        <f>IFERROR(__xludf.DUMMYFUNCTION("SPLIT(A699,""TX"")"),"Currell, James
4104 Bryn Mawr Dr.
Dallas, ")</f>
        <v>Currell, James
4104 Bryn Mawr Dr.
Dallas, </v>
      </c>
      <c r="F699" s="8">
        <f>IFERROR(__xludf.DUMMYFUNCTION("""COMPUTED_VALUE"""),75225.0)</f>
        <v>75225</v>
      </c>
      <c r="I699" s="8">
        <f t="shared" si="7"/>
        <v>75225</v>
      </c>
      <c r="J699" s="9">
        <f>IFERROR(__xludf.DUMMYFUNCTION("SPLIT(I699,""-"")"),75225.0)</f>
        <v>75225</v>
      </c>
    </row>
    <row r="700">
      <c r="A700" s="10" t="s">
        <v>676</v>
      </c>
      <c r="B700" s="11">
        <v>1000.0</v>
      </c>
      <c r="C700" s="12" t="s">
        <v>649</v>
      </c>
      <c r="E700" s="8" t="str">
        <f>IFERROR(__xludf.DUMMYFUNCTION("SPLIT(A700,""TX"")"),"Dischinger, Chris
1469 S. 4th St.
Louisville, KY 40208")</f>
        <v>Dischinger, Chris
1469 S. 4th St.
Louisville, KY 40208</v>
      </c>
      <c r="I700" s="8" t="str">
        <f t="shared" si="7"/>
        <v/>
      </c>
      <c r="J700" s="9" t="str">
        <f>IFERROR(__xludf.DUMMYFUNCTION("SPLIT(I700,""-"")"),"#VALUE!")</f>
        <v>#VALUE!</v>
      </c>
    </row>
    <row r="701">
      <c r="A701" s="5" t="s">
        <v>677</v>
      </c>
      <c r="B701" s="6">
        <v>50.0</v>
      </c>
      <c r="C701" s="7" t="s">
        <v>649</v>
      </c>
      <c r="E701" s="8" t="str">
        <f>IFERROR(__xludf.DUMMYFUNCTION("SPLIT(A701,""TX"")"),"Evans, Mark
1203 N. Bishop Ave.
Dallas, ")</f>
        <v>Evans, Mark
1203 N. Bishop Ave.
Dallas, </v>
      </c>
      <c r="F701" s="8">
        <f>IFERROR(__xludf.DUMMYFUNCTION("""COMPUTED_VALUE"""),75208.0)</f>
        <v>75208</v>
      </c>
      <c r="I701" s="8">
        <f t="shared" si="7"/>
        <v>75208</v>
      </c>
      <c r="J701" s="9">
        <f>IFERROR(__xludf.DUMMYFUNCTION("SPLIT(I701,""-"")"),75208.0)</f>
        <v>75208</v>
      </c>
    </row>
    <row r="702">
      <c r="A702" s="10" t="s">
        <v>678</v>
      </c>
      <c r="B702" s="11">
        <v>1000.0</v>
      </c>
      <c r="C702" s="12" t="s">
        <v>649</v>
      </c>
      <c r="E702" s="8" t="str">
        <f>IFERROR(__xludf.DUMMYFUNCTION("SPLIT(A702,""TX"")"),"Fitzgibbons, Colin
1900 N. Akard St.
Dallas, ")</f>
        <v>Fitzgibbons, Colin
1900 N. Akard St.
Dallas, </v>
      </c>
      <c r="F702" s="8">
        <f>IFERROR(__xludf.DUMMYFUNCTION("""COMPUTED_VALUE"""),75201.0)</f>
        <v>75201</v>
      </c>
      <c r="I702" s="8">
        <f t="shared" si="7"/>
        <v>75201</v>
      </c>
      <c r="J702" s="9">
        <f>IFERROR(__xludf.DUMMYFUNCTION("SPLIT(I702,""-"")"),75201.0)</f>
        <v>75201</v>
      </c>
    </row>
    <row r="703">
      <c r="A703" s="5" t="s">
        <v>679</v>
      </c>
      <c r="B703" s="6">
        <v>300.0</v>
      </c>
      <c r="C703" s="7" t="s">
        <v>649</v>
      </c>
      <c r="E703" s="8" t="str">
        <f>IFERROR(__xludf.DUMMYFUNCTION("SPLIT(A703,""TX"")"),"Flannery, Elizabeth A.
446 N. Manus Dr.
Dallas, ")</f>
        <v>Flannery, Elizabeth A.
446 N. Manus Dr.
Dallas, </v>
      </c>
      <c r="F703" s="8">
        <f>IFERROR(__xludf.DUMMYFUNCTION("""COMPUTED_VALUE"""),75224.0)</f>
        <v>75224</v>
      </c>
      <c r="I703" s="8">
        <f t="shared" si="7"/>
        <v>75224</v>
      </c>
      <c r="J703" s="9">
        <f>IFERROR(__xludf.DUMMYFUNCTION("SPLIT(I703,""-"")"),75224.0)</f>
        <v>75224</v>
      </c>
    </row>
    <row r="704">
      <c r="A704" s="10" t="s">
        <v>680</v>
      </c>
      <c r="B704" s="11">
        <v>500.0</v>
      </c>
      <c r="C704" s="12" t="s">
        <v>649</v>
      </c>
      <c r="E704" s="8" t="str">
        <f>IFERROR(__xludf.DUMMYFUNCTION("SPLIT(A704,""TX"")"),"Flores, Michael
110 N. Montclair Ave.
Dallas, ")</f>
        <v>Flores, Michael
110 N. Montclair Ave.
Dallas, </v>
      </c>
      <c r="F704" s="8">
        <f>IFERROR(__xludf.DUMMYFUNCTION("""COMPUTED_VALUE"""),75208.0)</f>
        <v>75208</v>
      </c>
      <c r="I704" s="8">
        <f t="shared" si="7"/>
        <v>75208</v>
      </c>
      <c r="J704" s="9">
        <f>IFERROR(__xludf.DUMMYFUNCTION("SPLIT(I704,""-"")"),75208.0)</f>
        <v>75208</v>
      </c>
    </row>
    <row r="705">
      <c r="A705" s="5" t="s">
        <v>681</v>
      </c>
      <c r="B705" s="6">
        <v>100.0</v>
      </c>
      <c r="C705" s="7" t="s">
        <v>649</v>
      </c>
      <c r="E705" s="8" t="str">
        <f>IFERROR(__xludf.DUMMYFUNCTION("SPLIT(A705,""TX"")"),"Forsythe Lill, Veletta
622 Blair Blvd.
Dallas, ")</f>
        <v>Forsythe Lill, Veletta
622 Blair Blvd.
Dallas, </v>
      </c>
      <c r="F705" s="8">
        <f>IFERROR(__xludf.DUMMYFUNCTION("""COMPUTED_VALUE"""),75223.0)</f>
        <v>75223</v>
      </c>
      <c r="I705" s="8">
        <f t="shared" si="7"/>
        <v>75223</v>
      </c>
      <c r="J705" s="9">
        <f>IFERROR(__xludf.DUMMYFUNCTION("SPLIT(I705,""-"")"),75223.0)</f>
        <v>75223</v>
      </c>
    </row>
    <row r="706">
      <c r="A706" s="10" t="s">
        <v>682</v>
      </c>
      <c r="B706" s="11">
        <v>250.0</v>
      </c>
      <c r="C706" s="12" t="s">
        <v>649</v>
      </c>
      <c r="E706" s="8" t="str">
        <f>IFERROR(__xludf.DUMMYFUNCTION("SPLIT(A706,""TX"")"),"Garza, Daniel
633 S. St. Mary's
San Antonio, ")</f>
        <v>Garza, Daniel
633 S. St. Mary's
San Antonio, </v>
      </c>
      <c r="F706" s="8">
        <f>IFERROR(__xludf.DUMMYFUNCTION("""COMPUTED_VALUE"""),78205.0)</f>
        <v>78205</v>
      </c>
      <c r="I706" s="8">
        <f t="shared" si="7"/>
        <v>78205</v>
      </c>
      <c r="J706" s="9">
        <f>IFERROR(__xludf.DUMMYFUNCTION("SPLIT(I706,""-"")"),78205.0)</f>
        <v>78205</v>
      </c>
    </row>
    <row r="707">
      <c r="A707" s="5" t="s">
        <v>683</v>
      </c>
      <c r="B707" s="6">
        <v>500.0</v>
      </c>
      <c r="C707" s="7" t="s">
        <v>649</v>
      </c>
      <c r="E707" s="8" t="str">
        <f>IFERROR(__xludf.DUMMYFUNCTION("SPLIT(A707,""TX"")"),"Gilna, Edward
12114 Prestonridge
Dallas, ")</f>
        <v>Gilna, Edward
12114 Prestonridge
Dallas, </v>
      </c>
      <c r="F707" s="8">
        <f>IFERROR(__xludf.DUMMYFUNCTION("""COMPUTED_VALUE"""),75230.0)</f>
        <v>75230</v>
      </c>
      <c r="I707" s="8">
        <f t="shared" si="7"/>
        <v>75230</v>
      </c>
      <c r="J707" s="9">
        <f>IFERROR(__xludf.DUMMYFUNCTION("SPLIT(I707,""-"")"),75230.0)</f>
        <v>75230</v>
      </c>
    </row>
    <row r="708">
      <c r="A708" s="10" t="s">
        <v>684</v>
      </c>
      <c r="B708" s="11">
        <v>237.2</v>
      </c>
      <c r="C708" s="12" t="s">
        <v>649</v>
      </c>
      <c r="E708" s="8" t="str">
        <f>IFERROR(__xludf.DUMMYFUNCTION("SPLIT(A708,""TX"")"),"Ginsberg, Carl
2905 Wellborn St.
Dallas, ")</f>
        <v>Ginsberg, Carl
2905 Wellborn St.
Dallas, </v>
      </c>
      <c r="F708" s="8">
        <f>IFERROR(__xludf.DUMMYFUNCTION("""COMPUTED_VALUE"""),75219.0)</f>
        <v>75219</v>
      </c>
      <c r="I708" s="8">
        <f t="shared" si="7"/>
        <v>75219</v>
      </c>
      <c r="J708" s="9">
        <f>IFERROR(__xludf.DUMMYFUNCTION("SPLIT(I708,""-"")"),75219.0)</f>
        <v>75219</v>
      </c>
    </row>
    <row r="709">
      <c r="A709" s="5" t="s">
        <v>684</v>
      </c>
      <c r="B709" s="6">
        <v>500.0</v>
      </c>
      <c r="C709" s="7" t="s">
        <v>649</v>
      </c>
      <c r="E709" s="8" t="str">
        <f>IFERROR(__xludf.DUMMYFUNCTION("SPLIT(A709,""TX"")"),"Ginsberg, Carl
2905 Wellborn St.
Dallas, ")</f>
        <v>Ginsberg, Carl
2905 Wellborn St.
Dallas, </v>
      </c>
      <c r="F709" s="8">
        <f>IFERROR(__xludf.DUMMYFUNCTION("""COMPUTED_VALUE"""),75219.0)</f>
        <v>75219</v>
      </c>
      <c r="I709" s="8">
        <f t="shared" si="7"/>
        <v>75219</v>
      </c>
      <c r="J709" s="9">
        <f>IFERROR(__xludf.DUMMYFUNCTION("SPLIT(I709,""-"")"),75219.0)</f>
        <v>75219</v>
      </c>
    </row>
    <row r="710">
      <c r="A710" s="10" t="s">
        <v>684</v>
      </c>
      <c r="B710" s="11">
        <v>212.05</v>
      </c>
      <c r="C710" s="12" t="s">
        <v>649</v>
      </c>
      <c r="E710" s="8" t="str">
        <f>IFERROR(__xludf.DUMMYFUNCTION("SPLIT(A710,""TX"")"),"Ginsberg, Carl
2905 Wellborn St.
Dallas, ")</f>
        <v>Ginsberg, Carl
2905 Wellborn St.
Dallas, </v>
      </c>
      <c r="F710" s="8">
        <f>IFERROR(__xludf.DUMMYFUNCTION("""COMPUTED_VALUE"""),75219.0)</f>
        <v>75219</v>
      </c>
      <c r="I710" s="8">
        <f t="shared" si="7"/>
        <v>75219</v>
      </c>
      <c r="J710" s="9">
        <f>IFERROR(__xludf.DUMMYFUNCTION("SPLIT(I710,""-"")"),75219.0)</f>
        <v>75219</v>
      </c>
    </row>
    <row r="711">
      <c r="A711" s="5" t="s">
        <v>685</v>
      </c>
      <c r="B711" s="6">
        <v>250.0</v>
      </c>
      <c r="C711" s="7" t="s">
        <v>649</v>
      </c>
      <c r="E711" s="8" t="str">
        <f>IFERROR(__xludf.DUMMYFUNCTION("SPLIT(A711,""TX"")"),"Glass, Andrew J.
5547 Martel Ave.
Dallas, ")</f>
        <v>Glass, Andrew J.
5547 Martel Ave.
Dallas, </v>
      </c>
      <c r="F711" s="8">
        <f>IFERROR(__xludf.DUMMYFUNCTION("""COMPUTED_VALUE"""),75296.0)</f>
        <v>75296</v>
      </c>
      <c r="I711" s="8">
        <f t="shared" si="7"/>
        <v>75296</v>
      </c>
      <c r="J711" s="9">
        <f>IFERROR(__xludf.DUMMYFUNCTION("SPLIT(I711,""-"")"),75296.0)</f>
        <v>75296</v>
      </c>
    </row>
    <row r="712">
      <c r="A712" s="10" t="s">
        <v>686</v>
      </c>
      <c r="B712" s="11">
        <v>250.0</v>
      </c>
      <c r="C712" s="12" t="s">
        <v>649</v>
      </c>
      <c r="E712" s="8" t="str">
        <f>IFERROR(__xludf.DUMMYFUNCTION("SPLIT(A712,""TX"")"),"Granoff, Peter
3120 Commonwealth Dr.
Dallas, ")</f>
        <v>Granoff, Peter
3120 Commonwealth Dr.
Dallas, </v>
      </c>
      <c r="F712" s="8">
        <f>IFERROR(__xludf.DUMMYFUNCTION("""COMPUTED_VALUE"""),75247.0)</f>
        <v>75247</v>
      </c>
      <c r="I712" s="8">
        <f t="shared" si="7"/>
        <v>75247</v>
      </c>
      <c r="J712" s="9">
        <f>IFERROR(__xludf.DUMMYFUNCTION("SPLIT(I712,""-"")"),75247.0)</f>
        <v>75247</v>
      </c>
    </row>
    <row r="713">
      <c r="A713" s="5" t="s">
        <v>687</v>
      </c>
      <c r="B713" s="6">
        <v>50.0</v>
      </c>
      <c r="C713" s="7" t="s">
        <v>649</v>
      </c>
      <c r="E713" s="8" t="str">
        <f>IFERROR(__xludf.DUMMYFUNCTION("SPLIT(A713,""TX"")"),"Griffin, Allen
2510 W. 10th St.
Dallas, ")</f>
        <v>Griffin, Allen
2510 W. 10th St.
Dallas, </v>
      </c>
      <c r="F713" s="8">
        <f>IFERROR(__xludf.DUMMYFUNCTION("""COMPUTED_VALUE"""),75211.0)</f>
        <v>75211</v>
      </c>
      <c r="I713" s="8">
        <f t="shared" si="7"/>
        <v>75211</v>
      </c>
      <c r="J713" s="9">
        <f>IFERROR(__xludf.DUMMYFUNCTION("SPLIT(I713,""-"")"),75211.0)</f>
        <v>75211</v>
      </c>
    </row>
    <row r="714">
      <c r="A714" s="10" t="s">
        <v>688</v>
      </c>
      <c r="B714" s="11">
        <v>250.0</v>
      </c>
      <c r="C714" s="12" t="s">
        <v>649</v>
      </c>
      <c r="E714" s="8" t="str">
        <f>IFERROR(__xludf.DUMMYFUNCTION("SPLIT(A714,""TX"")"),"Haley, Charles
1411 Cedar Hill Ave.
Dallas, ")</f>
        <v>Haley, Charles
1411 Cedar Hill Ave.
Dallas, </v>
      </c>
      <c r="F714" s="8">
        <f>IFERROR(__xludf.DUMMYFUNCTION("""COMPUTED_VALUE"""),75208.0)</f>
        <v>75208</v>
      </c>
      <c r="I714" s="8">
        <f t="shared" si="7"/>
        <v>75208</v>
      </c>
      <c r="J714" s="9">
        <f>IFERROR(__xludf.DUMMYFUNCTION("SPLIT(I714,""-"")"),75208.0)</f>
        <v>75208</v>
      </c>
    </row>
    <row r="715">
      <c r="A715" s="5" t="s">
        <v>689</v>
      </c>
      <c r="B715" s="6">
        <v>50.0</v>
      </c>
      <c r="C715" s="7" t="s">
        <v>649</v>
      </c>
      <c r="E715" s="8" t="str">
        <f>IFERROR(__xludf.DUMMYFUNCTION("SPLIT(A715,""TX"")"),"Hall, Lynn
2114 Kessler Ct.
Dallas, ")</f>
        <v>Hall, Lynn
2114 Kessler Ct.
Dallas, </v>
      </c>
      <c r="F715" s="8">
        <f>IFERROR(__xludf.DUMMYFUNCTION("""COMPUTED_VALUE"""),75208.0)</f>
        <v>75208</v>
      </c>
      <c r="I715" s="8">
        <f t="shared" si="7"/>
        <v>75208</v>
      </c>
      <c r="J715" s="9">
        <f>IFERROR(__xludf.DUMMYFUNCTION("SPLIT(I715,""-"")"),75208.0)</f>
        <v>75208</v>
      </c>
    </row>
    <row r="716">
      <c r="A716" s="10" t="s">
        <v>690</v>
      </c>
      <c r="B716" s="11">
        <v>1000.0</v>
      </c>
      <c r="C716" s="12" t="s">
        <v>649</v>
      </c>
      <c r="E716" s="8" t="str">
        <f>IFERROR(__xludf.DUMMYFUNCTION("SPLIT(A716,""TX"")"),"Harfuch, Faud
5930 Royal Ln.
Dallas, ")</f>
        <v>Harfuch, Faud
5930 Royal Ln.
Dallas, </v>
      </c>
      <c r="F716" s="8">
        <f>IFERROR(__xludf.DUMMYFUNCTION("""COMPUTED_VALUE"""),75230.0)</f>
        <v>75230</v>
      </c>
      <c r="I716" s="8">
        <f t="shared" si="7"/>
        <v>75230</v>
      </c>
      <c r="J716" s="9">
        <f>IFERROR(__xludf.DUMMYFUNCTION("SPLIT(I716,""-"")"),75230.0)</f>
        <v>75230</v>
      </c>
    </row>
    <row r="717">
      <c r="A717" s="5" t="s">
        <v>690</v>
      </c>
      <c r="B717" s="6">
        <v>1500.0</v>
      </c>
      <c r="C717" s="7" t="s">
        <v>649</v>
      </c>
      <c r="E717" s="8" t="str">
        <f>IFERROR(__xludf.DUMMYFUNCTION("SPLIT(A717,""TX"")"),"Harfuch, Faud
5930 Royal Ln.
Dallas, ")</f>
        <v>Harfuch, Faud
5930 Royal Ln.
Dallas, </v>
      </c>
      <c r="F717" s="8">
        <f>IFERROR(__xludf.DUMMYFUNCTION("""COMPUTED_VALUE"""),75230.0)</f>
        <v>75230</v>
      </c>
      <c r="I717" s="8">
        <f t="shared" si="7"/>
        <v>75230</v>
      </c>
      <c r="J717" s="9">
        <f>IFERROR(__xludf.DUMMYFUNCTION("SPLIT(I717,""-"")"),75230.0)</f>
        <v>75230</v>
      </c>
    </row>
    <row r="718">
      <c r="A718" s="10" t="s">
        <v>691</v>
      </c>
      <c r="B718" s="11">
        <v>25.0</v>
      </c>
      <c r="C718" s="12" t="s">
        <v>649</v>
      </c>
      <c r="E718" s="8" t="str">
        <f>IFERROR(__xludf.DUMMYFUNCTION("SPLIT(A718,""TX"")"),"Harrison, Genifer
617 S. Ravinia Dr.
Dallas, ")</f>
        <v>Harrison, Genifer
617 S. Ravinia Dr.
Dallas, </v>
      </c>
      <c r="F718" s="8">
        <f>IFERROR(__xludf.DUMMYFUNCTION("""COMPUTED_VALUE"""),75211.0)</f>
        <v>75211</v>
      </c>
      <c r="I718" s="8">
        <f t="shared" si="7"/>
        <v>75211</v>
      </c>
      <c r="J718" s="9">
        <f>IFERROR(__xludf.DUMMYFUNCTION("SPLIT(I718,""-"")"),75211.0)</f>
        <v>75211</v>
      </c>
    </row>
    <row r="719">
      <c r="A719" s="5" t="s">
        <v>691</v>
      </c>
      <c r="B719" s="6">
        <v>50.0</v>
      </c>
      <c r="C719" s="7" t="s">
        <v>649</v>
      </c>
      <c r="E719" s="8" t="str">
        <f>IFERROR(__xludf.DUMMYFUNCTION("SPLIT(A719,""TX"")"),"Harrison, Genifer
617 S. Ravinia Dr.
Dallas, ")</f>
        <v>Harrison, Genifer
617 S. Ravinia Dr.
Dallas, </v>
      </c>
      <c r="F719" s="8">
        <f>IFERROR(__xludf.DUMMYFUNCTION("""COMPUTED_VALUE"""),75211.0)</f>
        <v>75211</v>
      </c>
      <c r="I719" s="8">
        <f t="shared" si="7"/>
        <v>75211</v>
      </c>
      <c r="J719" s="9">
        <f>IFERROR(__xludf.DUMMYFUNCTION("SPLIT(I719,""-"")"),75211.0)</f>
        <v>75211</v>
      </c>
    </row>
    <row r="720">
      <c r="A720" s="10" t="s">
        <v>692</v>
      </c>
      <c r="B720" s="11">
        <v>474.7</v>
      </c>
      <c r="C720" s="12" t="s">
        <v>649</v>
      </c>
      <c r="E720" s="8" t="str">
        <f>IFERROR(__xludf.DUMMYFUNCTION("SPLIT(A720,""TX"")"),"Hartz, William
9109 Nottingham Pkwy
Louisville, KY 40222")</f>
        <v>Hartz, William
9109 Nottingham Pkwy
Louisville, KY 40222</v>
      </c>
      <c r="I720" s="8" t="str">
        <f t="shared" si="7"/>
        <v/>
      </c>
      <c r="J720" s="9" t="str">
        <f>IFERROR(__xludf.DUMMYFUNCTION("SPLIT(I720,""-"")"),"#VALUE!")</f>
        <v>#VALUE!</v>
      </c>
    </row>
    <row r="721">
      <c r="A721" s="5" t="s">
        <v>693</v>
      </c>
      <c r="B721" s="6">
        <v>1000.0</v>
      </c>
      <c r="C721" s="7" t="s">
        <v>649</v>
      </c>
      <c r="E721" s="8" t="str">
        <f>IFERROR(__xludf.DUMMYFUNCTION("SPLIT(A721,""TX"")"),"Henley, Hudson
5415 Ursula Ln.
Dallas, ")</f>
        <v>Henley, Hudson
5415 Ursula Ln.
Dallas, </v>
      </c>
      <c r="F721" s="8">
        <f>IFERROR(__xludf.DUMMYFUNCTION("""COMPUTED_VALUE"""),75229.0)</f>
        <v>75229</v>
      </c>
      <c r="I721" s="8">
        <f t="shared" si="7"/>
        <v>75229</v>
      </c>
      <c r="J721" s="9">
        <f>IFERROR(__xludf.DUMMYFUNCTION("SPLIT(I721,""-"")"),75229.0)</f>
        <v>75229</v>
      </c>
    </row>
    <row r="722">
      <c r="A722" s="10" t="s">
        <v>694</v>
      </c>
      <c r="B722" s="11">
        <v>1000.0</v>
      </c>
      <c r="C722" s="12" t="s">
        <v>649</v>
      </c>
      <c r="E722" s="8" t="str">
        <f>IFERROR(__xludf.DUMMYFUNCTION("SPLIT(A722,""TX"")"),"Kim, Hudson
5415 Ursula Ln.
Dallas, ")</f>
        <v>Kim, Hudson
5415 Ursula Ln.
Dallas, </v>
      </c>
      <c r="F722" s="8">
        <f>IFERROR(__xludf.DUMMYFUNCTION("""COMPUTED_VALUE"""),75229.0)</f>
        <v>75229</v>
      </c>
      <c r="I722" s="8">
        <f t="shared" si="7"/>
        <v>75229</v>
      </c>
      <c r="J722" s="9">
        <f>IFERROR(__xludf.DUMMYFUNCTION("SPLIT(I722,""-"")"),75229.0)</f>
        <v>75229</v>
      </c>
    </row>
    <row r="723">
      <c r="A723" s="5" t="s">
        <v>695</v>
      </c>
      <c r="B723" s="6">
        <v>474.7</v>
      </c>
      <c r="C723" s="7" t="s">
        <v>649</v>
      </c>
      <c r="E723" s="8" t="str">
        <f>IFERROR(__xludf.DUMMYFUNCTION("SPLIT(A723,""TX"")"),"Hicks, Jerry
831 N. Oak Cliff Blvd.
Dallas, ")</f>
        <v>Hicks, Jerry
831 N. Oak Cliff Blvd.
Dallas, </v>
      </c>
      <c r="F723" s="8">
        <f>IFERROR(__xludf.DUMMYFUNCTION("""COMPUTED_VALUE"""),75208.0)</f>
        <v>75208</v>
      </c>
      <c r="I723" s="8">
        <f t="shared" si="7"/>
        <v>75208</v>
      </c>
      <c r="J723" s="9">
        <f>IFERROR(__xludf.DUMMYFUNCTION("SPLIT(I723,""-"")"),75208.0)</f>
        <v>75208</v>
      </c>
    </row>
    <row r="724">
      <c r="A724" s="10" t="s">
        <v>696</v>
      </c>
      <c r="B724" s="11">
        <v>200.0</v>
      </c>
      <c r="C724" s="12" t="s">
        <v>649</v>
      </c>
      <c r="E724" s="8" t="str">
        <f>IFERROR(__xludf.DUMMYFUNCTION("SPLIT(A724,""TX"")"),"Hill, John
2820 Reagan St.
Dallas, ")</f>
        <v>Hill, John
2820 Reagan St.
Dallas, </v>
      </c>
      <c r="F724" s="8">
        <f>IFERROR(__xludf.DUMMYFUNCTION("""COMPUTED_VALUE"""),75219.0)</f>
        <v>75219</v>
      </c>
      <c r="I724" s="8">
        <f t="shared" si="7"/>
        <v>75219</v>
      </c>
      <c r="J724" s="9">
        <f>IFERROR(__xludf.DUMMYFUNCTION("SPLIT(I724,""-"")"),75219.0)</f>
        <v>75219</v>
      </c>
    </row>
    <row r="725">
      <c r="A725" s="5" t="s">
        <v>697</v>
      </c>
      <c r="B725" s="6">
        <v>250.0</v>
      </c>
      <c r="C725" s="7" t="s">
        <v>649</v>
      </c>
      <c r="E725" s="8" t="str">
        <f>IFERROR(__xludf.DUMMYFUNCTION("SPLIT(A725,""TX"")"),"Hinojosa, Gustavo
4431 Holland Ave.
Dallas, ")</f>
        <v>Hinojosa, Gustavo
4431 Holland Ave.
Dallas, </v>
      </c>
      <c r="F725" s="8">
        <f>IFERROR(__xludf.DUMMYFUNCTION("""COMPUTED_VALUE"""),75219.0)</f>
        <v>75219</v>
      </c>
      <c r="I725" s="8">
        <f t="shared" si="7"/>
        <v>75219</v>
      </c>
      <c r="J725" s="9">
        <f>IFERROR(__xludf.DUMMYFUNCTION("SPLIT(I725,""-"")"),75219.0)</f>
        <v>75219</v>
      </c>
    </row>
    <row r="726">
      <c r="A726" s="10" t="s">
        <v>698</v>
      </c>
      <c r="B726" s="11">
        <v>250.0</v>
      </c>
      <c r="C726" s="12" t="s">
        <v>649</v>
      </c>
      <c r="E726" s="8" t="str">
        <f>IFERROR(__xludf.DUMMYFUNCTION("SPLIT(A726,""TX"")"),"Houston, Matthew
1504 Boca Chica Dr.
Dallas, ")</f>
        <v>Houston, Matthew
1504 Boca Chica Dr.
Dallas, </v>
      </c>
      <c r="F726" s="8">
        <f>IFERROR(__xludf.DUMMYFUNCTION("""COMPUTED_VALUE"""),75232.0)</f>
        <v>75232</v>
      </c>
      <c r="I726" s="8">
        <f t="shared" si="7"/>
        <v>75232</v>
      </c>
      <c r="J726" s="9">
        <f>IFERROR(__xludf.DUMMYFUNCTION("SPLIT(I726,""-"")"),75232.0)</f>
        <v>75232</v>
      </c>
    </row>
    <row r="727">
      <c r="A727" s="5" t="s">
        <v>699</v>
      </c>
      <c r="B727" s="6">
        <v>25.0</v>
      </c>
      <c r="C727" s="7" t="s">
        <v>649</v>
      </c>
      <c r="E727" s="8" t="str">
        <f>IFERROR(__xludf.DUMMYFUNCTION("SPLIT(A727,""TX"")"),"Hulla, Connor
3551 Wilshire Way
Richardson, ")</f>
        <v>Hulla, Connor
3551 Wilshire Way
Richardson, </v>
      </c>
      <c r="F727" s="8">
        <f>IFERROR(__xludf.DUMMYFUNCTION("""COMPUTED_VALUE"""),75082.0)</f>
        <v>75082</v>
      </c>
      <c r="I727" s="8">
        <f t="shared" si="7"/>
        <v>75082</v>
      </c>
      <c r="J727" s="9">
        <f>IFERROR(__xludf.DUMMYFUNCTION("SPLIT(I727,""-"")"),75082.0)</f>
        <v>75082</v>
      </c>
    </row>
    <row r="728">
      <c r="A728" s="10" t="s">
        <v>700</v>
      </c>
      <c r="B728" s="11">
        <v>250.0</v>
      </c>
      <c r="C728" s="12" t="s">
        <v>649</v>
      </c>
      <c r="E728" s="8" t="str">
        <f>IFERROR(__xludf.DUMMYFUNCTION("SPLIT(A728,""TX"")"),"Jobin, Lauren
2608 Hibernia St.
Dallas, ")</f>
        <v>Jobin, Lauren
2608 Hibernia St.
Dallas, </v>
      </c>
      <c r="F728" s="8">
        <f>IFERROR(__xludf.DUMMYFUNCTION("""COMPUTED_VALUE"""),75204.0)</f>
        <v>75204</v>
      </c>
      <c r="I728" s="8">
        <f t="shared" si="7"/>
        <v>75204</v>
      </c>
      <c r="J728" s="9">
        <f>IFERROR(__xludf.DUMMYFUNCTION("SPLIT(I728,""-"")"),75204.0)</f>
        <v>75204</v>
      </c>
    </row>
    <row r="729">
      <c r="A729" s="5" t="s">
        <v>701</v>
      </c>
      <c r="B729" s="6">
        <v>500.0</v>
      </c>
      <c r="C729" s="7" t="s">
        <v>649</v>
      </c>
      <c r="E729" s="8" t="str">
        <f>IFERROR(__xludf.DUMMYFUNCTION("SPLIT(A729,""TX"")"),"Johnson, Jeremy
2742 W. Jefferson Blvd.
Dallas, ")</f>
        <v>Johnson, Jeremy
2742 W. Jefferson Blvd.
Dallas, </v>
      </c>
      <c r="F729" s="8">
        <f>IFERROR(__xludf.DUMMYFUNCTION("""COMPUTED_VALUE"""),75211.0)</f>
        <v>75211</v>
      </c>
      <c r="I729" s="8">
        <f t="shared" si="7"/>
        <v>75211</v>
      </c>
      <c r="J729" s="9">
        <f>IFERROR(__xludf.DUMMYFUNCTION("SPLIT(I729,""-"")"),75211.0)</f>
        <v>75211</v>
      </c>
    </row>
    <row r="730">
      <c r="A730" s="10" t="s">
        <v>702</v>
      </c>
      <c r="B730" s="11">
        <v>500.0</v>
      </c>
      <c r="C730" s="12" t="s">
        <v>649</v>
      </c>
      <c r="E730" s="8" t="str">
        <f>IFERROR(__xludf.DUMMYFUNCTION("SPLIT(A730,""TX"")"),"Johnson, Willis
1001 Belleview St.
Dallas, ")</f>
        <v>Johnson, Willis
1001 Belleview St.
Dallas, </v>
      </c>
      <c r="F730" s="8">
        <f>IFERROR(__xludf.DUMMYFUNCTION("""COMPUTED_VALUE"""),75215.0)</f>
        <v>75215</v>
      </c>
      <c r="I730" s="8">
        <f t="shared" si="7"/>
        <v>75215</v>
      </c>
      <c r="J730" s="9">
        <f>IFERROR(__xludf.DUMMYFUNCTION("SPLIT(I730,""-"")"),75215.0)</f>
        <v>75215</v>
      </c>
    </row>
    <row r="731">
      <c r="A731" s="5" t="s">
        <v>703</v>
      </c>
      <c r="B731" s="6">
        <v>100.0</v>
      </c>
      <c r="C731" s="7" t="s">
        <v>649</v>
      </c>
      <c r="E731" s="8" t="str">
        <f>IFERROR(__xludf.DUMMYFUNCTION("SPLIT(A731,""TX"")"),"Kadison, Bret
3411 Yoakum Blvd.
Houston, ")</f>
        <v>Kadison, Bret
3411 Yoakum Blvd.
Houston, </v>
      </c>
      <c r="F731" s="8">
        <f>IFERROR(__xludf.DUMMYFUNCTION("""COMPUTED_VALUE"""),77006.0)</f>
        <v>77006</v>
      </c>
      <c r="I731" s="8">
        <f t="shared" si="7"/>
        <v>77006</v>
      </c>
      <c r="J731" s="9">
        <f>IFERROR(__xludf.DUMMYFUNCTION("SPLIT(I731,""-"")"),77006.0)</f>
        <v>77006</v>
      </c>
    </row>
    <row r="732">
      <c r="A732" s="10" t="s">
        <v>704</v>
      </c>
      <c r="B732" s="11">
        <v>237.2</v>
      </c>
      <c r="C732" s="12" t="s">
        <v>649</v>
      </c>
      <c r="E732" s="8" t="str">
        <f>IFERROR(__xludf.DUMMYFUNCTION("SPLIT(A732,""TX"")"),"Kapioltas, Leah
2295 Sussex Ln.
Allen, ")</f>
        <v>Kapioltas, Leah
2295 Sussex Ln.
Allen, </v>
      </c>
      <c r="F732" s="8">
        <f>IFERROR(__xludf.DUMMYFUNCTION("""COMPUTED_VALUE"""),75013.0)</f>
        <v>75013</v>
      </c>
      <c r="I732" s="8">
        <f t="shared" si="7"/>
        <v>75013</v>
      </c>
      <c r="J732" s="9">
        <f>IFERROR(__xludf.DUMMYFUNCTION("SPLIT(I732,""-"")"),75013.0)</f>
        <v>75013</v>
      </c>
    </row>
    <row r="733">
      <c r="A733" s="5" t="s">
        <v>705</v>
      </c>
      <c r="B733" s="6">
        <v>125.0</v>
      </c>
      <c r="C733" s="7" t="s">
        <v>649</v>
      </c>
      <c r="E733" s="8" t="str">
        <f>IFERROR(__xludf.DUMMYFUNCTION("SPLIT(A733,""TX"")"),"Kapoor, Poonam
6201 ")</f>
        <v>Kapoor, Poonam
6201 </v>
      </c>
      <c r="F733" s="8" t="str">
        <f>IFERROR(__xludf.DUMMYFUNCTION("""COMPUTED_VALUE"""),"iaggart St.
Houston, ")</f>
        <v>iaggart St.
Houston, </v>
      </c>
      <c r="G733" s="8">
        <f>IFERROR(__xludf.DUMMYFUNCTION("""COMPUTED_VALUE"""),77007.0)</f>
        <v>77007</v>
      </c>
      <c r="I733" s="8">
        <f t="shared" si="7"/>
        <v>77007</v>
      </c>
      <c r="J733" s="9">
        <f>IFERROR(__xludf.DUMMYFUNCTION("SPLIT(I733,""-"")"),77007.0)</f>
        <v>77007</v>
      </c>
    </row>
    <row r="734">
      <c r="A734" s="10" t="s">
        <v>706</v>
      </c>
      <c r="B734" s="11">
        <v>250.0</v>
      </c>
      <c r="C734" s="12" t="s">
        <v>649</v>
      </c>
      <c r="E734" s="8" t="str">
        <f>IFERROR(__xludf.DUMMYFUNCTION("SPLIT(A734,""TX"")"),"Kelso, Beverly
511 Harvest Glen Dr.
Richardson, ")</f>
        <v>Kelso, Beverly
511 Harvest Glen Dr.
Richardson, </v>
      </c>
      <c r="F734" s="8">
        <f>IFERROR(__xludf.DUMMYFUNCTION("""COMPUTED_VALUE"""),75081.0)</f>
        <v>75081</v>
      </c>
      <c r="I734" s="8">
        <f t="shared" si="7"/>
        <v>75081</v>
      </c>
      <c r="J734" s="9">
        <f>IFERROR(__xludf.DUMMYFUNCTION("SPLIT(I734,""-"")"),75081.0)</f>
        <v>75081</v>
      </c>
    </row>
    <row r="735">
      <c r="A735" s="5" t="s">
        <v>707</v>
      </c>
      <c r="B735" s="6">
        <v>949.7</v>
      </c>
      <c r="C735" s="7" t="s">
        <v>649</v>
      </c>
      <c r="E735" s="8" t="str">
        <f>IFERROR(__xludf.DUMMYFUNCTION("SPLIT(A735,""TX"")"),"Kleinert, Christopher
1900 N. Akard St.
Dallas, ")</f>
        <v>Kleinert, Christopher
1900 N. Akard St.
Dallas, </v>
      </c>
      <c r="F735" s="8">
        <f>IFERROR(__xludf.DUMMYFUNCTION("""COMPUTED_VALUE"""),75201.0)</f>
        <v>75201</v>
      </c>
      <c r="I735" s="8">
        <f t="shared" si="7"/>
        <v>75201</v>
      </c>
      <c r="J735" s="9">
        <f>IFERROR(__xludf.DUMMYFUNCTION("SPLIT(I735,""-"")"),75201.0)</f>
        <v>75201</v>
      </c>
    </row>
    <row r="736">
      <c r="A736" s="10" t="s">
        <v>708</v>
      </c>
      <c r="B736" s="11">
        <v>250.0</v>
      </c>
      <c r="C736" s="12" t="s">
        <v>649</v>
      </c>
      <c r="E736" s="8" t="str">
        <f>IFERROR(__xludf.DUMMYFUNCTION("SPLIT(A736,""TX"")"),"Larsen, Scott
665 Kessler Reserve Ct.
Dallas, ")</f>
        <v>Larsen, Scott
665 Kessler Reserve Ct.
Dallas, </v>
      </c>
      <c r="F736" s="8">
        <f>IFERROR(__xludf.DUMMYFUNCTION("""COMPUTED_VALUE"""),75208.0)</f>
        <v>75208</v>
      </c>
      <c r="I736" s="8">
        <f t="shared" si="7"/>
        <v>75208</v>
      </c>
      <c r="J736" s="9">
        <f>IFERROR(__xludf.DUMMYFUNCTION("SPLIT(I736,""-"")"),75208.0)</f>
        <v>75208</v>
      </c>
    </row>
    <row r="737">
      <c r="A737" s="5" t="s">
        <v>709</v>
      </c>
      <c r="B737" s="6">
        <v>100.0</v>
      </c>
      <c r="C737" s="7" t="s">
        <v>649</v>
      </c>
      <c r="E737" s="8" t="str">
        <f>IFERROR(__xludf.DUMMYFUNCTION("SPLIT(A737,""TX"")"),"Lea, ")</f>
        <v>Lea, </v>
      </c>
      <c r="F737" s="8" t="str">
        <f>IFERROR(__xludf.DUMMYFUNCTION("""COMPUTED_VALUE"""),"yler
2042 Rugged Dr.
Dallas, ")</f>
        <v>yler
2042 Rugged Dr.
Dallas, </v>
      </c>
      <c r="G737" s="8">
        <f>IFERROR(__xludf.DUMMYFUNCTION("""COMPUTED_VALUE"""),75224.0)</f>
        <v>75224</v>
      </c>
      <c r="I737" s="8">
        <f t="shared" si="7"/>
        <v>75224</v>
      </c>
      <c r="J737" s="9">
        <f>IFERROR(__xludf.DUMMYFUNCTION("SPLIT(I737,""-"")"),75224.0)</f>
        <v>75224</v>
      </c>
    </row>
    <row r="738">
      <c r="A738" s="10" t="s">
        <v>710</v>
      </c>
      <c r="B738" s="11">
        <v>1000.0</v>
      </c>
      <c r="C738" s="12" t="s">
        <v>649</v>
      </c>
      <c r="E738" s="8" t="str">
        <f>IFERROR(__xludf.DUMMYFUNCTION("SPLIT(A738,""TX"")"),"Lechner, Mark
545 S. 3rd St.
Louisville, KY 40202")</f>
        <v>Lechner, Mark
545 S. 3rd St.
Louisville, KY 40202</v>
      </c>
      <c r="I738" s="8" t="str">
        <f t="shared" si="7"/>
        <v/>
      </c>
      <c r="J738" s="9" t="str">
        <f>IFERROR(__xludf.DUMMYFUNCTION("SPLIT(I738,""-"")"),"#VALUE!")</f>
        <v>#VALUE!</v>
      </c>
    </row>
    <row r="739">
      <c r="A739" s="5" t="s">
        <v>711</v>
      </c>
      <c r="B739" s="6">
        <v>1000.0</v>
      </c>
      <c r="C739" s="7" t="s">
        <v>649</v>
      </c>
      <c r="E739" s="8" t="str">
        <f>IFERROR(__xludf.DUMMYFUNCTION("SPLIT(A739,""TX"")"),"Leone, Victor
6080 Water St.
Plano, ")</f>
        <v>Leone, Victor
6080 Water St.
Plano, </v>
      </c>
      <c r="F739" s="8">
        <f>IFERROR(__xludf.DUMMYFUNCTION("""COMPUTED_VALUE"""),75024.0)</f>
        <v>75024</v>
      </c>
      <c r="I739" s="8">
        <f t="shared" si="7"/>
        <v>75024</v>
      </c>
      <c r="J739" s="9">
        <f>IFERROR(__xludf.DUMMYFUNCTION("SPLIT(I739,""-"")"),75024.0)</f>
        <v>75024</v>
      </c>
    </row>
    <row r="740">
      <c r="A740" s="10" t="s">
        <v>711</v>
      </c>
      <c r="B740" s="11">
        <v>1374.7</v>
      </c>
      <c r="C740" s="12" t="s">
        <v>649</v>
      </c>
      <c r="E740" s="8" t="str">
        <f>IFERROR(__xludf.DUMMYFUNCTION("SPLIT(A740,""TX"")"),"Leone, Victor
6080 Water St.
Plano, ")</f>
        <v>Leone, Victor
6080 Water St.
Plano, </v>
      </c>
      <c r="F740" s="8">
        <f>IFERROR(__xludf.DUMMYFUNCTION("""COMPUTED_VALUE"""),75024.0)</f>
        <v>75024</v>
      </c>
      <c r="I740" s="8">
        <f t="shared" si="7"/>
        <v>75024</v>
      </c>
      <c r="J740" s="9">
        <f>IFERROR(__xludf.DUMMYFUNCTION("SPLIT(I740,""-"")"),75024.0)</f>
        <v>75024</v>
      </c>
    </row>
    <row r="741">
      <c r="A741" s="5" t="s">
        <v>712</v>
      </c>
      <c r="B741" s="6">
        <v>500.0</v>
      </c>
      <c r="C741" s="7" t="s">
        <v>649</v>
      </c>
      <c r="E741" s="8" t="str">
        <f>IFERROR(__xludf.DUMMYFUNCTION("SPLIT(A741,""TX"")"),"Lidji, Isaac
10440 N. Central Expwy.
Dallas, ")</f>
        <v>Lidji, Isaac
10440 N. Central Expwy.
Dallas, </v>
      </c>
      <c r="F741" s="8">
        <f>IFERROR(__xludf.DUMMYFUNCTION("""COMPUTED_VALUE"""),75231.0)</f>
        <v>75231</v>
      </c>
      <c r="I741" s="8">
        <f t="shared" si="7"/>
        <v>75231</v>
      </c>
      <c r="J741" s="9">
        <f>IFERROR(__xludf.DUMMYFUNCTION("SPLIT(I741,""-"")"),75231.0)</f>
        <v>75231</v>
      </c>
    </row>
    <row r="742">
      <c r="A742" s="10" t="s">
        <v>713</v>
      </c>
      <c r="B742" s="11">
        <v>500.0</v>
      </c>
      <c r="C742" s="12" t="s">
        <v>649</v>
      </c>
      <c r="E742" s="8" t="str">
        <f>IFERROR(__xludf.DUMMYFUNCTION("SPLIT(A742,""TX"")"),"Long, Kathryn
1674 Kessler Canyon Dr.
Dallas, ")</f>
        <v>Long, Kathryn
1674 Kessler Canyon Dr.
Dallas, </v>
      </c>
      <c r="F742" s="8">
        <f>IFERROR(__xludf.DUMMYFUNCTION("""COMPUTED_VALUE"""),75208.0)</f>
        <v>75208</v>
      </c>
      <c r="I742" s="8">
        <f t="shared" si="7"/>
        <v>75208</v>
      </c>
      <c r="J742" s="9">
        <f>IFERROR(__xludf.DUMMYFUNCTION("SPLIT(I742,""-"")"),75208.0)</f>
        <v>75208</v>
      </c>
    </row>
    <row r="743">
      <c r="A743" s="5" t="s">
        <v>714</v>
      </c>
      <c r="B743" s="6">
        <v>50.0</v>
      </c>
      <c r="C743" s="7" t="s">
        <v>649</v>
      </c>
      <c r="E743" s="8" t="str">
        <f>IFERROR(__xludf.DUMMYFUNCTION("SPLIT(A743,""TX"")"),"Long, Steve
902 ")</f>
        <v>Long, Steve
902 </v>
      </c>
      <c r="F743" s="8" t="str">
        <f>IFERROR(__xludf.DUMMYFUNCTION("""COMPUTED_VALUE"""),"homasson Dr.
Dallas, ")</f>
        <v>homasson Dr.
Dallas, </v>
      </c>
      <c r="G743" s="8">
        <f>IFERROR(__xludf.DUMMYFUNCTION("""COMPUTED_VALUE"""),75208.0)</f>
        <v>75208</v>
      </c>
      <c r="I743" s="8">
        <f t="shared" si="7"/>
        <v>75208</v>
      </c>
      <c r="J743" s="9">
        <f>IFERROR(__xludf.DUMMYFUNCTION("SPLIT(I743,""-"")"),75208.0)</f>
        <v>75208</v>
      </c>
    </row>
    <row r="744">
      <c r="A744" s="10" t="s">
        <v>715</v>
      </c>
      <c r="B744" s="11">
        <v>300.0</v>
      </c>
      <c r="C744" s="12" t="s">
        <v>649</v>
      </c>
      <c r="E744" s="8" t="str">
        <f>IFERROR(__xludf.DUMMYFUNCTION("SPLIT(A744,""TX"")"),"Luttmer, Francis
6941 Desco Dr.
Dallas, ")</f>
        <v>Luttmer, Francis
6941 Desco Dr.
Dallas, </v>
      </c>
      <c r="F744" s="8">
        <f>IFERROR(__xludf.DUMMYFUNCTION("""COMPUTED_VALUE"""),75225.0)</f>
        <v>75225</v>
      </c>
      <c r="I744" s="8">
        <f t="shared" si="7"/>
        <v>75225</v>
      </c>
      <c r="J744" s="9">
        <f>IFERROR(__xludf.DUMMYFUNCTION("SPLIT(I744,""-"")"),75225.0)</f>
        <v>75225</v>
      </c>
    </row>
    <row r="745">
      <c r="A745" s="5" t="s">
        <v>716</v>
      </c>
      <c r="B745" s="6">
        <v>250.0</v>
      </c>
      <c r="C745" s="7" t="s">
        <v>649</v>
      </c>
      <c r="E745" s="8" t="str">
        <f>IFERROR(__xludf.DUMMYFUNCTION("SPLIT(A745,""TX"")"),"Mallinson, Luke
1640 Handley Dr.
Dallas, ")</f>
        <v>Mallinson, Luke
1640 Handley Dr.
Dallas, </v>
      </c>
      <c r="F745" s="8">
        <f>IFERROR(__xludf.DUMMYFUNCTION("""COMPUTED_VALUE"""),75208.0)</f>
        <v>75208</v>
      </c>
      <c r="I745" s="8">
        <f t="shared" si="7"/>
        <v>75208</v>
      </c>
      <c r="J745" s="9">
        <f>IFERROR(__xludf.DUMMYFUNCTION("SPLIT(I745,""-"")"),75208.0)</f>
        <v>75208</v>
      </c>
    </row>
    <row r="746">
      <c r="A746" s="10" t="s">
        <v>717</v>
      </c>
      <c r="B746" s="11">
        <v>100.0</v>
      </c>
      <c r="C746" s="12" t="s">
        <v>649</v>
      </c>
      <c r="E746" s="8" t="str">
        <f>IFERROR(__xludf.DUMMYFUNCTION("SPLIT(A746,""TX"")"),"Mast, Beda
1224 Lausanne Ave.
Dallas, ")</f>
        <v>Mast, Beda
1224 Lausanne Ave.
Dallas, </v>
      </c>
      <c r="F746" s="8">
        <f>IFERROR(__xludf.DUMMYFUNCTION("""COMPUTED_VALUE"""),75208.0)</f>
        <v>75208</v>
      </c>
      <c r="I746" s="8">
        <f t="shared" si="7"/>
        <v>75208</v>
      </c>
      <c r="J746" s="9">
        <f>IFERROR(__xludf.DUMMYFUNCTION("SPLIT(I746,""-"")"),75208.0)</f>
        <v>75208</v>
      </c>
    </row>
    <row r="747">
      <c r="A747" s="5" t="s">
        <v>718</v>
      </c>
      <c r="B747" s="6">
        <v>50.0</v>
      </c>
      <c r="C747" s="7" t="s">
        <v>649</v>
      </c>
      <c r="E747" s="8" t="str">
        <f>IFERROR(__xludf.DUMMYFUNCTION("SPLIT(A747,""TX"")"),"McDonald, Samuel
2630 Shelby Ave.
Dallas, ")</f>
        <v>McDonald, Samuel
2630 Shelby Ave.
Dallas, </v>
      </c>
      <c r="F747" s="8">
        <f>IFERROR(__xludf.DUMMYFUNCTION("""COMPUTED_VALUE"""),75219.0)</f>
        <v>75219</v>
      </c>
      <c r="I747" s="8">
        <f t="shared" si="7"/>
        <v>75219</v>
      </c>
      <c r="J747" s="9">
        <f>IFERROR(__xludf.DUMMYFUNCTION("SPLIT(I747,""-"")"),75219.0)</f>
        <v>75219</v>
      </c>
    </row>
    <row r="748">
      <c r="A748" s="10" t="s">
        <v>719</v>
      </c>
      <c r="B748" s="11">
        <v>250.0</v>
      </c>
      <c r="C748" s="12" t="s">
        <v>649</v>
      </c>
      <c r="E748" s="8" t="str">
        <f>IFERROR(__xludf.DUMMYFUNCTION("SPLIT(A748,""TX"")"),"McPheeters, Morgan
4408 McKinney AVe.
Dallas, ")</f>
        <v>McPheeters, Morgan
4408 McKinney AVe.
Dallas, </v>
      </c>
      <c r="F748" s="8">
        <f>IFERROR(__xludf.DUMMYFUNCTION("""COMPUTED_VALUE"""),75205.0)</f>
        <v>75205</v>
      </c>
      <c r="I748" s="8">
        <f t="shared" si="7"/>
        <v>75205</v>
      </c>
      <c r="J748" s="9">
        <f>IFERROR(__xludf.DUMMYFUNCTION("SPLIT(I748,""-"")"),75205.0)</f>
        <v>75205</v>
      </c>
    </row>
    <row r="749">
      <c r="A749" s="5" t="s">
        <v>720</v>
      </c>
      <c r="B749" s="6">
        <v>25.0</v>
      </c>
      <c r="C749" s="7" t="s">
        <v>649</v>
      </c>
      <c r="E749" s="8" t="str">
        <f>IFERROR(__xludf.DUMMYFUNCTION("SPLIT(A749,""TX"")"),"McPherson, Mark
246 Waverly Dr.
Dallas, ")</f>
        <v>McPherson, Mark
246 Waverly Dr.
Dallas, </v>
      </c>
      <c r="F749" s="8">
        <f>IFERROR(__xludf.DUMMYFUNCTION("""COMPUTED_VALUE"""),75208.0)</f>
        <v>75208</v>
      </c>
      <c r="I749" s="8">
        <f t="shared" si="7"/>
        <v>75208</v>
      </c>
      <c r="J749" s="9">
        <f>IFERROR(__xludf.DUMMYFUNCTION("SPLIT(I749,""-"")"),75208.0)</f>
        <v>75208</v>
      </c>
    </row>
    <row r="750">
      <c r="A750" s="10" t="s">
        <v>721</v>
      </c>
      <c r="B750" s="11">
        <v>100.0</v>
      </c>
      <c r="C750" s="12" t="s">
        <v>649</v>
      </c>
      <c r="E750" s="8" t="str">
        <f>IFERROR(__xludf.DUMMYFUNCTION("SPLIT(A750,""TX"")"),"Meachum, Harry Wayne
1707 ")</f>
        <v>Meachum, Harry Wayne
1707 </v>
      </c>
      <c r="F750" s="8" t="str">
        <f>IFERROR(__xludf.DUMMYFUNCTION("""COMPUTED_VALUE"""),"imbergrove Cir.
Dallas, ")</f>
        <v>imbergrove Cir.
Dallas, </v>
      </c>
      <c r="G750" s="8">
        <f>IFERROR(__xludf.DUMMYFUNCTION("""COMPUTED_VALUE"""),75208.0)</f>
        <v>75208</v>
      </c>
      <c r="I750" s="8">
        <f t="shared" si="7"/>
        <v>75208</v>
      </c>
      <c r="J750" s="9">
        <f>IFERROR(__xludf.DUMMYFUNCTION("SPLIT(I750,""-"")"),75208.0)</f>
        <v>75208</v>
      </c>
    </row>
    <row r="751">
      <c r="A751" s="5" t="s">
        <v>722</v>
      </c>
      <c r="B751" s="6">
        <v>100.0</v>
      </c>
      <c r="C751" s="7" t="s">
        <v>649</v>
      </c>
      <c r="E751" s="8" t="str">
        <f>IFERROR(__xludf.DUMMYFUNCTION("SPLIT(A751,""TX"")"),"Meckfessel, Robert
1427 Haines Ave.
Dallas, ")</f>
        <v>Meckfessel, Robert
1427 Haines Ave.
Dallas, </v>
      </c>
      <c r="F751" s="8">
        <f>IFERROR(__xludf.DUMMYFUNCTION("""COMPUTED_VALUE"""),75208.0)</f>
        <v>75208</v>
      </c>
      <c r="I751" s="8">
        <f t="shared" si="7"/>
        <v>75208</v>
      </c>
      <c r="J751" s="9">
        <f>IFERROR(__xludf.DUMMYFUNCTION("SPLIT(I751,""-"")"),75208.0)</f>
        <v>75208</v>
      </c>
    </row>
    <row r="752">
      <c r="A752" s="10" t="s">
        <v>723</v>
      </c>
      <c r="B752" s="11">
        <v>100.0</v>
      </c>
      <c r="C752" s="12" t="s">
        <v>649</v>
      </c>
      <c r="E752" s="8" t="str">
        <f>IFERROR(__xludf.DUMMYFUNCTION("SPLIT(A752,""TX"")"),"Melnick, Susan
2316 Kessler Pkwy
Dallas, ")</f>
        <v>Melnick, Susan
2316 Kessler Pkwy
Dallas, </v>
      </c>
      <c r="F752" s="8">
        <f>IFERROR(__xludf.DUMMYFUNCTION("""COMPUTED_VALUE"""),75208.0)</f>
        <v>75208</v>
      </c>
      <c r="I752" s="8">
        <f t="shared" si="7"/>
        <v>75208</v>
      </c>
      <c r="J752" s="9">
        <f>IFERROR(__xludf.DUMMYFUNCTION("SPLIT(I752,""-"")"),75208.0)</f>
        <v>75208</v>
      </c>
    </row>
    <row r="753">
      <c r="A753" s="5" t="s">
        <v>724</v>
      </c>
      <c r="B753" s="6">
        <v>200.0</v>
      </c>
      <c r="C753" s="7" t="s">
        <v>649</v>
      </c>
      <c r="E753" s="8" t="str">
        <f>IFERROR(__xludf.DUMMYFUNCTION("SPLIT(A753,""TX"")"),"Mergele-Rust, Derek
1201 Main St.
Dallas, ")</f>
        <v>Mergele-Rust, Derek
1201 Main St.
Dallas, </v>
      </c>
      <c r="F753" s="8">
        <f>IFERROR(__xludf.DUMMYFUNCTION("""COMPUTED_VALUE"""),75202.0)</f>
        <v>75202</v>
      </c>
      <c r="I753" s="8">
        <f t="shared" si="7"/>
        <v>75202</v>
      </c>
      <c r="J753" s="9">
        <f>IFERROR(__xludf.DUMMYFUNCTION("SPLIT(I753,""-"")"),75202.0)</f>
        <v>75202</v>
      </c>
    </row>
    <row r="754">
      <c r="A754" s="10" t="s">
        <v>725</v>
      </c>
      <c r="B754" s="11">
        <v>100.0</v>
      </c>
      <c r="C754" s="12" t="s">
        <v>649</v>
      </c>
      <c r="E754" s="8" t="str">
        <f>IFERROR(__xludf.DUMMYFUNCTION("SPLIT(A754,""TX"")"),"Mohr, Isabella
2736 Mateur St.
Dallas, ")</f>
        <v>Mohr, Isabella
2736 Mateur St.
Dallas, </v>
      </c>
      <c r="F754" s="8">
        <f>IFERROR(__xludf.DUMMYFUNCTION("""COMPUTED_VALUE"""),75211.0)</f>
        <v>75211</v>
      </c>
      <c r="I754" s="8">
        <f t="shared" si="7"/>
        <v>75211</v>
      </c>
      <c r="J754" s="9">
        <f>IFERROR(__xludf.DUMMYFUNCTION("SPLIT(I754,""-"")"),75211.0)</f>
        <v>75211</v>
      </c>
    </row>
    <row r="755">
      <c r="A755" s="5" t="s">
        <v>725</v>
      </c>
      <c r="B755" s="6">
        <v>150.0</v>
      </c>
      <c r="C755" s="7" t="s">
        <v>649</v>
      </c>
      <c r="E755" s="8" t="str">
        <f>IFERROR(__xludf.DUMMYFUNCTION("SPLIT(A755,""TX"")"),"Mohr, Isabella
2736 Mateur St.
Dallas, ")</f>
        <v>Mohr, Isabella
2736 Mateur St.
Dallas, </v>
      </c>
      <c r="F755" s="8">
        <f>IFERROR(__xludf.DUMMYFUNCTION("""COMPUTED_VALUE"""),75211.0)</f>
        <v>75211</v>
      </c>
      <c r="I755" s="8">
        <f t="shared" si="7"/>
        <v>75211</v>
      </c>
      <c r="J755" s="9">
        <f>IFERROR(__xludf.DUMMYFUNCTION("SPLIT(I755,""-"")"),75211.0)</f>
        <v>75211</v>
      </c>
    </row>
    <row r="756">
      <c r="A756" s="10" t="s">
        <v>725</v>
      </c>
      <c r="B756" s="11">
        <v>50.0</v>
      </c>
      <c r="C756" s="12" t="s">
        <v>649</v>
      </c>
      <c r="E756" s="8" t="str">
        <f>IFERROR(__xludf.DUMMYFUNCTION("SPLIT(A756,""TX"")"),"Mohr, Isabella
2736 Mateur St.
Dallas, ")</f>
        <v>Mohr, Isabella
2736 Mateur St.
Dallas, </v>
      </c>
      <c r="F756" s="8">
        <f>IFERROR(__xludf.DUMMYFUNCTION("""COMPUTED_VALUE"""),75211.0)</f>
        <v>75211</v>
      </c>
      <c r="I756" s="8">
        <f t="shared" si="7"/>
        <v>75211</v>
      </c>
      <c r="J756" s="9">
        <f>IFERROR(__xludf.DUMMYFUNCTION("SPLIT(I756,""-"")"),75211.0)</f>
        <v>75211</v>
      </c>
    </row>
    <row r="757">
      <c r="A757" s="5" t="s">
        <v>726</v>
      </c>
      <c r="B757" s="6">
        <v>100.0</v>
      </c>
      <c r="C757" s="7" t="s">
        <v>649</v>
      </c>
      <c r="E757" s="8" t="str">
        <f>IFERROR(__xludf.DUMMYFUNCTION("SPLIT(A757,""TX"")"),"Moore, Erin
324 Easton Rd.
Dallas, ")</f>
        <v>Moore, Erin
324 Easton Rd.
Dallas, </v>
      </c>
      <c r="F757" s="8">
        <f>IFERROR(__xludf.DUMMYFUNCTION("""COMPUTED_VALUE"""),75218.0)</f>
        <v>75218</v>
      </c>
      <c r="I757" s="8">
        <f t="shared" si="7"/>
        <v>75218</v>
      </c>
      <c r="J757" s="9">
        <f>IFERROR(__xludf.DUMMYFUNCTION("SPLIT(I757,""-"")"),75218.0)</f>
        <v>75218</v>
      </c>
    </row>
    <row r="758">
      <c r="A758" s="10" t="s">
        <v>727</v>
      </c>
      <c r="B758" s="11">
        <v>1000.0</v>
      </c>
      <c r="C758" s="12" t="s">
        <v>649</v>
      </c>
      <c r="E758" s="8" t="str">
        <f>IFERROR(__xludf.DUMMYFUNCTION("SPLIT(A758,""TX"")"),"Sanchez, Juan
2707 W. Jefferson Blvd.
Dallas, ")</f>
        <v>Sanchez, Juan
2707 W. Jefferson Blvd.
Dallas, </v>
      </c>
      <c r="F758" s="8">
        <f>IFERROR(__xludf.DUMMYFUNCTION("""COMPUTED_VALUE"""),75211.0)</f>
        <v>75211</v>
      </c>
      <c r="I758" s="8">
        <f t="shared" si="7"/>
        <v>75211</v>
      </c>
      <c r="J758" s="9">
        <f>IFERROR(__xludf.DUMMYFUNCTION("SPLIT(I758,""-"")"),75211.0)</f>
        <v>75211</v>
      </c>
    </row>
    <row r="759">
      <c r="A759" s="5" t="s">
        <v>316</v>
      </c>
      <c r="B759" s="6">
        <v>94.7</v>
      </c>
      <c r="C759" s="7" t="s">
        <v>649</v>
      </c>
      <c r="E759" s="8" t="str">
        <f>IFERROR(__xludf.DUMMYFUNCTION("SPLIT(A759,""TX"")"),"Neumann, Dave
6318 ")</f>
        <v>Neumann, Dave
6318 </v>
      </c>
      <c r="F759" s="8" t="str">
        <f>IFERROR(__xludf.DUMMYFUNCTION("""COMPUTED_VALUE"""),"urner Way
Dallas, ")</f>
        <v>urner Way
Dallas, </v>
      </c>
      <c r="G759" s="8">
        <f>IFERROR(__xludf.DUMMYFUNCTION("""COMPUTED_VALUE"""),75230.0)</f>
        <v>75230</v>
      </c>
      <c r="I759" s="8">
        <f t="shared" si="7"/>
        <v>75230</v>
      </c>
      <c r="J759" s="9">
        <f>IFERROR(__xludf.DUMMYFUNCTION("SPLIT(I759,""-"")"),75230.0)</f>
        <v>75230</v>
      </c>
    </row>
    <row r="760">
      <c r="A760" s="10" t="s">
        <v>728</v>
      </c>
      <c r="B760" s="11">
        <v>100.0</v>
      </c>
      <c r="C760" s="12" t="s">
        <v>649</v>
      </c>
      <c r="E760" s="8" t="str">
        <f>IFERROR(__xludf.DUMMYFUNCTION("SPLIT(A760,""TX"")"),"Orozco, Michael A.
5707 Vanderbilt Ave.
Dallas, ")</f>
        <v>Orozco, Michael A.
5707 Vanderbilt Ave.
Dallas, </v>
      </c>
      <c r="F760" s="8">
        <f>IFERROR(__xludf.DUMMYFUNCTION("""COMPUTED_VALUE"""),75206.0)</f>
        <v>75206</v>
      </c>
      <c r="I760" s="8">
        <f t="shared" si="7"/>
        <v>75206</v>
      </c>
      <c r="J760" s="9">
        <f>IFERROR(__xludf.DUMMYFUNCTION("SPLIT(I760,""-"")"),75206.0)</f>
        <v>75206</v>
      </c>
    </row>
    <row r="761">
      <c r="A761" s="5" t="s">
        <v>729</v>
      </c>
      <c r="B761" s="6">
        <v>500.0</v>
      </c>
      <c r="C761" s="7" t="s">
        <v>649</v>
      </c>
      <c r="E761" s="8" t="str">
        <f>IFERROR(__xludf.DUMMYFUNCTION("SPLIT(A761,""TX"")"),"Parker, Kim
13330 Noel Rd.
Dallas, ")</f>
        <v>Parker, Kim
13330 Noel Rd.
Dallas, </v>
      </c>
      <c r="F761" s="8">
        <f>IFERROR(__xludf.DUMMYFUNCTION("""COMPUTED_VALUE"""),75240.0)</f>
        <v>75240</v>
      </c>
      <c r="I761" s="8">
        <f t="shared" si="7"/>
        <v>75240</v>
      </c>
      <c r="J761" s="9">
        <f>IFERROR(__xludf.DUMMYFUNCTION("SPLIT(I761,""-"")"),75240.0)</f>
        <v>75240</v>
      </c>
    </row>
    <row r="762">
      <c r="A762" s="10" t="s">
        <v>730</v>
      </c>
      <c r="B762" s="11">
        <v>1000.0</v>
      </c>
      <c r="C762" s="12" t="s">
        <v>649</v>
      </c>
      <c r="E762" s="8" t="str">
        <f>IFERROR(__xludf.DUMMYFUNCTION("SPLIT(A762,""TX"")"),"Payma, Michael
5505 Marquette Dr.
Plano, ")</f>
        <v>Payma, Michael
5505 Marquette Dr.
Plano, </v>
      </c>
      <c r="F762" s="8">
        <f>IFERROR(__xludf.DUMMYFUNCTION("""COMPUTED_VALUE"""),75093.0)</f>
        <v>75093</v>
      </c>
      <c r="I762" s="8">
        <f t="shared" si="7"/>
        <v>75093</v>
      </c>
      <c r="J762" s="9">
        <f>IFERROR(__xludf.DUMMYFUNCTION("SPLIT(I762,""-"")"),75093.0)</f>
        <v>75093</v>
      </c>
    </row>
    <row r="763">
      <c r="A763" s="5" t="s">
        <v>731</v>
      </c>
      <c r="B763" s="6">
        <v>1000.0</v>
      </c>
      <c r="C763" s="7" t="s">
        <v>649</v>
      </c>
      <c r="E763" s="8" t="str">
        <f>IFERROR(__xludf.DUMMYFUNCTION("SPLIT(A763,""TX"")"),"Payne, Andy
3500 Maple Ave.
Dallas, ")</f>
        <v>Payne, Andy
3500 Maple Ave.
Dallas, </v>
      </c>
      <c r="F763" s="8">
        <f>IFERROR(__xludf.DUMMYFUNCTION("""COMPUTED_VALUE"""),75219.0)</f>
        <v>75219</v>
      </c>
      <c r="I763" s="8">
        <f t="shared" si="7"/>
        <v>75219</v>
      </c>
      <c r="J763" s="9">
        <f>IFERROR(__xludf.DUMMYFUNCTION("SPLIT(I763,""-"")"),75219.0)</f>
        <v>75219</v>
      </c>
    </row>
    <row r="764">
      <c r="A764" s="10" t="s">
        <v>732</v>
      </c>
      <c r="B764" s="11">
        <v>1000.0</v>
      </c>
      <c r="C764" s="12" t="s">
        <v>649</v>
      </c>
      <c r="E764" s="8" t="str">
        <f>IFERROR(__xludf.DUMMYFUNCTION("SPLIT(A764,""TX"")"),"Pickel, Stephanie
1402 Yakimo Dr.
Dallas, ")</f>
        <v>Pickel, Stephanie
1402 Yakimo Dr.
Dallas, </v>
      </c>
      <c r="F764" s="8">
        <f>IFERROR(__xludf.DUMMYFUNCTION("""COMPUTED_VALUE"""),75208.0)</f>
        <v>75208</v>
      </c>
      <c r="I764" s="8">
        <f t="shared" si="7"/>
        <v>75208</v>
      </c>
      <c r="J764" s="9">
        <f>IFERROR(__xludf.DUMMYFUNCTION("SPLIT(I764,""-"")"),75208.0)</f>
        <v>75208</v>
      </c>
    </row>
    <row r="765">
      <c r="A765" s="5" t="s">
        <v>733</v>
      </c>
      <c r="B765" s="6">
        <v>100.0</v>
      </c>
      <c r="C765" s="7" t="s">
        <v>649</v>
      </c>
      <c r="E765" s="8" t="str">
        <f>IFERROR(__xludf.DUMMYFUNCTION("SPLIT(A765,""TX"")"),"Ponce, Anjulie
523 Monssen Dr
Dallas, ")</f>
        <v>Ponce, Anjulie
523 Monssen Dr
Dallas, </v>
      </c>
      <c r="F765" s="8">
        <f>IFERROR(__xludf.DUMMYFUNCTION("""COMPUTED_VALUE"""),75223.0)</f>
        <v>75223</v>
      </c>
      <c r="I765" s="8">
        <f t="shared" si="7"/>
        <v>75223</v>
      </c>
      <c r="J765" s="9">
        <f>IFERROR(__xludf.DUMMYFUNCTION("SPLIT(I765,""-"")"),75223.0)</f>
        <v>75223</v>
      </c>
    </row>
    <row r="766">
      <c r="A766" s="10" t="s">
        <v>734</v>
      </c>
      <c r="B766" s="11">
        <v>250.0</v>
      </c>
      <c r="C766" s="12" t="s">
        <v>649</v>
      </c>
      <c r="E766" s="8" t="str">
        <f>IFERROR(__xludf.DUMMYFUNCTION("SPLIT(A766,""TX"")"),"Preziosi, David
2229 Lawndale Dr.
Dallas, ")</f>
        <v>Preziosi, David
2229 Lawndale Dr.
Dallas, </v>
      </c>
      <c r="F766" s="8">
        <f>IFERROR(__xludf.DUMMYFUNCTION("""COMPUTED_VALUE"""),75211.0)</f>
        <v>75211</v>
      </c>
      <c r="I766" s="8">
        <f t="shared" si="7"/>
        <v>75211</v>
      </c>
      <c r="J766" s="9">
        <f>IFERROR(__xludf.DUMMYFUNCTION("SPLIT(I766,""-"")"),75211.0)</f>
        <v>75211</v>
      </c>
    </row>
    <row r="767">
      <c r="A767" s="5" t="s">
        <v>735</v>
      </c>
      <c r="B767" s="6">
        <v>1000.0</v>
      </c>
      <c r="C767" s="7" t="s">
        <v>649</v>
      </c>
      <c r="E767" s="8" t="str">
        <f>IFERROR(__xludf.DUMMYFUNCTION("SPLIT(A767,""TX"")"),"Rosen, Matt
1402 Yakimo Dr.
Dallas, ")</f>
        <v>Rosen, Matt
1402 Yakimo Dr.
Dallas, </v>
      </c>
      <c r="F767" s="8">
        <f>IFERROR(__xludf.DUMMYFUNCTION("""COMPUTED_VALUE"""),75208.0)</f>
        <v>75208</v>
      </c>
      <c r="I767" s="8">
        <f t="shared" si="7"/>
        <v>75208</v>
      </c>
      <c r="J767" s="9">
        <f>IFERROR(__xludf.DUMMYFUNCTION("SPLIT(I767,""-"")"),75208.0)</f>
        <v>75208</v>
      </c>
    </row>
    <row r="768">
      <c r="A768" s="10" t="s">
        <v>736</v>
      </c>
      <c r="B768" s="11">
        <v>500.0</v>
      </c>
      <c r="C768" s="12" t="s">
        <v>649</v>
      </c>
      <c r="E768" s="8" t="str">
        <f>IFERROR(__xludf.DUMMYFUNCTION("SPLIT(A768,""TX"")"),"Sacher, David
7225 S. Janmar Ct.
Dallas, ")</f>
        <v>Sacher, David
7225 S. Janmar Ct.
Dallas, </v>
      </c>
      <c r="F768" s="8">
        <f>IFERROR(__xludf.DUMMYFUNCTION("""COMPUTED_VALUE"""),75230.0)</f>
        <v>75230</v>
      </c>
      <c r="I768" s="8">
        <f t="shared" si="7"/>
        <v>75230</v>
      </c>
      <c r="J768" s="9">
        <f>IFERROR(__xludf.DUMMYFUNCTION("SPLIT(I768,""-"")"),75230.0)</f>
        <v>75230</v>
      </c>
    </row>
    <row r="769">
      <c r="A769" s="5" t="s">
        <v>737</v>
      </c>
      <c r="B769" s="6">
        <v>50.0</v>
      </c>
      <c r="C769" s="7" t="s">
        <v>649</v>
      </c>
      <c r="E769" s="8" t="str">
        <f>IFERROR(__xludf.DUMMYFUNCTION("SPLIT(A769,""TX"")"),"Schaffner, Amy
1622 Oak Knoll St.
Dallas, ")</f>
        <v>Schaffner, Amy
1622 Oak Knoll St.
Dallas, </v>
      </c>
      <c r="F769" s="8">
        <f>IFERROR(__xludf.DUMMYFUNCTION("""COMPUTED_VALUE"""),75208.0)</f>
        <v>75208</v>
      </c>
      <c r="I769" s="8">
        <f t="shared" si="7"/>
        <v>75208</v>
      </c>
      <c r="J769" s="9">
        <f>IFERROR(__xludf.DUMMYFUNCTION("SPLIT(I769,""-"")"),75208.0)</f>
        <v>75208</v>
      </c>
    </row>
    <row r="770">
      <c r="A770" s="10" t="s">
        <v>737</v>
      </c>
      <c r="B770" s="11">
        <v>25.0</v>
      </c>
      <c r="C770" s="12" t="s">
        <v>649</v>
      </c>
      <c r="E770" s="8" t="str">
        <f>IFERROR(__xludf.DUMMYFUNCTION("SPLIT(A770,""TX"")"),"Schaffner, Amy
1622 Oak Knoll St.
Dallas, ")</f>
        <v>Schaffner, Amy
1622 Oak Knoll St.
Dallas, </v>
      </c>
      <c r="F770" s="8">
        <f>IFERROR(__xludf.DUMMYFUNCTION("""COMPUTED_VALUE"""),75208.0)</f>
        <v>75208</v>
      </c>
      <c r="I770" s="8">
        <f t="shared" si="7"/>
        <v>75208</v>
      </c>
      <c r="J770" s="9">
        <f>IFERROR(__xludf.DUMMYFUNCTION("SPLIT(I770,""-"")"),75208.0)</f>
        <v>75208</v>
      </c>
    </row>
    <row r="771">
      <c r="A771" s="5" t="s">
        <v>738</v>
      </c>
      <c r="B771" s="6">
        <v>500.0</v>
      </c>
      <c r="C771" s="7" t="s">
        <v>649</v>
      </c>
      <c r="E771" s="8" t="str">
        <f>IFERROR(__xludf.DUMMYFUNCTION("SPLIT(A771,""TX"")"),"Schenkel, Pete
614 N. Bishop Ave.
Dallas, ")</f>
        <v>Schenkel, Pete
614 N. Bishop Ave.
Dallas, </v>
      </c>
      <c r="F771" s="8">
        <f>IFERROR(__xludf.DUMMYFUNCTION("""COMPUTED_VALUE"""),75208.0)</f>
        <v>75208</v>
      </c>
      <c r="I771" s="8">
        <f t="shared" si="7"/>
        <v>75208</v>
      </c>
      <c r="J771" s="9">
        <f>IFERROR(__xludf.DUMMYFUNCTION("SPLIT(I771,""-"")"),75208.0)</f>
        <v>75208</v>
      </c>
    </row>
    <row r="772">
      <c r="A772" s="10" t="s">
        <v>739</v>
      </c>
      <c r="B772" s="11">
        <v>20.0</v>
      </c>
      <c r="C772" s="12" t="s">
        <v>649</v>
      </c>
      <c r="E772" s="8" t="str">
        <f>IFERROR(__xludf.DUMMYFUNCTION("SPLIT(A772,""TX"")"),"Scherrieb, Carl
5877 Bayside Dr.
Ft. Worth, ")</f>
        <v>Scherrieb, Carl
5877 Bayside Dr.
Ft. Worth, </v>
      </c>
      <c r="F772" s="8">
        <f>IFERROR(__xludf.DUMMYFUNCTION("""COMPUTED_VALUE"""),76132.0)</f>
        <v>76132</v>
      </c>
      <c r="I772" s="8">
        <f t="shared" si="7"/>
        <v>76132</v>
      </c>
      <c r="J772" s="9">
        <f>IFERROR(__xludf.DUMMYFUNCTION("SPLIT(I772,""-"")"),76132.0)</f>
        <v>76132</v>
      </c>
    </row>
    <row r="773">
      <c r="A773" s="5" t="s">
        <v>740</v>
      </c>
      <c r="B773" s="6">
        <v>300.0</v>
      </c>
      <c r="C773" s="7" t="s">
        <v>649</v>
      </c>
      <c r="E773" s="8" t="str">
        <f>IFERROR(__xludf.DUMMYFUNCTION("SPLIT(A773,""TX"")"),"Scott, Raymond
626 Monseen Dr.
Dallas, ")</f>
        <v>Scott, Raymond
626 Monseen Dr.
Dallas, </v>
      </c>
      <c r="F773" s="8">
        <f>IFERROR(__xludf.DUMMYFUNCTION("""COMPUTED_VALUE"""),75224.0)</f>
        <v>75224</v>
      </c>
      <c r="I773" s="8">
        <f t="shared" si="7"/>
        <v>75224</v>
      </c>
      <c r="J773" s="9">
        <f>IFERROR(__xludf.DUMMYFUNCTION("SPLIT(I773,""-"")"),75224.0)</f>
        <v>75224</v>
      </c>
    </row>
    <row r="774">
      <c r="A774" s="10" t="s">
        <v>741</v>
      </c>
      <c r="B774" s="11">
        <v>250.0</v>
      </c>
      <c r="C774" s="12" t="s">
        <v>649</v>
      </c>
      <c r="E774" s="8" t="str">
        <f>IFERROR(__xludf.DUMMYFUNCTION("SPLIT(A774,""TX"")"),"Smith, Cameron
3225 ")</f>
        <v>Smith, Cameron
3225 </v>
      </c>
      <c r="F774" s="8" t="str">
        <f>IFERROR(__xludf.DUMMYFUNCTION("""COMPUTED_VALUE"""),"urtle Creek Blvd.
Dallas, ")</f>
        <v>urtle Creek Blvd.
Dallas, </v>
      </c>
      <c r="G774" s="8">
        <f>IFERROR(__xludf.DUMMYFUNCTION("""COMPUTED_VALUE"""),75219.0)</f>
        <v>75219</v>
      </c>
      <c r="I774" s="8">
        <f t="shared" si="7"/>
        <v>75219</v>
      </c>
      <c r="J774" s="9">
        <f>IFERROR(__xludf.DUMMYFUNCTION("SPLIT(I774,""-"")"),75219.0)</f>
        <v>75219</v>
      </c>
    </row>
    <row r="775">
      <c r="A775" s="5" t="s">
        <v>742</v>
      </c>
      <c r="B775" s="6">
        <v>500.0</v>
      </c>
      <c r="C775" s="7" t="s">
        <v>649</v>
      </c>
      <c r="E775" s="8" t="str">
        <f>IFERROR(__xludf.DUMMYFUNCTION("SPLIT(A775,""TX"")"),"Smith, Eric
6435 Glendura Ave.
Dallas, ")</f>
        <v>Smith, Eric
6435 Glendura Ave.
Dallas, </v>
      </c>
      <c r="F775" s="8">
        <f>IFERROR(__xludf.DUMMYFUNCTION("""COMPUTED_VALUE"""),75203.0)</f>
        <v>75203</v>
      </c>
      <c r="I775" s="8">
        <f t="shared" si="7"/>
        <v>75203</v>
      </c>
      <c r="J775" s="9">
        <f>IFERROR(__xludf.DUMMYFUNCTION("SPLIT(I775,""-"")"),75203.0)</f>
        <v>75203</v>
      </c>
    </row>
    <row r="776">
      <c r="A776" s="10" t="s">
        <v>743</v>
      </c>
      <c r="B776" s="11">
        <v>100.0</v>
      </c>
      <c r="C776" s="12" t="s">
        <v>649</v>
      </c>
      <c r="E776" s="8" t="str">
        <f>IFERROR(__xludf.DUMMYFUNCTION("SPLIT(A776,""TX"")"),"Smith, Neil
1803 W. Colorado Blvd.
Dallas, ")</f>
        <v>Smith, Neil
1803 W. Colorado Blvd.
Dallas, </v>
      </c>
      <c r="F776" s="8">
        <f>IFERROR(__xludf.DUMMYFUNCTION("""COMPUTED_VALUE"""),75208.0)</f>
        <v>75208</v>
      </c>
      <c r="I776" s="8">
        <f t="shared" si="7"/>
        <v>75208</v>
      </c>
      <c r="J776" s="9">
        <f>IFERROR(__xludf.DUMMYFUNCTION("SPLIT(I776,""-"")"),75208.0)</f>
        <v>75208</v>
      </c>
    </row>
    <row r="777">
      <c r="A777" s="5" t="s">
        <v>744</v>
      </c>
      <c r="B777" s="6">
        <v>1000.0</v>
      </c>
      <c r="C777" s="7" t="s">
        <v>649</v>
      </c>
      <c r="E777" s="8" t="str">
        <f>IFERROR(__xludf.DUMMYFUNCTION("SPLIT(A777,""TX"")"),"Spieler, Norman
5550 ")</f>
        <v>Spieler, Norman
5550 </v>
      </c>
      <c r="F777" s="8" t="str">
        <f>IFERROR(__xludf.DUMMYFUNCTION("""COMPUTED_VALUE"""),"opanga Canyon Blvd.
Woodland Hills, CA 91367")</f>
        <v>opanga Canyon Blvd.
Woodland Hills, CA 91367</v>
      </c>
      <c r="J777" s="9" t="str">
        <f>IFERROR(__xludf.DUMMYFUNCTION("SPLIT(I777,""-"")"),"#VALUE!")</f>
        <v>#VALUE!</v>
      </c>
    </row>
    <row r="778">
      <c r="A778" s="10" t="s">
        <v>745</v>
      </c>
      <c r="B778" s="11">
        <v>100.0</v>
      </c>
      <c r="C778" s="12" t="s">
        <v>649</v>
      </c>
      <c r="E778" s="8" t="str">
        <f>IFERROR(__xludf.DUMMYFUNCTION("SPLIT(A778,""TX"")"),"Strebel, Peter
709 Kessler Woods ")</f>
        <v>Strebel, Peter
709 Kessler Woods </v>
      </c>
      <c r="F778" s="8" t="str">
        <f>IFERROR(__xludf.DUMMYFUNCTION("""COMPUTED_VALUE"""),"r.
Dallas, ")</f>
        <v>r.
Dallas, </v>
      </c>
      <c r="G778" s="8">
        <f>IFERROR(__xludf.DUMMYFUNCTION("""COMPUTED_VALUE"""),75208.0)</f>
        <v>75208</v>
      </c>
      <c r="I778" s="8">
        <f t="shared" ref="I778:I818" si="8">IF(ISBLANK(G778),F778,G778)</f>
        <v>75208</v>
      </c>
      <c r="J778" s="9">
        <f>IFERROR(__xludf.DUMMYFUNCTION("SPLIT(I778,""-"")"),75208.0)</f>
        <v>75208</v>
      </c>
    </row>
    <row r="779">
      <c r="A779" s="5" t="s">
        <v>746</v>
      </c>
      <c r="B779" s="6">
        <v>1000.0</v>
      </c>
      <c r="C779" s="7" t="s">
        <v>649</v>
      </c>
      <c r="E779" s="8" t="str">
        <f>IFERROR(__xludf.DUMMYFUNCTION("SPLIT(A779,""TX"")"),"Strozewski, Kirk
2904 Cascade Cove
Round Rock, ")</f>
        <v>Strozewski, Kirk
2904 Cascade Cove
Round Rock, </v>
      </c>
      <c r="F779" s="8">
        <f>IFERROR(__xludf.DUMMYFUNCTION("""COMPUTED_VALUE"""),78664.0)</f>
        <v>78664</v>
      </c>
      <c r="I779" s="8">
        <f t="shared" si="8"/>
        <v>78664</v>
      </c>
      <c r="J779" s="9">
        <f>IFERROR(__xludf.DUMMYFUNCTION("SPLIT(I779,""-"")"),78664.0)</f>
        <v>78664</v>
      </c>
    </row>
    <row r="780">
      <c r="A780" s="10" t="s">
        <v>746</v>
      </c>
      <c r="B780" s="11">
        <v>1374.7</v>
      </c>
      <c r="C780" s="12" t="s">
        <v>649</v>
      </c>
      <c r="E780" s="8" t="str">
        <f>IFERROR(__xludf.DUMMYFUNCTION("SPLIT(A780,""TX"")"),"Strozewski, Kirk
2904 Cascade Cove
Round Rock, ")</f>
        <v>Strozewski, Kirk
2904 Cascade Cove
Round Rock, </v>
      </c>
      <c r="F780" s="8">
        <f>IFERROR(__xludf.DUMMYFUNCTION("""COMPUTED_VALUE"""),78664.0)</f>
        <v>78664</v>
      </c>
      <c r="I780" s="8">
        <f t="shared" si="8"/>
        <v>78664</v>
      </c>
      <c r="J780" s="9">
        <f>IFERROR(__xludf.DUMMYFUNCTION("SPLIT(I780,""-"")"),78664.0)</f>
        <v>78664</v>
      </c>
    </row>
    <row r="781">
      <c r="A781" s="5" t="s">
        <v>747</v>
      </c>
      <c r="B781" s="6">
        <v>100.0</v>
      </c>
      <c r="C781" s="7" t="s">
        <v>649</v>
      </c>
      <c r="E781" s="8" t="str">
        <f>IFERROR(__xludf.DUMMYFUNCTION("SPLIT(A781,""TX"")"),"Suarez, Michael
907 Stevens Woods Ct.
Dallas, ")</f>
        <v>Suarez, Michael
907 Stevens Woods Ct.
Dallas, </v>
      </c>
      <c r="F781" s="8">
        <f>IFERROR(__xludf.DUMMYFUNCTION("""COMPUTED_VALUE"""),75208.0)</f>
        <v>75208</v>
      </c>
      <c r="I781" s="8">
        <f t="shared" si="8"/>
        <v>75208</v>
      </c>
      <c r="J781" s="9">
        <f>IFERROR(__xludf.DUMMYFUNCTION("SPLIT(I781,""-"")"),75208.0)</f>
        <v>75208</v>
      </c>
    </row>
    <row r="782">
      <c r="A782" s="10" t="s">
        <v>747</v>
      </c>
      <c r="B782" s="11">
        <v>400.0</v>
      </c>
      <c r="C782" s="12" t="s">
        <v>649</v>
      </c>
      <c r="E782" s="8" t="str">
        <f>IFERROR(__xludf.DUMMYFUNCTION("SPLIT(A782,""TX"")"),"Suarez, Michael
907 Stevens Woods Ct.
Dallas, ")</f>
        <v>Suarez, Michael
907 Stevens Woods Ct.
Dallas, </v>
      </c>
      <c r="F782" s="8">
        <f>IFERROR(__xludf.DUMMYFUNCTION("""COMPUTED_VALUE"""),75208.0)</f>
        <v>75208</v>
      </c>
      <c r="I782" s="8">
        <f t="shared" si="8"/>
        <v>75208</v>
      </c>
      <c r="J782" s="9">
        <f>IFERROR(__xludf.DUMMYFUNCTION("SPLIT(I782,""-"")"),75208.0)</f>
        <v>75208</v>
      </c>
    </row>
    <row r="783">
      <c r="A783" s="5" t="s">
        <v>748</v>
      </c>
      <c r="B783" s="6">
        <v>100.0</v>
      </c>
      <c r="C783" s="7" t="s">
        <v>649</v>
      </c>
      <c r="E783" s="8" t="str">
        <f>IFERROR(__xludf.DUMMYFUNCTION("SPLIT(A783,""TX"")"),"alley, Olive
6133 Prospect Ave.
Dallas, ")</f>
        <v>alley, Olive
6133 Prospect Ave.
Dallas, </v>
      </c>
      <c r="F783" s="8">
        <f>IFERROR(__xludf.DUMMYFUNCTION("""COMPUTED_VALUE"""),75214.0)</f>
        <v>75214</v>
      </c>
      <c r="I783" s="8">
        <f t="shared" si="8"/>
        <v>75214</v>
      </c>
      <c r="J783" s="9">
        <f>IFERROR(__xludf.DUMMYFUNCTION("SPLIT(I783,""-"")"),75214.0)</f>
        <v>75214</v>
      </c>
    </row>
    <row r="784">
      <c r="A784" s="10" t="s">
        <v>749</v>
      </c>
      <c r="B784" s="11">
        <v>500.0</v>
      </c>
      <c r="C784" s="12" t="s">
        <v>649</v>
      </c>
      <c r="E784" s="8" t="str">
        <f>IFERROR(__xludf.DUMMYFUNCTION("SPLIT(A784,""TX"")"),"atum, John
6617 Northaven Rd.
Dallas, ")</f>
        <v>atum, John
6617 Northaven Rd.
Dallas, </v>
      </c>
      <c r="F784" s="8">
        <f>IFERROR(__xludf.DUMMYFUNCTION("""COMPUTED_VALUE"""),75230.0)</f>
        <v>75230</v>
      </c>
      <c r="I784" s="8">
        <f t="shared" si="8"/>
        <v>75230</v>
      </c>
      <c r="J784" s="9">
        <f>IFERROR(__xludf.DUMMYFUNCTION("SPLIT(I784,""-"")"),75230.0)</f>
        <v>75230</v>
      </c>
    </row>
    <row r="785">
      <c r="A785" s="5" t="s">
        <v>750</v>
      </c>
      <c r="B785" s="6">
        <v>500.0</v>
      </c>
      <c r="C785" s="7" t="s">
        <v>649</v>
      </c>
      <c r="E785" s="8" t="str">
        <f>IFERROR(__xludf.DUMMYFUNCTION("SPLIT(A785,""TX"")"),"hompson, Scott
311 N. Montclair Ave.
Dallas, ")</f>
        <v>hompson, Scott
311 N. Montclair Ave.
Dallas, </v>
      </c>
      <c r="F785" s="8">
        <f>IFERROR(__xludf.DUMMYFUNCTION("""COMPUTED_VALUE"""),75208.0)</f>
        <v>75208</v>
      </c>
      <c r="I785" s="8">
        <f t="shared" si="8"/>
        <v>75208</v>
      </c>
      <c r="J785" s="9">
        <f>IFERROR(__xludf.DUMMYFUNCTION("SPLIT(I785,""-"")"),75208.0)</f>
        <v>75208</v>
      </c>
    </row>
    <row r="786">
      <c r="A786" s="10" t="s">
        <v>751</v>
      </c>
      <c r="B786" s="11">
        <v>100.0</v>
      </c>
      <c r="C786" s="12" t="s">
        <v>649</v>
      </c>
      <c r="E786" s="8" t="str">
        <f>IFERROR(__xludf.DUMMYFUNCTION("SPLIT(A786,""TX"")"),"Urby, Joe
1364 Romano Place
Dallas, ")</f>
        <v>Urby, Joe
1364 Romano Place
Dallas, </v>
      </c>
      <c r="F786" s="8">
        <f>IFERROR(__xludf.DUMMYFUNCTION("""COMPUTED_VALUE"""),75215.0)</f>
        <v>75215</v>
      </c>
      <c r="I786" s="8">
        <f t="shared" si="8"/>
        <v>75215</v>
      </c>
      <c r="J786" s="9">
        <f>IFERROR(__xludf.DUMMYFUNCTION("SPLIT(I786,""-"")"),75215.0)</f>
        <v>75215</v>
      </c>
    </row>
    <row r="787">
      <c r="A787" s="5" t="s">
        <v>752</v>
      </c>
      <c r="B787" s="6">
        <v>25.0</v>
      </c>
      <c r="C787" s="7" t="s">
        <v>649</v>
      </c>
      <c r="E787" s="8" t="str">
        <f>IFERROR(__xludf.DUMMYFUNCTION("SPLIT(A787,""TX"")"),"Valadez, Jesus
717 W. Page Ave.
Dallas, ")</f>
        <v>Valadez, Jesus
717 W. Page Ave.
Dallas, </v>
      </c>
      <c r="F787" s="8">
        <f>IFERROR(__xludf.DUMMYFUNCTION("""COMPUTED_VALUE"""),75208.0)</f>
        <v>75208</v>
      </c>
      <c r="I787" s="8">
        <f t="shared" si="8"/>
        <v>75208</v>
      </c>
      <c r="J787" s="9">
        <f>IFERROR(__xludf.DUMMYFUNCTION("SPLIT(I787,""-"")"),75208.0)</f>
        <v>75208</v>
      </c>
    </row>
    <row r="788">
      <c r="A788" s="10" t="s">
        <v>753</v>
      </c>
      <c r="B788" s="11">
        <v>100.0</v>
      </c>
      <c r="C788" s="12" t="s">
        <v>649</v>
      </c>
      <c r="E788" s="8" t="str">
        <f>IFERROR(__xludf.DUMMYFUNCTION("SPLIT(A788,""TX"")"),"Vallot, Colette
4333 Gilbert Ave.
Dallas, ")</f>
        <v>Vallot, Colette
4333 Gilbert Ave.
Dallas, </v>
      </c>
      <c r="F788" s="8">
        <f>IFERROR(__xludf.DUMMYFUNCTION("""COMPUTED_VALUE"""),75219.0)</f>
        <v>75219</v>
      </c>
      <c r="I788" s="8">
        <f t="shared" si="8"/>
        <v>75219</v>
      </c>
      <c r="J788" s="9">
        <f>IFERROR(__xludf.DUMMYFUNCTION("SPLIT(I788,""-"")"),75219.0)</f>
        <v>75219</v>
      </c>
    </row>
    <row r="789">
      <c r="A789" s="5" t="s">
        <v>754</v>
      </c>
      <c r="B789" s="6">
        <v>500.0</v>
      </c>
      <c r="C789" s="7" t="s">
        <v>649</v>
      </c>
      <c r="E789" s="8" t="str">
        <f>IFERROR(__xludf.DUMMYFUNCTION("SPLIT(A789,""TX"")"),"Vruggink, Leslie
6727 Sunnyland Ln.
Dallas, ")</f>
        <v>Vruggink, Leslie
6727 Sunnyland Ln.
Dallas, </v>
      </c>
      <c r="F789" s="8">
        <f>IFERROR(__xludf.DUMMYFUNCTION("""COMPUTED_VALUE"""),75214.0)</f>
        <v>75214</v>
      </c>
      <c r="I789" s="8">
        <f t="shared" si="8"/>
        <v>75214</v>
      </c>
      <c r="J789" s="9">
        <f>IFERROR(__xludf.DUMMYFUNCTION("SPLIT(I789,""-"")"),75214.0)</f>
        <v>75214</v>
      </c>
    </row>
    <row r="790">
      <c r="A790" s="10" t="s">
        <v>755</v>
      </c>
      <c r="B790" s="11">
        <v>50.0</v>
      </c>
      <c r="C790" s="12" t="s">
        <v>649</v>
      </c>
      <c r="E790" s="8" t="str">
        <f>IFERROR(__xludf.DUMMYFUNCTION("SPLIT(A790,""TX"")"),"Walker, Heather
1010 N. Windomere Ave
Dallas, ")</f>
        <v>Walker, Heather
1010 N. Windomere Ave
Dallas, </v>
      </c>
      <c r="F790" s="8">
        <f>IFERROR(__xludf.DUMMYFUNCTION("""COMPUTED_VALUE"""),75208.0)</f>
        <v>75208</v>
      </c>
      <c r="I790" s="8">
        <f t="shared" si="8"/>
        <v>75208</v>
      </c>
      <c r="J790" s="9">
        <f>IFERROR(__xludf.DUMMYFUNCTION("SPLIT(I790,""-"")"),75208.0)</f>
        <v>75208</v>
      </c>
    </row>
    <row r="791">
      <c r="A791" s="5" t="s">
        <v>756</v>
      </c>
      <c r="B791" s="6">
        <v>100.0</v>
      </c>
      <c r="C791" s="7" t="s">
        <v>649</v>
      </c>
      <c r="E791" s="8" t="str">
        <f>IFERROR(__xludf.DUMMYFUNCTION("SPLIT(A791,""TX"")"),"Walker, Kyle
831 Haines Ave.
Dallas, ")</f>
        <v>Walker, Kyle
831 Haines Ave.
Dallas, </v>
      </c>
      <c r="F791" s="8">
        <f>IFERROR(__xludf.DUMMYFUNCTION("""COMPUTED_VALUE"""),75208.0)</f>
        <v>75208</v>
      </c>
      <c r="I791" s="8">
        <f t="shared" si="8"/>
        <v>75208</v>
      </c>
      <c r="J791" s="9">
        <f>IFERROR(__xludf.DUMMYFUNCTION("SPLIT(I791,""-"")"),75208.0)</f>
        <v>75208</v>
      </c>
    </row>
    <row r="792">
      <c r="A792" s="10" t="s">
        <v>757</v>
      </c>
      <c r="B792" s="11">
        <v>250.0</v>
      </c>
      <c r="C792" s="12" t="s">
        <v>649</v>
      </c>
      <c r="E792" s="8" t="str">
        <f>IFERROR(__xludf.DUMMYFUNCTION("SPLIT(A792,""TX"")"),"Walker, ")</f>
        <v>Walker, </v>
      </c>
      <c r="F792" s="8" t="str">
        <f>IFERROR(__xludf.DUMMYFUNCTION("""COMPUTED_VALUE"""),"eri
900 N. Bishop Ave.
Dallas, ")</f>
        <v>eri
900 N. Bishop Ave.
Dallas, </v>
      </c>
      <c r="G792" s="8">
        <f>IFERROR(__xludf.DUMMYFUNCTION("""COMPUTED_VALUE"""),75208.0)</f>
        <v>75208</v>
      </c>
      <c r="I792" s="8">
        <f t="shared" si="8"/>
        <v>75208</v>
      </c>
      <c r="J792" s="9">
        <f>IFERROR(__xludf.DUMMYFUNCTION("SPLIT(I792,""-"")"),75208.0)</f>
        <v>75208</v>
      </c>
    </row>
    <row r="793">
      <c r="A793" s="5" t="s">
        <v>758</v>
      </c>
      <c r="B793" s="6">
        <v>23.44</v>
      </c>
      <c r="C793" s="7" t="s">
        <v>649</v>
      </c>
      <c r="E793" s="8" t="str">
        <f>IFERROR(__xludf.DUMMYFUNCTION("SPLIT(A793,""TX"")"),"Walter, Christopher
2310 N. Henderson Ave.
Dallas, ")</f>
        <v>Walter, Christopher
2310 N. Henderson Ave.
Dallas, </v>
      </c>
      <c r="F793" s="8">
        <f>IFERROR(__xludf.DUMMYFUNCTION("""COMPUTED_VALUE"""),75206.0)</f>
        <v>75206</v>
      </c>
      <c r="I793" s="8">
        <f t="shared" si="8"/>
        <v>75206</v>
      </c>
      <c r="J793" s="9">
        <f>IFERROR(__xludf.DUMMYFUNCTION("SPLIT(I793,""-"")"),75206.0)</f>
        <v>75206</v>
      </c>
    </row>
    <row r="794">
      <c r="A794" s="10" t="s">
        <v>759</v>
      </c>
      <c r="B794" s="11">
        <v>50.0</v>
      </c>
      <c r="C794" s="12" t="s">
        <v>649</v>
      </c>
      <c r="E794" s="8" t="str">
        <f>IFERROR(__xludf.DUMMYFUNCTION("SPLIT(A794,""TX"")"),"Warren, Justin
3210 Mathey Ct.
Dallas, ")</f>
        <v>Warren, Justin
3210 Mathey Ct.
Dallas, </v>
      </c>
      <c r="F794" s="8">
        <f>IFERROR(__xludf.DUMMYFUNCTION("""COMPUTED_VALUE"""),75208.0)</f>
        <v>75208</v>
      </c>
      <c r="I794" s="8">
        <f t="shared" si="8"/>
        <v>75208</v>
      </c>
      <c r="J794" s="9">
        <f>IFERROR(__xludf.DUMMYFUNCTION("SPLIT(I794,""-"")"),75208.0)</f>
        <v>75208</v>
      </c>
    </row>
    <row r="795">
      <c r="A795" s="5" t="s">
        <v>760</v>
      </c>
      <c r="B795" s="6">
        <v>100.0</v>
      </c>
      <c r="C795" s="7" t="s">
        <v>649</v>
      </c>
      <c r="E795" s="8" t="str">
        <f>IFERROR(__xludf.DUMMYFUNCTION("SPLIT(A795,""TX"")"),"Wedell, Roger
1318 Elmwood Blvd.
Dallas, ")</f>
        <v>Wedell, Roger
1318 Elmwood Blvd.
Dallas, </v>
      </c>
      <c r="F795" s="8">
        <f>IFERROR(__xludf.DUMMYFUNCTION("""COMPUTED_VALUE"""),75224.0)</f>
        <v>75224</v>
      </c>
      <c r="I795" s="8">
        <f t="shared" si="8"/>
        <v>75224</v>
      </c>
      <c r="J795" s="9">
        <f>IFERROR(__xludf.DUMMYFUNCTION("SPLIT(I795,""-"")"),75224.0)</f>
        <v>75224</v>
      </c>
    </row>
    <row r="796">
      <c r="A796" s="10" t="s">
        <v>761</v>
      </c>
      <c r="B796" s="11">
        <v>100.0</v>
      </c>
      <c r="C796" s="12" t="s">
        <v>649</v>
      </c>
      <c r="E796" s="8" t="str">
        <f>IFERROR(__xludf.DUMMYFUNCTION("SPLIT(A796,""TX"")"),"Whitney, Cindy
1652 Sylvan Ave.
Dallas, ")</f>
        <v>Whitney, Cindy
1652 Sylvan Ave.
Dallas, </v>
      </c>
      <c r="F796" s="8">
        <f>IFERROR(__xludf.DUMMYFUNCTION("""COMPUTED_VALUE"""),75208.0)</f>
        <v>75208</v>
      </c>
      <c r="I796" s="8">
        <f t="shared" si="8"/>
        <v>75208</v>
      </c>
      <c r="J796" s="9">
        <f>IFERROR(__xludf.DUMMYFUNCTION("SPLIT(I796,""-"")"),75208.0)</f>
        <v>75208</v>
      </c>
    </row>
    <row r="797">
      <c r="A797" s="5" t="s">
        <v>762</v>
      </c>
      <c r="B797" s="6">
        <v>100.0</v>
      </c>
      <c r="C797" s="7" t="s">
        <v>649</v>
      </c>
      <c r="E797" s="8" t="str">
        <f>IFERROR(__xludf.DUMMYFUNCTION("SPLIT(A797,""TX"")"),"Williams, Damian
10505 Wyatt St.
Dallas, ")</f>
        <v>Williams, Damian
10505 Wyatt St.
Dallas, </v>
      </c>
      <c r="F797" s="8">
        <f>IFERROR(__xludf.DUMMYFUNCTION("""COMPUTED_VALUE"""),75218.0)</f>
        <v>75218</v>
      </c>
      <c r="I797" s="8">
        <f t="shared" si="8"/>
        <v>75218</v>
      </c>
      <c r="J797" s="9">
        <f>IFERROR(__xludf.DUMMYFUNCTION("SPLIT(I797,""-"")"),75218.0)</f>
        <v>75218</v>
      </c>
    </row>
    <row r="798">
      <c r="A798" s="10" t="s">
        <v>763</v>
      </c>
      <c r="B798" s="11">
        <v>500.0</v>
      </c>
      <c r="C798" s="12" t="s">
        <v>649</v>
      </c>
      <c r="E798" s="8" t="str">
        <f>IFERROR(__xludf.DUMMYFUNCTION("SPLIT(A798,""TX"")"),"Wilson, Blake
814 Cedar Hill Ave.
Dallas, ")</f>
        <v>Wilson, Blake
814 Cedar Hill Ave.
Dallas, </v>
      </c>
      <c r="F798" s="8">
        <f>IFERROR(__xludf.DUMMYFUNCTION("""COMPUTED_VALUE"""),75208.0)</f>
        <v>75208</v>
      </c>
      <c r="I798" s="8">
        <f t="shared" si="8"/>
        <v>75208</v>
      </c>
      <c r="J798" s="9">
        <f>IFERROR(__xludf.DUMMYFUNCTION("SPLIT(I798,""-"")"),75208.0)</f>
        <v>75208</v>
      </c>
    </row>
    <row r="799">
      <c r="A799" s="5" t="s">
        <v>764</v>
      </c>
      <c r="B799" s="6">
        <v>50.0</v>
      </c>
      <c r="C799" s="7" t="s">
        <v>649</v>
      </c>
      <c r="E799" s="8" t="str">
        <f>IFERROR(__xludf.DUMMYFUNCTION("SPLIT(A799,""TX"")"),"Wise, Linda
2719 San Jose Dr.
Dallas, ")</f>
        <v>Wise, Linda
2719 San Jose Dr.
Dallas, </v>
      </c>
      <c r="F799" s="8">
        <f>IFERROR(__xludf.DUMMYFUNCTION("""COMPUTED_VALUE"""),75211.0)</f>
        <v>75211</v>
      </c>
      <c r="I799" s="8">
        <f t="shared" si="8"/>
        <v>75211</v>
      </c>
      <c r="J799" s="9">
        <f>IFERROR(__xludf.DUMMYFUNCTION("SPLIT(I799,""-"")"),75211.0)</f>
        <v>75211</v>
      </c>
    </row>
    <row r="800">
      <c r="A800" s="10" t="s">
        <v>765</v>
      </c>
      <c r="B800" s="11">
        <v>100.0</v>
      </c>
      <c r="C800" s="12" t="s">
        <v>649</v>
      </c>
      <c r="E800" s="8" t="str">
        <f>IFERROR(__xludf.DUMMYFUNCTION("SPLIT(A800,""TX"")"),"Zaccarello, Alice
2243 Lawndale Dr.
Dallas, ")</f>
        <v>Zaccarello, Alice
2243 Lawndale Dr.
Dallas, </v>
      </c>
      <c r="F800" s="8">
        <f>IFERROR(__xludf.DUMMYFUNCTION("""COMPUTED_VALUE"""),75211.0)</f>
        <v>75211</v>
      </c>
      <c r="I800" s="8">
        <f t="shared" si="8"/>
        <v>75211</v>
      </c>
      <c r="J800" s="9">
        <f>IFERROR(__xludf.DUMMYFUNCTION("SPLIT(I800,""-"")"),75211.0)</f>
        <v>75211</v>
      </c>
    </row>
    <row r="801">
      <c r="A801" s="5" t="s">
        <v>766</v>
      </c>
      <c r="B801" s="6">
        <v>50.0</v>
      </c>
      <c r="C801" s="7" t="s">
        <v>649</v>
      </c>
      <c r="E801" s="8" t="str">
        <f>IFERROR(__xludf.DUMMYFUNCTION("SPLIT(A801,""TX"")"),"Henderson, Anne
722 N Oak Cliff Blvd
Dallas, ")</f>
        <v>Henderson, Anne
722 N Oak Cliff Blvd
Dallas, </v>
      </c>
      <c r="F801" s="8">
        <f>IFERROR(__xludf.DUMMYFUNCTION("""COMPUTED_VALUE"""),75208.0)</f>
        <v>75208</v>
      </c>
      <c r="I801" s="8">
        <f t="shared" si="8"/>
        <v>75208</v>
      </c>
      <c r="J801" s="9">
        <f>IFERROR(__xludf.DUMMYFUNCTION("SPLIT(I801,""-"")"),75208.0)</f>
        <v>75208</v>
      </c>
    </row>
    <row r="802">
      <c r="A802" s="10" t="s">
        <v>767</v>
      </c>
      <c r="B802" s="11">
        <v>50.0</v>
      </c>
      <c r="C802" s="12" t="s">
        <v>649</v>
      </c>
      <c r="E802" s="8" t="str">
        <f>IFERROR(__xludf.DUMMYFUNCTION("SPLIT(A802,""TX"")"),"Escobar, Florencio
614 S Brighton Avenue
Dallas, ")</f>
        <v>Escobar, Florencio
614 S Brighton Avenue
Dallas, </v>
      </c>
      <c r="F802" s="8">
        <f>IFERROR(__xludf.DUMMYFUNCTION("""COMPUTED_VALUE"""),75208.0)</f>
        <v>75208</v>
      </c>
      <c r="I802" s="8">
        <f t="shared" si="8"/>
        <v>75208</v>
      </c>
      <c r="J802" s="9">
        <f>IFERROR(__xludf.DUMMYFUNCTION("SPLIT(I802,""-"")"),75208.0)</f>
        <v>75208</v>
      </c>
    </row>
    <row r="803">
      <c r="A803" s="5" t="s">
        <v>768</v>
      </c>
      <c r="B803" s="6">
        <v>1000.0</v>
      </c>
      <c r="C803" s="7" t="s">
        <v>649</v>
      </c>
      <c r="E803" s="8" t="str">
        <f>IFERROR(__xludf.DUMMYFUNCTION("SPLIT(A803,""TX"")"),"Lamkin, Bob
14881 Quorum Drive
Dallas, ")</f>
        <v>Lamkin, Bob
14881 Quorum Drive
Dallas, </v>
      </c>
      <c r="F803" s="8">
        <f>IFERROR(__xludf.DUMMYFUNCTION("""COMPUTED_VALUE"""),75254.0)</f>
        <v>75254</v>
      </c>
      <c r="I803" s="8">
        <f t="shared" si="8"/>
        <v>75254</v>
      </c>
      <c r="J803" s="9">
        <f>IFERROR(__xludf.DUMMYFUNCTION("SPLIT(I803,""-"")"),75254.0)</f>
        <v>75254</v>
      </c>
    </row>
    <row r="804">
      <c r="A804" s="10" t="s">
        <v>769</v>
      </c>
      <c r="B804" s="11">
        <v>1.0</v>
      </c>
      <c r="C804" s="12" t="s">
        <v>33</v>
      </c>
      <c r="E804" s="8" t="str">
        <f>IFERROR(__xludf.DUMMYFUNCTION("SPLIT(A804,""TX"")"),"Higgins, Changa
800 Ross Avenue
Dallas, ")</f>
        <v>Higgins, Changa
800 Ross Avenue
Dallas, </v>
      </c>
      <c r="F804" s="8">
        <f>IFERROR(__xludf.DUMMYFUNCTION("""COMPUTED_VALUE"""),75202.0)</f>
        <v>75202</v>
      </c>
      <c r="I804" s="8">
        <f t="shared" si="8"/>
        <v>75202</v>
      </c>
      <c r="J804" s="9">
        <f>IFERROR(__xludf.DUMMYFUNCTION("SPLIT(I804,""-"")"),75202.0)</f>
        <v>75202</v>
      </c>
    </row>
    <row r="805">
      <c r="A805" s="10" t="s">
        <v>770</v>
      </c>
      <c r="B805" s="11">
        <v>100.0</v>
      </c>
      <c r="C805" s="12" t="s">
        <v>33</v>
      </c>
      <c r="E805" s="8" t="str">
        <f>IFERROR(__xludf.DUMMYFUNCTION("SPLIT(A805,""TX"")"),"Buckner, Kenton
2010 French Bayou Lane
Hendersonville, KY 37075")</f>
        <v>Buckner, Kenton
2010 French Bayou Lane
Hendersonville, KY 37075</v>
      </c>
      <c r="I805" s="8" t="str">
        <f t="shared" si="8"/>
        <v/>
      </c>
      <c r="J805" s="9" t="str">
        <f>IFERROR(__xludf.DUMMYFUNCTION("SPLIT(I805,""-"")"),"#VALUE!")</f>
        <v>#VALUE!</v>
      </c>
    </row>
    <row r="806">
      <c r="A806" s="10" t="s">
        <v>771</v>
      </c>
      <c r="B806" s="11">
        <v>500.0</v>
      </c>
      <c r="C806" s="12" t="s">
        <v>33</v>
      </c>
      <c r="E806" s="8" t="str">
        <f>IFERROR(__xludf.DUMMYFUNCTION("SPLIT(A806,""TX"")"),"Schenkel, Pete
614 N Bishop
Dallas, ")</f>
        <v>Schenkel, Pete
614 N Bishop
Dallas, </v>
      </c>
      <c r="F806" s="8">
        <f>IFERROR(__xludf.DUMMYFUNCTION("""COMPUTED_VALUE"""),75203.0)</f>
        <v>75203</v>
      </c>
      <c r="I806" s="8">
        <f t="shared" si="8"/>
        <v>75203</v>
      </c>
      <c r="J806" s="9">
        <f>IFERROR(__xludf.DUMMYFUNCTION("SPLIT(I806,""-"")"),75203.0)</f>
        <v>75203</v>
      </c>
    </row>
    <row r="807">
      <c r="A807" s="10" t="s">
        <v>98</v>
      </c>
      <c r="B807" s="11">
        <v>250.0</v>
      </c>
      <c r="C807" s="12" t="s">
        <v>33</v>
      </c>
      <c r="E807" s="8" t="str">
        <f>IFERROR(__xludf.DUMMYFUNCTION("SPLIT(A807,""TX"")"),"Walne, Alan
10020 Caribou ")</f>
        <v>Walne, Alan
10020 Caribou </v>
      </c>
      <c r="F807" s="8" t="str">
        <f>IFERROR(__xludf.DUMMYFUNCTION("""COMPUTED_VALUE"""),"rail
Dallas, ")</f>
        <v>rail
Dallas, </v>
      </c>
      <c r="G807" s="8">
        <f>IFERROR(__xludf.DUMMYFUNCTION("""COMPUTED_VALUE"""),75238.0)</f>
        <v>75238</v>
      </c>
      <c r="I807" s="8">
        <f t="shared" si="8"/>
        <v>75238</v>
      </c>
      <c r="J807" s="9">
        <f>IFERROR(__xludf.DUMMYFUNCTION("SPLIT(I807,""-"")"),75238.0)</f>
        <v>75238</v>
      </c>
    </row>
    <row r="808">
      <c r="A808" s="10" t="s">
        <v>772</v>
      </c>
      <c r="B808" s="11">
        <v>250.0</v>
      </c>
      <c r="C808" s="12" t="s">
        <v>33</v>
      </c>
      <c r="E808" s="8" t="str">
        <f>IFERROR(__xludf.DUMMYFUNCTION("SPLIT(A808,""TX"")"),"Pace, Daron
923 Greenbriar Ln
Duncanville, ")</f>
        <v>Pace, Daron
923 Greenbriar Ln
Duncanville, </v>
      </c>
      <c r="F808" s="8">
        <f>IFERROR(__xludf.DUMMYFUNCTION("""COMPUTED_VALUE"""),75137.0)</f>
        <v>75137</v>
      </c>
      <c r="I808" s="8">
        <f t="shared" si="8"/>
        <v>75137</v>
      </c>
      <c r="J808" s="9">
        <f>IFERROR(__xludf.DUMMYFUNCTION("SPLIT(I808,""-"")"),75137.0)</f>
        <v>75137</v>
      </c>
    </row>
    <row r="809">
      <c r="A809" s="10" t="s">
        <v>773</v>
      </c>
      <c r="B809" s="11">
        <v>1000.0</v>
      </c>
      <c r="C809" s="12" t="s">
        <v>33</v>
      </c>
      <c r="E809" s="8" t="str">
        <f>IFERROR(__xludf.DUMMYFUNCTION("SPLIT(A809,""TX"")"),"Godsey, David
1001 Red Wing Ct.
Mansfield, ")</f>
        <v>Godsey, David
1001 Red Wing Ct.
Mansfield, </v>
      </c>
      <c r="F809" s="8">
        <f>IFERROR(__xludf.DUMMYFUNCTION("""COMPUTED_VALUE"""),76063.0)</f>
        <v>76063</v>
      </c>
      <c r="I809" s="8">
        <f t="shared" si="8"/>
        <v>76063</v>
      </c>
      <c r="J809" s="9">
        <f>IFERROR(__xludf.DUMMYFUNCTION("SPLIT(I809,""-"")"),76063.0)</f>
        <v>76063</v>
      </c>
    </row>
    <row r="810">
      <c r="A810" s="10" t="s">
        <v>774</v>
      </c>
      <c r="B810" s="11">
        <v>100.0</v>
      </c>
      <c r="C810" s="12" t="s">
        <v>33</v>
      </c>
      <c r="E810" s="8" t="str">
        <f>IFERROR(__xludf.DUMMYFUNCTION("SPLIT(A810,""TX"")"),"Edmonds, Jon
2323 N. Houston St.
Dallas, ")</f>
        <v>Edmonds, Jon
2323 N. Houston St.
Dallas, </v>
      </c>
      <c r="F810" s="8">
        <f>IFERROR(__xludf.DUMMYFUNCTION("""COMPUTED_VALUE"""),75219.0)</f>
        <v>75219</v>
      </c>
      <c r="I810" s="8">
        <f t="shared" si="8"/>
        <v>75219</v>
      </c>
      <c r="J810" s="9">
        <f>IFERROR(__xludf.DUMMYFUNCTION("SPLIT(I810,""-"")"),75219.0)</f>
        <v>75219</v>
      </c>
    </row>
    <row r="811">
      <c r="A811" s="10" t="s">
        <v>775</v>
      </c>
      <c r="B811" s="11">
        <v>100.0</v>
      </c>
      <c r="C811" s="12" t="s">
        <v>33</v>
      </c>
      <c r="E811" s="8" t="str">
        <f>IFERROR(__xludf.DUMMYFUNCTION("SPLIT(A811,""TX"")"),"Rueda, Roscio
2321 Penrose Dr
Mesquite, ")</f>
        <v>Rueda, Roscio
2321 Penrose Dr
Mesquite, </v>
      </c>
      <c r="F811" s="8">
        <f>IFERROR(__xludf.DUMMYFUNCTION("""COMPUTED_VALUE"""),75150.0)</f>
        <v>75150</v>
      </c>
      <c r="I811" s="8">
        <f t="shared" si="8"/>
        <v>75150</v>
      </c>
      <c r="J811" s="9">
        <f>IFERROR(__xludf.DUMMYFUNCTION("SPLIT(I811,""-"")"),75150.0)</f>
        <v>75150</v>
      </c>
    </row>
    <row r="812">
      <c r="A812" s="10" t="s">
        <v>776</v>
      </c>
      <c r="B812" s="11">
        <v>100.0</v>
      </c>
      <c r="C812" s="12" t="s">
        <v>33</v>
      </c>
      <c r="E812" s="8" t="str">
        <f>IFERROR(__xludf.DUMMYFUNCTION("SPLIT(A812,""TX"")"),"Carter III, Grover
200 Crystal Lake Drive
Desoto, ")</f>
        <v>Carter III, Grover
200 Crystal Lake Drive
Desoto, </v>
      </c>
      <c r="F812" s="8">
        <f>IFERROR(__xludf.DUMMYFUNCTION("""COMPUTED_VALUE"""),75115.0)</f>
        <v>75115</v>
      </c>
      <c r="I812" s="8">
        <f t="shared" si="8"/>
        <v>75115</v>
      </c>
      <c r="J812" s="9">
        <f>IFERROR(__xludf.DUMMYFUNCTION("SPLIT(I812,""-"")"),75115.0)</f>
        <v>75115</v>
      </c>
    </row>
    <row r="813">
      <c r="A813" s="10" t="s">
        <v>777</v>
      </c>
      <c r="B813" s="11">
        <v>150.0</v>
      </c>
      <c r="C813" s="12" t="s">
        <v>33</v>
      </c>
      <c r="E813" s="8" t="str">
        <f>IFERROR(__xludf.DUMMYFUNCTION("SPLIT(A813,""TX"")"),"Davis, Gaytha
2411 Creekglen Drive
Dallas, ")</f>
        <v>Davis, Gaytha
2411 Creekglen Drive
Dallas, </v>
      </c>
      <c r="F813" s="8">
        <f>IFERROR(__xludf.DUMMYFUNCTION("""COMPUTED_VALUE"""),75227.0)</f>
        <v>75227</v>
      </c>
      <c r="I813" s="8">
        <f t="shared" si="8"/>
        <v>75227</v>
      </c>
      <c r="J813" s="9">
        <f>IFERROR(__xludf.DUMMYFUNCTION("SPLIT(I813,""-"")"),75227.0)</f>
        <v>75227</v>
      </c>
    </row>
    <row r="814">
      <c r="A814" s="10" t="s">
        <v>383</v>
      </c>
      <c r="B814" s="11">
        <v>100.0</v>
      </c>
      <c r="C814" s="12" t="s">
        <v>33</v>
      </c>
      <c r="E814" s="8" t="str">
        <f>IFERROR(__xludf.DUMMYFUNCTION("SPLIT(A814,""TX"")"),"alley, Olive
6133 Prospect Ave
Dallas, ")</f>
        <v>alley, Olive
6133 Prospect Ave
Dallas, </v>
      </c>
      <c r="F814" s="8">
        <f>IFERROR(__xludf.DUMMYFUNCTION("""COMPUTED_VALUE"""),75214.0)</f>
        <v>75214</v>
      </c>
      <c r="I814" s="8">
        <f t="shared" si="8"/>
        <v>75214</v>
      </c>
      <c r="J814" s="9">
        <f>IFERROR(__xludf.DUMMYFUNCTION("SPLIT(I814,""-"")"),75214.0)</f>
        <v>75214</v>
      </c>
    </row>
    <row r="815">
      <c r="A815" s="10" t="s">
        <v>778</v>
      </c>
      <c r="B815" s="11">
        <v>10.0</v>
      </c>
      <c r="C815" s="12" t="s">
        <v>33</v>
      </c>
      <c r="E815" s="8" t="str">
        <f>IFERROR(__xludf.DUMMYFUNCTION("SPLIT(A815,""TX"")"),"Flye-Lewis, Felicia
1438 Brook Valley Ln.
Dallas, ")</f>
        <v>Flye-Lewis, Felicia
1438 Brook Valley Ln.
Dallas, </v>
      </c>
      <c r="F815" s="8">
        <f>IFERROR(__xludf.DUMMYFUNCTION("""COMPUTED_VALUE"""),75232.0)</f>
        <v>75232</v>
      </c>
      <c r="I815" s="8">
        <f t="shared" si="8"/>
        <v>75232</v>
      </c>
      <c r="J815" s="9">
        <f>IFERROR(__xludf.DUMMYFUNCTION("SPLIT(I815,""-"")"),75232.0)</f>
        <v>75232</v>
      </c>
    </row>
    <row r="816">
      <c r="A816" s="10" t="s">
        <v>779</v>
      </c>
      <c r="B816" s="11">
        <v>50.0</v>
      </c>
      <c r="C816" s="12" t="s">
        <v>33</v>
      </c>
      <c r="E816" s="8" t="str">
        <f>IFERROR(__xludf.DUMMYFUNCTION("SPLIT(A816,""TX"")"),"Poole, Stephen
1828 Shady Glen Ln
Dallas, ")</f>
        <v>Poole, Stephen
1828 Shady Glen Ln
Dallas, </v>
      </c>
      <c r="F816" s="8">
        <f>IFERROR(__xludf.DUMMYFUNCTION("""COMPUTED_VALUE"""),75232.0)</f>
        <v>75232</v>
      </c>
      <c r="I816" s="8">
        <f t="shared" si="8"/>
        <v>75232</v>
      </c>
      <c r="J816" s="9">
        <f>IFERROR(__xludf.DUMMYFUNCTION("SPLIT(I816,""-"")"),75232.0)</f>
        <v>75232</v>
      </c>
    </row>
    <row r="817">
      <c r="A817" s="10" t="s">
        <v>780</v>
      </c>
      <c r="B817" s="11">
        <v>100.0</v>
      </c>
      <c r="C817" s="12" t="s">
        <v>33</v>
      </c>
      <c r="E817" s="8" t="str">
        <f>IFERROR(__xludf.DUMMYFUNCTION("SPLIT(A817,""TX"")"),"Wise, Frank P
2837 Bonnywood Lane
Dallas, ")</f>
        <v>Wise, Frank P
2837 Bonnywood Lane
Dallas, </v>
      </c>
      <c r="F817" s="8">
        <f>IFERROR(__xludf.DUMMYFUNCTION("""COMPUTED_VALUE"""),75233.0)</f>
        <v>75233</v>
      </c>
      <c r="I817" s="8">
        <f t="shared" si="8"/>
        <v>75233</v>
      </c>
      <c r="J817" s="9">
        <f>IFERROR(__xludf.DUMMYFUNCTION("SPLIT(I817,""-"")"),75233.0)</f>
        <v>75233</v>
      </c>
    </row>
    <row r="818">
      <c r="A818" s="10" t="s">
        <v>781</v>
      </c>
      <c r="B818" s="11">
        <v>250.0</v>
      </c>
      <c r="C818" s="12" t="s">
        <v>33</v>
      </c>
      <c r="E818" s="8" t="str">
        <f>IFERROR(__xludf.DUMMYFUNCTION("SPLIT(A818,""TX"")"),"Armstrong, James
1839 Leath
Dallas, ")</f>
        <v>Armstrong, James
1839 Leath
Dallas, </v>
      </c>
      <c r="F818" s="8">
        <f>IFERROR(__xludf.DUMMYFUNCTION("""COMPUTED_VALUE"""),75212.0)</f>
        <v>75212</v>
      </c>
      <c r="I818" s="8">
        <f t="shared" si="8"/>
        <v>75212</v>
      </c>
      <c r="J818" s="9">
        <f>IFERROR(__xludf.DUMMYFUNCTION("SPLIT(I818,""-"")"),75212.0)</f>
        <v>75212</v>
      </c>
    </row>
    <row r="819">
      <c r="A819" s="10" t="s">
        <v>782</v>
      </c>
      <c r="B819" s="11">
        <v>100.0</v>
      </c>
      <c r="C819" s="12" t="s">
        <v>33</v>
      </c>
      <c r="E819" s="8" t="str">
        <f>IFERROR(__xludf.DUMMYFUNCTION("SPLIT(A819,""TX"")"),"Seamon, Fred
1122 Seminole Dr
")</f>
        <v>Seamon, Fred
1122 Seminole Dr
</v>
      </c>
      <c r="F819" s="8" t="str">
        <f>IFERROR(__xludf.DUMMYFUNCTION("""COMPUTED_VALUE"""),"allahassee, FL 32301")</f>
        <v>allahassee, FL 32301</v>
      </c>
      <c r="J819" s="9" t="str">
        <f>IFERROR(__xludf.DUMMYFUNCTION("SPLIT(I819,""-"")"),"#VALUE!")</f>
        <v>#VALUE!</v>
      </c>
    </row>
    <row r="820">
      <c r="A820" s="10" t="s">
        <v>783</v>
      </c>
      <c r="B820" s="11">
        <v>250.0</v>
      </c>
      <c r="C820" s="12" t="s">
        <v>33</v>
      </c>
      <c r="E820" s="8" t="str">
        <f>IFERROR(__xludf.DUMMYFUNCTION("SPLIT(A820,""TX"")"),"Sanders, Anga
3432 Spruce Valley Lane
Dallas, ")</f>
        <v>Sanders, Anga
3432 Spruce Valley Lane
Dallas, </v>
      </c>
      <c r="F820" s="8">
        <f>IFERROR(__xludf.DUMMYFUNCTION("""COMPUTED_VALUE"""),75233.0)</f>
        <v>75233</v>
      </c>
      <c r="I820" s="8">
        <f t="shared" ref="I820:I900" si="9">IF(ISBLANK(G820),F820,G820)</f>
        <v>75233</v>
      </c>
      <c r="J820" s="9">
        <f>IFERROR(__xludf.DUMMYFUNCTION("SPLIT(I820,""-"")"),75233.0)</f>
        <v>75233</v>
      </c>
    </row>
    <row r="821">
      <c r="A821" s="10" t="s">
        <v>784</v>
      </c>
      <c r="B821" s="11">
        <v>100.0</v>
      </c>
      <c r="C821" s="12" t="s">
        <v>33</v>
      </c>
      <c r="E821" s="8" t="str">
        <f>IFERROR(__xludf.DUMMYFUNCTION("SPLIT(A821,""TX"")"),"Nunn, Cynthia
918 Heather Knoll Dr
Desoto, ")</f>
        <v>Nunn, Cynthia
918 Heather Knoll Dr
Desoto, </v>
      </c>
      <c r="F821" s="8">
        <f>IFERROR(__xludf.DUMMYFUNCTION("""COMPUTED_VALUE"""),75115.0)</f>
        <v>75115</v>
      </c>
      <c r="I821" s="8">
        <f t="shared" si="9"/>
        <v>75115</v>
      </c>
      <c r="J821" s="9">
        <f>IFERROR(__xludf.DUMMYFUNCTION("SPLIT(I821,""-"")"),75115.0)</f>
        <v>75115</v>
      </c>
    </row>
    <row r="822">
      <c r="A822" s="10" t="s">
        <v>785</v>
      </c>
      <c r="B822" s="11">
        <v>100.0</v>
      </c>
      <c r="C822" s="12" t="s">
        <v>33</v>
      </c>
      <c r="E822" s="8" t="str">
        <f>IFERROR(__xludf.DUMMYFUNCTION("SPLIT(A822,""TX"")"),"Donalson, Eric
1248 Serenade Ln.
Dallas, ")</f>
        <v>Donalson, Eric
1248 Serenade Ln.
Dallas, </v>
      </c>
      <c r="F822" s="8">
        <f>IFERROR(__xludf.DUMMYFUNCTION("""COMPUTED_VALUE"""),75241.0)</f>
        <v>75241</v>
      </c>
      <c r="I822" s="8">
        <f t="shared" si="9"/>
        <v>75241</v>
      </c>
      <c r="J822" s="9">
        <f>IFERROR(__xludf.DUMMYFUNCTION("SPLIT(I822,""-"")"),75241.0)</f>
        <v>75241</v>
      </c>
    </row>
    <row r="823">
      <c r="A823" s="10" t="s">
        <v>786</v>
      </c>
      <c r="B823" s="11">
        <v>500.0</v>
      </c>
      <c r="C823" s="12" t="s">
        <v>33</v>
      </c>
      <c r="E823" s="8" t="str">
        <f>IFERROR(__xludf.DUMMYFUNCTION("SPLIT(A823,""TX"")"),"Smith, Scottie
1702 Martin Luther King Jr Blvd
Dallas, ")</f>
        <v>Smith, Scottie
1702 Martin Luther King Jr Blvd
Dallas, </v>
      </c>
      <c r="F823" s="8">
        <f>IFERROR(__xludf.DUMMYFUNCTION("""COMPUTED_VALUE"""),75215.0)</f>
        <v>75215</v>
      </c>
      <c r="I823" s="8">
        <f t="shared" si="9"/>
        <v>75215</v>
      </c>
      <c r="J823" s="9">
        <f>IFERROR(__xludf.DUMMYFUNCTION("SPLIT(I823,""-"")"),75215.0)</f>
        <v>75215</v>
      </c>
    </row>
    <row r="824">
      <c r="A824" s="10" t="s">
        <v>787</v>
      </c>
      <c r="B824" s="11">
        <v>250.0</v>
      </c>
      <c r="C824" s="12" t="s">
        <v>33</v>
      </c>
      <c r="E824" s="8" t="str">
        <f>IFERROR(__xludf.DUMMYFUNCTION("SPLIT(A824,""TX"")"),"Brunson, Albert
8328 Mountainview Drive
Dallas, ")</f>
        <v>Brunson, Albert
8328 Mountainview Drive
Dallas, </v>
      </c>
      <c r="F824" s="8">
        <f>IFERROR(__xludf.DUMMYFUNCTION("""COMPUTED_VALUE"""),75249.0)</f>
        <v>75249</v>
      </c>
      <c r="I824" s="8">
        <f t="shared" si="9"/>
        <v>75249</v>
      </c>
      <c r="J824" s="9">
        <f>IFERROR(__xludf.DUMMYFUNCTION("SPLIT(I824,""-"")"),75249.0)</f>
        <v>75249</v>
      </c>
    </row>
    <row r="825">
      <c r="A825" s="10" t="s">
        <v>788</v>
      </c>
      <c r="B825" s="11">
        <v>25.0</v>
      </c>
      <c r="C825" s="12" t="s">
        <v>33</v>
      </c>
      <c r="E825" s="8" t="str">
        <f>IFERROR(__xludf.DUMMYFUNCTION("SPLIT(A825,""TX"")"),"Orr, Cheryl
7509 Garonne Street
Dallas, ")</f>
        <v>Orr, Cheryl
7509 Garonne Street
Dallas, </v>
      </c>
      <c r="F825" s="8">
        <f>IFERROR(__xludf.DUMMYFUNCTION("""COMPUTED_VALUE"""),75231.0)</f>
        <v>75231</v>
      </c>
      <c r="I825" s="8">
        <f t="shared" si="9"/>
        <v>75231</v>
      </c>
      <c r="J825" s="9">
        <f>IFERROR(__xludf.DUMMYFUNCTION("SPLIT(I825,""-"")"),75231.0)</f>
        <v>75231</v>
      </c>
    </row>
    <row r="826">
      <c r="A826" s="10" t="s">
        <v>789</v>
      </c>
      <c r="B826" s="11">
        <v>100.0</v>
      </c>
      <c r="C826" s="12" t="s">
        <v>33</v>
      </c>
      <c r="E826" s="8" t="str">
        <f>IFERROR(__xludf.DUMMYFUNCTION("SPLIT(A826,""TX"")"),"Leatch, Bert
1016 Burnet Dr
Allen, ")</f>
        <v>Leatch, Bert
1016 Burnet Dr
Allen, </v>
      </c>
      <c r="F826" s="8">
        <f>IFERROR(__xludf.DUMMYFUNCTION("""COMPUTED_VALUE"""),75002.0)</f>
        <v>75002</v>
      </c>
      <c r="I826" s="8">
        <f t="shared" si="9"/>
        <v>75002</v>
      </c>
      <c r="J826" s="9">
        <f>IFERROR(__xludf.DUMMYFUNCTION("SPLIT(I826,""-"")"),75002.0)</f>
        <v>75002</v>
      </c>
    </row>
    <row r="827">
      <c r="A827" s="10" t="s">
        <v>790</v>
      </c>
      <c r="B827" s="11">
        <v>1000.0</v>
      </c>
      <c r="C827" s="12" t="s">
        <v>33</v>
      </c>
      <c r="E827" s="8" t="str">
        <f>IFERROR(__xludf.DUMMYFUNCTION("SPLIT(A827,""TX"")"),"Rawlings, Mike
3879 Maple Ave.
Dallas, ")</f>
        <v>Rawlings, Mike
3879 Maple Ave.
Dallas, </v>
      </c>
      <c r="F827" s="8">
        <f>IFERROR(__xludf.DUMMYFUNCTION("""COMPUTED_VALUE"""),75219.0)</f>
        <v>75219</v>
      </c>
      <c r="I827" s="8">
        <f t="shared" si="9"/>
        <v>75219</v>
      </c>
      <c r="J827" s="9">
        <f>IFERROR(__xludf.DUMMYFUNCTION("SPLIT(I827,""-"")"),75219.0)</f>
        <v>75219</v>
      </c>
    </row>
    <row r="828">
      <c r="A828" s="10" t="s">
        <v>791</v>
      </c>
      <c r="B828" s="11">
        <v>100.0</v>
      </c>
      <c r="C828" s="12" t="s">
        <v>33</v>
      </c>
      <c r="E828" s="8" t="str">
        <f>IFERROR(__xludf.DUMMYFUNCTION("SPLIT(A828,""TX"")"),"Satterthwaite, Gwendolyn
4804 Cape Coral Drive
Dallas, ")</f>
        <v>Satterthwaite, Gwendolyn
4804 Cape Coral Drive
Dallas, </v>
      </c>
      <c r="F828" s="8">
        <f>IFERROR(__xludf.DUMMYFUNCTION("""COMPUTED_VALUE"""),75287.0)</f>
        <v>75287</v>
      </c>
      <c r="I828" s="8">
        <f t="shared" si="9"/>
        <v>75287</v>
      </c>
      <c r="J828" s="9">
        <f>IFERROR(__xludf.DUMMYFUNCTION("SPLIT(I828,""-"")"),75287.0)</f>
        <v>75287</v>
      </c>
    </row>
    <row r="829">
      <c r="A829" s="10" t="s">
        <v>316</v>
      </c>
      <c r="B829" s="11">
        <v>100.0</v>
      </c>
      <c r="C829" s="12" t="s">
        <v>33</v>
      </c>
      <c r="E829" s="8" t="str">
        <f>IFERROR(__xludf.DUMMYFUNCTION("SPLIT(A829,""TX"")"),"Neumann, Dave
6318 ")</f>
        <v>Neumann, Dave
6318 </v>
      </c>
      <c r="F829" s="8" t="str">
        <f>IFERROR(__xludf.DUMMYFUNCTION("""COMPUTED_VALUE"""),"urner Way
Dallas, ")</f>
        <v>urner Way
Dallas, </v>
      </c>
      <c r="G829" s="8">
        <f>IFERROR(__xludf.DUMMYFUNCTION("""COMPUTED_VALUE"""),75230.0)</f>
        <v>75230</v>
      </c>
      <c r="I829" s="8">
        <f t="shared" si="9"/>
        <v>75230</v>
      </c>
      <c r="J829" s="9">
        <f>IFERROR(__xludf.DUMMYFUNCTION("SPLIT(I829,""-"")"),75230.0)</f>
        <v>75230</v>
      </c>
    </row>
    <row r="830">
      <c r="A830" s="10" t="s">
        <v>792</v>
      </c>
      <c r="B830" s="11">
        <v>100.0</v>
      </c>
      <c r="C830" s="12" t="s">
        <v>33</v>
      </c>
      <c r="E830" s="8" t="str">
        <f>IFERROR(__xludf.DUMMYFUNCTION("SPLIT(A830,""TX"")"),"Schufford, Ray
406 Marquis Ln
Marquis, ")</f>
        <v>Schufford, Ray
406 Marquis Ln
Marquis, </v>
      </c>
      <c r="F830" s="8">
        <f>IFERROR(__xludf.DUMMYFUNCTION("""COMPUTED_VALUE"""),76063.0)</f>
        <v>76063</v>
      </c>
      <c r="I830" s="8">
        <f t="shared" si="9"/>
        <v>76063</v>
      </c>
      <c r="J830" s="9">
        <f>IFERROR(__xludf.DUMMYFUNCTION("SPLIT(I830,""-"")"),76063.0)</f>
        <v>76063</v>
      </c>
    </row>
    <row r="831">
      <c r="A831" s="10" t="s">
        <v>793</v>
      </c>
      <c r="B831" s="11">
        <v>25.0</v>
      </c>
      <c r="C831" s="12" t="s">
        <v>33</v>
      </c>
      <c r="E831" s="8" t="str">
        <f>IFERROR(__xludf.DUMMYFUNCTION("SPLIT(A831,""TX"")"),"Barton, Kamron
5435 Cherry Glen Ln.
Dallas, ")</f>
        <v>Barton, Kamron
5435 Cherry Glen Ln.
Dallas, </v>
      </c>
      <c r="F831" s="8">
        <f>IFERROR(__xludf.DUMMYFUNCTION("""COMPUTED_VALUE"""),75232.0)</f>
        <v>75232</v>
      </c>
      <c r="I831" s="8">
        <f t="shared" si="9"/>
        <v>75232</v>
      </c>
      <c r="J831" s="9">
        <f>IFERROR(__xludf.DUMMYFUNCTION("SPLIT(I831,""-"")"),75232.0)</f>
        <v>75232</v>
      </c>
    </row>
    <row r="832">
      <c r="A832" s="10" t="s">
        <v>794</v>
      </c>
      <c r="B832" s="11">
        <v>500.0</v>
      </c>
      <c r="C832" s="12" t="s">
        <v>33</v>
      </c>
      <c r="E832" s="8" t="str">
        <f>IFERROR(__xludf.DUMMYFUNCTION("SPLIT(A832,""TX"")"),"Prothro, Caren
3929 Potomac Ave
dallas, ")</f>
        <v>Prothro, Caren
3929 Potomac Ave
dallas, </v>
      </c>
      <c r="F832" s="8">
        <f>IFERROR(__xludf.DUMMYFUNCTION("""COMPUTED_VALUE"""),75205.0)</f>
        <v>75205</v>
      </c>
      <c r="I832" s="8">
        <f t="shared" si="9"/>
        <v>75205</v>
      </c>
      <c r="J832" s="9">
        <f>IFERROR(__xludf.DUMMYFUNCTION("SPLIT(I832,""-"")"),75205.0)</f>
        <v>75205</v>
      </c>
    </row>
    <row r="833">
      <c r="A833" s="10" t="s">
        <v>795</v>
      </c>
      <c r="B833" s="11">
        <v>250.0</v>
      </c>
      <c r="C833" s="12" t="s">
        <v>33</v>
      </c>
      <c r="E833" s="8" t="str">
        <f>IFERROR(__xludf.DUMMYFUNCTION("SPLIT(A833,""TX"")"),"Burrell, Martin
1420 PRUDEN")</f>
        <v>Burrell, Martin
1420 PRUDEN</v>
      </c>
      <c r="F833" s="8" t="str">
        <f>IFERROR(__xludf.DUMMYFUNCTION("""COMPUTED_VALUE"""),"IAL DRIVE
DALLAS, ")</f>
        <v>IAL DRIVE
DALLAS, </v>
      </c>
      <c r="G833" s="8">
        <f>IFERROR(__xludf.DUMMYFUNCTION("""COMPUTED_VALUE"""),75235.0)</f>
        <v>75235</v>
      </c>
      <c r="I833" s="8">
        <f t="shared" si="9"/>
        <v>75235</v>
      </c>
      <c r="J833" s="9">
        <f>IFERROR(__xludf.DUMMYFUNCTION("SPLIT(I833,""-"")"),75235.0)</f>
        <v>75235</v>
      </c>
    </row>
    <row r="834">
      <c r="A834" s="10" t="s">
        <v>796</v>
      </c>
      <c r="B834" s="11">
        <v>500.0</v>
      </c>
      <c r="C834" s="12" t="s">
        <v>33</v>
      </c>
      <c r="E834" s="8" t="str">
        <f>IFERROR(__xludf.DUMMYFUNCTION("SPLIT(A834,""TX"")"),"Young, Sharon
4619 Park Lane
Dallas, ")</f>
        <v>Young, Sharon
4619 Park Lane
Dallas, </v>
      </c>
      <c r="F834" s="8">
        <f>IFERROR(__xludf.DUMMYFUNCTION("""COMPUTED_VALUE"""),75220.0)</f>
        <v>75220</v>
      </c>
      <c r="I834" s="8">
        <f t="shared" si="9"/>
        <v>75220</v>
      </c>
      <c r="J834" s="9">
        <f>IFERROR(__xludf.DUMMYFUNCTION("SPLIT(I834,""-"")"),75220.0)</f>
        <v>75220</v>
      </c>
    </row>
    <row r="835">
      <c r="A835" s="10" t="s">
        <v>797</v>
      </c>
      <c r="B835" s="11">
        <v>500.0</v>
      </c>
      <c r="C835" s="12" t="s">
        <v>33</v>
      </c>
      <c r="E835" s="8" t="str">
        <f>IFERROR(__xludf.DUMMYFUNCTION("SPLIT(A835,""TX"")"),"MacLean, Leslie
3310 Fairmount St.
Dallas, ")</f>
        <v>MacLean, Leslie
3310 Fairmount St.
Dallas, </v>
      </c>
      <c r="F835" s="8">
        <f>IFERROR(__xludf.DUMMYFUNCTION("""COMPUTED_VALUE"""),75201.0)</f>
        <v>75201</v>
      </c>
      <c r="I835" s="8">
        <f t="shared" si="9"/>
        <v>75201</v>
      </c>
      <c r="J835" s="9">
        <f>IFERROR(__xludf.DUMMYFUNCTION("SPLIT(I835,""-"")"),75201.0)</f>
        <v>75201</v>
      </c>
    </row>
    <row r="836">
      <c r="A836" s="5" t="s">
        <v>798</v>
      </c>
      <c r="B836" s="6">
        <v>36.0</v>
      </c>
      <c r="C836" s="7" t="s">
        <v>634</v>
      </c>
      <c r="E836" s="8" t="str">
        <f>IFERROR(__xludf.DUMMYFUNCTION("SPLIT(A836,""TX"")"),"Goldstein, Sharan
7111 Lakehurst Ave.
Dallas, ")</f>
        <v>Goldstein, Sharan
7111 Lakehurst Ave.
Dallas, </v>
      </c>
      <c r="F836" s="8">
        <f>IFERROR(__xludf.DUMMYFUNCTION("""COMPUTED_VALUE"""),75230.0)</f>
        <v>75230</v>
      </c>
      <c r="I836" s="8">
        <f t="shared" si="9"/>
        <v>75230</v>
      </c>
      <c r="J836" s="9">
        <f>IFERROR(__xludf.DUMMYFUNCTION("SPLIT(I836,""-"")"),75230.0)</f>
        <v>75230</v>
      </c>
    </row>
    <row r="837">
      <c r="A837" s="5" t="s">
        <v>799</v>
      </c>
      <c r="B837" s="6">
        <v>250.0</v>
      </c>
      <c r="C837" s="7" t="s">
        <v>634</v>
      </c>
      <c r="E837" s="8" t="str">
        <f>IFERROR(__xludf.DUMMYFUNCTION("SPLIT(A837,""TX"")"),"Goldstein, Michelle
9330 Peninsula Drive
Dallas, ")</f>
        <v>Goldstein, Michelle
9330 Peninsula Drive
Dallas, </v>
      </c>
      <c r="F837" s="8">
        <f>IFERROR(__xludf.DUMMYFUNCTION("""COMPUTED_VALUE"""),75218.0)</f>
        <v>75218</v>
      </c>
      <c r="I837" s="8">
        <f t="shared" si="9"/>
        <v>75218</v>
      </c>
      <c r="J837" s="9">
        <f>IFERROR(__xludf.DUMMYFUNCTION("SPLIT(I837,""-"")"),75218.0)</f>
        <v>75218</v>
      </c>
    </row>
    <row r="838">
      <c r="A838" s="5" t="s">
        <v>800</v>
      </c>
      <c r="B838" s="6">
        <v>50.0</v>
      </c>
      <c r="C838" s="7" t="s">
        <v>634</v>
      </c>
      <c r="E838" s="8" t="str">
        <f>IFERROR(__xludf.DUMMYFUNCTION("SPLIT(A838,""TX"")"),"Gollman, Barbara
6947 Forest Glen Drive
Dallas, ")</f>
        <v>Gollman, Barbara
6947 Forest Glen Drive
Dallas, </v>
      </c>
      <c r="F838" s="8">
        <f>IFERROR(__xludf.DUMMYFUNCTION("""COMPUTED_VALUE"""),75230.0)</f>
        <v>75230</v>
      </c>
      <c r="I838" s="8">
        <f t="shared" si="9"/>
        <v>75230</v>
      </c>
      <c r="J838" s="9">
        <f>IFERROR(__xludf.DUMMYFUNCTION("SPLIT(I838,""-"")"),75230.0)</f>
        <v>75230</v>
      </c>
    </row>
    <row r="839">
      <c r="A839" s="5" t="s">
        <v>801</v>
      </c>
      <c r="B839" s="6">
        <v>100.0</v>
      </c>
      <c r="C839" s="7" t="s">
        <v>634</v>
      </c>
      <c r="E839" s="8" t="str">
        <f>IFERROR(__xludf.DUMMYFUNCTION("SPLIT(A839,""TX"")"),"Greenman, Suzi
3601 ")</f>
        <v>Greenman, Suzi
3601 </v>
      </c>
      <c r="F839" s="8" t="str">
        <f>IFERROR(__xludf.DUMMYFUNCTION("""COMPUTED_VALUE"""),"urtle Creek Blvd.
Dallas, ")</f>
        <v>urtle Creek Blvd.
Dallas, </v>
      </c>
      <c r="G839" s="8">
        <f>IFERROR(__xludf.DUMMYFUNCTION("""COMPUTED_VALUE"""),75219.0)</f>
        <v>75219</v>
      </c>
      <c r="I839" s="8">
        <f t="shared" si="9"/>
        <v>75219</v>
      </c>
      <c r="J839" s="9">
        <f>IFERROR(__xludf.DUMMYFUNCTION("SPLIT(I839,""-"")"),75219.0)</f>
        <v>75219</v>
      </c>
    </row>
    <row r="840">
      <c r="A840" s="5" t="s">
        <v>802</v>
      </c>
      <c r="B840" s="6">
        <v>1000.0</v>
      </c>
      <c r="C840" s="7" t="s">
        <v>634</v>
      </c>
      <c r="E840" s="8" t="str">
        <f>IFERROR(__xludf.DUMMYFUNCTION("SPLIT(A840,""TX"")"),"Griggs, John
10035 Surrey Oaks Drive
Dallas, ")</f>
        <v>Griggs, John
10035 Surrey Oaks Drive
Dallas, </v>
      </c>
      <c r="F840" s="8">
        <f>IFERROR(__xludf.DUMMYFUNCTION("""COMPUTED_VALUE"""),75229.0)</f>
        <v>75229</v>
      </c>
      <c r="I840" s="8">
        <f t="shared" si="9"/>
        <v>75229</v>
      </c>
      <c r="J840" s="9">
        <f>IFERROR(__xludf.DUMMYFUNCTION("SPLIT(I840,""-"")"),75229.0)</f>
        <v>75229</v>
      </c>
    </row>
    <row r="841">
      <c r="A841" s="5" t="s">
        <v>803</v>
      </c>
      <c r="B841" s="6">
        <v>100.0</v>
      </c>
      <c r="C841" s="7" t="s">
        <v>634</v>
      </c>
      <c r="E841" s="8" t="str">
        <f>IFERROR(__xludf.DUMMYFUNCTION("SPLIT(A841,""TX"")"),"Griswold, Gail
6305 Northwood Road
Dallas, ")</f>
        <v>Griswold, Gail
6305 Northwood Road
Dallas, </v>
      </c>
      <c r="F841" s="8">
        <f>IFERROR(__xludf.DUMMYFUNCTION("""COMPUTED_VALUE"""),75225.0)</f>
        <v>75225</v>
      </c>
      <c r="I841" s="8">
        <f t="shared" si="9"/>
        <v>75225</v>
      </c>
      <c r="J841" s="9">
        <f>IFERROR(__xludf.DUMMYFUNCTION("SPLIT(I841,""-"")"),75225.0)</f>
        <v>75225</v>
      </c>
    </row>
    <row r="842">
      <c r="A842" s="5" t="s">
        <v>804</v>
      </c>
      <c r="B842" s="6">
        <v>250.0</v>
      </c>
      <c r="C842" s="7" t="s">
        <v>634</v>
      </c>
      <c r="E842" s="8" t="str">
        <f>IFERROR(__xludf.DUMMYFUNCTION("SPLIT(A842,""TX"")"),"Gross, Gary
7767 Verbena Court
Dallas, ")</f>
        <v>Gross, Gary
7767 Verbena Court
Dallas, </v>
      </c>
      <c r="F842" s="8">
        <f>IFERROR(__xludf.DUMMYFUNCTION("""COMPUTED_VALUE"""),75230.0)</f>
        <v>75230</v>
      </c>
      <c r="I842" s="8">
        <f t="shared" si="9"/>
        <v>75230</v>
      </c>
      <c r="J842" s="9">
        <f>IFERROR(__xludf.DUMMYFUNCTION("SPLIT(I842,""-"")"),75230.0)</f>
        <v>75230</v>
      </c>
    </row>
    <row r="843">
      <c r="A843" s="5" t="s">
        <v>805</v>
      </c>
      <c r="B843" s="6">
        <v>100.0</v>
      </c>
      <c r="C843" s="7" t="s">
        <v>634</v>
      </c>
      <c r="E843" s="8" t="str">
        <f>IFERROR(__xludf.DUMMYFUNCTION("SPLIT(A843,""TX"")"),"Haley, Stephanie
7144 Aberdeen Avenue
Dallas, ")</f>
        <v>Haley, Stephanie
7144 Aberdeen Avenue
Dallas, </v>
      </c>
      <c r="F843" s="8">
        <f>IFERROR(__xludf.DUMMYFUNCTION("""COMPUTED_VALUE"""),75230.0)</f>
        <v>75230</v>
      </c>
      <c r="I843" s="8">
        <f t="shared" si="9"/>
        <v>75230</v>
      </c>
      <c r="J843" s="9">
        <f>IFERROR(__xludf.DUMMYFUNCTION("SPLIT(I843,""-"")"),75230.0)</f>
        <v>75230</v>
      </c>
    </row>
    <row r="844">
      <c r="A844" s="5" t="s">
        <v>806</v>
      </c>
      <c r="B844" s="6">
        <v>180.0</v>
      </c>
      <c r="C844" s="7" t="s">
        <v>634</v>
      </c>
      <c r="E844" s="8" t="str">
        <f>IFERROR(__xludf.DUMMYFUNCTION("SPLIT(A844,""TX"")"),"Harrison, Angelica
2903 Oakhaven Drive
Austin, ")</f>
        <v>Harrison, Angelica
2903 Oakhaven Drive
Austin, </v>
      </c>
      <c r="F844" s="8">
        <f>IFERROR(__xludf.DUMMYFUNCTION("""COMPUTED_VALUE"""),78704.0)</f>
        <v>78704</v>
      </c>
      <c r="I844" s="8">
        <f t="shared" si="9"/>
        <v>78704</v>
      </c>
      <c r="J844" s="9">
        <f>IFERROR(__xludf.DUMMYFUNCTION("SPLIT(I844,""-"")"),78704.0)</f>
        <v>78704</v>
      </c>
    </row>
    <row r="845">
      <c r="A845" s="5" t="s">
        <v>807</v>
      </c>
      <c r="B845" s="6">
        <v>25.0</v>
      </c>
      <c r="C845" s="7" t="s">
        <v>634</v>
      </c>
      <c r="E845" s="8" t="str">
        <f>IFERROR(__xludf.DUMMYFUNCTION("SPLIT(A845,""TX"")"),"Hebley, Sandi
12304 Shiremont Drive
Dallas, ")</f>
        <v>Hebley, Sandi
12304 Shiremont Drive
Dallas, </v>
      </c>
      <c r="F845" s="8">
        <f>IFERROR(__xludf.DUMMYFUNCTION("""COMPUTED_VALUE"""),75230.0)</f>
        <v>75230</v>
      </c>
      <c r="I845" s="8">
        <f t="shared" si="9"/>
        <v>75230</v>
      </c>
      <c r="J845" s="9">
        <f>IFERROR(__xludf.DUMMYFUNCTION("SPLIT(I845,""-"")"),75230.0)</f>
        <v>75230</v>
      </c>
    </row>
    <row r="846">
      <c r="A846" s="5" t="s">
        <v>808</v>
      </c>
      <c r="B846" s="6">
        <v>50.0</v>
      </c>
      <c r="C846" s="7" t="s">
        <v>634</v>
      </c>
      <c r="E846" s="8" t="str">
        <f>IFERROR(__xludf.DUMMYFUNCTION("SPLIT(A846,""TX"")"),"Hendelman, Ruth
17223 Village Ln
Dallas, ")</f>
        <v>Hendelman, Ruth
17223 Village Ln
Dallas, </v>
      </c>
      <c r="F846" s="8">
        <f>IFERROR(__xludf.DUMMYFUNCTION("""COMPUTED_VALUE"""),75248.0)</f>
        <v>75248</v>
      </c>
      <c r="I846" s="8">
        <f t="shared" si="9"/>
        <v>75248</v>
      </c>
      <c r="J846" s="9">
        <f>IFERROR(__xludf.DUMMYFUNCTION("SPLIT(I846,""-"")"),75248.0)</f>
        <v>75248</v>
      </c>
    </row>
    <row r="847">
      <c r="A847" s="5" t="s">
        <v>809</v>
      </c>
      <c r="B847" s="6">
        <v>500.0</v>
      </c>
      <c r="C847" s="7" t="s">
        <v>634</v>
      </c>
      <c r="E847" s="8" t="str">
        <f>IFERROR(__xludf.DUMMYFUNCTION("SPLIT(A847,""TX"")"),"Hicks, Forrest
55 Downs Lake Circle
Dallas, ")</f>
        <v>Hicks, Forrest
55 Downs Lake Circle
Dallas, </v>
      </c>
      <c r="F847" s="8">
        <f>IFERROR(__xludf.DUMMYFUNCTION("""COMPUTED_VALUE"""),75230.0)</f>
        <v>75230</v>
      </c>
      <c r="I847" s="8">
        <f t="shared" si="9"/>
        <v>75230</v>
      </c>
      <c r="J847" s="9">
        <f>IFERROR(__xludf.DUMMYFUNCTION("SPLIT(I847,""-"")"),75230.0)</f>
        <v>75230</v>
      </c>
    </row>
    <row r="848">
      <c r="A848" s="5" t="s">
        <v>810</v>
      </c>
      <c r="B848" s="6">
        <v>150.0</v>
      </c>
      <c r="C848" s="7" t="s">
        <v>634</v>
      </c>
      <c r="E848" s="8" t="str">
        <f>IFERROR(__xludf.DUMMYFUNCTION("SPLIT(A848,""TX"")"),"HIGH")</f>
        <v>HIGH</v>
      </c>
      <c r="F848" s="8" t="str">
        <f>IFERROR(__xludf.DUMMYFUNCTION("""COMPUTED_VALUE"""),"OWER, EDWIN
6545 MEADOWCREEK DR
DALLAS, ")</f>
        <v>OWER, EDWIN
6545 MEADOWCREEK DR
DALLAS, </v>
      </c>
      <c r="G848" s="8">
        <f>IFERROR(__xludf.DUMMYFUNCTION("""COMPUTED_VALUE"""),75254.0)</f>
        <v>75254</v>
      </c>
      <c r="I848" s="8">
        <f t="shared" si="9"/>
        <v>75254</v>
      </c>
      <c r="J848" s="9">
        <f>IFERROR(__xludf.DUMMYFUNCTION("SPLIT(I848,""-"")"),75254.0)</f>
        <v>75254</v>
      </c>
    </row>
    <row r="849">
      <c r="A849" s="5" t="s">
        <v>811</v>
      </c>
      <c r="B849" s="6">
        <v>500.0</v>
      </c>
      <c r="C849" s="7" t="s">
        <v>634</v>
      </c>
      <c r="E849" s="8" t="str">
        <f>IFERROR(__xludf.DUMMYFUNCTION("SPLIT(A849,""TX"")"),"Hoppenstein, Carole Ann
3831 Duchess ")</f>
        <v>Hoppenstein, Carole Ann
3831 Duchess </v>
      </c>
      <c r="F849" s="8" t="str">
        <f>IFERROR(__xludf.DUMMYFUNCTION("""COMPUTED_VALUE"""),"rail
Dallas, ")</f>
        <v>rail
Dallas, </v>
      </c>
      <c r="G849" s="8">
        <f>IFERROR(__xludf.DUMMYFUNCTION("""COMPUTED_VALUE"""),75229.0)</f>
        <v>75229</v>
      </c>
      <c r="I849" s="8">
        <f t="shared" si="9"/>
        <v>75229</v>
      </c>
      <c r="J849" s="9">
        <f>IFERROR(__xludf.DUMMYFUNCTION("SPLIT(I849,""-"")"),75229.0)</f>
        <v>75229</v>
      </c>
    </row>
    <row r="850">
      <c r="A850" s="5" t="s">
        <v>812</v>
      </c>
      <c r="B850" s="6">
        <v>100.0</v>
      </c>
      <c r="C850" s="7" t="s">
        <v>634</v>
      </c>
      <c r="E850" s="8" t="str">
        <f>IFERROR(__xludf.DUMMYFUNCTION("SPLIT(A850,""TX"")"),"Jackson, Dena
7210 Stonetrail Drive
Dallas, ")</f>
        <v>Jackson, Dena
7210 Stonetrail Drive
Dallas, </v>
      </c>
      <c r="F850" s="8">
        <f>IFERROR(__xludf.DUMMYFUNCTION("""COMPUTED_VALUE"""),75230.0)</f>
        <v>75230</v>
      </c>
      <c r="I850" s="8">
        <f t="shared" si="9"/>
        <v>75230</v>
      </c>
      <c r="J850" s="9">
        <f>IFERROR(__xludf.DUMMYFUNCTION("SPLIT(I850,""-"")"),75230.0)</f>
        <v>75230</v>
      </c>
    </row>
    <row r="851">
      <c r="A851" s="5" t="s">
        <v>813</v>
      </c>
      <c r="B851" s="6">
        <v>150.0</v>
      </c>
      <c r="C851" s="7" t="s">
        <v>634</v>
      </c>
      <c r="E851" s="8" t="str">
        <f>IFERROR(__xludf.DUMMYFUNCTION("SPLIT(A851,""TX"")"),"Jagoda, Jo
7139 Brookshire Circle
Dallas, ")</f>
        <v>Jagoda, Jo
7139 Brookshire Circle
Dallas, </v>
      </c>
      <c r="F851" s="8">
        <f>IFERROR(__xludf.DUMMYFUNCTION("""COMPUTED_VALUE"""),75230.0)</f>
        <v>75230</v>
      </c>
      <c r="I851" s="8">
        <f t="shared" si="9"/>
        <v>75230</v>
      </c>
      <c r="J851" s="9">
        <f>IFERROR(__xludf.DUMMYFUNCTION("SPLIT(I851,""-"")"),75230.0)</f>
        <v>75230</v>
      </c>
    </row>
    <row r="852">
      <c r="A852" s="5" t="s">
        <v>814</v>
      </c>
      <c r="B852" s="6">
        <v>100.0</v>
      </c>
      <c r="C852" s="7" t="s">
        <v>634</v>
      </c>
      <c r="E852" s="8" t="str">
        <f>IFERROR(__xludf.DUMMYFUNCTION("SPLIT(A852,""TX"")"),"Johansen, Gayle
4608 Fairfax Avenue
Dallas, ")</f>
        <v>Johansen, Gayle
4608 Fairfax Avenue
Dallas, </v>
      </c>
      <c r="F852" s="8">
        <f>IFERROR(__xludf.DUMMYFUNCTION("""COMPUTED_VALUE"""),75209.0)</f>
        <v>75209</v>
      </c>
      <c r="I852" s="8">
        <f t="shared" si="9"/>
        <v>75209</v>
      </c>
      <c r="J852" s="9">
        <f>IFERROR(__xludf.DUMMYFUNCTION("SPLIT(I852,""-"")"),75209.0)</f>
        <v>75209</v>
      </c>
    </row>
    <row r="853">
      <c r="A853" s="5" t="s">
        <v>815</v>
      </c>
      <c r="B853" s="6">
        <v>100.0</v>
      </c>
      <c r="C853" s="7" t="s">
        <v>634</v>
      </c>
      <c r="E853" s="8" t="str">
        <f>IFERROR(__xludf.DUMMYFUNCTION("SPLIT(A853,""TX"")"),"Jonas, Hylton
4615 Briar Oaks Circle
Dallas, ")</f>
        <v>Jonas, Hylton
4615 Briar Oaks Circle
Dallas, </v>
      </c>
      <c r="F853" s="8">
        <f>IFERROR(__xludf.DUMMYFUNCTION("""COMPUTED_VALUE"""),75287.0)</f>
        <v>75287</v>
      </c>
      <c r="I853" s="8">
        <f t="shared" si="9"/>
        <v>75287</v>
      </c>
      <c r="J853" s="9">
        <f>IFERROR(__xludf.DUMMYFUNCTION("SPLIT(I853,""-"")"),75287.0)</f>
        <v>75287</v>
      </c>
    </row>
    <row r="854">
      <c r="A854" s="5" t="s">
        <v>816</v>
      </c>
      <c r="B854" s="6">
        <v>100.0</v>
      </c>
      <c r="C854" s="7" t="s">
        <v>634</v>
      </c>
      <c r="E854" s="8" t="str">
        <f>IFERROR(__xludf.DUMMYFUNCTION("SPLIT(A854,""TX"")"),"Kadmon, Marilyn
12020 browning lane
Dallas, ")</f>
        <v>Kadmon, Marilyn
12020 browning lane
Dallas, </v>
      </c>
      <c r="F854" s="8">
        <f>IFERROR(__xludf.DUMMYFUNCTION("""COMPUTED_VALUE"""),75230.0)</f>
        <v>75230</v>
      </c>
      <c r="I854" s="8">
        <f t="shared" si="9"/>
        <v>75230</v>
      </c>
      <c r="J854" s="9">
        <f>IFERROR(__xludf.DUMMYFUNCTION("SPLIT(I854,""-"")"),75230.0)</f>
        <v>75230</v>
      </c>
    </row>
    <row r="855">
      <c r="A855" s="5" t="s">
        <v>817</v>
      </c>
      <c r="B855" s="6">
        <v>250.0</v>
      </c>
      <c r="C855" s="7" t="s">
        <v>634</v>
      </c>
      <c r="E855" s="8" t="str">
        <f>IFERROR(__xludf.DUMMYFUNCTION("SPLIT(A855,""TX"")"),"Kerner, Andy
17 Ashton Court
Dallas, ")</f>
        <v>Kerner, Andy
17 Ashton Court
Dallas, </v>
      </c>
      <c r="F855" s="8">
        <f>IFERROR(__xludf.DUMMYFUNCTION("""COMPUTED_VALUE"""),75230.0)</f>
        <v>75230</v>
      </c>
      <c r="I855" s="8">
        <f t="shared" si="9"/>
        <v>75230</v>
      </c>
      <c r="J855" s="9">
        <f>IFERROR(__xludf.DUMMYFUNCTION("SPLIT(I855,""-"")"),75230.0)</f>
        <v>75230</v>
      </c>
    </row>
    <row r="856">
      <c r="A856" s="5" t="s">
        <v>818</v>
      </c>
      <c r="B856" s="6">
        <v>500.0</v>
      </c>
      <c r="C856" s="7" t="s">
        <v>634</v>
      </c>
      <c r="E856" s="8" t="str">
        <f>IFERROR(__xludf.DUMMYFUNCTION("SPLIT(A856,""TX"")"),"Kittleson, ")</f>
        <v>Kittleson, </v>
      </c>
      <c r="F856" s="8" t="str">
        <f>IFERROR(__xludf.DUMMYFUNCTION("""COMPUTED_VALUE"""),"erry
7051 Orchid Lane
Dallas, ")</f>
        <v>erry
7051 Orchid Lane
Dallas, </v>
      </c>
      <c r="G856" s="8">
        <f>IFERROR(__xludf.DUMMYFUNCTION("""COMPUTED_VALUE"""),75230.0)</f>
        <v>75230</v>
      </c>
      <c r="I856" s="8">
        <f t="shared" si="9"/>
        <v>75230</v>
      </c>
      <c r="J856" s="9">
        <f>IFERROR(__xludf.DUMMYFUNCTION("SPLIT(I856,""-"")"),75230.0)</f>
        <v>75230</v>
      </c>
    </row>
    <row r="857">
      <c r="A857" s="5" t="s">
        <v>819</v>
      </c>
      <c r="B857" s="6">
        <v>250.0</v>
      </c>
      <c r="C857" s="7" t="s">
        <v>634</v>
      </c>
      <c r="E857" s="8" t="str">
        <f>IFERROR(__xludf.DUMMYFUNCTION("SPLIT(A857,""TX"")"),"Kleinman, Mark
6926 Midbury Drive
Dallas, ")</f>
        <v>Kleinman, Mark
6926 Midbury Drive
Dallas, </v>
      </c>
      <c r="F857" s="8">
        <f>IFERROR(__xludf.DUMMYFUNCTION("""COMPUTED_VALUE"""),75230.0)</f>
        <v>75230</v>
      </c>
      <c r="I857" s="8">
        <f t="shared" si="9"/>
        <v>75230</v>
      </c>
      <c r="J857" s="9">
        <f>IFERROR(__xludf.DUMMYFUNCTION("SPLIT(I857,""-"")"),75230.0)</f>
        <v>75230</v>
      </c>
    </row>
    <row r="858">
      <c r="A858" s="5" t="s">
        <v>820</v>
      </c>
      <c r="B858" s="6">
        <v>100.0</v>
      </c>
      <c r="C858" s="7" t="s">
        <v>634</v>
      </c>
      <c r="E858" s="8" t="str">
        <f>IFERROR(__xludf.DUMMYFUNCTION("SPLIT(A858,""TX"")"),"Koeppel, Deborah
7240 Mason Dells Drive
Dallas, ")</f>
        <v>Koeppel, Deborah
7240 Mason Dells Drive
Dallas, </v>
      </c>
      <c r="F858" s="8">
        <f>IFERROR(__xludf.DUMMYFUNCTION("""COMPUTED_VALUE"""),75230.0)</f>
        <v>75230</v>
      </c>
      <c r="I858" s="8">
        <f t="shared" si="9"/>
        <v>75230</v>
      </c>
      <c r="J858" s="9">
        <f>IFERROR(__xludf.DUMMYFUNCTION("SPLIT(I858,""-"")"),75230.0)</f>
        <v>75230</v>
      </c>
    </row>
    <row r="859">
      <c r="A859" s="5" t="s">
        <v>821</v>
      </c>
      <c r="B859" s="6">
        <v>100.0</v>
      </c>
      <c r="C859" s="7" t="s">
        <v>634</v>
      </c>
      <c r="E859" s="8" t="str">
        <f>IFERROR(__xludf.DUMMYFUNCTION("SPLIT(A859,""TX"")"),"KOOP, LINDA
15210 LEAFY LANE
DALLAS, ")</f>
        <v>KOOP, LINDA
15210 LEAFY LANE
DALLAS, </v>
      </c>
      <c r="F859" s="8">
        <f>IFERROR(__xludf.DUMMYFUNCTION("""COMPUTED_VALUE"""),75248.0)</f>
        <v>75248</v>
      </c>
      <c r="I859" s="8">
        <f t="shared" si="9"/>
        <v>75248</v>
      </c>
      <c r="J859" s="9">
        <f>IFERROR(__xludf.DUMMYFUNCTION("SPLIT(I859,""-"")"),75248.0)</f>
        <v>75248</v>
      </c>
    </row>
    <row r="860">
      <c r="A860" s="5" t="s">
        <v>822</v>
      </c>
      <c r="B860" s="6">
        <v>50.0</v>
      </c>
      <c r="C860" s="7" t="s">
        <v>634</v>
      </c>
      <c r="E860" s="8" t="str">
        <f>IFERROR(__xludf.DUMMYFUNCTION("SPLIT(A860,""TX"")"),"Kosberg, Robin
10205 Epping Lane
Dallas, ")</f>
        <v>Kosberg, Robin
10205 Epping Lane
Dallas, </v>
      </c>
      <c r="F860" s="8">
        <f>IFERROR(__xludf.DUMMYFUNCTION("""COMPUTED_VALUE"""),75229.0)</f>
        <v>75229</v>
      </c>
      <c r="I860" s="8">
        <f t="shared" si="9"/>
        <v>75229</v>
      </c>
      <c r="J860" s="9">
        <f>IFERROR(__xludf.DUMMYFUNCTION("SPLIT(I860,""-"")"),75229.0)</f>
        <v>75229</v>
      </c>
    </row>
    <row r="861">
      <c r="A861" s="5" t="s">
        <v>823</v>
      </c>
      <c r="B861" s="6">
        <v>250.0</v>
      </c>
      <c r="C861" s="7" t="s">
        <v>634</v>
      </c>
      <c r="E861" s="8" t="str">
        <f>IFERROR(__xludf.DUMMYFUNCTION("SPLIT(A861,""TX"")"),"Kreditor, Mark and Carol
12124 Madeleine Cir
Dallas, ")</f>
        <v>Kreditor, Mark and Carol
12124 Madeleine Cir
Dallas, </v>
      </c>
      <c r="F861" s="8">
        <f>IFERROR(__xludf.DUMMYFUNCTION("""COMPUTED_VALUE"""),75230.0)</f>
        <v>75230</v>
      </c>
      <c r="I861" s="8">
        <f t="shared" si="9"/>
        <v>75230</v>
      </c>
      <c r="J861" s="9">
        <f>IFERROR(__xludf.DUMMYFUNCTION("SPLIT(I861,""-"")"),75230.0)</f>
        <v>75230</v>
      </c>
    </row>
    <row r="862">
      <c r="A862" s="5" t="s">
        <v>824</v>
      </c>
      <c r="B862" s="6">
        <v>500.0</v>
      </c>
      <c r="C862" s="7" t="s">
        <v>634</v>
      </c>
      <c r="E862" s="8" t="str">
        <f>IFERROR(__xludf.DUMMYFUNCTION("SPLIT(A862,""TX"")"),"Levine, Ann
4240 Manderville Lane
Dallas, ")</f>
        <v>Levine, Ann
4240 Manderville Lane
Dallas, </v>
      </c>
      <c r="F862" s="8">
        <f>IFERROR(__xludf.DUMMYFUNCTION("""COMPUTED_VALUE"""),75231.0)</f>
        <v>75231</v>
      </c>
      <c r="I862" s="8">
        <f t="shared" si="9"/>
        <v>75231</v>
      </c>
      <c r="J862" s="9">
        <f>IFERROR(__xludf.DUMMYFUNCTION("SPLIT(I862,""-"")"),75231.0)</f>
        <v>75231</v>
      </c>
    </row>
    <row r="863">
      <c r="A863" s="5" t="s">
        <v>825</v>
      </c>
      <c r="B863" s="6">
        <v>36.0</v>
      </c>
      <c r="C863" s="7" t="s">
        <v>634</v>
      </c>
      <c r="E863" s="8" t="str">
        <f>IFERROR(__xludf.DUMMYFUNCTION("SPLIT(A863,""TX"")"),"Liberman, Julie
2404 Wing Point Ln
Plano, ")</f>
        <v>Liberman, Julie
2404 Wing Point Ln
Plano, </v>
      </c>
      <c r="F863" s="8">
        <f>IFERROR(__xludf.DUMMYFUNCTION("""COMPUTED_VALUE"""),75093.0)</f>
        <v>75093</v>
      </c>
      <c r="I863" s="8">
        <f t="shared" si="9"/>
        <v>75093</v>
      </c>
      <c r="J863" s="9">
        <f>IFERROR(__xludf.DUMMYFUNCTION("SPLIT(I863,""-"")"),75093.0)</f>
        <v>75093</v>
      </c>
    </row>
    <row r="864">
      <c r="A864" s="5" t="s">
        <v>826</v>
      </c>
      <c r="B864" s="6">
        <v>150.0</v>
      </c>
      <c r="C864" s="7" t="s">
        <v>634</v>
      </c>
      <c r="E864" s="8" t="str">
        <f>IFERROR(__xludf.DUMMYFUNCTION("SPLIT(A864,""TX"")"),"Lifson, Judith
3601 ")</f>
        <v>Lifson, Judith
3601 </v>
      </c>
      <c r="F864" s="8" t="str">
        <f>IFERROR(__xludf.DUMMYFUNCTION("""COMPUTED_VALUE"""),"urtle Creek Boulevard
Dallas, ")</f>
        <v>urtle Creek Boulevard
Dallas, </v>
      </c>
      <c r="G864" s="8">
        <f>IFERROR(__xludf.DUMMYFUNCTION("""COMPUTED_VALUE"""),75219.0)</f>
        <v>75219</v>
      </c>
      <c r="I864" s="8">
        <f t="shared" si="9"/>
        <v>75219</v>
      </c>
      <c r="J864" s="9">
        <f>IFERROR(__xludf.DUMMYFUNCTION("SPLIT(I864,""-"")"),75219.0)</f>
        <v>75219</v>
      </c>
    </row>
    <row r="865">
      <c r="A865" s="5" t="s">
        <v>827</v>
      </c>
      <c r="B865" s="6">
        <v>500.0</v>
      </c>
      <c r="C865" s="7" t="s">
        <v>634</v>
      </c>
      <c r="E865" s="8" t="str">
        <f>IFERROR(__xludf.DUMMYFUNCTION("SPLIT(A865,""TX"")"),"Elevation Management LLC
6208 Copperhill Drive
Dallas, ")</f>
        <v>Elevation Management LLC
6208 Copperhill Drive
Dallas, </v>
      </c>
      <c r="F865" s="8">
        <f>IFERROR(__xludf.DUMMYFUNCTION("""COMPUTED_VALUE"""),75248.0)</f>
        <v>75248</v>
      </c>
      <c r="I865" s="8">
        <f t="shared" si="9"/>
        <v>75248</v>
      </c>
      <c r="J865" s="9">
        <f>IFERROR(__xludf.DUMMYFUNCTION("SPLIT(I865,""-"")"),75248.0)</f>
        <v>75248</v>
      </c>
    </row>
    <row r="866">
      <c r="A866" s="5" t="s">
        <v>828</v>
      </c>
      <c r="B866" s="6">
        <v>100.0</v>
      </c>
      <c r="C866" s="7" t="s">
        <v>634</v>
      </c>
      <c r="E866" s="8" t="str">
        <f>IFERROR(__xludf.DUMMYFUNCTION("SPLIT(A866,""TX"")"),"Loomis, Jo
6857 Greenwich Lane
Dallas, ")</f>
        <v>Loomis, Jo
6857 Greenwich Lane
Dallas, </v>
      </c>
      <c r="F866" s="8">
        <f>IFERROR(__xludf.DUMMYFUNCTION("""COMPUTED_VALUE"""),75230.0)</f>
        <v>75230</v>
      </c>
      <c r="I866" s="8">
        <f t="shared" si="9"/>
        <v>75230</v>
      </c>
      <c r="J866" s="9">
        <f>IFERROR(__xludf.DUMMYFUNCTION("SPLIT(I866,""-"")"),75230.0)</f>
        <v>75230</v>
      </c>
    </row>
    <row r="867">
      <c r="A867" s="5" t="s">
        <v>173</v>
      </c>
      <c r="B867" s="6">
        <v>500.0</v>
      </c>
      <c r="C867" s="7" t="s">
        <v>634</v>
      </c>
      <c r="E867" s="8" t="str">
        <f>IFERROR(__xludf.DUMMYFUNCTION("SPLIT(A867,""TX"")"),"Lopez, Roy
4326 Meadowdale Ln
Dallas, ")</f>
        <v>Lopez, Roy
4326 Meadowdale Ln
Dallas, </v>
      </c>
      <c r="F867" s="8">
        <f>IFERROR(__xludf.DUMMYFUNCTION("""COMPUTED_VALUE"""),75229.0)</f>
        <v>75229</v>
      </c>
      <c r="I867" s="8">
        <f t="shared" si="9"/>
        <v>75229</v>
      </c>
      <c r="J867" s="9">
        <f>IFERROR(__xludf.DUMMYFUNCTION("SPLIT(I867,""-"")"),75229.0)</f>
        <v>75229</v>
      </c>
    </row>
    <row r="868">
      <c r="A868" s="5" t="s">
        <v>166</v>
      </c>
      <c r="B868" s="6">
        <v>500.0</v>
      </c>
      <c r="C868" s="7" t="s">
        <v>634</v>
      </c>
      <c r="E868" s="8" t="str">
        <f>IFERROR(__xludf.DUMMYFUNCTION("SPLIT(A868,""TX"")"),"Lopez, Bridget
4326 Meadowdale Lane
Dallas, ")</f>
        <v>Lopez, Bridget
4326 Meadowdale Lane
Dallas, </v>
      </c>
      <c r="F868" s="8">
        <f>IFERROR(__xludf.DUMMYFUNCTION("""COMPUTED_VALUE"""),75229.0)</f>
        <v>75229</v>
      </c>
      <c r="I868" s="8">
        <f t="shared" si="9"/>
        <v>75229</v>
      </c>
      <c r="J868" s="9">
        <f>IFERROR(__xludf.DUMMYFUNCTION("SPLIT(I868,""-"")"),75229.0)</f>
        <v>75229</v>
      </c>
    </row>
    <row r="869">
      <c r="A869" s="5" t="s">
        <v>829</v>
      </c>
      <c r="B869" s="6">
        <v>500.0</v>
      </c>
      <c r="C869" s="7" t="s">
        <v>634</v>
      </c>
      <c r="E869" s="8" t="str">
        <f>IFERROR(__xludf.DUMMYFUNCTION("SPLIT(A869,""TX"")"),"Lopez, Wendy
3707 W. Beverly Dr.
Dallas, ")</f>
        <v>Lopez, Wendy
3707 W. Beverly Dr.
Dallas, </v>
      </c>
      <c r="F869" s="8">
        <f>IFERROR(__xludf.DUMMYFUNCTION("""COMPUTED_VALUE"""),75209.0)</f>
        <v>75209</v>
      </c>
      <c r="I869" s="8">
        <f t="shared" si="9"/>
        <v>75209</v>
      </c>
      <c r="J869" s="9">
        <f>IFERROR(__xludf.DUMMYFUNCTION("SPLIT(I869,""-"")"),75209.0)</f>
        <v>75209</v>
      </c>
    </row>
    <row r="870">
      <c r="A870" s="5" t="s">
        <v>830</v>
      </c>
      <c r="B870" s="6">
        <v>50.0</v>
      </c>
      <c r="C870" s="7" t="s">
        <v>634</v>
      </c>
      <c r="E870" s="8" t="str">
        <f>IFERROR(__xludf.DUMMYFUNCTION("SPLIT(A870,""TX"")"),"Lowenberg, Julie
2828 HOOD S")</f>
        <v>Lowenberg, Julie
2828 HOOD S</v>
      </c>
      <c r="F870" s="8" t="str">
        <f>IFERROR(__xludf.DUMMYFUNCTION("""COMPUTED_VALUE"""),"
Dallas, ")</f>
        <v>
Dallas, </v>
      </c>
      <c r="G870" s="8">
        <f>IFERROR(__xludf.DUMMYFUNCTION("""COMPUTED_VALUE"""),75219.0)</f>
        <v>75219</v>
      </c>
      <c r="I870" s="8">
        <f t="shared" si="9"/>
        <v>75219</v>
      </c>
      <c r="J870" s="9">
        <f>IFERROR(__xludf.DUMMYFUNCTION("SPLIT(I870,""-"")"),75219.0)</f>
        <v>75219</v>
      </c>
    </row>
    <row r="871">
      <c r="A871" s="5" t="s">
        <v>831</v>
      </c>
      <c r="B871" s="6">
        <v>250.0</v>
      </c>
      <c r="C871" s="7" t="s">
        <v>634</v>
      </c>
      <c r="E871" s="8" t="str">
        <f>IFERROR(__xludf.DUMMYFUNCTION("SPLIT(A871,""TX"")"),"LUBY, MAUREEN
7230 Midbury Dr
Dallas, ")</f>
        <v>LUBY, MAUREEN
7230 Midbury Dr
Dallas, </v>
      </c>
      <c r="F871" s="8">
        <f>IFERROR(__xludf.DUMMYFUNCTION("""COMPUTED_VALUE"""),75230.0)</f>
        <v>75230</v>
      </c>
      <c r="I871" s="8">
        <f t="shared" si="9"/>
        <v>75230</v>
      </c>
      <c r="J871" s="9">
        <f>IFERROR(__xludf.DUMMYFUNCTION("SPLIT(I871,""-"")"),75230.0)</f>
        <v>75230</v>
      </c>
    </row>
    <row r="872">
      <c r="A872" s="5" t="s">
        <v>832</v>
      </c>
      <c r="B872" s="6">
        <v>100.0</v>
      </c>
      <c r="C872" s="7" t="s">
        <v>634</v>
      </c>
      <c r="E872" s="8" t="str">
        <f>IFERROR(__xludf.DUMMYFUNCTION("SPLIT(A872,""TX"")"),"Mackler, Scott
12123 Edgestone Road
Dallas, ")</f>
        <v>Mackler, Scott
12123 Edgestone Road
Dallas, </v>
      </c>
      <c r="F872" s="8">
        <f>IFERROR(__xludf.DUMMYFUNCTION("""COMPUTED_VALUE"""),75230.0)</f>
        <v>75230</v>
      </c>
      <c r="I872" s="8">
        <f t="shared" si="9"/>
        <v>75230</v>
      </c>
      <c r="J872" s="9">
        <f>IFERROR(__xludf.DUMMYFUNCTION("SPLIT(I872,""-"")"),75230.0)</f>
        <v>75230</v>
      </c>
    </row>
    <row r="873">
      <c r="A873" s="5" t="s">
        <v>833</v>
      </c>
      <c r="B873" s="6">
        <v>250.0</v>
      </c>
      <c r="C873" s="7" t="s">
        <v>634</v>
      </c>
      <c r="E873" s="8" t="str">
        <f>IFERROR(__xludf.DUMMYFUNCTION("SPLIT(A873,""TX"")"),"Magnuson, Jill
4318 Beechwood Lane
Dallas, ")</f>
        <v>Magnuson, Jill
4318 Beechwood Lane
Dallas, </v>
      </c>
      <c r="F873" s="8">
        <f>IFERROR(__xludf.DUMMYFUNCTION("""COMPUTED_VALUE"""),75220.0)</f>
        <v>75220</v>
      </c>
      <c r="I873" s="8">
        <f t="shared" si="9"/>
        <v>75220</v>
      </c>
      <c r="J873" s="9">
        <f>IFERROR(__xludf.DUMMYFUNCTION("SPLIT(I873,""-"")"),75220.0)</f>
        <v>75220</v>
      </c>
    </row>
    <row r="874">
      <c r="A874" s="5" t="s">
        <v>834</v>
      </c>
      <c r="B874" s="6">
        <v>200.0</v>
      </c>
      <c r="C874" s="7" t="s">
        <v>634</v>
      </c>
      <c r="E874" s="8" t="str">
        <f>IFERROR(__xludf.DUMMYFUNCTION("SPLIT(A874,""TX"")"),"Malik, Parvez
511 E John Carpenter
Dallas, ")</f>
        <v>Malik, Parvez
511 E John Carpenter
Dallas, </v>
      </c>
      <c r="F874" s="8">
        <f>IFERROR(__xludf.DUMMYFUNCTION("""COMPUTED_VALUE"""),75062.0)</f>
        <v>75062</v>
      </c>
      <c r="I874" s="8">
        <f t="shared" si="9"/>
        <v>75062</v>
      </c>
      <c r="J874" s="9">
        <f>IFERROR(__xludf.DUMMYFUNCTION("SPLIT(I874,""-"")"),75062.0)</f>
        <v>75062</v>
      </c>
    </row>
    <row r="875">
      <c r="A875" s="5" t="s">
        <v>835</v>
      </c>
      <c r="B875" s="6">
        <v>500.0</v>
      </c>
      <c r="C875" s="7" t="s">
        <v>634</v>
      </c>
      <c r="E875" s="8" t="str">
        <f>IFERROR(__xludf.DUMMYFUNCTION("SPLIT(A875,""TX"")"),"Margolin, Fred
3535 Gillespie Street
Dallas, ")</f>
        <v>Margolin, Fred
3535 Gillespie Street
Dallas, </v>
      </c>
      <c r="F875" s="8">
        <f>IFERROR(__xludf.DUMMYFUNCTION("""COMPUTED_VALUE"""),75219.0)</f>
        <v>75219</v>
      </c>
      <c r="I875" s="8">
        <f t="shared" si="9"/>
        <v>75219</v>
      </c>
      <c r="J875" s="9">
        <f>IFERROR(__xludf.DUMMYFUNCTION("SPLIT(I875,""-"")"),75219.0)</f>
        <v>75219</v>
      </c>
    </row>
    <row r="876">
      <c r="A876" s="5" t="s">
        <v>836</v>
      </c>
      <c r="B876" s="6">
        <v>250.0</v>
      </c>
      <c r="C876" s="7" t="s">
        <v>634</v>
      </c>
      <c r="E876" s="8" t="str">
        <f>IFERROR(__xludf.DUMMYFUNCTION("SPLIT(A876,""TX"")"),"Markus, Ellen
10012 Rock Hill Lane
Dallas, ")</f>
        <v>Markus, Ellen
10012 Rock Hill Lane
Dallas, </v>
      </c>
      <c r="F876" s="8">
        <f>IFERROR(__xludf.DUMMYFUNCTION("""COMPUTED_VALUE"""),75229.0)</f>
        <v>75229</v>
      </c>
      <c r="I876" s="8">
        <f t="shared" si="9"/>
        <v>75229</v>
      </c>
      <c r="J876" s="9">
        <f>IFERROR(__xludf.DUMMYFUNCTION("SPLIT(I876,""-"")"),75229.0)</f>
        <v>75229</v>
      </c>
    </row>
    <row r="877">
      <c r="A877" s="5" t="s">
        <v>837</v>
      </c>
      <c r="B877" s="6">
        <v>100.0</v>
      </c>
      <c r="C877" s="7" t="s">
        <v>634</v>
      </c>
      <c r="E877" s="8" t="str">
        <f>IFERROR(__xludf.DUMMYFUNCTION("SPLIT(A877,""TX"")"),"Martinez, Rene
7007 Arboreal Drive
Dallas, ")</f>
        <v>Martinez, Rene
7007 Arboreal Drive
Dallas, </v>
      </c>
      <c r="F877" s="8">
        <f>IFERROR(__xludf.DUMMYFUNCTION("""COMPUTED_VALUE"""),75231.0)</f>
        <v>75231</v>
      </c>
      <c r="I877" s="8">
        <f t="shared" si="9"/>
        <v>75231</v>
      </c>
      <c r="J877" s="9">
        <f>IFERROR(__xludf.DUMMYFUNCTION("SPLIT(I877,""-"")"),75231.0)</f>
        <v>75231</v>
      </c>
    </row>
    <row r="878">
      <c r="A878" s="5" t="s">
        <v>838</v>
      </c>
      <c r="B878" s="6">
        <v>500.0</v>
      </c>
      <c r="C878" s="7" t="s">
        <v>634</v>
      </c>
      <c r="E878" s="8" t="str">
        <f>IFERROR(__xludf.DUMMYFUNCTION("SPLIT(A878,""TX"")"),"McClure, Madeline
9019 Broken Arrow Lane
Dallas, ")</f>
        <v>McClure, Madeline
9019 Broken Arrow Lane
Dallas, </v>
      </c>
      <c r="F878" s="8">
        <f>IFERROR(__xludf.DUMMYFUNCTION("""COMPUTED_VALUE"""),75209.0)</f>
        <v>75209</v>
      </c>
      <c r="I878" s="8">
        <f t="shared" si="9"/>
        <v>75209</v>
      </c>
      <c r="J878" s="9">
        <f>IFERROR(__xludf.DUMMYFUNCTION("SPLIT(I878,""-"")"),75209.0)</f>
        <v>75209</v>
      </c>
    </row>
    <row r="879">
      <c r="A879" s="5" t="s">
        <v>839</v>
      </c>
      <c r="B879" s="6">
        <v>10.0</v>
      </c>
      <c r="C879" s="7" t="s">
        <v>634</v>
      </c>
      <c r="E879" s="8" t="str">
        <f>IFERROR(__xludf.DUMMYFUNCTION("SPLIT(A879,""TX"")"),"Meehan, Patricia
7041 Yamini Drive
Dallas, ")</f>
        <v>Meehan, Patricia
7041 Yamini Drive
Dallas, </v>
      </c>
      <c r="F879" s="8">
        <f>IFERROR(__xludf.DUMMYFUNCTION("""COMPUTED_VALUE"""),75230.0)</f>
        <v>75230</v>
      </c>
      <c r="I879" s="8">
        <f t="shared" si="9"/>
        <v>75230</v>
      </c>
      <c r="J879" s="9">
        <f>IFERROR(__xludf.DUMMYFUNCTION("SPLIT(I879,""-"")"),75230.0)</f>
        <v>75230</v>
      </c>
    </row>
    <row r="880">
      <c r="A880" s="5" t="s">
        <v>839</v>
      </c>
      <c r="B880" s="6">
        <v>50.0</v>
      </c>
      <c r="C880" s="7" t="s">
        <v>634</v>
      </c>
      <c r="E880" s="8" t="str">
        <f>IFERROR(__xludf.DUMMYFUNCTION("SPLIT(A880,""TX"")"),"Meehan, Patricia
7041 Yamini Drive
Dallas, ")</f>
        <v>Meehan, Patricia
7041 Yamini Drive
Dallas, </v>
      </c>
      <c r="F880" s="8">
        <f>IFERROR(__xludf.DUMMYFUNCTION("""COMPUTED_VALUE"""),75230.0)</f>
        <v>75230</v>
      </c>
      <c r="I880" s="8">
        <f t="shared" si="9"/>
        <v>75230</v>
      </c>
      <c r="J880" s="9">
        <f>IFERROR(__xludf.DUMMYFUNCTION("SPLIT(I880,""-"")"),75230.0)</f>
        <v>75230</v>
      </c>
    </row>
    <row r="881">
      <c r="A881" s="5" t="s">
        <v>840</v>
      </c>
      <c r="B881" s="6">
        <v>250.0</v>
      </c>
      <c r="C881" s="7" t="s">
        <v>634</v>
      </c>
      <c r="E881" s="8" t="str">
        <f>IFERROR(__xludf.DUMMYFUNCTION("SPLIT(A881,""TX"")"),"Meyerson, Morton
3321 Armstrong Avenue
Dallas, ")</f>
        <v>Meyerson, Morton
3321 Armstrong Avenue
Dallas, </v>
      </c>
      <c r="F881" s="8">
        <f>IFERROR(__xludf.DUMMYFUNCTION("""COMPUTED_VALUE"""),75205.0)</f>
        <v>75205</v>
      </c>
      <c r="I881" s="8">
        <f t="shared" si="9"/>
        <v>75205</v>
      </c>
      <c r="J881" s="9">
        <f>IFERROR(__xludf.DUMMYFUNCTION("SPLIT(I881,""-"")"),75205.0)</f>
        <v>75205</v>
      </c>
    </row>
    <row r="882">
      <c r="A882" s="5" t="s">
        <v>841</v>
      </c>
      <c r="B882" s="6">
        <v>250.0</v>
      </c>
      <c r="C882" s="7" t="s">
        <v>634</v>
      </c>
      <c r="E882" s="8" t="str">
        <f>IFERROR(__xludf.DUMMYFUNCTION("SPLIT(A882,""TX"")"),"Mills, ")</f>
        <v>Mills, </v>
      </c>
      <c r="F882" s="8" t="str">
        <f>IFERROR(__xludf.DUMMYFUNCTION("""COMPUTED_VALUE"""),"homas
3131 McKinney Avenue
Dallas, ")</f>
        <v>homas
3131 McKinney Avenue
Dallas, </v>
      </c>
      <c r="G882" s="8">
        <f>IFERROR(__xludf.DUMMYFUNCTION("""COMPUTED_VALUE"""),75204.0)</f>
        <v>75204</v>
      </c>
      <c r="I882" s="8">
        <f t="shared" si="9"/>
        <v>75204</v>
      </c>
      <c r="J882" s="9">
        <f>IFERROR(__xludf.DUMMYFUNCTION("SPLIT(I882,""-"")"),75204.0)</f>
        <v>75204</v>
      </c>
    </row>
    <row r="883">
      <c r="A883" s="5" t="s">
        <v>842</v>
      </c>
      <c r="B883" s="6">
        <v>180.0</v>
      </c>
      <c r="C883" s="7" t="s">
        <v>634</v>
      </c>
      <c r="E883" s="8" t="str">
        <f>IFERROR(__xludf.DUMMYFUNCTION("SPLIT(A883,""TX"")"),"Miskin, Clive
6717 Deloache Avenue
Dallas, ")</f>
        <v>Miskin, Clive
6717 Deloache Avenue
Dallas, </v>
      </c>
      <c r="F883" s="8">
        <f>IFERROR(__xludf.DUMMYFUNCTION("""COMPUTED_VALUE"""),75225.0)</f>
        <v>75225</v>
      </c>
      <c r="I883" s="8">
        <f t="shared" si="9"/>
        <v>75225</v>
      </c>
      <c r="J883" s="9">
        <f>IFERROR(__xludf.DUMMYFUNCTION("SPLIT(I883,""-"")"),75225.0)</f>
        <v>75225</v>
      </c>
    </row>
    <row r="884">
      <c r="A884" s="5" t="s">
        <v>843</v>
      </c>
      <c r="B884" s="6">
        <v>500.0</v>
      </c>
      <c r="C884" s="7" t="s">
        <v>634</v>
      </c>
      <c r="E884" s="8" t="str">
        <f>IFERROR(__xludf.DUMMYFUNCTION("SPLIT(A884,""TX"")"),"Monier, Amy
6625 Ridgeview Circle
Dallas, ")</f>
        <v>Monier, Amy
6625 Ridgeview Circle
Dallas, </v>
      </c>
      <c r="F884" s="8">
        <f>IFERROR(__xludf.DUMMYFUNCTION("""COMPUTED_VALUE"""),75240.0)</f>
        <v>75240</v>
      </c>
      <c r="I884" s="8">
        <f t="shared" si="9"/>
        <v>75240</v>
      </c>
      <c r="J884" s="9">
        <f>IFERROR(__xludf.DUMMYFUNCTION("SPLIT(I884,""-"")"),75240.0)</f>
        <v>75240</v>
      </c>
    </row>
    <row r="885">
      <c r="A885" s="5" t="s">
        <v>844</v>
      </c>
      <c r="B885" s="6">
        <v>100.0</v>
      </c>
      <c r="C885" s="7" t="s">
        <v>634</v>
      </c>
      <c r="E885" s="8" t="str">
        <f>IFERROR(__xludf.DUMMYFUNCTION("SPLIT(A885,""TX"")"),"Mukhina, ")</f>
        <v>Mukhina, </v>
      </c>
      <c r="F885" s="8" t="str">
        <f>IFERROR(__xludf.DUMMYFUNCTION("""COMPUTED_VALUE"""),"atiana
7647 Royal Lane
Dallas, ")</f>
        <v>atiana
7647 Royal Lane
Dallas, </v>
      </c>
      <c r="G885" s="8">
        <f>IFERROR(__xludf.DUMMYFUNCTION("""COMPUTED_VALUE"""),75230.0)</f>
        <v>75230</v>
      </c>
      <c r="I885" s="8">
        <f t="shared" si="9"/>
        <v>75230</v>
      </c>
      <c r="J885" s="9">
        <f>IFERROR(__xludf.DUMMYFUNCTION("SPLIT(I885,""-"")"),75230.0)</f>
        <v>75230</v>
      </c>
    </row>
    <row r="886">
      <c r="A886" s="5" t="s">
        <v>845</v>
      </c>
      <c r="B886" s="6">
        <v>250.0</v>
      </c>
      <c r="C886" s="7" t="s">
        <v>634</v>
      </c>
      <c r="E886" s="8" t="str">
        <f>IFERROR(__xludf.DUMMYFUNCTION("SPLIT(A886,""TX"")"),"NA")</f>
        <v>NA</v>
      </c>
      <c r="F886" s="8" t="str">
        <f>IFERROR(__xludf.DUMMYFUNCTION("""COMPUTED_VALUE"""),"ON, ELYA
7410 Baxtershire Drive
Dallas, ")</f>
        <v>ON, ELYA
7410 Baxtershire Drive
Dallas, </v>
      </c>
      <c r="G886" s="8">
        <f>IFERROR(__xludf.DUMMYFUNCTION("""COMPUTED_VALUE"""),75230.0)</f>
        <v>75230</v>
      </c>
      <c r="I886" s="8">
        <f t="shared" si="9"/>
        <v>75230</v>
      </c>
      <c r="J886" s="9">
        <f>IFERROR(__xludf.DUMMYFUNCTION("SPLIT(I886,""-"")"),75230.0)</f>
        <v>75230</v>
      </c>
    </row>
    <row r="887">
      <c r="A887" s="5" t="s">
        <v>846</v>
      </c>
      <c r="B887" s="6">
        <v>1000.0</v>
      </c>
      <c r="C887" s="7" t="s">
        <v>634</v>
      </c>
      <c r="E887" s="8" t="str">
        <f>IFERROR(__xludf.DUMMYFUNCTION("SPLIT(A887,""TX"")"),"Netzer, Shula
9821 Meadowbrook Drive
Dallas, ")</f>
        <v>Netzer, Shula
9821 Meadowbrook Drive
Dallas, </v>
      </c>
      <c r="F887" s="8">
        <f>IFERROR(__xludf.DUMMYFUNCTION("""COMPUTED_VALUE"""),75220.0)</f>
        <v>75220</v>
      </c>
      <c r="I887" s="8">
        <f t="shared" si="9"/>
        <v>75220</v>
      </c>
      <c r="J887" s="9">
        <f>IFERROR(__xludf.DUMMYFUNCTION("SPLIT(I887,""-"")"),75220.0)</f>
        <v>75220</v>
      </c>
    </row>
    <row r="888">
      <c r="A888" s="5" t="s">
        <v>847</v>
      </c>
      <c r="B888" s="6">
        <v>1000.0</v>
      </c>
      <c r="C888" s="7" t="s">
        <v>634</v>
      </c>
      <c r="E888" s="8" t="str">
        <f>IFERROR(__xludf.DUMMYFUNCTION("SPLIT(A888,""TX"")"),"Newman, Jolie
5126 Palomar Lane
Dallas, ")</f>
        <v>Newman, Jolie
5126 Palomar Lane
Dallas, </v>
      </c>
      <c r="F888" s="8">
        <f>IFERROR(__xludf.DUMMYFUNCTION("""COMPUTED_VALUE"""),75229.0)</f>
        <v>75229</v>
      </c>
      <c r="I888" s="8">
        <f t="shared" si="9"/>
        <v>75229</v>
      </c>
      <c r="J888" s="9">
        <f>IFERROR(__xludf.DUMMYFUNCTION("SPLIT(I888,""-"")"),75229.0)</f>
        <v>75229</v>
      </c>
    </row>
    <row r="889">
      <c r="A889" s="5" t="s">
        <v>848</v>
      </c>
      <c r="B889" s="6">
        <v>250.0</v>
      </c>
      <c r="C889" s="7" t="s">
        <v>634</v>
      </c>
      <c r="E889" s="8" t="str">
        <f>IFERROR(__xludf.DUMMYFUNCTION("SPLIT(A889,""TX"")"),"Newman, Dr Glynn
7624 Cliffbrook Dr
Dallas, ")</f>
        <v>Newman, Dr Glynn
7624 Cliffbrook Dr
Dallas, </v>
      </c>
      <c r="F889" s="8">
        <f>IFERROR(__xludf.DUMMYFUNCTION("""COMPUTED_VALUE"""),75254.0)</f>
        <v>75254</v>
      </c>
      <c r="I889" s="8">
        <f t="shared" si="9"/>
        <v>75254</v>
      </c>
      <c r="J889" s="9">
        <f>IFERROR(__xludf.DUMMYFUNCTION("SPLIT(I889,""-"")"),75254.0)</f>
        <v>75254</v>
      </c>
    </row>
    <row r="890">
      <c r="A890" s="5" t="s">
        <v>849</v>
      </c>
      <c r="B890" s="6">
        <v>180.0</v>
      </c>
      <c r="C890" s="7" t="s">
        <v>634</v>
      </c>
      <c r="E890" s="8" t="str">
        <f>IFERROR(__xludf.DUMMYFUNCTION("SPLIT(A890,""TX"")"),"Novick, Michael
8816 ")</f>
        <v>Novick, Michael
8816 </v>
      </c>
      <c r="F890" s="8" t="str">
        <f>IFERROR(__xludf.DUMMYFUNCTION("""COMPUTED_VALUE"""),"urtle Creek Boulevard
Dallas, ")</f>
        <v>urtle Creek Boulevard
Dallas, </v>
      </c>
      <c r="G890" s="8">
        <f>IFERROR(__xludf.DUMMYFUNCTION("""COMPUTED_VALUE"""),75225.0)</f>
        <v>75225</v>
      </c>
      <c r="I890" s="8">
        <f t="shared" si="9"/>
        <v>75225</v>
      </c>
      <c r="J890" s="9">
        <f>IFERROR(__xludf.DUMMYFUNCTION("SPLIT(I890,""-"")"),75225.0)</f>
        <v>75225</v>
      </c>
    </row>
    <row r="891">
      <c r="A891" s="5" t="s">
        <v>850</v>
      </c>
      <c r="B891" s="6">
        <v>300.0</v>
      </c>
      <c r="C891" s="7" t="s">
        <v>634</v>
      </c>
      <c r="E891" s="8" t="str">
        <f>IFERROR(__xludf.DUMMYFUNCTION("SPLIT(A891,""TX"")"),"ODonnell, Gregory
7315 Malabar Lane
Dallas, ")</f>
        <v>ODonnell, Gregory
7315 Malabar Lane
Dallas, </v>
      </c>
      <c r="F891" s="8">
        <f>IFERROR(__xludf.DUMMYFUNCTION("""COMPUTED_VALUE"""),75230.0)</f>
        <v>75230</v>
      </c>
      <c r="I891" s="8">
        <f t="shared" si="9"/>
        <v>75230</v>
      </c>
      <c r="J891" s="9">
        <f>IFERROR(__xludf.DUMMYFUNCTION("SPLIT(I891,""-"")"),75230.0)</f>
        <v>75230</v>
      </c>
    </row>
    <row r="892">
      <c r="A892" s="5" t="s">
        <v>851</v>
      </c>
      <c r="B892" s="6">
        <v>100.0</v>
      </c>
      <c r="C892" s="7" t="s">
        <v>634</v>
      </c>
      <c r="E892" s="8" t="str">
        <f>IFERROR(__xludf.DUMMYFUNCTION("SPLIT(A892,""TX"")"),"Otoole, Jane
5047 Radbrook Place
Dallas, ")</f>
        <v>Otoole, Jane
5047 Radbrook Place
Dallas, </v>
      </c>
      <c r="F892" s="8">
        <f>IFERROR(__xludf.DUMMYFUNCTION("""COMPUTED_VALUE"""),75220.0)</f>
        <v>75220</v>
      </c>
      <c r="I892" s="8">
        <f t="shared" si="9"/>
        <v>75220</v>
      </c>
      <c r="J892" s="9">
        <f>IFERROR(__xludf.DUMMYFUNCTION("SPLIT(I892,""-"")"),75220.0)</f>
        <v>75220</v>
      </c>
    </row>
    <row r="893">
      <c r="A893" s="5" t="s">
        <v>852</v>
      </c>
      <c r="B893" s="6">
        <v>100.0</v>
      </c>
      <c r="C893" s="7" t="s">
        <v>634</v>
      </c>
      <c r="E893" s="8" t="str">
        <f>IFERROR(__xludf.DUMMYFUNCTION("SPLIT(A893,""TX"")"),"Ozley, Chris
12037 Edgestone Road
Dallas, ")</f>
        <v>Ozley, Chris
12037 Edgestone Road
Dallas, </v>
      </c>
      <c r="F893" s="8">
        <f>IFERROR(__xludf.DUMMYFUNCTION("""COMPUTED_VALUE"""),75230.0)</f>
        <v>75230</v>
      </c>
      <c r="I893" s="8">
        <f t="shared" si="9"/>
        <v>75230</v>
      </c>
      <c r="J893" s="9">
        <f>IFERROR(__xludf.DUMMYFUNCTION("SPLIT(I893,""-"")"),75230.0)</f>
        <v>75230</v>
      </c>
    </row>
    <row r="894">
      <c r="A894" s="5" t="s">
        <v>853</v>
      </c>
      <c r="B894" s="6">
        <v>250.0</v>
      </c>
      <c r="C894" s="7" t="s">
        <v>634</v>
      </c>
      <c r="E894" s="8" t="str">
        <f>IFERROR(__xludf.DUMMYFUNCTION("SPLIT(A894,""TX"")"),"Black American Futures PAC
2647 White Oak Drive
Decatur, GA 30032")</f>
        <v>Black American Futures PAC
2647 White Oak Drive
Decatur, GA 30032</v>
      </c>
      <c r="I894" s="8" t="str">
        <f t="shared" si="9"/>
        <v/>
      </c>
      <c r="J894" s="9" t="str">
        <f>IFERROR(__xludf.DUMMYFUNCTION("SPLIT(I894,""-"")"),"#VALUE!")</f>
        <v>#VALUE!</v>
      </c>
    </row>
    <row r="895">
      <c r="A895" s="5" t="s">
        <v>21</v>
      </c>
      <c r="B895" s="6">
        <v>500.0</v>
      </c>
      <c r="C895" s="7" t="s">
        <v>634</v>
      </c>
      <c r="E895" s="8" t="str">
        <f>IFERROR(__xludf.DUMMYFUNCTION("SPLIT(A895,""TX"")"),"Pitchford, Beverly
7422 Midbury Drive
Dallas, ")</f>
        <v>Pitchford, Beverly
7422 Midbury Drive
Dallas, </v>
      </c>
      <c r="F895" s="8">
        <f>IFERROR(__xludf.DUMMYFUNCTION("""COMPUTED_VALUE"""),75230.0)</f>
        <v>75230</v>
      </c>
      <c r="I895" s="8">
        <f t="shared" si="9"/>
        <v>75230</v>
      </c>
      <c r="J895" s="9">
        <f>IFERROR(__xludf.DUMMYFUNCTION("SPLIT(I895,""-"")"),75230.0)</f>
        <v>75230</v>
      </c>
    </row>
    <row r="896">
      <c r="A896" s="5" t="s">
        <v>854</v>
      </c>
      <c r="B896" s="6">
        <v>100.0</v>
      </c>
      <c r="C896" s="7" t="s">
        <v>634</v>
      </c>
      <c r="E896" s="8" t="str">
        <f>IFERROR(__xludf.DUMMYFUNCTION("SPLIT(A896,""TX"")"),"Pollman, Cheryl
1239 Waterside Circle
Dallas, ")</f>
        <v>Pollman, Cheryl
1239 Waterside Circle
Dallas, </v>
      </c>
      <c r="F896" s="8">
        <f>IFERROR(__xludf.DUMMYFUNCTION("""COMPUTED_VALUE"""),75218.0)</f>
        <v>75218</v>
      </c>
      <c r="I896" s="8">
        <f t="shared" si="9"/>
        <v>75218</v>
      </c>
      <c r="J896" s="9">
        <f>IFERROR(__xludf.DUMMYFUNCTION("SPLIT(I896,""-"")"),75218.0)</f>
        <v>75218</v>
      </c>
    </row>
    <row r="897">
      <c r="A897" s="5" t="s">
        <v>855</v>
      </c>
      <c r="B897" s="6">
        <v>25.0</v>
      </c>
      <c r="C897" s="7" t="s">
        <v>634</v>
      </c>
      <c r="E897" s="8" t="str">
        <f>IFERROR(__xludf.DUMMYFUNCTION("SPLIT(A897,""TX"")"),"Polsky, Debra
15221 Berry ")</f>
        <v>Polsky, Debra
15221 Berry </v>
      </c>
      <c r="F897" s="8" t="str">
        <f>IFERROR(__xludf.DUMMYFUNCTION("""COMPUTED_VALUE"""),"rail
Dallas, ")</f>
        <v>rail
Dallas, </v>
      </c>
      <c r="G897" s="8">
        <f>IFERROR(__xludf.DUMMYFUNCTION("""COMPUTED_VALUE"""),75248.0)</f>
        <v>75248</v>
      </c>
      <c r="I897" s="8">
        <f t="shared" si="9"/>
        <v>75248</v>
      </c>
      <c r="J897" s="9">
        <f>IFERROR(__xludf.DUMMYFUNCTION("SPLIT(I897,""-"")"),75248.0)</f>
        <v>75248</v>
      </c>
    </row>
    <row r="898">
      <c r="A898" s="5" t="s">
        <v>855</v>
      </c>
      <c r="B898" s="6">
        <v>25.0</v>
      </c>
      <c r="C898" s="7" t="s">
        <v>634</v>
      </c>
      <c r="E898" s="8" t="str">
        <f>IFERROR(__xludf.DUMMYFUNCTION("SPLIT(A898,""TX"")"),"Polsky, Debra
15221 Berry ")</f>
        <v>Polsky, Debra
15221 Berry </v>
      </c>
      <c r="F898" s="8" t="str">
        <f>IFERROR(__xludf.DUMMYFUNCTION("""COMPUTED_VALUE"""),"rail
Dallas, ")</f>
        <v>rail
Dallas, </v>
      </c>
      <c r="G898" s="8">
        <f>IFERROR(__xludf.DUMMYFUNCTION("""COMPUTED_VALUE"""),75248.0)</f>
        <v>75248</v>
      </c>
      <c r="I898" s="8">
        <f t="shared" si="9"/>
        <v>75248</v>
      </c>
      <c r="J898" s="9">
        <f>IFERROR(__xludf.DUMMYFUNCTION("SPLIT(I898,""-"")"),75248.0)</f>
        <v>75248</v>
      </c>
    </row>
    <row r="899">
      <c r="A899" s="5" t="s">
        <v>856</v>
      </c>
      <c r="B899" s="6">
        <v>500.0</v>
      </c>
      <c r="C899" s="7" t="s">
        <v>634</v>
      </c>
      <c r="E899" s="8" t="str">
        <f>IFERROR(__xludf.DUMMYFUNCTION("SPLIT(A899,""TX"")"),"Raffkind, Julie
6527 Westgate Drive
Dallas, ")</f>
        <v>Raffkind, Julie
6527 Westgate Drive
Dallas, </v>
      </c>
      <c r="F899" s="8">
        <f>IFERROR(__xludf.DUMMYFUNCTION("""COMPUTED_VALUE"""),75254.0)</f>
        <v>75254</v>
      </c>
      <c r="I899" s="8">
        <f t="shared" si="9"/>
        <v>75254</v>
      </c>
      <c r="J899" s="9">
        <f>IFERROR(__xludf.DUMMYFUNCTION("SPLIT(I899,""-"")"),75254.0)</f>
        <v>75254</v>
      </c>
    </row>
    <row r="900">
      <c r="A900" s="5" t="s">
        <v>857</v>
      </c>
      <c r="B900" s="6">
        <v>250.0</v>
      </c>
      <c r="C900" s="7" t="s">
        <v>634</v>
      </c>
      <c r="E900" s="8" t="str">
        <f>IFERROR(__xludf.DUMMYFUNCTION("SPLIT(A900,""TX"")"),"Rahn, Steven
1400 Hi Line Drive
Dallas, ")</f>
        <v>Rahn, Steven
1400 Hi Line Drive
Dallas, </v>
      </c>
      <c r="F900" s="8">
        <f>IFERROR(__xludf.DUMMYFUNCTION("""COMPUTED_VALUE"""),75207.0)</f>
        <v>75207</v>
      </c>
      <c r="I900" s="8">
        <f t="shared" si="9"/>
        <v>75207</v>
      </c>
      <c r="J900" s="9">
        <f>IFERROR(__xludf.DUMMYFUNCTION("SPLIT(I900,""-"")"),75207.0)</f>
        <v>75207</v>
      </c>
    </row>
    <row r="901">
      <c r="A901" s="5" t="s">
        <v>858</v>
      </c>
      <c r="B901" s="6">
        <v>250.0</v>
      </c>
      <c r="C901" s="7" t="s">
        <v>634</v>
      </c>
      <c r="E901" s="8" t="str">
        <f>IFERROR(__xludf.DUMMYFUNCTION("SPLIT(A901,""TX"")"),"Rampey, ")</f>
        <v>Rampey, </v>
      </c>
      <c r="F901" s="8" t="str">
        <f>IFERROR(__xludf.DUMMYFUNCTION("""COMPUTED_VALUE"""),"homas
6560 ")</f>
        <v>homas
6560 </v>
      </c>
      <c r="G901" s="8" t="str">
        <f>IFERROR(__xludf.DUMMYFUNCTION("""COMPUTED_VALUE"""),"urner Way
Dallas, ")</f>
        <v>urner Way
Dallas, </v>
      </c>
      <c r="H901" s="8">
        <f>IFERROR(__xludf.DUMMYFUNCTION("""COMPUTED_VALUE"""),75230.0)</f>
        <v>75230</v>
      </c>
      <c r="I901" s="13">
        <v>75230.0</v>
      </c>
      <c r="J901" s="9">
        <f>IFERROR(__xludf.DUMMYFUNCTION("SPLIT(I901,""-"")"),75230.0)</f>
        <v>75230</v>
      </c>
    </row>
    <row r="902">
      <c r="A902" s="5" t="s">
        <v>859</v>
      </c>
      <c r="B902" s="6">
        <v>50.0</v>
      </c>
      <c r="C902" s="7" t="s">
        <v>634</v>
      </c>
      <c r="E902" s="8" t="str">
        <f>IFERROR(__xludf.DUMMYFUNCTION("SPLIT(A902,""TX"")"),"Redifer, Patricia
14105 Regency Place
Dallas, ")</f>
        <v>Redifer, Patricia
14105 Regency Place
Dallas, </v>
      </c>
      <c r="F902" s="8">
        <f>IFERROR(__xludf.DUMMYFUNCTION("""COMPUTED_VALUE"""),75254.0)</f>
        <v>75254</v>
      </c>
      <c r="I902" s="8">
        <f t="shared" ref="I902:I946" si="10">IF(ISBLANK(G902),F902,G902)</f>
        <v>75254</v>
      </c>
      <c r="J902" s="9">
        <f>IFERROR(__xludf.DUMMYFUNCTION("SPLIT(I902,""-"")"),75254.0)</f>
        <v>75254</v>
      </c>
    </row>
    <row r="903">
      <c r="A903" s="5" t="s">
        <v>860</v>
      </c>
      <c r="B903" s="6">
        <v>1000.0</v>
      </c>
      <c r="C903" s="7" t="s">
        <v>634</v>
      </c>
      <c r="E903" s="8" t="str">
        <f>IFERROR(__xludf.DUMMYFUNCTION("SPLIT(A903,""TX"")"),"Rich, Bill
7120 Baxtershire Drive
Dallas, ")</f>
        <v>Rich, Bill
7120 Baxtershire Drive
Dallas, </v>
      </c>
      <c r="F903" s="8">
        <f>IFERROR(__xludf.DUMMYFUNCTION("""COMPUTED_VALUE"""),75230.0)</f>
        <v>75230</v>
      </c>
      <c r="I903" s="8">
        <f t="shared" si="10"/>
        <v>75230</v>
      </c>
      <c r="J903" s="9">
        <f>IFERROR(__xludf.DUMMYFUNCTION("SPLIT(I903,""-"")"),75230.0)</f>
        <v>75230</v>
      </c>
    </row>
    <row r="904">
      <c r="A904" s="5" t="s">
        <v>861</v>
      </c>
      <c r="B904" s="6">
        <v>250.0</v>
      </c>
      <c r="C904" s="7" t="s">
        <v>634</v>
      </c>
      <c r="E904" s="8" t="str">
        <f>IFERROR(__xludf.DUMMYFUNCTION("SPLIT(A904,""TX"")"),"Richards, Ernest
5721 Club Oaks Drive
DallasU, ")</f>
        <v>Richards, Ernest
5721 Club Oaks Drive
DallasU, </v>
      </c>
      <c r="F904" s="8">
        <f>IFERROR(__xludf.DUMMYFUNCTION("""COMPUTED_VALUE"""),75248.0)</f>
        <v>75248</v>
      </c>
      <c r="I904" s="8">
        <f t="shared" si="10"/>
        <v>75248</v>
      </c>
      <c r="J904" s="9">
        <f>IFERROR(__xludf.DUMMYFUNCTION("SPLIT(I904,""-"")"),75248.0)</f>
        <v>75248</v>
      </c>
    </row>
    <row r="905">
      <c r="A905" s="5" t="s">
        <v>862</v>
      </c>
      <c r="B905" s="6">
        <v>100.0</v>
      </c>
      <c r="C905" s="7" t="s">
        <v>634</v>
      </c>
      <c r="E905" s="8" t="str">
        <f>IFERROR(__xludf.DUMMYFUNCTION("SPLIT(A905,""TX"")"),"Rieves, Mark
5530 Goodwin Avenue
Dallas, ")</f>
        <v>Rieves, Mark
5530 Goodwin Avenue
Dallas, </v>
      </c>
      <c r="F905" s="8">
        <f>IFERROR(__xludf.DUMMYFUNCTION("""COMPUTED_VALUE"""),75206.0)</f>
        <v>75206</v>
      </c>
      <c r="I905" s="8">
        <f t="shared" si="10"/>
        <v>75206</v>
      </c>
      <c r="J905" s="9">
        <f>IFERROR(__xludf.DUMMYFUNCTION("SPLIT(I905,""-"")"),75206.0)</f>
        <v>75206</v>
      </c>
    </row>
    <row r="906">
      <c r="A906" s="5" t="s">
        <v>863</v>
      </c>
      <c r="B906" s="6">
        <v>1000.0</v>
      </c>
      <c r="C906" s="7" t="s">
        <v>634</v>
      </c>
      <c r="E906" s="8" t="str">
        <f>IFERROR(__xludf.DUMMYFUNCTION("SPLIT(A906,""TX"")"),"Risch, Helen
3540 Colgate Ave.
Dallas, ")</f>
        <v>Risch, Helen
3540 Colgate Ave.
Dallas, </v>
      </c>
      <c r="F906" s="8">
        <f>IFERROR(__xludf.DUMMYFUNCTION("""COMPUTED_VALUE"""),75225.0)</f>
        <v>75225</v>
      </c>
      <c r="I906" s="8">
        <f t="shared" si="10"/>
        <v>75225</v>
      </c>
      <c r="J906" s="9">
        <f>IFERROR(__xludf.DUMMYFUNCTION("SPLIT(I906,""-"")"),75225.0)</f>
        <v>75225</v>
      </c>
    </row>
    <row r="907">
      <c r="A907" s="5" t="s">
        <v>864</v>
      </c>
      <c r="B907" s="6">
        <v>50.0</v>
      </c>
      <c r="C907" s="7" t="s">
        <v>634</v>
      </c>
      <c r="E907" s="8" t="str">
        <f>IFERROR(__xludf.DUMMYFUNCTION("SPLIT(A907,""TX"")"),"Roach, Susan
12328 Brittany Circle
Dallas, ")</f>
        <v>Roach, Susan
12328 Brittany Circle
Dallas, </v>
      </c>
      <c r="F907" s="8">
        <f>IFERROR(__xludf.DUMMYFUNCTION("""COMPUTED_VALUE"""),75230.0)</f>
        <v>75230</v>
      </c>
      <c r="I907" s="8">
        <f t="shared" si="10"/>
        <v>75230</v>
      </c>
      <c r="J907" s="9">
        <f>IFERROR(__xludf.DUMMYFUNCTION("SPLIT(I907,""-"")"),75230.0)</f>
        <v>75230</v>
      </c>
    </row>
    <row r="908">
      <c r="A908" s="5" t="s">
        <v>865</v>
      </c>
      <c r="B908" s="6">
        <v>500.0</v>
      </c>
      <c r="C908" s="7" t="s">
        <v>634</v>
      </c>
      <c r="E908" s="8" t="str">
        <f>IFERROR(__xludf.DUMMYFUNCTION("SPLIT(A908,""TX"")"),"Rosenberg, Gussie
7 Cheltenham Way
Dallas, ")</f>
        <v>Rosenberg, Gussie
7 Cheltenham Way
Dallas, </v>
      </c>
      <c r="F908" s="8">
        <f>IFERROR(__xludf.DUMMYFUNCTION("""COMPUTED_VALUE"""),75230.0)</f>
        <v>75230</v>
      </c>
      <c r="I908" s="8">
        <f t="shared" si="10"/>
        <v>75230</v>
      </c>
      <c r="J908" s="9">
        <f>IFERROR(__xludf.DUMMYFUNCTION("SPLIT(I908,""-"")"),75230.0)</f>
        <v>75230</v>
      </c>
    </row>
    <row r="909">
      <c r="A909" s="5" t="s">
        <v>866</v>
      </c>
      <c r="B909" s="6">
        <v>25.0</v>
      </c>
      <c r="C909" s="7" t="s">
        <v>634</v>
      </c>
      <c r="E909" s="8" t="str">
        <f>IFERROR(__xludf.DUMMYFUNCTION("SPLIT(A909,""TX"")"),"Rubin, Alan
7455 Malabar Lane
Dallas, ")</f>
        <v>Rubin, Alan
7455 Malabar Lane
Dallas, </v>
      </c>
      <c r="F909" s="8">
        <f>IFERROR(__xludf.DUMMYFUNCTION("""COMPUTED_VALUE"""),75230.0)</f>
        <v>75230</v>
      </c>
      <c r="I909" s="8">
        <f t="shared" si="10"/>
        <v>75230</v>
      </c>
      <c r="J909" s="9">
        <f>IFERROR(__xludf.DUMMYFUNCTION("SPLIT(I909,""-"")"),75230.0)</f>
        <v>75230</v>
      </c>
    </row>
    <row r="910">
      <c r="A910" s="5" t="s">
        <v>867</v>
      </c>
      <c r="B910" s="6">
        <v>50.0</v>
      </c>
      <c r="C910" s="7" t="s">
        <v>634</v>
      </c>
      <c r="E910" s="8" t="str">
        <f>IFERROR(__xludf.DUMMYFUNCTION("SPLIT(A910,""TX"")"),"Rubin, Brent
7103 Coronado Ave.
Dallas, ")</f>
        <v>Rubin, Brent
7103 Coronado Ave.
Dallas, </v>
      </c>
      <c r="F910" s="8">
        <f>IFERROR(__xludf.DUMMYFUNCTION("""COMPUTED_VALUE"""),75214.0)</f>
        <v>75214</v>
      </c>
      <c r="I910" s="8">
        <f t="shared" si="10"/>
        <v>75214</v>
      </c>
      <c r="J910" s="9">
        <f>IFERROR(__xludf.DUMMYFUNCTION("SPLIT(I910,""-"")"),75214.0)</f>
        <v>75214</v>
      </c>
    </row>
    <row r="911">
      <c r="A911" s="5" t="s">
        <v>868</v>
      </c>
      <c r="B911" s="6">
        <v>1000.0</v>
      </c>
      <c r="C911" s="7" t="s">
        <v>634</v>
      </c>
      <c r="E911" s="8" t="str">
        <f>IFERROR(__xludf.DUMMYFUNCTION("SPLIT(A911,""TX"")"),"Ryan, Brint
10430 Strait Lane
DALLAS, ")</f>
        <v>Ryan, Brint
10430 Strait Lane
DALLAS, </v>
      </c>
      <c r="F911" s="8">
        <f>IFERROR(__xludf.DUMMYFUNCTION("""COMPUTED_VALUE"""),75380.0)</f>
        <v>75380</v>
      </c>
      <c r="I911" s="8">
        <f t="shared" si="10"/>
        <v>75380</v>
      </c>
      <c r="J911" s="9">
        <f>IFERROR(__xludf.DUMMYFUNCTION("SPLIT(I911,""-"")"),75380.0)</f>
        <v>75380</v>
      </c>
    </row>
    <row r="912">
      <c r="A912" s="5" t="s">
        <v>869</v>
      </c>
      <c r="B912" s="6">
        <v>250.0</v>
      </c>
      <c r="C912" s="7" t="s">
        <v>634</v>
      </c>
      <c r="E912" s="8" t="str">
        <f>IFERROR(__xludf.DUMMYFUNCTION("SPLIT(A912,""TX"")"),"Sacher, David
7225 South Janmar Court
Dallas, ")</f>
        <v>Sacher, David
7225 South Janmar Court
Dallas, </v>
      </c>
      <c r="F912" s="8">
        <f>IFERROR(__xludf.DUMMYFUNCTION("""COMPUTED_VALUE"""),75230.0)</f>
        <v>75230</v>
      </c>
      <c r="I912" s="8">
        <f t="shared" si="10"/>
        <v>75230</v>
      </c>
      <c r="J912" s="9">
        <f>IFERROR(__xludf.DUMMYFUNCTION("SPLIT(I912,""-"")"),75230.0)</f>
        <v>75230</v>
      </c>
    </row>
    <row r="913">
      <c r="A913" s="5" t="s">
        <v>870</v>
      </c>
      <c r="B913" s="6">
        <v>100.0</v>
      </c>
      <c r="C913" s="7" t="s">
        <v>634</v>
      </c>
      <c r="E913" s="8" t="str">
        <f>IFERROR(__xludf.DUMMYFUNCTION("SPLIT(A913,""TX"")"),"Sahuc, Philip
10828 Pagewood Drive
Dallas, ")</f>
        <v>Sahuc, Philip
10828 Pagewood Drive
Dallas, </v>
      </c>
      <c r="F913" s="8">
        <f>IFERROR(__xludf.DUMMYFUNCTION("""COMPUTED_VALUE"""),75230.0)</f>
        <v>75230</v>
      </c>
      <c r="I913" s="8">
        <f t="shared" si="10"/>
        <v>75230</v>
      </c>
      <c r="J913" s="9">
        <f>IFERROR(__xludf.DUMMYFUNCTION("SPLIT(I913,""-"")"),75230.0)</f>
        <v>75230</v>
      </c>
    </row>
    <row r="914">
      <c r="A914" s="5" t="s">
        <v>871</v>
      </c>
      <c r="B914" s="6">
        <v>100.0</v>
      </c>
      <c r="C914" s="7" t="s">
        <v>634</v>
      </c>
      <c r="E914" s="8" t="str">
        <f>IFERROR(__xludf.DUMMYFUNCTION("SPLIT(A914,""TX"")"),"Sample, Susan
11731 Saint Michaels Dr
Dallas, ")</f>
        <v>Sample, Susan
11731 Saint Michaels Dr
Dallas, </v>
      </c>
      <c r="F914" s="8">
        <f>IFERROR(__xludf.DUMMYFUNCTION("""COMPUTED_VALUE"""),75230.0)</f>
        <v>75230</v>
      </c>
      <c r="I914" s="8">
        <f t="shared" si="10"/>
        <v>75230</v>
      </c>
      <c r="J914" s="9">
        <f>IFERROR(__xludf.DUMMYFUNCTION("SPLIT(I914,""-"")"),75230.0)</f>
        <v>75230</v>
      </c>
    </row>
    <row r="915">
      <c r="A915" s="5" t="s">
        <v>872</v>
      </c>
      <c r="B915" s="6">
        <v>50.0</v>
      </c>
      <c r="C915" s="7" t="s">
        <v>634</v>
      </c>
      <c r="E915" s="8" t="str">
        <f>IFERROR(__xludf.DUMMYFUNCTION("SPLIT(A915,""TX"")"),"Sanders, Byron
708 Mayrant Drive
Dallas, ")</f>
        <v>Sanders, Byron
708 Mayrant Drive
Dallas, </v>
      </c>
      <c r="F915" s="8">
        <f>IFERROR(__xludf.DUMMYFUNCTION("""COMPUTED_VALUE"""),75224.0)</f>
        <v>75224</v>
      </c>
      <c r="I915" s="8">
        <f t="shared" si="10"/>
        <v>75224</v>
      </c>
      <c r="J915" s="9">
        <f>IFERROR(__xludf.DUMMYFUNCTION("SPLIT(I915,""-"")"),75224.0)</f>
        <v>75224</v>
      </c>
    </row>
    <row r="916">
      <c r="A916" s="5" t="s">
        <v>873</v>
      </c>
      <c r="B916" s="6">
        <v>500.0</v>
      </c>
      <c r="C916" s="7" t="s">
        <v>634</v>
      </c>
      <c r="E916" s="8" t="str">
        <f>IFERROR(__xludf.DUMMYFUNCTION("SPLIT(A916,""TX"")"),"Schenkel, Pat
614 North Bishop Avenue
Dallas, ")</f>
        <v>Schenkel, Pat
614 North Bishop Avenue
Dallas, </v>
      </c>
      <c r="F916" s="8">
        <f>IFERROR(__xludf.DUMMYFUNCTION("""COMPUTED_VALUE"""),75208.0)</f>
        <v>75208</v>
      </c>
      <c r="I916" s="8">
        <f t="shared" si="10"/>
        <v>75208</v>
      </c>
      <c r="J916" s="9">
        <f>IFERROR(__xludf.DUMMYFUNCTION("SPLIT(I916,""-"")"),75208.0)</f>
        <v>75208</v>
      </c>
    </row>
    <row r="917">
      <c r="A917" s="5" t="s">
        <v>874</v>
      </c>
      <c r="B917" s="6">
        <v>500.0</v>
      </c>
      <c r="C917" s="7" t="s">
        <v>634</v>
      </c>
      <c r="E917" s="8" t="str">
        <f>IFERROR(__xludf.DUMMYFUNCTION("SPLIT(A917,""TX"")"),"Schenkel, Pete
614 North Bishop Avenue
Dallas, ")</f>
        <v>Schenkel, Pete
614 North Bishop Avenue
Dallas, </v>
      </c>
      <c r="F917" s="8">
        <f>IFERROR(__xludf.DUMMYFUNCTION("""COMPUTED_VALUE"""),75208.0)</f>
        <v>75208</v>
      </c>
      <c r="I917" s="8">
        <f t="shared" si="10"/>
        <v>75208</v>
      </c>
      <c r="J917" s="9">
        <f>IFERROR(__xludf.DUMMYFUNCTION("SPLIT(I917,""-"")"),75208.0)</f>
        <v>75208</v>
      </c>
    </row>
    <row r="918">
      <c r="A918" s="5" t="s">
        <v>875</v>
      </c>
      <c r="B918" s="6">
        <v>500.0</v>
      </c>
      <c r="C918" s="7" t="s">
        <v>634</v>
      </c>
      <c r="E918" s="8" t="str">
        <f>IFERROR(__xludf.DUMMYFUNCTION("SPLIT(A918,""TX"")"),"Schildcrout, Andrew
6517 Dykes Way
Dallas, ")</f>
        <v>Schildcrout, Andrew
6517 Dykes Way
Dallas, </v>
      </c>
      <c r="F918" s="8">
        <f>IFERROR(__xludf.DUMMYFUNCTION("""COMPUTED_VALUE"""),75230.0)</f>
        <v>75230</v>
      </c>
      <c r="I918" s="8">
        <f t="shared" si="10"/>
        <v>75230</v>
      </c>
      <c r="J918" s="9">
        <f>IFERROR(__xludf.DUMMYFUNCTION("SPLIT(I918,""-"")"),75230.0)</f>
        <v>75230</v>
      </c>
    </row>
    <row r="919">
      <c r="A919" s="5" t="s">
        <v>413</v>
      </c>
      <c r="B919" s="6">
        <v>250.0</v>
      </c>
      <c r="C919" s="7" t="s">
        <v>634</v>
      </c>
      <c r="E919" s="8" t="str">
        <f>IFERROR(__xludf.DUMMYFUNCTION("SPLIT(A919,""TX"")"),"Schlosser, Rodney
6336 ")</f>
        <v>Schlosser, Rodney
6336 </v>
      </c>
      <c r="F919" s="8" t="str">
        <f>IFERROR(__xludf.DUMMYFUNCTION("""COMPUTED_VALUE"""),"ulip Ln
Dallas, ")</f>
        <v>ulip Ln
Dallas, </v>
      </c>
      <c r="G919" s="8">
        <f>IFERROR(__xludf.DUMMYFUNCTION("""COMPUTED_VALUE"""),75230.0)</f>
        <v>75230</v>
      </c>
      <c r="I919" s="8">
        <f t="shared" si="10"/>
        <v>75230</v>
      </c>
      <c r="J919" s="9">
        <f>IFERROR(__xludf.DUMMYFUNCTION("SPLIT(I919,""-"")"),75230.0)</f>
        <v>75230</v>
      </c>
    </row>
    <row r="920">
      <c r="A920" s="5" t="s">
        <v>876</v>
      </c>
      <c r="B920" s="6">
        <v>50.0</v>
      </c>
      <c r="C920" s="7" t="s">
        <v>634</v>
      </c>
      <c r="E920" s="8" t="str">
        <f>IFERROR(__xludf.DUMMYFUNCTION("SPLIT(A920,""TX"")"),"Schneider, Kathy
14125 Brookridge Circle
Dallas, ")</f>
        <v>Schneider, Kathy
14125 Brookridge Circle
Dallas, </v>
      </c>
      <c r="F920" s="8">
        <f>IFERROR(__xludf.DUMMYFUNCTION("""COMPUTED_VALUE"""),75254.0)</f>
        <v>75254</v>
      </c>
      <c r="I920" s="8">
        <f t="shared" si="10"/>
        <v>75254</v>
      </c>
      <c r="J920" s="9">
        <f>IFERROR(__xludf.DUMMYFUNCTION("SPLIT(I920,""-"")"),75254.0)</f>
        <v>75254</v>
      </c>
    </row>
    <row r="921">
      <c r="A921" s="5" t="s">
        <v>877</v>
      </c>
      <c r="B921" s="6">
        <v>1000.0</v>
      </c>
      <c r="C921" s="7" t="s">
        <v>634</v>
      </c>
      <c r="E921" s="8" t="str">
        <f>IFERROR(__xludf.DUMMYFUNCTION("SPLIT(A921,""TX"")"),"Schrupp, Elizabeth
6223 Lavendate Ave
Dallas, ")</f>
        <v>Schrupp, Elizabeth
6223 Lavendate Ave
Dallas, </v>
      </c>
      <c r="F921" s="8">
        <f>IFERROR(__xludf.DUMMYFUNCTION("""COMPUTED_VALUE"""),75230.0)</f>
        <v>75230</v>
      </c>
      <c r="I921" s="8">
        <f t="shared" si="10"/>
        <v>75230</v>
      </c>
      <c r="J921" s="9">
        <f>IFERROR(__xludf.DUMMYFUNCTION("SPLIT(I921,""-"")"),75230.0)</f>
        <v>75230</v>
      </c>
    </row>
    <row r="922">
      <c r="A922" s="5" t="s">
        <v>878</v>
      </c>
      <c r="B922" s="6">
        <v>50.0</v>
      </c>
      <c r="C922" s="7" t="s">
        <v>634</v>
      </c>
      <c r="E922" s="8" t="str">
        <f>IFERROR(__xludf.DUMMYFUNCTION("SPLIT(A922,""TX"")"),"Seldin, Ellen
11525 Saint Michaels Drive
Dallas, ")</f>
        <v>Seldin, Ellen
11525 Saint Michaels Drive
Dallas, </v>
      </c>
      <c r="F922" s="8">
        <f>IFERROR(__xludf.DUMMYFUNCTION("""COMPUTED_VALUE"""),75230.0)</f>
        <v>75230</v>
      </c>
      <c r="I922" s="8">
        <f t="shared" si="10"/>
        <v>75230</v>
      </c>
      <c r="J922" s="9">
        <f>IFERROR(__xludf.DUMMYFUNCTION("SPLIT(I922,""-"")"),75230.0)</f>
        <v>75230</v>
      </c>
    </row>
    <row r="923">
      <c r="A923" s="5" t="s">
        <v>878</v>
      </c>
      <c r="B923" s="6">
        <v>100.0</v>
      </c>
      <c r="C923" s="7" t="s">
        <v>634</v>
      </c>
      <c r="E923" s="8" t="str">
        <f>IFERROR(__xludf.DUMMYFUNCTION("SPLIT(A923,""TX"")"),"Seldin, Ellen
11525 Saint Michaels Drive
Dallas, ")</f>
        <v>Seldin, Ellen
11525 Saint Michaels Drive
Dallas, </v>
      </c>
      <c r="F923" s="8">
        <f>IFERROR(__xludf.DUMMYFUNCTION("""COMPUTED_VALUE"""),75230.0)</f>
        <v>75230</v>
      </c>
      <c r="I923" s="8">
        <f t="shared" si="10"/>
        <v>75230</v>
      </c>
      <c r="J923" s="9">
        <f>IFERROR(__xludf.DUMMYFUNCTION("SPLIT(I923,""-"")"),75230.0)</f>
        <v>75230</v>
      </c>
    </row>
    <row r="924">
      <c r="A924" s="5" t="s">
        <v>879</v>
      </c>
      <c r="B924" s="6">
        <v>100.0</v>
      </c>
      <c r="C924" s="7" t="s">
        <v>634</v>
      </c>
      <c r="E924" s="8" t="str">
        <f>IFERROR(__xludf.DUMMYFUNCTION("SPLIT(A924,""TX"")"),"Seymour, Jeffrey
7806 Yamini Drive
Dallas, ")</f>
        <v>Seymour, Jeffrey
7806 Yamini Drive
Dallas, </v>
      </c>
      <c r="F924" s="8">
        <f>IFERROR(__xludf.DUMMYFUNCTION("""COMPUTED_VALUE"""),75230.0)</f>
        <v>75230</v>
      </c>
      <c r="I924" s="8">
        <f t="shared" si="10"/>
        <v>75230</v>
      </c>
      <c r="J924" s="9">
        <f>IFERROR(__xludf.DUMMYFUNCTION("SPLIT(I924,""-"")"),75230.0)</f>
        <v>75230</v>
      </c>
    </row>
    <row r="925">
      <c r="A925" s="5" t="s">
        <v>880</v>
      </c>
      <c r="B925" s="6">
        <v>500.0</v>
      </c>
      <c r="C925" s="7" t="s">
        <v>634</v>
      </c>
      <c r="E925" s="8" t="str">
        <f>IFERROR(__xludf.DUMMYFUNCTION("SPLIT(A925,""TX"")"),"Simmons, Lisa
9750 Hollow Way Road
Dallas, ")</f>
        <v>Simmons, Lisa
9750 Hollow Way Road
Dallas, </v>
      </c>
      <c r="F925" s="8">
        <f>IFERROR(__xludf.DUMMYFUNCTION("""COMPUTED_VALUE"""),75220.0)</f>
        <v>75220</v>
      </c>
      <c r="I925" s="8">
        <f t="shared" si="10"/>
        <v>75220</v>
      </c>
      <c r="J925" s="9">
        <f>IFERROR(__xludf.DUMMYFUNCTION("SPLIT(I925,""-"")"),75220.0)</f>
        <v>75220</v>
      </c>
    </row>
    <row r="926">
      <c r="A926" s="5" t="s">
        <v>881</v>
      </c>
      <c r="B926" s="6">
        <v>500.0</v>
      </c>
      <c r="C926" s="7" t="s">
        <v>634</v>
      </c>
      <c r="E926" s="8" t="str">
        <f>IFERROR(__xludf.DUMMYFUNCTION("SPLIT(A926,""TX"")"),"Sims, Mike
6121 Lavendale
Dallas, ")</f>
        <v>Sims, Mike
6121 Lavendale
Dallas, </v>
      </c>
      <c r="F926" s="8">
        <f>IFERROR(__xludf.DUMMYFUNCTION("""COMPUTED_VALUE"""),75230.0)</f>
        <v>75230</v>
      </c>
      <c r="I926" s="8">
        <f t="shared" si="10"/>
        <v>75230</v>
      </c>
      <c r="J926" s="9">
        <f>IFERROR(__xludf.DUMMYFUNCTION("SPLIT(I926,""-"")"),75230.0)</f>
        <v>75230</v>
      </c>
    </row>
    <row r="927">
      <c r="A927" s="5" t="s">
        <v>882</v>
      </c>
      <c r="B927" s="6">
        <v>250.0</v>
      </c>
      <c r="C927" s="7" t="s">
        <v>634</v>
      </c>
      <c r="E927" s="8" t="str">
        <f>IFERROR(__xludf.DUMMYFUNCTION("SPLIT(A927,""TX"")"),"Steinberg, Larry
PO Box 12670
Dallas, ")</f>
        <v>Steinberg, Larry
PO Box 12670
Dallas, </v>
      </c>
      <c r="F927" s="8">
        <f>IFERROR(__xludf.DUMMYFUNCTION("""COMPUTED_VALUE"""),75225.0)</f>
        <v>75225</v>
      </c>
      <c r="I927" s="8">
        <f t="shared" si="10"/>
        <v>75225</v>
      </c>
      <c r="J927" s="9">
        <f>IFERROR(__xludf.DUMMYFUNCTION("SPLIT(I927,""-"")"),75225.0)</f>
        <v>75225</v>
      </c>
    </row>
    <row r="928">
      <c r="A928" s="5" t="s">
        <v>883</v>
      </c>
      <c r="B928" s="6">
        <v>250.0</v>
      </c>
      <c r="C928" s="7" t="s">
        <v>634</v>
      </c>
      <c r="E928" s="8" t="str">
        <f>IFERROR(__xludf.DUMMYFUNCTION("SPLIT(A928,""TX"")"),"Steinborn, Vivian
PO Box 670265
Dallas, ")</f>
        <v>Steinborn, Vivian
PO Box 670265
Dallas, </v>
      </c>
      <c r="F928" s="8">
        <f>IFERROR(__xludf.DUMMYFUNCTION("""COMPUTED_VALUE"""),75367.0)</f>
        <v>75367</v>
      </c>
      <c r="I928" s="8">
        <f t="shared" si="10"/>
        <v>75367</v>
      </c>
      <c r="J928" s="9">
        <f>IFERROR(__xludf.DUMMYFUNCTION("SPLIT(I928,""-"")"),75367.0)</f>
        <v>75367</v>
      </c>
    </row>
    <row r="929">
      <c r="A929" s="5" t="s">
        <v>884</v>
      </c>
      <c r="B929" s="6">
        <v>500.0</v>
      </c>
      <c r="C929" s="7" t="s">
        <v>634</v>
      </c>
      <c r="E929" s="8" t="str">
        <f>IFERROR(__xludf.DUMMYFUNCTION("SPLIT(A929,""TX"")"),"Steinfield, David
11603 High Forest Drive
Dallas, ")</f>
        <v>Steinfield, David
11603 High Forest Drive
Dallas, </v>
      </c>
      <c r="F929" s="8">
        <f>IFERROR(__xludf.DUMMYFUNCTION("""COMPUTED_VALUE"""),75230.0)</f>
        <v>75230</v>
      </c>
      <c r="I929" s="8">
        <f t="shared" si="10"/>
        <v>75230</v>
      </c>
      <c r="J929" s="9">
        <f>IFERROR(__xludf.DUMMYFUNCTION("SPLIT(I929,""-"")"),75230.0)</f>
        <v>75230</v>
      </c>
    </row>
    <row r="930">
      <c r="A930" s="5" t="s">
        <v>885</v>
      </c>
      <c r="B930" s="6">
        <v>10.0</v>
      </c>
      <c r="C930" s="7" t="s">
        <v>634</v>
      </c>
      <c r="E930" s="8" t="str">
        <f>IFERROR(__xludf.DUMMYFUNCTION("SPLIT(A930,""TX"")"),"Steinfink, Dan
7309 Yamini
Dallas, ")</f>
        <v>Steinfink, Dan
7309 Yamini
Dallas, </v>
      </c>
      <c r="F930" s="8">
        <f>IFERROR(__xludf.DUMMYFUNCTION("""COMPUTED_VALUE"""),75230.0)</f>
        <v>75230</v>
      </c>
      <c r="I930" s="8">
        <f t="shared" si="10"/>
        <v>75230</v>
      </c>
      <c r="J930" s="9">
        <f>IFERROR(__xludf.DUMMYFUNCTION("SPLIT(I930,""-"")"),75230.0)</f>
        <v>75230</v>
      </c>
    </row>
    <row r="931">
      <c r="A931" s="5" t="s">
        <v>886</v>
      </c>
      <c r="B931" s="6">
        <v>1000.0</v>
      </c>
      <c r="C931" s="7" t="s">
        <v>634</v>
      </c>
      <c r="E931" s="8" t="str">
        <f>IFERROR(__xludf.DUMMYFUNCTION("SPLIT(A931,""TX"")"),"Steinhart, Phyllis
25 Robledo Drive
Dallas, ")</f>
        <v>Steinhart, Phyllis
25 Robledo Drive
Dallas, </v>
      </c>
      <c r="F931" s="8">
        <f>IFERROR(__xludf.DUMMYFUNCTION("""COMPUTED_VALUE"""),75230.0)</f>
        <v>75230</v>
      </c>
      <c r="I931" s="8">
        <f t="shared" si="10"/>
        <v>75230</v>
      </c>
      <c r="J931" s="9">
        <f>IFERROR(__xludf.DUMMYFUNCTION("SPLIT(I931,""-"")"),75230.0)</f>
        <v>75230</v>
      </c>
    </row>
    <row r="932">
      <c r="A932" s="5" t="s">
        <v>887</v>
      </c>
      <c r="B932" s="6">
        <v>250.0</v>
      </c>
      <c r="C932" s="7" t="s">
        <v>634</v>
      </c>
      <c r="E932" s="8" t="str">
        <f>IFERROR(__xludf.DUMMYFUNCTION("SPLIT(A932,""TX"")"),"Suhler, Jayne
12054 Lueders Lane
Dallas, ")</f>
        <v>Suhler, Jayne
12054 Lueders Lane
Dallas, </v>
      </c>
      <c r="F932" s="8">
        <f>IFERROR(__xludf.DUMMYFUNCTION("""COMPUTED_VALUE"""),75230.0)</f>
        <v>75230</v>
      </c>
      <c r="I932" s="8">
        <f t="shared" si="10"/>
        <v>75230</v>
      </c>
      <c r="J932" s="9">
        <f>IFERROR(__xludf.DUMMYFUNCTION("SPLIT(I932,""-"")"),75230.0)</f>
        <v>75230</v>
      </c>
    </row>
    <row r="933">
      <c r="A933" s="5" t="s">
        <v>888</v>
      </c>
      <c r="B933" s="6">
        <v>200.0</v>
      </c>
      <c r="C933" s="7" t="s">
        <v>634</v>
      </c>
      <c r="E933" s="8" t="str">
        <f>IFERROR(__xludf.DUMMYFUNCTION("SPLIT(A933,""TX"")"),"Susman, Joan
6227 ")</f>
        <v>Susman, Joan
6227 </v>
      </c>
      <c r="F933" s="8" t="str">
        <f>IFERROR(__xludf.DUMMYFUNCTION("""COMPUTED_VALUE"""),"win Oaks Cir
Dallas, ")</f>
        <v>win Oaks Cir
Dallas, </v>
      </c>
      <c r="G933" s="8">
        <f>IFERROR(__xludf.DUMMYFUNCTION("""COMPUTED_VALUE"""),75240.0)</f>
        <v>75240</v>
      </c>
      <c r="I933" s="8">
        <f t="shared" si="10"/>
        <v>75240</v>
      </c>
      <c r="J933" s="9">
        <f>IFERROR(__xludf.DUMMYFUNCTION("SPLIT(I933,""-"")"),75240.0)</f>
        <v>75240</v>
      </c>
    </row>
    <row r="934">
      <c r="A934" s="5" t="s">
        <v>889</v>
      </c>
      <c r="B934" s="6">
        <v>500.0</v>
      </c>
      <c r="C934" s="7" t="s">
        <v>634</v>
      </c>
      <c r="E934" s="8" t="str">
        <f>IFERROR(__xludf.DUMMYFUNCTION("SPLIT(A934,""TX"")"),"olmas, Alan
6009 Oakcrest Road
Dallas, ")</f>
        <v>olmas, Alan
6009 Oakcrest Road
Dallas, </v>
      </c>
      <c r="F934" s="8">
        <f>IFERROR(__xludf.DUMMYFUNCTION("""COMPUTED_VALUE"""),75248.0)</f>
        <v>75248</v>
      </c>
      <c r="I934" s="8">
        <f t="shared" si="10"/>
        <v>75248</v>
      </c>
      <c r="J934" s="9">
        <f>IFERROR(__xludf.DUMMYFUNCTION("SPLIT(I934,""-"")"),75248.0)</f>
        <v>75248</v>
      </c>
    </row>
    <row r="935">
      <c r="A935" s="5" t="s">
        <v>890</v>
      </c>
      <c r="B935" s="6">
        <v>500.0</v>
      </c>
      <c r="C935" s="7" t="s">
        <v>634</v>
      </c>
      <c r="E935" s="8" t="str">
        <f>IFERROR(__xludf.DUMMYFUNCTION("SPLIT(A935,""TX"")"),"onti, Barbara
10310 Woodford Drive
Dallas, ")</f>
        <v>onti, Barbara
10310 Woodford Drive
Dallas, </v>
      </c>
      <c r="F935" s="8">
        <f>IFERROR(__xludf.DUMMYFUNCTION("""COMPUTED_VALUE"""),75229.0)</f>
        <v>75229</v>
      </c>
      <c r="I935" s="8">
        <f t="shared" si="10"/>
        <v>75229</v>
      </c>
      <c r="J935" s="9">
        <f>IFERROR(__xludf.DUMMYFUNCTION("SPLIT(I935,""-"")"),75229.0)</f>
        <v>75229</v>
      </c>
    </row>
    <row r="936">
      <c r="A936" s="5" t="s">
        <v>891</v>
      </c>
      <c r="B936" s="6">
        <v>100.0</v>
      </c>
      <c r="C936" s="7" t="s">
        <v>634</v>
      </c>
      <c r="E936" s="8" t="str">
        <f>IFERROR(__xludf.DUMMYFUNCTION("SPLIT(A936,""TX"")"),"Unterberg, Maddy
43 Downs Lake Circle
Dallas, ")</f>
        <v>Unterberg, Maddy
43 Downs Lake Circle
Dallas, </v>
      </c>
      <c r="F936" s="8">
        <f>IFERROR(__xludf.DUMMYFUNCTION("""COMPUTED_VALUE"""),75230.0)</f>
        <v>75230</v>
      </c>
      <c r="I936" s="8">
        <f t="shared" si="10"/>
        <v>75230</v>
      </c>
      <c r="J936" s="9">
        <f>IFERROR(__xludf.DUMMYFUNCTION("SPLIT(I936,""-"")"),75230.0)</f>
        <v>75230</v>
      </c>
    </row>
    <row r="937">
      <c r="A937" s="5" t="s">
        <v>892</v>
      </c>
      <c r="B937" s="6">
        <v>100.0</v>
      </c>
      <c r="C937" s="7" t="s">
        <v>634</v>
      </c>
      <c r="E937" s="8" t="str">
        <f>IFERROR(__xludf.DUMMYFUNCTION("SPLIT(A937,""TX"")"),"Vaiser, Rebecca
5200 Keller Springs Road
Dallas, ")</f>
        <v>Vaiser, Rebecca
5200 Keller Springs Road
Dallas, </v>
      </c>
      <c r="F937" s="8">
        <f>IFERROR(__xludf.DUMMYFUNCTION("""COMPUTED_VALUE"""),75248.0)</f>
        <v>75248</v>
      </c>
      <c r="I937" s="8">
        <f t="shared" si="10"/>
        <v>75248</v>
      </c>
      <c r="J937" s="9">
        <f>IFERROR(__xludf.DUMMYFUNCTION("SPLIT(I937,""-"")"),75248.0)</f>
        <v>75248</v>
      </c>
    </row>
    <row r="938">
      <c r="A938" s="5" t="s">
        <v>893</v>
      </c>
      <c r="B938" s="6">
        <v>450.0</v>
      </c>
      <c r="C938" s="7" t="s">
        <v>634</v>
      </c>
      <c r="E938" s="8" t="str">
        <f>IFERROR(__xludf.DUMMYFUNCTION("SPLIT(A938,""TX"")"),"Waldman, Kevin
50 Clayton Street
San Francisco, CA 94117")</f>
        <v>Waldman, Kevin
50 Clayton Street
San Francisco, CA 94117</v>
      </c>
      <c r="I938" s="8" t="str">
        <f t="shared" si="10"/>
        <v/>
      </c>
      <c r="J938" s="9" t="str">
        <f>IFERROR(__xludf.DUMMYFUNCTION("SPLIT(I938,""-"")"),"#VALUE!")</f>
        <v>#VALUE!</v>
      </c>
    </row>
    <row r="939">
      <c r="A939" s="5" t="s">
        <v>894</v>
      </c>
      <c r="B939" s="6">
        <v>1000.0</v>
      </c>
      <c r="C939" s="7" t="s">
        <v>634</v>
      </c>
      <c r="E939" s="8" t="str">
        <f>IFERROR(__xludf.DUMMYFUNCTION("SPLIT(A939,""TX"")"),"Waldman, Jackie
7729 Yamini Drive
Dallas, ")</f>
        <v>Waldman, Jackie
7729 Yamini Drive
Dallas, </v>
      </c>
      <c r="F939" s="8">
        <f>IFERROR(__xludf.DUMMYFUNCTION("""COMPUTED_VALUE"""),75230.0)</f>
        <v>75230</v>
      </c>
      <c r="I939" s="8">
        <f t="shared" si="10"/>
        <v>75230</v>
      </c>
      <c r="J939" s="9">
        <f>IFERROR(__xludf.DUMMYFUNCTION("SPLIT(I939,""-"")"),75230.0)</f>
        <v>75230</v>
      </c>
    </row>
    <row r="940">
      <c r="A940" s="5" t="s">
        <v>895</v>
      </c>
      <c r="B940" s="6">
        <v>100.0</v>
      </c>
      <c r="C940" s="7" t="s">
        <v>634</v>
      </c>
      <c r="E940" s="8" t="str">
        <f>IFERROR(__xludf.DUMMYFUNCTION("SPLIT(A940,""TX"")"),"Waldman, Helen
17005 Preston Bend Drive
Dallas, ")</f>
        <v>Waldman, Helen
17005 Preston Bend Drive
Dallas, </v>
      </c>
      <c r="F940" s="8">
        <f>IFERROR(__xludf.DUMMYFUNCTION("""COMPUTED_VALUE"""),75248.0)</f>
        <v>75248</v>
      </c>
      <c r="I940" s="8">
        <f t="shared" si="10"/>
        <v>75248</v>
      </c>
      <c r="J940" s="9">
        <f>IFERROR(__xludf.DUMMYFUNCTION("SPLIT(I940,""-"")"),75248.0)</f>
        <v>75248</v>
      </c>
    </row>
    <row r="941">
      <c r="A941" s="5" t="s">
        <v>896</v>
      </c>
      <c r="B941" s="6">
        <v>500.0</v>
      </c>
      <c r="C941" s="7" t="s">
        <v>634</v>
      </c>
      <c r="E941" s="8" t="str">
        <f>IFERROR(__xludf.DUMMYFUNCTION("SPLIT(A941,""TX"")"),"Wasserman, ")</f>
        <v>Wasserman, </v>
      </c>
      <c r="F941" s="8" t="str">
        <f>IFERROR(__xludf.DUMMYFUNCTION("""COMPUTED_VALUE"""),"ina
7153 Lavendale
Dallas, ")</f>
        <v>ina
7153 Lavendale
Dallas, </v>
      </c>
      <c r="G941" s="8">
        <f>IFERROR(__xludf.DUMMYFUNCTION("""COMPUTED_VALUE"""),75240.0)</f>
        <v>75240</v>
      </c>
      <c r="I941" s="8">
        <f t="shared" si="10"/>
        <v>75240</v>
      </c>
      <c r="J941" s="9">
        <f>IFERROR(__xludf.DUMMYFUNCTION("SPLIT(I941,""-"")"),75240.0)</f>
        <v>75240</v>
      </c>
    </row>
    <row r="942">
      <c r="A942" s="5" t="s">
        <v>897</v>
      </c>
      <c r="B942" s="6">
        <v>50.0</v>
      </c>
      <c r="C942" s="7" t="s">
        <v>634</v>
      </c>
      <c r="E942" s="8" t="str">
        <f>IFERROR(__xludf.DUMMYFUNCTION("SPLIT(A942,""TX"")"),"Webb, Peter
PO Box 237013
New York, NY 10023")</f>
        <v>Webb, Peter
PO Box 237013
New York, NY 10023</v>
      </c>
      <c r="I942" s="8" t="str">
        <f t="shared" si="10"/>
        <v/>
      </c>
      <c r="J942" s="9" t="str">
        <f>IFERROR(__xludf.DUMMYFUNCTION("SPLIT(I942,""-"")"),"#VALUE!")</f>
        <v>#VALUE!</v>
      </c>
    </row>
    <row r="943">
      <c r="A943" s="5" t="s">
        <v>898</v>
      </c>
      <c r="B943" s="6">
        <v>100.0</v>
      </c>
      <c r="C943" s="7" t="s">
        <v>634</v>
      </c>
      <c r="E943" s="8" t="str">
        <f>IFERROR(__xludf.DUMMYFUNCTION("SPLIT(A943,""TX"")"),"Weber, Angela
6007 Meadow Crest Drive
Dallas, ")</f>
        <v>Weber, Angela
6007 Meadow Crest Drive
Dallas, </v>
      </c>
      <c r="F943" s="8">
        <f>IFERROR(__xludf.DUMMYFUNCTION("""COMPUTED_VALUE"""),75230.0)</f>
        <v>75230</v>
      </c>
      <c r="I943" s="8">
        <f t="shared" si="10"/>
        <v>75230</v>
      </c>
      <c r="J943" s="9">
        <f>IFERROR(__xludf.DUMMYFUNCTION("SPLIT(I943,""-"")"),75230.0)</f>
        <v>75230</v>
      </c>
    </row>
    <row r="944">
      <c r="A944" s="5" t="s">
        <v>899</v>
      </c>
      <c r="B944" s="6">
        <v>118.0</v>
      </c>
      <c r="C944" s="7" t="s">
        <v>634</v>
      </c>
      <c r="E944" s="8" t="str">
        <f>IFERROR(__xludf.DUMMYFUNCTION("SPLIT(A944,""TX"")"),"Weinstein, Andrea
10815 Branch Oaks Circle
Dallas, ")</f>
        <v>Weinstein, Andrea
10815 Branch Oaks Circle
Dallas, </v>
      </c>
      <c r="F944" s="8">
        <f>IFERROR(__xludf.DUMMYFUNCTION("""COMPUTED_VALUE"""),75230.0)</f>
        <v>75230</v>
      </c>
      <c r="I944" s="8">
        <f t="shared" si="10"/>
        <v>75230</v>
      </c>
      <c r="J944" s="9">
        <f>IFERROR(__xludf.DUMMYFUNCTION("SPLIT(I944,""-"")"),75230.0)</f>
        <v>75230</v>
      </c>
    </row>
    <row r="945">
      <c r="A945" s="5" t="s">
        <v>900</v>
      </c>
      <c r="B945" s="6">
        <v>50.0</v>
      </c>
      <c r="C945" s="7" t="s">
        <v>634</v>
      </c>
      <c r="E945" s="8" t="str">
        <f>IFERROR(__xludf.DUMMYFUNCTION("SPLIT(A945,""TX"")"),"Weisbrod, Carl
5615 Meadowcrest Dr
Dallas, ")</f>
        <v>Weisbrod, Carl
5615 Meadowcrest Dr
Dallas, </v>
      </c>
      <c r="F945" s="8">
        <f>IFERROR(__xludf.DUMMYFUNCTION("""COMPUTED_VALUE"""),75230.0)</f>
        <v>75230</v>
      </c>
      <c r="I945" s="8">
        <f t="shared" si="10"/>
        <v>75230</v>
      </c>
      <c r="J945" s="9">
        <f>IFERROR(__xludf.DUMMYFUNCTION("SPLIT(I945,""-"")"),75230.0)</f>
        <v>75230</v>
      </c>
    </row>
    <row r="946">
      <c r="A946" s="5" t="s">
        <v>901</v>
      </c>
      <c r="B946" s="6">
        <v>500.0</v>
      </c>
      <c r="C946" s="7" t="s">
        <v>634</v>
      </c>
      <c r="E946" s="8" t="str">
        <f>IFERROR(__xludf.DUMMYFUNCTION("SPLIT(A946,""TX"")"),"Weisfeld, Ronald
3409 Saint Johns Drive
Dallas, ")</f>
        <v>Weisfeld, Ronald
3409 Saint Johns Drive
Dallas, </v>
      </c>
      <c r="F946" s="8">
        <f>IFERROR(__xludf.DUMMYFUNCTION("""COMPUTED_VALUE"""),75205.0)</f>
        <v>75205</v>
      </c>
      <c r="I946" s="8">
        <f t="shared" si="10"/>
        <v>75205</v>
      </c>
      <c r="J946" s="9">
        <f>IFERROR(__xludf.DUMMYFUNCTION("SPLIT(I946,""-"")"),75205.0)</f>
        <v>75205</v>
      </c>
    </row>
    <row r="947">
      <c r="A947" s="5" t="s">
        <v>902</v>
      </c>
      <c r="B947" s="6">
        <v>50.0</v>
      </c>
      <c r="C947" s="7" t="s">
        <v>634</v>
      </c>
      <c r="E947" s="8" t="str">
        <f>IFERROR(__xludf.DUMMYFUNCTION("SPLIT(A947,""TX"")"),"whittenvile, sheldon
809 Cherry Laurel Court
Nashville, ")</f>
        <v>whittenvile, sheldon
809 Cherry Laurel Court
Nashville, </v>
      </c>
      <c r="F947" s="8" t="str">
        <f>IFERROR(__xludf.DUMMYFUNCTION("""COMPUTED_VALUE"""),"N 37215")</f>
        <v>N 37215</v>
      </c>
      <c r="J947" s="9" t="str">
        <f>IFERROR(__xludf.DUMMYFUNCTION("SPLIT(I947,""-"")"),"#VALUE!")</f>
        <v>#VALUE!</v>
      </c>
    </row>
    <row r="948">
      <c r="A948" s="5" t="s">
        <v>903</v>
      </c>
      <c r="B948" s="6">
        <v>50.0</v>
      </c>
      <c r="C948" s="7" t="s">
        <v>634</v>
      </c>
      <c r="E948" s="8" t="str">
        <f>IFERROR(__xludf.DUMMYFUNCTION("SPLIT(A948,""TX"")"),"Wigder, Carol
7147 Hunters Ridge Dr
Dallas, ")</f>
        <v>Wigder, Carol
7147 Hunters Ridge Dr
Dallas, </v>
      </c>
      <c r="F948" s="8">
        <f>IFERROR(__xludf.DUMMYFUNCTION("""COMPUTED_VALUE"""),75248.0)</f>
        <v>75248</v>
      </c>
      <c r="I948" s="8">
        <f t="shared" ref="I948:I959" si="11">IF(ISBLANK(G948),F948,G948)</f>
        <v>75248</v>
      </c>
      <c r="J948" s="9">
        <f>IFERROR(__xludf.DUMMYFUNCTION("SPLIT(I948,""-"")"),75248.0)</f>
        <v>75248</v>
      </c>
    </row>
    <row r="949">
      <c r="A949" s="5" t="s">
        <v>904</v>
      </c>
      <c r="B949" s="6">
        <v>100.0</v>
      </c>
      <c r="C949" s="7" t="s">
        <v>634</v>
      </c>
      <c r="E949" s="8" t="str">
        <f>IFERROR(__xludf.DUMMYFUNCTION("SPLIT(A949,""TX"")"),"Wilkofsky, Susan
11651 Hillcrest Rd.
Dallas, ")</f>
        <v>Wilkofsky, Susan
11651 Hillcrest Rd.
Dallas, </v>
      </c>
      <c r="F949" s="8">
        <f>IFERROR(__xludf.DUMMYFUNCTION("""COMPUTED_VALUE"""),75230.0)</f>
        <v>75230</v>
      </c>
      <c r="I949" s="8">
        <f t="shared" si="11"/>
        <v>75230</v>
      </c>
      <c r="J949" s="9">
        <f>IFERROR(__xludf.DUMMYFUNCTION("SPLIT(I949,""-"")"),75230.0)</f>
        <v>75230</v>
      </c>
    </row>
    <row r="950">
      <c r="A950" s="5" t="s">
        <v>905</v>
      </c>
      <c r="B950" s="6">
        <v>100.0</v>
      </c>
      <c r="C950" s="7" t="s">
        <v>634</v>
      </c>
      <c r="E950" s="8" t="str">
        <f>IFERROR(__xludf.DUMMYFUNCTION("SPLIT(A950,""TX"")"),"Willard, Carolyn
7132 Helsem Bend Circle
Dallas, ")</f>
        <v>Willard, Carolyn
7132 Helsem Bend Circle
Dallas, </v>
      </c>
      <c r="F950" s="8">
        <f>IFERROR(__xludf.DUMMYFUNCTION("""COMPUTED_VALUE"""),75230.0)</f>
        <v>75230</v>
      </c>
      <c r="I950" s="8">
        <f t="shared" si="11"/>
        <v>75230</v>
      </c>
      <c r="J950" s="9">
        <f>IFERROR(__xludf.DUMMYFUNCTION("SPLIT(I950,""-"")"),75230.0)</f>
        <v>75230</v>
      </c>
    </row>
    <row r="951">
      <c r="A951" s="5" t="s">
        <v>906</v>
      </c>
      <c r="B951" s="6">
        <v>250.0</v>
      </c>
      <c r="C951" s="7" t="s">
        <v>634</v>
      </c>
      <c r="E951" s="8" t="str">
        <f>IFERROR(__xludf.DUMMYFUNCTION("SPLIT(A951,""TX"")"),"Winzenried, Kay
12062 Lueders Lane
Dallas, ")</f>
        <v>Winzenried, Kay
12062 Lueders Lane
Dallas, </v>
      </c>
      <c r="F951" s="8">
        <f>IFERROR(__xludf.DUMMYFUNCTION("""COMPUTED_VALUE"""),75230.0)</f>
        <v>75230</v>
      </c>
      <c r="I951" s="8">
        <f t="shared" si="11"/>
        <v>75230</v>
      </c>
      <c r="J951" s="9">
        <f>IFERROR(__xludf.DUMMYFUNCTION("SPLIT(I951,""-"")"),75230.0)</f>
        <v>75230</v>
      </c>
    </row>
    <row r="952">
      <c r="A952" s="5" t="s">
        <v>907</v>
      </c>
      <c r="B952" s="6">
        <v>50.0</v>
      </c>
      <c r="C952" s="7" t="s">
        <v>634</v>
      </c>
      <c r="E952" s="8" t="str">
        <f>IFERROR(__xludf.DUMMYFUNCTION("SPLIT(A952,""TX"")"),"Wong Krause, Michele
7735 Mullrany Drive
Dallas, ")</f>
        <v>Wong Krause, Michele
7735 Mullrany Drive
Dallas, </v>
      </c>
      <c r="F952" s="8">
        <f>IFERROR(__xludf.DUMMYFUNCTION("""COMPUTED_VALUE"""),75248.0)</f>
        <v>75248</v>
      </c>
      <c r="I952" s="8">
        <f t="shared" si="11"/>
        <v>75248</v>
      </c>
      <c r="J952" s="9">
        <f>IFERROR(__xludf.DUMMYFUNCTION("SPLIT(I952,""-"")"),75248.0)</f>
        <v>75248</v>
      </c>
    </row>
    <row r="953">
      <c r="A953" s="5" t="s">
        <v>908</v>
      </c>
      <c r="B953" s="6">
        <v>100.0</v>
      </c>
      <c r="C953" s="7" t="s">
        <v>634</v>
      </c>
      <c r="E953" s="8" t="str">
        <f>IFERROR(__xludf.DUMMYFUNCTION("SPLIT(A953,""TX"")"),"Wood, Ann
7209 Baxtershire Drive
Dallas, ")</f>
        <v>Wood, Ann
7209 Baxtershire Drive
Dallas, </v>
      </c>
      <c r="F953" s="8">
        <f>IFERROR(__xludf.DUMMYFUNCTION("""COMPUTED_VALUE"""),75230.0)</f>
        <v>75230</v>
      </c>
      <c r="I953" s="8">
        <f t="shared" si="11"/>
        <v>75230</v>
      </c>
      <c r="J953" s="9">
        <f>IFERROR(__xludf.DUMMYFUNCTION("SPLIT(I953,""-"")"),75230.0)</f>
        <v>75230</v>
      </c>
    </row>
    <row r="954">
      <c r="A954" s="5" t="s">
        <v>909</v>
      </c>
      <c r="B954" s="6">
        <v>100.0</v>
      </c>
      <c r="C954" s="7" t="s">
        <v>634</v>
      </c>
      <c r="E954" s="8" t="str">
        <f>IFERROR(__xludf.DUMMYFUNCTION("SPLIT(A954,""TX"")"),"Yonack, Sheryl and Alan
7107 Currin Dr
Dallas, ")</f>
        <v>Yonack, Sheryl and Alan
7107 Currin Dr
Dallas, </v>
      </c>
      <c r="F954" s="8">
        <f>IFERROR(__xludf.DUMMYFUNCTION("""COMPUTED_VALUE"""),75230.0)</f>
        <v>75230</v>
      </c>
      <c r="I954" s="8">
        <f t="shared" si="11"/>
        <v>75230</v>
      </c>
      <c r="J954" s="9">
        <f>IFERROR(__xludf.DUMMYFUNCTION("SPLIT(I954,""-"")"),75230.0)</f>
        <v>75230</v>
      </c>
    </row>
    <row r="955">
      <c r="A955" s="5" t="s">
        <v>910</v>
      </c>
      <c r="B955" s="6">
        <v>250.0</v>
      </c>
      <c r="C955" s="7" t="s">
        <v>634</v>
      </c>
      <c r="E955" s="8" t="str">
        <f>IFERROR(__xludf.DUMMYFUNCTION("SPLIT(A955,""TX"")"),"Zahler, Gerald
8240 Manderville Lane
Dallas, ")</f>
        <v>Zahler, Gerald
8240 Manderville Lane
Dallas, </v>
      </c>
      <c r="F955" s="8">
        <f>IFERROR(__xludf.DUMMYFUNCTION("""COMPUTED_VALUE"""),75231.0)</f>
        <v>75231</v>
      </c>
      <c r="I955" s="8">
        <f t="shared" si="11"/>
        <v>75231</v>
      </c>
      <c r="J955" s="9">
        <f>IFERROR(__xludf.DUMMYFUNCTION("SPLIT(I955,""-"")"),75231.0)</f>
        <v>75231</v>
      </c>
    </row>
    <row r="956">
      <c r="A956" s="5" t="s">
        <v>911</v>
      </c>
      <c r="B956" s="6">
        <v>500.0</v>
      </c>
      <c r="C956" s="7" t="s">
        <v>634</v>
      </c>
      <c r="E956" s="8" t="str">
        <f>IFERROR(__xludf.DUMMYFUNCTION("SPLIT(A956,""TX"")"),"Zahler, Warren
6323 Brookshire Drive
Dallas, ")</f>
        <v>Zahler, Warren
6323 Brookshire Drive
Dallas, </v>
      </c>
      <c r="F956" s="8">
        <f>IFERROR(__xludf.DUMMYFUNCTION("""COMPUTED_VALUE"""),75230.0)</f>
        <v>75230</v>
      </c>
      <c r="I956" s="8">
        <f t="shared" si="11"/>
        <v>75230</v>
      </c>
      <c r="J956" s="9">
        <f>IFERROR(__xludf.DUMMYFUNCTION("SPLIT(I956,""-"")"),75230.0)</f>
        <v>75230</v>
      </c>
    </row>
    <row r="957">
      <c r="A957" s="5" t="s">
        <v>912</v>
      </c>
      <c r="B957" s="6">
        <v>150.0</v>
      </c>
      <c r="C957" s="7" t="s">
        <v>634</v>
      </c>
      <c r="E957" s="8" t="str">
        <f>IFERROR(__xludf.DUMMYFUNCTION("SPLIT(A957,""TX"")"),"Zoller, Kim
PO Box 671282
Dallas, ")</f>
        <v>Zoller, Kim
PO Box 671282
Dallas, </v>
      </c>
      <c r="F957" s="8">
        <f>IFERROR(__xludf.DUMMYFUNCTION("""COMPUTED_VALUE"""),75367.0)</f>
        <v>75367</v>
      </c>
      <c r="I957" s="8">
        <f t="shared" si="11"/>
        <v>75367</v>
      </c>
      <c r="J957" s="9">
        <f>IFERROR(__xludf.DUMMYFUNCTION("SPLIT(I957,""-"")"),75367.0)</f>
        <v>75367</v>
      </c>
    </row>
    <row r="958">
      <c r="A958" s="5" t="s">
        <v>913</v>
      </c>
      <c r="B958" s="6">
        <v>500.0</v>
      </c>
      <c r="C958" s="7" t="s">
        <v>629</v>
      </c>
      <c r="E958" s="8" t="str">
        <f>IFERROR(__xludf.DUMMYFUNCTION("SPLIT(A958,""TX"")"),"Lee, Don
6953 Bella Vista
Irving, ")</f>
        <v>Lee, Don
6953 Bella Vista
Irving, </v>
      </c>
      <c r="F958" s="8">
        <f>IFERROR(__xludf.DUMMYFUNCTION("""COMPUTED_VALUE"""),75039.0)</f>
        <v>75039</v>
      </c>
      <c r="I958" s="8">
        <f t="shared" si="11"/>
        <v>75039</v>
      </c>
      <c r="J958" s="9">
        <f>IFERROR(__xludf.DUMMYFUNCTION("SPLIT(I958,""-"")"),75039.0)</f>
        <v>75039</v>
      </c>
    </row>
    <row r="959">
      <c r="A959" s="10" t="s">
        <v>914</v>
      </c>
      <c r="B959" s="11">
        <v>500.0</v>
      </c>
      <c r="C959" s="12" t="s">
        <v>629</v>
      </c>
      <c r="E959" s="8" t="str">
        <f>IFERROR(__xludf.DUMMYFUNCTION("SPLIT(A959,""TX"")"),"Song, Yang
2402 Oxford Ln
Carrollton, ")</f>
        <v>Song, Yang
2402 Oxford Ln
Carrollton, </v>
      </c>
      <c r="F959" s="8">
        <f>IFERROR(__xludf.DUMMYFUNCTION("""COMPUTED_VALUE"""),75006.0)</f>
        <v>75006</v>
      </c>
      <c r="I959" s="8">
        <f t="shared" si="11"/>
        <v>75006</v>
      </c>
      <c r="J959" s="9">
        <f>IFERROR(__xludf.DUMMYFUNCTION("SPLIT(I959,""-"")"),75006.0)</f>
        <v>75006</v>
      </c>
    </row>
    <row r="960">
      <c r="A960" s="5" t="s">
        <v>915</v>
      </c>
      <c r="B960" s="6">
        <v>500.0</v>
      </c>
      <c r="C960" s="7" t="s">
        <v>629</v>
      </c>
      <c r="E960" s="8" t="str">
        <f>IFERROR(__xludf.DUMMYFUNCTION("SPLIT(A960,""TX"")"),"Wentz, Myong
6617 Autumn ")</f>
        <v>Wentz, Myong
6617 Autumn </v>
      </c>
      <c r="F960" s="8" t="str">
        <f>IFERROR(__xludf.DUMMYFUNCTION("""COMPUTED_VALUE"""),"rail
")</f>
        <v>rail
</v>
      </c>
      <c r="G960" s="8" t="str">
        <f>IFERROR(__xludf.DUMMYFUNCTION("""COMPUTED_VALUE"""),"he Colony, ")</f>
        <v>he Colony, </v>
      </c>
      <c r="H960" s="8">
        <f>IFERROR(__xludf.DUMMYFUNCTION("""COMPUTED_VALUE"""),75056.0)</f>
        <v>75056</v>
      </c>
      <c r="I960" s="13">
        <v>75056.0</v>
      </c>
      <c r="J960" s="9">
        <f>IFERROR(__xludf.DUMMYFUNCTION("SPLIT(I960,""-"")"),75056.0)</f>
        <v>75056</v>
      </c>
    </row>
    <row r="961">
      <c r="A961" s="10" t="s">
        <v>916</v>
      </c>
      <c r="B961" s="11">
        <v>1000.0</v>
      </c>
      <c r="C961" s="12" t="s">
        <v>629</v>
      </c>
      <c r="E961" s="8" t="str">
        <f>IFERROR(__xludf.DUMMYFUNCTION("SPLIT(A961,""TX"")"),"Chow, Kevin
2700 Old Denton Rd
Carrollton, ")</f>
        <v>Chow, Kevin
2700 Old Denton Rd
Carrollton, </v>
      </c>
      <c r="F961" s="8">
        <f>IFERROR(__xludf.DUMMYFUNCTION("""COMPUTED_VALUE"""),75007.0)</f>
        <v>75007</v>
      </c>
      <c r="I961" s="8">
        <f t="shared" ref="I961:I1060" si="12">IF(ISBLANK(G961),F961,G961)</f>
        <v>75007</v>
      </c>
      <c r="J961" s="9">
        <f>IFERROR(__xludf.DUMMYFUNCTION("SPLIT(I961,""-"")"),75007.0)</f>
        <v>75007</v>
      </c>
    </row>
    <row r="962">
      <c r="A962" s="5" t="s">
        <v>917</v>
      </c>
      <c r="B962" s="6">
        <v>1000.0</v>
      </c>
      <c r="C962" s="7" t="s">
        <v>629</v>
      </c>
      <c r="E962" s="8" t="str">
        <f>IFERROR(__xludf.DUMMYFUNCTION("SPLIT(A962,""TX"")"),"Sim, Kway
3688 Pistol Creek
Frisco, ")</f>
        <v>Sim, Kway
3688 Pistol Creek
Frisco, </v>
      </c>
      <c r="F962" s="8">
        <f>IFERROR(__xludf.DUMMYFUNCTION("""COMPUTED_VALUE"""),75034.0)</f>
        <v>75034</v>
      </c>
      <c r="I962" s="8">
        <f t="shared" si="12"/>
        <v>75034</v>
      </c>
      <c r="J962" s="9">
        <f>IFERROR(__xludf.DUMMYFUNCTION("SPLIT(I962,""-"")"),75034.0)</f>
        <v>75034</v>
      </c>
    </row>
    <row r="963">
      <c r="A963" s="10" t="s">
        <v>918</v>
      </c>
      <c r="B963" s="11">
        <v>300.0</v>
      </c>
      <c r="C963" s="12" t="s">
        <v>629</v>
      </c>
      <c r="E963" s="8" t="str">
        <f>IFERROR(__xludf.DUMMYFUNCTION("SPLIT(A963,""TX"")"),"Jakimovski, Kiril
701 Brentwood
Richardson, ")</f>
        <v>Jakimovski, Kiril
701 Brentwood
Richardson, </v>
      </c>
      <c r="F963" s="8">
        <f>IFERROR(__xludf.DUMMYFUNCTION("""COMPUTED_VALUE"""),75088.0)</f>
        <v>75088</v>
      </c>
      <c r="I963" s="8">
        <f t="shared" si="12"/>
        <v>75088</v>
      </c>
      <c r="J963" s="9">
        <f>IFERROR(__xludf.DUMMYFUNCTION("SPLIT(I963,""-"")"),75088.0)</f>
        <v>75088</v>
      </c>
    </row>
    <row r="964">
      <c r="A964" s="5" t="s">
        <v>919</v>
      </c>
      <c r="B964" s="6">
        <v>2000.0</v>
      </c>
      <c r="C964" s="7" t="s">
        <v>629</v>
      </c>
      <c r="E964" s="8" t="str">
        <f>IFERROR(__xludf.DUMMYFUNCTION("SPLIT(A964,""TX"")"),"Alexander, Mr Mrs Joshua Maria
13600 Preston Rd
Dallas, ")</f>
        <v>Alexander, Mr Mrs Joshua Maria
13600 Preston Rd
Dallas, </v>
      </c>
      <c r="F964" s="8">
        <f>IFERROR(__xludf.DUMMYFUNCTION("""COMPUTED_VALUE"""),75240.0)</f>
        <v>75240</v>
      </c>
      <c r="I964" s="8">
        <f t="shared" si="12"/>
        <v>75240</v>
      </c>
      <c r="J964" s="9">
        <f>IFERROR(__xludf.DUMMYFUNCTION("SPLIT(I964,""-"")"),75240.0)</f>
        <v>75240</v>
      </c>
    </row>
    <row r="965">
      <c r="A965" s="10" t="s">
        <v>920</v>
      </c>
      <c r="B965" s="11">
        <v>200.0</v>
      </c>
      <c r="C965" s="12" t="s">
        <v>629</v>
      </c>
      <c r="E965" s="8" t="str">
        <f>IFERROR(__xludf.DUMMYFUNCTION("SPLIT(A965,""TX"")"),"Rosa, John
515 S Riverfront Blvd
Dallas, ")</f>
        <v>Rosa, John
515 S Riverfront Blvd
Dallas, </v>
      </c>
      <c r="F965" s="8">
        <f>IFERROR(__xludf.DUMMYFUNCTION("""COMPUTED_VALUE"""),75207.0)</f>
        <v>75207</v>
      </c>
      <c r="I965" s="8">
        <f t="shared" si="12"/>
        <v>75207</v>
      </c>
      <c r="J965" s="9">
        <f>IFERROR(__xludf.DUMMYFUNCTION("SPLIT(I965,""-"")"),75207.0)</f>
        <v>75207</v>
      </c>
    </row>
    <row r="966">
      <c r="A966" s="5" t="s">
        <v>921</v>
      </c>
      <c r="B966" s="6">
        <v>1000.0</v>
      </c>
      <c r="C966" s="7" t="s">
        <v>629</v>
      </c>
      <c r="E966" s="8" t="str">
        <f>IFERROR(__xludf.DUMMYFUNCTION("SPLIT(A966,""TX"")"),"Rubin, Candace
5850 Maple Ave
Dallas, ")</f>
        <v>Rubin, Candace
5850 Maple Ave
Dallas, </v>
      </c>
      <c r="F966" s="8">
        <f>IFERROR(__xludf.DUMMYFUNCTION("""COMPUTED_VALUE"""),75235.0)</f>
        <v>75235</v>
      </c>
      <c r="I966" s="8">
        <f t="shared" si="12"/>
        <v>75235</v>
      </c>
      <c r="J966" s="9">
        <f>IFERROR(__xludf.DUMMYFUNCTION("SPLIT(I966,""-"")"),75235.0)</f>
        <v>75235</v>
      </c>
    </row>
    <row r="967">
      <c r="A967" s="10" t="s">
        <v>922</v>
      </c>
      <c r="B967" s="11">
        <v>100.0</v>
      </c>
      <c r="C967" s="12" t="s">
        <v>629</v>
      </c>
      <c r="E967" s="8" t="str">
        <f>IFERROR(__xludf.DUMMYFUNCTION("SPLIT(A967,""TX"")"),"Laughlin, Kendall
PO Box 191248
Dallas, ")</f>
        <v>Laughlin, Kendall
PO Box 191248
Dallas, </v>
      </c>
      <c r="F967" s="8">
        <f>IFERROR(__xludf.DUMMYFUNCTION("""COMPUTED_VALUE"""),75219.0)</f>
        <v>75219</v>
      </c>
      <c r="I967" s="8">
        <f t="shared" si="12"/>
        <v>75219</v>
      </c>
      <c r="J967" s="9">
        <f>IFERROR(__xludf.DUMMYFUNCTION("SPLIT(I967,""-"")"),75219.0)</f>
        <v>75219</v>
      </c>
    </row>
    <row r="968">
      <c r="A968" s="5" t="s">
        <v>923</v>
      </c>
      <c r="B968" s="6">
        <v>100.0</v>
      </c>
      <c r="C968" s="7" t="s">
        <v>629</v>
      </c>
      <c r="E968" s="8" t="str">
        <f>IFERROR(__xludf.DUMMYFUNCTION("SPLIT(A968,""TX"")"),"Ramirez, Juanita
1207 Stafford
Dallas, ")</f>
        <v>Ramirez, Juanita
1207 Stafford
Dallas, </v>
      </c>
      <c r="F968" s="8">
        <f>IFERROR(__xludf.DUMMYFUNCTION("""COMPUTED_VALUE"""),75208.0)</f>
        <v>75208</v>
      </c>
      <c r="I968" s="8">
        <f t="shared" si="12"/>
        <v>75208</v>
      </c>
      <c r="J968" s="9">
        <f>IFERROR(__xludf.DUMMYFUNCTION("SPLIT(I968,""-"")"),75208.0)</f>
        <v>75208</v>
      </c>
    </row>
    <row r="969">
      <c r="A969" s="10" t="s">
        <v>924</v>
      </c>
      <c r="B969" s="11">
        <v>1000.0</v>
      </c>
      <c r="C969" s="12" t="s">
        <v>629</v>
      </c>
      <c r="E969" s="8" t="str">
        <f>IFERROR(__xludf.DUMMYFUNCTION("SPLIT(A969,""TX"")"),"Gutierrez, Javier
507 Woodhaven
Duncanville, ")</f>
        <v>Gutierrez, Javier
507 Woodhaven
Duncanville, </v>
      </c>
      <c r="F969" s="8">
        <f>IFERROR(__xludf.DUMMYFUNCTION("""COMPUTED_VALUE"""),75080.0)</f>
        <v>75080</v>
      </c>
      <c r="I969" s="8">
        <f t="shared" si="12"/>
        <v>75080</v>
      </c>
      <c r="J969" s="9">
        <f>IFERROR(__xludf.DUMMYFUNCTION("SPLIT(I969,""-"")"),75080.0)</f>
        <v>75080</v>
      </c>
    </row>
    <row r="970">
      <c r="A970" s="5" t="s">
        <v>925</v>
      </c>
      <c r="B970" s="6">
        <v>500.0</v>
      </c>
      <c r="C970" s="7" t="s">
        <v>629</v>
      </c>
      <c r="E970" s="8" t="str">
        <f>IFERROR(__xludf.DUMMYFUNCTION("SPLIT(A970,""TX"")"),"Martinez Sr, Fernando
737 Woolsey
Dallas, ")</f>
        <v>Martinez Sr, Fernando
737 Woolsey
Dallas, </v>
      </c>
      <c r="F970" s="8">
        <f>IFERROR(__xludf.DUMMYFUNCTION("""COMPUTED_VALUE"""),75224.0)</f>
        <v>75224</v>
      </c>
      <c r="I970" s="8">
        <f t="shared" si="12"/>
        <v>75224</v>
      </c>
      <c r="J970" s="9">
        <f>IFERROR(__xludf.DUMMYFUNCTION("SPLIT(I970,""-"")"),75224.0)</f>
        <v>75224</v>
      </c>
    </row>
    <row r="971">
      <c r="A971" s="10" t="s">
        <v>926</v>
      </c>
      <c r="B971" s="11">
        <v>1000.0</v>
      </c>
      <c r="C971" s="12" t="s">
        <v>629</v>
      </c>
      <c r="E971" s="8" t="str">
        <f>IFERROR(__xludf.DUMMYFUNCTION("SPLIT(A971,""TX"")"),"Guanajuato, Ruben
4016 Willowleaf Ct
Dallas, ")</f>
        <v>Guanajuato, Ruben
4016 Willowleaf Ct
Dallas, </v>
      </c>
      <c r="F971" s="8">
        <f>IFERROR(__xludf.DUMMYFUNCTION("""COMPUTED_VALUE"""),75212.0)</f>
        <v>75212</v>
      </c>
      <c r="I971" s="8">
        <f t="shared" si="12"/>
        <v>75212</v>
      </c>
      <c r="J971" s="9">
        <f>IFERROR(__xludf.DUMMYFUNCTION("SPLIT(I971,""-"")"),75212.0)</f>
        <v>75212</v>
      </c>
    </row>
    <row r="972">
      <c r="A972" s="5" t="s">
        <v>927</v>
      </c>
      <c r="B972" s="6">
        <v>1000.0</v>
      </c>
      <c r="C972" s="7" t="s">
        <v>629</v>
      </c>
      <c r="E972" s="8" t="str">
        <f>IFERROR(__xludf.DUMMYFUNCTION("SPLIT(A972,""TX"")"),"Rodriguez, Rogelia
3427 Weisenberger
Dallas, ")</f>
        <v>Rodriguez, Rogelia
3427 Weisenberger
Dallas, </v>
      </c>
      <c r="F972" s="8">
        <f>IFERROR(__xludf.DUMMYFUNCTION("""COMPUTED_VALUE"""),75212.0)</f>
        <v>75212</v>
      </c>
      <c r="I972" s="8">
        <f t="shared" si="12"/>
        <v>75212</v>
      </c>
      <c r="J972" s="9">
        <f>IFERROR(__xludf.DUMMYFUNCTION("SPLIT(I972,""-"")"),75212.0)</f>
        <v>75212</v>
      </c>
    </row>
    <row r="973">
      <c r="A973" s="10" t="s">
        <v>928</v>
      </c>
      <c r="B973" s="11">
        <v>2500.0</v>
      </c>
      <c r="C973" s="12" t="s">
        <v>629</v>
      </c>
      <c r="E973" s="8" t="str">
        <f>IFERROR(__xludf.DUMMYFUNCTION("SPLIT(A973,""TX"")"),"UFCW Local 540
1775 K St NW
Washington, DC 20006")</f>
        <v>UFCW Local 540
1775 K St NW
Washington, DC 20006</v>
      </c>
      <c r="I973" s="8" t="str">
        <f t="shared" si="12"/>
        <v/>
      </c>
      <c r="J973" s="9" t="str">
        <f>IFERROR(__xludf.DUMMYFUNCTION("SPLIT(I973,""-"")"),"#VALUE!")</f>
        <v>#VALUE!</v>
      </c>
    </row>
    <row r="974">
      <c r="A974" s="5" t="s">
        <v>929</v>
      </c>
      <c r="B974" s="6">
        <v>2000.0</v>
      </c>
      <c r="C974" s="7" t="s">
        <v>629</v>
      </c>
      <c r="E974" s="8" t="str">
        <f>IFERROR(__xludf.DUMMYFUNCTION("SPLIT(A974,""TX"")"),"McCheren, Mr Mrs Mike Ann
532 Jefferson Blvd
Dallas, ")</f>
        <v>McCheren, Mr Mrs Mike Ann
532 Jefferson Blvd
Dallas, </v>
      </c>
      <c r="F974" s="8">
        <f>IFERROR(__xludf.DUMMYFUNCTION("""COMPUTED_VALUE"""),75208.0)</f>
        <v>75208</v>
      </c>
      <c r="I974" s="8">
        <f t="shared" si="12"/>
        <v>75208</v>
      </c>
      <c r="J974" s="9">
        <f>IFERROR(__xludf.DUMMYFUNCTION("SPLIT(I974,""-"")"),75208.0)</f>
        <v>75208</v>
      </c>
    </row>
    <row r="975">
      <c r="A975" s="10" t="s">
        <v>930</v>
      </c>
      <c r="B975" s="11">
        <v>100.0</v>
      </c>
      <c r="C975" s="12" t="s">
        <v>931</v>
      </c>
      <c r="E975" s="8" t="str">
        <f>IFERROR(__xludf.DUMMYFUNCTION("SPLIT(A975,""TX"")"),"Hastedt, Suzanne
3232 Rosedale Ave
Dallas, ")</f>
        <v>Hastedt, Suzanne
3232 Rosedale Ave
Dallas, </v>
      </c>
      <c r="F975" s="8">
        <f>IFERROR(__xludf.DUMMYFUNCTION("""COMPUTED_VALUE"""),75205.0)</f>
        <v>75205</v>
      </c>
      <c r="I975" s="8">
        <f t="shared" si="12"/>
        <v>75205</v>
      </c>
      <c r="J975" s="9">
        <f>IFERROR(__xludf.DUMMYFUNCTION("SPLIT(I975,""-"")"),75205.0)</f>
        <v>75205</v>
      </c>
    </row>
    <row r="976">
      <c r="A976" s="10" t="s">
        <v>932</v>
      </c>
      <c r="B976" s="11">
        <v>1000.0</v>
      </c>
      <c r="C976" s="12" t="s">
        <v>629</v>
      </c>
      <c r="E976" s="8" t="str">
        <f>IFERROR(__xludf.DUMMYFUNCTION("SPLIT(A976,""TX"")"),"Hinojosa, Eliu
2300 Wolf St
Dallas, ")</f>
        <v>Hinojosa, Eliu
2300 Wolf St
Dallas, </v>
      </c>
      <c r="F976" s="8">
        <f>IFERROR(__xludf.DUMMYFUNCTION("""COMPUTED_VALUE"""),75201.0)</f>
        <v>75201</v>
      </c>
      <c r="I976" s="8">
        <f t="shared" si="12"/>
        <v>75201</v>
      </c>
      <c r="J976" s="9">
        <f>IFERROR(__xludf.DUMMYFUNCTION("SPLIT(I976,""-"")"),75201.0)</f>
        <v>75201</v>
      </c>
    </row>
    <row r="977">
      <c r="A977" s="5" t="s">
        <v>933</v>
      </c>
      <c r="B977" s="6">
        <v>1000.0</v>
      </c>
      <c r="C977" s="7" t="s">
        <v>629</v>
      </c>
      <c r="E977" s="8" t="str">
        <f>IFERROR(__xludf.DUMMYFUNCTION("SPLIT(A977,""TX"")"),"Lozano, Santos
1034 S Buckner
Dallas, ")</f>
        <v>Lozano, Santos
1034 S Buckner
Dallas, </v>
      </c>
      <c r="F977" s="8">
        <f>IFERROR(__xludf.DUMMYFUNCTION("""COMPUTED_VALUE"""),75217.0)</f>
        <v>75217</v>
      </c>
      <c r="I977" s="8">
        <f t="shared" si="12"/>
        <v>75217</v>
      </c>
      <c r="J977" s="9">
        <f>IFERROR(__xludf.DUMMYFUNCTION("SPLIT(I977,""-"")"),75217.0)</f>
        <v>75217</v>
      </c>
    </row>
    <row r="978">
      <c r="A978" s="10" t="s">
        <v>934</v>
      </c>
      <c r="B978" s="11">
        <v>1000.0</v>
      </c>
      <c r="C978" s="12" t="s">
        <v>629</v>
      </c>
      <c r="E978" s="8" t="str">
        <f>IFERROR(__xludf.DUMMYFUNCTION("SPLIT(A978,""TX"")"),"Lozano, Fabiola
1034 S Buckner
Dallas, ")</f>
        <v>Lozano, Fabiola
1034 S Buckner
Dallas, </v>
      </c>
      <c r="F978" s="8">
        <f>IFERROR(__xludf.DUMMYFUNCTION("""COMPUTED_VALUE"""),75217.0)</f>
        <v>75217</v>
      </c>
      <c r="I978" s="8">
        <f t="shared" si="12"/>
        <v>75217</v>
      </c>
      <c r="J978" s="9">
        <f>IFERROR(__xludf.DUMMYFUNCTION("SPLIT(I978,""-"")"),75217.0)</f>
        <v>75217</v>
      </c>
    </row>
    <row r="979">
      <c r="A979" s="5" t="s">
        <v>935</v>
      </c>
      <c r="B979" s="6">
        <v>100.0</v>
      </c>
      <c r="C979" s="7" t="s">
        <v>931</v>
      </c>
      <c r="E979" s="8" t="str">
        <f>IFERROR(__xludf.DUMMYFUNCTION("SPLIT(A979,""TX"")"),"Russell, Phillip
12427 Veronica Cir
Farmers Branch, ")</f>
        <v>Russell, Phillip
12427 Veronica Cir
Farmers Branch, </v>
      </c>
      <c r="F979" s="8">
        <f>IFERROR(__xludf.DUMMYFUNCTION("""COMPUTED_VALUE"""),75234.0)</f>
        <v>75234</v>
      </c>
      <c r="I979" s="8">
        <f t="shared" si="12"/>
        <v>75234</v>
      </c>
      <c r="J979" s="9">
        <f>IFERROR(__xludf.DUMMYFUNCTION("SPLIT(I979,""-"")"),75234.0)</f>
        <v>75234</v>
      </c>
    </row>
    <row r="980">
      <c r="A980" s="5" t="s">
        <v>936</v>
      </c>
      <c r="B980" s="6">
        <v>500.0</v>
      </c>
      <c r="C980" s="7" t="s">
        <v>629</v>
      </c>
      <c r="E980" s="8" t="str">
        <f>IFERROR(__xludf.DUMMYFUNCTION("SPLIT(A980,""TX"")"),"Andere, Reagan
7625 Kenwell
Dallas, ")</f>
        <v>Andere, Reagan
7625 Kenwell
Dallas, </v>
      </c>
      <c r="F980" s="8">
        <f>IFERROR(__xludf.DUMMYFUNCTION("""COMPUTED_VALUE"""),75219.0)</f>
        <v>75219</v>
      </c>
      <c r="I980" s="8">
        <f t="shared" si="12"/>
        <v>75219</v>
      </c>
      <c r="J980" s="9">
        <f>IFERROR(__xludf.DUMMYFUNCTION("SPLIT(I980,""-"")"),75219.0)</f>
        <v>75219</v>
      </c>
    </row>
    <row r="981">
      <c r="A981" s="10" t="s">
        <v>937</v>
      </c>
      <c r="B981" s="11">
        <v>500.0</v>
      </c>
      <c r="C981" s="12" t="s">
        <v>629</v>
      </c>
      <c r="E981" s="8" t="str">
        <f>IFERROR(__xludf.DUMMYFUNCTION("SPLIT(A981,""TX"")"),"Stapp, Clay
3404 Greenville
Dallas, ")</f>
        <v>Stapp, Clay
3404 Greenville
Dallas, </v>
      </c>
      <c r="F981" s="8">
        <f>IFERROR(__xludf.DUMMYFUNCTION("""COMPUTED_VALUE"""),75206.0)</f>
        <v>75206</v>
      </c>
      <c r="I981" s="8">
        <f t="shared" si="12"/>
        <v>75206</v>
      </c>
      <c r="J981" s="9">
        <f>IFERROR(__xludf.DUMMYFUNCTION("SPLIT(I981,""-"")"),75206.0)</f>
        <v>75206</v>
      </c>
    </row>
    <row r="982">
      <c r="A982" s="5" t="s">
        <v>938</v>
      </c>
      <c r="B982" s="6">
        <v>500.0</v>
      </c>
      <c r="C982" s="7" t="s">
        <v>629</v>
      </c>
      <c r="E982" s="8" t="str">
        <f>IFERROR(__xludf.DUMMYFUNCTION("SPLIT(A982,""TX"")"),"Kalogridis, George
4819 Maple
Dallas, ")</f>
        <v>Kalogridis, George
4819 Maple
Dallas, </v>
      </c>
      <c r="F982" s="8">
        <f>IFERROR(__xludf.DUMMYFUNCTION("""COMPUTED_VALUE"""),75219.0)</f>
        <v>75219</v>
      </c>
      <c r="I982" s="8">
        <f t="shared" si="12"/>
        <v>75219</v>
      </c>
      <c r="J982" s="9">
        <f>IFERROR(__xludf.DUMMYFUNCTION("SPLIT(I982,""-"")"),75219.0)</f>
        <v>75219</v>
      </c>
    </row>
    <row r="983">
      <c r="A983" s="10" t="s">
        <v>939</v>
      </c>
      <c r="B983" s="11">
        <v>1000.0</v>
      </c>
      <c r="C983" s="12" t="s">
        <v>931</v>
      </c>
      <c r="E983" s="8" t="str">
        <f>IFERROR(__xludf.DUMMYFUNCTION("SPLIT(A983,""TX"")"),"Boullet, Kelly
1616 Cloister
Plano, ")</f>
        <v>Boullet, Kelly
1616 Cloister
Plano, </v>
      </c>
      <c r="F983" s="8">
        <f>IFERROR(__xludf.DUMMYFUNCTION("""COMPUTED_VALUE"""),75075.0)</f>
        <v>75075</v>
      </c>
      <c r="I983" s="8">
        <f t="shared" si="12"/>
        <v>75075</v>
      </c>
      <c r="J983" s="9">
        <f>IFERROR(__xludf.DUMMYFUNCTION("SPLIT(I983,""-"")"),75075.0)</f>
        <v>75075</v>
      </c>
    </row>
    <row r="984">
      <c r="A984" s="10" t="s">
        <v>940</v>
      </c>
      <c r="B984" s="11">
        <v>300.0</v>
      </c>
      <c r="C984" s="12" t="s">
        <v>629</v>
      </c>
      <c r="E984" s="8" t="str">
        <f>IFERROR(__xludf.DUMMYFUNCTION("SPLIT(A984,""TX"")"),"Aguilar IV, Carlos
331 Singleton Blvd
Dallas, ")</f>
        <v>Aguilar IV, Carlos
331 Singleton Blvd
Dallas, </v>
      </c>
      <c r="F984" s="8">
        <f>IFERROR(__xludf.DUMMYFUNCTION("""COMPUTED_VALUE"""),75212.0)</f>
        <v>75212</v>
      </c>
      <c r="I984" s="8">
        <f t="shared" si="12"/>
        <v>75212</v>
      </c>
      <c r="J984" s="9">
        <f>IFERROR(__xludf.DUMMYFUNCTION("SPLIT(I984,""-"")"),75212.0)</f>
        <v>75212</v>
      </c>
    </row>
    <row r="985">
      <c r="A985" s="5" t="s">
        <v>941</v>
      </c>
      <c r="B985" s="6">
        <v>500.0</v>
      </c>
      <c r="C985" s="7" t="s">
        <v>629</v>
      </c>
      <c r="E985" s="8" t="str">
        <f>IFERROR(__xludf.DUMMYFUNCTION("SPLIT(A985,""TX"")"),"Favela, Raquel
2658 Forest Pebble
San Antonio, ")</f>
        <v>Favela, Raquel
2658 Forest Pebble
San Antonio, </v>
      </c>
      <c r="F985" s="8">
        <f>IFERROR(__xludf.DUMMYFUNCTION("""COMPUTED_VALUE"""),78232.0)</f>
        <v>78232</v>
      </c>
      <c r="I985" s="8">
        <f t="shared" si="12"/>
        <v>78232</v>
      </c>
      <c r="J985" s="9">
        <f>IFERROR(__xludf.DUMMYFUNCTION("SPLIT(I985,""-"")"),78232.0)</f>
        <v>78232</v>
      </c>
    </row>
    <row r="986">
      <c r="A986" s="10" t="s">
        <v>942</v>
      </c>
      <c r="B986" s="11">
        <v>500.0</v>
      </c>
      <c r="C986" s="12" t="s">
        <v>629</v>
      </c>
      <c r="E986" s="8" t="str">
        <f>IFERROR(__xludf.DUMMYFUNCTION("SPLIT(A986,""TX"")"),"Ponce, Elizabeth
327 W St Augustine
Dallas, ")</f>
        <v>Ponce, Elizabeth
327 W St Augustine
Dallas, </v>
      </c>
      <c r="F986" s="8">
        <f>IFERROR(__xludf.DUMMYFUNCTION("""COMPUTED_VALUE"""),75217.0)</f>
        <v>75217</v>
      </c>
      <c r="I986" s="8">
        <f t="shared" si="12"/>
        <v>75217</v>
      </c>
      <c r="J986" s="9">
        <f>IFERROR(__xludf.DUMMYFUNCTION("SPLIT(I986,""-"")"),75217.0)</f>
        <v>75217</v>
      </c>
    </row>
    <row r="987">
      <c r="A987" s="5" t="s">
        <v>943</v>
      </c>
      <c r="B987" s="6">
        <v>100.0</v>
      </c>
      <c r="C987" s="7" t="s">
        <v>629</v>
      </c>
      <c r="E987" s="8" t="str">
        <f>IFERROR(__xludf.DUMMYFUNCTION("SPLIT(A987,""TX"")"),"Graham, Sofia
2575 Lone Star
Dallas, ")</f>
        <v>Graham, Sofia
2575 Lone Star
Dallas, </v>
      </c>
      <c r="F987" s="8">
        <f>IFERROR(__xludf.DUMMYFUNCTION("""COMPUTED_VALUE"""),75212.0)</f>
        <v>75212</v>
      </c>
      <c r="I987" s="8">
        <f t="shared" si="12"/>
        <v>75212</v>
      </c>
      <c r="J987" s="9">
        <f>IFERROR(__xludf.DUMMYFUNCTION("SPLIT(I987,""-"")"),75212.0)</f>
        <v>75212</v>
      </c>
    </row>
    <row r="988">
      <c r="A988" s="10" t="s">
        <v>944</v>
      </c>
      <c r="B988" s="11">
        <v>100.0</v>
      </c>
      <c r="C988" s="12" t="s">
        <v>629</v>
      </c>
      <c r="E988" s="8" t="str">
        <f>IFERROR(__xludf.DUMMYFUNCTION("SPLIT(A988,""TX"")"),"Vasquez, Peter
2737 Morris
Dallas, ")</f>
        <v>Vasquez, Peter
2737 Morris
Dallas, </v>
      </c>
      <c r="F988" s="8">
        <f>IFERROR(__xludf.DUMMYFUNCTION("""COMPUTED_VALUE"""),75212.0)</f>
        <v>75212</v>
      </c>
      <c r="I988" s="8">
        <f t="shared" si="12"/>
        <v>75212</v>
      </c>
      <c r="J988" s="9">
        <f>IFERROR(__xludf.DUMMYFUNCTION("SPLIT(I988,""-"")"),75212.0)</f>
        <v>75212</v>
      </c>
    </row>
    <row r="989">
      <c r="A989" s="5" t="s">
        <v>945</v>
      </c>
      <c r="B989" s="6">
        <v>100.0</v>
      </c>
      <c r="C989" s="7" t="s">
        <v>629</v>
      </c>
      <c r="E989" s="8" t="str">
        <f>IFERROR(__xludf.DUMMYFUNCTION("SPLIT(A989,""TX"")"),"Cruz, Ann
214 W Davis
Duncanville, ")</f>
        <v>Cruz, Ann
214 W Davis
Duncanville, </v>
      </c>
      <c r="F989" s="8">
        <f>IFERROR(__xludf.DUMMYFUNCTION("""COMPUTED_VALUE"""),75116.0)</f>
        <v>75116</v>
      </c>
      <c r="I989" s="8">
        <f t="shared" si="12"/>
        <v>75116</v>
      </c>
      <c r="J989" s="9">
        <f>IFERROR(__xludf.DUMMYFUNCTION("SPLIT(I989,""-"")"),75116.0)</f>
        <v>75116</v>
      </c>
    </row>
    <row r="990">
      <c r="A990" s="10" t="s">
        <v>946</v>
      </c>
      <c r="B990" s="11">
        <v>100.0</v>
      </c>
      <c r="C990" s="12" t="s">
        <v>931</v>
      </c>
      <c r="E990" s="8" t="str">
        <f>IFERROR(__xludf.DUMMYFUNCTION("SPLIT(A990,""TX"")"),"Shacklett, Craig
3526 Apple Valley
Farmers Branch, ")</f>
        <v>Shacklett, Craig
3526 Apple Valley
Farmers Branch, </v>
      </c>
      <c r="F990" s="8">
        <f>IFERROR(__xludf.DUMMYFUNCTION("""COMPUTED_VALUE"""),75234.0)</f>
        <v>75234</v>
      </c>
      <c r="I990" s="8">
        <f t="shared" si="12"/>
        <v>75234</v>
      </c>
      <c r="J990" s="9">
        <f>IFERROR(__xludf.DUMMYFUNCTION("SPLIT(I990,""-"")"),75234.0)</f>
        <v>75234</v>
      </c>
    </row>
    <row r="991">
      <c r="A991" s="10" t="s">
        <v>947</v>
      </c>
      <c r="B991" s="11">
        <v>1000.0</v>
      </c>
      <c r="C991" s="12" t="s">
        <v>931</v>
      </c>
      <c r="E991" s="8" t="str">
        <f>IFERROR(__xludf.DUMMYFUNCTION("SPLIT(A991,""TX"")"),"Lewis, Jessica
603 E ")</f>
        <v>Lewis, Jessica
603 E </v>
      </c>
      <c r="F991" s="8" t="str">
        <f>IFERROR(__xludf.DUMMYFUNCTION("""COMPUTED_VALUE"""),"rip Rd
Sunnyvale, ")</f>
        <v>rip Rd
Sunnyvale, </v>
      </c>
      <c r="G991" s="8">
        <f>IFERROR(__xludf.DUMMYFUNCTION("""COMPUTED_VALUE"""),75152.0)</f>
        <v>75152</v>
      </c>
      <c r="I991" s="8">
        <f t="shared" si="12"/>
        <v>75152</v>
      </c>
      <c r="J991" s="9">
        <f>IFERROR(__xludf.DUMMYFUNCTION("SPLIT(I991,""-"")"),75152.0)</f>
        <v>75152</v>
      </c>
    </row>
    <row r="992">
      <c r="A992" s="10" t="s">
        <v>948</v>
      </c>
      <c r="B992" s="11">
        <v>1000.0</v>
      </c>
      <c r="C992" s="12" t="s">
        <v>931</v>
      </c>
      <c r="E992" s="8" t="str">
        <f>IFERROR(__xludf.DUMMYFUNCTION("SPLIT(A992,""TX"")"),"Lewis, Jorden
603 E ")</f>
        <v>Lewis, Jorden
603 E </v>
      </c>
      <c r="F992" s="8" t="str">
        <f>IFERROR(__xludf.DUMMYFUNCTION("""COMPUTED_VALUE"""),"rip Rd
Sunnyvale, ")</f>
        <v>rip Rd
Sunnyvale, </v>
      </c>
      <c r="G992" s="8">
        <f>IFERROR(__xludf.DUMMYFUNCTION("""COMPUTED_VALUE"""),75152.0)</f>
        <v>75152</v>
      </c>
      <c r="I992" s="8">
        <f t="shared" si="12"/>
        <v>75152</v>
      </c>
      <c r="J992" s="9">
        <f>IFERROR(__xludf.DUMMYFUNCTION("SPLIT(I992,""-"")"),75152.0)</f>
        <v>75152</v>
      </c>
    </row>
    <row r="993">
      <c r="A993" s="10" t="s">
        <v>949</v>
      </c>
      <c r="B993" s="11">
        <v>200.0</v>
      </c>
      <c r="C993" s="12" t="s">
        <v>931</v>
      </c>
      <c r="E993" s="8" t="str">
        <f>IFERROR(__xludf.DUMMYFUNCTION("SPLIT(A993,""TX"")"),"Blumin, Caroline
8240 Manderville Ln
Dallas, ")</f>
        <v>Blumin, Caroline
8240 Manderville Ln
Dallas, </v>
      </c>
      <c r="F993" s="8">
        <f>IFERROR(__xludf.DUMMYFUNCTION("""COMPUTED_VALUE"""),75231.0)</f>
        <v>75231</v>
      </c>
      <c r="I993" s="8">
        <f t="shared" si="12"/>
        <v>75231</v>
      </c>
      <c r="J993" s="9">
        <f>IFERROR(__xludf.DUMMYFUNCTION("SPLIT(I993,""-"")"),75231.0)</f>
        <v>75231</v>
      </c>
    </row>
    <row r="994">
      <c r="A994" s="10" t="s">
        <v>950</v>
      </c>
      <c r="B994" s="11">
        <v>1000.0</v>
      </c>
      <c r="C994" s="12" t="s">
        <v>931</v>
      </c>
      <c r="E994" s="8" t="str">
        <f>IFERROR(__xludf.DUMMYFUNCTION("SPLIT(A994,""TX"")"),"Roesbery, Diane
2405 Southern Hills Ct
Keller, ")</f>
        <v>Roesbery, Diane
2405 Southern Hills Ct
Keller, </v>
      </c>
      <c r="F994" s="8">
        <f>IFERROR(__xludf.DUMMYFUNCTION("""COMPUTED_VALUE"""),75229.0)</f>
        <v>75229</v>
      </c>
      <c r="I994" s="8">
        <f t="shared" si="12"/>
        <v>75229</v>
      </c>
      <c r="J994" s="9">
        <f>IFERROR(__xludf.DUMMYFUNCTION("SPLIT(I994,""-"")"),75229.0)</f>
        <v>75229</v>
      </c>
    </row>
    <row r="995">
      <c r="A995" s="10" t="s">
        <v>951</v>
      </c>
      <c r="B995" s="11">
        <v>500.0</v>
      </c>
      <c r="C995" s="12" t="s">
        <v>931</v>
      </c>
      <c r="E995" s="8" t="str">
        <f>IFERROR(__xludf.DUMMYFUNCTION("SPLIT(A995,""TX"")"),"Burns, Emily
4127 Calculus Dr
Dallas, ")</f>
        <v>Burns, Emily
4127 Calculus Dr
Dallas, </v>
      </c>
      <c r="F995" s="8">
        <f>IFERROR(__xludf.DUMMYFUNCTION("""COMPUTED_VALUE"""),75244.0)</f>
        <v>75244</v>
      </c>
      <c r="I995" s="8">
        <f t="shared" si="12"/>
        <v>75244</v>
      </c>
      <c r="J995" s="9">
        <f>IFERROR(__xludf.DUMMYFUNCTION("SPLIT(I995,""-"")"),75244.0)</f>
        <v>75244</v>
      </c>
    </row>
    <row r="996">
      <c r="A996" s="10" t="s">
        <v>952</v>
      </c>
      <c r="B996" s="11">
        <v>500.0</v>
      </c>
      <c r="C996" s="12" t="s">
        <v>931</v>
      </c>
      <c r="E996" s="8" t="str">
        <f>IFERROR(__xludf.DUMMYFUNCTION("SPLIT(A996,""TX"")"),"Smith, Mac
5520 Preston Haven Dr
Dallas, ")</f>
        <v>Smith, Mac
5520 Preston Haven Dr
Dallas, </v>
      </c>
      <c r="F996" s="8">
        <f>IFERROR(__xludf.DUMMYFUNCTION("""COMPUTED_VALUE"""),75206.0)</f>
        <v>75206</v>
      </c>
      <c r="I996" s="8">
        <f t="shared" si="12"/>
        <v>75206</v>
      </c>
      <c r="J996" s="9">
        <f>IFERROR(__xludf.DUMMYFUNCTION("SPLIT(I996,""-"")"),75206.0)</f>
        <v>75206</v>
      </c>
    </row>
    <row r="997">
      <c r="A997" s="10" t="s">
        <v>953</v>
      </c>
      <c r="B997" s="11">
        <v>300.0</v>
      </c>
      <c r="C997" s="12" t="s">
        <v>629</v>
      </c>
      <c r="E997" s="8" t="str">
        <f>IFERROR(__xludf.DUMMYFUNCTION("SPLIT(A997,""TX"")"),"Villalobos, Jesse
8701 N 23rd st
McAllen, ")</f>
        <v>Villalobos, Jesse
8701 N 23rd st
McAllen, </v>
      </c>
      <c r="F997" s="8">
        <f>IFERROR(__xludf.DUMMYFUNCTION("""COMPUTED_VALUE"""),78504.0)</f>
        <v>78504</v>
      </c>
      <c r="I997" s="8">
        <f t="shared" si="12"/>
        <v>78504</v>
      </c>
      <c r="J997" s="9">
        <f>IFERROR(__xludf.DUMMYFUNCTION("SPLIT(I997,""-"")"),78504.0)</f>
        <v>78504</v>
      </c>
    </row>
    <row r="998">
      <c r="A998" s="5" t="s">
        <v>954</v>
      </c>
      <c r="B998" s="6">
        <v>1000.0</v>
      </c>
      <c r="C998" s="7" t="s">
        <v>955</v>
      </c>
      <c r="E998" s="8" t="str">
        <f>IFERROR(__xludf.DUMMYFUNCTION("SPLIT(A998,""TX"")"),"henderson, james
10118 Mapleridge
Dallas, ")</f>
        <v>henderson, james
10118 Mapleridge
Dallas, </v>
      </c>
      <c r="F998" s="8">
        <f>IFERROR(__xludf.DUMMYFUNCTION("""COMPUTED_VALUE"""),75238.0)</f>
        <v>75238</v>
      </c>
      <c r="I998" s="8">
        <f t="shared" si="12"/>
        <v>75238</v>
      </c>
      <c r="J998" s="9">
        <f>IFERROR(__xludf.DUMMYFUNCTION("SPLIT(I998,""-"")"),75238.0)</f>
        <v>75238</v>
      </c>
    </row>
    <row r="999">
      <c r="A999" s="10" t="s">
        <v>954</v>
      </c>
      <c r="B999" s="11">
        <v>1000.0</v>
      </c>
      <c r="C999" s="12" t="s">
        <v>955</v>
      </c>
      <c r="E999" s="8" t="str">
        <f>IFERROR(__xludf.DUMMYFUNCTION("SPLIT(A999,""TX"")"),"henderson, james
10118 Mapleridge
Dallas, ")</f>
        <v>henderson, james
10118 Mapleridge
Dallas, </v>
      </c>
      <c r="F999" s="8">
        <f>IFERROR(__xludf.DUMMYFUNCTION("""COMPUTED_VALUE"""),75238.0)</f>
        <v>75238</v>
      </c>
      <c r="I999" s="8">
        <f t="shared" si="12"/>
        <v>75238</v>
      </c>
      <c r="J999" s="9">
        <f>IFERROR(__xludf.DUMMYFUNCTION("SPLIT(I999,""-"")"),75238.0)</f>
        <v>75238</v>
      </c>
    </row>
    <row r="1000">
      <c r="A1000" s="5" t="s">
        <v>956</v>
      </c>
      <c r="B1000" s="6">
        <v>30.0</v>
      </c>
      <c r="C1000" s="7" t="s">
        <v>955</v>
      </c>
      <c r="E1000" s="8" t="str">
        <f>IFERROR(__xludf.DUMMYFUNCTION("SPLIT(A1000,""TX"")"),"varnon, charles
10419 Chesterton
Dallas, ")</f>
        <v>varnon, charles
10419 Chesterton
Dallas, </v>
      </c>
      <c r="F1000" s="8">
        <f>IFERROR(__xludf.DUMMYFUNCTION("""COMPUTED_VALUE"""),75238.0)</f>
        <v>75238</v>
      </c>
      <c r="I1000" s="8">
        <f t="shared" si="12"/>
        <v>75238</v>
      </c>
      <c r="J1000" s="9">
        <f>IFERROR(__xludf.DUMMYFUNCTION("SPLIT(I1000,""-"")"),75238.0)</f>
        <v>75238</v>
      </c>
    </row>
    <row r="1001">
      <c r="A1001" s="10" t="s">
        <v>956</v>
      </c>
      <c r="B1001" s="11">
        <v>30.0</v>
      </c>
      <c r="C1001" s="12" t="s">
        <v>955</v>
      </c>
      <c r="E1001" s="8" t="str">
        <f>IFERROR(__xludf.DUMMYFUNCTION("SPLIT(A1001,""TX"")"),"varnon, charles
10419 Chesterton
Dallas, ")</f>
        <v>varnon, charles
10419 Chesterton
Dallas, </v>
      </c>
      <c r="F1001" s="8">
        <f>IFERROR(__xludf.DUMMYFUNCTION("""COMPUTED_VALUE"""),75238.0)</f>
        <v>75238</v>
      </c>
      <c r="I1001" s="8">
        <f t="shared" si="12"/>
        <v>75238</v>
      </c>
      <c r="J1001" s="9">
        <f>IFERROR(__xludf.DUMMYFUNCTION("SPLIT(I1001,""-"")"),75238.0)</f>
        <v>75238</v>
      </c>
    </row>
    <row r="1002">
      <c r="A1002" s="5" t="s">
        <v>957</v>
      </c>
      <c r="B1002" s="6">
        <v>100.0</v>
      </c>
      <c r="C1002" s="7" t="s">
        <v>955</v>
      </c>
      <c r="E1002" s="8" t="str">
        <f>IFERROR(__xludf.DUMMYFUNCTION("SPLIT(A1002,""TX"")"),"Moore, Patricia
9227 Meadowglen
Dallas, ")</f>
        <v>Moore, Patricia
9227 Meadowglen
Dallas, </v>
      </c>
      <c r="F1002" s="8">
        <f>IFERROR(__xludf.DUMMYFUNCTION("""COMPUTED_VALUE"""),75238.0)</f>
        <v>75238</v>
      </c>
      <c r="I1002" s="8">
        <f t="shared" si="12"/>
        <v>75238</v>
      </c>
      <c r="J1002" s="9">
        <f>IFERROR(__xludf.DUMMYFUNCTION("SPLIT(I1002,""-"")"),75238.0)</f>
        <v>75238</v>
      </c>
    </row>
    <row r="1003">
      <c r="A1003" s="10" t="s">
        <v>957</v>
      </c>
      <c r="B1003" s="11">
        <v>100.0</v>
      </c>
      <c r="C1003" s="12" t="s">
        <v>955</v>
      </c>
      <c r="E1003" s="8" t="str">
        <f>IFERROR(__xludf.DUMMYFUNCTION("SPLIT(A1003,""TX"")"),"Moore, Patricia
9227 Meadowglen
Dallas, ")</f>
        <v>Moore, Patricia
9227 Meadowglen
Dallas, </v>
      </c>
      <c r="F1003" s="8">
        <f>IFERROR(__xludf.DUMMYFUNCTION("""COMPUTED_VALUE"""),75238.0)</f>
        <v>75238</v>
      </c>
      <c r="I1003" s="8">
        <f t="shared" si="12"/>
        <v>75238</v>
      </c>
      <c r="J1003" s="9">
        <f>IFERROR(__xludf.DUMMYFUNCTION("SPLIT(I1003,""-"")"),75238.0)</f>
        <v>75238</v>
      </c>
    </row>
    <row r="1004">
      <c r="A1004" s="5" t="s">
        <v>958</v>
      </c>
      <c r="B1004" s="6">
        <v>250.0</v>
      </c>
      <c r="C1004" s="7" t="s">
        <v>955</v>
      </c>
      <c r="E1004" s="8" t="str">
        <f>IFERROR(__xludf.DUMMYFUNCTION("SPLIT(A1004,""TX"")"),"Debenport, Bobby
9515 Spring Branch
Dallas, ")</f>
        <v>Debenport, Bobby
9515 Spring Branch
Dallas, </v>
      </c>
      <c r="F1004" s="8">
        <f>IFERROR(__xludf.DUMMYFUNCTION("""COMPUTED_VALUE"""),75238.0)</f>
        <v>75238</v>
      </c>
      <c r="I1004" s="8">
        <f t="shared" si="12"/>
        <v>75238</v>
      </c>
      <c r="J1004" s="9">
        <f>IFERROR(__xludf.DUMMYFUNCTION("SPLIT(I1004,""-"")"),75238.0)</f>
        <v>75238</v>
      </c>
    </row>
    <row r="1005">
      <c r="A1005" s="10" t="s">
        <v>958</v>
      </c>
      <c r="B1005" s="11">
        <v>250.0</v>
      </c>
      <c r="C1005" s="12" t="s">
        <v>955</v>
      </c>
      <c r="E1005" s="8" t="str">
        <f>IFERROR(__xludf.DUMMYFUNCTION("SPLIT(A1005,""TX"")"),"Debenport, Bobby
9515 Spring Branch
Dallas, ")</f>
        <v>Debenport, Bobby
9515 Spring Branch
Dallas, </v>
      </c>
      <c r="F1005" s="8">
        <f>IFERROR(__xludf.DUMMYFUNCTION("""COMPUTED_VALUE"""),75238.0)</f>
        <v>75238</v>
      </c>
      <c r="I1005" s="8">
        <f t="shared" si="12"/>
        <v>75238</v>
      </c>
      <c r="J1005" s="9">
        <f>IFERROR(__xludf.DUMMYFUNCTION("SPLIT(I1005,""-"")"),75238.0)</f>
        <v>75238</v>
      </c>
    </row>
    <row r="1006">
      <c r="A1006" s="5" t="s">
        <v>959</v>
      </c>
      <c r="B1006" s="6">
        <v>1000.0</v>
      </c>
      <c r="C1006" s="7" t="s">
        <v>955</v>
      </c>
      <c r="E1006" s="8" t="str">
        <f>IFERROR(__xludf.DUMMYFUNCTION("SPLIT(A1006,""TX"")"),"Clem, Lori
1639 Parker Rd.
Carrollton, ")</f>
        <v>Clem, Lori
1639 Parker Rd.
Carrollton, </v>
      </c>
      <c r="F1006" s="8">
        <f>IFERROR(__xludf.DUMMYFUNCTION("""COMPUTED_VALUE"""),76010.0)</f>
        <v>76010</v>
      </c>
      <c r="I1006" s="8">
        <f t="shared" si="12"/>
        <v>76010</v>
      </c>
      <c r="J1006" s="9">
        <f>IFERROR(__xludf.DUMMYFUNCTION("SPLIT(I1006,""-"")"),76010.0)</f>
        <v>76010</v>
      </c>
    </row>
    <row r="1007">
      <c r="A1007" s="10" t="s">
        <v>959</v>
      </c>
      <c r="B1007" s="11">
        <v>1000.0</v>
      </c>
      <c r="C1007" s="12" t="s">
        <v>955</v>
      </c>
      <c r="E1007" s="8" t="str">
        <f>IFERROR(__xludf.DUMMYFUNCTION("SPLIT(A1007,""TX"")"),"Clem, Lori
1639 Parker Rd.
Carrollton, ")</f>
        <v>Clem, Lori
1639 Parker Rd.
Carrollton, </v>
      </c>
      <c r="F1007" s="8">
        <f>IFERROR(__xludf.DUMMYFUNCTION("""COMPUTED_VALUE"""),76010.0)</f>
        <v>76010</v>
      </c>
      <c r="I1007" s="8">
        <f t="shared" si="12"/>
        <v>76010</v>
      </c>
      <c r="J1007" s="9">
        <f>IFERROR(__xludf.DUMMYFUNCTION("SPLIT(I1007,""-"")"),76010.0)</f>
        <v>76010</v>
      </c>
    </row>
    <row r="1008">
      <c r="A1008" s="5" t="s">
        <v>960</v>
      </c>
      <c r="B1008" s="6">
        <v>1000.0</v>
      </c>
      <c r="C1008" s="7" t="s">
        <v>955</v>
      </c>
      <c r="E1008" s="8" t="str">
        <f>IFERROR(__xludf.DUMMYFUNCTION("SPLIT(A1008,""TX"")"),"Byrnes, Collin
1639 Parker Rd.
Carrollton, ")</f>
        <v>Byrnes, Collin
1639 Parker Rd.
Carrollton, </v>
      </c>
      <c r="F1008" s="8">
        <f>IFERROR(__xludf.DUMMYFUNCTION("""COMPUTED_VALUE"""),76010.0)</f>
        <v>76010</v>
      </c>
      <c r="I1008" s="8">
        <f t="shared" si="12"/>
        <v>76010</v>
      </c>
      <c r="J1008" s="9">
        <f>IFERROR(__xludf.DUMMYFUNCTION("SPLIT(I1008,""-"")"),76010.0)</f>
        <v>76010</v>
      </c>
    </row>
    <row r="1009">
      <c r="A1009" s="10" t="s">
        <v>960</v>
      </c>
      <c r="B1009" s="11">
        <v>1000.0</v>
      </c>
      <c r="C1009" s="12" t="s">
        <v>955</v>
      </c>
      <c r="E1009" s="8" t="str">
        <f>IFERROR(__xludf.DUMMYFUNCTION("SPLIT(A1009,""TX"")"),"Byrnes, Collin
1639 Parker Rd.
Carrollton, ")</f>
        <v>Byrnes, Collin
1639 Parker Rd.
Carrollton, </v>
      </c>
      <c r="F1009" s="8">
        <f>IFERROR(__xludf.DUMMYFUNCTION("""COMPUTED_VALUE"""),76010.0)</f>
        <v>76010</v>
      </c>
      <c r="I1009" s="8">
        <f t="shared" si="12"/>
        <v>76010</v>
      </c>
      <c r="J1009" s="9">
        <f>IFERROR(__xludf.DUMMYFUNCTION("SPLIT(I1009,""-"")"),76010.0)</f>
        <v>76010</v>
      </c>
    </row>
    <row r="1010">
      <c r="A1010" s="5" t="s">
        <v>961</v>
      </c>
      <c r="B1010" s="6">
        <v>500.0</v>
      </c>
      <c r="C1010" s="7" t="s">
        <v>955</v>
      </c>
      <c r="E1010" s="8" t="str">
        <f>IFERROR(__xludf.DUMMYFUNCTION("SPLIT(A1010,""TX"")"),"Laughlin, Grant
4137 Greenbrier Dr.
Dallas, ")</f>
        <v>Laughlin, Grant
4137 Greenbrier Dr.
Dallas, </v>
      </c>
      <c r="F1010" s="8">
        <f>IFERROR(__xludf.DUMMYFUNCTION("""COMPUTED_VALUE"""),75225.0)</f>
        <v>75225</v>
      </c>
      <c r="I1010" s="8">
        <f t="shared" si="12"/>
        <v>75225</v>
      </c>
      <c r="J1010" s="9">
        <f>IFERROR(__xludf.DUMMYFUNCTION("SPLIT(I1010,""-"")"),75225.0)</f>
        <v>75225</v>
      </c>
    </row>
    <row r="1011">
      <c r="A1011" s="10" t="s">
        <v>961</v>
      </c>
      <c r="B1011" s="11">
        <v>500.0</v>
      </c>
      <c r="C1011" s="12" t="s">
        <v>955</v>
      </c>
      <c r="E1011" s="8" t="str">
        <f>IFERROR(__xludf.DUMMYFUNCTION("SPLIT(A1011,""TX"")"),"Laughlin, Grant
4137 Greenbrier Dr.
Dallas, ")</f>
        <v>Laughlin, Grant
4137 Greenbrier Dr.
Dallas, </v>
      </c>
      <c r="F1011" s="8">
        <f>IFERROR(__xludf.DUMMYFUNCTION("""COMPUTED_VALUE"""),75225.0)</f>
        <v>75225</v>
      </c>
      <c r="I1011" s="8">
        <f t="shared" si="12"/>
        <v>75225</v>
      </c>
      <c r="J1011" s="9">
        <f>IFERROR(__xludf.DUMMYFUNCTION("SPLIT(I1011,""-"")"),75225.0)</f>
        <v>75225</v>
      </c>
    </row>
    <row r="1012">
      <c r="A1012" s="5" t="s">
        <v>962</v>
      </c>
      <c r="B1012" s="6">
        <v>500.0</v>
      </c>
      <c r="C1012" s="7" t="s">
        <v>955</v>
      </c>
      <c r="E1012" s="8" t="str">
        <f>IFERROR(__xludf.DUMMYFUNCTION("SPLIT(A1012,""TX"")"),"Garrett, Matt
13721 Welch Rd.
Farmers Branch, ")</f>
        <v>Garrett, Matt
13721 Welch Rd.
Farmers Branch, </v>
      </c>
      <c r="F1012" s="8">
        <f>IFERROR(__xludf.DUMMYFUNCTION("""COMPUTED_VALUE"""),75244.0)</f>
        <v>75244</v>
      </c>
      <c r="I1012" s="8">
        <f t="shared" si="12"/>
        <v>75244</v>
      </c>
      <c r="J1012" s="9">
        <f>IFERROR(__xludf.DUMMYFUNCTION("SPLIT(I1012,""-"")"),75244.0)</f>
        <v>75244</v>
      </c>
    </row>
    <row r="1013">
      <c r="A1013" s="10" t="s">
        <v>962</v>
      </c>
      <c r="B1013" s="11">
        <v>500.0</v>
      </c>
      <c r="C1013" s="12" t="s">
        <v>955</v>
      </c>
      <c r="E1013" s="8" t="str">
        <f>IFERROR(__xludf.DUMMYFUNCTION("SPLIT(A1013,""TX"")"),"Garrett, Matt
13721 Welch Rd.
Farmers Branch, ")</f>
        <v>Garrett, Matt
13721 Welch Rd.
Farmers Branch, </v>
      </c>
      <c r="F1013" s="8">
        <f>IFERROR(__xludf.DUMMYFUNCTION("""COMPUTED_VALUE"""),75244.0)</f>
        <v>75244</v>
      </c>
      <c r="I1013" s="8">
        <f t="shared" si="12"/>
        <v>75244</v>
      </c>
      <c r="J1013" s="9">
        <f>IFERROR(__xludf.DUMMYFUNCTION("SPLIT(I1013,""-"")"),75244.0)</f>
        <v>75244</v>
      </c>
    </row>
    <row r="1014">
      <c r="A1014" s="5" t="s">
        <v>963</v>
      </c>
      <c r="B1014" s="6">
        <v>1000.0</v>
      </c>
      <c r="C1014" s="7" t="s">
        <v>955</v>
      </c>
      <c r="E1014" s="8" t="str">
        <f>IFERROR(__xludf.DUMMYFUNCTION("SPLIT(A1014,""TX"")"),"Stock, Blake
4572 ")</f>
        <v>Stock, Blake
4572 </v>
      </c>
      <c r="F1014" s="8" t="str">
        <f>IFERROR(__xludf.DUMMYFUNCTION("""COMPUTED_VALUE"""),"urnberry Ct.
Plano, ")</f>
        <v>urnberry Ct.
Plano, </v>
      </c>
      <c r="G1014" s="8">
        <f>IFERROR(__xludf.DUMMYFUNCTION("""COMPUTED_VALUE"""),75024.0)</f>
        <v>75024</v>
      </c>
      <c r="I1014" s="8">
        <f t="shared" si="12"/>
        <v>75024</v>
      </c>
      <c r="J1014" s="9">
        <f>IFERROR(__xludf.DUMMYFUNCTION("SPLIT(I1014,""-"")"),75024.0)</f>
        <v>75024</v>
      </c>
    </row>
    <row r="1015">
      <c r="A1015" s="10" t="s">
        <v>963</v>
      </c>
      <c r="B1015" s="11">
        <v>1000.0</v>
      </c>
      <c r="C1015" s="12" t="s">
        <v>955</v>
      </c>
      <c r="E1015" s="8" t="str">
        <f>IFERROR(__xludf.DUMMYFUNCTION("SPLIT(A1015,""TX"")"),"Stock, Blake
4572 ")</f>
        <v>Stock, Blake
4572 </v>
      </c>
      <c r="F1015" s="8" t="str">
        <f>IFERROR(__xludf.DUMMYFUNCTION("""COMPUTED_VALUE"""),"urnberry Ct.
Plano, ")</f>
        <v>urnberry Ct.
Plano, </v>
      </c>
      <c r="G1015" s="8">
        <f>IFERROR(__xludf.DUMMYFUNCTION("""COMPUTED_VALUE"""),75024.0)</f>
        <v>75024</v>
      </c>
      <c r="I1015" s="8">
        <f t="shared" si="12"/>
        <v>75024</v>
      </c>
      <c r="J1015" s="9">
        <f>IFERROR(__xludf.DUMMYFUNCTION("SPLIT(I1015,""-"")"),75024.0)</f>
        <v>75024</v>
      </c>
    </row>
    <row r="1016">
      <c r="A1016" s="5" t="s">
        <v>964</v>
      </c>
      <c r="B1016" s="6">
        <v>400.0</v>
      </c>
      <c r="C1016" s="7" t="s">
        <v>955</v>
      </c>
      <c r="E1016" s="8" t="str">
        <f>IFERROR(__xludf.DUMMYFUNCTION("SPLIT(A1016,""TX"")"),"Monroe, Gayla
10 Carolane ")</f>
        <v>Monroe, Gayla
10 Carolane </v>
      </c>
      <c r="F1016" s="8" t="str">
        <f>IFERROR(__xludf.DUMMYFUNCTION("""COMPUTED_VALUE"""),"R.
Houston, ")</f>
        <v>R.
Houston, </v>
      </c>
      <c r="G1016" s="8">
        <f>IFERROR(__xludf.DUMMYFUNCTION("""COMPUTED_VALUE"""),77024.0)</f>
        <v>77024</v>
      </c>
      <c r="I1016" s="8">
        <f t="shared" si="12"/>
        <v>77024</v>
      </c>
      <c r="J1016" s="9">
        <f>IFERROR(__xludf.DUMMYFUNCTION("SPLIT(I1016,""-"")"),77024.0)</f>
        <v>77024</v>
      </c>
    </row>
    <row r="1017">
      <c r="A1017" s="10" t="s">
        <v>964</v>
      </c>
      <c r="B1017" s="11">
        <v>400.0</v>
      </c>
      <c r="C1017" s="12" t="s">
        <v>955</v>
      </c>
      <c r="E1017" s="8" t="str">
        <f>IFERROR(__xludf.DUMMYFUNCTION("SPLIT(A1017,""TX"")"),"Monroe, Gayla
10 Carolane ")</f>
        <v>Monroe, Gayla
10 Carolane </v>
      </c>
      <c r="F1017" s="8" t="str">
        <f>IFERROR(__xludf.DUMMYFUNCTION("""COMPUTED_VALUE"""),"R.
Houston, ")</f>
        <v>R.
Houston, </v>
      </c>
      <c r="G1017" s="8">
        <f>IFERROR(__xludf.DUMMYFUNCTION("""COMPUTED_VALUE"""),77024.0)</f>
        <v>77024</v>
      </c>
      <c r="I1017" s="8">
        <f t="shared" si="12"/>
        <v>77024</v>
      </c>
      <c r="J1017" s="9">
        <f>IFERROR(__xludf.DUMMYFUNCTION("SPLIT(I1017,""-"")"),77024.0)</f>
        <v>77024</v>
      </c>
    </row>
    <row r="1018">
      <c r="A1018" s="5" t="s">
        <v>965</v>
      </c>
      <c r="B1018" s="6">
        <v>1000.0</v>
      </c>
      <c r="C1018" s="7" t="s">
        <v>955</v>
      </c>
      <c r="E1018" s="8" t="str">
        <f>IFERROR(__xludf.DUMMYFUNCTION("SPLIT(A1018,""TX"")"),"Mitchell, James
6605 Park Ln.
Dallas, ")</f>
        <v>Mitchell, James
6605 Park Ln.
Dallas, </v>
      </c>
      <c r="F1018" s="8">
        <f>IFERROR(__xludf.DUMMYFUNCTION("""COMPUTED_VALUE"""),75225.0)</f>
        <v>75225</v>
      </c>
      <c r="I1018" s="8">
        <f t="shared" si="12"/>
        <v>75225</v>
      </c>
      <c r="J1018" s="9">
        <f>IFERROR(__xludf.DUMMYFUNCTION("SPLIT(I1018,""-"")"),75225.0)</f>
        <v>75225</v>
      </c>
    </row>
    <row r="1019">
      <c r="A1019" s="10" t="s">
        <v>965</v>
      </c>
      <c r="B1019" s="11">
        <v>1000.0</v>
      </c>
      <c r="C1019" s="12" t="s">
        <v>955</v>
      </c>
      <c r="E1019" s="8" t="str">
        <f>IFERROR(__xludf.DUMMYFUNCTION("SPLIT(A1019,""TX"")"),"Mitchell, James
6605 Park Ln.
Dallas, ")</f>
        <v>Mitchell, James
6605 Park Ln.
Dallas, </v>
      </c>
      <c r="F1019" s="8">
        <f>IFERROR(__xludf.DUMMYFUNCTION("""COMPUTED_VALUE"""),75225.0)</f>
        <v>75225</v>
      </c>
      <c r="I1019" s="8">
        <f t="shared" si="12"/>
        <v>75225</v>
      </c>
      <c r="J1019" s="9">
        <f>IFERROR(__xludf.DUMMYFUNCTION("SPLIT(I1019,""-"")"),75225.0)</f>
        <v>75225</v>
      </c>
    </row>
    <row r="1020">
      <c r="A1020" s="5" t="s">
        <v>966</v>
      </c>
      <c r="B1020" s="6">
        <v>1000.0</v>
      </c>
      <c r="C1020" s="7" t="s">
        <v>955</v>
      </c>
      <c r="E1020" s="8" t="str">
        <f>IFERROR(__xludf.DUMMYFUNCTION("SPLIT(A1020,""TX"")"),"Agnes, Lisa
18208 Preston Rd.
Dallas, ")</f>
        <v>Agnes, Lisa
18208 Preston Rd.
Dallas, </v>
      </c>
      <c r="F1020" s="8">
        <f>IFERROR(__xludf.DUMMYFUNCTION("""COMPUTED_VALUE"""),75252.0)</f>
        <v>75252</v>
      </c>
      <c r="I1020" s="8">
        <f t="shared" si="12"/>
        <v>75252</v>
      </c>
      <c r="J1020" s="9">
        <f>IFERROR(__xludf.DUMMYFUNCTION("SPLIT(I1020,""-"")"),75252.0)</f>
        <v>75252</v>
      </c>
    </row>
    <row r="1021">
      <c r="A1021" s="10" t="s">
        <v>966</v>
      </c>
      <c r="B1021" s="11">
        <v>1000.0</v>
      </c>
      <c r="C1021" s="12" t="s">
        <v>955</v>
      </c>
      <c r="E1021" s="8" t="str">
        <f>IFERROR(__xludf.DUMMYFUNCTION("SPLIT(A1021,""TX"")"),"Agnes, Lisa
18208 Preston Rd.
Dallas, ")</f>
        <v>Agnes, Lisa
18208 Preston Rd.
Dallas, </v>
      </c>
      <c r="F1021" s="8">
        <f>IFERROR(__xludf.DUMMYFUNCTION("""COMPUTED_VALUE"""),75252.0)</f>
        <v>75252</v>
      </c>
      <c r="I1021" s="8">
        <f t="shared" si="12"/>
        <v>75252</v>
      </c>
      <c r="J1021" s="9">
        <f>IFERROR(__xludf.DUMMYFUNCTION("SPLIT(I1021,""-"")"),75252.0)</f>
        <v>75252</v>
      </c>
    </row>
    <row r="1022">
      <c r="A1022" s="5" t="s">
        <v>967</v>
      </c>
      <c r="B1022" s="6">
        <v>200.0</v>
      </c>
      <c r="C1022" s="7" t="s">
        <v>955</v>
      </c>
      <c r="E1022" s="8" t="str">
        <f>IFERROR(__xludf.DUMMYFUNCTION("SPLIT(A1022,""TX"")"),"Corbin, Larry
2759 Harbinger Dr.
Dallas, ")</f>
        <v>Corbin, Larry
2759 Harbinger Dr.
Dallas, </v>
      </c>
      <c r="F1022" s="8">
        <f>IFERROR(__xludf.DUMMYFUNCTION("""COMPUTED_VALUE"""),75240.0)</f>
        <v>75240</v>
      </c>
      <c r="I1022" s="8">
        <f t="shared" si="12"/>
        <v>75240</v>
      </c>
      <c r="J1022" s="9">
        <f>IFERROR(__xludf.DUMMYFUNCTION("SPLIT(I1022,""-"")"),75240.0)</f>
        <v>75240</v>
      </c>
    </row>
    <row r="1023">
      <c r="A1023" s="10" t="s">
        <v>967</v>
      </c>
      <c r="B1023" s="11">
        <v>200.0</v>
      </c>
      <c r="C1023" s="12" t="s">
        <v>955</v>
      </c>
      <c r="E1023" s="8" t="str">
        <f>IFERROR(__xludf.DUMMYFUNCTION("SPLIT(A1023,""TX"")"),"Corbin, Larry
2759 Harbinger Dr.
Dallas, ")</f>
        <v>Corbin, Larry
2759 Harbinger Dr.
Dallas, </v>
      </c>
      <c r="F1023" s="8">
        <f>IFERROR(__xludf.DUMMYFUNCTION("""COMPUTED_VALUE"""),75240.0)</f>
        <v>75240</v>
      </c>
      <c r="I1023" s="8">
        <f t="shared" si="12"/>
        <v>75240</v>
      </c>
      <c r="J1023" s="9">
        <f>IFERROR(__xludf.DUMMYFUNCTION("SPLIT(I1023,""-"")"),75240.0)</f>
        <v>75240</v>
      </c>
    </row>
    <row r="1024">
      <c r="A1024" s="5" t="s">
        <v>968</v>
      </c>
      <c r="B1024" s="6">
        <v>1000.0</v>
      </c>
      <c r="C1024" s="7" t="s">
        <v>955</v>
      </c>
      <c r="E1024" s="8" t="str">
        <f>IFERROR(__xludf.DUMMYFUNCTION("SPLIT(A1024,""TX"")"),"Rattikin, Jeff
2108 Fountain Square Dr.
Fort Worth, ")</f>
        <v>Rattikin, Jeff
2108 Fountain Square Dr.
Fort Worth, </v>
      </c>
      <c r="F1024" s="8">
        <f>IFERROR(__xludf.DUMMYFUNCTION("""COMPUTED_VALUE"""),76107.0)</f>
        <v>76107</v>
      </c>
      <c r="I1024" s="8">
        <f t="shared" si="12"/>
        <v>76107</v>
      </c>
      <c r="J1024" s="9">
        <f>IFERROR(__xludf.DUMMYFUNCTION("SPLIT(I1024,""-"")"),76107.0)</f>
        <v>76107</v>
      </c>
    </row>
    <row r="1025">
      <c r="A1025" s="10" t="s">
        <v>968</v>
      </c>
      <c r="B1025" s="11">
        <v>1000.0</v>
      </c>
      <c r="C1025" s="12" t="s">
        <v>955</v>
      </c>
      <c r="E1025" s="8" t="str">
        <f>IFERROR(__xludf.DUMMYFUNCTION("SPLIT(A1025,""TX"")"),"Rattikin, Jeff
2108 Fountain Square Dr.
Fort Worth, ")</f>
        <v>Rattikin, Jeff
2108 Fountain Square Dr.
Fort Worth, </v>
      </c>
      <c r="F1025" s="8">
        <f>IFERROR(__xludf.DUMMYFUNCTION("""COMPUTED_VALUE"""),76107.0)</f>
        <v>76107</v>
      </c>
      <c r="I1025" s="8">
        <f t="shared" si="12"/>
        <v>76107</v>
      </c>
      <c r="J1025" s="9">
        <f>IFERROR(__xludf.DUMMYFUNCTION("SPLIT(I1025,""-"")"),76107.0)</f>
        <v>76107</v>
      </c>
    </row>
    <row r="1026">
      <c r="A1026" s="5" t="s">
        <v>969</v>
      </c>
      <c r="B1026" s="6">
        <v>100.0</v>
      </c>
      <c r="C1026" s="7" t="s">
        <v>955</v>
      </c>
      <c r="E1026" s="8" t="str">
        <f>IFERROR(__xludf.DUMMYFUNCTION("SPLIT(A1026,""TX"")"),"Carson, Audrey
9511 Highedge Dr.
Dallas, ")</f>
        <v>Carson, Audrey
9511 Highedge Dr.
Dallas, </v>
      </c>
      <c r="F1026" s="8">
        <f>IFERROR(__xludf.DUMMYFUNCTION("""COMPUTED_VALUE"""),75238.0)</f>
        <v>75238</v>
      </c>
      <c r="I1026" s="8">
        <f t="shared" si="12"/>
        <v>75238</v>
      </c>
      <c r="J1026" s="9">
        <f>IFERROR(__xludf.DUMMYFUNCTION("SPLIT(I1026,""-"")"),75238.0)</f>
        <v>75238</v>
      </c>
    </row>
    <row r="1027">
      <c r="A1027" s="10" t="s">
        <v>969</v>
      </c>
      <c r="B1027" s="11">
        <v>100.0</v>
      </c>
      <c r="C1027" s="12" t="s">
        <v>955</v>
      </c>
      <c r="E1027" s="8" t="str">
        <f>IFERROR(__xludf.DUMMYFUNCTION("SPLIT(A1027,""TX"")"),"Carson, Audrey
9511 Highedge Dr.
Dallas, ")</f>
        <v>Carson, Audrey
9511 Highedge Dr.
Dallas, </v>
      </c>
      <c r="F1027" s="8">
        <f>IFERROR(__xludf.DUMMYFUNCTION("""COMPUTED_VALUE"""),75238.0)</f>
        <v>75238</v>
      </c>
      <c r="I1027" s="8">
        <f t="shared" si="12"/>
        <v>75238</v>
      </c>
      <c r="J1027" s="9">
        <f>IFERROR(__xludf.DUMMYFUNCTION("SPLIT(I1027,""-"")"),75238.0)</f>
        <v>75238</v>
      </c>
    </row>
    <row r="1028">
      <c r="A1028" s="5" t="s">
        <v>970</v>
      </c>
      <c r="B1028" s="6">
        <v>100.0</v>
      </c>
      <c r="C1028" s="7" t="s">
        <v>931</v>
      </c>
      <c r="E1028" s="8" t="str">
        <f>IFERROR(__xludf.DUMMYFUNCTION("SPLIT(A1028,""TX"")"),"Shacklett, Suellen
3526 Apple Valley Dr
Farmers Branch, ")</f>
        <v>Shacklett, Suellen
3526 Apple Valley Dr
Farmers Branch, </v>
      </c>
      <c r="F1028" s="8">
        <f>IFERROR(__xludf.DUMMYFUNCTION("""COMPUTED_VALUE"""),75234.0)</f>
        <v>75234</v>
      </c>
      <c r="I1028" s="8">
        <f t="shared" si="12"/>
        <v>75234</v>
      </c>
      <c r="J1028" s="9">
        <f>IFERROR(__xludf.DUMMYFUNCTION("SPLIT(I1028,""-"")"),75234.0)</f>
        <v>75234</v>
      </c>
    </row>
    <row r="1029">
      <c r="A1029" s="5" t="s">
        <v>971</v>
      </c>
      <c r="B1029" s="6">
        <v>100.0</v>
      </c>
      <c r="C1029" s="7" t="s">
        <v>931</v>
      </c>
      <c r="E1029" s="8" t="str">
        <f>IFERROR(__xludf.DUMMYFUNCTION("SPLIT(A1029,""TX"")"),"Shacklett, Suellen
3526 Apple Valley Dr
Dallas, ")</f>
        <v>Shacklett, Suellen
3526 Apple Valley Dr
Dallas, </v>
      </c>
      <c r="F1029" s="8">
        <f>IFERROR(__xludf.DUMMYFUNCTION("""COMPUTED_VALUE"""),75234.0)</f>
        <v>75234</v>
      </c>
      <c r="I1029" s="8">
        <f t="shared" si="12"/>
        <v>75234</v>
      </c>
      <c r="J1029" s="9">
        <f>IFERROR(__xludf.DUMMYFUNCTION("SPLIT(I1029,""-"")"),75234.0)</f>
        <v>75234</v>
      </c>
    </row>
    <row r="1030">
      <c r="A1030" s="5" t="s">
        <v>972</v>
      </c>
      <c r="B1030" s="6">
        <v>250.0</v>
      </c>
      <c r="C1030" s="7" t="s">
        <v>931</v>
      </c>
      <c r="E1030" s="8" t="str">
        <f>IFERROR(__xludf.DUMMYFUNCTION("SPLIT(A1030,""TX"")"),"Shacklett, Craig
3526 Apple Valley Dr
Farmers Branch, ")</f>
        <v>Shacklett, Craig
3526 Apple Valley Dr
Farmers Branch, </v>
      </c>
      <c r="F1030" s="8">
        <f>IFERROR(__xludf.DUMMYFUNCTION("""COMPUTED_VALUE"""),75234.0)</f>
        <v>75234</v>
      </c>
      <c r="I1030" s="8">
        <f t="shared" si="12"/>
        <v>75234</v>
      </c>
      <c r="J1030" s="9">
        <f>IFERROR(__xludf.DUMMYFUNCTION("SPLIT(I1030,""-"")"),75234.0)</f>
        <v>75234</v>
      </c>
    </row>
    <row r="1031">
      <c r="A1031" s="5" t="s">
        <v>973</v>
      </c>
      <c r="B1031" s="6">
        <v>500.0</v>
      </c>
      <c r="C1031" s="7" t="s">
        <v>931</v>
      </c>
      <c r="E1031" s="8" t="str">
        <f>IFERROR(__xludf.DUMMYFUNCTION("SPLIT(A1031,""TX"")"),"Richardson, Patricia
5520 Preston Haven Dr
Dallas, ")</f>
        <v>Richardson, Patricia
5520 Preston Haven Dr
Dallas, </v>
      </c>
      <c r="F1031" s="8">
        <f>IFERROR(__xludf.DUMMYFUNCTION("""COMPUTED_VALUE"""),75206.0)</f>
        <v>75206</v>
      </c>
      <c r="I1031" s="8">
        <f t="shared" si="12"/>
        <v>75206</v>
      </c>
      <c r="J1031" s="9">
        <f>IFERROR(__xludf.DUMMYFUNCTION("SPLIT(I1031,""-"")"),75206.0)</f>
        <v>75206</v>
      </c>
    </row>
    <row r="1032">
      <c r="A1032" s="5" t="s">
        <v>974</v>
      </c>
      <c r="B1032" s="6">
        <v>30.0</v>
      </c>
      <c r="C1032" s="7" t="s">
        <v>931</v>
      </c>
      <c r="E1032" s="8" t="str">
        <f>IFERROR(__xludf.DUMMYFUNCTION("SPLIT(A1032,""TX"")"),"Cauldwell, Kevin
1412 ")</f>
        <v>Cauldwell, Kevin
1412 </v>
      </c>
      <c r="F1032" s="8" t="str">
        <f>IFERROR(__xludf.DUMMYFUNCTION("""COMPUTED_VALUE"""),"anglewood Dr
Farmers Branch, ")</f>
        <v>anglewood Dr
Farmers Branch, </v>
      </c>
      <c r="G1032" s="8">
        <f>IFERROR(__xludf.DUMMYFUNCTION("""COMPUTED_VALUE"""),75234.0)</f>
        <v>75234</v>
      </c>
      <c r="I1032" s="8">
        <f t="shared" si="12"/>
        <v>75234</v>
      </c>
      <c r="J1032" s="9">
        <f>IFERROR(__xludf.DUMMYFUNCTION("SPLIT(I1032,""-"")"),75234.0)</f>
        <v>75234</v>
      </c>
    </row>
    <row r="1033">
      <c r="A1033" s="5" t="s">
        <v>975</v>
      </c>
      <c r="B1033" s="6">
        <v>30.0</v>
      </c>
      <c r="C1033" s="7" t="s">
        <v>931</v>
      </c>
      <c r="E1033" s="8" t="str">
        <f>IFERROR(__xludf.DUMMYFUNCTION("SPLIT(A1033,""TX"")"),"Cauldwell, Mary
1412 ")</f>
        <v>Cauldwell, Mary
1412 </v>
      </c>
      <c r="F1033" s="8" t="str">
        <f>IFERROR(__xludf.DUMMYFUNCTION("""COMPUTED_VALUE"""),"anglewood Dr
Farmers Branch, ")</f>
        <v>anglewood Dr
Farmers Branch, </v>
      </c>
      <c r="G1033" s="8">
        <f>IFERROR(__xludf.DUMMYFUNCTION("""COMPUTED_VALUE"""),75234.0)</f>
        <v>75234</v>
      </c>
      <c r="I1033" s="8">
        <f t="shared" si="12"/>
        <v>75234</v>
      </c>
      <c r="J1033" s="9">
        <f>IFERROR(__xludf.DUMMYFUNCTION("SPLIT(I1033,""-"")"),75234.0)</f>
        <v>75234</v>
      </c>
    </row>
    <row r="1034">
      <c r="A1034" s="5" t="s">
        <v>976</v>
      </c>
      <c r="B1034" s="6">
        <v>50.0</v>
      </c>
      <c r="C1034" s="7" t="s">
        <v>931</v>
      </c>
      <c r="E1034" s="8" t="str">
        <f>IFERROR(__xludf.DUMMYFUNCTION("SPLIT(A1034,""TX"")"),"Canion, Judth
9715 Windam Dr
Dallas, ")</f>
        <v>Canion, Judth
9715 Windam Dr
Dallas, </v>
      </c>
      <c r="F1034" s="8">
        <f>IFERROR(__xludf.DUMMYFUNCTION("""COMPUTED_VALUE"""),75243.0)</f>
        <v>75243</v>
      </c>
      <c r="I1034" s="8">
        <f t="shared" si="12"/>
        <v>75243</v>
      </c>
      <c r="J1034" s="9">
        <f>IFERROR(__xludf.DUMMYFUNCTION("SPLIT(I1034,""-"")"),75243.0)</f>
        <v>75243</v>
      </c>
    </row>
    <row r="1035">
      <c r="A1035" s="5" t="s">
        <v>977</v>
      </c>
      <c r="B1035" s="6">
        <v>250.0</v>
      </c>
      <c r="C1035" s="7" t="s">
        <v>931</v>
      </c>
      <c r="E1035" s="8" t="str">
        <f>IFERROR(__xludf.DUMMYFUNCTION("SPLIT(A1035,""TX"")"),"Williams, Winston
4020 Rosser Square
Dallas, ")</f>
        <v>Williams, Winston
4020 Rosser Square
Dallas, </v>
      </c>
      <c r="F1035" s="8">
        <f>IFERROR(__xludf.DUMMYFUNCTION("""COMPUTED_VALUE"""),75244.0)</f>
        <v>75244</v>
      </c>
      <c r="I1035" s="8">
        <f t="shared" si="12"/>
        <v>75244</v>
      </c>
      <c r="J1035" s="9">
        <f>IFERROR(__xludf.DUMMYFUNCTION("SPLIT(I1035,""-"")"),75244.0)</f>
        <v>75244</v>
      </c>
    </row>
    <row r="1036">
      <c r="A1036" s="5" t="s">
        <v>978</v>
      </c>
      <c r="B1036" s="6">
        <v>20.0</v>
      </c>
      <c r="C1036" s="7" t="s">
        <v>931</v>
      </c>
      <c r="E1036" s="8" t="str">
        <f>IFERROR(__xludf.DUMMYFUNCTION("SPLIT(A1036,""TX"")"),"Nemec, Kathy
10707 Webster ")</f>
        <v>Nemec, Kathy
10707 Webster </v>
      </c>
      <c r="F1036" s="8" t="str">
        <f>IFERROR(__xludf.DUMMYFUNCTION("""COMPUTED_VALUE"""),"errace
Dallas, ")</f>
        <v>errace
Dallas, </v>
      </c>
      <c r="G1036" s="8">
        <f>IFERROR(__xludf.DUMMYFUNCTION("""COMPUTED_VALUE"""),75229.0)</f>
        <v>75229</v>
      </c>
      <c r="I1036" s="8">
        <f t="shared" si="12"/>
        <v>75229</v>
      </c>
      <c r="J1036" s="9">
        <f>IFERROR(__xludf.DUMMYFUNCTION("SPLIT(I1036,""-"")"),75229.0)</f>
        <v>75229</v>
      </c>
    </row>
    <row r="1037">
      <c r="A1037" s="5" t="s">
        <v>979</v>
      </c>
      <c r="B1037" s="6">
        <v>1000.0</v>
      </c>
      <c r="C1037" s="7" t="s">
        <v>931</v>
      </c>
      <c r="E1037" s="8" t="str">
        <f>IFERROR(__xludf.DUMMYFUNCTION("SPLIT(A1037,""TX"")"),"Jenning, Steve
2310 N Henderson Ave
Dallas, ")</f>
        <v>Jenning, Steve
2310 N Henderson Ave
Dallas, </v>
      </c>
      <c r="F1037" s="8">
        <f>IFERROR(__xludf.DUMMYFUNCTION("""COMPUTED_VALUE"""),75206.0)</f>
        <v>75206</v>
      </c>
      <c r="I1037" s="8">
        <f t="shared" si="12"/>
        <v>75206</v>
      </c>
      <c r="J1037" s="9">
        <f>IFERROR(__xludf.DUMMYFUNCTION("SPLIT(I1037,""-"")"),75206.0)</f>
        <v>75206</v>
      </c>
    </row>
    <row r="1038">
      <c r="A1038" s="5" t="s">
        <v>980</v>
      </c>
      <c r="B1038" s="6">
        <v>1000.0</v>
      </c>
      <c r="C1038" s="7" t="s">
        <v>931</v>
      </c>
      <c r="E1038" s="8" t="str">
        <f>IFERROR(__xludf.DUMMYFUNCTION("SPLIT(A1038,""TX"")"),"Jenning, Nancy
2310 N Henderson Ave
Dallas, ")</f>
        <v>Jenning, Nancy
2310 N Henderson Ave
Dallas, </v>
      </c>
      <c r="F1038" s="8">
        <f>IFERROR(__xludf.DUMMYFUNCTION("""COMPUTED_VALUE"""),75206.0)</f>
        <v>75206</v>
      </c>
      <c r="I1038" s="8">
        <f t="shared" si="12"/>
        <v>75206</v>
      </c>
      <c r="J1038" s="9">
        <f>IFERROR(__xludf.DUMMYFUNCTION("SPLIT(I1038,""-"")"),75206.0)</f>
        <v>75206</v>
      </c>
    </row>
    <row r="1039">
      <c r="A1039" s="5" t="s">
        <v>981</v>
      </c>
      <c r="B1039" s="6">
        <v>500.0</v>
      </c>
      <c r="C1039" s="7" t="s">
        <v>931</v>
      </c>
      <c r="E1039" s="8" t="str">
        <f>IFERROR(__xludf.DUMMYFUNCTION("SPLIT(A1039,""TX"")"),"Anderes, Roxan
5028 Lilac Ln
Dallas, ")</f>
        <v>Anderes, Roxan
5028 Lilac Ln
Dallas, </v>
      </c>
      <c r="F1039" s="8">
        <f>IFERROR(__xludf.DUMMYFUNCTION("""COMPUTED_VALUE"""),75209.0)</f>
        <v>75209</v>
      </c>
      <c r="I1039" s="8">
        <f t="shared" si="12"/>
        <v>75209</v>
      </c>
      <c r="J1039" s="9">
        <f>IFERROR(__xludf.DUMMYFUNCTION("SPLIT(I1039,""-"")"),75209.0)</f>
        <v>75209</v>
      </c>
    </row>
    <row r="1040">
      <c r="A1040" s="5" t="s">
        <v>982</v>
      </c>
      <c r="B1040" s="6">
        <v>100.0</v>
      </c>
      <c r="C1040" s="7" t="s">
        <v>931</v>
      </c>
      <c r="E1040" s="8" t="str">
        <f>IFERROR(__xludf.DUMMYFUNCTION("SPLIT(A1040,""TX"")"),"Zvara, Julie
5423 Emerson Ave
Dallas, ")</f>
        <v>Zvara, Julie
5423 Emerson Ave
Dallas, </v>
      </c>
      <c r="F1040" s="8">
        <f>IFERROR(__xludf.DUMMYFUNCTION("""COMPUTED_VALUE"""),75209.0)</f>
        <v>75209</v>
      </c>
      <c r="I1040" s="8">
        <f t="shared" si="12"/>
        <v>75209</v>
      </c>
      <c r="J1040" s="9">
        <f>IFERROR(__xludf.DUMMYFUNCTION("SPLIT(I1040,""-"")"),75209.0)</f>
        <v>75209</v>
      </c>
    </row>
    <row r="1041">
      <c r="A1041" s="5" t="s">
        <v>983</v>
      </c>
      <c r="B1041" s="6">
        <v>250.0</v>
      </c>
      <c r="C1041" s="7" t="s">
        <v>931</v>
      </c>
      <c r="E1041" s="8" t="str">
        <f>IFERROR(__xludf.DUMMYFUNCTION("SPLIT(A1041,""TX"")"),"Melo, Nancy
6338 Waggoner Dr
Dallas, ")</f>
        <v>Melo, Nancy
6338 Waggoner Dr
Dallas, </v>
      </c>
      <c r="F1041" s="8">
        <f>IFERROR(__xludf.DUMMYFUNCTION("""COMPUTED_VALUE"""),75230.0)</f>
        <v>75230</v>
      </c>
      <c r="I1041" s="8">
        <f t="shared" si="12"/>
        <v>75230</v>
      </c>
      <c r="J1041" s="9">
        <f>IFERROR(__xludf.DUMMYFUNCTION("SPLIT(I1041,""-"")"),75230.0)</f>
        <v>75230</v>
      </c>
    </row>
    <row r="1042">
      <c r="A1042" s="5" t="s">
        <v>984</v>
      </c>
      <c r="B1042" s="6">
        <v>100.0</v>
      </c>
      <c r="C1042" s="7" t="s">
        <v>636</v>
      </c>
      <c r="E1042" s="8" t="str">
        <f>IFERROR(__xludf.DUMMYFUNCTION("SPLIT(A1042,""TX"")"),"Howat, Stevie
8605 Westfield Drive
Dallas, ")</f>
        <v>Howat, Stevie
8605 Westfield Drive
Dallas, </v>
      </c>
      <c r="F1042" s="8">
        <f>IFERROR(__xludf.DUMMYFUNCTION("""COMPUTED_VALUE"""),75243.0)</f>
        <v>75243</v>
      </c>
      <c r="I1042" s="8">
        <f t="shared" si="12"/>
        <v>75243</v>
      </c>
      <c r="J1042" s="9">
        <f>IFERROR(__xludf.DUMMYFUNCTION("SPLIT(I1042,""-"")"),75243.0)</f>
        <v>75243</v>
      </c>
    </row>
    <row r="1043">
      <c r="A1043" s="10" t="s">
        <v>985</v>
      </c>
      <c r="B1043" s="11">
        <v>500.0</v>
      </c>
      <c r="C1043" s="12" t="s">
        <v>636</v>
      </c>
      <c r="E1043" s="8" t="str">
        <f>IFERROR(__xludf.DUMMYFUNCTION("SPLIT(A1043,""TX"")"),"Holland, Mark
10115 Chesterton Drive
Dallas, ")</f>
        <v>Holland, Mark
10115 Chesterton Drive
Dallas, </v>
      </c>
      <c r="F1043" s="8">
        <f>IFERROR(__xludf.DUMMYFUNCTION("""COMPUTED_VALUE"""),75238.0)</f>
        <v>75238</v>
      </c>
      <c r="I1043" s="8">
        <f t="shared" si="12"/>
        <v>75238</v>
      </c>
      <c r="J1043" s="9">
        <f>IFERROR(__xludf.DUMMYFUNCTION("SPLIT(I1043,""-"")"),75238.0)</f>
        <v>75238</v>
      </c>
    </row>
    <row r="1044">
      <c r="A1044" s="5" t="s">
        <v>986</v>
      </c>
      <c r="B1044" s="6">
        <v>100.0</v>
      </c>
      <c r="C1044" s="7" t="s">
        <v>636</v>
      </c>
      <c r="E1044" s="8" t="str">
        <f>IFERROR(__xludf.DUMMYFUNCTION("SPLIT(A1044,""TX"")"),"Hicks, Pat
9625 Angleridge Rd
Dallas, ")</f>
        <v>Hicks, Pat
9625 Angleridge Rd
Dallas, </v>
      </c>
      <c r="F1044" s="8">
        <f>IFERROR(__xludf.DUMMYFUNCTION("""COMPUTED_VALUE"""),75238.0)</f>
        <v>75238</v>
      </c>
      <c r="I1044" s="8">
        <f t="shared" si="12"/>
        <v>75238</v>
      </c>
      <c r="J1044" s="9">
        <f>IFERROR(__xludf.DUMMYFUNCTION("SPLIT(I1044,""-"")"),75238.0)</f>
        <v>75238</v>
      </c>
    </row>
    <row r="1045">
      <c r="A1045" s="10" t="s">
        <v>987</v>
      </c>
      <c r="B1045" s="11">
        <v>100.0</v>
      </c>
      <c r="C1045" s="12" t="s">
        <v>636</v>
      </c>
      <c r="E1045" s="8" t="str">
        <f>IFERROR(__xludf.DUMMYFUNCTION("SPLIT(A1045,""TX"")"),"Garcia MD, Catalina E
10455 N. Central Expressway
Dallas, ")</f>
        <v>Garcia MD, Catalina E
10455 N. Central Expressway
Dallas, </v>
      </c>
      <c r="F1045" s="8">
        <f>IFERROR(__xludf.DUMMYFUNCTION("""COMPUTED_VALUE"""),75231.0)</f>
        <v>75231</v>
      </c>
      <c r="I1045" s="8">
        <f t="shared" si="12"/>
        <v>75231</v>
      </c>
      <c r="J1045" s="9">
        <f>IFERROR(__xludf.DUMMYFUNCTION("SPLIT(I1045,""-"")"),75231.0)</f>
        <v>75231</v>
      </c>
    </row>
    <row r="1046">
      <c r="A1046" s="5" t="s">
        <v>988</v>
      </c>
      <c r="B1046" s="6">
        <v>50.0</v>
      </c>
      <c r="C1046" s="7" t="s">
        <v>636</v>
      </c>
      <c r="E1046" s="8" t="str">
        <f>IFERROR(__xludf.DUMMYFUNCTION("SPLIT(A1046,""TX"")"),"Hoptonjones, Gaynelle
9948 Capridge Dr.
Dallas, ")</f>
        <v>Hoptonjones, Gaynelle
9948 Capridge Dr.
Dallas, </v>
      </c>
      <c r="F1046" s="8">
        <f>IFERROR(__xludf.DUMMYFUNCTION("""COMPUTED_VALUE"""),75238.0)</f>
        <v>75238</v>
      </c>
      <c r="I1046" s="8">
        <f t="shared" si="12"/>
        <v>75238</v>
      </c>
      <c r="J1046" s="9">
        <f>IFERROR(__xludf.DUMMYFUNCTION("SPLIT(I1046,""-"")"),75238.0)</f>
        <v>75238</v>
      </c>
    </row>
    <row r="1047">
      <c r="A1047" s="10" t="s">
        <v>989</v>
      </c>
      <c r="B1047" s="11">
        <v>250.0</v>
      </c>
      <c r="C1047" s="12" t="s">
        <v>636</v>
      </c>
      <c r="E1047" s="8" t="str">
        <f>IFERROR(__xludf.DUMMYFUNCTION("SPLIT(A1047,""TX"")"),"Anton, Bruce
9420 Springwater Drive
Dallas, ")</f>
        <v>Anton, Bruce
9420 Springwater Drive
Dallas, </v>
      </c>
      <c r="F1047" s="8">
        <f>IFERROR(__xludf.DUMMYFUNCTION("""COMPUTED_VALUE"""),75228.0)</f>
        <v>75228</v>
      </c>
      <c r="I1047" s="8">
        <f t="shared" si="12"/>
        <v>75228</v>
      </c>
      <c r="J1047" s="9">
        <f>IFERROR(__xludf.DUMMYFUNCTION("SPLIT(I1047,""-"")"),75228.0)</f>
        <v>75228</v>
      </c>
    </row>
    <row r="1048">
      <c r="A1048" s="5" t="s">
        <v>990</v>
      </c>
      <c r="B1048" s="6">
        <v>25.0</v>
      </c>
      <c r="C1048" s="7" t="s">
        <v>636</v>
      </c>
      <c r="E1048" s="8" t="str">
        <f>IFERROR(__xludf.DUMMYFUNCTION("SPLIT(A1048,""TX"")"),"Guynes, Adrienne
6646 East Lovers Ln #203
Dallas, ")</f>
        <v>Guynes, Adrienne
6646 East Lovers Ln #203
Dallas, </v>
      </c>
      <c r="F1048" s="8">
        <f>IFERROR(__xludf.DUMMYFUNCTION("""COMPUTED_VALUE"""),75214.0)</f>
        <v>75214</v>
      </c>
      <c r="I1048" s="8">
        <f t="shared" si="12"/>
        <v>75214</v>
      </c>
      <c r="J1048" s="9">
        <f>IFERROR(__xludf.DUMMYFUNCTION("SPLIT(I1048,""-"")"),75214.0)</f>
        <v>75214</v>
      </c>
    </row>
    <row r="1049">
      <c r="A1049" s="10" t="s">
        <v>991</v>
      </c>
      <c r="B1049" s="11">
        <v>20.0</v>
      </c>
      <c r="C1049" s="12" t="s">
        <v>636</v>
      </c>
      <c r="E1049" s="8" t="str">
        <f>IFERROR(__xludf.DUMMYFUNCTION("SPLIT(A1049,""TX"")"),"Falcona, Jan
8453 ")</f>
        <v>Falcona, Jan
8453 </v>
      </c>
      <c r="F1049" s="8" t="str">
        <f>IFERROR(__xludf.DUMMYFUNCTION("""COMPUTED_VALUE"""),"owneship Lane
Dallas, ")</f>
        <v>owneship Lane
Dallas, </v>
      </c>
      <c r="G1049" s="8">
        <f>IFERROR(__xludf.DUMMYFUNCTION("""COMPUTED_VALUE"""),75243.0)</f>
        <v>75243</v>
      </c>
      <c r="I1049" s="8">
        <f t="shared" si="12"/>
        <v>75243</v>
      </c>
      <c r="J1049" s="9">
        <f>IFERROR(__xludf.DUMMYFUNCTION("SPLIT(I1049,""-"")"),75243.0)</f>
        <v>75243</v>
      </c>
    </row>
    <row r="1050">
      <c r="A1050" s="5" t="s">
        <v>992</v>
      </c>
      <c r="B1050" s="6">
        <v>50.0</v>
      </c>
      <c r="C1050" s="7" t="s">
        <v>636</v>
      </c>
      <c r="E1050" s="8" t="str">
        <f>IFERROR(__xludf.DUMMYFUNCTION("SPLIT(A1050,""TX"")"),"Long, Shannon
1009 Ashland Drive
Mesquite, ")</f>
        <v>Long, Shannon
1009 Ashland Drive
Mesquite, </v>
      </c>
      <c r="F1050" s="8">
        <f>IFERROR(__xludf.DUMMYFUNCTION("""COMPUTED_VALUE"""),75149.0)</f>
        <v>75149</v>
      </c>
      <c r="I1050" s="8">
        <f t="shared" si="12"/>
        <v>75149</v>
      </c>
      <c r="J1050" s="9">
        <f>IFERROR(__xludf.DUMMYFUNCTION("SPLIT(I1050,""-"")"),75149.0)</f>
        <v>75149</v>
      </c>
    </row>
    <row r="1051">
      <c r="A1051" s="10" t="s">
        <v>993</v>
      </c>
      <c r="B1051" s="11">
        <v>200.0</v>
      </c>
      <c r="C1051" s="12" t="s">
        <v>636</v>
      </c>
      <c r="E1051" s="8" t="str">
        <f>IFERROR(__xludf.DUMMYFUNCTION("SPLIT(A1051,""TX"")"),"Quarles, Kara
9853 Broken Bow Rd
Dallas, ")</f>
        <v>Quarles, Kara
9853 Broken Bow Rd
Dallas, </v>
      </c>
      <c r="F1051" s="8">
        <f>IFERROR(__xludf.DUMMYFUNCTION("""COMPUTED_VALUE"""),75238.0)</f>
        <v>75238</v>
      </c>
      <c r="I1051" s="8">
        <f t="shared" si="12"/>
        <v>75238</v>
      </c>
      <c r="J1051" s="9">
        <f>IFERROR(__xludf.DUMMYFUNCTION("SPLIT(I1051,""-"")"),75238.0)</f>
        <v>75238</v>
      </c>
    </row>
    <row r="1052">
      <c r="A1052" s="5" t="s">
        <v>994</v>
      </c>
      <c r="B1052" s="6">
        <v>25.0</v>
      </c>
      <c r="C1052" s="7" t="s">
        <v>636</v>
      </c>
      <c r="E1052" s="8" t="str">
        <f>IFERROR(__xludf.DUMMYFUNCTION("SPLIT(A1052,""TX"")"),"Overby, Debra
8530 Bacardi Dr
Dallas, ")</f>
        <v>Overby, Debra
8530 Bacardi Dr
Dallas, </v>
      </c>
      <c r="F1052" s="8">
        <f>IFERROR(__xludf.DUMMYFUNCTION("""COMPUTED_VALUE"""),75238.0)</f>
        <v>75238</v>
      </c>
      <c r="I1052" s="8">
        <f t="shared" si="12"/>
        <v>75238</v>
      </c>
      <c r="J1052" s="9">
        <f>IFERROR(__xludf.DUMMYFUNCTION("SPLIT(I1052,""-"")"),75238.0)</f>
        <v>75238</v>
      </c>
    </row>
    <row r="1053">
      <c r="A1053" s="10" t="s">
        <v>374</v>
      </c>
      <c r="B1053" s="11">
        <v>100.0</v>
      </c>
      <c r="C1053" s="12" t="s">
        <v>636</v>
      </c>
      <c r="E1053" s="8" t="str">
        <f>IFERROR(__xludf.DUMMYFUNCTION("SPLIT(A1053,""TX"")"),"Gearing, Charles
9332 Mercer Drive
Dallas, ")</f>
        <v>Gearing, Charles
9332 Mercer Drive
Dallas, </v>
      </c>
      <c r="F1053" s="8">
        <f>IFERROR(__xludf.DUMMYFUNCTION("""COMPUTED_VALUE"""),75228.0)</f>
        <v>75228</v>
      </c>
      <c r="I1053" s="8">
        <f t="shared" si="12"/>
        <v>75228</v>
      </c>
      <c r="J1053" s="9">
        <f>IFERROR(__xludf.DUMMYFUNCTION("SPLIT(I1053,""-"")"),75228.0)</f>
        <v>75228</v>
      </c>
    </row>
    <row r="1054">
      <c r="A1054" s="5" t="s">
        <v>995</v>
      </c>
      <c r="B1054" s="6">
        <v>250.0</v>
      </c>
      <c r="C1054" s="7" t="s">
        <v>636</v>
      </c>
      <c r="E1054" s="8" t="str">
        <f>IFERROR(__xludf.DUMMYFUNCTION("SPLIT(A1054,""TX"")"),"mazero, John
6914 La Vista Drive
Dallas, ")</f>
        <v>mazero, John
6914 La Vista Drive
Dallas, </v>
      </c>
      <c r="F1054" s="8">
        <f>IFERROR(__xludf.DUMMYFUNCTION("""COMPUTED_VALUE"""),75214.0)</f>
        <v>75214</v>
      </c>
      <c r="I1054" s="8">
        <f t="shared" si="12"/>
        <v>75214</v>
      </c>
      <c r="J1054" s="9">
        <f>IFERROR(__xludf.DUMMYFUNCTION("SPLIT(I1054,""-"")"),75214.0)</f>
        <v>75214</v>
      </c>
    </row>
    <row r="1055">
      <c r="A1055" s="10" t="s">
        <v>996</v>
      </c>
      <c r="B1055" s="11">
        <v>100.0</v>
      </c>
      <c r="C1055" s="12" t="s">
        <v>636</v>
      </c>
      <c r="E1055" s="8" t="str">
        <f>IFERROR(__xludf.DUMMYFUNCTION("SPLIT(A1055,""TX"")"),"Bon, Ivor
9833 Larchcrest Drive
Dallas, ")</f>
        <v>Bon, Ivor
9833 Larchcrest Drive
Dallas, </v>
      </c>
      <c r="F1055" s="8">
        <f>IFERROR(__xludf.DUMMYFUNCTION("""COMPUTED_VALUE"""),75238.0)</f>
        <v>75238</v>
      </c>
      <c r="I1055" s="8">
        <f t="shared" si="12"/>
        <v>75238</v>
      </c>
      <c r="J1055" s="9">
        <f>IFERROR(__xludf.DUMMYFUNCTION("SPLIT(I1055,""-"")"),75238.0)</f>
        <v>75238</v>
      </c>
    </row>
    <row r="1056">
      <c r="A1056" s="5" t="s">
        <v>987</v>
      </c>
      <c r="B1056" s="6">
        <v>200.0</v>
      </c>
      <c r="C1056" s="7" t="s">
        <v>636</v>
      </c>
      <c r="E1056" s="8" t="str">
        <f>IFERROR(__xludf.DUMMYFUNCTION("SPLIT(A1056,""TX"")"),"Garcia MD, Catalina E
10455 N. Central Expressway
Dallas, ")</f>
        <v>Garcia MD, Catalina E
10455 N. Central Expressway
Dallas, </v>
      </c>
      <c r="F1056" s="8">
        <f>IFERROR(__xludf.DUMMYFUNCTION("""COMPUTED_VALUE"""),75231.0)</f>
        <v>75231</v>
      </c>
      <c r="I1056" s="8">
        <f t="shared" si="12"/>
        <v>75231</v>
      </c>
      <c r="J1056" s="9">
        <f>IFERROR(__xludf.DUMMYFUNCTION("SPLIT(I1056,""-"")"),75231.0)</f>
        <v>75231</v>
      </c>
    </row>
    <row r="1057">
      <c r="A1057" s="10" t="s">
        <v>997</v>
      </c>
      <c r="B1057" s="11">
        <v>75.0</v>
      </c>
      <c r="C1057" s="12" t="s">
        <v>636</v>
      </c>
      <c r="E1057" s="8" t="str">
        <f>IFERROR(__xludf.DUMMYFUNCTION("SPLIT(A1057,""TX"")"),"Schwope, Kristine
16230 Amberwood Road
Dallas, ")</f>
        <v>Schwope, Kristine
16230 Amberwood Road
Dallas, </v>
      </c>
      <c r="F1057" s="8">
        <f>IFERROR(__xludf.DUMMYFUNCTION("""COMPUTED_VALUE"""),75248.0)</f>
        <v>75248</v>
      </c>
      <c r="I1057" s="8">
        <f t="shared" si="12"/>
        <v>75248</v>
      </c>
      <c r="J1057" s="9">
        <f>IFERROR(__xludf.DUMMYFUNCTION("SPLIT(I1057,""-"")"),75248.0)</f>
        <v>75248</v>
      </c>
    </row>
    <row r="1058">
      <c r="A1058" s="5" t="s">
        <v>998</v>
      </c>
      <c r="B1058" s="6">
        <v>50.0</v>
      </c>
      <c r="C1058" s="7" t="s">
        <v>636</v>
      </c>
      <c r="E1058" s="8" t="str">
        <f>IFERROR(__xludf.DUMMYFUNCTION("SPLIT(A1058,""TX"")"),"Wills, Suzanne
8412 Moorcroft Drive
Dallas, ")</f>
        <v>Wills, Suzanne
8412 Moorcroft Drive
Dallas, </v>
      </c>
      <c r="F1058" s="8">
        <f>IFERROR(__xludf.DUMMYFUNCTION("""COMPUTED_VALUE"""),75228.0)</f>
        <v>75228</v>
      </c>
      <c r="I1058" s="8">
        <f t="shared" si="12"/>
        <v>75228</v>
      </c>
      <c r="J1058" s="9">
        <f>IFERROR(__xludf.DUMMYFUNCTION("SPLIT(I1058,""-"")"),75228.0)</f>
        <v>75228</v>
      </c>
    </row>
    <row r="1059">
      <c r="A1059" s="10" t="s">
        <v>999</v>
      </c>
      <c r="B1059" s="11">
        <v>1000.0</v>
      </c>
      <c r="C1059" s="12" t="s">
        <v>636</v>
      </c>
      <c r="E1059" s="8" t="str">
        <f>IFERROR(__xludf.DUMMYFUNCTION("SPLIT(A1059,""TX"")"),"Loftus, Harry
913 Leonard Lane
Allen, ")</f>
        <v>Loftus, Harry
913 Leonard Lane
Allen, </v>
      </c>
      <c r="F1059" s="8">
        <f>IFERROR(__xludf.DUMMYFUNCTION("""COMPUTED_VALUE"""),75013.0)</f>
        <v>75013</v>
      </c>
      <c r="I1059" s="8">
        <f t="shared" si="12"/>
        <v>75013</v>
      </c>
      <c r="J1059" s="9">
        <f>IFERROR(__xludf.DUMMYFUNCTION("SPLIT(I1059,""-"")"),75013.0)</f>
        <v>75013</v>
      </c>
    </row>
    <row r="1060">
      <c r="A1060" s="5" t="s">
        <v>1000</v>
      </c>
      <c r="B1060" s="6">
        <v>50.0</v>
      </c>
      <c r="C1060" s="7" t="s">
        <v>636</v>
      </c>
      <c r="E1060" s="8" t="str">
        <f>IFERROR(__xludf.DUMMYFUNCTION("SPLIT(A1060,""TX"")"),"Doty, Beth
9684 Atherton Dr
Dallas, ")</f>
        <v>Doty, Beth
9684 Atherton Dr
Dallas, </v>
      </c>
      <c r="F1060" s="8">
        <f>IFERROR(__xludf.DUMMYFUNCTION("""COMPUTED_VALUE"""),75243.0)</f>
        <v>75243</v>
      </c>
      <c r="I1060" s="8">
        <f t="shared" si="12"/>
        <v>75243</v>
      </c>
      <c r="J1060" s="9">
        <f>IFERROR(__xludf.DUMMYFUNCTION("SPLIT(I1060,""-"")"),75243.0)</f>
        <v>75243</v>
      </c>
    </row>
    <row r="1061">
      <c r="A1061" s="10" t="s">
        <v>1001</v>
      </c>
      <c r="B1061" s="11">
        <v>100.0</v>
      </c>
      <c r="C1061" s="12" t="s">
        <v>636</v>
      </c>
      <c r="E1061" s="8" t="str">
        <f>IFERROR(__xludf.DUMMYFUNCTION("SPLIT(A1061,""TX"")"),"Green, Dan
57 Baird Drive
Ranchos de ")</f>
        <v>Green, Dan
57 Baird Drive
Ranchos de </v>
      </c>
      <c r="F1061" s="8" t="str">
        <f>IFERROR(__xludf.DUMMYFUNCTION("""COMPUTED_VALUE"""),"aos, NM 75218")</f>
        <v>aos, NM 75218</v>
      </c>
      <c r="J1061" s="9" t="str">
        <f>IFERROR(__xludf.DUMMYFUNCTION("SPLIT(I1061,""-"")"),"#VALUE!")</f>
        <v>#VALUE!</v>
      </c>
    </row>
    <row r="1062">
      <c r="A1062" s="5" t="s">
        <v>1002</v>
      </c>
      <c r="B1062" s="6">
        <v>100.0</v>
      </c>
      <c r="C1062" s="7" t="s">
        <v>636</v>
      </c>
      <c r="E1062" s="8" t="str">
        <f>IFERROR(__xludf.DUMMYFUNCTION("SPLIT(A1062,""TX"")"),"Koenigs, Eric
10141 Mapleridge Dr
Dallas, ")</f>
        <v>Koenigs, Eric
10141 Mapleridge Dr
Dallas, </v>
      </c>
      <c r="F1062" s="8">
        <f>IFERROR(__xludf.DUMMYFUNCTION("""COMPUTED_VALUE"""),75238.0)</f>
        <v>75238</v>
      </c>
      <c r="I1062" s="8">
        <f t="shared" ref="I1062:I1119" si="13">IF(ISBLANK(G1062),F1062,G1062)</f>
        <v>75238</v>
      </c>
      <c r="J1062" s="9">
        <f>IFERROR(__xludf.DUMMYFUNCTION("SPLIT(I1062,""-"")"),75238.0)</f>
        <v>75238</v>
      </c>
    </row>
    <row r="1063">
      <c r="A1063" s="10" t="s">
        <v>1003</v>
      </c>
      <c r="B1063" s="11">
        <v>250.0</v>
      </c>
      <c r="C1063" s="12" t="s">
        <v>636</v>
      </c>
      <c r="E1063" s="8" t="str">
        <f>IFERROR(__xludf.DUMMYFUNCTION("SPLIT(A1063,""TX"")"),"Kemper, Ellen
9744 Larchcrest Dr
Dallas, ")</f>
        <v>Kemper, Ellen
9744 Larchcrest Dr
Dallas, </v>
      </c>
      <c r="F1063" s="8">
        <f>IFERROR(__xludf.DUMMYFUNCTION("""COMPUTED_VALUE"""),75238.0)</f>
        <v>75238</v>
      </c>
      <c r="I1063" s="8">
        <f t="shared" si="13"/>
        <v>75238</v>
      </c>
      <c r="J1063" s="9">
        <f>IFERROR(__xludf.DUMMYFUNCTION("SPLIT(I1063,""-"")"),75238.0)</f>
        <v>75238</v>
      </c>
    </row>
    <row r="1064">
      <c r="A1064" s="5" t="s">
        <v>748</v>
      </c>
      <c r="B1064" s="6">
        <v>50.0</v>
      </c>
      <c r="C1064" s="7" t="s">
        <v>636</v>
      </c>
      <c r="E1064" s="8" t="str">
        <f>IFERROR(__xludf.DUMMYFUNCTION("SPLIT(A1064,""TX"")"),"alley, Olive
6133 Prospect Ave.
Dallas, ")</f>
        <v>alley, Olive
6133 Prospect Ave.
Dallas, </v>
      </c>
      <c r="F1064" s="8">
        <f>IFERROR(__xludf.DUMMYFUNCTION("""COMPUTED_VALUE"""),75214.0)</f>
        <v>75214</v>
      </c>
      <c r="I1064" s="8">
        <f t="shared" si="13"/>
        <v>75214</v>
      </c>
      <c r="J1064" s="9">
        <f>IFERROR(__xludf.DUMMYFUNCTION("SPLIT(I1064,""-"")"),75214.0)</f>
        <v>75214</v>
      </c>
    </row>
    <row r="1065">
      <c r="A1065" s="10" t="s">
        <v>1004</v>
      </c>
      <c r="B1065" s="11">
        <v>250.0</v>
      </c>
      <c r="C1065" s="12" t="s">
        <v>1005</v>
      </c>
      <c r="E1065" s="8" t="str">
        <f>IFERROR(__xludf.DUMMYFUNCTION("SPLIT(A1065,""TX"")"),"Reeves, Eddie
1142 North Clinton Avenue
Dallas, ")</f>
        <v>Reeves, Eddie
1142 North Clinton Avenue
Dallas, </v>
      </c>
      <c r="F1065" s="8">
        <f>IFERROR(__xludf.DUMMYFUNCTION("""COMPUTED_VALUE"""),75208.0)</f>
        <v>75208</v>
      </c>
      <c r="I1065" s="8">
        <f t="shared" si="13"/>
        <v>75208</v>
      </c>
      <c r="J1065" s="9">
        <f>IFERROR(__xludf.DUMMYFUNCTION("SPLIT(I1065,""-"")"),75208.0)</f>
        <v>75208</v>
      </c>
    </row>
    <row r="1066">
      <c r="A1066" s="10" t="s">
        <v>1006</v>
      </c>
      <c r="B1066" s="11">
        <v>100.0</v>
      </c>
      <c r="C1066" s="12" t="s">
        <v>1005</v>
      </c>
      <c r="E1066" s="8" t="str">
        <f>IFERROR(__xludf.DUMMYFUNCTION("SPLIT(A1066,""TX"")"),"Golden, Nan
7319 Lakewood Boulevard
Dallas, ")</f>
        <v>Golden, Nan
7319 Lakewood Boulevard
Dallas, </v>
      </c>
      <c r="F1066" s="8">
        <f>IFERROR(__xludf.DUMMYFUNCTION("""COMPUTED_VALUE"""),75214.0)</f>
        <v>75214</v>
      </c>
      <c r="I1066" s="8">
        <f t="shared" si="13"/>
        <v>75214</v>
      </c>
      <c r="J1066" s="9">
        <f>IFERROR(__xludf.DUMMYFUNCTION("SPLIT(I1066,""-"")"),75214.0)</f>
        <v>75214</v>
      </c>
    </row>
    <row r="1067">
      <c r="A1067" s="10" t="s">
        <v>1007</v>
      </c>
      <c r="B1067" s="11">
        <v>100.0</v>
      </c>
      <c r="C1067" s="12" t="s">
        <v>1005</v>
      </c>
      <c r="E1067" s="8" t="str">
        <f>IFERROR(__xludf.DUMMYFUNCTION("SPLIT(A1067,""TX"")"),"Davidson, Larry
6451 Patrick Dr
Dallas, ")</f>
        <v>Davidson, Larry
6451 Patrick Dr
Dallas, </v>
      </c>
      <c r="F1067" s="8">
        <f>IFERROR(__xludf.DUMMYFUNCTION("""COMPUTED_VALUE"""),75214.0)</f>
        <v>75214</v>
      </c>
      <c r="I1067" s="8">
        <f t="shared" si="13"/>
        <v>75214</v>
      </c>
      <c r="J1067" s="9">
        <f>IFERROR(__xludf.DUMMYFUNCTION("SPLIT(I1067,""-"")"),75214.0)</f>
        <v>75214</v>
      </c>
    </row>
    <row r="1068">
      <c r="A1068" s="10" t="s">
        <v>1008</v>
      </c>
      <c r="B1068" s="11">
        <v>200.0</v>
      </c>
      <c r="C1068" s="12" t="s">
        <v>1005</v>
      </c>
      <c r="E1068" s="8" t="str">
        <f>IFERROR(__xludf.DUMMYFUNCTION("SPLIT(A1068,""TX"")"),"Elrod, John
7900 ")</f>
        <v>Elrod, John
7900 </v>
      </c>
      <c r="F1068" s="8" t="str">
        <f>IFERROR(__xludf.DUMMYFUNCTION("""COMPUTED_VALUE"""),"avier Court
Dallas, ")</f>
        <v>avier Court
Dallas, </v>
      </c>
      <c r="G1068" s="8">
        <f>IFERROR(__xludf.DUMMYFUNCTION("""COMPUTED_VALUE"""),75218.0)</f>
        <v>75218</v>
      </c>
      <c r="I1068" s="8">
        <f t="shared" si="13"/>
        <v>75218</v>
      </c>
      <c r="J1068" s="9">
        <f>IFERROR(__xludf.DUMMYFUNCTION("SPLIT(I1068,""-"")"),75218.0)</f>
        <v>75218</v>
      </c>
    </row>
    <row r="1069">
      <c r="A1069" s="10" t="s">
        <v>1009</v>
      </c>
      <c r="B1069" s="11">
        <v>100.0</v>
      </c>
      <c r="C1069" s="12" t="s">
        <v>1005</v>
      </c>
      <c r="E1069" s="8" t="str">
        <f>IFERROR(__xludf.DUMMYFUNCTION("SPLIT(A1069,""TX"")"),"Sullivan, Joseph
6759 Avalon Avenue
Dallas, ")</f>
        <v>Sullivan, Joseph
6759 Avalon Avenue
Dallas, </v>
      </c>
      <c r="F1069" s="8">
        <f>IFERROR(__xludf.DUMMYFUNCTION("""COMPUTED_VALUE"""),75214.0)</f>
        <v>75214</v>
      </c>
      <c r="I1069" s="8">
        <f t="shared" si="13"/>
        <v>75214</v>
      </c>
      <c r="J1069" s="9">
        <f>IFERROR(__xludf.DUMMYFUNCTION("SPLIT(I1069,""-"")"),75214.0)</f>
        <v>75214</v>
      </c>
    </row>
    <row r="1070">
      <c r="A1070" s="10" t="s">
        <v>1010</v>
      </c>
      <c r="B1070" s="11">
        <v>1000.0</v>
      </c>
      <c r="C1070" s="12" t="s">
        <v>1005</v>
      </c>
      <c r="E1070" s="8" t="str">
        <f>IFERROR(__xludf.DUMMYFUNCTION("SPLIT(A1070,""TX"")"),"Vruggink, Leslie
6727 Sunnyland Lane
Dallas, ")</f>
        <v>Vruggink, Leslie
6727 Sunnyland Lane
Dallas, </v>
      </c>
      <c r="F1070" s="8">
        <f>IFERROR(__xludf.DUMMYFUNCTION("""COMPUTED_VALUE"""),75214.0)</f>
        <v>75214</v>
      </c>
      <c r="I1070" s="8">
        <f t="shared" si="13"/>
        <v>75214</v>
      </c>
      <c r="J1070" s="9">
        <f>IFERROR(__xludf.DUMMYFUNCTION("SPLIT(I1070,""-"")"),75214.0)</f>
        <v>75214</v>
      </c>
    </row>
    <row r="1071">
      <c r="A1071" s="10" t="s">
        <v>1011</v>
      </c>
      <c r="B1071" s="11">
        <v>500.0</v>
      </c>
      <c r="C1071" s="12" t="s">
        <v>1005</v>
      </c>
      <c r="E1071" s="8" t="str">
        <f>IFERROR(__xludf.DUMMYFUNCTION("SPLIT(A1071,""TX"")"),"Steinhart, Ronald
25 Robledo Drive
Dallas, ")</f>
        <v>Steinhart, Ronald
25 Robledo Drive
Dallas, </v>
      </c>
      <c r="F1071" s="8">
        <f>IFERROR(__xludf.DUMMYFUNCTION("""COMPUTED_VALUE"""),75230.0)</f>
        <v>75230</v>
      </c>
      <c r="I1071" s="8">
        <f t="shared" si="13"/>
        <v>75230</v>
      </c>
      <c r="J1071" s="9">
        <f>IFERROR(__xludf.DUMMYFUNCTION("SPLIT(I1071,""-"")"),75230.0)</f>
        <v>75230</v>
      </c>
    </row>
    <row r="1072">
      <c r="A1072" s="10" t="s">
        <v>1012</v>
      </c>
      <c r="B1072" s="11">
        <v>250.0</v>
      </c>
      <c r="C1072" s="12" t="s">
        <v>1005</v>
      </c>
      <c r="E1072" s="8" t="str">
        <f>IFERROR(__xludf.DUMMYFUNCTION("SPLIT(A1072,""TX"")"),"Wells, Chris
7238 Mimosa
Dallas, ")</f>
        <v>Wells, Chris
7238 Mimosa
Dallas, </v>
      </c>
      <c r="F1072" s="8">
        <f>IFERROR(__xludf.DUMMYFUNCTION("""COMPUTED_VALUE"""),75230.0)</f>
        <v>75230</v>
      </c>
      <c r="I1072" s="8">
        <f t="shared" si="13"/>
        <v>75230</v>
      </c>
      <c r="J1072" s="9">
        <f>IFERROR(__xludf.DUMMYFUNCTION("SPLIT(I1072,""-"")"),75230.0)</f>
        <v>75230</v>
      </c>
    </row>
    <row r="1073">
      <c r="A1073" s="10" t="s">
        <v>1013</v>
      </c>
      <c r="B1073" s="11">
        <v>50.0</v>
      </c>
      <c r="C1073" s="12" t="s">
        <v>1005</v>
      </c>
      <c r="E1073" s="8" t="str">
        <f>IFERROR(__xludf.DUMMYFUNCTION("SPLIT(A1073,""TX"")"),"Henry, Barry
1717 Arts Plaza 1801
Dallas, ")</f>
        <v>Henry, Barry
1717 Arts Plaza 1801
Dallas, </v>
      </c>
      <c r="F1073" s="8">
        <f>IFERROR(__xludf.DUMMYFUNCTION("""COMPUTED_VALUE"""),75201.0)</f>
        <v>75201</v>
      </c>
      <c r="I1073" s="8">
        <f t="shared" si="13"/>
        <v>75201</v>
      </c>
      <c r="J1073" s="9">
        <f>IFERROR(__xludf.DUMMYFUNCTION("SPLIT(I1073,""-"")"),75201.0)</f>
        <v>75201</v>
      </c>
    </row>
    <row r="1074">
      <c r="A1074" s="10" t="s">
        <v>1014</v>
      </c>
      <c r="B1074" s="11">
        <v>75.0</v>
      </c>
      <c r="C1074" s="12" t="s">
        <v>1005</v>
      </c>
      <c r="E1074" s="8" t="str">
        <f>IFERROR(__xludf.DUMMYFUNCTION("SPLIT(A1074,""TX"")"),"Rodgers, Christi
11024 Joaquin Drive
Dallas, ")</f>
        <v>Rodgers, Christi
11024 Joaquin Drive
Dallas, </v>
      </c>
      <c r="F1074" s="8">
        <f>IFERROR(__xludf.DUMMYFUNCTION("""COMPUTED_VALUE"""),75228.0)</f>
        <v>75228</v>
      </c>
      <c r="I1074" s="8">
        <f t="shared" si="13"/>
        <v>75228</v>
      </c>
      <c r="J1074" s="9">
        <f>IFERROR(__xludf.DUMMYFUNCTION("SPLIT(I1074,""-"")"),75228.0)</f>
        <v>75228</v>
      </c>
    </row>
    <row r="1075">
      <c r="A1075" s="10" t="s">
        <v>318</v>
      </c>
      <c r="B1075" s="11">
        <v>500.0</v>
      </c>
      <c r="C1075" s="12" t="s">
        <v>1005</v>
      </c>
      <c r="E1075" s="8" t="str">
        <f>IFERROR(__xludf.DUMMYFUNCTION("SPLIT(A1075,""TX"")"),"Williams, ")</f>
        <v>Williams, </v>
      </c>
      <c r="F1075" s="8" t="str">
        <f>IFERROR(__xludf.DUMMYFUNCTION("""COMPUTED_VALUE"""),"odd
5119 Seneca Drive
Dallas, ")</f>
        <v>odd
5119 Seneca Drive
Dallas, </v>
      </c>
      <c r="G1075" s="8">
        <f>IFERROR(__xludf.DUMMYFUNCTION("""COMPUTED_VALUE"""),75209.0)</f>
        <v>75209</v>
      </c>
      <c r="I1075" s="8">
        <f t="shared" si="13"/>
        <v>75209</v>
      </c>
      <c r="J1075" s="9">
        <f>IFERROR(__xludf.DUMMYFUNCTION("SPLIT(I1075,""-"")"),75209.0)</f>
        <v>75209</v>
      </c>
    </row>
    <row r="1076">
      <c r="A1076" s="10" t="s">
        <v>1015</v>
      </c>
      <c r="B1076" s="11">
        <v>100.0</v>
      </c>
      <c r="C1076" s="12" t="s">
        <v>1005</v>
      </c>
      <c r="E1076" s="8" t="str">
        <f>IFERROR(__xludf.DUMMYFUNCTION("SPLIT(A1076,""TX"")"),"Louis, Lori
6522 ")</f>
        <v>Louis, Lori
6522 </v>
      </c>
      <c r="F1076" s="8" t="str">
        <f>IFERROR(__xludf.DUMMYFUNCTION("""COMPUTED_VALUE"""),"rammel Dr
Dallas, ")</f>
        <v>rammel Dr
Dallas, </v>
      </c>
      <c r="G1076" s="8">
        <f>IFERROR(__xludf.DUMMYFUNCTION("""COMPUTED_VALUE"""),75214.0)</f>
        <v>75214</v>
      </c>
      <c r="I1076" s="8">
        <f t="shared" si="13"/>
        <v>75214</v>
      </c>
      <c r="J1076" s="9">
        <f>IFERROR(__xludf.DUMMYFUNCTION("SPLIT(I1076,""-"")"),75214.0)</f>
        <v>75214</v>
      </c>
    </row>
    <row r="1077">
      <c r="A1077" s="10" t="s">
        <v>1016</v>
      </c>
      <c r="B1077" s="11">
        <v>250.0</v>
      </c>
      <c r="C1077" s="12" t="s">
        <v>1005</v>
      </c>
      <c r="E1077" s="8" t="str">
        <f>IFERROR(__xludf.DUMMYFUNCTION("SPLIT(A1077,""TX"")"),"Black American Futures
2647 White Oak Drive
Decatur, GA 30032")</f>
        <v>Black American Futures
2647 White Oak Drive
Decatur, GA 30032</v>
      </c>
      <c r="I1077" s="8" t="str">
        <f t="shared" si="13"/>
        <v/>
      </c>
      <c r="J1077" s="9" t="str">
        <f>IFERROR(__xludf.DUMMYFUNCTION("SPLIT(I1077,""-"")"),"#VALUE!")</f>
        <v>#VALUE!</v>
      </c>
    </row>
    <row r="1078">
      <c r="A1078" s="10" t="s">
        <v>1017</v>
      </c>
      <c r="B1078" s="11">
        <v>1000.0</v>
      </c>
      <c r="C1078" s="12" t="s">
        <v>1005</v>
      </c>
      <c r="E1078" s="8" t="str">
        <f>IFERROR(__xludf.DUMMYFUNCTION("SPLIT(A1078,""TX"")"),"erry, Mike
12240 Inwood Rd.
Dallas, ")</f>
        <v>erry, Mike
12240 Inwood Rd.
Dallas, </v>
      </c>
      <c r="F1078" s="8">
        <f>IFERROR(__xludf.DUMMYFUNCTION("""COMPUTED_VALUE"""),75244.0)</f>
        <v>75244</v>
      </c>
      <c r="I1078" s="8">
        <f t="shared" si="13"/>
        <v>75244</v>
      </c>
      <c r="J1078" s="9">
        <f>IFERROR(__xludf.DUMMYFUNCTION("SPLIT(I1078,""-"")"),75244.0)</f>
        <v>75244</v>
      </c>
    </row>
    <row r="1079">
      <c r="A1079" s="10" t="s">
        <v>1018</v>
      </c>
      <c r="B1079" s="11">
        <v>150.0</v>
      </c>
      <c r="C1079" s="12" t="s">
        <v>1005</v>
      </c>
      <c r="E1079" s="8" t="str">
        <f>IFERROR(__xludf.DUMMYFUNCTION("SPLIT(A1079,""TX"")"),"Banks, Ricky
6511 ")</f>
        <v>Banks, Ricky
6511 </v>
      </c>
      <c r="F1079" s="8" t="str">
        <f>IFERROR(__xludf.DUMMYFUNCTION("""COMPUTED_VALUE"""),"rammel Dr
Dallas, ")</f>
        <v>rammel Dr
Dallas, </v>
      </c>
      <c r="G1079" s="8">
        <f>IFERROR(__xludf.DUMMYFUNCTION("""COMPUTED_VALUE"""),75214.0)</f>
        <v>75214</v>
      </c>
      <c r="I1079" s="8">
        <f t="shared" si="13"/>
        <v>75214</v>
      </c>
      <c r="J1079" s="9">
        <f>IFERROR(__xludf.DUMMYFUNCTION("SPLIT(I1079,""-"")"),75214.0)</f>
        <v>75214</v>
      </c>
    </row>
    <row r="1080">
      <c r="A1080" s="10" t="s">
        <v>1019</v>
      </c>
      <c r="B1080" s="11">
        <v>500.0</v>
      </c>
      <c r="C1080" s="12" t="s">
        <v>1005</v>
      </c>
      <c r="E1080" s="8" t="str">
        <f>IFERROR(__xludf.DUMMYFUNCTION("SPLIT(A1080,""TX"")"),"Black, Albert
751 Kessler Lake Drive
Dallas, ")</f>
        <v>Black, Albert
751 Kessler Lake Drive
Dallas, </v>
      </c>
      <c r="F1080" s="8">
        <f>IFERROR(__xludf.DUMMYFUNCTION("""COMPUTED_VALUE"""),75208.0)</f>
        <v>75208</v>
      </c>
      <c r="I1080" s="8">
        <f t="shared" si="13"/>
        <v>75208</v>
      </c>
      <c r="J1080" s="9">
        <f>IFERROR(__xludf.DUMMYFUNCTION("SPLIT(I1080,""-"")"),75208.0)</f>
        <v>75208</v>
      </c>
    </row>
    <row r="1081">
      <c r="A1081" s="10" t="s">
        <v>1020</v>
      </c>
      <c r="B1081" s="11">
        <v>100.0</v>
      </c>
      <c r="C1081" s="12" t="s">
        <v>1005</v>
      </c>
      <c r="E1081" s="8" t="str">
        <f>IFERROR(__xludf.DUMMYFUNCTION("SPLIT(A1081,""TX"")"),"HULSEY, DEBORAH
6526 ")</f>
        <v>HULSEY, DEBORAH
6526 </v>
      </c>
      <c r="F1081" s="8" t="str">
        <f>IFERROR(__xludf.DUMMYFUNCTION("""COMPUTED_VALUE"""),"RAMMEL DR
Dallas, ")</f>
        <v>RAMMEL DR
Dallas, </v>
      </c>
      <c r="G1081" s="8">
        <f>IFERROR(__xludf.DUMMYFUNCTION("""COMPUTED_VALUE"""),75214.0)</f>
        <v>75214</v>
      </c>
      <c r="I1081" s="8">
        <f t="shared" si="13"/>
        <v>75214</v>
      </c>
      <c r="J1081" s="9">
        <f>IFERROR(__xludf.DUMMYFUNCTION("SPLIT(I1081,""-"")"),75214.0)</f>
        <v>75214</v>
      </c>
    </row>
    <row r="1082">
      <c r="A1082" s="10" t="s">
        <v>1021</v>
      </c>
      <c r="B1082" s="11">
        <v>100.0</v>
      </c>
      <c r="C1082" s="12" t="s">
        <v>1005</v>
      </c>
      <c r="E1082" s="8" t="str">
        <f>IFERROR(__xludf.DUMMYFUNCTION("SPLIT(A1082,""TX"")"),"Eichorst, Fran
6740 Westlake Avenue
Dallas, ")</f>
        <v>Eichorst, Fran
6740 Westlake Avenue
Dallas, </v>
      </c>
      <c r="F1082" s="8">
        <f>IFERROR(__xludf.DUMMYFUNCTION("""COMPUTED_VALUE"""),75214.0)</f>
        <v>75214</v>
      </c>
      <c r="I1082" s="8">
        <f t="shared" si="13"/>
        <v>75214</v>
      </c>
      <c r="J1082" s="9">
        <f>IFERROR(__xludf.DUMMYFUNCTION("SPLIT(I1082,""-"")"),75214.0)</f>
        <v>75214</v>
      </c>
    </row>
    <row r="1083">
      <c r="A1083" s="10" t="s">
        <v>1022</v>
      </c>
      <c r="B1083" s="11">
        <v>500.0</v>
      </c>
      <c r="C1083" s="12" t="s">
        <v>1005</v>
      </c>
      <c r="E1083" s="8" t="str">
        <f>IFERROR(__xludf.DUMMYFUNCTION("SPLIT(A1083,""TX"")"),"Bobosky, Shelby
6823 La Vista Drive
Dallas, ")</f>
        <v>Bobosky, Shelby
6823 La Vista Drive
Dallas, </v>
      </c>
      <c r="F1083" s="8">
        <f>IFERROR(__xludf.DUMMYFUNCTION("""COMPUTED_VALUE"""),75214.0)</f>
        <v>75214</v>
      </c>
      <c r="I1083" s="8">
        <f t="shared" si="13"/>
        <v>75214</v>
      </c>
      <c r="J1083" s="9">
        <f>IFERROR(__xludf.DUMMYFUNCTION("SPLIT(I1083,""-"")"),75214.0)</f>
        <v>75214</v>
      </c>
    </row>
    <row r="1084">
      <c r="A1084" s="10" t="s">
        <v>1023</v>
      </c>
      <c r="B1084" s="11">
        <v>250.0</v>
      </c>
      <c r="C1084" s="12" t="s">
        <v>1005</v>
      </c>
      <c r="E1084" s="8" t="str">
        <f>IFERROR(__xludf.DUMMYFUNCTION("SPLIT(A1084,""TX"")"),"Falvo, Susan
2507 Auburn Avenue
Dallas, ")</f>
        <v>Falvo, Susan
2507 Auburn Avenue
Dallas, </v>
      </c>
      <c r="F1084" s="8">
        <f>IFERROR(__xludf.DUMMYFUNCTION("""COMPUTED_VALUE"""),75214.0)</f>
        <v>75214</v>
      </c>
      <c r="I1084" s="8">
        <f t="shared" si="13"/>
        <v>75214</v>
      </c>
      <c r="J1084" s="9">
        <f>IFERROR(__xludf.DUMMYFUNCTION("SPLIT(I1084,""-"")"),75214.0)</f>
        <v>75214</v>
      </c>
    </row>
    <row r="1085">
      <c r="A1085" s="10" t="s">
        <v>1024</v>
      </c>
      <c r="B1085" s="11">
        <v>100.0</v>
      </c>
      <c r="C1085" s="12" t="s">
        <v>1005</v>
      </c>
      <c r="E1085" s="8" t="str">
        <f>IFERROR(__xludf.DUMMYFUNCTION("SPLIT(A1085,""TX"")"),"Maggard, Lauren
6601 Lake Circle Dr
Dallas, ")</f>
        <v>Maggard, Lauren
6601 Lake Circle Dr
Dallas, </v>
      </c>
      <c r="F1085" s="8">
        <f>IFERROR(__xludf.DUMMYFUNCTION("""COMPUTED_VALUE"""),75214.0)</f>
        <v>75214</v>
      </c>
      <c r="I1085" s="8">
        <f t="shared" si="13"/>
        <v>75214</v>
      </c>
      <c r="J1085" s="9">
        <f>IFERROR(__xludf.DUMMYFUNCTION("SPLIT(I1085,""-"")"),75214.0)</f>
        <v>75214</v>
      </c>
    </row>
    <row r="1086">
      <c r="A1086" s="10" t="s">
        <v>1007</v>
      </c>
      <c r="B1086" s="11">
        <v>100.0</v>
      </c>
      <c r="C1086" s="12" t="s">
        <v>1005</v>
      </c>
      <c r="E1086" s="8" t="str">
        <f>IFERROR(__xludf.DUMMYFUNCTION("SPLIT(A1086,""TX"")"),"Davidson, Larry
6451 Patrick Dr
Dallas, ")</f>
        <v>Davidson, Larry
6451 Patrick Dr
Dallas, </v>
      </c>
      <c r="F1086" s="8">
        <f>IFERROR(__xludf.DUMMYFUNCTION("""COMPUTED_VALUE"""),75214.0)</f>
        <v>75214</v>
      </c>
      <c r="I1086" s="8">
        <f t="shared" si="13"/>
        <v>75214</v>
      </c>
      <c r="J1086" s="9">
        <f>IFERROR(__xludf.DUMMYFUNCTION("SPLIT(I1086,""-"")"),75214.0)</f>
        <v>75214</v>
      </c>
    </row>
    <row r="1087">
      <c r="A1087" s="10" t="s">
        <v>1025</v>
      </c>
      <c r="B1087" s="11">
        <v>500.0</v>
      </c>
      <c r="C1087" s="12" t="s">
        <v>1005</v>
      </c>
      <c r="E1087" s="8" t="str">
        <f>IFERROR(__xludf.DUMMYFUNCTION("SPLIT(A1087,""TX"")"),"Billingsley, Lucy
1722 Routh Street Suite 770
Dallas, ")</f>
        <v>Billingsley, Lucy
1722 Routh Street Suite 770
Dallas, </v>
      </c>
      <c r="F1087" s="8">
        <f>IFERROR(__xludf.DUMMYFUNCTION("""COMPUTED_VALUE"""),75201.0)</f>
        <v>75201</v>
      </c>
      <c r="I1087" s="8">
        <f t="shared" si="13"/>
        <v>75201</v>
      </c>
      <c r="J1087" s="9">
        <f>IFERROR(__xludf.DUMMYFUNCTION("SPLIT(I1087,""-"")"),75201.0)</f>
        <v>75201</v>
      </c>
    </row>
    <row r="1088">
      <c r="A1088" s="10" t="s">
        <v>340</v>
      </c>
      <c r="B1088" s="11">
        <v>500.0</v>
      </c>
      <c r="C1088" s="12" t="s">
        <v>1005</v>
      </c>
      <c r="E1088" s="8" t="str">
        <f>IFERROR(__xludf.DUMMYFUNCTION("SPLIT(A1088,""TX"")"),"Bowman, Randy
6637 Northaven Road
Dallas, ")</f>
        <v>Bowman, Randy
6637 Northaven Road
Dallas, </v>
      </c>
      <c r="F1088" s="8">
        <f>IFERROR(__xludf.DUMMYFUNCTION("""COMPUTED_VALUE"""),75230.0)</f>
        <v>75230</v>
      </c>
      <c r="I1088" s="8">
        <f t="shared" si="13"/>
        <v>75230</v>
      </c>
      <c r="J1088" s="9">
        <f>IFERROR(__xludf.DUMMYFUNCTION("SPLIT(I1088,""-"")"),75230.0)</f>
        <v>75230</v>
      </c>
    </row>
    <row r="1089">
      <c r="A1089" s="10" t="s">
        <v>1026</v>
      </c>
      <c r="B1089" s="11">
        <v>100.0</v>
      </c>
      <c r="C1089" s="12" t="s">
        <v>1005</v>
      </c>
      <c r="E1089" s="8" t="str">
        <f>IFERROR(__xludf.DUMMYFUNCTION("SPLIT(A1089,""TX"")"),"chase, scott
1700 Pacific Ste. 3700
Dallas, ")</f>
        <v>chase, scott
1700 Pacific Ste. 3700
Dallas, </v>
      </c>
      <c r="F1089" s="8">
        <f>IFERROR(__xludf.DUMMYFUNCTION("""COMPUTED_VALUE"""),75201.0)</f>
        <v>75201</v>
      </c>
      <c r="I1089" s="8">
        <f t="shared" si="13"/>
        <v>75201</v>
      </c>
      <c r="J1089" s="9">
        <f>IFERROR(__xludf.DUMMYFUNCTION("SPLIT(I1089,""-"")"),75201.0)</f>
        <v>75201</v>
      </c>
    </row>
    <row r="1090">
      <c r="A1090" s="10" t="s">
        <v>1027</v>
      </c>
      <c r="B1090" s="11">
        <v>100.0</v>
      </c>
      <c r="C1090" s="12" t="s">
        <v>1005</v>
      </c>
      <c r="E1090" s="8" t="str">
        <f>IFERROR(__xludf.DUMMYFUNCTION("SPLIT(A1090,""TX"")"),"Santos, Charles
5567 Ledgestone Drive
Dallas, ")</f>
        <v>Santos, Charles
5567 Ledgestone Drive
Dallas, </v>
      </c>
      <c r="F1090" s="8">
        <f>IFERROR(__xludf.DUMMYFUNCTION("""COMPUTED_VALUE"""),75214.0)</f>
        <v>75214</v>
      </c>
      <c r="I1090" s="8">
        <f t="shared" si="13"/>
        <v>75214</v>
      </c>
      <c r="J1090" s="9">
        <f>IFERROR(__xludf.DUMMYFUNCTION("SPLIT(I1090,""-"")"),75214.0)</f>
        <v>75214</v>
      </c>
    </row>
    <row r="1091">
      <c r="A1091" s="10" t="s">
        <v>1028</v>
      </c>
      <c r="B1091" s="11">
        <v>250.0</v>
      </c>
      <c r="C1091" s="12" t="s">
        <v>1005</v>
      </c>
      <c r="E1091" s="8" t="str">
        <f>IFERROR(__xludf.DUMMYFUNCTION("SPLIT(A1091,""TX"")"),"Burrow, Jessica
2411 Hillside Drive
Dallas, ")</f>
        <v>Burrow, Jessica
2411 Hillside Drive
Dallas, </v>
      </c>
      <c r="F1091" s="8">
        <f>IFERROR(__xludf.DUMMYFUNCTION("""COMPUTED_VALUE"""),75214.0)</f>
        <v>75214</v>
      </c>
      <c r="I1091" s="8">
        <f t="shared" si="13"/>
        <v>75214</v>
      </c>
      <c r="J1091" s="9">
        <f>IFERROR(__xludf.DUMMYFUNCTION("SPLIT(I1091,""-"")"),75214.0)</f>
        <v>75214</v>
      </c>
    </row>
    <row r="1092">
      <c r="A1092" s="10" t="s">
        <v>1029</v>
      </c>
      <c r="B1092" s="11">
        <v>100.0</v>
      </c>
      <c r="C1092" s="12" t="s">
        <v>1005</v>
      </c>
      <c r="E1092" s="8" t="str">
        <f>IFERROR(__xludf.DUMMYFUNCTION("SPLIT(A1092,""TX"")"),"Overman, Susan
6714 Northridge Drive
Dallas, ")</f>
        <v>Overman, Susan
6714 Northridge Drive
Dallas, </v>
      </c>
      <c r="F1092" s="8">
        <f>IFERROR(__xludf.DUMMYFUNCTION("""COMPUTED_VALUE"""),75214.0)</f>
        <v>75214</v>
      </c>
      <c r="I1092" s="8">
        <f t="shared" si="13"/>
        <v>75214</v>
      </c>
      <c r="J1092" s="9">
        <f>IFERROR(__xludf.DUMMYFUNCTION("SPLIT(I1092,""-"")"),75214.0)</f>
        <v>75214</v>
      </c>
    </row>
    <row r="1093">
      <c r="A1093" s="10" t="s">
        <v>1030</v>
      </c>
      <c r="B1093" s="11">
        <v>100.0</v>
      </c>
      <c r="C1093" s="12" t="s">
        <v>1005</v>
      </c>
      <c r="E1093" s="8" t="str">
        <f>IFERROR(__xludf.DUMMYFUNCTION("SPLIT(A1093,""TX"")"),"Rybczyk, Madelyn
1507 ")</f>
        <v>Rybczyk, Madelyn
1507 </v>
      </c>
      <c r="F1093" s="8" t="str">
        <f>IFERROR(__xludf.DUMMYFUNCTION("""COMPUTED_VALUE"""),"ranquilla Dr
Dallas, ")</f>
        <v>ranquilla Dr
Dallas, </v>
      </c>
      <c r="G1093" s="8">
        <f>IFERROR(__xludf.DUMMYFUNCTION("""COMPUTED_VALUE"""),75218.0)</f>
        <v>75218</v>
      </c>
      <c r="I1093" s="8">
        <f t="shared" si="13"/>
        <v>75218</v>
      </c>
      <c r="J1093" s="9">
        <f>IFERROR(__xludf.DUMMYFUNCTION("SPLIT(I1093,""-"")"),75218.0)</f>
        <v>75218</v>
      </c>
    </row>
    <row r="1094">
      <c r="A1094" s="10" t="s">
        <v>1031</v>
      </c>
      <c r="B1094" s="11">
        <v>100.0</v>
      </c>
      <c r="C1094" s="12" t="s">
        <v>1005</v>
      </c>
      <c r="E1094" s="8" t="str">
        <f>IFERROR(__xludf.DUMMYFUNCTION("SPLIT(A1094,""TX"")"),"Beene, Allen
12597 Montego Plaza
Dallas, ")</f>
        <v>Beene, Allen
12597 Montego Plaza
Dallas, </v>
      </c>
      <c r="F1094" s="8">
        <f>IFERROR(__xludf.DUMMYFUNCTION("""COMPUTED_VALUE"""),75230.0)</f>
        <v>75230</v>
      </c>
      <c r="I1094" s="8">
        <f t="shared" si="13"/>
        <v>75230</v>
      </c>
      <c r="J1094" s="9">
        <f>IFERROR(__xludf.DUMMYFUNCTION("SPLIT(I1094,""-"")"),75230.0)</f>
        <v>75230</v>
      </c>
    </row>
    <row r="1095">
      <c r="A1095" s="10" t="s">
        <v>1032</v>
      </c>
      <c r="B1095" s="11">
        <v>1000.0</v>
      </c>
      <c r="C1095" s="12" t="s">
        <v>1005</v>
      </c>
      <c r="E1095" s="8" t="str">
        <f>IFERROR(__xludf.DUMMYFUNCTION("SPLIT(A1095,""TX"")"),"MIltenberger, Paula
4627 Miron Dr
Dallas, ")</f>
        <v>MIltenberger, Paula
4627 Miron Dr
Dallas, </v>
      </c>
      <c r="F1095" s="8">
        <f>IFERROR(__xludf.DUMMYFUNCTION("""COMPUTED_VALUE"""),75220.0)</f>
        <v>75220</v>
      </c>
      <c r="I1095" s="8">
        <f t="shared" si="13"/>
        <v>75220</v>
      </c>
      <c r="J1095" s="9">
        <f>IFERROR(__xludf.DUMMYFUNCTION("SPLIT(I1095,""-"")"),75220.0)</f>
        <v>75220</v>
      </c>
    </row>
    <row r="1096">
      <c r="A1096" s="10" t="s">
        <v>1033</v>
      </c>
      <c r="B1096" s="11">
        <v>100.0</v>
      </c>
      <c r="C1096" s="12" t="s">
        <v>1005</v>
      </c>
      <c r="E1096" s="8" t="str">
        <f>IFERROR(__xludf.DUMMYFUNCTION("SPLIT(A1096,""TX"")"),"Rosenberg, Barbara
6946 Casa Loma Avenue
Dallas, ")</f>
        <v>Rosenberg, Barbara
6946 Casa Loma Avenue
Dallas, </v>
      </c>
      <c r="F1096" s="8">
        <f>IFERROR(__xludf.DUMMYFUNCTION("""COMPUTED_VALUE"""),75214.0)</f>
        <v>75214</v>
      </c>
      <c r="I1096" s="8">
        <f t="shared" si="13"/>
        <v>75214</v>
      </c>
      <c r="J1096" s="9">
        <f>IFERROR(__xludf.DUMMYFUNCTION("SPLIT(I1096,""-"")"),75214.0)</f>
        <v>75214</v>
      </c>
    </row>
    <row r="1097">
      <c r="A1097" s="10" t="s">
        <v>1034</v>
      </c>
      <c r="B1097" s="11">
        <v>100.0</v>
      </c>
      <c r="C1097" s="12" t="s">
        <v>1005</v>
      </c>
      <c r="E1097" s="8" t="str">
        <f>IFERROR(__xludf.DUMMYFUNCTION("SPLIT(A1097,""TX"")"),"Holloway, Mike
1505 Elm St
DALLAS, ")</f>
        <v>Holloway, Mike
1505 Elm St
DALLAS, </v>
      </c>
      <c r="F1097" s="8">
        <f>IFERROR(__xludf.DUMMYFUNCTION("""COMPUTED_VALUE"""),75201.0)</f>
        <v>75201</v>
      </c>
      <c r="I1097" s="8">
        <f t="shared" si="13"/>
        <v>75201</v>
      </c>
      <c r="J1097" s="9">
        <f>IFERROR(__xludf.DUMMYFUNCTION("SPLIT(I1097,""-"")"),75201.0)</f>
        <v>75201</v>
      </c>
    </row>
    <row r="1098">
      <c r="A1098" s="10" t="s">
        <v>1035</v>
      </c>
      <c r="B1098" s="11">
        <v>250.0</v>
      </c>
      <c r="C1098" s="12" t="s">
        <v>1005</v>
      </c>
      <c r="E1098" s="8" t="str">
        <f>IFERROR(__xludf.DUMMYFUNCTION("SPLIT(A1098,""TX"")"),"Ortman, Daniel
8106 San Leandro Drive
Dallas, ")</f>
        <v>Ortman, Daniel
8106 San Leandro Drive
Dallas, </v>
      </c>
      <c r="F1098" s="8">
        <f>IFERROR(__xludf.DUMMYFUNCTION("""COMPUTED_VALUE"""),75218.0)</f>
        <v>75218</v>
      </c>
      <c r="I1098" s="8">
        <f t="shared" si="13"/>
        <v>75218</v>
      </c>
      <c r="J1098" s="9">
        <f>IFERROR(__xludf.DUMMYFUNCTION("SPLIT(I1098,""-"")"),75218.0)</f>
        <v>75218</v>
      </c>
    </row>
    <row r="1099">
      <c r="A1099" s="10" t="s">
        <v>1036</v>
      </c>
      <c r="B1099" s="11">
        <v>250.0</v>
      </c>
      <c r="C1099" s="12" t="s">
        <v>1005</v>
      </c>
      <c r="E1099" s="8" t="str">
        <f>IFERROR(__xludf.DUMMYFUNCTION("SPLIT(A1099,""TX"")"),"Kettles, Kate and Jon
6463 Lange Circle
Dallas, ")</f>
        <v>Kettles, Kate and Jon
6463 Lange Circle
Dallas, </v>
      </c>
      <c r="F1099" s="8">
        <f>IFERROR(__xludf.DUMMYFUNCTION("""COMPUTED_VALUE"""),75214.0)</f>
        <v>75214</v>
      </c>
      <c r="I1099" s="8">
        <f t="shared" si="13"/>
        <v>75214</v>
      </c>
      <c r="J1099" s="9">
        <f>IFERROR(__xludf.DUMMYFUNCTION("SPLIT(I1099,""-"")"),75214.0)</f>
        <v>75214</v>
      </c>
    </row>
    <row r="1100">
      <c r="A1100" s="10" t="s">
        <v>1037</v>
      </c>
      <c r="B1100" s="11">
        <v>1000.0</v>
      </c>
      <c r="C1100" s="12" t="s">
        <v>1005</v>
      </c>
      <c r="E1100" s="8" t="str">
        <f>IFERROR(__xludf.DUMMYFUNCTION("SPLIT(A1100,""TX"")"),"Fitzgibbons, Colin
6946 Southridge Drive
Dallas, ")</f>
        <v>Fitzgibbons, Colin
6946 Southridge Drive
Dallas, </v>
      </c>
      <c r="F1100" s="8">
        <f>IFERROR(__xludf.DUMMYFUNCTION("""COMPUTED_VALUE"""),75214.0)</f>
        <v>75214</v>
      </c>
      <c r="I1100" s="8">
        <f t="shared" si="13"/>
        <v>75214</v>
      </c>
      <c r="J1100" s="9">
        <f>IFERROR(__xludf.DUMMYFUNCTION("SPLIT(I1100,""-"")"),75214.0)</f>
        <v>75214</v>
      </c>
    </row>
    <row r="1101">
      <c r="A1101" s="10" t="s">
        <v>1038</v>
      </c>
      <c r="B1101" s="11">
        <v>500.0</v>
      </c>
      <c r="C1101" s="12" t="s">
        <v>1005</v>
      </c>
      <c r="E1101" s="8" t="str">
        <f>IFERROR(__xludf.DUMMYFUNCTION("SPLIT(A1101,""TX"")"),"Rudnicki, Konrad
6909 ")</f>
        <v>Rudnicki, Konrad
6909 </v>
      </c>
      <c r="F1101" s="8" t="str">
        <f>IFERROR(__xludf.DUMMYFUNCTION("""COMPUTED_VALUE"""),"okalon Drive
Dallas, ")</f>
        <v>okalon Drive
Dallas, </v>
      </c>
      <c r="G1101" s="8">
        <f>IFERROR(__xludf.DUMMYFUNCTION("""COMPUTED_VALUE"""),75214.0)</f>
        <v>75214</v>
      </c>
      <c r="I1101" s="8">
        <f t="shared" si="13"/>
        <v>75214</v>
      </c>
      <c r="J1101" s="9">
        <f>IFERROR(__xludf.DUMMYFUNCTION("SPLIT(I1101,""-"")"),75214.0)</f>
        <v>75214</v>
      </c>
    </row>
    <row r="1102">
      <c r="A1102" s="10" t="s">
        <v>1014</v>
      </c>
      <c r="B1102" s="11">
        <v>50.0</v>
      </c>
      <c r="C1102" s="12" t="s">
        <v>1005</v>
      </c>
      <c r="E1102" s="8" t="str">
        <f>IFERROR(__xludf.DUMMYFUNCTION("SPLIT(A1102,""TX"")"),"Rodgers, Christi
11024 Joaquin Drive
Dallas, ")</f>
        <v>Rodgers, Christi
11024 Joaquin Drive
Dallas, </v>
      </c>
      <c r="F1102" s="8">
        <f>IFERROR(__xludf.DUMMYFUNCTION("""COMPUTED_VALUE"""),75228.0)</f>
        <v>75228</v>
      </c>
      <c r="I1102" s="8">
        <f t="shared" si="13"/>
        <v>75228</v>
      </c>
      <c r="J1102" s="9">
        <f>IFERROR(__xludf.DUMMYFUNCTION("SPLIT(I1102,""-"")"),75228.0)</f>
        <v>75228</v>
      </c>
    </row>
    <row r="1103">
      <c r="A1103" s="10" t="s">
        <v>1039</v>
      </c>
      <c r="B1103" s="11">
        <v>100.0</v>
      </c>
      <c r="C1103" s="12" t="s">
        <v>1005</v>
      </c>
      <c r="E1103" s="8" t="str">
        <f>IFERROR(__xludf.DUMMYFUNCTION("SPLIT(A1103,""TX"")"),"Heitzman, Daragh and Judie
6602 Kenwood Avenue
Dallas, ")</f>
        <v>Heitzman, Daragh and Judie
6602 Kenwood Avenue
Dallas, </v>
      </c>
      <c r="F1103" s="8">
        <f>IFERROR(__xludf.DUMMYFUNCTION("""COMPUTED_VALUE"""),75214.0)</f>
        <v>75214</v>
      </c>
      <c r="I1103" s="8">
        <f t="shared" si="13"/>
        <v>75214</v>
      </c>
      <c r="J1103" s="9">
        <f>IFERROR(__xludf.DUMMYFUNCTION("SPLIT(I1103,""-"")"),75214.0)</f>
        <v>75214</v>
      </c>
    </row>
    <row r="1104">
      <c r="A1104" s="10" t="s">
        <v>1040</v>
      </c>
      <c r="B1104" s="11">
        <v>1000.0</v>
      </c>
      <c r="C1104" s="12" t="s">
        <v>1005</v>
      </c>
      <c r="E1104" s="8" t="str">
        <f>IFERROR(__xludf.DUMMYFUNCTION("SPLIT(A1104,""TX"")"),"Cabaniss, Lisa
1344 North Windomere Avenue
Dallas, ")</f>
        <v>Cabaniss, Lisa
1344 North Windomere Avenue
Dallas, </v>
      </c>
      <c r="F1104" s="8">
        <f>IFERROR(__xludf.DUMMYFUNCTION("""COMPUTED_VALUE"""),75208.0)</f>
        <v>75208</v>
      </c>
      <c r="I1104" s="8">
        <f t="shared" si="13"/>
        <v>75208</v>
      </c>
      <c r="J1104" s="9">
        <f>IFERROR(__xludf.DUMMYFUNCTION("SPLIT(I1104,""-"")"),75208.0)</f>
        <v>75208</v>
      </c>
    </row>
    <row r="1105">
      <c r="A1105" s="10" t="s">
        <v>1041</v>
      </c>
      <c r="B1105" s="11">
        <v>1000.0</v>
      </c>
      <c r="C1105" s="12" t="s">
        <v>1005</v>
      </c>
      <c r="E1105" s="8" t="str">
        <f>IFERROR(__xludf.DUMMYFUNCTION("SPLIT(A1105,""TX"")"),"Cabaniss, Edwin
1344 North Windomere Avenue
Dallas, ")</f>
        <v>Cabaniss, Edwin
1344 North Windomere Avenue
Dallas, </v>
      </c>
      <c r="F1105" s="8">
        <f>IFERROR(__xludf.DUMMYFUNCTION("""COMPUTED_VALUE"""),75208.0)</f>
        <v>75208</v>
      </c>
      <c r="I1105" s="8">
        <f t="shared" si="13"/>
        <v>75208</v>
      </c>
      <c r="J1105" s="9">
        <f>IFERROR(__xludf.DUMMYFUNCTION("SPLIT(I1105,""-"")"),75208.0)</f>
        <v>75208</v>
      </c>
    </row>
    <row r="1106">
      <c r="A1106" s="10" t="s">
        <v>1042</v>
      </c>
      <c r="B1106" s="11">
        <v>500.0</v>
      </c>
      <c r="C1106" s="12" t="s">
        <v>1005</v>
      </c>
      <c r="E1106" s="8" t="str">
        <f>IFERROR(__xludf.DUMMYFUNCTION("SPLIT(A1106,""TX"")"),"Snoyer, Jeff
3639 Overbrook Dr
Dallas, ")</f>
        <v>Snoyer, Jeff
3639 Overbrook Dr
Dallas, </v>
      </c>
      <c r="F1106" s="8">
        <f>IFERROR(__xludf.DUMMYFUNCTION("""COMPUTED_VALUE"""),75205.0)</f>
        <v>75205</v>
      </c>
      <c r="I1106" s="8">
        <f t="shared" si="13"/>
        <v>75205</v>
      </c>
      <c r="J1106" s="9">
        <f>IFERROR(__xludf.DUMMYFUNCTION("SPLIT(I1106,""-"")"),75205.0)</f>
        <v>75205</v>
      </c>
    </row>
    <row r="1107">
      <c r="A1107" s="10" t="s">
        <v>1043</v>
      </c>
      <c r="B1107" s="11">
        <v>500.0</v>
      </c>
      <c r="C1107" s="12" t="s">
        <v>1005</v>
      </c>
      <c r="E1107" s="8" t="str">
        <f>IFERROR(__xludf.DUMMYFUNCTION("SPLIT(A1107,""TX"")"),"Dunning, ")</f>
        <v>Dunning, </v>
      </c>
      <c r="F1107" s="8" t="str">
        <f>IFERROR(__xludf.DUMMYFUNCTION("""COMPUTED_VALUE"""),"homas
2100 Ross Ave
Dallas, ")</f>
        <v>homas
2100 Ross Ave
Dallas, </v>
      </c>
      <c r="G1107" s="8">
        <f>IFERROR(__xludf.DUMMYFUNCTION("""COMPUTED_VALUE"""),75201.0)</f>
        <v>75201</v>
      </c>
      <c r="I1107" s="8">
        <f t="shared" si="13"/>
        <v>75201</v>
      </c>
      <c r="J1107" s="9">
        <f>IFERROR(__xludf.DUMMYFUNCTION("SPLIT(I1107,""-"")"),75201.0)</f>
        <v>75201</v>
      </c>
    </row>
    <row r="1108">
      <c r="A1108" s="10" t="s">
        <v>1044</v>
      </c>
      <c r="B1108" s="11">
        <v>500.0</v>
      </c>
      <c r="C1108" s="12" t="s">
        <v>1005</v>
      </c>
      <c r="E1108" s="8" t="str">
        <f>IFERROR(__xludf.DUMMYFUNCTION("SPLIT(A1108,""TX"")"),"Frankenfeld, Robert
4114 McMillan
Dallas, ")</f>
        <v>Frankenfeld, Robert
4114 McMillan
Dallas, </v>
      </c>
      <c r="F1108" s="8">
        <f>IFERROR(__xludf.DUMMYFUNCTION("""COMPUTED_VALUE"""),75206.0)</f>
        <v>75206</v>
      </c>
      <c r="I1108" s="8">
        <f t="shared" si="13"/>
        <v>75206</v>
      </c>
      <c r="J1108" s="9">
        <f>IFERROR(__xludf.DUMMYFUNCTION("SPLIT(I1108,""-"")"),75206.0)</f>
        <v>75206</v>
      </c>
    </row>
    <row r="1109">
      <c r="A1109" s="10" t="s">
        <v>1045</v>
      </c>
      <c r="B1109" s="11">
        <v>200.0</v>
      </c>
      <c r="C1109" s="12" t="s">
        <v>1005</v>
      </c>
      <c r="E1109" s="8" t="str">
        <f>IFERROR(__xludf.DUMMYFUNCTION("SPLIT(A1109,""TX"")"),"Hoyt, Karen
7152 Dalewood
Dallas, ")</f>
        <v>Hoyt, Karen
7152 Dalewood
Dallas, </v>
      </c>
      <c r="F1109" s="8">
        <f>IFERROR(__xludf.DUMMYFUNCTION("""COMPUTED_VALUE"""),75214.0)</f>
        <v>75214</v>
      </c>
      <c r="I1109" s="8">
        <f t="shared" si="13"/>
        <v>75214</v>
      </c>
      <c r="J1109" s="9">
        <f>IFERROR(__xludf.DUMMYFUNCTION("SPLIT(I1109,""-"")"),75214.0)</f>
        <v>75214</v>
      </c>
    </row>
    <row r="1110">
      <c r="A1110" s="10" t="s">
        <v>1046</v>
      </c>
      <c r="B1110" s="11">
        <v>250.0</v>
      </c>
      <c r="C1110" s="12" t="s">
        <v>1005</v>
      </c>
      <c r="E1110" s="8" t="str">
        <f>IFERROR(__xludf.DUMMYFUNCTION("SPLIT(A1110,""TX"")"),"Kotvis, Jill
6620 Yosemite
Dallas, ")</f>
        <v>Kotvis, Jill
6620 Yosemite
Dallas, </v>
      </c>
      <c r="F1110" s="8">
        <f>IFERROR(__xludf.DUMMYFUNCTION("""COMPUTED_VALUE"""),75214.0)</f>
        <v>75214</v>
      </c>
      <c r="I1110" s="8">
        <f t="shared" si="13"/>
        <v>75214</v>
      </c>
      <c r="J1110" s="9">
        <f>IFERROR(__xludf.DUMMYFUNCTION("SPLIT(I1110,""-"")"),75214.0)</f>
        <v>75214</v>
      </c>
    </row>
    <row r="1111">
      <c r="A1111" s="10" t="s">
        <v>1047</v>
      </c>
      <c r="B1111" s="11">
        <v>500.0</v>
      </c>
      <c r="C1111" s="12" t="s">
        <v>1005</v>
      </c>
      <c r="E1111" s="8" t="str">
        <f>IFERROR(__xludf.DUMMYFUNCTION("SPLIT(A1111,""TX"")"),"Wynne, Shannon
1722 S. Harwood
Dallas, ")</f>
        <v>Wynne, Shannon
1722 S. Harwood
Dallas, </v>
      </c>
      <c r="F1111" s="8">
        <f>IFERROR(__xludf.DUMMYFUNCTION("""COMPUTED_VALUE"""),75215.0)</f>
        <v>75215</v>
      </c>
      <c r="I1111" s="8">
        <f t="shared" si="13"/>
        <v>75215</v>
      </c>
      <c r="J1111" s="9">
        <f>IFERROR(__xludf.DUMMYFUNCTION("SPLIT(I1111,""-"")"),75215.0)</f>
        <v>75215</v>
      </c>
    </row>
    <row r="1112">
      <c r="A1112" s="10" t="s">
        <v>1048</v>
      </c>
      <c r="B1112" s="11">
        <v>50.0</v>
      </c>
      <c r="C1112" s="12" t="s">
        <v>1005</v>
      </c>
      <c r="E1112" s="8" t="str">
        <f>IFERROR(__xludf.DUMMYFUNCTION("SPLIT(A1112,""TX"")"),"Krause, Michelle
7735 Mullrany
Dallas, ")</f>
        <v>Krause, Michelle
7735 Mullrany
Dallas, </v>
      </c>
      <c r="F1112" s="8">
        <f>IFERROR(__xludf.DUMMYFUNCTION("""COMPUTED_VALUE"""),75248.0)</f>
        <v>75248</v>
      </c>
      <c r="I1112" s="8">
        <f t="shared" si="13"/>
        <v>75248</v>
      </c>
      <c r="J1112" s="9">
        <f>IFERROR(__xludf.DUMMYFUNCTION("SPLIT(I1112,""-"")"),75248.0)</f>
        <v>75248</v>
      </c>
    </row>
    <row r="1113">
      <c r="A1113" s="10" t="s">
        <v>1049</v>
      </c>
      <c r="B1113" s="11">
        <v>500.0</v>
      </c>
      <c r="C1113" s="12" t="s">
        <v>1005</v>
      </c>
      <c r="E1113" s="8" t="str">
        <f>IFERROR(__xludf.DUMMYFUNCTION("SPLIT(A1113,""TX"")"),"hacker, Richard
7001 Greentree
Dallas, ")</f>
        <v>hacker, Richard
7001 Greentree
Dallas, </v>
      </c>
      <c r="F1113" s="8">
        <f>IFERROR(__xludf.DUMMYFUNCTION("""COMPUTED_VALUE"""),75214.0)</f>
        <v>75214</v>
      </c>
      <c r="I1113" s="8">
        <f t="shared" si="13"/>
        <v>75214</v>
      </c>
      <c r="J1113" s="9">
        <f>IFERROR(__xludf.DUMMYFUNCTION("SPLIT(I1113,""-"")"),75214.0)</f>
        <v>75214</v>
      </c>
    </row>
    <row r="1114">
      <c r="A1114" s="10" t="s">
        <v>98</v>
      </c>
      <c r="B1114" s="11">
        <v>250.0</v>
      </c>
      <c r="C1114" s="12" t="s">
        <v>1005</v>
      </c>
      <c r="E1114" s="8" t="str">
        <f>IFERROR(__xludf.DUMMYFUNCTION("SPLIT(A1114,""TX"")"),"Walne, Alan
10020 Caribou ")</f>
        <v>Walne, Alan
10020 Caribou </v>
      </c>
      <c r="F1114" s="8" t="str">
        <f>IFERROR(__xludf.DUMMYFUNCTION("""COMPUTED_VALUE"""),"rail
Dallas, ")</f>
        <v>rail
Dallas, </v>
      </c>
      <c r="G1114" s="8">
        <f>IFERROR(__xludf.DUMMYFUNCTION("""COMPUTED_VALUE"""),75238.0)</f>
        <v>75238</v>
      </c>
      <c r="I1114" s="8">
        <f t="shared" si="13"/>
        <v>75238</v>
      </c>
      <c r="J1114" s="9">
        <f>IFERROR(__xludf.DUMMYFUNCTION("SPLIT(I1114,""-"")"),75238.0)</f>
        <v>75238</v>
      </c>
    </row>
    <row r="1115">
      <c r="A1115" s="10" t="s">
        <v>1050</v>
      </c>
      <c r="B1115" s="11">
        <v>1000.0</v>
      </c>
      <c r="C1115" s="12" t="s">
        <v>1005</v>
      </c>
      <c r="E1115" s="8" t="str">
        <f>IFERROR(__xludf.DUMMYFUNCTION("SPLIT(A1115,""TX"")"),"Hall, Craig
6801 Gaylord Parkway
Frisco, ")</f>
        <v>Hall, Craig
6801 Gaylord Parkway
Frisco, </v>
      </c>
      <c r="F1115" s="8">
        <f>IFERROR(__xludf.DUMMYFUNCTION("""COMPUTED_VALUE"""),75034.0)</f>
        <v>75034</v>
      </c>
      <c r="I1115" s="8">
        <f t="shared" si="13"/>
        <v>75034</v>
      </c>
      <c r="J1115" s="9">
        <f>IFERROR(__xludf.DUMMYFUNCTION("SPLIT(I1115,""-"")"),75034.0)</f>
        <v>75034</v>
      </c>
    </row>
    <row r="1116">
      <c r="A1116" s="10" t="s">
        <v>1051</v>
      </c>
      <c r="B1116" s="11">
        <v>200.0</v>
      </c>
      <c r="C1116" s="12" t="s">
        <v>1005</v>
      </c>
      <c r="E1116" s="8" t="str">
        <f>IFERROR(__xludf.DUMMYFUNCTION("SPLIT(A1116,""TX"")"),"Clay, Barbara
8246 Forest.Hills
Dallas, ")</f>
        <v>Clay, Barbara
8246 Forest.Hills
Dallas, </v>
      </c>
      <c r="F1116" s="8">
        <f>IFERROR(__xludf.DUMMYFUNCTION("""COMPUTED_VALUE"""),75218.0)</f>
        <v>75218</v>
      </c>
      <c r="I1116" s="8">
        <f t="shared" si="13"/>
        <v>75218</v>
      </c>
      <c r="J1116" s="9">
        <f>IFERROR(__xludf.DUMMYFUNCTION("SPLIT(I1116,""-"")"),75218.0)</f>
        <v>75218</v>
      </c>
    </row>
    <row r="1117">
      <c r="A1117" s="10" t="s">
        <v>1052</v>
      </c>
      <c r="B1117" s="11">
        <v>500.0</v>
      </c>
      <c r="C1117" s="12" t="s">
        <v>1005</v>
      </c>
      <c r="E1117" s="8" t="str">
        <f>IFERROR(__xludf.DUMMYFUNCTION("SPLIT(A1117,""TX"")"),"Schenkel, Pete
614 N. Bishop
Dallas, ")</f>
        <v>Schenkel, Pete
614 N. Bishop
Dallas, </v>
      </c>
      <c r="F1117" s="8">
        <f>IFERROR(__xludf.DUMMYFUNCTION("""COMPUTED_VALUE"""),75208.0)</f>
        <v>75208</v>
      </c>
      <c r="I1117" s="8">
        <f t="shared" si="13"/>
        <v>75208</v>
      </c>
      <c r="J1117" s="9">
        <f>IFERROR(__xludf.DUMMYFUNCTION("SPLIT(I1117,""-"")"),75208.0)</f>
        <v>75208</v>
      </c>
    </row>
    <row r="1118">
      <c r="A1118" s="10" t="s">
        <v>1053</v>
      </c>
      <c r="B1118" s="11">
        <v>250.0</v>
      </c>
      <c r="C1118" s="12" t="s">
        <v>1054</v>
      </c>
      <c r="E1118" s="8" t="str">
        <f>IFERROR(__xludf.DUMMYFUNCTION("SPLIT(A1118,""TX"")"),"Dodge, Richard
718 Roundtop
Dallas, ")</f>
        <v>Dodge, Richard
718 Roundtop
Dallas, </v>
      </c>
      <c r="F1118" s="8">
        <f>IFERROR(__xludf.DUMMYFUNCTION("""COMPUTED_VALUE"""),75116.0)</f>
        <v>75116</v>
      </c>
      <c r="I1118" s="8">
        <f t="shared" si="13"/>
        <v>75116</v>
      </c>
      <c r="J1118" s="9">
        <f>IFERROR(__xludf.DUMMYFUNCTION("SPLIT(I1118,""-"")"),75116.0)</f>
        <v>75116</v>
      </c>
    </row>
    <row r="1119">
      <c r="A1119" s="5" t="s">
        <v>1053</v>
      </c>
      <c r="B1119" s="6">
        <v>250.0</v>
      </c>
      <c r="C1119" s="7" t="s">
        <v>1054</v>
      </c>
      <c r="E1119" s="8" t="str">
        <f>IFERROR(__xludf.DUMMYFUNCTION("SPLIT(A1119,""TX"")"),"Dodge, Richard
718 Roundtop
Dallas, ")</f>
        <v>Dodge, Richard
718 Roundtop
Dallas, </v>
      </c>
      <c r="F1119" s="8">
        <f>IFERROR(__xludf.DUMMYFUNCTION("""COMPUTED_VALUE"""),75116.0)</f>
        <v>75116</v>
      </c>
      <c r="I1119" s="8">
        <f t="shared" si="13"/>
        <v>75116</v>
      </c>
      <c r="J1119" s="9">
        <f>IFERROR(__xludf.DUMMYFUNCTION("SPLIT(I1119,""-"")"),75116.0)</f>
        <v>75116</v>
      </c>
    </row>
    <row r="1120">
      <c r="A1120" s="5" t="s">
        <v>1055</v>
      </c>
      <c r="B1120" s="6">
        <v>300.0</v>
      </c>
      <c r="C1120" s="7" t="s">
        <v>1054</v>
      </c>
      <c r="E1120" s="8" t="str">
        <f>IFERROR(__xludf.DUMMYFUNCTION("SPLIT(A1120,""TX"")"),"revino, Patty
1620 Championship Blvd.
Franklin, ")</f>
        <v>revino, Patty
1620 Championship Blvd.
Franklin, </v>
      </c>
      <c r="F1120" s="8" t="str">
        <f>IFERROR(__xludf.DUMMYFUNCTION("""COMPUTED_VALUE"""),"N 37064")</f>
        <v>N 37064</v>
      </c>
      <c r="J1120" s="9" t="str">
        <f>IFERROR(__xludf.DUMMYFUNCTION("SPLIT(I1120,""-"")"),"#VALUE!")</f>
        <v>#VALUE!</v>
      </c>
    </row>
    <row r="1121">
      <c r="A1121" s="10" t="s">
        <v>1055</v>
      </c>
      <c r="B1121" s="11">
        <v>300.0</v>
      </c>
      <c r="C1121" s="12" t="s">
        <v>1054</v>
      </c>
      <c r="E1121" s="8" t="str">
        <f>IFERROR(__xludf.DUMMYFUNCTION("SPLIT(A1121,""TX"")"),"revino, Patty
1620 Championship Blvd.
Franklin, ")</f>
        <v>revino, Patty
1620 Championship Blvd.
Franklin, </v>
      </c>
      <c r="F1121" s="8" t="str">
        <f>IFERROR(__xludf.DUMMYFUNCTION("""COMPUTED_VALUE"""),"N 37064")</f>
        <v>N 37064</v>
      </c>
      <c r="J1121" s="9" t="str">
        <f>IFERROR(__xludf.DUMMYFUNCTION("SPLIT(I1121,""-"")"),"#VALUE!")</f>
        <v>#VALUE!</v>
      </c>
    </row>
    <row r="1122">
      <c r="A1122" s="10" t="s">
        <v>1056</v>
      </c>
      <c r="B1122" s="11">
        <v>100.0</v>
      </c>
      <c r="C1122" s="12" t="s">
        <v>1054</v>
      </c>
      <c r="E1122" s="8" t="str">
        <f>IFERROR(__xludf.DUMMYFUNCTION("SPLIT(A1122,""TX"")"),"Weiss, Shiann
2214 Elmwood Blvd.
Dallas, ")</f>
        <v>Weiss, Shiann
2214 Elmwood Blvd.
Dallas, </v>
      </c>
      <c r="F1122" s="8">
        <f>IFERROR(__xludf.DUMMYFUNCTION("""COMPUTED_VALUE"""),75224.0)</f>
        <v>75224</v>
      </c>
      <c r="I1122" s="8">
        <f t="shared" ref="I1122:I1201" si="14">IF(ISBLANK(G1122),F1122,G1122)</f>
        <v>75224</v>
      </c>
      <c r="J1122" s="9">
        <f>IFERROR(__xludf.DUMMYFUNCTION("SPLIT(I1122,""-"")"),75224.0)</f>
        <v>75224</v>
      </c>
    </row>
    <row r="1123">
      <c r="A1123" s="5" t="s">
        <v>1056</v>
      </c>
      <c r="B1123" s="6">
        <v>100.0</v>
      </c>
      <c r="C1123" s="7" t="s">
        <v>1054</v>
      </c>
      <c r="E1123" s="8" t="str">
        <f>IFERROR(__xludf.DUMMYFUNCTION("SPLIT(A1123,""TX"")"),"Weiss, Shiann
2214 Elmwood Blvd.
Dallas, ")</f>
        <v>Weiss, Shiann
2214 Elmwood Blvd.
Dallas, </v>
      </c>
      <c r="F1123" s="8">
        <f>IFERROR(__xludf.DUMMYFUNCTION("""COMPUTED_VALUE"""),75224.0)</f>
        <v>75224</v>
      </c>
      <c r="I1123" s="8">
        <f t="shared" si="14"/>
        <v>75224</v>
      </c>
      <c r="J1123" s="9">
        <f>IFERROR(__xludf.DUMMYFUNCTION("SPLIT(I1123,""-"")"),75224.0)</f>
        <v>75224</v>
      </c>
    </row>
    <row r="1124">
      <c r="A1124" s="5" t="s">
        <v>1057</v>
      </c>
      <c r="B1124" s="6">
        <v>1000.0</v>
      </c>
      <c r="C1124" s="7" t="s">
        <v>1054</v>
      </c>
      <c r="E1124" s="8" t="str">
        <f>IFERROR(__xludf.DUMMYFUNCTION("SPLIT(A1124,""TX"")"),"Griggs, Mariana
2114 Boyd St.
Dallas, ")</f>
        <v>Griggs, Mariana
2114 Boyd St.
Dallas, </v>
      </c>
      <c r="F1124" s="8">
        <f>IFERROR(__xludf.DUMMYFUNCTION("""COMPUTED_VALUE"""),75224.0)</f>
        <v>75224</v>
      </c>
      <c r="I1124" s="8">
        <f t="shared" si="14"/>
        <v>75224</v>
      </c>
      <c r="J1124" s="9">
        <f>IFERROR(__xludf.DUMMYFUNCTION("SPLIT(I1124,""-"")"),75224.0)</f>
        <v>75224</v>
      </c>
    </row>
    <row r="1125">
      <c r="A1125" s="10" t="s">
        <v>1057</v>
      </c>
      <c r="B1125" s="11">
        <v>1000.0</v>
      </c>
      <c r="C1125" s="12" t="s">
        <v>1054</v>
      </c>
      <c r="E1125" s="8" t="str">
        <f>IFERROR(__xludf.DUMMYFUNCTION("SPLIT(A1125,""TX"")"),"Griggs, Mariana
2114 Boyd St.
Dallas, ")</f>
        <v>Griggs, Mariana
2114 Boyd St.
Dallas, </v>
      </c>
      <c r="F1125" s="8">
        <f>IFERROR(__xludf.DUMMYFUNCTION("""COMPUTED_VALUE"""),75224.0)</f>
        <v>75224</v>
      </c>
      <c r="I1125" s="8">
        <f t="shared" si="14"/>
        <v>75224</v>
      </c>
      <c r="J1125" s="9">
        <f>IFERROR(__xludf.DUMMYFUNCTION("SPLIT(I1125,""-"")"),75224.0)</f>
        <v>75224</v>
      </c>
    </row>
    <row r="1126">
      <c r="A1126" s="10" t="s">
        <v>1058</v>
      </c>
      <c r="B1126" s="11">
        <v>1000.0</v>
      </c>
      <c r="C1126" s="12" t="s">
        <v>1054</v>
      </c>
      <c r="E1126" s="8" t="str">
        <f>IFERROR(__xludf.DUMMYFUNCTION("SPLIT(A1126,""TX"")"),"Bleeker, Brian
1943 Colorado Blvd.
Dallas, ")</f>
        <v>Bleeker, Brian
1943 Colorado Blvd.
Dallas, </v>
      </c>
      <c r="F1126" s="8">
        <f>IFERROR(__xludf.DUMMYFUNCTION("""COMPUTED_VALUE"""),75208.0)</f>
        <v>75208</v>
      </c>
      <c r="I1126" s="8">
        <f t="shared" si="14"/>
        <v>75208</v>
      </c>
      <c r="J1126" s="9">
        <f>IFERROR(__xludf.DUMMYFUNCTION("SPLIT(I1126,""-"")"),75208.0)</f>
        <v>75208</v>
      </c>
    </row>
    <row r="1127">
      <c r="A1127" s="5" t="s">
        <v>1058</v>
      </c>
      <c r="B1127" s="6">
        <v>1000.0</v>
      </c>
      <c r="C1127" s="7" t="s">
        <v>1054</v>
      </c>
      <c r="E1127" s="8" t="str">
        <f>IFERROR(__xludf.DUMMYFUNCTION("SPLIT(A1127,""TX"")"),"Bleeker, Brian
1943 Colorado Blvd.
Dallas, ")</f>
        <v>Bleeker, Brian
1943 Colorado Blvd.
Dallas, </v>
      </c>
      <c r="F1127" s="8">
        <f>IFERROR(__xludf.DUMMYFUNCTION("""COMPUTED_VALUE"""),75208.0)</f>
        <v>75208</v>
      </c>
      <c r="I1127" s="8">
        <f t="shared" si="14"/>
        <v>75208</v>
      </c>
      <c r="J1127" s="9">
        <f>IFERROR(__xludf.DUMMYFUNCTION("SPLIT(I1127,""-"")"),75208.0)</f>
        <v>75208</v>
      </c>
    </row>
    <row r="1128">
      <c r="A1128" s="5" t="s">
        <v>1059</v>
      </c>
      <c r="B1128" s="6">
        <v>100.0</v>
      </c>
      <c r="C1128" s="7" t="s">
        <v>1060</v>
      </c>
      <c r="E1128" s="8" t="str">
        <f>IFERROR(__xludf.DUMMYFUNCTION("SPLIT(A1128,""TX"")"),"Koppman, Edward
3535 Gillespie St.
Dallas, ")</f>
        <v>Koppman, Edward
3535 Gillespie St.
Dallas, </v>
      </c>
      <c r="F1128" s="8">
        <f>IFERROR(__xludf.DUMMYFUNCTION("""COMPUTED_VALUE"""),75219.0)</f>
        <v>75219</v>
      </c>
      <c r="I1128" s="8">
        <f t="shared" si="14"/>
        <v>75219</v>
      </c>
      <c r="J1128" s="9">
        <f>IFERROR(__xludf.DUMMYFUNCTION("SPLIT(I1128,""-"")"),75219.0)</f>
        <v>75219</v>
      </c>
    </row>
    <row r="1129">
      <c r="A1129" s="10" t="s">
        <v>1061</v>
      </c>
      <c r="B1129" s="11">
        <v>100.0</v>
      </c>
      <c r="C1129" s="12" t="s">
        <v>1060</v>
      </c>
      <c r="E1129" s="8" t="str">
        <f>IFERROR(__xludf.DUMMYFUNCTION("SPLIT(A1129,""TX"")"),"Faulkner, James
6046 Llano Ave
Dallas, ")</f>
        <v>Faulkner, James
6046 Llano Ave
Dallas, </v>
      </c>
      <c r="F1129" s="8">
        <f>IFERROR(__xludf.DUMMYFUNCTION("""COMPUTED_VALUE"""),75206.0)</f>
        <v>75206</v>
      </c>
      <c r="I1129" s="8">
        <f t="shared" si="14"/>
        <v>75206</v>
      </c>
      <c r="J1129" s="9">
        <f>IFERROR(__xludf.DUMMYFUNCTION("SPLIT(I1129,""-"")"),75206.0)</f>
        <v>75206</v>
      </c>
    </row>
    <row r="1130">
      <c r="A1130" s="5" t="s">
        <v>1062</v>
      </c>
      <c r="B1130" s="6">
        <v>500.0</v>
      </c>
      <c r="C1130" s="7" t="s">
        <v>1060</v>
      </c>
      <c r="E1130" s="8" t="str">
        <f>IFERROR(__xludf.DUMMYFUNCTION("SPLIT(A1130,""TX"")"),"Donovan, Carol &amp; Dan
6324 Malcolm
Dallas, ")</f>
        <v>Donovan, Carol &amp; Dan
6324 Malcolm
Dallas, </v>
      </c>
      <c r="F1130" s="8">
        <f>IFERROR(__xludf.DUMMYFUNCTION("""COMPUTED_VALUE"""),75214.0)</f>
        <v>75214</v>
      </c>
      <c r="I1130" s="8">
        <f t="shared" si="14"/>
        <v>75214</v>
      </c>
      <c r="J1130" s="9">
        <f>IFERROR(__xludf.DUMMYFUNCTION("SPLIT(I1130,""-"")"),75214.0)</f>
        <v>75214</v>
      </c>
    </row>
    <row r="1131">
      <c r="A1131" s="10" t="s">
        <v>1063</v>
      </c>
      <c r="B1131" s="11">
        <v>250.0</v>
      </c>
      <c r="C1131" s="12" t="s">
        <v>1060</v>
      </c>
      <c r="E1131" s="8" t="str">
        <f>IFERROR(__xludf.DUMMYFUNCTION("SPLIT(A1131,""TX"")"),"Elk, Charles
6504 Bailey Rd
Sachse, ")</f>
        <v>Elk, Charles
6504 Bailey Rd
Sachse, </v>
      </c>
      <c r="F1131" s="8">
        <f>IFERROR(__xludf.DUMMYFUNCTION("""COMPUTED_VALUE"""),75048.0)</f>
        <v>75048</v>
      </c>
      <c r="I1131" s="8">
        <f t="shared" si="14"/>
        <v>75048</v>
      </c>
      <c r="J1131" s="9">
        <f>IFERROR(__xludf.DUMMYFUNCTION("SPLIT(I1131,""-"")"),75048.0)</f>
        <v>75048</v>
      </c>
    </row>
    <row r="1132">
      <c r="A1132" s="5" t="s">
        <v>1064</v>
      </c>
      <c r="B1132" s="6">
        <v>1000.0</v>
      </c>
      <c r="C1132" s="7" t="s">
        <v>1065</v>
      </c>
      <c r="E1132" s="8" t="str">
        <f>IFERROR(__xludf.DUMMYFUNCTION("SPLIT(A1132,""TX"")"),"Bibb, Greg
4600 Saint Laurent Court
Fort Worth, ")</f>
        <v>Bibb, Greg
4600 Saint Laurent Court
Fort Worth, </v>
      </c>
      <c r="F1132" s="8">
        <f>IFERROR(__xludf.DUMMYFUNCTION("""COMPUTED_VALUE"""),76126.0)</f>
        <v>76126</v>
      </c>
      <c r="I1132" s="8">
        <f t="shared" si="14"/>
        <v>76126</v>
      </c>
      <c r="J1132" s="9">
        <f>IFERROR(__xludf.DUMMYFUNCTION("SPLIT(I1132,""-"")"),76126.0)</f>
        <v>76126</v>
      </c>
    </row>
    <row r="1133">
      <c r="A1133" s="5" t="s">
        <v>1066</v>
      </c>
      <c r="B1133" s="6">
        <v>100.0</v>
      </c>
      <c r="C1133" s="7" t="s">
        <v>1065</v>
      </c>
      <c r="E1133" s="8" t="str">
        <f>IFERROR(__xludf.DUMMYFUNCTION("SPLIT(A1133,""TX"")"),"Perryman, ")</f>
        <v>Perryman, </v>
      </c>
      <c r="F1133" s="8" t="str">
        <f>IFERROR(__xludf.DUMMYFUNCTION("""COMPUTED_VALUE"""),"om and Sally
6138 Woodland Dr
Dallas, ")</f>
        <v>om and Sally
6138 Woodland Dr
Dallas, </v>
      </c>
      <c r="G1133" s="8">
        <f>IFERROR(__xludf.DUMMYFUNCTION("""COMPUTED_VALUE"""),75225.0)</f>
        <v>75225</v>
      </c>
      <c r="I1133" s="8">
        <f t="shared" si="14"/>
        <v>75225</v>
      </c>
      <c r="J1133" s="9">
        <f>IFERROR(__xludf.DUMMYFUNCTION("SPLIT(I1133,""-"")"),75225.0)</f>
        <v>75225</v>
      </c>
    </row>
    <row r="1134">
      <c r="A1134" s="5" t="s">
        <v>1067</v>
      </c>
      <c r="B1134" s="6">
        <v>1500.0</v>
      </c>
      <c r="C1134" s="7" t="s">
        <v>1065</v>
      </c>
      <c r="E1134" s="8" t="str">
        <f>IFERROR(__xludf.DUMMYFUNCTION("SPLIT(A1134,""TX"")"),"Nettune, Alex
25 Highland Park Village
Dallas, ")</f>
        <v>Nettune, Alex
25 Highland Park Village
Dallas, </v>
      </c>
      <c r="F1134" s="8">
        <f>IFERROR(__xludf.DUMMYFUNCTION("""COMPUTED_VALUE"""),75205.0)</f>
        <v>75205</v>
      </c>
      <c r="I1134" s="8">
        <f t="shared" si="14"/>
        <v>75205</v>
      </c>
      <c r="J1134" s="9">
        <f>IFERROR(__xludf.DUMMYFUNCTION("SPLIT(I1134,""-"")"),75205.0)</f>
        <v>75205</v>
      </c>
    </row>
    <row r="1135">
      <c r="A1135" s="5" t="s">
        <v>1068</v>
      </c>
      <c r="B1135" s="6">
        <v>1020.0</v>
      </c>
      <c r="C1135" s="7" t="s">
        <v>1065</v>
      </c>
      <c r="E1135" s="8" t="str">
        <f>IFERROR(__xludf.DUMMYFUNCTION("SPLIT(A1135,""TX"")"),"Love, John
6006 Vanderbilt Ave
Dallas, ")</f>
        <v>Love, John
6006 Vanderbilt Ave
Dallas, </v>
      </c>
      <c r="F1135" s="8">
        <f>IFERROR(__xludf.DUMMYFUNCTION("""COMPUTED_VALUE"""),75206.0)</f>
        <v>75206</v>
      </c>
      <c r="I1135" s="8">
        <f t="shared" si="14"/>
        <v>75206</v>
      </c>
      <c r="J1135" s="9">
        <f>IFERROR(__xludf.DUMMYFUNCTION("SPLIT(I1135,""-"")"),75206.0)</f>
        <v>75206</v>
      </c>
    </row>
    <row r="1136">
      <c r="A1136" s="5" t="s">
        <v>1069</v>
      </c>
      <c r="B1136" s="6">
        <v>2500.0</v>
      </c>
      <c r="C1136" s="7" t="s">
        <v>1065</v>
      </c>
      <c r="E1136" s="8" t="str">
        <f>IFERROR(__xludf.DUMMYFUNCTION("SPLIT(A1136,""TX"")"),"Olajide, John
16000 Dallas Parkway
Dallas, ")</f>
        <v>Olajide, John
16000 Dallas Parkway
Dallas, </v>
      </c>
      <c r="F1136" s="8">
        <f>IFERROR(__xludf.DUMMYFUNCTION("""COMPUTED_VALUE"""),75248.0)</f>
        <v>75248</v>
      </c>
      <c r="I1136" s="8">
        <f t="shared" si="14"/>
        <v>75248</v>
      </c>
      <c r="J1136" s="9">
        <f>IFERROR(__xludf.DUMMYFUNCTION("SPLIT(I1136,""-"")"),75248.0)</f>
        <v>75248</v>
      </c>
    </row>
    <row r="1137">
      <c r="A1137" s="5" t="s">
        <v>1070</v>
      </c>
      <c r="B1137" s="6">
        <v>2500.0</v>
      </c>
      <c r="C1137" s="7" t="s">
        <v>1065</v>
      </c>
      <c r="E1137" s="8" t="str">
        <f>IFERROR(__xludf.DUMMYFUNCTION("SPLIT(A1137,""TX"")"),"Pond, Hunter
3838 Oak Lawn Ave
Dallas, ")</f>
        <v>Pond, Hunter
3838 Oak Lawn Ave
Dallas, </v>
      </c>
      <c r="F1137" s="8">
        <f>IFERROR(__xludf.DUMMYFUNCTION("""COMPUTED_VALUE"""),75219.0)</f>
        <v>75219</v>
      </c>
      <c r="I1137" s="8">
        <f t="shared" si="14"/>
        <v>75219</v>
      </c>
      <c r="J1137" s="9">
        <f>IFERROR(__xludf.DUMMYFUNCTION("SPLIT(I1137,""-"")"),75219.0)</f>
        <v>75219</v>
      </c>
    </row>
    <row r="1138">
      <c r="A1138" s="5" t="s">
        <v>1071</v>
      </c>
      <c r="B1138" s="6">
        <v>500.0</v>
      </c>
      <c r="C1138" s="7" t="s">
        <v>1065</v>
      </c>
      <c r="E1138" s="8" t="str">
        <f>IFERROR(__xludf.DUMMYFUNCTION("SPLIT(A1138,""TX"")"),"White, Carlos
733 Mulberry Lane
Desoto, ")</f>
        <v>White, Carlos
733 Mulberry Lane
Desoto, </v>
      </c>
      <c r="F1138" s="8">
        <f>IFERROR(__xludf.DUMMYFUNCTION("""COMPUTED_VALUE"""),75115.0)</f>
        <v>75115</v>
      </c>
      <c r="I1138" s="8">
        <f t="shared" si="14"/>
        <v>75115</v>
      </c>
      <c r="J1138" s="9">
        <f>IFERROR(__xludf.DUMMYFUNCTION("SPLIT(I1138,""-"")"),75115.0)</f>
        <v>75115</v>
      </c>
    </row>
    <row r="1139">
      <c r="A1139" s="5" t="s">
        <v>1072</v>
      </c>
      <c r="B1139" s="6">
        <v>1000.0</v>
      </c>
      <c r="C1139" s="7" t="s">
        <v>1065</v>
      </c>
      <c r="E1139" s="8" t="str">
        <f>IFERROR(__xludf.DUMMYFUNCTION("SPLIT(A1139,""TX"")"),"Hersh, Ken
4143 Maple Ave
Dallas, ")</f>
        <v>Hersh, Ken
4143 Maple Ave
Dallas, </v>
      </c>
      <c r="F1139" s="8">
        <f>IFERROR(__xludf.DUMMYFUNCTION("""COMPUTED_VALUE"""),75219.0)</f>
        <v>75219</v>
      </c>
      <c r="I1139" s="8">
        <f t="shared" si="14"/>
        <v>75219</v>
      </c>
      <c r="J1139" s="9">
        <f>IFERROR(__xludf.DUMMYFUNCTION("SPLIT(I1139,""-"")"),75219.0)</f>
        <v>75219</v>
      </c>
    </row>
    <row r="1140">
      <c r="A1140" s="5" t="s">
        <v>1073</v>
      </c>
      <c r="B1140" s="6">
        <v>2500.0</v>
      </c>
      <c r="C1140" s="7" t="s">
        <v>1065</v>
      </c>
      <c r="E1140" s="8" t="str">
        <f>IFERROR(__xludf.DUMMYFUNCTION("SPLIT(A1140,""TX"")"),"Schlueter, Stan
1122 Colorado St
Austin, ")</f>
        <v>Schlueter, Stan
1122 Colorado St
Austin, </v>
      </c>
      <c r="F1140" s="8">
        <f>IFERROR(__xludf.DUMMYFUNCTION("""COMPUTED_VALUE"""),78701.0)</f>
        <v>78701</v>
      </c>
      <c r="I1140" s="8">
        <f t="shared" si="14"/>
        <v>78701</v>
      </c>
      <c r="J1140" s="9">
        <f>IFERROR(__xludf.DUMMYFUNCTION("SPLIT(I1140,""-"")"),78701.0)</f>
        <v>78701</v>
      </c>
    </row>
    <row r="1141">
      <c r="A1141" s="5" t="s">
        <v>1074</v>
      </c>
      <c r="B1141" s="6">
        <v>500.0</v>
      </c>
      <c r="C1141" s="7" t="s">
        <v>1065</v>
      </c>
      <c r="E1141" s="8" t="str">
        <f>IFERROR(__xludf.DUMMYFUNCTION("SPLIT(A1141,""TX"")"),"Folsom, Steve
16475 Dallas Parkway
Addison, ")</f>
        <v>Folsom, Steve
16475 Dallas Parkway
Addison, </v>
      </c>
      <c r="F1141" s="8">
        <f>IFERROR(__xludf.DUMMYFUNCTION("""COMPUTED_VALUE"""),75001.0)</f>
        <v>75001</v>
      </c>
      <c r="I1141" s="8">
        <f t="shared" si="14"/>
        <v>75001</v>
      </c>
      <c r="J1141" s="9">
        <f>IFERROR(__xludf.DUMMYFUNCTION("SPLIT(I1141,""-"")"),75001.0)</f>
        <v>75001</v>
      </c>
    </row>
    <row r="1142">
      <c r="A1142" s="5" t="s">
        <v>1075</v>
      </c>
      <c r="B1142" s="6">
        <v>500.0</v>
      </c>
      <c r="C1142" s="7" t="s">
        <v>1065</v>
      </c>
      <c r="E1142" s="8" t="str">
        <f>IFERROR(__xludf.DUMMYFUNCTION("SPLIT(A1142,""TX"")"),"Mann, Bruce
24 Linnaean St
Cambridge, MA 02138")</f>
        <v>Mann, Bruce
24 Linnaean St
Cambridge, MA 02138</v>
      </c>
      <c r="I1142" s="8" t="str">
        <f t="shared" si="14"/>
        <v/>
      </c>
      <c r="J1142" s="9" t="str">
        <f>IFERROR(__xludf.DUMMYFUNCTION("SPLIT(I1142,""-"")"),"#VALUE!")</f>
        <v>#VALUE!</v>
      </c>
    </row>
    <row r="1143">
      <c r="A1143" s="5" t="s">
        <v>1076</v>
      </c>
      <c r="B1143" s="6">
        <v>100.0</v>
      </c>
      <c r="C1143" s="7" t="s">
        <v>1065</v>
      </c>
      <c r="E1143" s="8" t="str">
        <f>IFERROR(__xludf.DUMMYFUNCTION("SPLIT(A1143,""TX"")"),"Martinez, ")</f>
        <v>Martinez, </v>
      </c>
      <c r="F1143" s="8" t="str">
        <f>IFERROR(__xludf.DUMMYFUNCTION("""COMPUTED_VALUE"""),"ony
8451 Creekwood Dr
Dallas, ")</f>
        <v>ony
8451 Creekwood Dr
Dallas, </v>
      </c>
      <c r="G1143" s="8">
        <f>IFERROR(__xludf.DUMMYFUNCTION("""COMPUTED_VALUE"""),75228.0)</f>
        <v>75228</v>
      </c>
      <c r="I1143" s="8">
        <f t="shared" si="14"/>
        <v>75228</v>
      </c>
      <c r="J1143" s="9">
        <f>IFERROR(__xludf.DUMMYFUNCTION("SPLIT(I1143,""-"")"),75228.0)</f>
        <v>75228</v>
      </c>
    </row>
    <row r="1144">
      <c r="A1144" s="5" t="s">
        <v>1077</v>
      </c>
      <c r="B1144" s="6">
        <v>100.0</v>
      </c>
      <c r="C1144" s="7" t="s">
        <v>1065</v>
      </c>
      <c r="E1144" s="8" t="str">
        <f>IFERROR(__xludf.DUMMYFUNCTION("SPLIT(A1144,""TX"")"),"Stewart, Walter
7652 Sanderling Rd
Sarasota, FL 34242")</f>
        <v>Stewart, Walter
7652 Sanderling Rd
Sarasota, FL 34242</v>
      </c>
      <c r="I1144" s="8" t="str">
        <f t="shared" si="14"/>
        <v/>
      </c>
      <c r="J1144" s="9" t="str">
        <f>IFERROR(__xludf.DUMMYFUNCTION("SPLIT(I1144,""-"")"),"#VALUE!")</f>
        <v>#VALUE!</v>
      </c>
    </row>
    <row r="1145">
      <c r="A1145" s="5" t="s">
        <v>1078</v>
      </c>
      <c r="B1145" s="6">
        <v>2500.0</v>
      </c>
      <c r="C1145" s="7" t="s">
        <v>1065</v>
      </c>
      <c r="E1145" s="8" t="str">
        <f>IFERROR(__xludf.DUMMYFUNCTION("SPLIT(A1145,""TX"")"),"Borick, Steven
2900 McKinnon Street
Dallas, ")</f>
        <v>Borick, Steven
2900 McKinnon Street
Dallas, </v>
      </c>
      <c r="F1145" s="8">
        <f>IFERROR(__xludf.DUMMYFUNCTION("""COMPUTED_VALUE"""),75201.0)</f>
        <v>75201</v>
      </c>
      <c r="I1145" s="8">
        <f t="shared" si="14"/>
        <v>75201</v>
      </c>
      <c r="J1145" s="9">
        <f>IFERROR(__xludf.DUMMYFUNCTION("SPLIT(I1145,""-"")"),75201.0)</f>
        <v>75201</v>
      </c>
    </row>
    <row r="1146">
      <c r="A1146" s="5" t="s">
        <v>1079</v>
      </c>
      <c r="B1146" s="6">
        <v>20.0</v>
      </c>
      <c r="C1146" s="7" t="s">
        <v>1065</v>
      </c>
      <c r="E1146" s="8" t="str">
        <f>IFERROR(__xludf.DUMMYFUNCTION("SPLIT(A1146,""TX"")"),"Haile, Howard
6722 Stefani Dr
Dallas, ")</f>
        <v>Haile, Howard
6722 Stefani Dr
Dallas, </v>
      </c>
      <c r="F1146" s="8">
        <f>IFERROR(__xludf.DUMMYFUNCTION("""COMPUTED_VALUE"""),75225.0)</f>
        <v>75225</v>
      </c>
      <c r="I1146" s="8">
        <f t="shared" si="14"/>
        <v>75225</v>
      </c>
      <c r="J1146" s="9">
        <f>IFERROR(__xludf.DUMMYFUNCTION("SPLIT(I1146,""-"")"),75225.0)</f>
        <v>75225</v>
      </c>
    </row>
    <row r="1147">
      <c r="A1147" s="5" t="s">
        <v>1080</v>
      </c>
      <c r="B1147" s="6">
        <v>500.0</v>
      </c>
      <c r="C1147" s="7" t="s">
        <v>1065</v>
      </c>
      <c r="E1147" s="8" t="str">
        <f>IFERROR(__xludf.DUMMYFUNCTION("SPLIT(A1147,""TX"")"),"McCabe, Libby
10200 Hollow Way Rd
Dallas, ")</f>
        <v>McCabe, Libby
10200 Hollow Way Rd
Dallas, </v>
      </c>
      <c r="F1147" s="8">
        <f>IFERROR(__xludf.DUMMYFUNCTION("""COMPUTED_VALUE"""),75229.0)</f>
        <v>75229</v>
      </c>
      <c r="I1147" s="8">
        <f t="shared" si="14"/>
        <v>75229</v>
      </c>
      <c r="J1147" s="9">
        <f>IFERROR(__xludf.DUMMYFUNCTION("SPLIT(I1147,""-"")"),75229.0)</f>
        <v>75229</v>
      </c>
    </row>
    <row r="1148">
      <c r="A1148" s="5" t="s">
        <v>1081</v>
      </c>
      <c r="B1148" s="6">
        <v>500.0</v>
      </c>
      <c r="C1148" s="7" t="s">
        <v>1065</v>
      </c>
      <c r="E1148" s="8" t="str">
        <f>IFERROR(__xludf.DUMMYFUNCTION("SPLIT(A1148,""TX"")"),"Carroll, Frank
11937 Denton Dr
Dallas, ")</f>
        <v>Carroll, Frank
11937 Denton Dr
Dallas, </v>
      </c>
      <c r="F1148" s="8">
        <f>IFERROR(__xludf.DUMMYFUNCTION("""COMPUTED_VALUE"""),75234.0)</f>
        <v>75234</v>
      </c>
      <c r="I1148" s="8">
        <f t="shared" si="14"/>
        <v>75234</v>
      </c>
      <c r="J1148" s="9">
        <f>IFERROR(__xludf.DUMMYFUNCTION("SPLIT(I1148,""-"")"),75234.0)</f>
        <v>75234</v>
      </c>
    </row>
    <row r="1149">
      <c r="A1149" s="5" t="s">
        <v>1082</v>
      </c>
      <c r="B1149" s="6">
        <v>500.0</v>
      </c>
      <c r="C1149" s="7" t="s">
        <v>1065</v>
      </c>
      <c r="E1149" s="8" t="str">
        <f>IFERROR(__xludf.DUMMYFUNCTION("SPLIT(A1149,""TX"")"),"Dickenson, Meredith
12131 ")</f>
        <v>Dickenson, Meredith
12131 </v>
      </c>
      <c r="F1149" s="8" t="str">
        <f>IFERROR(__xludf.DUMMYFUNCTION("""COMPUTED_VALUE"""),"almay Dr
Dallas, ")</f>
        <v>almay Dr
Dallas, </v>
      </c>
      <c r="G1149" s="8">
        <f>IFERROR(__xludf.DUMMYFUNCTION("""COMPUTED_VALUE"""),75230.0)</f>
        <v>75230</v>
      </c>
      <c r="I1149" s="8">
        <f t="shared" si="14"/>
        <v>75230</v>
      </c>
      <c r="J1149" s="9">
        <f>IFERROR(__xludf.DUMMYFUNCTION("SPLIT(I1149,""-"")"),75230.0)</f>
        <v>75230</v>
      </c>
    </row>
    <row r="1150">
      <c r="A1150" s="5" t="s">
        <v>1083</v>
      </c>
      <c r="B1150" s="6">
        <v>5000.0</v>
      </c>
      <c r="C1150" s="7" t="s">
        <v>1065</v>
      </c>
      <c r="E1150" s="8" t="str">
        <f>IFERROR(__xludf.DUMMYFUNCTION("SPLIT(A1150,""TX"")"),"Kelley, Rusty
919 Congress Ave
Austin, ")</f>
        <v>Kelley, Rusty
919 Congress Ave
Austin, </v>
      </c>
      <c r="F1150" s="8">
        <f>IFERROR(__xludf.DUMMYFUNCTION("""COMPUTED_VALUE"""),78701.0)</f>
        <v>78701</v>
      </c>
      <c r="I1150" s="8">
        <f t="shared" si="14"/>
        <v>78701</v>
      </c>
      <c r="J1150" s="9">
        <f>IFERROR(__xludf.DUMMYFUNCTION("SPLIT(I1150,""-"")"),78701.0)</f>
        <v>78701</v>
      </c>
    </row>
    <row r="1151">
      <c r="A1151" s="5" t="s">
        <v>1084</v>
      </c>
      <c r="B1151" s="6">
        <v>1000.0</v>
      </c>
      <c r="C1151" s="7" t="s">
        <v>1065</v>
      </c>
      <c r="E1151" s="8" t="str">
        <f>IFERROR(__xludf.DUMMYFUNCTION("SPLIT(A1151,""TX"")"),"Kazora, Benedict
637 Medinah Rd
Red Oak, ")</f>
        <v>Kazora, Benedict
637 Medinah Rd
Red Oak, </v>
      </c>
      <c r="F1151" s="8">
        <f>IFERROR(__xludf.DUMMYFUNCTION("""COMPUTED_VALUE"""),75154.0)</f>
        <v>75154</v>
      </c>
      <c r="I1151" s="8">
        <f t="shared" si="14"/>
        <v>75154</v>
      </c>
      <c r="J1151" s="9">
        <f>IFERROR(__xludf.DUMMYFUNCTION("SPLIT(I1151,""-"")"),75154.0)</f>
        <v>75154</v>
      </c>
    </row>
    <row r="1152">
      <c r="A1152" s="5" t="s">
        <v>1085</v>
      </c>
      <c r="B1152" s="6">
        <v>100.0</v>
      </c>
      <c r="C1152" s="7" t="s">
        <v>1065</v>
      </c>
      <c r="E1152" s="8" t="str">
        <f>IFERROR(__xludf.DUMMYFUNCTION("SPLIT(A1152,""TX"")"),"Feyer, Robert
2335 Hyde St
San Francisco, CA 94109")</f>
        <v>Feyer, Robert
2335 Hyde St
San Francisco, CA 94109</v>
      </c>
      <c r="I1152" s="8" t="str">
        <f t="shared" si="14"/>
        <v/>
      </c>
      <c r="J1152" s="9" t="str">
        <f>IFERROR(__xludf.DUMMYFUNCTION("SPLIT(I1152,""-"")"),"#VALUE!")</f>
        <v>#VALUE!</v>
      </c>
    </row>
    <row r="1153">
      <c r="A1153" s="5" t="s">
        <v>1086</v>
      </c>
      <c r="B1153" s="6">
        <v>100.0</v>
      </c>
      <c r="C1153" s="7" t="s">
        <v>1065</v>
      </c>
      <c r="E1153" s="8" t="str">
        <f>IFERROR(__xludf.DUMMYFUNCTION("SPLIT(A1153,""TX"")"),"Gibson, Elaine
15615 Preston Road
Dallas, ")</f>
        <v>Gibson, Elaine
15615 Preston Road
Dallas, </v>
      </c>
      <c r="F1153" s="8">
        <f>IFERROR(__xludf.DUMMYFUNCTION("""COMPUTED_VALUE"""),75248.0)</f>
        <v>75248</v>
      </c>
      <c r="I1153" s="8">
        <f t="shared" si="14"/>
        <v>75248</v>
      </c>
      <c r="J1153" s="9">
        <f>IFERROR(__xludf.DUMMYFUNCTION("SPLIT(I1153,""-"")"),75248.0)</f>
        <v>75248</v>
      </c>
    </row>
    <row r="1154">
      <c r="A1154" s="5" t="s">
        <v>1087</v>
      </c>
      <c r="B1154" s="6">
        <v>50.0</v>
      </c>
      <c r="C1154" s="7" t="s">
        <v>1065</v>
      </c>
      <c r="E1154" s="8" t="str">
        <f>IFERROR(__xludf.DUMMYFUNCTION("SPLIT(A1154,""TX"")"),"Kiser, Chrystiane
2814 Highwood Dr
Dallas, ")</f>
        <v>Kiser, Chrystiane
2814 Highwood Dr
Dallas, </v>
      </c>
      <c r="F1154" s="8">
        <f>IFERROR(__xludf.DUMMYFUNCTION("""COMPUTED_VALUE"""),75228.0)</f>
        <v>75228</v>
      </c>
      <c r="I1154" s="8">
        <f t="shared" si="14"/>
        <v>75228</v>
      </c>
      <c r="J1154" s="9">
        <f>IFERROR(__xludf.DUMMYFUNCTION("SPLIT(I1154,""-"")"),75228.0)</f>
        <v>75228</v>
      </c>
    </row>
    <row r="1155">
      <c r="A1155" s="5" t="s">
        <v>1088</v>
      </c>
      <c r="B1155" s="6">
        <v>100.0</v>
      </c>
      <c r="C1155" s="7" t="s">
        <v>1065</v>
      </c>
      <c r="E1155" s="8" t="str">
        <f>IFERROR(__xludf.DUMMYFUNCTION("SPLIT(A1155,""TX"")"),"Lester, James
6363 West Camp Wisdom Rd
Dallas, ")</f>
        <v>Lester, James
6363 West Camp Wisdom Rd
Dallas, </v>
      </c>
      <c r="F1155" s="8">
        <f>IFERROR(__xludf.DUMMYFUNCTION("""COMPUTED_VALUE"""),75236.0)</f>
        <v>75236</v>
      </c>
      <c r="I1155" s="8">
        <f t="shared" si="14"/>
        <v>75236</v>
      </c>
      <c r="J1155" s="9">
        <f>IFERROR(__xludf.DUMMYFUNCTION("SPLIT(I1155,""-"")"),75236.0)</f>
        <v>75236</v>
      </c>
    </row>
    <row r="1156">
      <c r="A1156" s="5" t="s">
        <v>1089</v>
      </c>
      <c r="B1156" s="6">
        <v>100.0</v>
      </c>
      <c r="C1156" s="7" t="s">
        <v>1065</v>
      </c>
      <c r="E1156" s="8" t="str">
        <f>IFERROR(__xludf.DUMMYFUNCTION("SPLIT(A1156,""TX"")"),"Pearson, Bonnie
2864 Blue Jay Way
Lafayette, CO 80026")</f>
        <v>Pearson, Bonnie
2864 Blue Jay Way
Lafayette, CO 80026</v>
      </c>
      <c r="I1156" s="8" t="str">
        <f t="shared" si="14"/>
        <v/>
      </c>
      <c r="J1156" s="9" t="str">
        <f>IFERROR(__xludf.DUMMYFUNCTION("SPLIT(I1156,""-"")"),"#VALUE!")</f>
        <v>#VALUE!</v>
      </c>
    </row>
    <row r="1157">
      <c r="A1157" s="5" t="s">
        <v>1090</v>
      </c>
      <c r="B1157" s="6">
        <v>25.0</v>
      </c>
      <c r="C1157" s="7" t="s">
        <v>1065</v>
      </c>
      <c r="E1157" s="8" t="str">
        <f>IFERROR(__xludf.DUMMYFUNCTION("SPLIT(A1157,""TX"")"),"Ross, Sharon
5617 Williamstown Rd
Dallas, ")</f>
        <v>Ross, Sharon
5617 Williamstown Rd
Dallas, </v>
      </c>
      <c r="F1157" s="8">
        <f>IFERROR(__xludf.DUMMYFUNCTION("""COMPUTED_VALUE"""),75230.0)</f>
        <v>75230</v>
      </c>
      <c r="I1157" s="8">
        <f t="shared" si="14"/>
        <v>75230</v>
      </c>
      <c r="J1157" s="9">
        <f>IFERROR(__xludf.DUMMYFUNCTION("SPLIT(I1157,""-"")"),75230.0)</f>
        <v>75230</v>
      </c>
    </row>
    <row r="1158">
      <c r="A1158" s="5" t="s">
        <v>1091</v>
      </c>
      <c r="B1158" s="6">
        <v>100.0</v>
      </c>
      <c r="C1158" s="7" t="s">
        <v>1065</v>
      </c>
      <c r="E1158" s="8" t="str">
        <f>IFERROR(__xludf.DUMMYFUNCTION("SPLIT(A1158,""TX"")"),"Shirejian, George
10404 Westlawn
Dallas, ")</f>
        <v>Shirejian, George
10404 Westlawn
Dallas, </v>
      </c>
      <c r="F1158" s="8">
        <f>IFERROR(__xludf.DUMMYFUNCTION("""COMPUTED_VALUE"""),75229.0)</f>
        <v>75229</v>
      </c>
      <c r="I1158" s="8">
        <f t="shared" si="14"/>
        <v>75229</v>
      </c>
      <c r="J1158" s="9">
        <f>IFERROR(__xludf.DUMMYFUNCTION("SPLIT(I1158,""-"")"),75229.0)</f>
        <v>75229</v>
      </c>
    </row>
    <row r="1159">
      <c r="A1159" s="5" t="s">
        <v>1092</v>
      </c>
      <c r="B1159" s="6">
        <v>250.0</v>
      </c>
      <c r="C1159" s="7" t="s">
        <v>1065</v>
      </c>
      <c r="E1159" s="8" t="str">
        <f>IFERROR(__xludf.DUMMYFUNCTION("SPLIT(A1159,""TX"")"),"ownsend, Kret
PO Box 720231
Dallas, ")</f>
        <v>ownsend, Kret
PO Box 720231
Dallas, </v>
      </c>
      <c r="F1159" s="8">
        <f>IFERROR(__xludf.DUMMYFUNCTION("""COMPUTED_VALUE"""),75372.0)</f>
        <v>75372</v>
      </c>
      <c r="I1159" s="8">
        <f t="shared" si="14"/>
        <v>75372</v>
      </c>
      <c r="J1159" s="9">
        <f>IFERROR(__xludf.DUMMYFUNCTION("SPLIT(I1159,""-"")"),75372.0)</f>
        <v>75372</v>
      </c>
    </row>
    <row r="1160">
      <c r="A1160" s="5" t="s">
        <v>1093</v>
      </c>
      <c r="B1160" s="6">
        <v>5000.0</v>
      </c>
      <c r="C1160" s="7" t="s">
        <v>1065</v>
      </c>
      <c r="E1160" s="8" t="str">
        <f>IFERROR(__xludf.DUMMYFUNCTION("SPLIT(A1160,""TX"")"),"Goldberg, Sherry
4 Robledo Dr
Dallas, ")</f>
        <v>Goldberg, Sherry
4 Robledo Dr
Dallas, </v>
      </c>
      <c r="F1160" s="8">
        <f>IFERROR(__xludf.DUMMYFUNCTION("""COMPUTED_VALUE"""),75230.0)</f>
        <v>75230</v>
      </c>
      <c r="I1160" s="8">
        <f t="shared" si="14"/>
        <v>75230</v>
      </c>
      <c r="J1160" s="9">
        <f>IFERROR(__xludf.DUMMYFUNCTION("SPLIT(I1160,""-"")"),75230.0)</f>
        <v>75230</v>
      </c>
    </row>
    <row r="1161">
      <c r="A1161" s="5" t="s">
        <v>1094</v>
      </c>
      <c r="B1161" s="6">
        <v>500.0</v>
      </c>
      <c r="C1161" s="7" t="s">
        <v>1065</v>
      </c>
      <c r="E1161" s="8" t="str">
        <f>IFERROR(__xludf.DUMMYFUNCTION("SPLIT(A1161,""TX"")"),"McCall, Wil
917 Clear Springs Dr
DeSoto, ")</f>
        <v>McCall, Wil
917 Clear Springs Dr
DeSoto, </v>
      </c>
      <c r="F1161" s="8">
        <f>IFERROR(__xludf.DUMMYFUNCTION("""COMPUTED_VALUE"""),75115.0)</f>
        <v>75115</v>
      </c>
      <c r="I1161" s="8">
        <f t="shared" si="14"/>
        <v>75115</v>
      </c>
      <c r="J1161" s="9">
        <f>IFERROR(__xludf.DUMMYFUNCTION("SPLIT(I1161,""-"")"),75115.0)</f>
        <v>75115</v>
      </c>
    </row>
    <row r="1162">
      <c r="A1162" s="5" t="s">
        <v>1095</v>
      </c>
      <c r="B1162" s="6">
        <v>100.0</v>
      </c>
      <c r="C1162" s="7" t="s">
        <v>1065</v>
      </c>
      <c r="E1162" s="8" t="str">
        <f>IFERROR(__xludf.DUMMYFUNCTION("SPLIT(A1162,""TX"")"),"Rachael, Rosemary
4412 ")</f>
        <v>Rachael, Rosemary
4412 </v>
      </c>
      <c r="F1162" s="8" t="str">
        <f>IFERROR(__xludf.DUMMYFUNCTION("""COMPUTED_VALUE"""),"aos Road
Dallas, ")</f>
        <v>aos Road
Dallas, </v>
      </c>
      <c r="G1162" s="8">
        <f>IFERROR(__xludf.DUMMYFUNCTION("""COMPUTED_VALUE"""),75209.0)</f>
        <v>75209</v>
      </c>
      <c r="I1162" s="8">
        <f t="shared" si="14"/>
        <v>75209</v>
      </c>
      <c r="J1162" s="9">
        <f>IFERROR(__xludf.DUMMYFUNCTION("SPLIT(I1162,""-"")"),75209.0)</f>
        <v>75209</v>
      </c>
    </row>
    <row r="1163">
      <c r="A1163" s="5" t="s">
        <v>1096</v>
      </c>
      <c r="B1163" s="6">
        <v>500.0</v>
      </c>
      <c r="C1163" s="7" t="s">
        <v>1065</v>
      </c>
      <c r="E1163" s="8" t="str">
        <f>IFERROR(__xludf.DUMMYFUNCTION("SPLIT(A1163,""TX"")"),"Ortman, Daniel
8106 San Leandro Dr
Dallas, ")</f>
        <v>Ortman, Daniel
8106 San Leandro Dr
Dallas, </v>
      </c>
      <c r="F1163" s="8">
        <f>IFERROR(__xludf.DUMMYFUNCTION("""COMPUTED_VALUE"""),75218.0)</f>
        <v>75218</v>
      </c>
      <c r="I1163" s="8">
        <f t="shared" si="14"/>
        <v>75218</v>
      </c>
      <c r="J1163" s="9">
        <f>IFERROR(__xludf.DUMMYFUNCTION("SPLIT(I1163,""-"")"),75218.0)</f>
        <v>75218</v>
      </c>
    </row>
    <row r="1164">
      <c r="A1164" s="5" t="s">
        <v>1097</v>
      </c>
      <c r="B1164" s="6">
        <v>2500.0</v>
      </c>
      <c r="C1164" s="7" t="s">
        <v>1065</v>
      </c>
      <c r="E1164" s="8" t="str">
        <f>IFERROR(__xludf.DUMMYFUNCTION("SPLIT(A1164,""TX"")"),"Boone, Garrett
4809 Cole Ave
Dallas, ")</f>
        <v>Boone, Garrett
4809 Cole Ave
Dallas, </v>
      </c>
      <c r="F1164" s="8">
        <f>IFERROR(__xludf.DUMMYFUNCTION("""COMPUTED_VALUE"""),75205.0)</f>
        <v>75205</v>
      </c>
      <c r="I1164" s="8">
        <f t="shared" si="14"/>
        <v>75205</v>
      </c>
      <c r="J1164" s="9">
        <f>IFERROR(__xludf.DUMMYFUNCTION("SPLIT(I1164,""-"")"),75205.0)</f>
        <v>75205</v>
      </c>
    </row>
    <row r="1165">
      <c r="A1165" s="5" t="s">
        <v>1087</v>
      </c>
      <c r="B1165" s="6">
        <v>10.0</v>
      </c>
      <c r="C1165" s="7" t="s">
        <v>1065</v>
      </c>
      <c r="E1165" s="8" t="str">
        <f>IFERROR(__xludf.DUMMYFUNCTION("SPLIT(A1165,""TX"")"),"Kiser, Chrystiane
2814 Highwood Dr
Dallas, ")</f>
        <v>Kiser, Chrystiane
2814 Highwood Dr
Dallas, </v>
      </c>
      <c r="F1165" s="8">
        <f>IFERROR(__xludf.DUMMYFUNCTION("""COMPUTED_VALUE"""),75228.0)</f>
        <v>75228</v>
      </c>
      <c r="I1165" s="8">
        <f t="shared" si="14"/>
        <v>75228</v>
      </c>
      <c r="J1165" s="9">
        <f>IFERROR(__xludf.DUMMYFUNCTION("SPLIT(I1165,""-"")"),75228.0)</f>
        <v>75228</v>
      </c>
    </row>
    <row r="1166">
      <c r="A1166" s="5" t="s">
        <v>1098</v>
      </c>
      <c r="B1166" s="6">
        <v>1000.0</v>
      </c>
      <c r="C1166" s="7" t="s">
        <v>1060</v>
      </c>
      <c r="E1166" s="8" t="str">
        <f>IFERROR(__xludf.DUMMYFUNCTION("SPLIT(A1166,""TX"")"),"Bryant Campaign, John
PO Box 140977
Dallas, ")</f>
        <v>Bryant Campaign, John
PO Box 140977
Dallas, </v>
      </c>
      <c r="F1166" s="8">
        <f>IFERROR(__xludf.DUMMYFUNCTION("""COMPUTED_VALUE"""),75214.0)</f>
        <v>75214</v>
      </c>
      <c r="I1166" s="8">
        <f t="shared" si="14"/>
        <v>75214</v>
      </c>
      <c r="J1166" s="9">
        <f>IFERROR(__xludf.DUMMYFUNCTION("SPLIT(I1166,""-"")"),75214.0)</f>
        <v>75214</v>
      </c>
    </row>
    <row r="1167">
      <c r="A1167" s="10" t="s">
        <v>1099</v>
      </c>
      <c r="B1167" s="11">
        <v>100.0</v>
      </c>
      <c r="C1167" s="12" t="s">
        <v>1060</v>
      </c>
      <c r="E1167" s="8" t="str">
        <f>IFERROR(__xludf.DUMMYFUNCTION("SPLIT(A1167,""TX"")"),"Albright, Law Office ofRoger
1701 N Collins Blvd
Richardson, ")</f>
        <v>Albright, Law Office ofRoger
1701 N Collins Blvd
Richardson, </v>
      </c>
      <c r="F1167" s="8">
        <f>IFERROR(__xludf.DUMMYFUNCTION("""COMPUTED_VALUE"""),75080.0)</f>
        <v>75080</v>
      </c>
      <c r="I1167" s="8">
        <f t="shared" si="14"/>
        <v>75080</v>
      </c>
      <c r="J1167" s="9">
        <f>IFERROR(__xludf.DUMMYFUNCTION("SPLIT(I1167,""-"")"),75080.0)</f>
        <v>75080</v>
      </c>
    </row>
    <row r="1168">
      <c r="A1168" s="5" t="s">
        <v>1100</v>
      </c>
      <c r="B1168" s="6">
        <v>50.0</v>
      </c>
      <c r="C1168" s="7" t="s">
        <v>1060</v>
      </c>
      <c r="E1168" s="8" t="str">
        <f>IFERROR(__xludf.DUMMYFUNCTION("SPLIT(A1168,""TX"")"),"Sanders, Penny
3400 Wellborn
Dallas, ")</f>
        <v>Sanders, Penny
3400 Wellborn
Dallas, </v>
      </c>
      <c r="F1168" s="8">
        <f>IFERROR(__xludf.DUMMYFUNCTION("""COMPUTED_VALUE"""),75219.0)</f>
        <v>75219</v>
      </c>
      <c r="I1168" s="8">
        <f t="shared" si="14"/>
        <v>75219</v>
      </c>
      <c r="J1168" s="9">
        <f>IFERROR(__xludf.DUMMYFUNCTION("SPLIT(I1168,""-"")"),75219.0)</f>
        <v>75219</v>
      </c>
    </row>
    <row r="1169">
      <c r="A1169" s="10" t="s">
        <v>1101</v>
      </c>
      <c r="B1169" s="11">
        <v>100.0</v>
      </c>
      <c r="C1169" s="12" t="s">
        <v>1060</v>
      </c>
      <c r="E1169" s="8" t="str">
        <f>IFERROR(__xludf.DUMMYFUNCTION("SPLIT(A1169,""TX"")"),"Garcia, Carmen
2500 McKinney
Dallas, ")</f>
        <v>Garcia, Carmen
2500 McKinney
Dallas, </v>
      </c>
      <c r="F1169" s="8">
        <f>IFERROR(__xludf.DUMMYFUNCTION("""COMPUTED_VALUE"""),75201.0)</f>
        <v>75201</v>
      </c>
      <c r="I1169" s="8">
        <f t="shared" si="14"/>
        <v>75201</v>
      </c>
      <c r="J1169" s="9">
        <f>IFERROR(__xludf.DUMMYFUNCTION("SPLIT(I1169,""-"")"),75201.0)</f>
        <v>75201</v>
      </c>
    </row>
    <row r="1170">
      <c r="A1170" s="5" t="s">
        <v>1102</v>
      </c>
      <c r="B1170" s="6">
        <v>75.0</v>
      </c>
      <c r="C1170" s="7" t="s">
        <v>1060</v>
      </c>
      <c r="E1170" s="8" t="str">
        <f>IFERROR(__xludf.DUMMYFUNCTION("SPLIT(A1170,""TX"")"),"Lawler, Gary
5620 Live Oak
Dallas, ")</f>
        <v>Lawler, Gary
5620 Live Oak
Dallas, </v>
      </c>
      <c r="F1170" s="8">
        <f>IFERROR(__xludf.DUMMYFUNCTION("""COMPUTED_VALUE"""),75206.0)</f>
        <v>75206</v>
      </c>
      <c r="I1170" s="8">
        <f t="shared" si="14"/>
        <v>75206</v>
      </c>
      <c r="J1170" s="9">
        <f>IFERROR(__xludf.DUMMYFUNCTION("SPLIT(I1170,""-"")"),75206.0)</f>
        <v>75206</v>
      </c>
    </row>
    <row r="1171">
      <c r="A1171" s="10" t="s">
        <v>1103</v>
      </c>
      <c r="B1171" s="11">
        <v>100.0</v>
      </c>
      <c r="C1171" s="12" t="s">
        <v>1060</v>
      </c>
      <c r="E1171" s="8" t="str">
        <f>IFERROR(__xludf.DUMMYFUNCTION("SPLIT(A1171,""TX"")"),"Bentley, Rick
5551 Vickery Blvd
Dallas, ")</f>
        <v>Bentley, Rick
5551 Vickery Blvd
Dallas, </v>
      </c>
      <c r="F1171" s="8">
        <f>IFERROR(__xludf.DUMMYFUNCTION("""COMPUTED_VALUE"""),75206.0)</f>
        <v>75206</v>
      </c>
      <c r="I1171" s="8">
        <f t="shared" si="14"/>
        <v>75206</v>
      </c>
      <c r="J1171" s="9">
        <f>IFERROR(__xludf.DUMMYFUNCTION("SPLIT(I1171,""-"")"),75206.0)</f>
        <v>75206</v>
      </c>
    </row>
    <row r="1172">
      <c r="A1172" s="5" t="s">
        <v>1104</v>
      </c>
      <c r="B1172" s="6">
        <v>50.0</v>
      </c>
      <c r="C1172" s="7" t="s">
        <v>1060</v>
      </c>
      <c r="E1172" s="8" t="str">
        <f>IFERROR(__xludf.DUMMYFUNCTION("SPLIT(A1172,""TX"")"),"Daniel, ")</f>
        <v>Daniel, </v>
      </c>
      <c r="F1172" s="8" t="str">
        <f>IFERROR(__xludf.DUMMYFUNCTION("""COMPUTED_VALUE"""),"heresa
2228 Springhill Dr
Dallas, ")</f>
        <v>heresa
2228 Springhill Dr
Dallas, </v>
      </c>
      <c r="G1172" s="8">
        <f>IFERROR(__xludf.DUMMYFUNCTION("""COMPUTED_VALUE"""),75228.0)</f>
        <v>75228</v>
      </c>
      <c r="I1172" s="8">
        <f t="shared" si="14"/>
        <v>75228</v>
      </c>
      <c r="J1172" s="9">
        <f>IFERROR(__xludf.DUMMYFUNCTION("SPLIT(I1172,""-"")"),75228.0)</f>
        <v>75228</v>
      </c>
    </row>
    <row r="1173">
      <c r="A1173" s="10" t="s">
        <v>1105</v>
      </c>
      <c r="B1173" s="11">
        <v>100.0</v>
      </c>
      <c r="C1173" s="12" t="s">
        <v>1060</v>
      </c>
      <c r="E1173" s="8" t="str">
        <f>IFERROR(__xludf.DUMMYFUNCTION("SPLIT(A1173,""TX"")"),"Schmidt, Rene
715 Parkmont
Dallas, ")</f>
        <v>Schmidt, Rene
715 Parkmont
Dallas, </v>
      </c>
      <c r="F1173" s="8">
        <f>IFERROR(__xludf.DUMMYFUNCTION("""COMPUTED_VALUE"""),75214.0)</f>
        <v>75214</v>
      </c>
      <c r="I1173" s="8">
        <f t="shared" si="14"/>
        <v>75214</v>
      </c>
      <c r="J1173" s="9">
        <f>IFERROR(__xludf.DUMMYFUNCTION("SPLIT(I1173,""-"")"),75214.0)</f>
        <v>75214</v>
      </c>
    </row>
    <row r="1174">
      <c r="A1174" s="5" t="s">
        <v>1106</v>
      </c>
      <c r="B1174" s="6">
        <v>200.0</v>
      </c>
      <c r="C1174" s="7" t="s">
        <v>1060</v>
      </c>
      <c r="E1174" s="8" t="str">
        <f>IFERROR(__xludf.DUMMYFUNCTION("SPLIT(A1174,""TX"")"),"Staples, Geoffrey
911 St. Joseph St
Dallas, ")</f>
        <v>Staples, Geoffrey
911 St. Joseph St
Dallas, </v>
      </c>
      <c r="F1174" s="8">
        <f>IFERROR(__xludf.DUMMYFUNCTION("""COMPUTED_VALUE"""),75246.0)</f>
        <v>75246</v>
      </c>
      <c r="I1174" s="8">
        <f t="shared" si="14"/>
        <v>75246</v>
      </c>
      <c r="J1174" s="9">
        <f>IFERROR(__xludf.DUMMYFUNCTION("SPLIT(I1174,""-"")"),75246.0)</f>
        <v>75246</v>
      </c>
    </row>
    <row r="1175">
      <c r="A1175" s="10" t="s">
        <v>1107</v>
      </c>
      <c r="B1175" s="11">
        <v>500.0</v>
      </c>
      <c r="C1175" s="12" t="s">
        <v>1060</v>
      </c>
      <c r="E1175" s="8" t="str">
        <f>IFERROR(__xludf.DUMMYFUNCTION("SPLIT(A1175,""TX"")"),"Krider, Sue
3401 Lee Parkway
Dallas, ")</f>
        <v>Krider, Sue
3401 Lee Parkway
Dallas, </v>
      </c>
      <c r="F1175" s="8">
        <f>IFERROR(__xludf.DUMMYFUNCTION("""COMPUTED_VALUE"""),75219.0)</f>
        <v>75219</v>
      </c>
      <c r="I1175" s="8">
        <f t="shared" si="14"/>
        <v>75219</v>
      </c>
      <c r="J1175" s="9">
        <f>IFERROR(__xludf.DUMMYFUNCTION("SPLIT(I1175,""-"")"),75219.0)</f>
        <v>75219</v>
      </c>
    </row>
    <row r="1176">
      <c r="A1176" s="5" t="s">
        <v>1108</v>
      </c>
      <c r="B1176" s="6">
        <v>200.0</v>
      </c>
      <c r="C1176" s="7" t="s">
        <v>1060</v>
      </c>
      <c r="E1176" s="8" t="str">
        <f>IFERROR(__xludf.DUMMYFUNCTION("SPLIT(A1176,""TX"")"),"Heimberg, Martha
1523 Aabrams
Dallas, ")</f>
        <v>Heimberg, Martha
1523 Aabrams
Dallas, </v>
      </c>
      <c r="F1176" s="8">
        <f>IFERROR(__xludf.DUMMYFUNCTION("""COMPUTED_VALUE"""),75214.0)</f>
        <v>75214</v>
      </c>
      <c r="I1176" s="8">
        <f t="shared" si="14"/>
        <v>75214</v>
      </c>
      <c r="J1176" s="9">
        <f>IFERROR(__xludf.DUMMYFUNCTION("SPLIT(I1176,""-"")"),75214.0)</f>
        <v>75214</v>
      </c>
    </row>
    <row r="1177">
      <c r="A1177" s="10" t="s">
        <v>1109</v>
      </c>
      <c r="B1177" s="11">
        <v>50.0</v>
      </c>
      <c r="C1177" s="12" t="s">
        <v>1060</v>
      </c>
      <c r="E1177" s="8" t="str">
        <f>IFERROR(__xludf.DUMMYFUNCTION("SPLIT(A1177,""TX"")"),"Hearne, Connie
4436 Forest Bend Rd
Dallas, ")</f>
        <v>Hearne, Connie
4436 Forest Bend Rd
Dallas, </v>
      </c>
      <c r="F1177" s="8">
        <f>IFERROR(__xludf.DUMMYFUNCTION("""COMPUTED_VALUE"""),75244.0)</f>
        <v>75244</v>
      </c>
      <c r="I1177" s="8">
        <f t="shared" si="14"/>
        <v>75244</v>
      </c>
      <c r="J1177" s="9">
        <f>IFERROR(__xludf.DUMMYFUNCTION("SPLIT(I1177,""-"")"),75244.0)</f>
        <v>75244</v>
      </c>
    </row>
    <row r="1178">
      <c r="A1178" s="5" t="s">
        <v>1110</v>
      </c>
      <c r="B1178" s="6">
        <v>100.0</v>
      </c>
      <c r="C1178" s="7" t="s">
        <v>1060</v>
      </c>
      <c r="E1178" s="8" t="str">
        <f>IFERROR(__xludf.DUMMYFUNCTION("SPLIT(A1178,""TX"")"),"Chase, J. Scott
1700 Pacific Ave
Dallas, ")</f>
        <v>Chase, J. Scott
1700 Pacific Ave
Dallas, </v>
      </c>
      <c r="F1178" s="8">
        <f>IFERROR(__xludf.DUMMYFUNCTION("""COMPUTED_VALUE"""),75201.0)</f>
        <v>75201</v>
      </c>
      <c r="I1178" s="8">
        <f t="shared" si="14"/>
        <v>75201</v>
      </c>
      <c r="J1178" s="9">
        <f>IFERROR(__xludf.DUMMYFUNCTION("SPLIT(I1178,""-"")"),75201.0)</f>
        <v>75201</v>
      </c>
    </row>
    <row r="1179">
      <c r="A1179" s="10" t="s">
        <v>1111</v>
      </c>
      <c r="B1179" s="11">
        <v>750.0</v>
      </c>
      <c r="C1179" s="12" t="s">
        <v>1060</v>
      </c>
      <c r="E1179" s="8" t="str">
        <f>IFERROR(__xludf.DUMMYFUNCTION("SPLIT(A1179,""TX"")"),"Pastora, Jose
5205 Brookview
Dallas, ")</f>
        <v>Pastora, Jose
5205 Brookview
Dallas, </v>
      </c>
      <c r="F1179" s="8">
        <f>IFERROR(__xludf.DUMMYFUNCTION("""COMPUTED_VALUE"""),75220.0)</f>
        <v>75220</v>
      </c>
      <c r="I1179" s="8">
        <f t="shared" si="14"/>
        <v>75220</v>
      </c>
      <c r="J1179" s="9">
        <f>IFERROR(__xludf.DUMMYFUNCTION("SPLIT(I1179,""-"")"),75220.0)</f>
        <v>75220</v>
      </c>
    </row>
    <row r="1180">
      <c r="A1180" s="5" t="s">
        <v>1112</v>
      </c>
      <c r="B1180" s="6">
        <v>750.0</v>
      </c>
      <c r="C1180" s="7" t="s">
        <v>1060</v>
      </c>
      <c r="E1180" s="8" t="str">
        <f>IFERROR(__xludf.DUMMYFUNCTION("SPLIT(A1180,""TX"")"),"Pastora, Melissa
5205 Brookview
Dallas, ")</f>
        <v>Pastora, Melissa
5205 Brookview
Dallas, </v>
      </c>
      <c r="F1180" s="8">
        <f>IFERROR(__xludf.DUMMYFUNCTION("""COMPUTED_VALUE"""),75220.0)</f>
        <v>75220</v>
      </c>
      <c r="I1180" s="8">
        <f t="shared" si="14"/>
        <v>75220</v>
      </c>
      <c r="J1180" s="9">
        <f>IFERROR(__xludf.DUMMYFUNCTION("SPLIT(I1180,""-"")"),75220.0)</f>
        <v>75220</v>
      </c>
    </row>
    <row r="1181">
      <c r="A1181" s="10" t="s">
        <v>1113</v>
      </c>
      <c r="B1181" s="11">
        <v>100.0</v>
      </c>
      <c r="C1181" s="12" t="s">
        <v>1060</v>
      </c>
      <c r="E1181" s="8" t="str">
        <f>IFERROR(__xludf.DUMMYFUNCTION("SPLIT(A1181,""TX"")"),"Leyendecker, Mary
5542 Monticello
Dallas, ")</f>
        <v>Leyendecker, Mary
5542 Monticello
Dallas, </v>
      </c>
      <c r="F1181" s="8">
        <f>IFERROR(__xludf.DUMMYFUNCTION("""COMPUTED_VALUE"""),75206.0)</f>
        <v>75206</v>
      </c>
      <c r="I1181" s="8">
        <f t="shared" si="14"/>
        <v>75206</v>
      </c>
      <c r="J1181" s="9">
        <f>IFERROR(__xludf.DUMMYFUNCTION("SPLIT(I1181,""-"")"),75206.0)</f>
        <v>75206</v>
      </c>
    </row>
    <row r="1182">
      <c r="A1182" s="5" t="s">
        <v>1114</v>
      </c>
      <c r="B1182" s="6">
        <v>1000.0</v>
      </c>
      <c r="C1182" s="7" t="s">
        <v>1060</v>
      </c>
      <c r="E1182" s="8" t="str">
        <f>IFERROR(__xludf.DUMMYFUNCTION("SPLIT(A1182,""TX"")"),"Williams, J. McDonald
10000 N. Central Expressway
Dallas, ")</f>
        <v>Williams, J. McDonald
10000 N. Central Expressway
Dallas, </v>
      </c>
      <c r="F1182" s="8">
        <f>IFERROR(__xludf.DUMMYFUNCTION("""COMPUTED_VALUE"""),75231.0)</f>
        <v>75231</v>
      </c>
      <c r="I1182" s="8">
        <f t="shared" si="14"/>
        <v>75231</v>
      </c>
      <c r="J1182" s="9">
        <f>IFERROR(__xludf.DUMMYFUNCTION("SPLIT(I1182,""-"")"),75231.0)</f>
        <v>75231</v>
      </c>
    </row>
    <row r="1183">
      <c r="A1183" s="10" t="s">
        <v>1115</v>
      </c>
      <c r="B1183" s="11">
        <v>500.0</v>
      </c>
      <c r="C1183" s="12" t="s">
        <v>1060</v>
      </c>
      <c r="E1183" s="8" t="str">
        <f>IFERROR(__xludf.DUMMYFUNCTION("SPLIT(A1183,""TX"")"),"Buskuhl, Joe
11615 High Forest
Dallas, ")</f>
        <v>Buskuhl, Joe
11615 High Forest
Dallas, </v>
      </c>
      <c r="F1183" s="8">
        <f>IFERROR(__xludf.DUMMYFUNCTION("""COMPUTED_VALUE"""),75230.0)</f>
        <v>75230</v>
      </c>
      <c r="I1183" s="8">
        <f t="shared" si="14"/>
        <v>75230</v>
      </c>
      <c r="J1183" s="9">
        <f>IFERROR(__xludf.DUMMYFUNCTION("SPLIT(I1183,""-"")"),75230.0)</f>
        <v>75230</v>
      </c>
    </row>
    <row r="1184">
      <c r="A1184" s="5" t="s">
        <v>1116</v>
      </c>
      <c r="B1184" s="6">
        <v>200.0</v>
      </c>
      <c r="C1184" s="7" t="s">
        <v>1060</v>
      </c>
      <c r="E1184" s="8" t="str">
        <f>IFERROR(__xludf.DUMMYFUNCTION("SPLIT(A1184,""TX"")"),"Shelton, Nancy
3913 Miramar
Dallas, ")</f>
        <v>Shelton, Nancy
3913 Miramar
Dallas, </v>
      </c>
      <c r="F1184" s="8">
        <f>IFERROR(__xludf.DUMMYFUNCTION("""COMPUTED_VALUE"""),75205.0)</f>
        <v>75205</v>
      </c>
      <c r="I1184" s="8">
        <f t="shared" si="14"/>
        <v>75205</v>
      </c>
      <c r="J1184" s="9">
        <f>IFERROR(__xludf.DUMMYFUNCTION("SPLIT(I1184,""-"")"),75205.0)</f>
        <v>75205</v>
      </c>
    </row>
    <row r="1185">
      <c r="A1185" s="10" t="s">
        <v>1117</v>
      </c>
      <c r="B1185" s="11">
        <v>500.0</v>
      </c>
      <c r="C1185" s="12" t="s">
        <v>1060</v>
      </c>
      <c r="E1185" s="8" t="str">
        <f>IFERROR(__xludf.DUMMYFUNCTION("SPLIT(A1185,""TX"")"),"Gumby, Elizabeth
3209 Colgate
Dallas, ")</f>
        <v>Gumby, Elizabeth
3209 Colgate
Dallas, </v>
      </c>
      <c r="F1185" s="8">
        <f>IFERROR(__xludf.DUMMYFUNCTION("""COMPUTED_VALUE"""),75225.0)</f>
        <v>75225</v>
      </c>
      <c r="I1185" s="8">
        <f t="shared" si="14"/>
        <v>75225</v>
      </c>
      <c r="J1185" s="9">
        <f>IFERROR(__xludf.DUMMYFUNCTION("SPLIT(I1185,""-"")"),75225.0)</f>
        <v>75225</v>
      </c>
    </row>
    <row r="1186">
      <c r="A1186" s="5" t="s">
        <v>1118</v>
      </c>
      <c r="B1186" s="6">
        <v>500.0</v>
      </c>
      <c r="C1186" s="7" t="s">
        <v>1060</v>
      </c>
      <c r="E1186" s="8" t="str">
        <f>IFERROR(__xludf.DUMMYFUNCTION("SPLIT(A1186,""TX"")"),"Brothers, Sandra
950 Brookdale Park
Lucas, ")</f>
        <v>Brothers, Sandra
950 Brookdale Park
Lucas, </v>
      </c>
      <c r="F1186" s="8">
        <f>IFERROR(__xludf.DUMMYFUNCTION("""COMPUTED_VALUE"""),75002.0)</f>
        <v>75002</v>
      </c>
      <c r="I1186" s="8">
        <f t="shared" si="14"/>
        <v>75002</v>
      </c>
      <c r="J1186" s="9">
        <f>IFERROR(__xludf.DUMMYFUNCTION("SPLIT(I1186,""-"")"),75002.0)</f>
        <v>75002</v>
      </c>
    </row>
    <row r="1187">
      <c r="A1187" s="10" t="s">
        <v>1119</v>
      </c>
      <c r="B1187" s="11">
        <v>500.0</v>
      </c>
      <c r="C1187" s="12" t="s">
        <v>1060</v>
      </c>
      <c r="E1187" s="8" t="str">
        <f>IFERROR(__xludf.DUMMYFUNCTION("SPLIT(A1187,""TX"")"),"Minna, Lynn
3131 Maple Ave
Dallas, ")</f>
        <v>Minna, Lynn
3131 Maple Ave
Dallas, </v>
      </c>
      <c r="F1187" s="8">
        <f>IFERROR(__xludf.DUMMYFUNCTION("""COMPUTED_VALUE"""),75201.0)</f>
        <v>75201</v>
      </c>
      <c r="I1187" s="8">
        <f t="shared" si="14"/>
        <v>75201</v>
      </c>
      <c r="J1187" s="9">
        <f>IFERROR(__xludf.DUMMYFUNCTION("SPLIT(I1187,""-"")"),75201.0)</f>
        <v>75201</v>
      </c>
    </row>
    <row r="1188">
      <c r="A1188" s="5" t="s">
        <v>1120</v>
      </c>
      <c r="B1188" s="6">
        <v>250.0</v>
      </c>
      <c r="C1188" s="7" t="s">
        <v>1060</v>
      </c>
      <c r="E1188" s="8" t="str">
        <f>IFERROR(__xludf.DUMMYFUNCTION("SPLIT(A1188,""TX"")"),"Johnson, Eric
3535 ")</f>
        <v>Johnson, Eric
3535 </v>
      </c>
      <c r="F1188" s="8" t="str">
        <f>IFERROR(__xludf.DUMMYFUNCTION("""COMPUTED_VALUE"""),"urtle Creek
Dallas, ")</f>
        <v>urtle Creek
Dallas, </v>
      </c>
      <c r="G1188" s="8">
        <f>IFERROR(__xludf.DUMMYFUNCTION("""COMPUTED_VALUE"""),75219.0)</f>
        <v>75219</v>
      </c>
      <c r="I1188" s="8">
        <f t="shared" si="14"/>
        <v>75219</v>
      </c>
      <c r="J1188" s="9">
        <f>IFERROR(__xludf.DUMMYFUNCTION("SPLIT(I1188,""-"")"),75219.0)</f>
        <v>75219</v>
      </c>
    </row>
    <row r="1189">
      <c r="A1189" s="10" t="s">
        <v>1121</v>
      </c>
      <c r="B1189" s="11">
        <v>200.0</v>
      </c>
      <c r="C1189" s="12" t="s">
        <v>1060</v>
      </c>
      <c r="E1189" s="8" t="str">
        <f>IFERROR(__xludf.DUMMYFUNCTION("SPLIT(A1189,""TX"")"),"Vanlandingham, Melanie
6311 Lakeshore
Dallas, ")</f>
        <v>Vanlandingham, Melanie
6311 Lakeshore
Dallas, </v>
      </c>
      <c r="F1189" s="8">
        <f>IFERROR(__xludf.DUMMYFUNCTION("""COMPUTED_VALUE"""),75214.0)</f>
        <v>75214</v>
      </c>
      <c r="I1189" s="8">
        <f t="shared" si="14"/>
        <v>75214</v>
      </c>
      <c r="J1189" s="9">
        <f>IFERROR(__xludf.DUMMYFUNCTION("SPLIT(I1189,""-"")"),75214.0)</f>
        <v>75214</v>
      </c>
    </row>
    <row r="1190">
      <c r="A1190" s="5" t="s">
        <v>1122</v>
      </c>
      <c r="B1190" s="6">
        <v>200.0</v>
      </c>
      <c r="C1190" s="7" t="s">
        <v>1060</v>
      </c>
      <c r="E1190" s="8" t="str">
        <f>IFERROR(__xludf.DUMMYFUNCTION("SPLIT(A1190,""TX"")"),"White, Martin
3525 ")</f>
        <v>White, Martin
3525 </v>
      </c>
      <c r="F1190" s="8" t="str">
        <f>IFERROR(__xludf.DUMMYFUNCTION("""COMPUTED_VALUE"""),"urtle Creek
Dallas, ")</f>
        <v>urtle Creek
Dallas, </v>
      </c>
      <c r="G1190" s="8">
        <f>IFERROR(__xludf.DUMMYFUNCTION("""COMPUTED_VALUE"""),75219.0)</f>
        <v>75219</v>
      </c>
      <c r="I1190" s="8">
        <f t="shared" si="14"/>
        <v>75219</v>
      </c>
      <c r="J1190" s="9">
        <f>IFERROR(__xludf.DUMMYFUNCTION("SPLIT(I1190,""-"")"),75219.0)</f>
        <v>75219</v>
      </c>
    </row>
    <row r="1191">
      <c r="A1191" s="10" t="s">
        <v>1123</v>
      </c>
      <c r="B1191" s="11">
        <v>100.0</v>
      </c>
      <c r="C1191" s="12" t="s">
        <v>1060</v>
      </c>
      <c r="E1191" s="8" t="str">
        <f>IFERROR(__xludf.DUMMYFUNCTION("SPLIT(A1191,""TX"")"),"Bracken, Robert
6114 Bryan Parkway
Dallas, ")</f>
        <v>Bracken, Robert
6114 Bryan Parkway
Dallas, </v>
      </c>
      <c r="F1191" s="8">
        <f>IFERROR(__xludf.DUMMYFUNCTION("""COMPUTED_VALUE"""),75206.0)</f>
        <v>75206</v>
      </c>
      <c r="I1191" s="8">
        <f t="shared" si="14"/>
        <v>75206</v>
      </c>
      <c r="J1191" s="9">
        <f>IFERROR(__xludf.DUMMYFUNCTION("SPLIT(I1191,""-"")"),75206.0)</f>
        <v>75206</v>
      </c>
    </row>
    <row r="1192">
      <c r="A1192" s="5" t="s">
        <v>1124</v>
      </c>
      <c r="B1192" s="6">
        <v>100.0</v>
      </c>
      <c r="C1192" s="7" t="s">
        <v>1060</v>
      </c>
      <c r="E1192" s="8" t="str">
        <f>IFERROR(__xludf.DUMMYFUNCTION("SPLIT(A1192,""TX"")"),"Kroeker, Charlotte
3525 ")</f>
        <v>Kroeker, Charlotte
3525 </v>
      </c>
      <c r="F1192" s="8" t="str">
        <f>IFERROR(__xludf.DUMMYFUNCTION("""COMPUTED_VALUE"""),"urtle Creek
Dallas, ")</f>
        <v>urtle Creek
Dallas, </v>
      </c>
      <c r="G1192" s="8">
        <f>IFERROR(__xludf.DUMMYFUNCTION("""COMPUTED_VALUE"""),75219.0)</f>
        <v>75219</v>
      </c>
      <c r="I1192" s="8">
        <f t="shared" si="14"/>
        <v>75219</v>
      </c>
      <c r="J1192" s="9">
        <f>IFERROR(__xludf.DUMMYFUNCTION("SPLIT(I1192,""-"")"),75219.0)</f>
        <v>75219</v>
      </c>
    </row>
    <row r="1193">
      <c r="A1193" s="10" t="s">
        <v>1125</v>
      </c>
      <c r="B1193" s="11">
        <v>50.0</v>
      </c>
      <c r="C1193" s="12" t="s">
        <v>1060</v>
      </c>
      <c r="E1193" s="8" t="str">
        <f>IFERROR(__xludf.DUMMYFUNCTION("SPLIT(A1193,""TX"")"),"Lyles, Larry
3601 ")</f>
        <v>Lyles, Larry
3601 </v>
      </c>
      <c r="F1193" s="8" t="str">
        <f>IFERROR(__xludf.DUMMYFUNCTION("""COMPUTED_VALUE"""),"urtle Creek
Dallas, ")</f>
        <v>urtle Creek
Dallas, </v>
      </c>
      <c r="G1193" s="8">
        <f>IFERROR(__xludf.DUMMYFUNCTION("""COMPUTED_VALUE"""),75219.0)</f>
        <v>75219</v>
      </c>
      <c r="I1193" s="8">
        <f t="shared" si="14"/>
        <v>75219</v>
      </c>
      <c r="J1193" s="9">
        <f>IFERROR(__xludf.DUMMYFUNCTION("SPLIT(I1193,""-"")"),75219.0)</f>
        <v>75219</v>
      </c>
    </row>
    <row r="1194">
      <c r="A1194" s="5" t="s">
        <v>1102</v>
      </c>
      <c r="B1194" s="6">
        <v>25.0</v>
      </c>
      <c r="C1194" s="7" t="s">
        <v>1060</v>
      </c>
      <c r="E1194" s="8" t="str">
        <f>IFERROR(__xludf.DUMMYFUNCTION("SPLIT(A1194,""TX"")"),"Lawler, Gary
5620 Live Oak
Dallas, ")</f>
        <v>Lawler, Gary
5620 Live Oak
Dallas, </v>
      </c>
      <c r="F1194" s="8">
        <f>IFERROR(__xludf.DUMMYFUNCTION("""COMPUTED_VALUE"""),75206.0)</f>
        <v>75206</v>
      </c>
      <c r="I1194" s="8">
        <f t="shared" si="14"/>
        <v>75206</v>
      </c>
      <c r="J1194" s="9">
        <f>IFERROR(__xludf.DUMMYFUNCTION("SPLIT(I1194,""-"")"),75206.0)</f>
        <v>75206</v>
      </c>
    </row>
    <row r="1195">
      <c r="A1195" s="10" t="s">
        <v>1126</v>
      </c>
      <c r="B1195" s="11">
        <v>25.0</v>
      </c>
      <c r="C1195" s="12" t="s">
        <v>1060</v>
      </c>
      <c r="E1195" s="8" t="str">
        <f>IFERROR(__xludf.DUMMYFUNCTION("SPLIT(A1195,""TX"")"),"Carroll, R.L.
6004 Bryan Parkway
Dallas, ")</f>
        <v>Carroll, R.L.
6004 Bryan Parkway
Dallas, </v>
      </c>
      <c r="F1195" s="8">
        <f>IFERROR(__xludf.DUMMYFUNCTION("""COMPUTED_VALUE"""),75206.0)</f>
        <v>75206</v>
      </c>
      <c r="I1195" s="8">
        <f t="shared" si="14"/>
        <v>75206</v>
      </c>
      <c r="J1195" s="9">
        <f>IFERROR(__xludf.DUMMYFUNCTION("SPLIT(I1195,""-"")"),75206.0)</f>
        <v>75206</v>
      </c>
    </row>
    <row r="1196">
      <c r="A1196" s="5" t="s">
        <v>1127</v>
      </c>
      <c r="B1196" s="6">
        <v>150.0</v>
      </c>
      <c r="C1196" s="7" t="s">
        <v>1060</v>
      </c>
      <c r="E1196" s="8" t="str">
        <f>IFERROR(__xludf.DUMMYFUNCTION("SPLIT(A1196,""TX"")"),"Medrano, Pauline
2346 Douglas Ave
Dallas, ")</f>
        <v>Medrano, Pauline
2346 Douglas Ave
Dallas, </v>
      </c>
      <c r="F1196" s="8">
        <f>IFERROR(__xludf.DUMMYFUNCTION("""COMPUTED_VALUE"""),75219.0)</f>
        <v>75219</v>
      </c>
      <c r="I1196" s="8">
        <f t="shared" si="14"/>
        <v>75219</v>
      </c>
      <c r="J1196" s="9">
        <f>IFERROR(__xludf.DUMMYFUNCTION("SPLIT(I1196,""-"")"),75219.0)</f>
        <v>75219</v>
      </c>
    </row>
    <row r="1197">
      <c r="A1197" s="10" t="s">
        <v>1128</v>
      </c>
      <c r="B1197" s="11">
        <v>200.0</v>
      </c>
      <c r="C1197" s="12" t="s">
        <v>1060</v>
      </c>
      <c r="E1197" s="8" t="str">
        <f>IFERROR(__xludf.DUMMYFUNCTION("SPLIT(A1197,""TX"")"),"Weinberger, Nancy
4405 N. Hall
Dallas, ")</f>
        <v>Weinberger, Nancy
4405 N. Hall
Dallas, </v>
      </c>
      <c r="F1197" s="8">
        <f>IFERROR(__xludf.DUMMYFUNCTION("""COMPUTED_VALUE"""),75219.0)</f>
        <v>75219</v>
      </c>
      <c r="I1197" s="8">
        <f t="shared" si="14"/>
        <v>75219</v>
      </c>
      <c r="J1197" s="9">
        <f>IFERROR(__xludf.DUMMYFUNCTION("SPLIT(I1197,""-"")"),75219.0)</f>
        <v>75219</v>
      </c>
    </row>
    <row r="1198">
      <c r="A1198" s="5" t="s">
        <v>1129</v>
      </c>
      <c r="B1198" s="6">
        <v>150.0</v>
      </c>
      <c r="C1198" s="7" t="s">
        <v>1060</v>
      </c>
      <c r="E1198" s="8" t="str">
        <f>IFERROR(__xludf.DUMMYFUNCTION("SPLIT(A1198,""TX"")"),"Chaney, Cal
5907 Swiss
Dallas, ")</f>
        <v>Chaney, Cal
5907 Swiss
Dallas, </v>
      </c>
      <c r="F1198" s="8">
        <f>IFERROR(__xludf.DUMMYFUNCTION("""COMPUTED_VALUE"""),75214.0)</f>
        <v>75214</v>
      </c>
      <c r="I1198" s="8">
        <f t="shared" si="14"/>
        <v>75214</v>
      </c>
      <c r="J1198" s="9">
        <f>IFERROR(__xludf.DUMMYFUNCTION("SPLIT(I1198,""-"")"),75214.0)</f>
        <v>75214</v>
      </c>
    </row>
    <row r="1199">
      <c r="A1199" s="10" t="s">
        <v>1130</v>
      </c>
      <c r="B1199" s="11">
        <v>100.0</v>
      </c>
      <c r="C1199" s="12" t="s">
        <v>1060</v>
      </c>
      <c r="E1199" s="8" t="str">
        <f>IFERROR(__xludf.DUMMYFUNCTION("SPLIT(A1199,""TX"")"),"Johnson, Carole
6856 Casa Loma Ave
Dallas, ")</f>
        <v>Johnson, Carole
6856 Casa Loma Ave
Dallas, </v>
      </c>
      <c r="F1199" s="8">
        <f>IFERROR(__xludf.DUMMYFUNCTION("""COMPUTED_VALUE"""),75214.0)</f>
        <v>75214</v>
      </c>
      <c r="I1199" s="8">
        <f t="shared" si="14"/>
        <v>75214</v>
      </c>
      <c r="J1199" s="9">
        <f>IFERROR(__xludf.DUMMYFUNCTION("SPLIT(I1199,""-"")"),75214.0)</f>
        <v>75214</v>
      </c>
    </row>
    <row r="1200">
      <c r="A1200" s="5" t="s">
        <v>1131</v>
      </c>
      <c r="B1200" s="6">
        <v>750.0</v>
      </c>
      <c r="C1200" s="7" t="s">
        <v>1060</v>
      </c>
      <c r="E1200" s="8" t="str">
        <f>IFERROR(__xludf.DUMMYFUNCTION("SPLIT(A1200,""TX"")"),"Walthall, David
3505 ")</f>
        <v>Walthall, David
3505 </v>
      </c>
      <c r="F1200" s="8" t="str">
        <f>IFERROR(__xludf.DUMMYFUNCTION("""COMPUTED_VALUE"""),"urtle Creek
Dallas, ")</f>
        <v>urtle Creek
Dallas, </v>
      </c>
      <c r="G1200" s="8">
        <f>IFERROR(__xludf.DUMMYFUNCTION("""COMPUTED_VALUE"""),75219.0)</f>
        <v>75219</v>
      </c>
      <c r="I1200" s="8">
        <f t="shared" si="14"/>
        <v>75219</v>
      </c>
      <c r="J1200" s="9">
        <f>IFERROR(__xludf.DUMMYFUNCTION("SPLIT(I1200,""-"")"),75219.0)</f>
        <v>75219</v>
      </c>
    </row>
    <row r="1201">
      <c r="A1201" s="10" t="s">
        <v>1132</v>
      </c>
      <c r="B1201" s="11">
        <v>750.0</v>
      </c>
      <c r="C1201" s="12" t="s">
        <v>1060</v>
      </c>
      <c r="E1201" s="8" t="str">
        <f>IFERROR(__xludf.DUMMYFUNCTION("SPLIT(A1201,""TX"")"),"Walthall, Elyce
3505 ")</f>
        <v>Walthall, Elyce
3505 </v>
      </c>
      <c r="F1201" s="8" t="str">
        <f>IFERROR(__xludf.DUMMYFUNCTION("""COMPUTED_VALUE"""),"urtle Creek
Dallas, ")</f>
        <v>urtle Creek
Dallas, </v>
      </c>
      <c r="G1201" s="8">
        <f>IFERROR(__xludf.DUMMYFUNCTION("""COMPUTED_VALUE"""),75219.0)</f>
        <v>75219</v>
      </c>
      <c r="I1201" s="8">
        <f t="shared" si="14"/>
        <v>75219</v>
      </c>
      <c r="J1201" s="9">
        <f>IFERROR(__xludf.DUMMYFUNCTION("SPLIT(I1201,""-"")"),75219.0)</f>
        <v>75219</v>
      </c>
    </row>
    <row r="1202">
      <c r="A1202" s="5" t="s">
        <v>1133</v>
      </c>
      <c r="B1202" s="6">
        <v>500.0</v>
      </c>
      <c r="C1202" s="7" t="s">
        <v>1060</v>
      </c>
      <c r="E1202" s="8" t="str">
        <f>IFERROR(__xludf.DUMMYFUNCTION("SPLIT(A1202,""TX"")"),"Campbell Revocable ")</f>
        <v>Campbell Revocable </v>
      </c>
      <c r="F1202" s="8" t="str">
        <f>IFERROR(__xludf.DUMMYFUNCTION("""COMPUTED_VALUE"""),"rust, Elizabeth
PO Box 3417
Little Rock, AR 72203")</f>
        <v>rust, Elizabeth
PO Box 3417
Little Rock, AR 72203</v>
      </c>
      <c r="J1202" s="9" t="str">
        <f>IFERROR(__xludf.DUMMYFUNCTION("SPLIT(I1202,""-"")"),"#VALUE!")</f>
        <v>#VALUE!</v>
      </c>
    </row>
    <row r="1203">
      <c r="A1203" s="10" t="s">
        <v>1134</v>
      </c>
      <c r="B1203" s="11">
        <v>1000.0</v>
      </c>
      <c r="C1203" s="12" t="s">
        <v>1060</v>
      </c>
      <c r="E1203" s="8" t="str">
        <f>IFERROR(__xludf.DUMMYFUNCTION("SPLIT(A1203,""TX"")"),"Hall, Craig
601 Gaylord Parkway
Frisco, ")</f>
        <v>Hall, Craig
601 Gaylord Parkway
Frisco, </v>
      </c>
      <c r="F1203" s="8">
        <f>IFERROR(__xludf.DUMMYFUNCTION("""COMPUTED_VALUE"""),75034.0)</f>
        <v>75034</v>
      </c>
      <c r="I1203" s="8">
        <f t="shared" ref="I1203:I1214" si="15">IF(ISBLANK(G1203),F1203,G1203)</f>
        <v>75034</v>
      </c>
      <c r="J1203" s="9">
        <f>IFERROR(__xludf.DUMMYFUNCTION("SPLIT(I1203,""-"")"),75034.0)</f>
        <v>75034</v>
      </c>
    </row>
    <row r="1204">
      <c r="A1204" s="5" t="s">
        <v>1135</v>
      </c>
      <c r="B1204" s="6">
        <v>1000.0</v>
      </c>
      <c r="C1204" s="7" t="s">
        <v>1060</v>
      </c>
      <c r="E1204" s="8" t="str">
        <f>IFERROR(__xludf.DUMMYFUNCTION("SPLIT(A1204,""TX"")"),"Hall, Kathryn
6801 Gaylord Parkway
Frisco, ")</f>
        <v>Hall, Kathryn
6801 Gaylord Parkway
Frisco, </v>
      </c>
      <c r="F1204" s="8">
        <f>IFERROR(__xludf.DUMMYFUNCTION("""COMPUTED_VALUE"""),75034.0)</f>
        <v>75034</v>
      </c>
      <c r="I1204" s="8">
        <f t="shared" si="15"/>
        <v>75034</v>
      </c>
      <c r="J1204" s="9">
        <f>IFERROR(__xludf.DUMMYFUNCTION("SPLIT(I1204,""-"")"),75034.0)</f>
        <v>75034</v>
      </c>
    </row>
    <row r="1205">
      <c r="A1205" s="10" t="s">
        <v>1136</v>
      </c>
      <c r="B1205" s="11">
        <v>1000.0</v>
      </c>
      <c r="C1205" s="12" t="s">
        <v>1060</v>
      </c>
      <c r="E1205" s="8" t="str">
        <f>IFERROR(__xludf.DUMMYFUNCTION("SPLIT(A1205,""TX"")"),"Williams, Ellen
2801 ")</f>
        <v>Williams, Ellen
2801 </v>
      </c>
      <c r="F1205" s="8" t="str">
        <f>IFERROR(__xludf.DUMMYFUNCTION("""COMPUTED_VALUE"""),"urtle Creek
Dallas, ")</f>
        <v>urtle Creek
Dallas, </v>
      </c>
      <c r="G1205" s="8">
        <f>IFERROR(__xludf.DUMMYFUNCTION("""COMPUTED_VALUE"""),75219.0)</f>
        <v>75219</v>
      </c>
      <c r="I1205" s="8">
        <f t="shared" si="15"/>
        <v>75219</v>
      </c>
      <c r="J1205" s="9">
        <f>IFERROR(__xludf.DUMMYFUNCTION("SPLIT(I1205,""-"")"),75219.0)</f>
        <v>75219</v>
      </c>
    </row>
    <row r="1206">
      <c r="A1206" s="5" t="s">
        <v>1131</v>
      </c>
      <c r="B1206" s="6">
        <v>250.0</v>
      </c>
      <c r="C1206" s="7" t="s">
        <v>1060</v>
      </c>
      <c r="E1206" s="8" t="str">
        <f>IFERROR(__xludf.DUMMYFUNCTION("SPLIT(A1206,""TX"")"),"Walthall, David
3505 ")</f>
        <v>Walthall, David
3505 </v>
      </c>
      <c r="F1206" s="8" t="str">
        <f>IFERROR(__xludf.DUMMYFUNCTION("""COMPUTED_VALUE"""),"urtle Creek
Dallas, ")</f>
        <v>urtle Creek
Dallas, </v>
      </c>
      <c r="G1206" s="8">
        <f>IFERROR(__xludf.DUMMYFUNCTION("""COMPUTED_VALUE"""),75219.0)</f>
        <v>75219</v>
      </c>
      <c r="I1206" s="8">
        <f t="shared" si="15"/>
        <v>75219</v>
      </c>
      <c r="J1206" s="9">
        <f>IFERROR(__xludf.DUMMYFUNCTION("SPLIT(I1206,""-"")"),75219.0)</f>
        <v>75219</v>
      </c>
    </row>
    <row r="1207">
      <c r="A1207" s="10" t="s">
        <v>1132</v>
      </c>
      <c r="B1207" s="11">
        <v>250.0</v>
      </c>
      <c r="C1207" s="12" t="s">
        <v>1060</v>
      </c>
      <c r="E1207" s="8" t="str">
        <f>IFERROR(__xludf.DUMMYFUNCTION("SPLIT(A1207,""TX"")"),"Walthall, Elyce
3505 ")</f>
        <v>Walthall, Elyce
3505 </v>
      </c>
      <c r="F1207" s="8" t="str">
        <f>IFERROR(__xludf.DUMMYFUNCTION("""COMPUTED_VALUE"""),"urtle Creek
Dallas, ")</f>
        <v>urtle Creek
Dallas, </v>
      </c>
      <c r="G1207" s="8">
        <f>IFERROR(__xludf.DUMMYFUNCTION("""COMPUTED_VALUE"""),75219.0)</f>
        <v>75219</v>
      </c>
      <c r="I1207" s="8">
        <f t="shared" si="15"/>
        <v>75219</v>
      </c>
      <c r="J1207" s="9">
        <f>IFERROR(__xludf.DUMMYFUNCTION("SPLIT(I1207,""-"")"),75219.0)</f>
        <v>75219</v>
      </c>
    </row>
    <row r="1208">
      <c r="A1208" s="5" t="s">
        <v>1137</v>
      </c>
      <c r="B1208" s="6">
        <v>150.0</v>
      </c>
      <c r="C1208" s="7" t="s">
        <v>1060</v>
      </c>
      <c r="E1208" s="8" t="str">
        <f>IFERROR(__xludf.DUMMYFUNCTION("SPLIT(A1208,""TX"")"),"Parks, Robert
6923 Santa Fe
Dallas, ")</f>
        <v>Parks, Robert
6923 Santa Fe
Dallas, </v>
      </c>
      <c r="F1208" s="8">
        <f>IFERROR(__xludf.DUMMYFUNCTION("""COMPUTED_VALUE"""),75223.0)</f>
        <v>75223</v>
      </c>
      <c r="I1208" s="8">
        <f t="shared" si="15"/>
        <v>75223</v>
      </c>
      <c r="J1208" s="9">
        <f>IFERROR(__xludf.DUMMYFUNCTION("SPLIT(I1208,""-"")"),75223.0)</f>
        <v>75223</v>
      </c>
    </row>
    <row r="1209">
      <c r="A1209" s="10" t="s">
        <v>1138</v>
      </c>
      <c r="B1209" s="11">
        <v>500.0</v>
      </c>
      <c r="C1209" s="12" t="s">
        <v>1060</v>
      </c>
      <c r="E1209" s="8" t="str">
        <f>IFERROR(__xludf.DUMMYFUNCTION("SPLIT(A1209,""TX"")"),"Miller III, W.W.
3310 Fairmount
Dallas, ")</f>
        <v>Miller III, W.W.
3310 Fairmount
Dallas, </v>
      </c>
      <c r="F1209" s="8">
        <f>IFERROR(__xludf.DUMMYFUNCTION("""COMPUTED_VALUE"""),75201.0)</f>
        <v>75201</v>
      </c>
      <c r="I1209" s="8">
        <f t="shared" si="15"/>
        <v>75201</v>
      </c>
      <c r="J1209" s="9">
        <f>IFERROR(__xludf.DUMMYFUNCTION("SPLIT(I1209,""-"")"),75201.0)</f>
        <v>75201</v>
      </c>
    </row>
    <row r="1210">
      <c r="A1210" s="5" t="s">
        <v>1139</v>
      </c>
      <c r="B1210" s="6">
        <v>100.0</v>
      </c>
      <c r="C1210" s="7" t="s">
        <v>1060</v>
      </c>
      <c r="E1210" s="8" t="str">
        <f>IFERROR(__xludf.DUMMYFUNCTION("SPLIT(A1210,""TX"")"),"Garcia, Carmen
2500 McKinney Ave.
Dallas, ")</f>
        <v>Garcia, Carmen
2500 McKinney Ave.
Dallas, </v>
      </c>
      <c r="F1210" s="8">
        <f>IFERROR(__xludf.DUMMYFUNCTION("""COMPUTED_VALUE"""),75201.0)</f>
        <v>75201</v>
      </c>
      <c r="I1210" s="8">
        <f t="shared" si="15"/>
        <v>75201</v>
      </c>
      <c r="J1210" s="9">
        <f>IFERROR(__xludf.DUMMYFUNCTION("SPLIT(I1210,""-"")"),75201.0)</f>
        <v>75201</v>
      </c>
    </row>
    <row r="1211">
      <c r="A1211" s="10" t="s">
        <v>1140</v>
      </c>
      <c r="B1211" s="11">
        <v>1000.0</v>
      </c>
      <c r="C1211" s="12" t="s">
        <v>1060</v>
      </c>
      <c r="E1211" s="8" t="str">
        <f>IFERROR(__xludf.DUMMYFUNCTION("SPLIT(A1211,""TX"")"),"Lopez, Bridget
4326 Meadowdale
Dallas, ")</f>
        <v>Lopez, Bridget
4326 Meadowdale
Dallas, </v>
      </c>
      <c r="F1211" s="8">
        <f>IFERROR(__xludf.DUMMYFUNCTION("""COMPUTED_VALUE"""),75229.0)</f>
        <v>75229</v>
      </c>
      <c r="I1211" s="8">
        <f t="shared" si="15"/>
        <v>75229</v>
      </c>
      <c r="J1211" s="9">
        <f>IFERROR(__xludf.DUMMYFUNCTION("SPLIT(I1211,""-"")"),75229.0)</f>
        <v>75229</v>
      </c>
    </row>
    <row r="1212">
      <c r="A1212" s="5" t="s">
        <v>1141</v>
      </c>
      <c r="B1212" s="6">
        <v>50.0</v>
      </c>
      <c r="C1212" s="7" t="s">
        <v>1060</v>
      </c>
      <c r="E1212" s="8" t="str">
        <f>IFERROR(__xludf.DUMMYFUNCTION("SPLIT(A1212,""TX"")"),"ransou, Lynda
6808 Coronado Ave
Dallas, ")</f>
        <v>ransou, Lynda
6808 Coronado Ave
Dallas, </v>
      </c>
      <c r="F1212" s="8">
        <f>IFERROR(__xludf.DUMMYFUNCTION("""COMPUTED_VALUE"""),75214.0)</f>
        <v>75214</v>
      </c>
      <c r="I1212" s="8">
        <f t="shared" si="15"/>
        <v>75214</v>
      </c>
      <c r="J1212" s="9">
        <f>IFERROR(__xludf.DUMMYFUNCTION("SPLIT(I1212,""-"")"),75214.0)</f>
        <v>75214</v>
      </c>
    </row>
    <row r="1213">
      <c r="A1213" s="10" t="s">
        <v>1142</v>
      </c>
      <c r="B1213" s="11">
        <v>500.0</v>
      </c>
      <c r="C1213" s="12" t="s">
        <v>1060</v>
      </c>
      <c r="E1213" s="8" t="str">
        <f>IFERROR(__xludf.DUMMYFUNCTION("SPLIT(A1213,""TX"")"),"Rasansky, Mitchell
5498 LaSierra Dr.
Dallas, ")</f>
        <v>Rasansky, Mitchell
5498 LaSierra Dr.
Dallas, </v>
      </c>
      <c r="F1213" s="8">
        <f>IFERROR(__xludf.DUMMYFUNCTION("""COMPUTED_VALUE"""),75231.0)</f>
        <v>75231</v>
      </c>
      <c r="I1213" s="8">
        <f t="shared" si="15"/>
        <v>75231</v>
      </c>
      <c r="J1213" s="9">
        <f>IFERROR(__xludf.DUMMYFUNCTION("SPLIT(I1213,""-"")"),75231.0)</f>
        <v>75231</v>
      </c>
    </row>
    <row r="1214">
      <c r="A1214" s="5" t="s">
        <v>1143</v>
      </c>
      <c r="B1214" s="6">
        <v>500.0</v>
      </c>
      <c r="C1214" s="7" t="s">
        <v>1060</v>
      </c>
      <c r="E1214" s="8" t="str">
        <f>IFERROR(__xludf.DUMMYFUNCTION("SPLIT(A1214,""TX"")"),"Harsdorff, Chris
3310 Fairmount
Dallas, ")</f>
        <v>Harsdorff, Chris
3310 Fairmount
Dallas, </v>
      </c>
      <c r="F1214" s="8">
        <f>IFERROR(__xludf.DUMMYFUNCTION("""COMPUTED_VALUE"""),75201.0)</f>
        <v>75201</v>
      </c>
      <c r="I1214" s="8">
        <f t="shared" si="15"/>
        <v>75201</v>
      </c>
      <c r="J1214" s="9">
        <f>IFERROR(__xludf.DUMMYFUNCTION("SPLIT(I1214,""-"")"),75201.0)</f>
        <v>75201</v>
      </c>
    </row>
    <row r="1215">
      <c r="A1215" s="10" t="s">
        <v>1144</v>
      </c>
      <c r="B1215" s="11">
        <v>100.0</v>
      </c>
      <c r="C1215" s="12" t="s">
        <v>1060</v>
      </c>
      <c r="E1215" s="8" t="str">
        <f>IFERROR(__xludf.DUMMYFUNCTION("SPLIT(A1215,""TX"")"),"Aberly ")</f>
        <v>Aberly </v>
      </c>
      <c r="F1215" s="8" t="str">
        <f>IFERROR(__xludf.DUMMYFUNCTION("""COMPUTED_VALUE"""),"rust, Suzanne
3510 ")</f>
        <v>rust, Suzanne
3510 </v>
      </c>
      <c r="G1215" s="8" t="str">
        <f>IFERROR(__xludf.DUMMYFUNCTION("""COMPUTED_VALUE"""),"urtle Creek
Dallas, ")</f>
        <v>urtle Creek
Dallas, </v>
      </c>
      <c r="H1215" s="8">
        <f>IFERROR(__xludf.DUMMYFUNCTION("""COMPUTED_VALUE"""),75219.0)</f>
        <v>75219</v>
      </c>
      <c r="I1215" s="13">
        <v>75219.0</v>
      </c>
      <c r="J1215" s="9">
        <f>IFERROR(__xludf.DUMMYFUNCTION("SPLIT(I1215,""-"")"),75219.0)</f>
        <v>75219</v>
      </c>
    </row>
    <row r="1216">
      <c r="A1216" s="5" t="s">
        <v>1145</v>
      </c>
      <c r="B1216" s="6">
        <v>100.0</v>
      </c>
      <c r="C1216" s="7" t="s">
        <v>1060</v>
      </c>
      <c r="E1216" s="8" t="str">
        <f>IFERROR(__xludf.DUMMYFUNCTION("SPLIT(A1216,""TX"")"),"Walthall, Christopher
4100 ")</f>
        <v>Walthall, Christopher
4100 </v>
      </c>
      <c r="F1216" s="8" t="str">
        <f>IFERROR(__xludf.DUMMYFUNCTION("""COMPUTED_VALUE"""),"ravis
Dallas, ")</f>
        <v>ravis
Dallas, </v>
      </c>
      <c r="G1216" s="8">
        <f>IFERROR(__xludf.DUMMYFUNCTION("""COMPUTED_VALUE"""),75204.0)</f>
        <v>75204</v>
      </c>
      <c r="I1216" s="8">
        <f t="shared" ref="I1216:I1256" si="16">IF(ISBLANK(G1216),F1216,G1216)</f>
        <v>75204</v>
      </c>
      <c r="J1216" s="9">
        <f>IFERROR(__xludf.DUMMYFUNCTION("SPLIT(I1216,""-"")"),75204.0)</f>
        <v>75204</v>
      </c>
    </row>
    <row r="1217">
      <c r="A1217" s="10" t="s">
        <v>1146</v>
      </c>
      <c r="B1217" s="11">
        <v>1000.0</v>
      </c>
      <c r="C1217" s="12" t="s">
        <v>1060</v>
      </c>
      <c r="E1217" s="8" t="str">
        <f>IFERROR(__xludf.DUMMYFUNCTION("SPLIT(A1217,""TX"")"),"Dean, David
PO Box 140039
Dallas, ")</f>
        <v>Dean, David
PO Box 140039
Dallas, </v>
      </c>
      <c r="F1217" s="8">
        <f>IFERROR(__xludf.DUMMYFUNCTION("""COMPUTED_VALUE"""),75214.0)</f>
        <v>75214</v>
      </c>
      <c r="I1217" s="8">
        <f t="shared" si="16"/>
        <v>75214</v>
      </c>
      <c r="J1217" s="9">
        <f>IFERROR(__xludf.DUMMYFUNCTION("SPLIT(I1217,""-"")"),75214.0)</f>
        <v>75214</v>
      </c>
    </row>
    <row r="1218">
      <c r="A1218" s="5" t="s">
        <v>1147</v>
      </c>
      <c r="B1218" s="6">
        <v>1000.0</v>
      </c>
      <c r="C1218" s="7" t="s">
        <v>1148</v>
      </c>
      <c r="E1218" s="8" t="str">
        <f>IFERROR(__xludf.DUMMYFUNCTION("SPLIT(A1218,""TX"")"),"enpenny, Joanne
PO Box 1899
Keller, ")</f>
        <v>enpenny, Joanne
PO Box 1899
Keller, </v>
      </c>
      <c r="F1218" s="8">
        <f>IFERROR(__xludf.DUMMYFUNCTION("""COMPUTED_VALUE"""),76244.0)</f>
        <v>76244</v>
      </c>
      <c r="I1218" s="8">
        <f t="shared" si="16"/>
        <v>76244</v>
      </c>
      <c r="J1218" s="9">
        <f>IFERROR(__xludf.DUMMYFUNCTION("SPLIT(I1218,""-"")"),76244.0)</f>
        <v>76244</v>
      </c>
    </row>
    <row r="1219">
      <c r="A1219" s="10" t="s">
        <v>1149</v>
      </c>
      <c r="B1219" s="11">
        <v>1000.0</v>
      </c>
      <c r="C1219" s="12" t="s">
        <v>1148</v>
      </c>
      <c r="E1219" s="8" t="str">
        <f>IFERROR(__xludf.DUMMYFUNCTION("SPLIT(A1219,""TX"")"),"enpenny, Stephen
PO Box 1899
Keller, ")</f>
        <v>enpenny, Stephen
PO Box 1899
Keller, </v>
      </c>
      <c r="F1219" s="8">
        <f>IFERROR(__xludf.DUMMYFUNCTION("""COMPUTED_VALUE"""),76244.0)</f>
        <v>76244</v>
      </c>
      <c r="I1219" s="8">
        <f t="shared" si="16"/>
        <v>76244</v>
      </c>
      <c r="J1219" s="9">
        <f>IFERROR(__xludf.DUMMYFUNCTION("SPLIT(I1219,""-"")"),76244.0)</f>
        <v>76244</v>
      </c>
    </row>
    <row r="1220">
      <c r="A1220" s="5" t="s">
        <v>1150</v>
      </c>
      <c r="B1220" s="6">
        <v>500.0</v>
      </c>
      <c r="C1220" s="7" t="s">
        <v>1151</v>
      </c>
      <c r="E1220" s="8" t="str">
        <f>IFERROR(__xludf.DUMMYFUNCTION("SPLIT(A1220,""TX"")"),"Royce West Campaign Committee
330 S R L ")</f>
        <v>Royce West Campaign Committee
330 S R L </v>
      </c>
      <c r="F1220" s="8" t="str">
        <f>IFERROR(__xludf.DUMMYFUNCTION("""COMPUTED_VALUE"""),"hornton Frwy
Dallas, ")</f>
        <v>hornton Frwy
Dallas, </v>
      </c>
      <c r="G1220" s="8">
        <f>IFERROR(__xludf.DUMMYFUNCTION("""COMPUTED_VALUE"""),75203.0)</f>
        <v>75203</v>
      </c>
      <c r="I1220" s="8">
        <f t="shared" si="16"/>
        <v>75203</v>
      </c>
      <c r="J1220" s="9">
        <f>IFERROR(__xludf.DUMMYFUNCTION("SPLIT(I1220,""-"")"),75203.0)</f>
        <v>75203</v>
      </c>
    </row>
    <row r="1221">
      <c r="A1221" s="5" t="s">
        <v>1152</v>
      </c>
      <c r="B1221" s="6">
        <v>500.0</v>
      </c>
      <c r="C1221" s="7" t="s">
        <v>1151</v>
      </c>
      <c r="E1221" s="8" t="str">
        <f>IFERROR(__xludf.DUMMYFUNCTION("SPLIT(A1221,""TX"")"),"Dennison, Brian
1303 Woodlawn Ave
Dallas, ")</f>
        <v>Dennison, Brian
1303 Woodlawn Ave
Dallas, </v>
      </c>
      <c r="F1221" s="8">
        <f>IFERROR(__xludf.DUMMYFUNCTION("""COMPUTED_VALUE"""),75208.0)</f>
        <v>75208</v>
      </c>
      <c r="I1221" s="8">
        <f t="shared" si="16"/>
        <v>75208</v>
      </c>
      <c r="J1221" s="9">
        <f>IFERROR(__xludf.DUMMYFUNCTION("SPLIT(I1221,""-"")"),75208.0)</f>
        <v>75208</v>
      </c>
    </row>
    <row r="1222">
      <c r="A1222" s="5" t="s">
        <v>1153</v>
      </c>
      <c r="B1222" s="6">
        <v>500.0</v>
      </c>
      <c r="C1222" s="7" t="s">
        <v>1151</v>
      </c>
      <c r="E1222" s="8" t="str">
        <f>IFERROR(__xludf.DUMMYFUNCTION("SPLIT(A1222,""TX"")"),"Steinhart, Ronald
25 Robledo Dr
Dallas, ")</f>
        <v>Steinhart, Ronald
25 Robledo Dr
Dallas, </v>
      </c>
      <c r="F1222" s="8">
        <f>IFERROR(__xludf.DUMMYFUNCTION("""COMPUTED_VALUE"""),75230.0)</f>
        <v>75230</v>
      </c>
      <c r="I1222" s="8">
        <f t="shared" si="16"/>
        <v>75230</v>
      </c>
      <c r="J1222" s="9">
        <f>IFERROR(__xludf.DUMMYFUNCTION("SPLIT(I1222,""-"")"),75230.0)</f>
        <v>75230</v>
      </c>
    </row>
    <row r="1223">
      <c r="A1223" s="5" t="s">
        <v>1154</v>
      </c>
      <c r="B1223" s="6">
        <v>1000.0</v>
      </c>
      <c r="C1223" s="7" t="s">
        <v>1151</v>
      </c>
      <c r="E1223" s="8" t="str">
        <f>IFERROR(__xludf.DUMMYFUNCTION("SPLIT(A1223,""TX"")"),"rout, Elizabeth
5005 Willowood St
Dallas, ")</f>
        <v>rout, Elizabeth
5005 Willowood St
Dallas, </v>
      </c>
      <c r="F1223" s="8">
        <f>IFERROR(__xludf.DUMMYFUNCTION("""COMPUTED_VALUE"""),75205.0)</f>
        <v>75205</v>
      </c>
      <c r="I1223" s="8">
        <f t="shared" si="16"/>
        <v>75205</v>
      </c>
      <c r="J1223" s="9">
        <f>IFERROR(__xludf.DUMMYFUNCTION("SPLIT(I1223,""-"")"),75205.0)</f>
        <v>75205</v>
      </c>
    </row>
    <row r="1224">
      <c r="A1224" s="5" t="s">
        <v>1155</v>
      </c>
      <c r="B1224" s="6">
        <v>1000.0</v>
      </c>
      <c r="C1224" s="7" t="s">
        <v>1151</v>
      </c>
      <c r="E1224" s="8" t="str">
        <f>IFERROR(__xludf.DUMMYFUNCTION("SPLIT(A1224,""TX"")"),"Rose, Deedie
5 Willowood St
Dallas, ")</f>
        <v>Rose, Deedie
5 Willowood St
Dallas, </v>
      </c>
      <c r="F1224" s="8">
        <f>IFERROR(__xludf.DUMMYFUNCTION("""COMPUTED_VALUE"""),75205.0)</f>
        <v>75205</v>
      </c>
      <c r="I1224" s="8">
        <f t="shared" si="16"/>
        <v>75205</v>
      </c>
      <c r="J1224" s="9">
        <f>IFERROR(__xludf.DUMMYFUNCTION("SPLIT(I1224,""-"")"),75205.0)</f>
        <v>75205</v>
      </c>
    </row>
    <row r="1225">
      <c r="A1225" s="5" t="s">
        <v>1156</v>
      </c>
      <c r="B1225" s="6">
        <v>250.0</v>
      </c>
      <c r="C1225" s="7" t="s">
        <v>1151</v>
      </c>
      <c r="E1225" s="8" t="str">
        <f>IFERROR(__xludf.DUMMYFUNCTION("SPLIT(A1225,""TX"")"),"Brooks, Vg
PO Box 1400092
Irving, ")</f>
        <v>Brooks, Vg
PO Box 1400092
Irving, </v>
      </c>
      <c r="F1225" s="8">
        <f>IFERROR(__xludf.DUMMYFUNCTION("""COMPUTED_VALUE"""),75014.0)</f>
        <v>75014</v>
      </c>
      <c r="I1225" s="8">
        <f t="shared" si="16"/>
        <v>75014</v>
      </c>
      <c r="J1225" s="9">
        <f>IFERROR(__xludf.DUMMYFUNCTION("SPLIT(I1225,""-"")"),75014.0)</f>
        <v>75014</v>
      </c>
    </row>
    <row r="1226">
      <c r="A1226" s="5" t="s">
        <v>1157</v>
      </c>
      <c r="B1226" s="6">
        <v>500.0</v>
      </c>
      <c r="C1226" s="7" t="s">
        <v>1151</v>
      </c>
      <c r="E1226" s="8" t="str">
        <f>IFERROR(__xludf.DUMMYFUNCTION("SPLIT(A1226,""TX"")"),"Sampson, DeMetris
PO Box 763834
Dallas, ")</f>
        <v>Sampson, DeMetris
PO Box 763834
Dallas, </v>
      </c>
      <c r="F1226" s="8" t="str">
        <f>IFERROR(__xludf.DUMMYFUNCTION("""COMPUTED_VALUE""")," 75376-3834")</f>
        <v> 75376-3834</v>
      </c>
      <c r="I1226" s="8" t="str">
        <f t="shared" si="16"/>
        <v> 75376-3834</v>
      </c>
      <c r="J1226" s="9">
        <f>IFERROR(__xludf.DUMMYFUNCTION("SPLIT(I1226,""-"")"),75376.0)</f>
        <v>75376</v>
      </c>
      <c r="K1226" s="8">
        <f>IFERROR(__xludf.DUMMYFUNCTION("""COMPUTED_VALUE"""),3834.0)</f>
        <v>3834</v>
      </c>
    </row>
    <row r="1227">
      <c r="A1227" s="5" t="s">
        <v>1158</v>
      </c>
      <c r="B1227" s="6">
        <v>50.0</v>
      </c>
      <c r="C1227" s="7" t="s">
        <v>1151</v>
      </c>
      <c r="E1227" s="8" t="str">
        <f>IFERROR(__xludf.DUMMYFUNCTION("SPLIT(A1227,""TX"")"),"alley, Olive
6133 Prospect Ave
Dallas, ")</f>
        <v>alley, Olive
6133 Prospect Ave
Dallas, </v>
      </c>
      <c r="F1227" s="8">
        <f>IFERROR(__xludf.DUMMYFUNCTION("""COMPUTED_VALUE"""),75218.0)</f>
        <v>75218</v>
      </c>
      <c r="I1227" s="8">
        <f t="shared" si="16"/>
        <v>75218</v>
      </c>
      <c r="J1227" s="9">
        <f>IFERROR(__xludf.DUMMYFUNCTION("SPLIT(I1227,""-"")"),75218.0)</f>
        <v>75218</v>
      </c>
    </row>
    <row r="1228">
      <c r="A1228" s="5" t="s">
        <v>1159</v>
      </c>
      <c r="B1228" s="6">
        <v>250.0</v>
      </c>
      <c r="C1228" s="7" t="s">
        <v>1151</v>
      </c>
      <c r="E1228" s="8" t="str">
        <f>IFERROR(__xludf.DUMMYFUNCTION("SPLIT(A1228,""TX"")"),"Houston, Matthew
1504 Boca Chica Drive
Dallas, ")</f>
        <v>Houston, Matthew
1504 Boca Chica Drive
Dallas, </v>
      </c>
      <c r="F1228" s="8">
        <f>IFERROR(__xludf.DUMMYFUNCTION("""COMPUTED_VALUE"""),75232.0)</f>
        <v>75232</v>
      </c>
      <c r="I1228" s="8">
        <f t="shared" si="16"/>
        <v>75232</v>
      </c>
      <c r="J1228" s="9">
        <f>IFERROR(__xludf.DUMMYFUNCTION("SPLIT(I1228,""-"")"),75232.0)</f>
        <v>75232</v>
      </c>
    </row>
    <row r="1229">
      <c r="A1229" s="5" t="s">
        <v>1160</v>
      </c>
      <c r="B1229" s="6">
        <v>100.0</v>
      </c>
      <c r="C1229" s="7" t="s">
        <v>1151</v>
      </c>
      <c r="E1229" s="8" t="str">
        <f>IFERROR(__xludf.DUMMYFUNCTION("SPLIT(A1229,""TX"")"),"Spellicy, Courtney
7117 Wake Forest Drive
Dallas, ")</f>
        <v>Spellicy, Courtney
7117 Wake Forest Drive
Dallas, </v>
      </c>
      <c r="F1229" s="8">
        <f>IFERROR(__xludf.DUMMYFUNCTION("""COMPUTED_VALUE"""),75214.0)</f>
        <v>75214</v>
      </c>
      <c r="I1229" s="8">
        <f t="shared" si="16"/>
        <v>75214</v>
      </c>
      <c r="J1229" s="9">
        <f>IFERROR(__xludf.DUMMYFUNCTION("SPLIT(I1229,""-"")"),75214.0)</f>
        <v>75214</v>
      </c>
    </row>
    <row r="1230">
      <c r="A1230" s="5" t="s">
        <v>1161</v>
      </c>
      <c r="B1230" s="6">
        <v>500.0</v>
      </c>
      <c r="C1230" s="7" t="s">
        <v>1151</v>
      </c>
      <c r="E1230" s="8" t="str">
        <f>IFERROR(__xludf.DUMMYFUNCTION("SPLIT(A1230,""TX"")"),"MRR &amp; Associates LLC
400 N St. Paul St
Dallas, ")</f>
        <v>MRR &amp; Associates LLC
400 N St. Paul St
Dallas, </v>
      </c>
      <c r="F1230" s="8">
        <f>IFERROR(__xludf.DUMMYFUNCTION("""COMPUTED_VALUE"""),75201.0)</f>
        <v>75201</v>
      </c>
      <c r="I1230" s="8">
        <f t="shared" si="16"/>
        <v>75201</v>
      </c>
      <c r="J1230" s="9">
        <f>IFERROR(__xludf.DUMMYFUNCTION("SPLIT(I1230,""-"")"),75201.0)</f>
        <v>75201</v>
      </c>
    </row>
    <row r="1231">
      <c r="A1231" s="5" t="s">
        <v>1162</v>
      </c>
      <c r="B1231" s="6">
        <v>200.0</v>
      </c>
      <c r="C1231" s="7" t="s">
        <v>627</v>
      </c>
      <c r="E1231" s="8" t="str">
        <f>IFERROR(__xludf.DUMMYFUNCTION("SPLIT(A1231,""TX"")"),"Offutt, Larry
6038 Bryan Pkwy
Dallas, ")</f>
        <v>Offutt, Larry
6038 Bryan Pkwy
Dallas, </v>
      </c>
      <c r="F1231" s="8">
        <f>IFERROR(__xludf.DUMMYFUNCTION("""COMPUTED_VALUE"""),75206.0)</f>
        <v>75206</v>
      </c>
      <c r="I1231" s="8">
        <f t="shared" si="16"/>
        <v>75206</v>
      </c>
      <c r="J1231" s="9">
        <f>IFERROR(__xludf.DUMMYFUNCTION("SPLIT(I1231,""-"")"),75206.0)</f>
        <v>75206</v>
      </c>
    </row>
    <row r="1232">
      <c r="A1232" s="10" t="s">
        <v>1163</v>
      </c>
      <c r="B1232" s="11">
        <v>250.0</v>
      </c>
      <c r="C1232" s="12" t="s">
        <v>627</v>
      </c>
      <c r="E1232" s="8" t="str">
        <f>IFERROR(__xludf.DUMMYFUNCTION("SPLIT(A1232,""TX"")"),"Reyna, Josh
2921 Zach Scott St
Austin, ")</f>
        <v>Reyna, Josh
2921 Zach Scott St
Austin, </v>
      </c>
      <c r="F1232" s="8">
        <f>IFERROR(__xludf.DUMMYFUNCTION("""COMPUTED_VALUE"""),78723.0)</f>
        <v>78723</v>
      </c>
      <c r="I1232" s="8">
        <f t="shared" si="16"/>
        <v>78723</v>
      </c>
      <c r="J1232" s="9">
        <f>IFERROR(__xludf.DUMMYFUNCTION("SPLIT(I1232,""-"")"),78723.0)</f>
        <v>78723</v>
      </c>
    </row>
    <row r="1233">
      <c r="A1233" s="5" t="s">
        <v>1164</v>
      </c>
      <c r="B1233" s="6">
        <v>1000.0</v>
      </c>
      <c r="C1233" s="7" t="s">
        <v>627</v>
      </c>
      <c r="E1233" s="8" t="str">
        <f>IFERROR(__xludf.DUMMYFUNCTION("SPLIT(A1233,""TX"")"),"Correa, Andres
2100 Ross Ave
Dallas, ")</f>
        <v>Correa, Andres
2100 Ross Ave
Dallas, </v>
      </c>
      <c r="F1233" s="8">
        <f>IFERROR(__xludf.DUMMYFUNCTION("""COMPUTED_VALUE"""),75201.0)</f>
        <v>75201</v>
      </c>
      <c r="I1233" s="8">
        <f t="shared" si="16"/>
        <v>75201</v>
      </c>
      <c r="J1233" s="9">
        <f>IFERROR(__xludf.DUMMYFUNCTION("SPLIT(I1233,""-"")"),75201.0)</f>
        <v>75201</v>
      </c>
    </row>
    <row r="1234">
      <c r="A1234" s="10" t="s">
        <v>1165</v>
      </c>
      <c r="B1234" s="11">
        <v>250.0</v>
      </c>
      <c r="C1234" s="12" t="s">
        <v>627</v>
      </c>
      <c r="E1234" s="8" t="str">
        <f>IFERROR(__xludf.DUMMYFUNCTION("SPLIT(A1234,""TX"")"),"Mesa-Rogers, Lisa
111 N/a
Dallas, ")</f>
        <v>Mesa-Rogers, Lisa
111 N/a
Dallas, </v>
      </c>
      <c r="F1234" s="8">
        <f>IFERROR(__xludf.DUMMYFUNCTION("""COMPUTED_VALUE"""),11111.0)</f>
        <v>11111</v>
      </c>
      <c r="I1234" s="8">
        <f t="shared" si="16"/>
        <v>11111</v>
      </c>
      <c r="J1234" s="9">
        <f>IFERROR(__xludf.DUMMYFUNCTION("SPLIT(I1234,""-"")"),11111.0)</f>
        <v>11111</v>
      </c>
    </row>
    <row r="1235">
      <c r="A1235" s="5" t="s">
        <v>1166</v>
      </c>
      <c r="B1235" s="6">
        <v>50.0</v>
      </c>
      <c r="C1235" s="7" t="s">
        <v>627</v>
      </c>
      <c r="E1235" s="8" t="str">
        <f>IFERROR(__xludf.DUMMYFUNCTION("SPLIT(A1235,""TX"")"),"Sanchez, Fabian
6203 Elam Rd
Dallas, ")</f>
        <v>Sanchez, Fabian
6203 Elam Rd
Dallas, </v>
      </c>
      <c r="F1235" s="8">
        <f>IFERROR(__xludf.DUMMYFUNCTION("""COMPUTED_VALUE"""),75217.0)</f>
        <v>75217</v>
      </c>
      <c r="I1235" s="8">
        <f t="shared" si="16"/>
        <v>75217</v>
      </c>
      <c r="J1235" s="9">
        <f>IFERROR(__xludf.DUMMYFUNCTION("SPLIT(I1235,""-"")"),75217.0)</f>
        <v>75217</v>
      </c>
    </row>
    <row r="1236">
      <c r="A1236" s="10" t="s">
        <v>1167</v>
      </c>
      <c r="B1236" s="11">
        <v>1000.0</v>
      </c>
      <c r="C1236" s="12" t="s">
        <v>627</v>
      </c>
      <c r="E1236" s="8" t="str">
        <f>IFERROR(__xludf.DUMMYFUNCTION("SPLIT(A1236,""TX"")"),"Micciche, Dan
1140 Bally Mote Dr
Dallas, ")</f>
        <v>Micciche, Dan
1140 Bally Mote Dr
Dallas, </v>
      </c>
      <c r="F1236" s="8">
        <f>IFERROR(__xludf.DUMMYFUNCTION("""COMPUTED_VALUE"""),75218.0)</f>
        <v>75218</v>
      </c>
      <c r="I1236" s="8">
        <f t="shared" si="16"/>
        <v>75218</v>
      </c>
      <c r="J1236" s="9">
        <f>IFERROR(__xludf.DUMMYFUNCTION("SPLIT(I1236,""-"")"),75218.0)</f>
        <v>75218</v>
      </c>
    </row>
    <row r="1237">
      <c r="A1237" s="5" t="s">
        <v>1168</v>
      </c>
      <c r="B1237" s="6">
        <v>5.0</v>
      </c>
      <c r="C1237" s="7" t="s">
        <v>627</v>
      </c>
      <c r="E1237" s="8" t="str">
        <f>IFERROR(__xludf.DUMMYFUNCTION("SPLIT(A1237,""TX"")"),"Vallejo, Brenda
1367 Cy Blackburn Circle
Dallas, ")</f>
        <v>Vallejo, Brenda
1367 Cy Blackburn Circle
Dallas, </v>
      </c>
      <c r="F1237" s="8">
        <f>IFERROR(__xludf.DUMMYFUNCTION("""COMPUTED_VALUE"""),75217.0)</f>
        <v>75217</v>
      </c>
      <c r="I1237" s="8">
        <f t="shared" si="16"/>
        <v>75217</v>
      </c>
      <c r="J1237" s="9">
        <f>IFERROR(__xludf.DUMMYFUNCTION("SPLIT(I1237,""-"")"),75217.0)</f>
        <v>75217</v>
      </c>
    </row>
    <row r="1238">
      <c r="A1238" s="10" t="s">
        <v>1169</v>
      </c>
      <c r="B1238" s="11">
        <v>100.0</v>
      </c>
      <c r="C1238" s="12" t="s">
        <v>627</v>
      </c>
      <c r="E1238" s="8" t="str">
        <f>IFERROR(__xludf.DUMMYFUNCTION("SPLIT(A1238,""TX"")"),"McGahan, Brian
3218 Urban Ave
Dallas, ")</f>
        <v>McGahan, Brian
3218 Urban Ave
Dallas, </v>
      </c>
      <c r="F1238" s="8">
        <f>IFERROR(__xludf.DUMMYFUNCTION("""COMPUTED_VALUE"""),75227.0)</f>
        <v>75227</v>
      </c>
      <c r="I1238" s="8">
        <f t="shared" si="16"/>
        <v>75227</v>
      </c>
      <c r="J1238" s="9">
        <f>IFERROR(__xludf.DUMMYFUNCTION("SPLIT(I1238,""-"")"),75227.0)</f>
        <v>75227</v>
      </c>
    </row>
    <row r="1239">
      <c r="A1239" s="5" t="s">
        <v>1170</v>
      </c>
      <c r="B1239" s="6">
        <v>100.0</v>
      </c>
      <c r="C1239" s="7" t="s">
        <v>627</v>
      </c>
      <c r="E1239" s="8" t="str">
        <f>IFERROR(__xludf.DUMMYFUNCTION("SPLIT(A1239,""TX"")"),"Flores, Hector
1030 ")</f>
        <v>Flores, Hector
1030 </v>
      </c>
      <c r="F1239" s="8" t="str">
        <f>IFERROR(__xludf.DUMMYFUNCTION("""COMPUTED_VALUE"""),"racy Ave
Duncanville, ")</f>
        <v>racy Ave
Duncanville, </v>
      </c>
      <c r="G1239" s="8">
        <f>IFERROR(__xludf.DUMMYFUNCTION("""COMPUTED_VALUE"""),75137.0)</f>
        <v>75137</v>
      </c>
      <c r="I1239" s="8">
        <f t="shared" si="16"/>
        <v>75137</v>
      </c>
      <c r="J1239" s="9">
        <f>IFERROR(__xludf.DUMMYFUNCTION("SPLIT(I1239,""-"")"),75137.0)</f>
        <v>75137</v>
      </c>
    </row>
    <row r="1240">
      <c r="A1240" s="10" t="s">
        <v>1171</v>
      </c>
      <c r="B1240" s="11">
        <v>1000.0</v>
      </c>
      <c r="C1240" s="12" t="s">
        <v>627</v>
      </c>
      <c r="E1240" s="8" t="str">
        <f>IFERROR(__xludf.DUMMYFUNCTION("SPLIT(A1240,""TX"")"),"Fetter, Evan
12900 Preston Rd
Dallas, ")</f>
        <v>Fetter, Evan
12900 Preston Rd
Dallas, </v>
      </c>
      <c r="F1240" s="8">
        <f>IFERROR(__xludf.DUMMYFUNCTION("""COMPUTED_VALUE"""),75230.0)</f>
        <v>75230</v>
      </c>
      <c r="I1240" s="8">
        <f t="shared" si="16"/>
        <v>75230</v>
      </c>
      <c r="J1240" s="9">
        <f>IFERROR(__xludf.DUMMYFUNCTION("SPLIT(I1240,""-"")"),75230.0)</f>
        <v>75230</v>
      </c>
    </row>
    <row r="1241">
      <c r="A1241" s="5" t="s">
        <v>1172</v>
      </c>
      <c r="B1241" s="6">
        <v>1000.0</v>
      </c>
      <c r="C1241" s="7" t="s">
        <v>627</v>
      </c>
      <c r="E1241" s="8" t="str">
        <f>IFERROR(__xludf.DUMMYFUNCTION("SPLIT(A1241,""TX"")"),"Access Buckner
3404 N Interstate 35E
Lancaster, ")</f>
        <v>Access Buckner
3404 N Interstate 35E
Lancaster, </v>
      </c>
      <c r="F1241" s="8">
        <f>IFERROR(__xludf.DUMMYFUNCTION("""COMPUTED_VALUE"""),75134.0)</f>
        <v>75134</v>
      </c>
      <c r="I1241" s="8">
        <f t="shared" si="16"/>
        <v>75134</v>
      </c>
      <c r="J1241" s="9">
        <f>IFERROR(__xludf.DUMMYFUNCTION("SPLIT(I1241,""-"")"),75134.0)</f>
        <v>75134</v>
      </c>
    </row>
    <row r="1242">
      <c r="A1242" s="10" t="s">
        <v>1173</v>
      </c>
      <c r="B1242" s="11">
        <v>500.0</v>
      </c>
      <c r="C1242" s="12" t="s">
        <v>627</v>
      </c>
      <c r="E1242" s="8" t="str">
        <f>IFERROR(__xludf.DUMMYFUNCTION("SPLIT(A1242,""TX"")"),"Schenkel, Pete
614 N Bishop
Dallas, ")</f>
        <v>Schenkel, Pete
614 N Bishop
Dallas, </v>
      </c>
      <c r="F1242" s="8">
        <f>IFERROR(__xludf.DUMMYFUNCTION("""COMPUTED_VALUE"""),75206.0)</f>
        <v>75206</v>
      </c>
      <c r="I1242" s="8">
        <f t="shared" si="16"/>
        <v>75206</v>
      </c>
      <c r="J1242" s="9">
        <f>IFERROR(__xludf.DUMMYFUNCTION("SPLIT(I1242,""-"")"),75206.0)</f>
        <v>75206</v>
      </c>
    </row>
    <row r="1243">
      <c r="A1243" s="5" t="s">
        <v>1174</v>
      </c>
      <c r="B1243" s="6">
        <v>500.0</v>
      </c>
      <c r="C1243" s="7" t="s">
        <v>627</v>
      </c>
      <c r="E1243" s="8" t="str">
        <f>IFERROR(__xludf.DUMMYFUNCTION("SPLIT(A1243,""TX"")"),"Walne, Joan
10020 Caribou ")</f>
        <v>Walne, Joan
10020 Caribou </v>
      </c>
      <c r="F1243" s="8" t="str">
        <f>IFERROR(__xludf.DUMMYFUNCTION("""COMPUTED_VALUE"""),"rail
Dallas, ")</f>
        <v>rail
Dallas, </v>
      </c>
      <c r="G1243" s="8">
        <f>IFERROR(__xludf.DUMMYFUNCTION("""COMPUTED_VALUE"""),75238.0)</f>
        <v>75238</v>
      </c>
      <c r="I1243" s="8">
        <f t="shared" si="16"/>
        <v>75238</v>
      </c>
      <c r="J1243" s="9">
        <f>IFERROR(__xludf.DUMMYFUNCTION("SPLIT(I1243,""-"")"),75238.0)</f>
        <v>75238</v>
      </c>
    </row>
    <row r="1244">
      <c r="A1244" s="10" t="s">
        <v>1173</v>
      </c>
      <c r="B1244" s="11">
        <v>300.0</v>
      </c>
      <c r="C1244" s="12" t="s">
        <v>627</v>
      </c>
      <c r="E1244" s="8" t="str">
        <f>IFERROR(__xludf.DUMMYFUNCTION("SPLIT(A1244,""TX"")"),"Schenkel, Pete
614 N Bishop
Dallas, ")</f>
        <v>Schenkel, Pete
614 N Bishop
Dallas, </v>
      </c>
      <c r="F1244" s="8">
        <f>IFERROR(__xludf.DUMMYFUNCTION("""COMPUTED_VALUE"""),75206.0)</f>
        <v>75206</v>
      </c>
      <c r="I1244" s="8">
        <f t="shared" si="16"/>
        <v>75206</v>
      </c>
      <c r="J1244" s="9">
        <f>IFERROR(__xludf.DUMMYFUNCTION("SPLIT(I1244,""-"")"),75206.0)</f>
        <v>75206</v>
      </c>
    </row>
    <row r="1245">
      <c r="A1245" s="5" t="s">
        <v>1175</v>
      </c>
      <c r="B1245" s="6">
        <v>1000.0</v>
      </c>
      <c r="C1245" s="7" t="s">
        <v>634</v>
      </c>
      <c r="E1245" s="8" t="str">
        <f>IFERROR(__xludf.DUMMYFUNCTION("SPLIT(A1245,""TX"")"),"Aaron, Carol
9707 Meadowbrook Drive
Dallas, ")</f>
        <v>Aaron, Carol
9707 Meadowbrook Drive
Dallas, </v>
      </c>
      <c r="F1245" s="8">
        <f>IFERROR(__xludf.DUMMYFUNCTION("""COMPUTED_VALUE"""),75220.0)</f>
        <v>75220</v>
      </c>
      <c r="I1245" s="8">
        <f t="shared" si="16"/>
        <v>75220</v>
      </c>
      <c r="J1245" s="9">
        <f>IFERROR(__xludf.DUMMYFUNCTION("SPLIT(I1245,""-"")"),75220.0)</f>
        <v>75220</v>
      </c>
    </row>
    <row r="1246">
      <c r="A1246" s="5" t="s">
        <v>1176</v>
      </c>
      <c r="B1246" s="6">
        <v>500.0</v>
      </c>
      <c r="C1246" s="7" t="s">
        <v>634</v>
      </c>
      <c r="E1246" s="8" t="str">
        <f>IFERROR(__xludf.DUMMYFUNCTION("SPLIT(A1246,""TX"")"),"Abrams, Warren
11524 Saint Michaels Drive
Dallas, ")</f>
        <v>Abrams, Warren
11524 Saint Michaels Drive
Dallas, </v>
      </c>
      <c r="F1246" s="8">
        <f>IFERROR(__xludf.DUMMYFUNCTION("""COMPUTED_VALUE"""),75230.0)</f>
        <v>75230</v>
      </c>
      <c r="I1246" s="8">
        <f t="shared" si="16"/>
        <v>75230</v>
      </c>
      <c r="J1246" s="9">
        <f>IFERROR(__xludf.DUMMYFUNCTION("SPLIT(I1246,""-"")"),75230.0)</f>
        <v>75230</v>
      </c>
    </row>
    <row r="1247">
      <c r="A1247" s="5" t="s">
        <v>1177</v>
      </c>
      <c r="B1247" s="6">
        <v>100.0</v>
      </c>
      <c r="C1247" s="7" t="s">
        <v>634</v>
      </c>
      <c r="E1247" s="8" t="str">
        <f>IFERROR(__xludf.DUMMYFUNCTION("SPLIT(A1247,""TX"")"),"Anderson, Barbara
14028 Brookcrest Dr
Dallas, ")</f>
        <v>Anderson, Barbara
14028 Brookcrest Dr
Dallas, </v>
      </c>
      <c r="F1247" s="8">
        <f>IFERROR(__xludf.DUMMYFUNCTION("""COMPUTED_VALUE"""),75240.0)</f>
        <v>75240</v>
      </c>
      <c r="I1247" s="8">
        <f t="shared" si="16"/>
        <v>75240</v>
      </c>
      <c r="J1247" s="9">
        <f>IFERROR(__xludf.DUMMYFUNCTION("SPLIT(I1247,""-"")"),75240.0)</f>
        <v>75240</v>
      </c>
    </row>
    <row r="1248">
      <c r="A1248" s="5" t="s">
        <v>1178</v>
      </c>
      <c r="B1248" s="6">
        <v>100.0</v>
      </c>
      <c r="C1248" s="7" t="s">
        <v>634</v>
      </c>
      <c r="E1248" s="8" t="str">
        <f>IFERROR(__xludf.DUMMYFUNCTION("SPLIT(A1248,""TX"")"),"Anderson, Eric
2555 North Pearl Street
Dallas, ")</f>
        <v>Anderson, Eric
2555 North Pearl Street
Dallas, </v>
      </c>
      <c r="F1248" s="8">
        <f>IFERROR(__xludf.DUMMYFUNCTION("""COMPUTED_VALUE"""),75201.0)</f>
        <v>75201</v>
      </c>
      <c r="I1248" s="8">
        <f t="shared" si="16"/>
        <v>75201</v>
      </c>
      <c r="J1248" s="9">
        <f>IFERROR(__xludf.DUMMYFUNCTION("SPLIT(I1248,""-"")"),75201.0)</f>
        <v>75201</v>
      </c>
    </row>
    <row r="1249">
      <c r="A1249" s="5" t="s">
        <v>1179</v>
      </c>
      <c r="B1249" s="6">
        <v>1000.0</v>
      </c>
      <c r="C1249" s="7" t="s">
        <v>634</v>
      </c>
      <c r="E1249" s="8" t="str">
        <f>IFERROR(__xludf.DUMMYFUNCTION("SPLIT(A1249,""TX"")"),"Andres, Debbie
7120 South Janmar Drive
Dallas, ")</f>
        <v>Andres, Debbie
7120 South Janmar Drive
Dallas, </v>
      </c>
      <c r="F1249" s="8">
        <f>IFERROR(__xludf.DUMMYFUNCTION("""COMPUTED_VALUE"""),75230.0)</f>
        <v>75230</v>
      </c>
      <c r="I1249" s="8">
        <f t="shared" si="16"/>
        <v>75230</v>
      </c>
      <c r="J1249" s="9">
        <f>IFERROR(__xludf.DUMMYFUNCTION("SPLIT(I1249,""-"")"),75230.0)</f>
        <v>75230</v>
      </c>
    </row>
    <row r="1250">
      <c r="A1250" s="5" t="s">
        <v>1180</v>
      </c>
      <c r="B1250" s="6">
        <v>50.0</v>
      </c>
      <c r="C1250" s="7" t="s">
        <v>634</v>
      </c>
      <c r="E1250" s="8" t="str">
        <f>IFERROR(__xludf.DUMMYFUNCTION("SPLIT(A1250,""TX"")"),"Bach, Matthew
15746 Covewood Cir
Dallas, ")</f>
        <v>Bach, Matthew
15746 Covewood Cir
Dallas, </v>
      </c>
      <c r="F1250" s="8">
        <f>IFERROR(__xludf.DUMMYFUNCTION("""COMPUTED_VALUE"""),75248.0)</f>
        <v>75248</v>
      </c>
      <c r="I1250" s="8">
        <f t="shared" si="16"/>
        <v>75248</v>
      </c>
      <c r="J1250" s="9">
        <f>IFERROR(__xludf.DUMMYFUNCTION("SPLIT(I1250,""-"")"),75248.0)</f>
        <v>75248</v>
      </c>
    </row>
    <row r="1251">
      <c r="A1251" s="5" t="s">
        <v>1181</v>
      </c>
      <c r="B1251" s="6">
        <v>50.0</v>
      </c>
      <c r="C1251" s="7" t="s">
        <v>634</v>
      </c>
      <c r="E1251" s="8" t="str">
        <f>IFERROR(__xludf.DUMMYFUNCTION("SPLIT(A1251,""TX"")"),"Bagley, Ann
8139 Barbaree Boulevard
Dallas, ")</f>
        <v>Bagley, Ann
8139 Barbaree Boulevard
Dallas, </v>
      </c>
      <c r="F1251" s="8">
        <f>IFERROR(__xludf.DUMMYFUNCTION("""COMPUTED_VALUE"""),75228.0)</f>
        <v>75228</v>
      </c>
      <c r="I1251" s="8">
        <f t="shared" si="16"/>
        <v>75228</v>
      </c>
      <c r="J1251" s="9">
        <f>IFERROR(__xludf.DUMMYFUNCTION("SPLIT(I1251,""-"")"),75228.0)</f>
        <v>75228</v>
      </c>
    </row>
    <row r="1252">
      <c r="A1252" s="5" t="s">
        <v>1182</v>
      </c>
      <c r="B1252" s="6">
        <v>500.0</v>
      </c>
      <c r="C1252" s="7" t="s">
        <v>634</v>
      </c>
      <c r="E1252" s="8" t="str">
        <f>IFERROR(__xludf.DUMMYFUNCTION("SPLIT(A1252,""TX"")"),"Baird, Jerry
6918 Lloyd Valley Ln
Dallas, ")</f>
        <v>Baird, Jerry
6918 Lloyd Valley Ln
Dallas, </v>
      </c>
      <c r="F1252" s="8">
        <f>IFERROR(__xludf.DUMMYFUNCTION("""COMPUTED_VALUE"""),75230.0)</f>
        <v>75230</v>
      </c>
      <c r="I1252" s="8">
        <f t="shared" si="16"/>
        <v>75230</v>
      </c>
      <c r="J1252" s="9">
        <f>IFERROR(__xludf.DUMMYFUNCTION("SPLIT(I1252,""-"")"),75230.0)</f>
        <v>75230</v>
      </c>
    </row>
    <row r="1253">
      <c r="A1253" s="5" t="s">
        <v>1183</v>
      </c>
      <c r="B1253" s="6">
        <v>50.0</v>
      </c>
      <c r="C1253" s="7" t="s">
        <v>634</v>
      </c>
      <c r="E1253" s="8" t="str">
        <f>IFERROR(__xludf.DUMMYFUNCTION("SPLIT(A1253,""TX"")"),"Beckerman, Neil
7001 Lake Edge Drive
Dallas, ")</f>
        <v>Beckerman, Neil
7001 Lake Edge Drive
Dallas, </v>
      </c>
      <c r="F1253" s="8">
        <f>IFERROR(__xludf.DUMMYFUNCTION("""COMPUTED_VALUE"""),75230.0)</f>
        <v>75230</v>
      </c>
      <c r="I1253" s="8">
        <f t="shared" si="16"/>
        <v>75230</v>
      </c>
      <c r="J1253" s="9">
        <f>IFERROR(__xludf.DUMMYFUNCTION("SPLIT(I1253,""-"")"),75230.0)</f>
        <v>75230</v>
      </c>
    </row>
    <row r="1254">
      <c r="A1254" s="5" t="s">
        <v>1184</v>
      </c>
      <c r="B1254" s="6">
        <v>250.0</v>
      </c>
      <c r="C1254" s="7" t="s">
        <v>634</v>
      </c>
      <c r="E1254" s="8" t="str">
        <f>IFERROR(__xludf.DUMMYFUNCTION("SPLIT(A1254,""TX"")"),"Bell, Jay
14119 Regency Place
Dallas, ")</f>
        <v>Bell, Jay
14119 Regency Place
Dallas, </v>
      </c>
      <c r="F1254" s="8">
        <f>IFERROR(__xludf.DUMMYFUNCTION("""COMPUTED_VALUE"""),75254.0)</f>
        <v>75254</v>
      </c>
      <c r="I1254" s="8">
        <f t="shared" si="16"/>
        <v>75254</v>
      </c>
      <c r="J1254" s="9">
        <f>IFERROR(__xludf.DUMMYFUNCTION("SPLIT(I1254,""-"")"),75254.0)</f>
        <v>75254</v>
      </c>
    </row>
    <row r="1255">
      <c r="A1255" s="5" t="s">
        <v>1185</v>
      </c>
      <c r="B1255" s="6">
        <v>1000.0</v>
      </c>
      <c r="C1255" s="7" t="s">
        <v>634</v>
      </c>
      <c r="E1255" s="8" t="str">
        <f>IFERROR(__xludf.DUMMYFUNCTION("SPLIT(A1255,""TX"")"),"Belofsky, Joyce
6487 Cliffbrook Drive
Dallas, ")</f>
        <v>Belofsky, Joyce
6487 Cliffbrook Drive
Dallas, </v>
      </c>
      <c r="F1255" s="8">
        <f>IFERROR(__xludf.DUMMYFUNCTION("""COMPUTED_VALUE"""),75254.0)</f>
        <v>75254</v>
      </c>
      <c r="I1255" s="8">
        <f t="shared" si="16"/>
        <v>75254</v>
      </c>
      <c r="J1255" s="9">
        <f>IFERROR(__xludf.DUMMYFUNCTION("SPLIT(I1255,""-"")"),75254.0)</f>
        <v>75254</v>
      </c>
    </row>
    <row r="1256">
      <c r="A1256" s="5" t="s">
        <v>1186</v>
      </c>
      <c r="B1256" s="6">
        <v>50.0</v>
      </c>
      <c r="C1256" s="7" t="s">
        <v>634</v>
      </c>
      <c r="E1256" s="8" t="str">
        <f>IFERROR(__xludf.DUMMYFUNCTION("SPLIT(A1256,""TX"")"),"Benanti, Megan
7507 Yamini Dr
Dallas, ")</f>
        <v>Benanti, Megan
7507 Yamini Dr
Dallas, </v>
      </c>
      <c r="F1256" s="8">
        <f>IFERROR(__xludf.DUMMYFUNCTION("""COMPUTED_VALUE"""),75230.0)</f>
        <v>75230</v>
      </c>
      <c r="I1256" s="8">
        <f t="shared" si="16"/>
        <v>75230</v>
      </c>
      <c r="J1256" s="9">
        <f>IFERROR(__xludf.DUMMYFUNCTION("SPLIT(I1256,""-"")"),75230.0)</f>
        <v>75230</v>
      </c>
    </row>
    <row r="1257">
      <c r="A1257" s="5" t="s">
        <v>1187</v>
      </c>
      <c r="B1257" s="6">
        <v>100.0</v>
      </c>
      <c r="C1257" s="7" t="s">
        <v>634</v>
      </c>
      <c r="E1257" s="8" t="str">
        <f>IFERROR(__xludf.DUMMYFUNCTION("SPLIT(A1257,""TX"")"),"BERWALD, AR")</f>
        <v>BERWALD, AR</v>
      </c>
      <c r="F1257" s="8" t="str">
        <f>IFERROR(__xludf.DUMMYFUNCTION("""COMPUTED_VALUE"""),"HUR
6251 ")</f>
        <v>HUR
6251 </v>
      </c>
      <c r="G1257" s="8" t="str">
        <f>IFERROR(__xludf.DUMMYFUNCTION("""COMPUTED_VALUE"""),"win Oaks Circle
Dallas, ")</f>
        <v>win Oaks Circle
Dallas, </v>
      </c>
      <c r="H1257" s="8">
        <f>IFERROR(__xludf.DUMMYFUNCTION("""COMPUTED_VALUE"""),75240.0)</f>
        <v>75240</v>
      </c>
      <c r="I1257" s="13">
        <v>75240.0</v>
      </c>
      <c r="J1257" s="9">
        <f>IFERROR(__xludf.DUMMYFUNCTION("SPLIT(I1257,""-"")"),75240.0)</f>
        <v>75240</v>
      </c>
    </row>
    <row r="1258">
      <c r="A1258" s="5" t="s">
        <v>1188</v>
      </c>
      <c r="B1258" s="6">
        <v>1000.0</v>
      </c>
      <c r="C1258" s="7" t="s">
        <v>634</v>
      </c>
      <c r="E1258" s="8" t="str">
        <f>IFERROR(__xludf.DUMMYFUNCTION("SPLIT(A1258,""TX"")"),"Billingsley, Henry
1722 Routh Street
Dallas, ")</f>
        <v>Billingsley, Henry
1722 Routh Street
Dallas, </v>
      </c>
      <c r="F1258" s="8">
        <f>IFERROR(__xludf.DUMMYFUNCTION("""COMPUTED_VALUE"""),75201.0)</f>
        <v>75201</v>
      </c>
      <c r="I1258" s="8">
        <f t="shared" ref="I1258:I1514" si="17">IF(ISBLANK(G1258),F1258,G1258)</f>
        <v>75201</v>
      </c>
      <c r="J1258" s="9">
        <f>IFERROR(__xludf.DUMMYFUNCTION("SPLIT(I1258,""-"")"),75201.0)</f>
        <v>75201</v>
      </c>
    </row>
    <row r="1259">
      <c r="A1259" s="5" t="s">
        <v>1189</v>
      </c>
      <c r="B1259" s="6">
        <v>1000.0</v>
      </c>
      <c r="C1259" s="7" t="s">
        <v>634</v>
      </c>
      <c r="E1259" s="8" t="str">
        <f>IFERROR(__xludf.DUMMYFUNCTION("SPLIT(A1259,""TX"")"),"Blasnik, Steven
12016 Arbargee Circle
Dallas, ")</f>
        <v>Blasnik, Steven
12016 Arbargee Circle
Dallas, </v>
      </c>
      <c r="F1259" s="8">
        <f>IFERROR(__xludf.DUMMYFUNCTION("""COMPUTED_VALUE"""),75230.0)</f>
        <v>75230</v>
      </c>
      <c r="I1259" s="8">
        <f t="shared" si="17"/>
        <v>75230</v>
      </c>
      <c r="J1259" s="9">
        <f>IFERROR(__xludf.DUMMYFUNCTION("SPLIT(I1259,""-"")"),75230.0)</f>
        <v>75230</v>
      </c>
    </row>
    <row r="1260">
      <c r="A1260" s="5" t="s">
        <v>1190</v>
      </c>
      <c r="B1260" s="6">
        <v>1000.0</v>
      </c>
      <c r="C1260" s="7" t="s">
        <v>634</v>
      </c>
      <c r="E1260" s="8" t="str">
        <f>IFERROR(__xludf.DUMMYFUNCTION("SPLIT(A1260,""TX"")"),"Block, David
605 West 47th Street
Kansas City, MO 64112")</f>
        <v>Block, David
605 West 47th Street
Kansas City, MO 64112</v>
      </c>
      <c r="I1260" s="8" t="str">
        <f t="shared" si="17"/>
        <v/>
      </c>
      <c r="J1260" s="9" t="str">
        <f>IFERROR(__xludf.DUMMYFUNCTION("SPLIT(I1260,""-"")"),"#VALUE!")</f>
        <v>#VALUE!</v>
      </c>
    </row>
    <row r="1261">
      <c r="A1261" s="5" t="s">
        <v>1191</v>
      </c>
      <c r="B1261" s="6">
        <v>100.0</v>
      </c>
      <c r="C1261" s="7" t="s">
        <v>634</v>
      </c>
      <c r="E1261" s="8" t="str">
        <f>IFERROR(__xludf.DUMMYFUNCTION("SPLIT(A1261,""TX"")"),"Blum, Jenifer
5818 Portsmouth Lane
Dallas, ")</f>
        <v>Blum, Jenifer
5818 Portsmouth Lane
Dallas, </v>
      </c>
      <c r="F1261" s="8">
        <f>IFERROR(__xludf.DUMMYFUNCTION("""COMPUTED_VALUE"""),75252.0)</f>
        <v>75252</v>
      </c>
      <c r="I1261" s="8">
        <f t="shared" si="17"/>
        <v>75252</v>
      </c>
      <c r="J1261" s="9">
        <f>IFERROR(__xludf.DUMMYFUNCTION("SPLIT(I1261,""-"")"),75252.0)</f>
        <v>75252</v>
      </c>
    </row>
    <row r="1262">
      <c r="A1262" s="5" t="s">
        <v>1192</v>
      </c>
      <c r="B1262" s="6">
        <v>100.0</v>
      </c>
      <c r="C1262" s="7" t="s">
        <v>634</v>
      </c>
      <c r="E1262" s="8" t="str">
        <f>IFERROR(__xludf.DUMMYFUNCTION("SPLIT(A1262,""TX"")"),"Blum, Gary
PO Box 150154
Dallas, ")</f>
        <v>Blum, Gary
PO Box 150154
Dallas, </v>
      </c>
      <c r="F1262" s="8">
        <f>IFERROR(__xludf.DUMMYFUNCTION("""COMPUTED_VALUE"""),75315.0)</f>
        <v>75315</v>
      </c>
      <c r="I1262" s="8">
        <f t="shared" si="17"/>
        <v>75315</v>
      </c>
      <c r="J1262" s="9">
        <f>IFERROR(__xludf.DUMMYFUNCTION("SPLIT(I1262,""-"")"),75315.0)</f>
        <v>75315</v>
      </c>
    </row>
    <row r="1263">
      <c r="A1263" s="5" t="s">
        <v>1193</v>
      </c>
      <c r="B1263" s="6">
        <v>100.0</v>
      </c>
      <c r="C1263" s="7" t="s">
        <v>634</v>
      </c>
      <c r="E1263" s="8" t="str">
        <f>IFERROR(__xludf.DUMMYFUNCTION("SPLIT(A1263,""TX"")"),"Boa, Carol
7018 Briar Cove Drive
Dallas, ")</f>
        <v>Boa, Carol
7018 Briar Cove Drive
Dallas, </v>
      </c>
      <c r="F1263" s="8">
        <f>IFERROR(__xludf.DUMMYFUNCTION("""COMPUTED_VALUE"""),75254.0)</f>
        <v>75254</v>
      </c>
      <c r="I1263" s="8">
        <f t="shared" si="17"/>
        <v>75254</v>
      </c>
      <c r="J1263" s="9">
        <f>IFERROR(__xludf.DUMMYFUNCTION("SPLIT(I1263,""-"")"),75254.0)</f>
        <v>75254</v>
      </c>
    </row>
    <row r="1264">
      <c r="A1264" s="5" t="s">
        <v>1194</v>
      </c>
      <c r="B1264" s="6">
        <v>250.0</v>
      </c>
      <c r="C1264" s="7" t="s">
        <v>634</v>
      </c>
      <c r="E1264" s="8" t="str">
        <f>IFERROR(__xludf.DUMMYFUNCTION("SPLIT(A1264,""TX"")"),"Whitman Bobbitt, Jeanne
4500 Roland Avenue
Dallas, ")</f>
        <v>Whitman Bobbitt, Jeanne
4500 Roland Avenue
Dallas, </v>
      </c>
      <c r="F1264" s="8">
        <f>IFERROR(__xludf.DUMMYFUNCTION("""COMPUTED_VALUE"""),75219.0)</f>
        <v>75219</v>
      </c>
      <c r="I1264" s="8">
        <f t="shared" si="17"/>
        <v>75219</v>
      </c>
      <c r="J1264" s="9">
        <f>IFERROR(__xludf.DUMMYFUNCTION("SPLIT(I1264,""-"")"),75219.0)</f>
        <v>75219</v>
      </c>
    </row>
    <row r="1265">
      <c r="A1265" s="5" t="s">
        <v>1195</v>
      </c>
      <c r="B1265" s="6">
        <v>25.0</v>
      </c>
      <c r="C1265" s="7" t="s">
        <v>634</v>
      </c>
      <c r="E1265" s="8" t="str">
        <f>IFERROR(__xludf.DUMMYFUNCTION("SPLIT(A1265,""TX"")"),"Bolding, Brent
302 S ROSEMON")</f>
        <v>Bolding, Brent
302 S ROSEMON</v>
      </c>
      <c r="F1265" s="8" t="str">
        <f>IFERROR(__xludf.DUMMYFUNCTION("""COMPUTED_VALUE""")," AVE
Dallas, ")</f>
        <v> AVE
Dallas, </v>
      </c>
      <c r="G1265" s="8">
        <f>IFERROR(__xludf.DUMMYFUNCTION("""COMPUTED_VALUE"""),75208.0)</f>
        <v>75208</v>
      </c>
      <c r="I1265" s="8">
        <f t="shared" si="17"/>
        <v>75208</v>
      </c>
      <c r="J1265" s="9">
        <f>IFERROR(__xludf.DUMMYFUNCTION("SPLIT(I1265,""-"")"),75208.0)</f>
        <v>75208</v>
      </c>
    </row>
    <row r="1266">
      <c r="A1266" s="5" t="s">
        <v>1196</v>
      </c>
      <c r="B1266" s="6">
        <v>500.0</v>
      </c>
      <c r="C1266" s="7" t="s">
        <v>634</v>
      </c>
      <c r="E1266" s="8" t="str">
        <f>IFERROR(__xludf.DUMMYFUNCTION("SPLIT(A1266,""TX"")"),"Book, Robert
7191 Kendallwood Drive
Dallas, ")</f>
        <v>Book, Robert
7191 Kendallwood Drive
Dallas, </v>
      </c>
      <c r="F1266" s="8">
        <f>IFERROR(__xludf.DUMMYFUNCTION("""COMPUTED_VALUE"""),75240.0)</f>
        <v>75240</v>
      </c>
      <c r="I1266" s="8">
        <f t="shared" si="17"/>
        <v>75240</v>
      </c>
      <c r="J1266" s="9">
        <f>IFERROR(__xludf.DUMMYFUNCTION("SPLIT(I1266,""-"")"),75240.0)</f>
        <v>75240</v>
      </c>
    </row>
    <row r="1267">
      <c r="A1267" s="5" t="s">
        <v>1197</v>
      </c>
      <c r="B1267" s="6">
        <v>50.0</v>
      </c>
      <c r="C1267" s="7" t="s">
        <v>634</v>
      </c>
      <c r="E1267" s="8" t="str">
        <f>IFERROR(__xludf.DUMMYFUNCTION("SPLIT(A1267,""TX"")"),"Bowman, Susan
13358 Meadowside Drive
Dallas, ")</f>
        <v>Bowman, Susan
13358 Meadowside Drive
Dallas, </v>
      </c>
      <c r="F1267" s="8">
        <f>IFERROR(__xludf.DUMMYFUNCTION("""COMPUTED_VALUE"""),75240.0)</f>
        <v>75240</v>
      </c>
      <c r="I1267" s="8">
        <f t="shared" si="17"/>
        <v>75240</v>
      </c>
      <c r="J1267" s="9">
        <f>IFERROR(__xludf.DUMMYFUNCTION("SPLIT(I1267,""-"")"),75240.0)</f>
        <v>75240</v>
      </c>
    </row>
    <row r="1268">
      <c r="A1268" s="5" t="s">
        <v>1198</v>
      </c>
      <c r="B1268" s="6">
        <v>100.0</v>
      </c>
      <c r="C1268" s="7" t="s">
        <v>634</v>
      </c>
      <c r="E1268" s="8" t="str">
        <f>IFERROR(__xludf.DUMMYFUNCTION("SPLIT(A1268,""TX"")"),"Bradley, John
7273 Ashington Dr
Dallas, ")</f>
        <v>Bradley, John
7273 Ashington Dr
Dallas, </v>
      </c>
      <c r="F1268" s="8">
        <f>IFERROR(__xludf.DUMMYFUNCTION("""COMPUTED_VALUE"""),75225.0)</f>
        <v>75225</v>
      </c>
      <c r="I1268" s="8">
        <f t="shared" si="17"/>
        <v>75225</v>
      </c>
      <c r="J1268" s="9">
        <f>IFERROR(__xludf.DUMMYFUNCTION("SPLIT(I1268,""-"")"),75225.0)</f>
        <v>75225</v>
      </c>
    </row>
    <row r="1269">
      <c r="A1269" s="5" t="s">
        <v>1199</v>
      </c>
      <c r="B1269" s="6">
        <v>100.0</v>
      </c>
      <c r="C1269" s="7" t="s">
        <v>634</v>
      </c>
      <c r="E1269" s="8" t="str">
        <f>IFERROR(__xludf.DUMMYFUNCTION("SPLIT(A1269,""TX"")"),"Bradley, Jerome
7273 Ashington Drive
Dallas, ")</f>
        <v>Bradley, Jerome
7273 Ashington Drive
Dallas, </v>
      </c>
      <c r="F1269" s="8">
        <f>IFERROR(__xludf.DUMMYFUNCTION("""COMPUTED_VALUE"""),75225.0)</f>
        <v>75225</v>
      </c>
      <c r="I1269" s="8">
        <f t="shared" si="17"/>
        <v>75225</v>
      </c>
      <c r="J1269" s="9">
        <f>IFERROR(__xludf.DUMMYFUNCTION("SPLIT(I1269,""-"")"),75225.0)</f>
        <v>75225</v>
      </c>
    </row>
    <row r="1270">
      <c r="A1270" s="5" t="s">
        <v>1200</v>
      </c>
      <c r="B1270" s="6">
        <v>500.0</v>
      </c>
      <c r="C1270" s="7" t="s">
        <v>634</v>
      </c>
      <c r="E1270" s="8" t="str">
        <f>IFERROR(__xludf.DUMMYFUNCTION("SPLIT(A1270,""TX"")"),"Brodsky-Lyle, Lottye
34 Masland Circle
Dallas, ")</f>
        <v>Brodsky-Lyle, Lottye
34 Masland Circle
Dallas, </v>
      </c>
      <c r="F1270" s="8">
        <f>IFERROR(__xludf.DUMMYFUNCTION("""COMPUTED_VALUE"""),75230.0)</f>
        <v>75230</v>
      </c>
      <c r="I1270" s="8">
        <f t="shared" si="17"/>
        <v>75230</v>
      </c>
      <c r="J1270" s="9">
        <f>IFERROR(__xludf.DUMMYFUNCTION("SPLIT(I1270,""-"")"),75230.0)</f>
        <v>75230</v>
      </c>
    </row>
    <row r="1271">
      <c r="A1271" s="5" t="s">
        <v>1200</v>
      </c>
      <c r="B1271" s="6">
        <v>500.0</v>
      </c>
      <c r="C1271" s="7" t="s">
        <v>634</v>
      </c>
      <c r="E1271" s="8" t="str">
        <f>IFERROR(__xludf.DUMMYFUNCTION("SPLIT(A1271,""TX"")"),"Brodsky-Lyle, Lottye
34 Masland Circle
Dallas, ")</f>
        <v>Brodsky-Lyle, Lottye
34 Masland Circle
Dallas, </v>
      </c>
      <c r="F1271" s="8">
        <f>IFERROR(__xludf.DUMMYFUNCTION("""COMPUTED_VALUE"""),75230.0)</f>
        <v>75230</v>
      </c>
      <c r="I1271" s="8">
        <f t="shared" si="17"/>
        <v>75230</v>
      </c>
      <c r="J1271" s="9">
        <f>IFERROR(__xludf.DUMMYFUNCTION("SPLIT(I1271,""-"")"),75230.0)</f>
        <v>75230</v>
      </c>
    </row>
    <row r="1272">
      <c r="A1272" s="5" t="s">
        <v>1201</v>
      </c>
      <c r="B1272" s="6">
        <v>200.0</v>
      </c>
      <c r="C1272" s="7" t="s">
        <v>634</v>
      </c>
      <c r="E1272" s="8" t="str">
        <f>IFERROR(__xludf.DUMMYFUNCTION("SPLIT(A1272,""TX"")"),"Brook, Cathy
16226 RED CEDAR ")</f>
        <v>Brook, Cathy
16226 RED CEDAR </v>
      </c>
      <c r="F1272" s="8" t="str">
        <f>IFERROR(__xludf.DUMMYFUNCTION("""COMPUTED_VALUE"""),"RL
Dallas, ")</f>
        <v>RL
Dallas, </v>
      </c>
      <c r="G1272" s="8">
        <f>IFERROR(__xludf.DUMMYFUNCTION("""COMPUTED_VALUE"""),75248.0)</f>
        <v>75248</v>
      </c>
      <c r="I1272" s="8">
        <f t="shared" si="17"/>
        <v>75248</v>
      </c>
      <c r="J1272" s="9">
        <f>IFERROR(__xludf.DUMMYFUNCTION("SPLIT(I1272,""-"")"),75248.0)</f>
        <v>75248</v>
      </c>
    </row>
    <row r="1273">
      <c r="A1273" s="5" t="s">
        <v>1202</v>
      </c>
      <c r="B1273" s="6">
        <v>1000.0</v>
      </c>
      <c r="C1273" s="7" t="s">
        <v>634</v>
      </c>
      <c r="E1273" s="8" t="str">
        <f>IFERROR(__xludf.DUMMYFUNCTION("SPLIT(A1273,""TX"")"),"Brosseau, John
11333 Chicot Drive
Dallas, ")</f>
        <v>Brosseau, John
11333 Chicot Drive
Dallas, </v>
      </c>
      <c r="F1273" s="8">
        <f>IFERROR(__xludf.DUMMYFUNCTION("""COMPUTED_VALUE"""),75230.0)</f>
        <v>75230</v>
      </c>
      <c r="I1273" s="8">
        <f t="shared" si="17"/>
        <v>75230</v>
      </c>
      <c r="J1273" s="9">
        <f>IFERROR(__xludf.DUMMYFUNCTION("SPLIT(I1273,""-"")"),75230.0)</f>
        <v>75230</v>
      </c>
    </row>
    <row r="1274">
      <c r="A1274" s="5" t="s">
        <v>1203</v>
      </c>
      <c r="B1274" s="6">
        <v>250.0</v>
      </c>
      <c r="C1274" s="7" t="s">
        <v>634</v>
      </c>
      <c r="E1274" s="8" t="str">
        <f>IFERROR(__xludf.DUMMYFUNCTION("SPLIT(A1274,""TX"")"),"Cannon, Joe
1200 Main Street
Dallas, ")</f>
        <v>Cannon, Joe
1200 Main Street
Dallas, </v>
      </c>
      <c r="F1274" s="8">
        <f>IFERROR(__xludf.DUMMYFUNCTION("""COMPUTED_VALUE"""),75202.0)</f>
        <v>75202</v>
      </c>
      <c r="I1274" s="8">
        <f t="shared" si="17"/>
        <v>75202</v>
      </c>
      <c r="J1274" s="9">
        <f>IFERROR(__xludf.DUMMYFUNCTION("SPLIT(I1274,""-"")"),75202.0)</f>
        <v>75202</v>
      </c>
    </row>
    <row r="1275">
      <c r="A1275" s="5" t="s">
        <v>1204</v>
      </c>
      <c r="B1275" s="6">
        <v>100.0</v>
      </c>
      <c r="C1275" s="7" t="s">
        <v>634</v>
      </c>
      <c r="E1275" s="8" t="str">
        <f>IFERROR(__xludf.DUMMYFUNCTION("SPLIT(A1275,""TX"")"),"Carroll, Mary
6519 Spring Valley Road
Dallas, ")</f>
        <v>Carroll, Mary
6519 Spring Valley Road
Dallas, </v>
      </c>
      <c r="F1275" s="8">
        <f>IFERROR(__xludf.DUMMYFUNCTION("""COMPUTED_VALUE"""),75254.0)</f>
        <v>75254</v>
      </c>
      <c r="I1275" s="8">
        <f t="shared" si="17"/>
        <v>75254</v>
      </c>
      <c r="J1275" s="9">
        <f>IFERROR(__xludf.DUMMYFUNCTION("SPLIT(I1275,""-"")"),75254.0)</f>
        <v>75254</v>
      </c>
    </row>
    <row r="1276">
      <c r="A1276" s="5" t="s">
        <v>1205</v>
      </c>
      <c r="B1276" s="6">
        <v>50.0</v>
      </c>
      <c r="C1276" s="7" t="s">
        <v>634</v>
      </c>
      <c r="E1276" s="8" t="str">
        <f>IFERROR(__xludf.DUMMYFUNCTION("SPLIT(A1276,""TX"")"),"Carter, LD
7059 Spring Valley Road
Dallas, ")</f>
        <v>Carter, LD
7059 Spring Valley Road
Dallas, </v>
      </c>
      <c r="F1276" s="8">
        <f>IFERROR(__xludf.DUMMYFUNCTION("""COMPUTED_VALUE"""),75254.0)</f>
        <v>75254</v>
      </c>
      <c r="I1276" s="8">
        <f t="shared" si="17"/>
        <v>75254</v>
      </c>
      <c r="J1276" s="9">
        <f>IFERROR(__xludf.DUMMYFUNCTION("SPLIT(I1276,""-"")"),75254.0)</f>
        <v>75254</v>
      </c>
    </row>
    <row r="1277">
      <c r="A1277" s="5" t="s">
        <v>1206</v>
      </c>
      <c r="B1277" s="6">
        <v>500.0</v>
      </c>
      <c r="C1277" s="7" t="s">
        <v>634</v>
      </c>
      <c r="E1277" s="8" t="str">
        <f>IFERROR(__xludf.DUMMYFUNCTION("SPLIT(A1277,""TX"")"),"Cedars, Susan
12135 Madeleine Circle
Dallas, ")</f>
        <v>Cedars, Susan
12135 Madeleine Circle
Dallas, </v>
      </c>
      <c r="F1277" s="8">
        <f>IFERROR(__xludf.DUMMYFUNCTION("""COMPUTED_VALUE"""),75230.0)</f>
        <v>75230</v>
      </c>
      <c r="I1277" s="8">
        <f t="shared" si="17"/>
        <v>75230</v>
      </c>
      <c r="J1277" s="9">
        <f>IFERROR(__xludf.DUMMYFUNCTION("SPLIT(I1277,""-"")"),75230.0)</f>
        <v>75230</v>
      </c>
    </row>
    <row r="1278">
      <c r="A1278" s="5" t="s">
        <v>1207</v>
      </c>
      <c r="B1278" s="6">
        <v>1000.0</v>
      </c>
      <c r="C1278" s="7" t="s">
        <v>634</v>
      </c>
      <c r="E1278" s="8" t="str">
        <f>IFERROR(__xludf.DUMMYFUNCTION("SPLIT(A1278,""TX"")"),"Chapman, Jeff
4851 Harrys Lane
Dallas, ")</f>
        <v>Chapman, Jeff
4851 Harrys Lane
Dallas, </v>
      </c>
      <c r="F1278" s="8">
        <f>IFERROR(__xludf.DUMMYFUNCTION("""COMPUTED_VALUE"""),75229.0)</f>
        <v>75229</v>
      </c>
      <c r="I1278" s="8">
        <f t="shared" si="17"/>
        <v>75229</v>
      </c>
      <c r="J1278" s="9">
        <f>IFERROR(__xludf.DUMMYFUNCTION("SPLIT(I1278,""-"")"),75229.0)</f>
        <v>75229</v>
      </c>
    </row>
    <row r="1279">
      <c r="A1279" s="5" t="s">
        <v>1208</v>
      </c>
      <c r="B1279" s="6">
        <v>100.0</v>
      </c>
      <c r="C1279" s="7" t="s">
        <v>634</v>
      </c>
      <c r="E1279" s="8" t="str">
        <f>IFERROR(__xludf.DUMMYFUNCTION("SPLIT(A1279,""TX"")"),"chase, scott
1700 Pacific Avenue
Dallas, ")</f>
        <v>chase, scott
1700 Pacific Avenue
Dallas, </v>
      </c>
      <c r="F1279" s="8">
        <f>IFERROR(__xludf.DUMMYFUNCTION("""COMPUTED_VALUE"""),75201.0)</f>
        <v>75201</v>
      </c>
      <c r="I1279" s="8">
        <f t="shared" si="17"/>
        <v>75201</v>
      </c>
      <c r="J1279" s="9">
        <f>IFERROR(__xludf.DUMMYFUNCTION("SPLIT(I1279,""-"")"),75201.0)</f>
        <v>75201</v>
      </c>
    </row>
    <row r="1280">
      <c r="A1280" s="5" t="s">
        <v>1209</v>
      </c>
      <c r="B1280" s="6">
        <v>25.0</v>
      </c>
      <c r="C1280" s="7" t="s">
        <v>634</v>
      </c>
      <c r="E1280" s="8" t="str">
        <f>IFERROR(__xludf.DUMMYFUNCTION("SPLIT(A1280,""TX"")"),"Chizeck, Susan
7617 Meadowhaven Dr
Dallas, ")</f>
        <v>Chizeck, Susan
7617 Meadowhaven Dr
Dallas, </v>
      </c>
      <c r="F1280" s="8">
        <f>IFERROR(__xludf.DUMMYFUNCTION("""COMPUTED_VALUE"""),75254.0)</f>
        <v>75254</v>
      </c>
      <c r="I1280" s="8">
        <f t="shared" si="17"/>
        <v>75254</v>
      </c>
      <c r="J1280" s="9">
        <f>IFERROR(__xludf.DUMMYFUNCTION("SPLIT(I1280,""-"")"),75254.0)</f>
        <v>75254</v>
      </c>
    </row>
    <row r="1281">
      <c r="A1281" s="5" t="s">
        <v>1210</v>
      </c>
      <c r="B1281" s="6">
        <v>500.0</v>
      </c>
      <c r="C1281" s="7" t="s">
        <v>634</v>
      </c>
      <c r="E1281" s="8" t="str">
        <f>IFERROR(__xludf.DUMMYFUNCTION("SPLIT(A1281,""TX"")"),"Coats, Judy
26 Ryddington Place
Dallas, ")</f>
        <v>Coats, Judy
26 Ryddington Place
Dallas, </v>
      </c>
      <c r="F1281" s="8">
        <f>IFERROR(__xludf.DUMMYFUNCTION("""COMPUTED_VALUE"""),75230.0)</f>
        <v>75230</v>
      </c>
      <c r="I1281" s="8">
        <f t="shared" si="17"/>
        <v>75230</v>
      </c>
      <c r="J1281" s="9">
        <f>IFERROR(__xludf.DUMMYFUNCTION("SPLIT(I1281,""-"")"),75230.0)</f>
        <v>75230</v>
      </c>
    </row>
    <row r="1282">
      <c r="A1282" s="5" t="s">
        <v>1211</v>
      </c>
      <c r="B1282" s="6">
        <v>100.0</v>
      </c>
      <c r="C1282" s="7" t="s">
        <v>634</v>
      </c>
      <c r="E1282" s="8" t="str">
        <f>IFERROR(__xludf.DUMMYFUNCTION("SPLIT(A1282,""TX"")"),"Cohen, Mindy
7220 Mason Dells Drive
Dallas, ")</f>
        <v>Cohen, Mindy
7220 Mason Dells Drive
Dallas, </v>
      </c>
      <c r="F1282" s="8">
        <f>IFERROR(__xludf.DUMMYFUNCTION("""COMPUTED_VALUE"""),75230.0)</f>
        <v>75230</v>
      </c>
      <c r="I1282" s="8">
        <f t="shared" si="17"/>
        <v>75230</v>
      </c>
      <c r="J1282" s="9">
        <f>IFERROR(__xludf.DUMMYFUNCTION("SPLIT(I1282,""-"")"),75230.0)</f>
        <v>75230</v>
      </c>
    </row>
    <row r="1283">
      <c r="A1283" s="5" t="s">
        <v>1212</v>
      </c>
      <c r="B1283" s="6">
        <v>100.0</v>
      </c>
      <c r="C1283" s="7" t="s">
        <v>634</v>
      </c>
      <c r="E1283" s="8" t="str">
        <f>IFERROR(__xludf.DUMMYFUNCTION("SPLIT(A1283,""TX"")"),"Cohen, Howard
1200 MEDICAL AVE S")</f>
        <v>Cohen, Howard
1200 MEDICAL AVE S</v>
      </c>
      <c r="F1283" s="8" t="str">
        <f>IFERROR(__xludf.DUMMYFUNCTION("""COMPUTED_VALUE"""),"E
PLANO, ")</f>
        <v>E
PLANO, </v>
      </c>
      <c r="G1283" s="8">
        <f>IFERROR(__xludf.DUMMYFUNCTION("""COMPUTED_VALUE"""),75075.0)</f>
        <v>75075</v>
      </c>
      <c r="I1283" s="8">
        <f t="shared" si="17"/>
        <v>75075</v>
      </c>
      <c r="J1283" s="9">
        <f>IFERROR(__xludf.DUMMYFUNCTION("SPLIT(I1283,""-"")"),75075.0)</f>
        <v>75075</v>
      </c>
    </row>
    <row r="1284">
      <c r="A1284" s="5" t="s">
        <v>1213</v>
      </c>
      <c r="B1284" s="6">
        <v>500.0</v>
      </c>
      <c r="C1284" s="7" t="s">
        <v>634</v>
      </c>
      <c r="E1284" s="8" t="str">
        <f>IFERROR(__xludf.DUMMYFUNCTION("SPLIT(A1284,""TX"")"),"Cohen, Sandy
7030 South Janmar Drive
Dallas, ")</f>
        <v>Cohen, Sandy
7030 South Janmar Drive
Dallas, </v>
      </c>
      <c r="F1284" s="8">
        <f>IFERROR(__xludf.DUMMYFUNCTION("""COMPUTED_VALUE"""),75230.0)</f>
        <v>75230</v>
      </c>
      <c r="I1284" s="8">
        <f t="shared" si="17"/>
        <v>75230</v>
      </c>
      <c r="J1284" s="9">
        <f>IFERROR(__xludf.DUMMYFUNCTION("SPLIT(I1284,""-"")"),75230.0)</f>
        <v>75230</v>
      </c>
    </row>
    <row r="1285">
      <c r="A1285" s="5" t="s">
        <v>1214</v>
      </c>
      <c r="B1285" s="6">
        <v>18.18</v>
      </c>
      <c r="C1285" s="7" t="s">
        <v>634</v>
      </c>
      <c r="E1285" s="8" t="str">
        <f>IFERROR(__xludf.DUMMYFUNCTION("SPLIT(A1285,""TX"")"),"Cooper, Eli
7777 Glen America Drive
Dallas, ")</f>
        <v>Cooper, Eli
7777 Glen America Drive
Dallas, </v>
      </c>
      <c r="F1285" s="8">
        <f>IFERROR(__xludf.DUMMYFUNCTION("""COMPUTED_VALUE"""),75225.0)</f>
        <v>75225</v>
      </c>
      <c r="I1285" s="8">
        <f t="shared" si="17"/>
        <v>75225</v>
      </c>
      <c r="J1285" s="9">
        <f>IFERROR(__xludf.DUMMYFUNCTION("SPLIT(I1285,""-"")"),75225.0)</f>
        <v>75225</v>
      </c>
    </row>
    <row r="1286">
      <c r="A1286" s="5" t="s">
        <v>1215</v>
      </c>
      <c r="B1286" s="6">
        <v>250.0</v>
      </c>
      <c r="C1286" s="7" t="s">
        <v>634</v>
      </c>
      <c r="E1286" s="8" t="str">
        <f>IFERROR(__xludf.DUMMYFUNCTION("SPLIT(A1286,""TX"")"),"Cruse, Madge
17012 Village Lane
Dallas, ")</f>
        <v>Cruse, Madge
17012 Village Lane
Dallas, </v>
      </c>
      <c r="F1286" s="8">
        <f>IFERROR(__xludf.DUMMYFUNCTION("""COMPUTED_VALUE"""),75248.0)</f>
        <v>75248</v>
      </c>
      <c r="I1286" s="8">
        <f t="shared" si="17"/>
        <v>75248</v>
      </c>
      <c r="J1286" s="9">
        <f>IFERROR(__xludf.DUMMYFUNCTION("SPLIT(I1286,""-"")"),75248.0)</f>
        <v>75248</v>
      </c>
    </row>
    <row r="1287">
      <c r="A1287" s="5" t="s">
        <v>1216</v>
      </c>
      <c r="B1287" s="6">
        <v>100.0</v>
      </c>
      <c r="C1287" s="7" t="s">
        <v>634</v>
      </c>
      <c r="E1287" s="8" t="str">
        <f>IFERROR(__xludf.DUMMYFUNCTION("SPLIT(A1287,""TX"")"),"Davidoff, Michael
6925 Hill Forest Drive
Dallas, ")</f>
        <v>Davidoff, Michael
6925 Hill Forest Drive
Dallas, </v>
      </c>
      <c r="F1287" s="8">
        <f>IFERROR(__xludf.DUMMYFUNCTION("""COMPUTED_VALUE"""),75230.0)</f>
        <v>75230</v>
      </c>
      <c r="I1287" s="8">
        <f t="shared" si="17"/>
        <v>75230</v>
      </c>
      <c r="J1287" s="9">
        <f>IFERROR(__xludf.DUMMYFUNCTION("SPLIT(I1287,""-"")"),75230.0)</f>
        <v>75230</v>
      </c>
    </row>
    <row r="1288">
      <c r="A1288" s="5" t="s">
        <v>1217</v>
      </c>
      <c r="B1288" s="6">
        <v>25.0</v>
      </c>
      <c r="C1288" s="7" t="s">
        <v>634</v>
      </c>
      <c r="E1288" s="8" t="str">
        <f>IFERROR(__xludf.DUMMYFUNCTION("SPLIT(A1288,""TX"")"),"Donaldson, Chuck
3210 Dartmoor Drive
Dallas, ")</f>
        <v>Donaldson, Chuck
3210 Dartmoor Drive
Dallas, </v>
      </c>
      <c r="F1288" s="8">
        <f>IFERROR(__xludf.DUMMYFUNCTION("""COMPUTED_VALUE"""),75229.0)</f>
        <v>75229</v>
      </c>
      <c r="I1288" s="8">
        <f t="shared" si="17"/>
        <v>75229</v>
      </c>
      <c r="J1288" s="9">
        <f>IFERROR(__xludf.DUMMYFUNCTION("SPLIT(I1288,""-"")"),75229.0)</f>
        <v>75229</v>
      </c>
    </row>
    <row r="1289">
      <c r="A1289" s="5" t="s">
        <v>1218</v>
      </c>
      <c r="B1289" s="6">
        <v>1000.0</v>
      </c>
      <c r="C1289" s="7" t="s">
        <v>634</v>
      </c>
      <c r="E1289" s="8" t="str">
        <f>IFERROR(__xludf.DUMMYFUNCTION("SPLIT(A1289,""TX"")"),"Dunning, ")</f>
        <v>Dunning, </v>
      </c>
      <c r="F1289" s="8" t="str">
        <f>IFERROR(__xludf.DUMMYFUNCTION("""COMPUTED_VALUE"""),"om
9239 Hathaway Street
Dallas, ")</f>
        <v>om
9239 Hathaway Street
Dallas, </v>
      </c>
      <c r="G1289" s="8">
        <f>IFERROR(__xludf.DUMMYFUNCTION("""COMPUTED_VALUE"""),75220.0)</f>
        <v>75220</v>
      </c>
      <c r="I1289" s="8">
        <f t="shared" si="17"/>
        <v>75220</v>
      </c>
      <c r="J1289" s="9">
        <f>IFERROR(__xludf.DUMMYFUNCTION("SPLIT(I1289,""-"")"),75220.0)</f>
        <v>75220</v>
      </c>
    </row>
    <row r="1290">
      <c r="A1290" s="5" t="s">
        <v>1219</v>
      </c>
      <c r="B1290" s="6">
        <v>100.0</v>
      </c>
      <c r="C1290" s="7" t="s">
        <v>634</v>
      </c>
      <c r="E1290" s="8" t="str">
        <f>IFERROR(__xludf.DUMMYFUNCTION("SPLIT(A1290,""TX"")"),"Duplantis, Kandi
5202 Harbor ")</f>
        <v>Duplantis, Kandi
5202 Harbor </v>
      </c>
      <c r="F1290" s="8" t="str">
        <f>IFERROR(__xludf.DUMMYFUNCTION("""COMPUTED_VALUE"""),"own Dr
Dallas, ")</f>
        <v>own Dr
Dallas, </v>
      </c>
      <c r="G1290" s="8">
        <f>IFERROR(__xludf.DUMMYFUNCTION("""COMPUTED_VALUE"""),75287.0)</f>
        <v>75287</v>
      </c>
      <c r="I1290" s="8">
        <f t="shared" si="17"/>
        <v>75287</v>
      </c>
      <c r="J1290" s="9">
        <f>IFERROR(__xludf.DUMMYFUNCTION("SPLIT(I1290,""-"")"),75287.0)</f>
        <v>75287</v>
      </c>
    </row>
    <row r="1291">
      <c r="A1291" s="5" t="s">
        <v>1219</v>
      </c>
      <c r="B1291" s="6">
        <v>100.0</v>
      </c>
      <c r="C1291" s="7" t="s">
        <v>634</v>
      </c>
      <c r="E1291" s="8" t="str">
        <f>IFERROR(__xludf.DUMMYFUNCTION("SPLIT(A1291,""TX"")"),"Duplantis, Kandi
5202 Harbor ")</f>
        <v>Duplantis, Kandi
5202 Harbor </v>
      </c>
      <c r="F1291" s="8" t="str">
        <f>IFERROR(__xludf.DUMMYFUNCTION("""COMPUTED_VALUE"""),"own Dr
Dallas, ")</f>
        <v>own Dr
Dallas, </v>
      </c>
      <c r="G1291" s="8">
        <f>IFERROR(__xludf.DUMMYFUNCTION("""COMPUTED_VALUE"""),75287.0)</f>
        <v>75287</v>
      </c>
      <c r="I1291" s="8">
        <f t="shared" si="17"/>
        <v>75287</v>
      </c>
      <c r="J1291" s="9">
        <f>IFERROR(__xludf.DUMMYFUNCTION("SPLIT(I1291,""-"")"),75287.0)</f>
        <v>75287</v>
      </c>
    </row>
    <row r="1292">
      <c r="A1292" s="5" t="s">
        <v>1219</v>
      </c>
      <c r="B1292" s="6">
        <v>100.0</v>
      </c>
      <c r="C1292" s="7" t="s">
        <v>634</v>
      </c>
      <c r="E1292" s="8" t="str">
        <f>IFERROR(__xludf.DUMMYFUNCTION("SPLIT(A1292,""TX"")"),"Duplantis, Kandi
5202 Harbor ")</f>
        <v>Duplantis, Kandi
5202 Harbor </v>
      </c>
      <c r="F1292" s="8" t="str">
        <f>IFERROR(__xludf.DUMMYFUNCTION("""COMPUTED_VALUE"""),"own Dr
Dallas, ")</f>
        <v>own Dr
Dallas, </v>
      </c>
      <c r="G1292" s="8">
        <f>IFERROR(__xludf.DUMMYFUNCTION("""COMPUTED_VALUE"""),75287.0)</f>
        <v>75287</v>
      </c>
      <c r="I1292" s="8">
        <f t="shared" si="17"/>
        <v>75287</v>
      </c>
      <c r="J1292" s="9">
        <f>IFERROR(__xludf.DUMMYFUNCTION("SPLIT(I1292,""-"")"),75287.0)</f>
        <v>75287</v>
      </c>
    </row>
    <row r="1293">
      <c r="A1293" s="5" t="s">
        <v>19</v>
      </c>
      <c r="B1293" s="6">
        <v>250.0</v>
      </c>
      <c r="C1293" s="7" t="s">
        <v>634</v>
      </c>
      <c r="E1293" s="8" t="str">
        <f>IFERROR(__xludf.DUMMYFUNCTION("SPLIT(A1293,""TX"")"),"Elk, Charles
6504 Bailey Road
Sachse, ")</f>
        <v>Elk, Charles
6504 Bailey Road
Sachse, </v>
      </c>
      <c r="F1293" s="8">
        <f>IFERROR(__xludf.DUMMYFUNCTION("""COMPUTED_VALUE"""),75048.0)</f>
        <v>75048</v>
      </c>
      <c r="I1293" s="8">
        <f t="shared" si="17"/>
        <v>75048</v>
      </c>
      <c r="J1293" s="9">
        <f>IFERROR(__xludf.DUMMYFUNCTION("SPLIT(I1293,""-"")"),75048.0)</f>
        <v>75048</v>
      </c>
    </row>
    <row r="1294">
      <c r="A1294" s="5" t="s">
        <v>1220</v>
      </c>
      <c r="B1294" s="6">
        <v>18.0</v>
      </c>
      <c r="C1294" s="7" t="s">
        <v>634</v>
      </c>
      <c r="E1294" s="8" t="str">
        <f>IFERROR(__xludf.DUMMYFUNCTION("SPLIT(A1294,""TX"")"),"Epstein, Bentzi
6107 Prestoncrest Ln
Dallas, ")</f>
        <v>Epstein, Bentzi
6107 Prestoncrest Ln
Dallas, </v>
      </c>
      <c r="F1294" s="8">
        <f>IFERROR(__xludf.DUMMYFUNCTION("""COMPUTED_VALUE"""),75230.0)</f>
        <v>75230</v>
      </c>
      <c r="I1294" s="8">
        <f t="shared" si="17"/>
        <v>75230</v>
      </c>
      <c r="J1294" s="9">
        <f>IFERROR(__xludf.DUMMYFUNCTION("SPLIT(I1294,""-"")"),75230.0)</f>
        <v>75230</v>
      </c>
    </row>
    <row r="1295">
      <c r="A1295" s="5" t="s">
        <v>1221</v>
      </c>
      <c r="B1295" s="6">
        <v>100.0</v>
      </c>
      <c r="C1295" s="7" t="s">
        <v>634</v>
      </c>
      <c r="E1295" s="8" t="str">
        <f>IFERROR(__xludf.DUMMYFUNCTION("SPLIT(A1295,""TX"")"),"Erback, Linda
7731 Royal Lane
Dallas, ")</f>
        <v>Erback, Linda
7731 Royal Lane
Dallas, </v>
      </c>
      <c r="F1295" s="8">
        <f>IFERROR(__xludf.DUMMYFUNCTION("""COMPUTED_VALUE"""),75230.0)</f>
        <v>75230</v>
      </c>
      <c r="I1295" s="8">
        <f t="shared" si="17"/>
        <v>75230</v>
      </c>
      <c r="J1295" s="9">
        <f>IFERROR(__xludf.DUMMYFUNCTION("SPLIT(I1295,""-"")"),75230.0)</f>
        <v>75230</v>
      </c>
    </row>
    <row r="1296">
      <c r="A1296" s="5" t="s">
        <v>1222</v>
      </c>
      <c r="B1296" s="6">
        <v>100.0</v>
      </c>
      <c r="C1296" s="7" t="s">
        <v>634</v>
      </c>
      <c r="E1296" s="8" t="str">
        <f>IFERROR(__xludf.DUMMYFUNCTION("SPLIT(A1296,""TX"")"),"Estrada, Laura
1339 Cedar Hill Avenue
Dallas, ")</f>
        <v>Estrada, Laura
1339 Cedar Hill Avenue
Dallas, </v>
      </c>
      <c r="F1296" s="8">
        <f>IFERROR(__xludf.DUMMYFUNCTION("""COMPUTED_VALUE"""),75208.0)</f>
        <v>75208</v>
      </c>
      <c r="I1296" s="8">
        <f t="shared" si="17"/>
        <v>75208</v>
      </c>
      <c r="J1296" s="9">
        <f>IFERROR(__xludf.DUMMYFUNCTION("SPLIT(I1296,""-"")"),75208.0)</f>
        <v>75208</v>
      </c>
    </row>
    <row r="1297">
      <c r="A1297" s="5" t="s">
        <v>1223</v>
      </c>
      <c r="B1297" s="6">
        <v>250.0</v>
      </c>
      <c r="C1297" s="7" t="s">
        <v>634</v>
      </c>
      <c r="E1297" s="8" t="str">
        <f>IFERROR(__xludf.DUMMYFUNCTION("SPLIT(A1297,""TX"")"),"Feldman, Julie
7836 Midbury Drive
Dallas, ")</f>
        <v>Feldman, Julie
7836 Midbury Drive
Dallas, </v>
      </c>
      <c r="F1297" s="8">
        <f>IFERROR(__xludf.DUMMYFUNCTION("""COMPUTED_VALUE"""),75230.0)</f>
        <v>75230</v>
      </c>
      <c r="I1297" s="8">
        <f t="shared" si="17"/>
        <v>75230</v>
      </c>
      <c r="J1297" s="9">
        <f>IFERROR(__xludf.DUMMYFUNCTION("SPLIT(I1297,""-"")"),75230.0)</f>
        <v>75230</v>
      </c>
    </row>
    <row r="1298">
      <c r="A1298" s="5" t="s">
        <v>1224</v>
      </c>
      <c r="B1298" s="6">
        <v>1000.0</v>
      </c>
      <c r="C1298" s="7" t="s">
        <v>634</v>
      </c>
      <c r="E1298" s="8" t="str">
        <f>IFERROR(__xludf.DUMMYFUNCTION("SPLIT(A1298,""TX"")"),"Fine, Pam
5825 Williamstown Rd.
Dallas, ")</f>
        <v>Fine, Pam
5825 Williamstown Rd.
Dallas, </v>
      </c>
      <c r="F1298" s="8">
        <f>IFERROR(__xludf.DUMMYFUNCTION("""COMPUTED_VALUE"""),75230.0)</f>
        <v>75230</v>
      </c>
      <c r="I1298" s="8">
        <f t="shared" si="17"/>
        <v>75230</v>
      </c>
      <c r="J1298" s="9">
        <f>IFERROR(__xludf.DUMMYFUNCTION("SPLIT(I1298,""-"")"),75230.0)</f>
        <v>75230</v>
      </c>
    </row>
    <row r="1299">
      <c r="A1299" s="5" t="s">
        <v>1225</v>
      </c>
      <c r="B1299" s="6">
        <v>50.0</v>
      </c>
      <c r="C1299" s="7" t="s">
        <v>634</v>
      </c>
      <c r="E1299" s="8" t="str">
        <f>IFERROR(__xludf.DUMMYFUNCTION("SPLIT(A1299,""TX"")"),"Fisk, Susan
6554 Valleybrook
Dallas, ")</f>
        <v>Fisk, Susan
6554 Valleybrook
Dallas, </v>
      </c>
      <c r="F1299" s="8">
        <f>IFERROR(__xludf.DUMMYFUNCTION("""COMPUTED_VALUE"""),75254.0)</f>
        <v>75254</v>
      </c>
      <c r="I1299" s="8">
        <f t="shared" si="17"/>
        <v>75254</v>
      </c>
      <c r="J1299" s="9">
        <f>IFERROR(__xludf.DUMMYFUNCTION("SPLIT(I1299,""-"")"),75254.0)</f>
        <v>75254</v>
      </c>
    </row>
    <row r="1300">
      <c r="A1300" s="5" t="s">
        <v>1226</v>
      </c>
      <c r="B1300" s="6">
        <v>150.0</v>
      </c>
      <c r="C1300" s="7" t="s">
        <v>634</v>
      </c>
      <c r="E1300" s="8" t="str">
        <f>IFERROR(__xludf.DUMMYFUNCTION("SPLIT(A1300,""TX"")"),"Forsythe-Lill, Veletta
622 Blair Blvd.
Dallas, ")</f>
        <v>Forsythe-Lill, Veletta
622 Blair Blvd.
Dallas, </v>
      </c>
      <c r="F1300" s="8">
        <f>IFERROR(__xludf.DUMMYFUNCTION("""COMPUTED_VALUE"""),75223.0)</f>
        <v>75223</v>
      </c>
      <c r="I1300" s="8">
        <f t="shared" si="17"/>
        <v>75223</v>
      </c>
      <c r="J1300" s="9">
        <f>IFERROR(__xludf.DUMMYFUNCTION("SPLIT(I1300,""-"")"),75223.0)</f>
        <v>75223</v>
      </c>
    </row>
    <row r="1301">
      <c r="A1301" s="5" t="s">
        <v>1227</v>
      </c>
      <c r="B1301" s="6">
        <v>25.0</v>
      </c>
      <c r="C1301" s="7" t="s">
        <v>634</v>
      </c>
      <c r="E1301" s="8" t="str">
        <f>IFERROR(__xludf.DUMMYFUNCTION("SPLIT(A1301,""TX"")"),"Fortenberry, Melody
11616 Saint Michaels Drive
Dallas, ")</f>
        <v>Fortenberry, Melody
11616 Saint Michaels Drive
Dallas, </v>
      </c>
      <c r="F1301" s="8">
        <f>IFERROR(__xludf.DUMMYFUNCTION("""COMPUTED_VALUE"""),75230.0)</f>
        <v>75230</v>
      </c>
      <c r="I1301" s="8">
        <f t="shared" si="17"/>
        <v>75230</v>
      </c>
      <c r="J1301" s="9">
        <f>IFERROR(__xludf.DUMMYFUNCTION("SPLIT(I1301,""-"")"),75230.0)</f>
        <v>75230</v>
      </c>
    </row>
    <row r="1302">
      <c r="A1302" s="5" t="s">
        <v>1228</v>
      </c>
      <c r="B1302" s="6">
        <v>250.0</v>
      </c>
      <c r="C1302" s="7" t="s">
        <v>634</v>
      </c>
      <c r="E1302" s="8" t="str">
        <f>IFERROR(__xludf.DUMMYFUNCTION("SPLIT(A1302,""TX"")"),"Foxman, Ronald
6901 McKamy Blvd
Dallas, ")</f>
        <v>Foxman, Ronald
6901 McKamy Blvd
Dallas, </v>
      </c>
      <c r="F1302" s="8">
        <f>IFERROR(__xludf.DUMMYFUNCTION("""COMPUTED_VALUE"""),75248.0)</f>
        <v>75248</v>
      </c>
      <c r="I1302" s="8">
        <f t="shared" si="17"/>
        <v>75248</v>
      </c>
      <c r="J1302" s="9">
        <f>IFERROR(__xludf.DUMMYFUNCTION("SPLIT(I1302,""-"")"),75248.0)</f>
        <v>75248</v>
      </c>
    </row>
    <row r="1303">
      <c r="A1303" s="5" t="s">
        <v>1229</v>
      </c>
      <c r="B1303" s="6">
        <v>500.0</v>
      </c>
      <c r="C1303" s="7" t="s">
        <v>634</v>
      </c>
      <c r="E1303" s="8" t="str">
        <f>IFERROR(__xludf.DUMMYFUNCTION("SPLIT(A1303,""TX"")"),"Galbraith, Kyle
6142 Prestondell Place
Dallas, ")</f>
        <v>Galbraith, Kyle
6142 Prestondell Place
Dallas, </v>
      </c>
      <c r="F1303" s="8">
        <f>IFERROR(__xludf.DUMMYFUNCTION("""COMPUTED_VALUE"""),75240.0)</f>
        <v>75240</v>
      </c>
      <c r="I1303" s="8">
        <f t="shared" si="17"/>
        <v>75240</v>
      </c>
      <c r="J1303" s="9">
        <f>IFERROR(__xludf.DUMMYFUNCTION("SPLIT(I1303,""-"")"),75240.0)</f>
        <v>75240</v>
      </c>
    </row>
    <row r="1304">
      <c r="A1304" s="5" t="s">
        <v>1230</v>
      </c>
      <c r="B1304" s="6">
        <v>18.0</v>
      </c>
      <c r="C1304" s="7" t="s">
        <v>634</v>
      </c>
      <c r="E1304" s="8" t="str">
        <f>IFERROR(__xludf.DUMMYFUNCTION("SPLIT(A1304,""TX"")"),"Gast, Larry
57 Clermont Lane
St. Louis, MO 63124")</f>
        <v>Gast, Larry
57 Clermont Lane
St. Louis, MO 63124</v>
      </c>
      <c r="I1304" s="8" t="str">
        <f t="shared" si="17"/>
        <v/>
      </c>
      <c r="J1304" s="9" t="str">
        <f>IFERROR(__xludf.DUMMYFUNCTION("SPLIT(I1304,""-"")"),"#VALUE!")</f>
        <v>#VALUE!</v>
      </c>
    </row>
    <row r="1305">
      <c r="A1305" s="5" t="s">
        <v>1231</v>
      </c>
      <c r="B1305" s="6">
        <v>1000.0</v>
      </c>
      <c r="C1305" s="7" t="s">
        <v>634</v>
      </c>
      <c r="E1305" s="8" t="str">
        <f>IFERROR(__xludf.DUMMYFUNCTION("SPLIT(A1305,""TX"")"),"Gaubert, ")</f>
        <v>Gaubert, </v>
      </c>
      <c r="F1305" s="8" t="str">
        <f>IFERROR(__xludf.DUMMYFUNCTION("""COMPUTED_VALUE"""),"homas
1120 North Westmoreland Road
Dallas, ")</f>
        <v>homas
1120 North Westmoreland Road
Dallas, </v>
      </c>
      <c r="G1305" s="8">
        <f>IFERROR(__xludf.DUMMYFUNCTION("""COMPUTED_VALUE"""),75211.0)</f>
        <v>75211</v>
      </c>
      <c r="I1305" s="8">
        <f t="shared" si="17"/>
        <v>75211</v>
      </c>
      <c r="J1305" s="9">
        <f>IFERROR(__xludf.DUMMYFUNCTION("SPLIT(I1305,""-"")"),75211.0)</f>
        <v>75211</v>
      </c>
    </row>
    <row r="1306">
      <c r="A1306" s="5" t="s">
        <v>1232</v>
      </c>
      <c r="B1306" s="6">
        <v>100.0</v>
      </c>
      <c r="C1306" s="7" t="s">
        <v>634</v>
      </c>
      <c r="E1306" s="8" t="str">
        <f>IFERROR(__xludf.DUMMYFUNCTION("SPLIT(A1306,""TX"")"),"Ginsberg, Elizabeth
6172 Preston Haven Drive
Dallas, ")</f>
        <v>Ginsberg, Elizabeth
6172 Preston Haven Drive
Dallas, </v>
      </c>
      <c r="F1306" s="8">
        <f>IFERROR(__xludf.DUMMYFUNCTION("""COMPUTED_VALUE"""),75230.0)</f>
        <v>75230</v>
      </c>
      <c r="I1306" s="8">
        <f t="shared" si="17"/>
        <v>75230</v>
      </c>
      <c r="J1306" s="9">
        <f>IFERROR(__xludf.DUMMYFUNCTION("SPLIT(I1306,""-"")"),75230.0)</f>
        <v>75230</v>
      </c>
    </row>
    <row r="1307">
      <c r="A1307" s="5" t="s">
        <v>1233</v>
      </c>
      <c r="B1307" s="6">
        <v>1000.0</v>
      </c>
      <c r="C1307" s="7" t="s">
        <v>634</v>
      </c>
      <c r="E1307" s="8" t="str">
        <f>IFERROR(__xludf.DUMMYFUNCTION("SPLIT(A1307,""TX"")"),"Glendenning, Don
3401 lee pkwy
Dallas, ")</f>
        <v>Glendenning, Don
3401 lee pkwy
Dallas, </v>
      </c>
      <c r="F1307" s="8">
        <f>IFERROR(__xludf.DUMMYFUNCTION("""COMPUTED_VALUE"""),75219.0)</f>
        <v>75219</v>
      </c>
      <c r="I1307" s="8">
        <f t="shared" si="17"/>
        <v>75219</v>
      </c>
      <c r="J1307" s="9">
        <f>IFERROR(__xludf.DUMMYFUNCTION("SPLIT(I1307,""-"")"),75219.0)</f>
        <v>75219</v>
      </c>
    </row>
    <row r="1308">
      <c r="A1308" s="5" t="s">
        <v>1234</v>
      </c>
      <c r="B1308" s="6">
        <v>100.0</v>
      </c>
      <c r="C1308" s="7" t="s">
        <v>634</v>
      </c>
      <c r="E1308" s="8" t="str">
        <f>IFERROR(__xludf.DUMMYFUNCTION("SPLIT(A1308,""TX"")"),"Goetz, Dan
6920 Midbury Drive
Dallas, ")</f>
        <v>Goetz, Dan
6920 Midbury Drive
Dallas, </v>
      </c>
      <c r="F1308" s="8">
        <f>IFERROR(__xludf.DUMMYFUNCTION("""COMPUTED_VALUE"""),75230.0)</f>
        <v>75230</v>
      </c>
      <c r="I1308" s="8">
        <f t="shared" si="17"/>
        <v>75230</v>
      </c>
      <c r="J1308" s="9">
        <f>IFERROR(__xludf.DUMMYFUNCTION("SPLIT(I1308,""-"")"),75230.0)</f>
        <v>75230</v>
      </c>
    </row>
    <row r="1309">
      <c r="A1309" s="5" t="s">
        <v>1235</v>
      </c>
      <c r="B1309" s="6">
        <v>360.0</v>
      </c>
      <c r="C1309" s="7" t="s">
        <v>634</v>
      </c>
      <c r="E1309" s="8" t="str">
        <f>IFERROR(__xludf.DUMMYFUNCTION("SPLIT(A1309,""TX"")"),"Goldberg, David
4124 Donnington Drive
Plano, ")</f>
        <v>Goldberg, David
4124 Donnington Drive
Plano, </v>
      </c>
      <c r="F1309" s="8">
        <f>IFERROR(__xludf.DUMMYFUNCTION("""COMPUTED_VALUE"""),75093.0)</f>
        <v>75093</v>
      </c>
      <c r="I1309" s="8">
        <f t="shared" si="17"/>
        <v>75093</v>
      </c>
      <c r="J1309" s="9">
        <f>IFERROR(__xludf.DUMMYFUNCTION("SPLIT(I1309,""-"")"),75093.0)</f>
        <v>75093</v>
      </c>
    </row>
    <row r="1310">
      <c r="A1310" s="5" t="s">
        <v>1236</v>
      </c>
      <c r="B1310" s="6">
        <v>1000.0</v>
      </c>
      <c r="C1310" s="7" t="s">
        <v>634</v>
      </c>
      <c r="E1310" s="8" t="str">
        <f>IFERROR(__xludf.DUMMYFUNCTION("SPLIT(A1310,""TX"")"),"Goldberg, Neil
5530 Palomar Lane
Dallas, ")</f>
        <v>Goldberg, Neil
5530 Palomar Lane
Dallas, </v>
      </c>
      <c r="F1310" s="8">
        <f>IFERROR(__xludf.DUMMYFUNCTION("""COMPUTED_VALUE"""),75229.0)</f>
        <v>75229</v>
      </c>
      <c r="I1310" s="8">
        <f t="shared" si="17"/>
        <v>75229</v>
      </c>
      <c r="J1310" s="9">
        <f>IFERROR(__xludf.DUMMYFUNCTION("SPLIT(I1310,""-"")"),75229.0)</f>
        <v>75229</v>
      </c>
    </row>
    <row r="1311">
      <c r="A1311" s="5" t="s">
        <v>1237</v>
      </c>
      <c r="B1311" s="6">
        <v>1000.0</v>
      </c>
      <c r="C1311" s="7" t="s">
        <v>1238</v>
      </c>
      <c r="E1311" s="8" t="str">
        <f>IFERROR(__xludf.DUMMYFUNCTION("SPLIT(A1311,""TX"")"),"Leopard Viola LLC
1901 N. Akard St
Dallas, ")</f>
        <v>Leopard Viola LLC
1901 N. Akard St
Dallas, </v>
      </c>
      <c r="F1311" s="8">
        <f>IFERROR(__xludf.DUMMYFUNCTION("""COMPUTED_VALUE"""),75201.0)</f>
        <v>75201</v>
      </c>
      <c r="I1311" s="8">
        <f t="shared" si="17"/>
        <v>75201</v>
      </c>
      <c r="J1311" s="9">
        <f>IFERROR(__xludf.DUMMYFUNCTION("SPLIT(I1311,""-"")"),75201.0)</f>
        <v>75201</v>
      </c>
    </row>
    <row r="1312">
      <c r="A1312" s="10" t="s">
        <v>1239</v>
      </c>
      <c r="B1312" s="11">
        <v>250.0</v>
      </c>
      <c r="C1312" s="12" t="s">
        <v>1238</v>
      </c>
      <c r="E1312" s="8" t="str">
        <f>IFERROR(__xludf.DUMMYFUNCTION("SPLIT(A1312,""TX"")"),"Myers, Charles
10336 ")</f>
        <v>Myers, Charles
10336 </v>
      </c>
      <c r="F1312" s="8" t="str">
        <f>IFERROR(__xludf.DUMMYFUNCTION("""COMPUTED_VALUE"""),"railcliff Dr
Dallas, ")</f>
        <v>railcliff Dr
Dallas, </v>
      </c>
      <c r="G1312" s="8">
        <f>IFERROR(__xludf.DUMMYFUNCTION("""COMPUTED_VALUE"""),75238.0)</f>
        <v>75238</v>
      </c>
      <c r="I1312" s="8">
        <f t="shared" si="17"/>
        <v>75238</v>
      </c>
      <c r="J1312" s="9">
        <f>IFERROR(__xludf.DUMMYFUNCTION("SPLIT(I1312,""-"")"),75238.0)</f>
        <v>75238</v>
      </c>
    </row>
    <row r="1313">
      <c r="A1313" s="10" t="s">
        <v>1240</v>
      </c>
      <c r="B1313" s="11">
        <v>150.0</v>
      </c>
      <c r="C1313" s="12" t="s">
        <v>1238</v>
      </c>
      <c r="E1313" s="8" t="str">
        <f>IFERROR(__xludf.DUMMYFUNCTION("SPLIT(A1313,""TX"")"),"Miller, Glenda
9624 Robin Meadow Dr
Dallas, ")</f>
        <v>Miller, Glenda
9624 Robin Meadow Dr
Dallas, </v>
      </c>
      <c r="F1313" s="8">
        <f>IFERROR(__xludf.DUMMYFUNCTION("""COMPUTED_VALUE"""),75243.0)</f>
        <v>75243</v>
      </c>
      <c r="I1313" s="8">
        <f t="shared" si="17"/>
        <v>75243</v>
      </c>
      <c r="J1313" s="9">
        <f>IFERROR(__xludf.DUMMYFUNCTION("SPLIT(I1313,""-"")"),75243.0)</f>
        <v>75243</v>
      </c>
    </row>
    <row r="1314">
      <c r="A1314" s="10" t="s">
        <v>1241</v>
      </c>
      <c r="B1314" s="11">
        <v>150.0</v>
      </c>
      <c r="C1314" s="12" t="s">
        <v>1238</v>
      </c>
      <c r="E1314" s="8" t="str">
        <f>IFERROR(__xludf.DUMMYFUNCTION("SPLIT(A1314,""TX"")"),"Miller, Barkley
9624 Robin Meadow Dr
Dallas, ")</f>
        <v>Miller, Barkley
9624 Robin Meadow Dr
Dallas, </v>
      </c>
      <c r="F1314" s="8">
        <f>IFERROR(__xludf.DUMMYFUNCTION("""COMPUTED_VALUE"""),75243.0)</f>
        <v>75243</v>
      </c>
      <c r="I1314" s="8">
        <f t="shared" si="17"/>
        <v>75243</v>
      </c>
      <c r="J1314" s="9">
        <f>IFERROR(__xludf.DUMMYFUNCTION("SPLIT(I1314,""-"")"),75243.0)</f>
        <v>75243</v>
      </c>
    </row>
    <row r="1315">
      <c r="A1315" s="10" t="s">
        <v>1242</v>
      </c>
      <c r="B1315" s="11">
        <v>100.0</v>
      </c>
      <c r="C1315" s="12" t="s">
        <v>1238</v>
      </c>
      <c r="E1315" s="8" t="str">
        <f>IFERROR(__xludf.DUMMYFUNCTION("SPLIT(A1315,""TX"")"),"Polma, Geoffrey
6133 Crestmont
Dallas, ")</f>
        <v>Polma, Geoffrey
6133 Crestmont
Dallas, </v>
      </c>
      <c r="F1315" s="8">
        <f>IFERROR(__xludf.DUMMYFUNCTION("""COMPUTED_VALUE"""),75214.0)</f>
        <v>75214</v>
      </c>
      <c r="I1315" s="8">
        <f t="shared" si="17"/>
        <v>75214</v>
      </c>
      <c r="J1315" s="9">
        <f>IFERROR(__xludf.DUMMYFUNCTION("SPLIT(I1315,""-"")"),75214.0)</f>
        <v>75214</v>
      </c>
    </row>
    <row r="1316">
      <c r="A1316" s="10" t="s">
        <v>1243</v>
      </c>
      <c r="B1316" s="11">
        <v>150.0</v>
      </c>
      <c r="C1316" s="12" t="s">
        <v>1238</v>
      </c>
      <c r="E1316" s="8" t="str">
        <f>IFERROR(__xludf.DUMMYFUNCTION("SPLIT(A1316,""TX"")"),"Cox, Rita
7129 ")</f>
        <v>Cox, Rita
7129 </v>
      </c>
      <c r="F1316" s="8" t="str">
        <f>IFERROR(__xludf.DUMMYFUNCTION("""COMPUTED_VALUE"""),"abor Dr
Dallas, ")</f>
        <v>abor Dr
Dallas, </v>
      </c>
      <c r="G1316" s="8">
        <f>IFERROR(__xludf.DUMMYFUNCTION("""COMPUTED_VALUE"""),75231.0)</f>
        <v>75231</v>
      </c>
      <c r="I1316" s="8">
        <f t="shared" si="17"/>
        <v>75231</v>
      </c>
      <c r="J1316" s="9">
        <f>IFERROR(__xludf.DUMMYFUNCTION("SPLIT(I1316,""-"")"),75231.0)</f>
        <v>75231</v>
      </c>
    </row>
    <row r="1317">
      <c r="A1317" s="10" t="s">
        <v>1244</v>
      </c>
      <c r="B1317" s="11">
        <v>50.0</v>
      </c>
      <c r="C1317" s="12" t="s">
        <v>1151</v>
      </c>
      <c r="E1317" s="8" t="str">
        <f>IFERROR(__xludf.DUMMYFUNCTION("SPLIT(A1317,""TX"")"),"Watts, Jeannette
7132 Nandina Dr
Dallas, ")</f>
        <v>Watts, Jeannette
7132 Nandina Dr
Dallas, </v>
      </c>
      <c r="F1317" s="8">
        <f>IFERROR(__xludf.DUMMYFUNCTION("""COMPUTED_VALUE"""),75241.0)</f>
        <v>75241</v>
      </c>
      <c r="I1317" s="8">
        <f t="shared" si="17"/>
        <v>75241</v>
      </c>
      <c r="J1317" s="9">
        <f>IFERROR(__xludf.DUMMYFUNCTION("SPLIT(I1317,""-"")"),75241.0)</f>
        <v>75241</v>
      </c>
    </row>
    <row r="1318">
      <c r="A1318" s="10" t="s">
        <v>1245</v>
      </c>
      <c r="B1318" s="11">
        <v>200.0</v>
      </c>
      <c r="C1318" s="12" t="s">
        <v>1151</v>
      </c>
      <c r="E1318" s="8" t="str">
        <f>IFERROR(__xludf.DUMMYFUNCTION("SPLIT(A1318,""TX"")"),"Folsom, R Steve
16475 Dallas Parkway
Dallas, ")</f>
        <v>Folsom, R Steve
16475 Dallas Parkway
Dallas, </v>
      </c>
      <c r="F1318" s="8">
        <f>IFERROR(__xludf.DUMMYFUNCTION("""COMPUTED_VALUE"""),75001.0)</f>
        <v>75001</v>
      </c>
      <c r="I1318" s="8">
        <f t="shared" si="17"/>
        <v>75001</v>
      </c>
      <c r="J1318" s="9">
        <f>IFERROR(__xludf.DUMMYFUNCTION("SPLIT(I1318,""-"")"),75001.0)</f>
        <v>75001</v>
      </c>
    </row>
    <row r="1319">
      <c r="A1319" s="10" t="s">
        <v>1246</v>
      </c>
      <c r="B1319" s="11">
        <v>1000.0</v>
      </c>
      <c r="C1319" s="12" t="s">
        <v>1151</v>
      </c>
      <c r="E1319" s="8" t="str">
        <f>IFERROR(__xludf.DUMMYFUNCTION("SPLIT(A1319,""TX"")"),"Schenkel, Pat
614 N Bishop
Dallas, ")</f>
        <v>Schenkel, Pat
614 N Bishop
Dallas, </v>
      </c>
      <c r="F1319" s="8">
        <f>IFERROR(__xludf.DUMMYFUNCTION("""COMPUTED_VALUE"""),75208.0)</f>
        <v>75208</v>
      </c>
      <c r="I1319" s="8">
        <f t="shared" si="17"/>
        <v>75208</v>
      </c>
      <c r="J1319" s="9">
        <f>IFERROR(__xludf.DUMMYFUNCTION("SPLIT(I1319,""-"")"),75208.0)</f>
        <v>75208</v>
      </c>
    </row>
    <row r="1320">
      <c r="A1320" s="10" t="s">
        <v>1247</v>
      </c>
      <c r="B1320" s="11">
        <v>1000.0</v>
      </c>
      <c r="C1320" s="12" t="s">
        <v>1151</v>
      </c>
      <c r="E1320" s="8" t="str">
        <f>IFERROR(__xludf.DUMMYFUNCTION("SPLIT(A1320,""TX"")"),"Williams, Hiawatha
1014 Clifton Lane
Desoto, ")</f>
        <v>Williams, Hiawatha
1014 Clifton Lane
Desoto, </v>
      </c>
      <c r="F1320" s="8">
        <f>IFERROR(__xludf.DUMMYFUNCTION("""COMPUTED_VALUE"""),75115.0)</f>
        <v>75115</v>
      </c>
      <c r="I1320" s="8">
        <f t="shared" si="17"/>
        <v>75115</v>
      </c>
      <c r="J1320" s="9">
        <f>IFERROR(__xludf.DUMMYFUNCTION("SPLIT(I1320,""-"")"),75115.0)</f>
        <v>75115</v>
      </c>
    </row>
    <row r="1321">
      <c r="A1321" s="10" t="s">
        <v>1248</v>
      </c>
      <c r="B1321" s="11">
        <v>500.0</v>
      </c>
      <c r="C1321" s="12" t="s">
        <v>1151</v>
      </c>
      <c r="E1321" s="8" t="str">
        <f>IFERROR(__xludf.DUMMYFUNCTION("SPLIT(A1321,""TX"")"),"Schenkel, Craig
3106 Stanford Ave
Dallas, ")</f>
        <v>Schenkel, Craig
3106 Stanford Ave
Dallas, </v>
      </c>
      <c r="F1321" s="8">
        <f>IFERROR(__xludf.DUMMYFUNCTION("""COMPUTED_VALUE"""),75225.0)</f>
        <v>75225</v>
      </c>
      <c r="I1321" s="8">
        <f t="shared" si="17"/>
        <v>75225</v>
      </c>
      <c r="J1321" s="9">
        <f>IFERROR(__xludf.DUMMYFUNCTION("SPLIT(I1321,""-"")"),75225.0)</f>
        <v>75225</v>
      </c>
    </row>
    <row r="1322">
      <c r="A1322" s="10" t="s">
        <v>1174</v>
      </c>
      <c r="B1322" s="11">
        <v>250.0</v>
      </c>
      <c r="C1322" s="12" t="s">
        <v>1151</v>
      </c>
      <c r="E1322" s="8" t="str">
        <f>IFERROR(__xludf.DUMMYFUNCTION("SPLIT(A1322,""TX"")"),"Walne, Joan
10020 Caribou ")</f>
        <v>Walne, Joan
10020 Caribou </v>
      </c>
      <c r="F1322" s="8" t="str">
        <f>IFERROR(__xludf.DUMMYFUNCTION("""COMPUTED_VALUE"""),"rail
Dallas, ")</f>
        <v>rail
Dallas, </v>
      </c>
      <c r="G1322" s="8">
        <f>IFERROR(__xludf.DUMMYFUNCTION("""COMPUTED_VALUE"""),75238.0)</f>
        <v>75238</v>
      </c>
      <c r="I1322" s="8">
        <f t="shared" si="17"/>
        <v>75238</v>
      </c>
      <c r="J1322" s="9">
        <f>IFERROR(__xludf.DUMMYFUNCTION("SPLIT(I1322,""-"")"),75238.0)</f>
        <v>75238</v>
      </c>
    </row>
    <row r="1323">
      <c r="A1323" s="10" t="s">
        <v>1249</v>
      </c>
      <c r="B1323" s="11">
        <v>250.0</v>
      </c>
      <c r="C1323" s="12" t="s">
        <v>1151</v>
      </c>
      <c r="E1323" s="8" t="str">
        <f>IFERROR(__xludf.DUMMYFUNCTION("SPLIT(A1323,""TX"")"),"Volney, John
7047 Westlake Ave
Dallas, ")</f>
        <v>Volney, John
7047 Westlake Ave
Dallas, </v>
      </c>
      <c r="F1323" s="8">
        <f>IFERROR(__xludf.DUMMYFUNCTION("""COMPUTED_VALUE"""),75214.0)</f>
        <v>75214</v>
      </c>
      <c r="I1323" s="8">
        <f t="shared" si="17"/>
        <v>75214</v>
      </c>
      <c r="J1323" s="9">
        <f>IFERROR(__xludf.DUMMYFUNCTION("SPLIT(I1323,""-"")"),75214.0)</f>
        <v>75214</v>
      </c>
    </row>
    <row r="1324">
      <c r="A1324" s="10" t="s">
        <v>1250</v>
      </c>
      <c r="B1324" s="11">
        <v>500.0</v>
      </c>
      <c r="C1324" s="12" t="s">
        <v>1151</v>
      </c>
      <c r="E1324" s="8" t="str">
        <f>IFERROR(__xludf.DUMMYFUNCTION("SPLIT(A1324,""TX"")"),"he Preo Group, LLC
3503 Viburnum Drive
Wylie, ")</f>
        <v>he Preo Group, LLC
3503 Viburnum Drive
Wylie, </v>
      </c>
      <c r="F1324" s="8">
        <f>IFERROR(__xludf.DUMMYFUNCTION("""COMPUTED_VALUE"""),75098.0)</f>
        <v>75098</v>
      </c>
      <c r="I1324" s="8">
        <f t="shared" si="17"/>
        <v>75098</v>
      </c>
      <c r="J1324" s="9">
        <f>IFERROR(__xludf.DUMMYFUNCTION("SPLIT(I1324,""-"")"),75098.0)</f>
        <v>75098</v>
      </c>
    </row>
    <row r="1325">
      <c r="A1325" s="10" t="s">
        <v>1251</v>
      </c>
      <c r="B1325" s="11">
        <v>1000.0</v>
      </c>
      <c r="C1325" s="12" t="s">
        <v>1151</v>
      </c>
      <c r="E1325" s="8" t="str">
        <f>IFERROR(__xludf.DUMMYFUNCTION("SPLIT(A1325,""TX"")"),"Access Buckner L")</f>
        <v>Access Buckner L</v>
      </c>
      <c r="F1325" s="8" t="str">
        <f>IFERROR(__xludf.DUMMYFUNCTION("""COMPUTED_VALUE"""),"D
3404 N I-35
Lancaster, ")</f>
        <v>D
3404 N I-35
Lancaster, </v>
      </c>
      <c r="G1325" s="8">
        <f>IFERROR(__xludf.DUMMYFUNCTION("""COMPUTED_VALUE"""),75134.0)</f>
        <v>75134</v>
      </c>
      <c r="I1325" s="8">
        <f t="shared" si="17"/>
        <v>75134</v>
      </c>
      <c r="J1325" s="9">
        <f>IFERROR(__xludf.DUMMYFUNCTION("SPLIT(I1325,""-"")"),75134.0)</f>
        <v>75134</v>
      </c>
    </row>
    <row r="1326">
      <c r="A1326" s="10" t="s">
        <v>1252</v>
      </c>
      <c r="B1326" s="11">
        <v>200.0</v>
      </c>
      <c r="C1326" s="12" t="s">
        <v>1151</v>
      </c>
      <c r="E1326" s="8" t="str">
        <f>IFERROR(__xludf.DUMMYFUNCTION("SPLIT(A1326,""TX"")"),"Marian Brown for Sheriff
PO Box 851635
Mesquite, ")</f>
        <v>Marian Brown for Sheriff
PO Box 851635
Mesquite, </v>
      </c>
      <c r="F1326" s="8">
        <f>IFERROR(__xludf.DUMMYFUNCTION("""COMPUTED_VALUE"""),75185.0)</f>
        <v>75185</v>
      </c>
      <c r="I1326" s="8">
        <f t="shared" si="17"/>
        <v>75185</v>
      </c>
      <c r="J1326" s="9">
        <f>IFERROR(__xludf.DUMMYFUNCTION("SPLIT(I1326,""-"")"),75185.0)</f>
        <v>75185</v>
      </c>
    </row>
    <row r="1327">
      <c r="A1327" s="10" t="s">
        <v>1253</v>
      </c>
      <c r="B1327" s="11">
        <v>1000.0</v>
      </c>
      <c r="C1327" s="12" t="s">
        <v>1151</v>
      </c>
      <c r="E1327" s="8" t="str">
        <f>IFERROR(__xludf.DUMMYFUNCTION("SPLIT(A1327,""TX"")"),"sao, William
6922 Aspen Creek Ln
Dallas, ")</f>
        <v>sao, William
6922 Aspen Creek Ln
Dallas, </v>
      </c>
      <c r="F1327" s="8">
        <f>IFERROR(__xludf.DUMMYFUNCTION("""COMPUTED_VALUE"""),75202.0)</f>
        <v>75202</v>
      </c>
      <c r="I1327" s="8">
        <f t="shared" si="17"/>
        <v>75202</v>
      </c>
      <c r="J1327" s="9">
        <f>IFERROR(__xludf.DUMMYFUNCTION("SPLIT(I1327,""-"")"),75202.0)</f>
        <v>75202</v>
      </c>
    </row>
    <row r="1328">
      <c r="A1328" s="10" t="s">
        <v>1254</v>
      </c>
      <c r="B1328" s="11">
        <v>500.0</v>
      </c>
      <c r="C1328" s="12" t="s">
        <v>1151</v>
      </c>
      <c r="E1328" s="8" t="str">
        <f>IFERROR(__xludf.DUMMYFUNCTION("SPLIT(A1328,""TX"")"),"Chung, Kai Ray
2308 Morning Glory Dr
Richardson, ")</f>
        <v>Chung, Kai Ray
2308 Morning Glory Dr
Richardson, </v>
      </c>
      <c r="F1328" s="8">
        <f>IFERROR(__xludf.DUMMYFUNCTION("""COMPUTED_VALUE"""),75082.0)</f>
        <v>75082</v>
      </c>
      <c r="I1328" s="8">
        <f t="shared" si="17"/>
        <v>75082</v>
      </c>
      <c r="J1328" s="9">
        <f>IFERROR(__xludf.DUMMYFUNCTION("SPLIT(I1328,""-"")"),75082.0)</f>
        <v>75082</v>
      </c>
    </row>
    <row r="1329">
      <c r="A1329" s="10" t="s">
        <v>1255</v>
      </c>
      <c r="B1329" s="11">
        <v>500.0</v>
      </c>
      <c r="C1329" s="12" t="s">
        <v>1151</v>
      </c>
      <c r="E1329" s="8" t="str">
        <f>IFERROR(__xludf.DUMMYFUNCTION("SPLIT(A1329,""TX"")"),"Ku, Charles
148 Red Oak Ln
Flower Mound, ")</f>
        <v>Ku, Charles
148 Red Oak Ln
Flower Mound, </v>
      </c>
      <c r="F1329" s="8">
        <f>IFERROR(__xludf.DUMMYFUNCTION("""COMPUTED_VALUE"""),75028.0)</f>
        <v>75028</v>
      </c>
      <c r="I1329" s="8">
        <f t="shared" si="17"/>
        <v>75028</v>
      </c>
      <c r="J1329" s="9">
        <f>IFERROR(__xludf.DUMMYFUNCTION("SPLIT(I1329,""-"")"),75028.0)</f>
        <v>75028</v>
      </c>
    </row>
    <row r="1330">
      <c r="A1330" s="10" t="s">
        <v>1256</v>
      </c>
      <c r="B1330" s="11">
        <v>300.0</v>
      </c>
      <c r="C1330" s="12" t="s">
        <v>1151</v>
      </c>
      <c r="E1330" s="8" t="str">
        <f>IFERROR(__xludf.DUMMYFUNCTION("SPLIT(A1330,""TX"")"),"Chen, Shihhsiu
1508 Adams Dr
Carrollton, ")</f>
        <v>Chen, Shihhsiu
1508 Adams Dr
Carrollton, </v>
      </c>
      <c r="F1330" s="8">
        <f>IFERROR(__xludf.DUMMYFUNCTION("""COMPUTED_VALUE"""),75010.0)</f>
        <v>75010</v>
      </c>
      <c r="I1330" s="8">
        <f t="shared" si="17"/>
        <v>75010</v>
      </c>
      <c r="J1330" s="9">
        <f>IFERROR(__xludf.DUMMYFUNCTION("SPLIT(I1330,""-"")"),75010.0)</f>
        <v>75010</v>
      </c>
    </row>
    <row r="1331">
      <c r="A1331" s="10" t="s">
        <v>1257</v>
      </c>
      <c r="B1331" s="11">
        <v>200.0</v>
      </c>
      <c r="C1331" s="12" t="s">
        <v>1151</v>
      </c>
      <c r="E1331" s="8" t="str">
        <f>IFERROR(__xludf.DUMMYFUNCTION("SPLIT(A1331,""TX"")"),"Huang, Chun
6178 Prestondell Dr
Dallas, ")</f>
        <v>Huang, Chun
6178 Prestondell Dr
Dallas, </v>
      </c>
      <c r="F1331" s="8">
        <f>IFERROR(__xludf.DUMMYFUNCTION("""COMPUTED_VALUE"""),75240.0)</f>
        <v>75240</v>
      </c>
      <c r="I1331" s="8">
        <f t="shared" si="17"/>
        <v>75240</v>
      </c>
      <c r="J1331" s="9">
        <f>IFERROR(__xludf.DUMMYFUNCTION("SPLIT(I1331,""-"")"),75240.0)</f>
        <v>75240</v>
      </c>
    </row>
    <row r="1332">
      <c r="A1332" s="10" t="s">
        <v>1258</v>
      </c>
      <c r="B1332" s="11">
        <v>200.0</v>
      </c>
      <c r="C1332" s="12" t="s">
        <v>1151</v>
      </c>
      <c r="E1332" s="8" t="str">
        <f>IFERROR(__xludf.DUMMYFUNCTION("SPLIT(A1332,""TX"")"),"Ko, Eric
5916 Crownover Court
Plano, ")</f>
        <v>Ko, Eric
5916 Crownover Court
Plano, </v>
      </c>
      <c r="F1332" s="8">
        <f>IFERROR(__xludf.DUMMYFUNCTION("""COMPUTED_VALUE"""),75093.0)</f>
        <v>75093</v>
      </c>
      <c r="I1332" s="8">
        <f t="shared" si="17"/>
        <v>75093</v>
      </c>
      <c r="J1332" s="9">
        <f>IFERROR(__xludf.DUMMYFUNCTION("SPLIT(I1332,""-"")"),75093.0)</f>
        <v>75093</v>
      </c>
    </row>
    <row r="1333">
      <c r="A1333" s="10" t="s">
        <v>1259</v>
      </c>
      <c r="B1333" s="11">
        <v>200.0</v>
      </c>
      <c r="C1333" s="12" t="s">
        <v>1151</v>
      </c>
      <c r="E1333" s="8" t="str">
        <f>IFERROR(__xludf.DUMMYFUNCTION("SPLIT(A1333,""TX"")"),"Lin, Kathy
6515 Virginia Square
Arlington, ")</f>
        <v>Lin, Kathy
6515 Virginia Square
Arlington, </v>
      </c>
      <c r="F1333" s="8">
        <f>IFERROR(__xludf.DUMMYFUNCTION("""COMPUTED_VALUE"""),76017.0)</f>
        <v>76017</v>
      </c>
      <c r="I1333" s="8">
        <f t="shared" si="17"/>
        <v>76017</v>
      </c>
      <c r="J1333" s="9">
        <f>IFERROR(__xludf.DUMMYFUNCTION("SPLIT(I1333,""-"")"),76017.0)</f>
        <v>76017</v>
      </c>
    </row>
    <row r="1334">
      <c r="A1334" s="10" t="s">
        <v>1260</v>
      </c>
      <c r="B1334" s="11">
        <v>200.0</v>
      </c>
      <c r="C1334" s="12" t="s">
        <v>1151</v>
      </c>
      <c r="E1334" s="8" t="str">
        <f>IFERROR(__xludf.DUMMYFUNCTION("SPLIT(A1334,""TX"")"),"lee, helen
1417 chesterton dr
richardson, ")</f>
        <v>lee, helen
1417 chesterton dr
richardson, </v>
      </c>
      <c r="F1334" s="8">
        <f>IFERROR(__xludf.DUMMYFUNCTION("""COMPUTED_VALUE"""),75080.0)</f>
        <v>75080</v>
      </c>
      <c r="I1334" s="8">
        <f t="shared" si="17"/>
        <v>75080</v>
      </c>
      <c r="J1334" s="9">
        <f>IFERROR(__xludf.DUMMYFUNCTION("SPLIT(I1334,""-"")"),75080.0)</f>
        <v>75080</v>
      </c>
    </row>
    <row r="1335">
      <c r="A1335" s="10" t="s">
        <v>1261</v>
      </c>
      <c r="B1335" s="11">
        <v>100.0</v>
      </c>
      <c r="C1335" s="12" t="s">
        <v>1151</v>
      </c>
      <c r="E1335" s="8" t="str">
        <f>IFERROR(__xludf.DUMMYFUNCTION("SPLIT(A1335,""TX"")"),"Higley, ")</f>
        <v>Higley, </v>
      </c>
      <c r="F1335" s="8" t="str">
        <f>IFERROR(__xludf.DUMMYFUNCTION("""COMPUTED_VALUE"""),"ina
1701 Arena Dr
Plano, ")</f>
        <v>ina
1701 Arena Dr
Plano, </v>
      </c>
      <c r="G1335" s="8">
        <f>IFERROR(__xludf.DUMMYFUNCTION("""COMPUTED_VALUE"""),75025.0)</f>
        <v>75025</v>
      </c>
      <c r="I1335" s="8">
        <f t="shared" si="17"/>
        <v>75025</v>
      </c>
      <c r="J1335" s="9">
        <f>IFERROR(__xludf.DUMMYFUNCTION("SPLIT(I1335,""-"")"),75025.0)</f>
        <v>75025</v>
      </c>
    </row>
    <row r="1336">
      <c r="A1336" s="10" t="s">
        <v>1262</v>
      </c>
      <c r="B1336" s="11">
        <v>100.0</v>
      </c>
      <c r="C1336" s="12" t="s">
        <v>1151</v>
      </c>
      <c r="E1336" s="8" t="str">
        <f>IFERROR(__xludf.DUMMYFUNCTION("SPLIT(A1336,""TX"")"),"Chu, Anna
5201 Mariners Dr
Plano, ")</f>
        <v>Chu, Anna
5201 Mariners Dr
Plano, </v>
      </c>
      <c r="F1336" s="8">
        <f>IFERROR(__xludf.DUMMYFUNCTION("""COMPUTED_VALUE"""),75093.0)</f>
        <v>75093</v>
      </c>
      <c r="I1336" s="8">
        <f t="shared" si="17"/>
        <v>75093</v>
      </c>
      <c r="J1336" s="9">
        <f>IFERROR(__xludf.DUMMYFUNCTION("SPLIT(I1336,""-"")"),75093.0)</f>
        <v>75093</v>
      </c>
    </row>
    <row r="1337">
      <c r="A1337" s="10" t="s">
        <v>1263</v>
      </c>
      <c r="B1337" s="11">
        <v>250.0</v>
      </c>
      <c r="C1337" s="12" t="s">
        <v>1151</v>
      </c>
      <c r="E1337" s="8" t="str">
        <f>IFERROR(__xludf.DUMMYFUNCTION("SPLIT(A1337,""TX"")"),"Gachman, Arnold
1229 Shady Oaks Lane
Fort Worth, ")</f>
        <v>Gachman, Arnold
1229 Shady Oaks Lane
Fort Worth, </v>
      </c>
      <c r="F1337" s="8">
        <f>IFERROR(__xludf.DUMMYFUNCTION("""COMPUTED_VALUE"""),76107.0)</f>
        <v>76107</v>
      </c>
      <c r="I1337" s="8">
        <f t="shared" si="17"/>
        <v>76107</v>
      </c>
      <c r="J1337" s="9">
        <f>IFERROR(__xludf.DUMMYFUNCTION("SPLIT(I1337,""-"")"),76107.0)</f>
        <v>76107</v>
      </c>
    </row>
    <row r="1338">
      <c r="A1338" s="10" t="s">
        <v>1236</v>
      </c>
      <c r="B1338" s="11">
        <v>1000.0</v>
      </c>
      <c r="C1338" s="12" t="s">
        <v>1151</v>
      </c>
      <c r="E1338" s="8" t="str">
        <f>IFERROR(__xludf.DUMMYFUNCTION("SPLIT(A1338,""TX"")"),"Goldberg, Neil
5530 Palomar Lane
Dallas, ")</f>
        <v>Goldberg, Neil
5530 Palomar Lane
Dallas, </v>
      </c>
      <c r="F1338" s="8">
        <f>IFERROR(__xludf.DUMMYFUNCTION("""COMPUTED_VALUE"""),75229.0)</f>
        <v>75229</v>
      </c>
      <c r="I1338" s="8">
        <f t="shared" si="17"/>
        <v>75229</v>
      </c>
      <c r="J1338" s="9">
        <f>IFERROR(__xludf.DUMMYFUNCTION("SPLIT(I1338,""-"")"),75229.0)</f>
        <v>75229</v>
      </c>
    </row>
    <row r="1339">
      <c r="A1339" s="10" t="s">
        <v>1264</v>
      </c>
      <c r="B1339" s="11">
        <v>1000.0</v>
      </c>
      <c r="C1339" s="12" t="s">
        <v>1151</v>
      </c>
      <c r="E1339" s="8" t="str">
        <f>IFERROR(__xludf.DUMMYFUNCTION("SPLIT(A1339,""TX"")"),"Billingsley, Henry
1722 Routh St
Dallas, ")</f>
        <v>Billingsley, Henry
1722 Routh St
Dallas, </v>
      </c>
      <c r="F1339" s="8">
        <f>IFERROR(__xludf.DUMMYFUNCTION("""COMPUTED_VALUE"""),75201.0)</f>
        <v>75201</v>
      </c>
      <c r="I1339" s="8">
        <f t="shared" si="17"/>
        <v>75201</v>
      </c>
      <c r="J1339" s="9">
        <f>IFERROR(__xludf.DUMMYFUNCTION("SPLIT(I1339,""-"")"),75201.0)</f>
        <v>75201</v>
      </c>
    </row>
    <row r="1340">
      <c r="A1340" s="10" t="s">
        <v>1265</v>
      </c>
      <c r="B1340" s="11">
        <v>1.02</v>
      </c>
      <c r="C1340" s="12" t="s">
        <v>1060</v>
      </c>
      <c r="E1340" s="8" t="str">
        <f>IFERROR(__xludf.DUMMYFUNCTION("SPLIT(A1340,""TX"")"),"Lowenberg, Julie
2828 Hood
Dallas, ")</f>
        <v>Lowenberg, Julie
2828 Hood
Dallas, </v>
      </c>
      <c r="F1340" s="8">
        <f>IFERROR(__xludf.DUMMYFUNCTION("""COMPUTED_VALUE"""),75219.0)</f>
        <v>75219</v>
      </c>
      <c r="I1340" s="8">
        <f t="shared" si="17"/>
        <v>75219</v>
      </c>
      <c r="J1340" s="9">
        <f>IFERROR(__xludf.DUMMYFUNCTION("SPLIT(I1340,""-"")"),75219.0)</f>
        <v>75219</v>
      </c>
    </row>
    <row r="1341">
      <c r="A1341" s="5" t="s">
        <v>1266</v>
      </c>
      <c r="B1341" s="6">
        <v>103.48</v>
      </c>
      <c r="C1341" s="7" t="s">
        <v>1060</v>
      </c>
      <c r="E1341" s="8" t="str">
        <f>IFERROR(__xludf.DUMMYFUNCTION("SPLIT(A1341,""TX"")"),"Zahra, Ed
1003 Valencia
Dallas, ")</f>
        <v>Zahra, Ed
1003 Valencia
Dallas, </v>
      </c>
      <c r="F1341" s="8">
        <f>IFERROR(__xludf.DUMMYFUNCTION("""COMPUTED_VALUE"""),75223.0)</f>
        <v>75223</v>
      </c>
      <c r="I1341" s="8">
        <f t="shared" si="17"/>
        <v>75223</v>
      </c>
      <c r="J1341" s="9">
        <f>IFERROR(__xludf.DUMMYFUNCTION("SPLIT(I1341,""-"")"),75223.0)</f>
        <v>75223</v>
      </c>
    </row>
    <row r="1342">
      <c r="A1342" s="10" t="s">
        <v>1267</v>
      </c>
      <c r="B1342" s="11">
        <v>51.99</v>
      </c>
      <c r="C1342" s="12" t="s">
        <v>1060</v>
      </c>
      <c r="E1342" s="8" t="str">
        <f>IFERROR(__xludf.DUMMYFUNCTION("SPLIT(A1342,""TX"")"),"Carpenter, Curt
4951 Victor
Dallas, ")</f>
        <v>Carpenter, Curt
4951 Victor
Dallas, </v>
      </c>
      <c r="F1342" s="8">
        <f>IFERROR(__xludf.DUMMYFUNCTION("""COMPUTED_VALUE"""),75214.0)</f>
        <v>75214</v>
      </c>
      <c r="I1342" s="8">
        <f t="shared" si="17"/>
        <v>75214</v>
      </c>
      <c r="J1342" s="9">
        <f>IFERROR(__xludf.DUMMYFUNCTION("SPLIT(I1342,""-"")"),75214.0)</f>
        <v>75214</v>
      </c>
    </row>
    <row r="1343">
      <c r="A1343" s="5" t="s">
        <v>1268</v>
      </c>
      <c r="B1343" s="6">
        <v>103.48</v>
      </c>
      <c r="C1343" s="7" t="s">
        <v>1060</v>
      </c>
      <c r="E1343" s="8" t="str">
        <f>IFERROR(__xludf.DUMMYFUNCTION("SPLIT(A1343,""TX"")"),"Naifeh, Sarah
4040 N. Hall St.
Dallas, ")</f>
        <v>Naifeh, Sarah
4040 N. Hall St.
Dallas, </v>
      </c>
      <c r="F1343" s="8">
        <f>IFERROR(__xludf.DUMMYFUNCTION("""COMPUTED_VALUE"""),75219.0)</f>
        <v>75219</v>
      </c>
      <c r="I1343" s="8">
        <f t="shared" si="17"/>
        <v>75219</v>
      </c>
      <c r="J1343" s="9">
        <f>IFERROR(__xludf.DUMMYFUNCTION("SPLIT(I1343,""-"")"),75219.0)</f>
        <v>75219</v>
      </c>
    </row>
    <row r="1344">
      <c r="A1344" s="10" t="s">
        <v>164</v>
      </c>
      <c r="B1344" s="11">
        <v>257.94</v>
      </c>
      <c r="C1344" s="12" t="s">
        <v>1060</v>
      </c>
      <c r="E1344" s="8" t="str">
        <f>IFERROR(__xludf.DUMMYFUNCTION("SPLIT(A1344,""TX"")"),"Estell, Greg
411 Bondstone
Dallas, ")</f>
        <v>Estell, Greg
411 Bondstone
Dallas, </v>
      </c>
      <c r="F1344" s="8">
        <f>IFERROR(__xludf.DUMMYFUNCTION("""COMPUTED_VALUE"""),75218.0)</f>
        <v>75218</v>
      </c>
      <c r="I1344" s="8">
        <f t="shared" si="17"/>
        <v>75218</v>
      </c>
      <c r="J1344" s="9">
        <f>IFERROR(__xludf.DUMMYFUNCTION("SPLIT(I1344,""-"")"),75218.0)</f>
        <v>75218</v>
      </c>
    </row>
    <row r="1345">
      <c r="A1345" s="5" t="s">
        <v>1269</v>
      </c>
      <c r="B1345" s="6">
        <v>412.41</v>
      </c>
      <c r="C1345" s="7" t="s">
        <v>1060</v>
      </c>
      <c r="E1345" s="8" t="str">
        <f>IFERROR(__xludf.DUMMYFUNCTION("SPLIT(A1345,""TX"")"),"alley, Olive
6133 Prospect Avenue
Dallas, ")</f>
        <v>alley, Olive
6133 Prospect Avenue
Dallas, </v>
      </c>
      <c r="F1345" s="8">
        <f>IFERROR(__xludf.DUMMYFUNCTION("""COMPUTED_VALUE"""),75214.0)</f>
        <v>75214</v>
      </c>
      <c r="I1345" s="8">
        <f t="shared" si="17"/>
        <v>75214</v>
      </c>
      <c r="J1345" s="9">
        <f>IFERROR(__xludf.DUMMYFUNCTION("SPLIT(I1345,""-"")"),75214.0)</f>
        <v>75214</v>
      </c>
    </row>
    <row r="1346">
      <c r="A1346" s="10" t="s">
        <v>1270</v>
      </c>
      <c r="B1346" s="11">
        <v>200.0</v>
      </c>
      <c r="C1346" s="12" t="s">
        <v>1060</v>
      </c>
      <c r="E1346" s="8" t="str">
        <f>IFERROR(__xludf.DUMMYFUNCTION("SPLIT(A1346,""TX"")"),"Scudder, Kendall
2175 ")</f>
        <v>Scudder, Kendall
2175 </v>
      </c>
      <c r="F1346" s="8" t="str">
        <f>IFERROR(__xludf.DUMMYFUNCTION("""COMPUTED_VALUE"""),"ucker
Dallas, ")</f>
        <v>ucker
Dallas, </v>
      </c>
      <c r="G1346" s="8">
        <f>IFERROR(__xludf.DUMMYFUNCTION("""COMPUTED_VALUE"""),75214.0)</f>
        <v>75214</v>
      </c>
      <c r="I1346" s="8">
        <f t="shared" si="17"/>
        <v>75214</v>
      </c>
      <c r="J1346" s="9">
        <f>IFERROR(__xludf.DUMMYFUNCTION("SPLIT(I1346,""-"")"),75214.0)</f>
        <v>75214</v>
      </c>
    </row>
    <row r="1347">
      <c r="A1347" s="5" t="s">
        <v>1271</v>
      </c>
      <c r="B1347" s="6">
        <v>206.45</v>
      </c>
      <c r="C1347" s="7" t="s">
        <v>1060</v>
      </c>
      <c r="E1347" s="8" t="str">
        <f>IFERROR(__xludf.DUMMYFUNCTION("SPLIT(A1347,""TX"")"),"Mills, Roseanne
6906 Casa Loma
Dallas, ")</f>
        <v>Mills, Roseanne
6906 Casa Loma
Dallas, </v>
      </c>
      <c r="F1347" s="8">
        <f>IFERROR(__xludf.DUMMYFUNCTION("""COMPUTED_VALUE"""),75214.0)</f>
        <v>75214</v>
      </c>
      <c r="I1347" s="8">
        <f t="shared" si="17"/>
        <v>75214</v>
      </c>
      <c r="J1347" s="9">
        <f>IFERROR(__xludf.DUMMYFUNCTION("SPLIT(I1347,""-"")"),75214.0)</f>
        <v>75214</v>
      </c>
    </row>
    <row r="1348">
      <c r="A1348" s="10" t="s">
        <v>1272</v>
      </c>
      <c r="B1348" s="11">
        <v>103.48</v>
      </c>
      <c r="C1348" s="12" t="s">
        <v>1060</v>
      </c>
      <c r="E1348" s="8" t="str">
        <f>IFERROR(__xludf.DUMMYFUNCTION("SPLIT(A1348,""TX"")"),"Donovan, Carol
6509 Malcolm
Dallas, ")</f>
        <v>Donovan, Carol
6509 Malcolm
Dallas, </v>
      </c>
      <c r="F1348" s="8">
        <f>IFERROR(__xludf.DUMMYFUNCTION("""COMPUTED_VALUE"""),75214.0)</f>
        <v>75214</v>
      </c>
      <c r="I1348" s="8">
        <f t="shared" si="17"/>
        <v>75214</v>
      </c>
      <c r="J1348" s="9">
        <f>IFERROR(__xludf.DUMMYFUNCTION("SPLIT(I1348,""-"")"),75214.0)</f>
        <v>75214</v>
      </c>
    </row>
    <row r="1349">
      <c r="A1349" s="5" t="s">
        <v>1273</v>
      </c>
      <c r="B1349" s="6">
        <v>100.0</v>
      </c>
      <c r="C1349" s="7" t="s">
        <v>1060</v>
      </c>
      <c r="E1349" s="8" t="str">
        <f>IFERROR(__xludf.DUMMYFUNCTION("SPLIT(A1349,""TX"")"),"Drumm, Ann
2325 Centurion Ct.
Dallas, ")</f>
        <v>Drumm, Ann
2325 Centurion Ct.
Dallas, </v>
      </c>
      <c r="F1349" s="8">
        <f>IFERROR(__xludf.DUMMYFUNCTION("""COMPUTED_VALUE"""),75204.0)</f>
        <v>75204</v>
      </c>
      <c r="I1349" s="8">
        <f t="shared" si="17"/>
        <v>75204</v>
      </c>
      <c r="J1349" s="9">
        <f>IFERROR(__xludf.DUMMYFUNCTION("SPLIT(I1349,""-"")"),75204.0)</f>
        <v>75204</v>
      </c>
    </row>
    <row r="1350">
      <c r="A1350" s="10" t="s">
        <v>230</v>
      </c>
      <c r="B1350" s="11">
        <v>103.48</v>
      </c>
      <c r="C1350" s="12" t="s">
        <v>1060</v>
      </c>
      <c r="E1350" s="8" t="str">
        <f>IFERROR(__xludf.DUMMYFUNCTION("SPLIT(A1350,""TX"")"),"Considine, Carol
7230 Westlake Ave
Dallas, ")</f>
        <v>Considine, Carol
7230 Westlake Ave
Dallas, </v>
      </c>
      <c r="F1350" s="8">
        <f>IFERROR(__xludf.DUMMYFUNCTION("""COMPUTED_VALUE"""),75214.0)</f>
        <v>75214</v>
      </c>
      <c r="I1350" s="8">
        <f t="shared" si="17"/>
        <v>75214</v>
      </c>
      <c r="J1350" s="9">
        <f>IFERROR(__xludf.DUMMYFUNCTION("SPLIT(I1350,""-"")"),75214.0)</f>
        <v>75214</v>
      </c>
    </row>
    <row r="1351">
      <c r="A1351" s="5" t="s">
        <v>1274</v>
      </c>
      <c r="B1351" s="6">
        <v>51.99</v>
      </c>
      <c r="C1351" s="7" t="s">
        <v>1060</v>
      </c>
      <c r="E1351" s="8" t="str">
        <f>IFERROR(__xludf.DUMMYFUNCTION("SPLIT(A1351,""TX"")"),"Friedman, Brandon
500 Clermont Ave
Dallas, ")</f>
        <v>Friedman, Brandon
500 Clermont Ave
Dallas, </v>
      </c>
      <c r="F1351" s="8">
        <f>IFERROR(__xludf.DUMMYFUNCTION("""COMPUTED_VALUE"""),75223.0)</f>
        <v>75223</v>
      </c>
      <c r="I1351" s="8">
        <f t="shared" si="17"/>
        <v>75223</v>
      </c>
      <c r="J1351" s="9">
        <f>IFERROR(__xludf.DUMMYFUNCTION("SPLIT(I1351,""-"")"),75223.0)</f>
        <v>75223</v>
      </c>
    </row>
    <row r="1352">
      <c r="A1352" s="10" t="s">
        <v>1275</v>
      </c>
      <c r="B1352" s="11">
        <v>257.94</v>
      </c>
      <c r="C1352" s="12" t="s">
        <v>1060</v>
      </c>
      <c r="E1352" s="8" t="str">
        <f>IFERROR(__xludf.DUMMYFUNCTION("SPLIT(A1352,""TX"")"),"Pomykal, Keith
3001 Sale
Dallas, ")</f>
        <v>Pomykal, Keith
3001 Sale
Dallas, </v>
      </c>
      <c r="F1352" s="8">
        <f>IFERROR(__xludf.DUMMYFUNCTION("""COMPUTED_VALUE"""),75219.0)</f>
        <v>75219</v>
      </c>
      <c r="I1352" s="8">
        <f t="shared" si="17"/>
        <v>75219</v>
      </c>
      <c r="J1352" s="9">
        <f>IFERROR(__xludf.DUMMYFUNCTION("SPLIT(I1352,""-"")"),75219.0)</f>
        <v>75219</v>
      </c>
    </row>
    <row r="1353">
      <c r="A1353" s="5" t="s">
        <v>1276</v>
      </c>
      <c r="B1353" s="6">
        <v>31.4</v>
      </c>
      <c r="C1353" s="7" t="s">
        <v>1060</v>
      </c>
      <c r="E1353" s="8" t="str">
        <f>IFERROR(__xludf.DUMMYFUNCTION("SPLIT(A1353,""TX"")"),"Byron, Alexandra
3509 Wells
Plano, ")</f>
        <v>Byron, Alexandra
3509 Wells
Plano, </v>
      </c>
      <c r="F1353" s="8">
        <f>IFERROR(__xludf.DUMMYFUNCTION("""COMPUTED_VALUE"""),75093.0)</f>
        <v>75093</v>
      </c>
      <c r="I1353" s="8">
        <f t="shared" si="17"/>
        <v>75093</v>
      </c>
      <c r="J1353" s="9">
        <f>IFERROR(__xludf.DUMMYFUNCTION("SPLIT(I1353,""-"")"),75093.0)</f>
        <v>75093</v>
      </c>
    </row>
    <row r="1354">
      <c r="A1354" s="10" t="s">
        <v>1277</v>
      </c>
      <c r="B1354" s="11">
        <v>51.99</v>
      </c>
      <c r="C1354" s="12" t="s">
        <v>1060</v>
      </c>
      <c r="E1354" s="8" t="str">
        <f>IFERROR(__xludf.DUMMYFUNCTION("SPLIT(A1354,""TX"")"),"Peavey, Erin
5519 Richard
Dallas, ")</f>
        <v>Peavey, Erin
5519 Richard
Dallas, </v>
      </c>
      <c r="F1354" s="8">
        <f>IFERROR(__xludf.DUMMYFUNCTION("""COMPUTED_VALUE"""),75206.0)</f>
        <v>75206</v>
      </c>
      <c r="I1354" s="8">
        <f t="shared" si="17"/>
        <v>75206</v>
      </c>
      <c r="J1354" s="9">
        <f>IFERROR(__xludf.DUMMYFUNCTION("SPLIT(I1354,""-"")"),75206.0)</f>
        <v>75206</v>
      </c>
    </row>
    <row r="1355">
      <c r="A1355" s="5" t="s">
        <v>1278</v>
      </c>
      <c r="B1355" s="6">
        <v>103.48</v>
      </c>
      <c r="C1355" s="7" t="s">
        <v>1060</v>
      </c>
      <c r="E1355" s="8" t="str">
        <f>IFERROR(__xludf.DUMMYFUNCTION("SPLIT(A1355,""TX"")"),"Pratt, Laura and David
5526 Morningside
Dallas, ")</f>
        <v>Pratt, Laura and David
5526 Morningside
Dallas, </v>
      </c>
      <c r="F1355" s="8">
        <f>IFERROR(__xludf.DUMMYFUNCTION("""COMPUTED_VALUE"""),75206.0)</f>
        <v>75206</v>
      </c>
      <c r="I1355" s="8">
        <f t="shared" si="17"/>
        <v>75206</v>
      </c>
      <c r="J1355" s="9">
        <f>IFERROR(__xludf.DUMMYFUNCTION("SPLIT(I1355,""-"")"),75206.0)</f>
        <v>75206</v>
      </c>
    </row>
    <row r="1356">
      <c r="A1356" s="10" t="s">
        <v>1279</v>
      </c>
      <c r="B1356" s="11">
        <v>257.94</v>
      </c>
      <c r="C1356" s="12" t="s">
        <v>1060</v>
      </c>
      <c r="E1356" s="8" t="str">
        <f>IFERROR(__xludf.DUMMYFUNCTION("SPLIT(A1356,""TX"")"),"Day, Paula
5011 Reiger
Dallas, ")</f>
        <v>Day, Paula
5011 Reiger
Dallas, </v>
      </c>
      <c r="F1356" s="8">
        <f>IFERROR(__xludf.DUMMYFUNCTION("""COMPUTED_VALUE"""),75214.0)</f>
        <v>75214</v>
      </c>
      <c r="I1356" s="8">
        <f t="shared" si="17"/>
        <v>75214</v>
      </c>
      <c r="J1356" s="9">
        <f>IFERROR(__xludf.DUMMYFUNCTION("SPLIT(I1356,""-"")"),75214.0)</f>
        <v>75214</v>
      </c>
    </row>
    <row r="1357">
      <c r="A1357" s="5" t="s">
        <v>1280</v>
      </c>
      <c r="B1357" s="6">
        <v>206.46</v>
      </c>
      <c r="C1357" s="7" t="s">
        <v>1060</v>
      </c>
      <c r="E1357" s="8" t="str">
        <f>IFERROR(__xludf.DUMMYFUNCTION("SPLIT(A1357,""TX"")"),"Chvosta, Jeanne
506 Cameron
Dallas, ")</f>
        <v>Chvosta, Jeanne
506 Cameron
Dallas, </v>
      </c>
      <c r="F1357" s="8">
        <f>IFERROR(__xludf.DUMMYFUNCTION("""COMPUTED_VALUE"""),75223.0)</f>
        <v>75223</v>
      </c>
      <c r="I1357" s="8">
        <f t="shared" si="17"/>
        <v>75223</v>
      </c>
      <c r="J1357" s="9">
        <f>IFERROR(__xludf.DUMMYFUNCTION("SPLIT(I1357,""-"")"),75223.0)</f>
        <v>75223</v>
      </c>
    </row>
    <row r="1358">
      <c r="A1358" s="10" t="s">
        <v>1281</v>
      </c>
      <c r="B1358" s="11">
        <v>51.99</v>
      </c>
      <c r="C1358" s="12" t="s">
        <v>1060</v>
      </c>
      <c r="E1358" s="8" t="str">
        <f>IFERROR(__xludf.DUMMYFUNCTION("SPLIT(A1358,""TX"")"),"Denison, Donna
6323 Lakeshore
Dallas, ")</f>
        <v>Denison, Donna
6323 Lakeshore
Dallas, </v>
      </c>
      <c r="F1358" s="8">
        <f>IFERROR(__xludf.DUMMYFUNCTION("""COMPUTED_VALUE"""),75214.0)</f>
        <v>75214</v>
      </c>
      <c r="I1358" s="8">
        <f t="shared" si="17"/>
        <v>75214</v>
      </c>
      <c r="J1358" s="9">
        <f>IFERROR(__xludf.DUMMYFUNCTION("SPLIT(I1358,""-"")"),75214.0)</f>
        <v>75214</v>
      </c>
    </row>
    <row r="1359">
      <c r="A1359" s="5" t="s">
        <v>1282</v>
      </c>
      <c r="B1359" s="6">
        <v>103.48</v>
      </c>
      <c r="C1359" s="7" t="s">
        <v>1060</v>
      </c>
      <c r="E1359" s="8" t="str">
        <f>IFERROR(__xludf.DUMMYFUNCTION("SPLIT(A1359,""TX"")"),"Graham, Eric
5326 Junius
Dallas, ")</f>
        <v>Graham, Eric
5326 Junius
Dallas, </v>
      </c>
      <c r="F1359" s="8">
        <f>IFERROR(__xludf.DUMMYFUNCTION("""COMPUTED_VALUE"""),75214.0)</f>
        <v>75214</v>
      </c>
      <c r="I1359" s="8">
        <f t="shared" si="17"/>
        <v>75214</v>
      </c>
      <c r="J1359" s="9">
        <f>IFERROR(__xludf.DUMMYFUNCTION("SPLIT(I1359,""-"")"),75214.0)</f>
        <v>75214</v>
      </c>
    </row>
    <row r="1360">
      <c r="A1360" s="10" t="s">
        <v>1283</v>
      </c>
      <c r="B1360" s="11">
        <v>309.43</v>
      </c>
      <c r="C1360" s="12" t="s">
        <v>1060</v>
      </c>
      <c r="E1360" s="8" t="str">
        <f>IFERROR(__xludf.DUMMYFUNCTION("SPLIT(A1360,""TX"")"),"Lill, Veletta
622 Blair
Dallas, ")</f>
        <v>Lill, Veletta
622 Blair
Dallas, </v>
      </c>
      <c r="F1360" s="8">
        <f>IFERROR(__xludf.DUMMYFUNCTION("""COMPUTED_VALUE"""),75223.0)</f>
        <v>75223</v>
      </c>
      <c r="I1360" s="8">
        <f t="shared" si="17"/>
        <v>75223</v>
      </c>
      <c r="J1360" s="9">
        <f>IFERROR(__xludf.DUMMYFUNCTION("SPLIT(I1360,""-"")"),75223.0)</f>
        <v>75223</v>
      </c>
    </row>
    <row r="1361">
      <c r="A1361" s="5" t="s">
        <v>1284</v>
      </c>
      <c r="B1361" s="6">
        <v>50.0</v>
      </c>
      <c r="C1361" s="7" t="s">
        <v>1060</v>
      </c>
      <c r="E1361" s="8" t="str">
        <f>IFERROR(__xludf.DUMMYFUNCTION("SPLIT(A1361,""TX"")"),"Kearney, Kathleen
PO Box 192006
Dallas, ")</f>
        <v>Kearney, Kathleen
PO Box 192006
Dallas, </v>
      </c>
      <c r="F1361" s="8">
        <f>IFERROR(__xludf.DUMMYFUNCTION("""COMPUTED_VALUE"""),75219.0)</f>
        <v>75219</v>
      </c>
      <c r="I1361" s="8">
        <f t="shared" si="17"/>
        <v>75219</v>
      </c>
      <c r="J1361" s="9">
        <f>IFERROR(__xludf.DUMMYFUNCTION("SPLIT(I1361,""-"")"),75219.0)</f>
        <v>75219</v>
      </c>
    </row>
    <row r="1362">
      <c r="A1362" s="10" t="s">
        <v>1285</v>
      </c>
      <c r="B1362" s="11">
        <v>103.48</v>
      </c>
      <c r="C1362" s="12" t="s">
        <v>1060</v>
      </c>
      <c r="E1362" s="8" t="str">
        <f>IFERROR(__xludf.DUMMYFUNCTION("SPLIT(A1362,""TX"")"),"Parsons, David
5317 McCommas
Dallas, ")</f>
        <v>Parsons, David
5317 McCommas
Dallas, </v>
      </c>
      <c r="F1362" s="8">
        <f>IFERROR(__xludf.DUMMYFUNCTION("""COMPUTED_VALUE"""),75206.0)</f>
        <v>75206</v>
      </c>
      <c r="I1362" s="8">
        <f t="shared" si="17"/>
        <v>75206</v>
      </c>
      <c r="J1362" s="9">
        <f>IFERROR(__xludf.DUMMYFUNCTION("SPLIT(I1362,""-"")"),75206.0)</f>
        <v>75206</v>
      </c>
    </row>
    <row r="1363">
      <c r="A1363" s="5" t="s">
        <v>1286</v>
      </c>
      <c r="B1363" s="6">
        <v>51.99</v>
      </c>
      <c r="C1363" s="7" t="s">
        <v>1060</v>
      </c>
      <c r="E1363" s="8" t="str">
        <f>IFERROR(__xludf.DUMMYFUNCTION("SPLIT(A1363,""TX"")"),"Holleman, Virginia
5518 Merrimac
Dallas, ")</f>
        <v>Holleman, Virginia
5518 Merrimac
Dallas, </v>
      </c>
      <c r="F1363" s="8">
        <f>IFERROR(__xludf.DUMMYFUNCTION("""COMPUTED_VALUE"""),75206.0)</f>
        <v>75206</v>
      </c>
      <c r="I1363" s="8">
        <f t="shared" si="17"/>
        <v>75206</v>
      </c>
      <c r="J1363" s="9">
        <f>IFERROR(__xludf.DUMMYFUNCTION("SPLIT(I1363,""-"")"),75206.0)</f>
        <v>75206</v>
      </c>
    </row>
    <row r="1364">
      <c r="A1364" s="10" t="s">
        <v>1287</v>
      </c>
      <c r="B1364" s="11">
        <v>50.0</v>
      </c>
      <c r="C1364" s="12" t="s">
        <v>1060</v>
      </c>
      <c r="E1364" s="8" t="str">
        <f>IFERROR(__xludf.DUMMYFUNCTION("SPLIT(A1364,""TX"")"),"Bond, ")</f>
        <v>Bond, </v>
      </c>
      <c r="F1364" s="8" t="str">
        <f>IFERROR(__xludf.DUMMYFUNCTION("""COMPUTED_VALUE"""),"heresa
1815 Loving Ave
Dallas, ")</f>
        <v>heresa
1815 Loving Ave
Dallas, </v>
      </c>
      <c r="G1364" s="8">
        <f>IFERROR(__xludf.DUMMYFUNCTION("""COMPUTED_VALUE"""),75214.0)</f>
        <v>75214</v>
      </c>
      <c r="I1364" s="8">
        <f t="shared" si="17"/>
        <v>75214</v>
      </c>
      <c r="J1364" s="9">
        <f>IFERROR(__xludf.DUMMYFUNCTION("SPLIT(I1364,""-"")"),75214.0)</f>
        <v>75214</v>
      </c>
    </row>
    <row r="1365">
      <c r="A1365" s="5" t="s">
        <v>1288</v>
      </c>
      <c r="B1365" s="6">
        <v>51.99</v>
      </c>
      <c r="C1365" s="7" t="s">
        <v>1060</v>
      </c>
      <c r="E1365" s="8" t="str">
        <f>IFERROR(__xludf.DUMMYFUNCTION("SPLIT(A1365,""TX"")"),"KING, SALLY
5958 LEWIS S")</f>
        <v>KING, SALLY
5958 LEWIS S</v>
      </c>
      <c r="F1365" s="8" t="str">
        <f>IFERROR(__xludf.DUMMYFUNCTION("""COMPUTED_VALUE"""),"
DALLAS, ")</f>
        <v>
DALLAS, </v>
      </c>
      <c r="G1365" s="8">
        <f>IFERROR(__xludf.DUMMYFUNCTION("""COMPUTED_VALUE"""),75206.0)</f>
        <v>75206</v>
      </c>
      <c r="I1365" s="8">
        <f t="shared" si="17"/>
        <v>75206</v>
      </c>
      <c r="J1365" s="9">
        <f>IFERROR(__xludf.DUMMYFUNCTION("SPLIT(I1365,""-"")"),75206.0)</f>
        <v>75206</v>
      </c>
    </row>
    <row r="1366">
      <c r="A1366" s="10" t="s">
        <v>1289</v>
      </c>
      <c r="B1366" s="11">
        <v>100.0</v>
      </c>
      <c r="C1366" s="12" t="s">
        <v>1060</v>
      </c>
      <c r="E1366" s="8" t="str">
        <f>IFERROR(__xludf.DUMMYFUNCTION("SPLIT(A1366,""TX"")"),"Heald, Freda
6269 Oram
Dallas, ")</f>
        <v>Heald, Freda
6269 Oram
Dallas, </v>
      </c>
      <c r="F1366" s="8">
        <f>IFERROR(__xludf.DUMMYFUNCTION("""COMPUTED_VALUE"""),75214.0)</f>
        <v>75214</v>
      </c>
      <c r="I1366" s="8">
        <f t="shared" si="17"/>
        <v>75214</v>
      </c>
      <c r="J1366" s="9">
        <f>IFERROR(__xludf.DUMMYFUNCTION("SPLIT(I1366,""-"")"),75214.0)</f>
        <v>75214</v>
      </c>
    </row>
    <row r="1367">
      <c r="A1367" s="5" t="s">
        <v>1290</v>
      </c>
      <c r="B1367" s="6">
        <v>257.94</v>
      </c>
      <c r="C1367" s="7" t="s">
        <v>1060</v>
      </c>
      <c r="E1367" s="8" t="str">
        <f>IFERROR(__xludf.DUMMYFUNCTION("SPLIT(A1367,""TX"")"),"HAMP")</f>
        <v>HAMP</v>
      </c>
      <c r="F1367" s="8" t="str">
        <f>IFERROR(__xludf.DUMMYFUNCTION("""COMPUTED_VALUE"""),"ON, JOANNA
5408 SWISS
DALLAS, ")</f>
        <v>ON, JOANNA
5408 SWISS
DALLAS, </v>
      </c>
      <c r="G1367" s="8">
        <f>IFERROR(__xludf.DUMMYFUNCTION("""COMPUTED_VALUE"""),75214.0)</f>
        <v>75214</v>
      </c>
      <c r="I1367" s="8">
        <f t="shared" si="17"/>
        <v>75214</v>
      </c>
      <c r="J1367" s="9">
        <f>IFERROR(__xludf.DUMMYFUNCTION("SPLIT(I1367,""-"")"),75214.0)</f>
        <v>75214</v>
      </c>
    </row>
    <row r="1368">
      <c r="A1368" s="10" t="s">
        <v>1291</v>
      </c>
      <c r="B1368" s="11">
        <v>206.46</v>
      </c>
      <c r="C1368" s="12" t="s">
        <v>1060</v>
      </c>
      <c r="E1368" s="8" t="str">
        <f>IFERROR(__xludf.DUMMYFUNCTION("SPLIT(A1368,""TX"")"),"ermini, Raymond
3310 Fairmont St.
Dallas, ")</f>
        <v>ermini, Raymond
3310 Fairmont St.
Dallas, </v>
      </c>
      <c r="F1368" s="8">
        <f>IFERROR(__xludf.DUMMYFUNCTION("""COMPUTED_VALUE"""),75201.0)</f>
        <v>75201</v>
      </c>
      <c r="I1368" s="8">
        <f t="shared" si="17"/>
        <v>75201</v>
      </c>
      <c r="J1368" s="9">
        <f>IFERROR(__xludf.DUMMYFUNCTION("SPLIT(I1368,""-"")"),75201.0)</f>
        <v>75201</v>
      </c>
    </row>
    <row r="1369">
      <c r="A1369" s="5" t="s">
        <v>1292</v>
      </c>
      <c r="B1369" s="6">
        <v>100.0</v>
      </c>
      <c r="C1369" s="7" t="s">
        <v>1060</v>
      </c>
      <c r="E1369" s="8" t="str">
        <f>IFERROR(__xludf.DUMMYFUNCTION("SPLIT(A1369,""TX"")"),"Satawake, Bob
5527 Druid Lane
Dallas, ")</f>
        <v>Satawake, Bob
5527 Druid Lane
Dallas, </v>
      </c>
      <c r="F1369" s="8">
        <f>IFERROR(__xludf.DUMMYFUNCTION("""COMPUTED_VALUE"""),75209.0)</f>
        <v>75209</v>
      </c>
      <c r="I1369" s="8">
        <f t="shared" si="17"/>
        <v>75209</v>
      </c>
      <c r="J1369" s="9">
        <f>IFERROR(__xludf.DUMMYFUNCTION("SPLIT(I1369,""-"")"),75209.0)</f>
        <v>75209</v>
      </c>
    </row>
    <row r="1370">
      <c r="A1370" s="10" t="s">
        <v>1293</v>
      </c>
      <c r="B1370" s="11">
        <v>250.0</v>
      </c>
      <c r="C1370" s="12" t="s">
        <v>1060</v>
      </c>
      <c r="E1370" s="8" t="str">
        <f>IFERROR(__xludf.DUMMYFUNCTION("SPLIT(A1370,""TX"")"),"Ginsberg, Carl
2905 Wellborn
Dallas, ")</f>
        <v>Ginsberg, Carl
2905 Wellborn
Dallas, </v>
      </c>
      <c r="F1370" s="8">
        <f>IFERROR(__xludf.DUMMYFUNCTION("""COMPUTED_VALUE"""),75219.0)</f>
        <v>75219</v>
      </c>
      <c r="I1370" s="8">
        <f t="shared" si="17"/>
        <v>75219</v>
      </c>
      <c r="J1370" s="9">
        <f>IFERROR(__xludf.DUMMYFUNCTION("SPLIT(I1370,""-"")"),75219.0)</f>
        <v>75219</v>
      </c>
    </row>
    <row r="1371">
      <c r="A1371" s="5" t="s">
        <v>1294</v>
      </c>
      <c r="B1371" s="6">
        <v>100.0</v>
      </c>
      <c r="C1371" s="7" t="s">
        <v>1060</v>
      </c>
      <c r="E1371" s="8" t="str">
        <f>IFERROR(__xludf.DUMMYFUNCTION("SPLIT(A1371,""TX"")"),"West, ")</f>
        <v>West, </v>
      </c>
      <c r="F1371" s="8" t="str">
        <f>IFERROR(__xludf.DUMMYFUNCTION("""COMPUTED_VALUE"""),"homas
7027 E Grand
Dallas, ")</f>
        <v>homas
7027 E Grand
Dallas, </v>
      </c>
      <c r="G1371" s="8">
        <f>IFERROR(__xludf.DUMMYFUNCTION("""COMPUTED_VALUE"""),75223.0)</f>
        <v>75223</v>
      </c>
      <c r="I1371" s="8">
        <f t="shared" si="17"/>
        <v>75223</v>
      </c>
      <c r="J1371" s="9">
        <f>IFERROR(__xludf.DUMMYFUNCTION("SPLIT(I1371,""-"")"),75223.0)</f>
        <v>75223</v>
      </c>
    </row>
    <row r="1372">
      <c r="A1372" s="10" t="s">
        <v>1295</v>
      </c>
      <c r="B1372" s="11">
        <v>205.46</v>
      </c>
      <c r="C1372" s="12" t="s">
        <v>1060</v>
      </c>
      <c r="E1372" s="8" t="str">
        <f>IFERROR(__xludf.DUMMYFUNCTION("SPLIT(A1372,""TX"")"),"Alston, Norman
506 Monte Vista
Dallas, ")</f>
        <v>Alston, Norman
506 Monte Vista
Dallas, </v>
      </c>
      <c r="F1372" s="8">
        <f>IFERROR(__xludf.DUMMYFUNCTION("""COMPUTED_VALUE"""),75223.0)</f>
        <v>75223</v>
      </c>
      <c r="I1372" s="8">
        <f t="shared" si="17"/>
        <v>75223</v>
      </c>
      <c r="J1372" s="9">
        <f>IFERROR(__xludf.DUMMYFUNCTION("SPLIT(I1372,""-"")"),75223.0)</f>
        <v>75223</v>
      </c>
    </row>
    <row r="1373">
      <c r="A1373" s="5" t="s">
        <v>1296</v>
      </c>
      <c r="B1373" s="6">
        <v>103.48</v>
      </c>
      <c r="C1373" s="7" t="s">
        <v>1060</v>
      </c>
      <c r="E1373" s="8" t="str">
        <f>IFERROR(__xludf.DUMMYFUNCTION("SPLIT(A1373,""TX"")"),"alkington, Kyle
3883 ")</f>
        <v>alkington, Kyle
3883 </v>
      </c>
      <c r="F1373" s="8" t="str">
        <f>IFERROR(__xludf.DUMMYFUNCTION("""COMPUTED_VALUE"""),"urtle Creek
Dallas, ")</f>
        <v>urtle Creek
Dallas, </v>
      </c>
      <c r="G1373" s="8">
        <f>IFERROR(__xludf.DUMMYFUNCTION("""COMPUTED_VALUE"""),75219.0)</f>
        <v>75219</v>
      </c>
      <c r="I1373" s="8">
        <f t="shared" si="17"/>
        <v>75219</v>
      </c>
      <c r="J1373" s="9">
        <f>IFERROR(__xludf.DUMMYFUNCTION("SPLIT(I1373,""-"")"),75219.0)</f>
        <v>75219</v>
      </c>
    </row>
    <row r="1374">
      <c r="A1374" s="10" t="s">
        <v>1297</v>
      </c>
      <c r="B1374" s="11">
        <v>250.0</v>
      </c>
      <c r="C1374" s="12" t="s">
        <v>1060</v>
      </c>
      <c r="E1374" s="8" t="str">
        <f>IFERROR(__xludf.DUMMYFUNCTION("SPLIT(A1374,""TX"")"),"West, Chad
810 N. Bishop Ave
Dallas, ")</f>
        <v>West, Chad
810 N. Bishop Ave
Dallas, </v>
      </c>
      <c r="F1374" s="8">
        <f>IFERROR(__xludf.DUMMYFUNCTION("""COMPUTED_VALUE"""),75208.0)</f>
        <v>75208</v>
      </c>
      <c r="I1374" s="8">
        <f t="shared" si="17"/>
        <v>75208</v>
      </c>
      <c r="J1374" s="9">
        <f>IFERROR(__xludf.DUMMYFUNCTION("SPLIT(I1374,""-"")"),75208.0)</f>
        <v>75208</v>
      </c>
    </row>
    <row r="1375">
      <c r="A1375" s="5" t="s">
        <v>1298</v>
      </c>
      <c r="B1375" s="6">
        <v>154.97</v>
      </c>
      <c r="C1375" s="7" t="s">
        <v>1060</v>
      </c>
      <c r="E1375" s="8" t="str">
        <f>IFERROR(__xludf.DUMMYFUNCTION("SPLIT(A1375,""TX"")"),"Sigler, ")</f>
        <v>Sigler, </v>
      </c>
      <c r="F1375" s="8" t="str">
        <f>IFERROR(__xludf.DUMMYFUNCTION("""COMPUTED_VALUE"""),"imothy
6553 Lake Circle
Dallas, ")</f>
        <v>imothy
6553 Lake Circle
Dallas, </v>
      </c>
      <c r="G1375" s="8">
        <f>IFERROR(__xludf.DUMMYFUNCTION("""COMPUTED_VALUE"""),75214.0)</f>
        <v>75214</v>
      </c>
      <c r="I1375" s="8">
        <f t="shared" si="17"/>
        <v>75214</v>
      </c>
      <c r="J1375" s="9">
        <f>IFERROR(__xludf.DUMMYFUNCTION("SPLIT(I1375,""-"")"),75214.0)</f>
        <v>75214</v>
      </c>
    </row>
    <row r="1376">
      <c r="A1376" s="10" t="s">
        <v>1299</v>
      </c>
      <c r="B1376" s="11">
        <v>250.0</v>
      </c>
      <c r="C1376" s="12" t="s">
        <v>1060</v>
      </c>
      <c r="E1376" s="8" t="str">
        <f>IFERROR(__xludf.DUMMYFUNCTION("SPLIT(A1376,""TX"")"),"Foster, Roger
3118 Ross
Dallas, ")</f>
        <v>Foster, Roger
3118 Ross
Dallas, </v>
      </c>
      <c r="F1376" s="8">
        <f>IFERROR(__xludf.DUMMYFUNCTION("""COMPUTED_VALUE"""),75204.0)</f>
        <v>75204</v>
      </c>
      <c r="I1376" s="8">
        <f t="shared" si="17"/>
        <v>75204</v>
      </c>
      <c r="J1376" s="9">
        <f>IFERROR(__xludf.DUMMYFUNCTION("SPLIT(I1376,""-"")"),75204.0)</f>
        <v>75204</v>
      </c>
    </row>
    <row r="1377">
      <c r="A1377" s="5" t="s">
        <v>377</v>
      </c>
      <c r="B1377" s="6">
        <v>25.0</v>
      </c>
      <c r="C1377" s="7" t="s">
        <v>1060</v>
      </c>
      <c r="E1377" s="8" t="str">
        <f>IFERROR(__xludf.DUMMYFUNCTION("SPLIT(A1377,""TX"")"),"Offutt, Larry
6038 Bryan Parkway
Dallas, ")</f>
        <v>Offutt, Larry
6038 Bryan Parkway
Dallas, </v>
      </c>
      <c r="F1377" s="8">
        <f>IFERROR(__xludf.DUMMYFUNCTION("""COMPUTED_VALUE"""),75206.0)</f>
        <v>75206</v>
      </c>
      <c r="I1377" s="8">
        <f t="shared" si="17"/>
        <v>75206</v>
      </c>
      <c r="J1377" s="9">
        <f>IFERROR(__xludf.DUMMYFUNCTION("SPLIT(I1377,""-"")"),75206.0)</f>
        <v>75206</v>
      </c>
    </row>
    <row r="1378">
      <c r="A1378" s="10" t="s">
        <v>1300</v>
      </c>
      <c r="B1378" s="11">
        <v>10.0</v>
      </c>
      <c r="C1378" s="12" t="s">
        <v>1060</v>
      </c>
      <c r="E1378" s="8" t="str">
        <f>IFERROR(__xludf.DUMMYFUNCTION("SPLIT(A1378,""TX"")"),"Ehrhardt, Harryette
3525 ")</f>
        <v>Ehrhardt, Harryette
3525 </v>
      </c>
      <c r="F1378" s="8" t="str">
        <f>IFERROR(__xludf.DUMMYFUNCTION("""COMPUTED_VALUE"""),"urtle Creek
Dallas, ")</f>
        <v>urtle Creek
Dallas, </v>
      </c>
      <c r="G1378" s="8">
        <f>IFERROR(__xludf.DUMMYFUNCTION("""COMPUTED_VALUE"""),75219.0)</f>
        <v>75219</v>
      </c>
      <c r="I1378" s="8">
        <f t="shared" si="17"/>
        <v>75219</v>
      </c>
      <c r="J1378" s="9">
        <f>IFERROR(__xludf.DUMMYFUNCTION("SPLIT(I1378,""-"")"),75219.0)</f>
        <v>75219</v>
      </c>
    </row>
    <row r="1379">
      <c r="A1379" s="5" t="s">
        <v>1301</v>
      </c>
      <c r="B1379" s="6">
        <v>75.0</v>
      </c>
      <c r="C1379" s="7" t="s">
        <v>1060</v>
      </c>
      <c r="E1379" s="8" t="str">
        <f>IFERROR(__xludf.DUMMYFUNCTION("SPLIT(A1379,""TX"")"),"Howells, Mary
6005 Swiss
Dallas, ")</f>
        <v>Howells, Mary
6005 Swiss
Dallas, </v>
      </c>
      <c r="F1379" s="8">
        <f>IFERROR(__xludf.DUMMYFUNCTION("""COMPUTED_VALUE"""),75214.0)</f>
        <v>75214</v>
      </c>
      <c r="I1379" s="8">
        <f t="shared" si="17"/>
        <v>75214</v>
      </c>
      <c r="J1379" s="9">
        <f>IFERROR(__xludf.DUMMYFUNCTION("SPLIT(I1379,""-"")"),75214.0)</f>
        <v>75214</v>
      </c>
    </row>
    <row r="1380">
      <c r="A1380" s="10" t="s">
        <v>1302</v>
      </c>
      <c r="B1380" s="11">
        <v>26.25</v>
      </c>
      <c r="C1380" s="12" t="s">
        <v>1060</v>
      </c>
      <c r="E1380" s="8" t="str">
        <f>IFERROR(__xludf.DUMMYFUNCTION("SPLIT(A1380,""TX"")"),"Very, Libby
3525 ")</f>
        <v>Very, Libby
3525 </v>
      </c>
      <c r="F1380" s="8" t="str">
        <f>IFERROR(__xludf.DUMMYFUNCTION("""COMPUTED_VALUE"""),"urtle Creek
Dallas, ")</f>
        <v>urtle Creek
Dallas, </v>
      </c>
      <c r="G1380" s="8">
        <f>IFERROR(__xludf.DUMMYFUNCTION("""COMPUTED_VALUE"""),75219.0)</f>
        <v>75219</v>
      </c>
      <c r="I1380" s="8">
        <f t="shared" si="17"/>
        <v>75219</v>
      </c>
      <c r="J1380" s="9">
        <f>IFERROR(__xludf.DUMMYFUNCTION("SPLIT(I1380,""-"")"),75219.0)</f>
        <v>75219</v>
      </c>
    </row>
    <row r="1381">
      <c r="A1381" s="5" t="s">
        <v>1303</v>
      </c>
      <c r="B1381" s="6">
        <v>1000.0</v>
      </c>
      <c r="C1381" s="7" t="s">
        <v>1060</v>
      </c>
      <c r="E1381" s="8" t="str">
        <f>IFERROR(__xludf.DUMMYFUNCTION("SPLIT(A1381,""TX"")"),"Kingston, Melissa
5901 Belmont
Dallas, ")</f>
        <v>Kingston, Melissa
5901 Belmont
Dallas, </v>
      </c>
      <c r="F1381" s="8">
        <f>IFERROR(__xludf.DUMMYFUNCTION("""COMPUTED_VALUE"""),75206.0)</f>
        <v>75206</v>
      </c>
      <c r="I1381" s="8">
        <f t="shared" si="17"/>
        <v>75206</v>
      </c>
      <c r="J1381" s="9">
        <f>IFERROR(__xludf.DUMMYFUNCTION("SPLIT(I1381,""-"")"),75206.0)</f>
        <v>75206</v>
      </c>
    </row>
    <row r="1382">
      <c r="A1382" s="10" t="s">
        <v>1304</v>
      </c>
      <c r="B1382" s="11">
        <v>309.43</v>
      </c>
      <c r="C1382" s="12" t="s">
        <v>1060</v>
      </c>
      <c r="E1382" s="8" t="str">
        <f>IFERROR(__xludf.DUMMYFUNCTION("SPLIT(A1382,""TX"")"),"Scudder, Kendall
PO Box 140981
Dallas, ")</f>
        <v>Scudder, Kendall
PO Box 140981
Dallas, </v>
      </c>
      <c r="F1382" s="8">
        <f>IFERROR(__xludf.DUMMYFUNCTION("""COMPUTED_VALUE"""),75214.0)</f>
        <v>75214</v>
      </c>
      <c r="I1382" s="8">
        <f t="shared" si="17"/>
        <v>75214</v>
      </c>
      <c r="J1382" s="9">
        <f>IFERROR(__xludf.DUMMYFUNCTION("SPLIT(I1382,""-"")"),75214.0)</f>
        <v>75214</v>
      </c>
    </row>
    <row r="1383">
      <c r="A1383" s="5" t="s">
        <v>1305</v>
      </c>
      <c r="B1383" s="6">
        <v>100.0</v>
      </c>
      <c r="C1383" s="7" t="s">
        <v>1060</v>
      </c>
      <c r="E1383" s="8" t="str">
        <f>IFERROR(__xludf.DUMMYFUNCTION("SPLIT(A1383,""TX"")"),"Smith, William
3523 ")</f>
        <v>Smith, William
3523 </v>
      </c>
      <c r="F1383" s="8" t="str">
        <f>IFERROR(__xludf.DUMMYFUNCTION("""COMPUTED_VALUE"""),"urtle Creek
Dallas, ")</f>
        <v>urtle Creek
Dallas, </v>
      </c>
      <c r="G1383" s="8">
        <f>IFERROR(__xludf.DUMMYFUNCTION("""COMPUTED_VALUE"""),75219.0)</f>
        <v>75219</v>
      </c>
      <c r="I1383" s="8">
        <f t="shared" si="17"/>
        <v>75219</v>
      </c>
      <c r="J1383" s="9">
        <f>IFERROR(__xludf.DUMMYFUNCTION("SPLIT(I1383,""-"")"),75219.0)</f>
        <v>75219</v>
      </c>
    </row>
    <row r="1384">
      <c r="A1384" s="10" t="s">
        <v>1306</v>
      </c>
      <c r="B1384" s="11">
        <v>51.99</v>
      </c>
      <c r="C1384" s="12" t="s">
        <v>1060</v>
      </c>
      <c r="E1384" s="8" t="str">
        <f>IFERROR(__xludf.DUMMYFUNCTION("SPLIT(A1384,""TX"")"),"Roberts, Karen
502 Cameron
Dallas, ")</f>
        <v>Roberts, Karen
502 Cameron
Dallas, </v>
      </c>
      <c r="F1384" s="8">
        <f>IFERROR(__xludf.DUMMYFUNCTION("""COMPUTED_VALUE"""),75223.0)</f>
        <v>75223</v>
      </c>
      <c r="I1384" s="8">
        <f t="shared" si="17"/>
        <v>75223</v>
      </c>
      <c r="J1384" s="9">
        <f>IFERROR(__xludf.DUMMYFUNCTION("SPLIT(I1384,""-"")"),75223.0)</f>
        <v>75223</v>
      </c>
    </row>
    <row r="1385">
      <c r="A1385" s="5" t="s">
        <v>1307</v>
      </c>
      <c r="B1385" s="6">
        <v>500.0</v>
      </c>
      <c r="C1385" s="7" t="s">
        <v>1060</v>
      </c>
      <c r="E1385" s="8" t="str">
        <f>IFERROR(__xludf.DUMMYFUNCTION("SPLIT(A1385,""TX"")"),"Hetzel, Jonathan
7002 Vivian
Dallas, ")</f>
        <v>Hetzel, Jonathan
7002 Vivian
Dallas, </v>
      </c>
      <c r="F1385" s="8">
        <f>IFERROR(__xludf.DUMMYFUNCTION("""COMPUTED_VALUE"""),75223.0)</f>
        <v>75223</v>
      </c>
      <c r="I1385" s="8">
        <f t="shared" si="17"/>
        <v>75223</v>
      </c>
      <c r="J1385" s="9">
        <f>IFERROR(__xludf.DUMMYFUNCTION("SPLIT(I1385,""-"")"),75223.0)</f>
        <v>75223</v>
      </c>
    </row>
    <row r="1386">
      <c r="A1386" s="10" t="s">
        <v>1308</v>
      </c>
      <c r="B1386" s="11">
        <v>51.99</v>
      </c>
      <c r="C1386" s="12" t="s">
        <v>1060</v>
      </c>
      <c r="E1386" s="8" t="str">
        <f>IFERROR(__xludf.DUMMYFUNCTION("SPLIT(A1386,""TX"")"),"Pleasants, Chrystin
4920 ")</f>
        <v>Pleasants, Chrystin
4920 </v>
      </c>
      <c r="F1386" s="8" t="str">
        <f>IFERROR(__xludf.DUMMYFUNCTION("""COMPUTED_VALUE"""),"remont
Dallas, ")</f>
        <v>remont
Dallas, </v>
      </c>
      <c r="G1386" s="8">
        <f>IFERROR(__xludf.DUMMYFUNCTION("""COMPUTED_VALUE"""),75214.0)</f>
        <v>75214</v>
      </c>
      <c r="I1386" s="8">
        <f t="shared" si="17"/>
        <v>75214</v>
      </c>
      <c r="J1386" s="9">
        <f>IFERROR(__xludf.DUMMYFUNCTION("SPLIT(I1386,""-"")"),75214.0)</f>
        <v>75214</v>
      </c>
    </row>
    <row r="1387">
      <c r="A1387" s="5" t="s">
        <v>1309</v>
      </c>
      <c r="B1387" s="6">
        <v>1000.0</v>
      </c>
      <c r="C1387" s="7" t="s">
        <v>1060</v>
      </c>
      <c r="E1387" s="8" t="str">
        <f>IFERROR(__xludf.DUMMYFUNCTION("SPLIT(A1387,""TX"")"),"Love, John
6006 Vanderbilt
Dallas, ")</f>
        <v>Love, John
6006 Vanderbilt
Dallas, </v>
      </c>
      <c r="F1387" s="8">
        <f>IFERROR(__xludf.DUMMYFUNCTION("""COMPUTED_VALUE"""),75206.0)</f>
        <v>75206</v>
      </c>
      <c r="I1387" s="8">
        <f t="shared" si="17"/>
        <v>75206</v>
      </c>
      <c r="J1387" s="9">
        <f>IFERROR(__xludf.DUMMYFUNCTION("SPLIT(I1387,""-"")"),75206.0)</f>
        <v>75206</v>
      </c>
    </row>
    <row r="1388">
      <c r="A1388" s="10" t="s">
        <v>1310</v>
      </c>
      <c r="B1388" s="11">
        <v>100.0</v>
      </c>
      <c r="C1388" s="12" t="s">
        <v>1060</v>
      </c>
      <c r="E1388" s="8" t="str">
        <f>IFERROR(__xludf.DUMMYFUNCTION("SPLIT(A1388,""TX"")"),"Willingham, Clark
3525 ")</f>
        <v>Willingham, Clark
3525 </v>
      </c>
      <c r="F1388" s="8" t="str">
        <f>IFERROR(__xludf.DUMMYFUNCTION("""COMPUTED_VALUE"""),"urtle Creek
Dallas, ")</f>
        <v>urtle Creek
Dallas, </v>
      </c>
      <c r="G1388" s="8">
        <f>IFERROR(__xludf.DUMMYFUNCTION("""COMPUTED_VALUE"""),75219.0)</f>
        <v>75219</v>
      </c>
      <c r="I1388" s="8">
        <f t="shared" si="17"/>
        <v>75219</v>
      </c>
      <c r="J1388" s="9">
        <f>IFERROR(__xludf.DUMMYFUNCTION("SPLIT(I1388,""-"")"),75219.0)</f>
        <v>75219</v>
      </c>
    </row>
    <row r="1389">
      <c r="A1389" s="5" t="s">
        <v>1311</v>
      </c>
      <c r="B1389" s="6">
        <v>100.0</v>
      </c>
      <c r="C1389" s="7" t="s">
        <v>1060</v>
      </c>
      <c r="E1389" s="8" t="str">
        <f>IFERROR(__xludf.DUMMYFUNCTION("SPLIT(A1389,""TX"")"),"Clay, Barbara
8246 Forest Hills Blvd
Dallas, ")</f>
        <v>Clay, Barbara
8246 Forest Hills Blvd
Dallas, </v>
      </c>
      <c r="F1389" s="8">
        <f>IFERROR(__xludf.DUMMYFUNCTION("""COMPUTED_VALUE"""),75218.0)</f>
        <v>75218</v>
      </c>
      <c r="I1389" s="8">
        <f t="shared" si="17"/>
        <v>75218</v>
      </c>
      <c r="J1389" s="9">
        <f>IFERROR(__xludf.DUMMYFUNCTION("SPLIT(I1389,""-"")"),75218.0)</f>
        <v>75218</v>
      </c>
    </row>
    <row r="1390">
      <c r="A1390" s="10" t="s">
        <v>1312</v>
      </c>
      <c r="B1390" s="11">
        <v>309.43</v>
      </c>
      <c r="C1390" s="12" t="s">
        <v>1060</v>
      </c>
      <c r="E1390" s="8" t="str">
        <f>IFERROR(__xludf.DUMMYFUNCTION("SPLIT(A1390,""TX"")"),"Cable, Caron
PO Box 583
Canton, ")</f>
        <v>Cable, Caron
PO Box 583
Canton, </v>
      </c>
      <c r="F1390" s="8">
        <f>IFERROR(__xludf.DUMMYFUNCTION("""COMPUTED_VALUE"""),75103.0)</f>
        <v>75103</v>
      </c>
      <c r="I1390" s="8">
        <f t="shared" si="17"/>
        <v>75103</v>
      </c>
      <c r="J1390" s="9">
        <f>IFERROR(__xludf.DUMMYFUNCTION("SPLIT(I1390,""-"")"),75103.0)</f>
        <v>75103</v>
      </c>
    </row>
    <row r="1391">
      <c r="A1391" s="5" t="s">
        <v>1313</v>
      </c>
      <c r="B1391" s="6">
        <v>103.48</v>
      </c>
      <c r="C1391" s="7" t="s">
        <v>1060</v>
      </c>
      <c r="E1391" s="8" t="str">
        <f>IFERROR(__xludf.DUMMYFUNCTION("SPLIT(A1391,""TX"")"),"Rogers, Kevin
6312 Bryan Parkway
Dallas, ")</f>
        <v>Rogers, Kevin
6312 Bryan Parkway
Dallas, </v>
      </c>
      <c r="F1391" s="8">
        <f>IFERROR(__xludf.DUMMYFUNCTION("""COMPUTED_VALUE"""),75214.0)</f>
        <v>75214</v>
      </c>
      <c r="I1391" s="8">
        <f t="shared" si="17"/>
        <v>75214</v>
      </c>
      <c r="J1391" s="9">
        <f>IFERROR(__xludf.DUMMYFUNCTION("SPLIT(I1391,""-"")"),75214.0)</f>
        <v>75214</v>
      </c>
    </row>
    <row r="1392">
      <c r="A1392" s="10" t="s">
        <v>1314</v>
      </c>
      <c r="B1392" s="11">
        <v>1000.0</v>
      </c>
      <c r="C1392" s="12" t="s">
        <v>1060</v>
      </c>
      <c r="E1392" s="8" t="str">
        <f>IFERROR(__xludf.DUMMYFUNCTION("SPLIT(A1392,""TX"")"),"Burk, Leland
8215 Westchester
Dallas, ")</f>
        <v>Burk, Leland
8215 Westchester
Dallas, </v>
      </c>
      <c r="F1392" s="8">
        <f>IFERROR(__xludf.DUMMYFUNCTION("""COMPUTED_VALUE"""),75225.0)</f>
        <v>75225</v>
      </c>
      <c r="I1392" s="8">
        <f t="shared" si="17"/>
        <v>75225</v>
      </c>
      <c r="J1392" s="9">
        <f>IFERROR(__xludf.DUMMYFUNCTION("SPLIT(I1392,""-"")"),75225.0)</f>
        <v>75225</v>
      </c>
    </row>
    <row r="1393">
      <c r="A1393" s="5" t="s">
        <v>210</v>
      </c>
      <c r="B1393" s="6">
        <v>100.0</v>
      </c>
      <c r="C1393" s="7" t="s">
        <v>1060</v>
      </c>
      <c r="E1393" s="8" t="str">
        <f>IFERROR(__xludf.DUMMYFUNCTION("SPLIT(A1393,""TX"")"),"Haley, Clinton
6311 Club Lake Ct
Dallas, ")</f>
        <v>Haley, Clinton
6311 Club Lake Ct
Dallas, </v>
      </c>
      <c r="F1393" s="8">
        <f>IFERROR(__xludf.DUMMYFUNCTION("""COMPUTED_VALUE"""),75214.0)</f>
        <v>75214</v>
      </c>
      <c r="I1393" s="8">
        <f t="shared" si="17"/>
        <v>75214</v>
      </c>
      <c r="J1393" s="9">
        <f>IFERROR(__xludf.DUMMYFUNCTION("SPLIT(I1393,""-"")"),75214.0)</f>
        <v>75214</v>
      </c>
    </row>
    <row r="1394">
      <c r="A1394" s="10" t="s">
        <v>1315</v>
      </c>
      <c r="B1394" s="11">
        <v>500.0</v>
      </c>
      <c r="C1394" s="12" t="s">
        <v>1148</v>
      </c>
      <c r="E1394" s="8" t="str">
        <f>IFERROR(__xludf.DUMMYFUNCTION("SPLIT(A1394,""TX"")"),"enpenny, Stephen
1330 Willis Ln.
Keller, ")</f>
        <v>enpenny, Stephen
1330 Willis Ln.
Keller, </v>
      </c>
      <c r="F1394" s="8">
        <f>IFERROR(__xludf.DUMMYFUNCTION("""COMPUTED_VALUE"""),76248.0)</f>
        <v>76248</v>
      </c>
      <c r="I1394" s="8">
        <f t="shared" si="17"/>
        <v>76248</v>
      </c>
      <c r="J1394" s="9">
        <f>IFERROR(__xludf.DUMMYFUNCTION("SPLIT(I1394,""-"")"),76248.0)</f>
        <v>76248</v>
      </c>
    </row>
    <row r="1395">
      <c r="A1395" s="5" t="s">
        <v>1316</v>
      </c>
      <c r="B1395" s="6">
        <v>500.0</v>
      </c>
      <c r="C1395" s="7" t="s">
        <v>1148</v>
      </c>
      <c r="E1395" s="8" t="str">
        <f>IFERROR(__xludf.DUMMYFUNCTION("SPLIT(A1395,""TX"")"),"Walne, Walter Alan
10020 Caribou ")</f>
        <v>Walne, Walter Alan
10020 Caribou </v>
      </c>
      <c r="F1395" s="8" t="str">
        <f>IFERROR(__xludf.DUMMYFUNCTION("""COMPUTED_VALUE"""),"rail
Dallas, ")</f>
        <v>rail
Dallas, </v>
      </c>
      <c r="G1395" s="8">
        <f>IFERROR(__xludf.DUMMYFUNCTION("""COMPUTED_VALUE"""),75238.0)</f>
        <v>75238</v>
      </c>
      <c r="I1395" s="8">
        <f t="shared" si="17"/>
        <v>75238</v>
      </c>
      <c r="J1395" s="9">
        <f>IFERROR(__xludf.DUMMYFUNCTION("SPLIT(I1395,""-"")"),75238.0)</f>
        <v>75238</v>
      </c>
    </row>
    <row r="1396">
      <c r="A1396" s="10" t="s">
        <v>1317</v>
      </c>
      <c r="B1396" s="11">
        <v>100.0</v>
      </c>
      <c r="C1396" s="12" t="s">
        <v>1148</v>
      </c>
      <c r="E1396" s="8" t="str">
        <f>IFERROR(__xludf.DUMMYFUNCTION("SPLIT(A1396,""TX"")"),"Eubank, Karen
627 Valencia St.
Dallas, ")</f>
        <v>Eubank, Karen
627 Valencia St.
Dallas, </v>
      </c>
      <c r="F1396" s="8">
        <f>IFERROR(__xludf.DUMMYFUNCTION("""COMPUTED_VALUE"""),75223.0)</f>
        <v>75223</v>
      </c>
      <c r="I1396" s="8">
        <f t="shared" si="17"/>
        <v>75223</v>
      </c>
      <c r="J1396" s="9">
        <f>IFERROR(__xludf.DUMMYFUNCTION("SPLIT(I1396,""-"")"),75223.0)</f>
        <v>75223</v>
      </c>
    </row>
    <row r="1397">
      <c r="A1397" s="5" t="s">
        <v>1318</v>
      </c>
      <c r="B1397" s="6">
        <v>100.0</v>
      </c>
      <c r="C1397" s="7" t="s">
        <v>1148</v>
      </c>
      <c r="E1397" s="8" t="str">
        <f>IFERROR(__xludf.DUMMYFUNCTION("SPLIT(A1397,""TX"")"),"homas, Jenny
6932 Santa Monica Dr.
Dallas, ")</f>
        <v>homas, Jenny
6932 Santa Monica Dr.
Dallas, </v>
      </c>
      <c r="F1397" s="8">
        <f>IFERROR(__xludf.DUMMYFUNCTION("""COMPUTED_VALUE"""),75223.0)</f>
        <v>75223</v>
      </c>
      <c r="I1397" s="8">
        <f t="shared" si="17"/>
        <v>75223</v>
      </c>
      <c r="J1397" s="9">
        <f>IFERROR(__xludf.DUMMYFUNCTION("SPLIT(I1397,""-"")"),75223.0)</f>
        <v>75223</v>
      </c>
    </row>
    <row r="1398">
      <c r="A1398" s="10" t="s">
        <v>1319</v>
      </c>
      <c r="B1398" s="11">
        <v>1000.0</v>
      </c>
      <c r="C1398" s="12" t="s">
        <v>1148</v>
      </c>
      <c r="E1398" s="8" t="str">
        <f>IFERROR(__xludf.DUMMYFUNCTION("SPLIT(A1398,""TX"")"),"Hasbany, Maria
3509 Hillbrook St.
Dallas, ")</f>
        <v>Hasbany, Maria
3509 Hillbrook St.
Dallas, </v>
      </c>
      <c r="F1398" s="8">
        <f>IFERROR(__xludf.DUMMYFUNCTION("""COMPUTED_VALUE"""),75214.0)</f>
        <v>75214</v>
      </c>
      <c r="I1398" s="8">
        <f t="shared" si="17"/>
        <v>75214</v>
      </c>
      <c r="J1398" s="9">
        <f>IFERROR(__xludf.DUMMYFUNCTION("SPLIT(I1398,""-"")"),75214.0)</f>
        <v>75214</v>
      </c>
    </row>
    <row r="1399">
      <c r="A1399" s="5" t="s">
        <v>1320</v>
      </c>
      <c r="B1399" s="6">
        <v>100.0</v>
      </c>
      <c r="C1399" s="7" t="s">
        <v>1148</v>
      </c>
      <c r="E1399" s="8" t="str">
        <f>IFERROR(__xludf.DUMMYFUNCTION("SPLIT(A1399,""TX"")"),"Stauble, Julie
523 Clemont Ave.
Dallas, ")</f>
        <v>Stauble, Julie
523 Clemont Ave.
Dallas, </v>
      </c>
      <c r="F1399" s="8">
        <f>IFERROR(__xludf.DUMMYFUNCTION("""COMPUTED_VALUE"""),75223.0)</f>
        <v>75223</v>
      </c>
      <c r="I1399" s="8">
        <f t="shared" si="17"/>
        <v>75223</v>
      </c>
      <c r="J1399" s="9">
        <f>IFERROR(__xludf.DUMMYFUNCTION("SPLIT(I1399,""-"")"),75223.0)</f>
        <v>75223</v>
      </c>
    </row>
    <row r="1400">
      <c r="A1400" s="10" t="s">
        <v>670</v>
      </c>
      <c r="B1400" s="11">
        <v>500.0</v>
      </c>
      <c r="C1400" s="12" t="s">
        <v>1148</v>
      </c>
      <c r="E1400" s="8" t="str">
        <f>IFERROR(__xludf.DUMMYFUNCTION("SPLIT(A1400,""TX"")"),"Collins-Bratton, Calvert
4738 Hallmark Dr.
Dallas, ")</f>
        <v>Collins-Bratton, Calvert
4738 Hallmark Dr.
Dallas, </v>
      </c>
      <c r="F1400" s="8">
        <f>IFERROR(__xludf.DUMMYFUNCTION("""COMPUTED_VALUE"""),75229.0)</f>
        <v>75229</v>
      </c>
      <c r="I1400" s="8">
        <f t="shared" si="17"/>
        <v>75229</v>
      </c>
      <c r="J1400" s="9">
        <f>IFERROR(__xludf.DUMMYFUNCTION("SPLIT(I1400,""-"")"),75229.0)</f>
        <v>75229</v>
      </c>
    </row>
    <row r="1401">
      <c r="A1401" s="5" t="s">
        <v>1321</v>
      </c>
      <c r="B1401" s="6">
        <v>50.0</v>
      </c>
      <c r="C1401" s="7" t="s">
        <v>1148</v>
      </c>
      <c r="E1401" s="8" t="str">
        <f>IFERROR(__xludf.DUMMYFUNCTION("SPLIT(A1401,""TX"")"),"Buckholt, Melanie
5419 Vickery Blvd.
Dallas, ")</f>
        <v>Buckholt, Melanie
5419 Vickery Blvd.
Dallas, </v>
      </c>
      <c r="F1401" s="8">
        <f>IFERROR(__xludf.DUMMYFUNCTION("""COMPUTED_VALUE"""),75206.0)</f>
        <v>75206</v>
      </c>
      <c r="I1401" s="8">
        <f t="shared" si="17"/>
        <v>75206</v>
      </c>
      <c r="J1401" s="9">
        <f>IFERROR(__xludf.DUMMYFUNCTION("SPLIT(I1401,""-"")"),75206.0)</f>
        <v>75206</v>
      </c>
    </row>
    <row r="1402">
      <c r="A1402" s="10" t="s">
        <v>1322</v>
      </c>
      <c r="B1402" s="11">
        <v>100.0</v>
      </c>
      <c r="C1402" s="12" t="s">
        <v>1148</v>
      </c>
      <c r="E1402" s="8" t="str">
        <f>IFERROR(__xludf.DUMMYFUNCTION("SPLIT(A1402,""TX"")"),"Elam, Louise
8522 Vista View Dr.
Dallas, ")</f>
        <v>Elam, Louise
8522 Vista View Dr.
Dallas, </v>
      </c>
      <c r="F1402" s="8">
        <f>IFERROR(__xludf.DUMMYFUNCTION("""COMPUTED_VALUE"""),75243.0)</f>
        <v>75243</v>
      </c>
      <c r="I1402" s="8">
        <f t="shared" si="17"/>
        <v>75243</v>
      </c>
      <c r="J1402" s="9">
        <f>IFERROR(__xludf.DUMMYFUNCTION("SPLIT(I1402,""-"")"),75243.0)</f>
        <v>75243</v>
      </c>
    </row>
    <row r="1403">
      <c r="A1403" s="5" t="s">
        <v>1323</v>
      </c>
      <c r="B1403" s="6">
        <v>50.0</v>
      </c>
      <c r="C1403" s="7" t="s">
        <v>1148</v>
      </c>
      <c r="E1403" s="8" t="str">
        <f>IFERROR(__xludf.DUMMYFUNCTION("SPLIT(A1403,""TX"")"),"ONeil, Alex
7107 Santa Fe Ave.
Dallas, ")</f>
        <v>ONeil, Alex
7107 Santa Fe Ave.
Dallas, </v>
      </c>
      <c r="F1403" s="8">
        <f>IFERROR(__xludf.DUMMYFUNCTION("""COMPUTED_VALUE"""),75223.0)</f>
        <v>75223</v>
      </c>
      <c r="I1403" s="8">
        <f t="shared" si="17"/>
        <v>75223</v>
      </c>
      <c r="J1403" s="9">
        <f>IFERROR(__xludf.DUMMYFUNCTION("SPLIT(I1403,""-"")"),75223.0)</f>
        <v>75223</v>
      </c>
    </row>
    <row r="1404">
      <c r="A1404" s="10" t="s">
        <v>1324</v>
      </c>
      <c r="B1404" s="11">
        <v>200.0</v>
      </c>
      <c r="C1404" s="12" t="s">
        <v>1148</v>
      </c>
      <c r="E1404" s="8" t="str">
        <f>IFERROR(__xludf.DUMMYFUNCTION("SPLIT(A1404,""TX"")"),"Salvaggio, Patricia
5701 Belmont Ave.
Dallas, ")</f>
        <v>Salvaggio, Patricia
5701 Belmont Ave.
Dallas, </v>
      </c>
      <c r="F1404" s="8">
        <f>IFERROR(__xludf.DUMMYFUNCTION("""COMPUTED_VALUE"""),75206.0)</f>
        <v>75206</v>
      </c>
      <c r="I1404" s="8">
        <f t="shared" si="17"/>
        <v>75206</v>
      </c>
      <c r="J1404" s="9">
        <f>IFERROR(__xludf.DUMMYFUNCTION("SPLIT(I1404,""-"")"),75206.0)</f>
        <v>75206</v>
      </c>
    </row>
    <row r="1405">
      <c r="A1405" s="5" t="s">
        <v>1325</v>
      </c>
      <c r="B1405" s="6">
        <v>100.0</v>
      </c>
      <c r="C1405" s="7" t="s">
        <v>1148</v>
      </c>
      <c r="E1405" s="8" t="str">
        <f>IFERROR(__xludf.DUMMYFUNCTION("SPLIT(A1405,""TX"")"),"Crum, Christina
6006 Palo Pinto Ave.
Dallas, ")</f>
        <v>Crum, Christina
6006 Palo Pinto Ave.
Dallas, </v>
      </c>
      <c r="F1405" s="8">
        <f>IFERROR(__xludf.DUMMYFUNCTION("""COMPUTED_VALUE"""),75206.0)</f>
        <v>75206</v>
      </c>
      <c r="I1405" s="8">
        <f t="shared" si="17"/>
        <v>75206</v>
      </c>
      <c r="J1405" s="9">
        <f>IFERROR(__xludf.DUMMYFUNCTION("SPLIT(I1405,""-"")"),75206.0)</f>
        <v>75206</v>
      </c>
    </row>
    <row r="1406">
      <c r="A1406" s="10" t="s">
        <v>1326</v>
      </c>
      <c r="B1406" s="11">
        <v>100.0</v>
      </c>
      <c r="C1406" s="12" t="s">
        <v>1148</v>
      </c>
      <c r="E1406" s="8" t="str">
        <f>IFERROR(__xludf.DUMMYFUNCTION("SPLIT(A1406,""TX"")"),"Yates, Marian
1131 Amistad Dr.
Prosper, ")</f>
        <v>Yates, Marian
1131 Amistad Dr.
Prosper, </v>
      </c>
      <c r="F1406" s="8">
        <f>IFERROR(__xludf.DUMMYFUNCTION("""COMPUTED_VALUE"""),75078.0)</f>
        <v>75078</v>
      </c>
      <c r="I1406" s="8">
        <f t="shared" si="17"/>
        <v>75078</v>
      </c>
      <c r="J1406" s="9">
        <f>IFERROR(__xludf.DUMMYFUNCTION("SPLIT(I1406,""-"")"),75078.0)</f>
        <v>75078</v>
      </c>
    </row>
    <row r="1407">
      <c r="A1407" s="5" t="s">
        <v>1327</v>
      </c>
      <c r="B1407" s="6">
        <v>100.0</v>
      </c>
      <c r="C1407" s="7" t="s">
        <v>1148</v>
      </c>
      <c r="E1407" s="8" t="str">
        <f>IFERROR(__xludf.DUMMYFUNCTION("SPLIT(A1407,""TX"")"),"Abtahi, Bobby
1126 North Zang Blvd.
Dallas, ")</f>
        <v>Abtahi, Bobby
1126 North Zang Blvd.
Dallas, </v>
      </c>
      <c r="F1407" s="8">
        <f>IFERROR(__xludf.DUMMYFUNCTION("""COMPUTED_VALUE"""),75203.0)</f>
        <v>75203</v>
      </c>
      <c r="I1407" s="8">
        <f t="shared" si="17"/>
        <v>75203</v>
      </c>
      <c r="J1407" s="9">
        <f>IFERROR(__xludf.DUMMYFUNCTION("SPLIT(I1407,""-"")"),75203.0)</f>
        <v>75203</v>
      </c>
    </row>
    <row r="1408">
      <c r="A1408" s="10" t="s">
        <v>1328</v>
      </c>
      <c r="B1408" s="11">
        <v>100.0</v>
      </c>
      <c r="C1408" s="12" t="s">
        <v>1148</v>
      </c>
      <c r="E1408" s="8" t="str">
        <f>IFERROR(__xludf.DUMMYFUNCTION("SPLIT(A1408,""TX"")"),"Melnick, Susan
2316 Kessler Pkwy.
Dallas, ")</f>
        <v>Melnick, Susan
2316 Kessler Pkwy.
Dallas, </v>
      </c>
      <c r="F1408" s="8">
        <f>IFERROR(__xludf.DUMMYFUNCTION("""COMPUTED_VALUE"""),75208.0)</f>
        <v>75208</v>
      </c>
      <c r="I1408" s="8">
        <f t="shared" si="17"/>
        <v>75208</v>
      </c>
      <c r="J1408" s="9">
        <f>IFERROR(__xludf.DUMMYFUNCTION("SPLIT(I1408,""-"")"),75208.0)</f>
        <v>75208</v>
      </c>
    </row>
    <row r="1409">
      <c r="A1409" s="5" t="s">
        <v>1329</v>
      </c>
      <c r="B1409" s="6">
        <v>500.0</v>
      </c>
      <c r="C1409" s="7" t="s">
        <v>1148</v>
      </c>
      <c r="E1409" s="8" t="str">
        <f>IFERROR(__xludf.DUMMYFUNCTION("SPLIT(A1409,""TX"")"),"Callahan, ")</f>
        <v>Callahan, </v>
      </c>
      <c r="F1409" s="8" t="str">
        <f>IFERROR(__xludf.DUMMYFUNCTION("""COMPUTED_VALUE"""),"ena
7119 Santa Fe Ave.
Dallas, ")</f>
        <v>ena
7119 Santa Fe Ave.
Dallas, </v>
      </c>
      <c r="G1409" s="8">
        <f>IFERROR(__xludf.DUMMYFUNCTION("""COMPUTED_VALUE"""),75223.0)</f>
        <v>75223</v>
      </c>
      <c r="I1409" s="8">
        <f t="shared" si="17"/>
        <v>75223</v>
      </c>
      <c r="J1409" s="9">
        <f>IFERROR(__xludf.DUMMYFUNCTION("SPLIT(I1409,""-"")"),75223.0)</f>
        <v>75223</v>
      </c>
    </row>
    <row r="1410">
      <c r="A1410" s="10" t="s">
        <v>1330</v>
      </c>
      <c r="B1410" s="11">
        <v>500.0</v>
      </c>
      <c r="C1410" s="12" t="s">
        <v>1148</v>
      </c>
      <c r="E1410" s="8" t="str">
        <f>IFERROR(__xludf.DUMMYFUNCTION("SPLIT(A1410,""TX"")"),"Schulz, ")</f>
        <v>Schulz, </v>
      </c>
      <c r="F1410" s="8" t="str">
        <f>IFERROR(__xludf.DUMMYFUNCTION("""COMPUTED_VALUE"""),"heresa
807 Green Hills Rd.
Duncanville, ")</f>
        <v>heresa
807 Green Hills Rd.
Duncanville, </v>
      </c>
      <c r="G1410" s="8">
        <f>IFERROR(__xludf.DUMMYFUNCTION("""COMPUTED_VALUE"""),75137.0)</f>
        <v>75137</v>
      </c>
      <c r="I1410" s="8">
        <f t="shared" si="17"/>
        <v>75137</v>
      </c>
      <c r="J1410" s="9">
        <f>IFERROR(__xludf.DUMMYFUNCTION("SPLIT(I1410,""-"")"),75137.0)</f>
        <v>75137</v>
      </c>
    </row>
    <row r="1411">
      <c r="A1411" s="5" t="s">
        <v>1174</v>
      </c>
      <c r="B1411" s="6">
        <v>250.0</v>
      </c>
      <c r="C1411" s="7" t="s">
        <v>1148</v>
      </c>
      <c r="E1411" s="8" t="str">
        <f>IFERROR(__xludf.DUMMYFUNCTION("SPLIT(A1411,""TX"")"),"Walne, Joan
10020 Caribou ")</f>
        <v>Walne, Joan
10020 Caribou </v>
      </c>
      <c r="F1411" s="8" t="str">
        <f>IFERROR(__xludf.DUMMYFUNCTION("""COMPUTED_VALUE"""),"rail
Dallas, ")</f>
        <v>rail
Dallas, </v>
      </c>
      <c r="G1411" s="8">
        <f>IFERROR(__xludf.DUMMYFUNCTION("""COMPUTED_VALUE"""),75238.0)</f>
        <v>75238</v>
      </c>
      <c r="I1411" s="8">
        <f t="shared" si="17"/>
        <v>75238</v>
      </c>
      <c r="J1411" s="9">
        <f>IFERROR(__xludf.DUMMYFUNCTION("SPLIT(I1411,""-"")"),75238.0)</f>
        <v>75238</v>
      </c>
    </row>
    <row r="1412">
      <c r="A1412" s="10" t="s">
        <v>1331</v>
      </c>
      <c r="B1412" s="11">
        <v>100.0</v>
      </c>
      <c r="C1412" s="12" t="s">
        <v>1148</v>
      </c>
      <c r="E1412" s="8" t="str">
        <f>IFERROR(__xludf.DUMMYFUNCTION("SPLIT(A1412,""TX"")"),"Marie, Katherine
6014 Velasco Ave.
Dallas, ")</f>
        <v>Marie, Katherine
6014 Velasco Ave.
Dallas, </v>
      </c>
      <c r="F1412" s="8">
        <f>IFERROR(__xludf.DUMMYFUNCTION("""COMPUTED_VALUE"""),75206.0)</f>
        <v>75206</v>
      </c>
      <c r="I1412" s="8">
        <f t="shared" si="17"/>
        <v>75206</v>
      </c>
      <c r="J1412" s="9">
        <f>IFERROR(__xludf.DUMMYFUNCTION("SPLIT(I1412,""-"")"),75206.0)</f>
        <v>75206</v>
      </c>
    </row>
    <row r="1413">
      <c r="A1413" s="5" t="s">
        <v>1332</v>
      </c>
      <c r="B1413" s="6">
        <v>500.0</v>
      </c>
      <c r="C1413" s="7" t="s">
        <v>1148</v>
      </c>
      <c r="E1413" s="8" t="str">
        <f>IFERROR(__xludf.DUMMYFUNCTION("SPLIT(A1413,""TX"")"),"Cross, Dania
226 Sylvia St.
Dallas, ")</f>
        <v>Cross, Dania
226 Sylvia St.
Dallas, </v>
      </c>
      <c r="F1413" s="8">
        <f>IFERROR(__xludf.DUMMYFUNCTION("""COMPUTED_VALUE"""),75241.0)</f>
        <v>75241</v>
      </c>
      <c r="I1413" s="8">
        <f t="shared" si="17"/>
        <v>75241</v>
      </c>
      <c r="J1413" s="9">
        <f>IFERROR(__xludf.DUMMYFUNCTION("SPLIT(I1413,""-"")"),75241.0)</f>
        <v>75241</v>
      </c>
    </row>
    <row r="1414">
      <c r="A1414" s="10" t="s">
        <v>1333</v>
      </c>
      <c r="B1414" s="11">
        <v>50.0</v>
      </c>
      <c r="C1414" s="12" t="s">
        <v>1148</v>
      </c>
      <c r="E1414" s="8" t="str">
        <f>IFERROR(__xludf.DUMMYFUNCTION("SPLIT(A1414,""TX"")"),"Mitchell, Joy
908 Pavillion St.
Dallas, ")</f>
        <v>Mitchell, Joy
908 Pavillion St.
Dallas, </v>
      </c>
      <c r="F1414" s="8">
        <f>IFERROR(__xludf.DUMMYFUNCTION("""COMPUTED_VALUE"""),75204.0)</f>
        <v>75204</v>
      </c>
      <c r="I1414" s="8">
        <f t="shared" si="17"/>
        <v>75204</v>
      </c>
      <c r="J1414" s="9">
        <f>IFERROR(__xludf.DUMMYFUNCTION("SPLIT(I1414,""-"")"),75204.0)</f>
        <v>75204</v>
      </c>
    </row>
    <row r="1415">
      <c r="A1415" s="5" t="s">
        <v>1334</v>
      </c>
      <c r="B1415" s="6">
        <v>50.0</v>
      </c>
      <c r="C1415" s="7" t="s">
        <v>1148</v>
      </c>
      <c r="E1415" s="8" t="str">
        <f>IFERROR(__xludf.DUMMYFUNCTION("SPLIT(A1415,""TX"")"),"Vaught, Donna
6122 Palo Pinto Ave.
Dallas, ")</f>
        <v>Vaught, Donna
6122 Palo Pinto Ave.
Dallas, </v>
      </c>
      <c r="F1415" s="8">
        <f>IFERROR(__xludf.DUMMYFUNCTION("""COMPUTED_VALUE"""),75214.0)</f>
        <v>75214</v>
      </c>
      <c r="I1415" s="8">
        <f t="shared" si="17"/>
        <v>75214</v>
      </c>
      <c r="J1415" s="9">
        <f>IFERROR(__xludf.DUMMYFUNCTION("SPLIT(I1415,""-"")"),75214.0)</f>
        <v>75214</v>
      </c>
    </row>
    <row r="1416">
      <c r="A1416" s="10" t="s">
        <v>1335</v>
      </c>
      <c r="B1416" s="11">
        <v>50.0</v>
      </c>
      <c r="C1416" s="12" t="s">
        <v>1148</v>
      </c>
      <c r="E1416" s="8" t="str">
        <f>IFERROR(__xludf.DUMMYFUNCTION("SPLIT(A1416,""TX"")"),"Pickering Kushida, Lisa
15512 Morrison St.
Sherman Oaks, CA 91403")</f>
        <v>Pickering Kushida, Lisa
15512 Morrison St.
Sherman Oaks, CA 91403</v>
      </c>
      <c r="I1416" s="8" t="str">
        <f t="shared" si="17"/>
        <v/>
      </c>
      <c r="J1416" s="9" t="str">
        <f>IFERROR(__xludf.DUMMYFUNCTION("SPLIT(I1416,""-"")"),"#VALUE!")</f>
        <v>#VALUE!</v>
      </c>
    </row>
    <row r="1417">
      <c r="A1417" s="5" t="s">
        <v>1336</v>
      </c>
      <c r="B1417" s="6">
        <v>50.0</v>
      </c>
      <c r="C1417" s="7" t="s">
        <v>1148</v>
      </c>
      <c r="E1417" s="8" t="str">
        <f>IFERROR(__xludf.DUMMYFUNCTION("SPLIT(A1417,""TX"")"),"Payne, William
5523 Monticello Ave.
Dallas, ")</f>
        <v>Payne, William
5523 Monticello Ave.
Dallas, </v>
      </c>
      <c r="F1417" s="8">
        <f>IFERROR(__xludf.DUMMYFUNCTION("""COMPUTED_VALUE"""),75206.0)</f>
        <v>75206</v>
      </c>
      <c r="I1417" s="8">
        <f t="shared" si="17"/>
        <v>75206</v>
      </c>
      <c r="J1417" s="9">
        <f>IFERROR(__xludf.DUMMYFUNCTION("SPLIT(I1417,""-"")"),75206.0)</f>
        <v>75206</v>
      </c>
    </row>
    <row r="1418">
      <c r="A1418" s="10" t="s">
        <v>1337</v>
      </c>
      <c r="B1418" s="11">
        <v>100.0</v>
      </c>
      <c r="C1418" s="12" t="s">
        <v>1148</v>
      </c>
      <c r="E1418" s="8" t="str">
        <f>IFERROR(__xludf.DUMMYFUNCTION("SPLIT(A1418,""TX"")"),"Moss Cooper, Susan
9451 Hobart St.
Dallas, ")</f>
        <v>Moss Cooper, Susan
9451 Hobart St.
Dallas, </v>
      </c>
      <c r="F1418" s="8">
        <f>IFERROR(__xludf.DUMMYFUNCTION("""COMPUTED_VALUE"""),75218.0)</f>
        <v>75218</v>
      </c>
      <c r="I1418" s="8">
        <f t="shared" si="17"/>
        <v>75218</v>
      </c>
      <c r="J1418" s="9">
        <f>IFERROR(__xludf.DUMMYFUNCTION("SPLIT(I1418,""-"")"),75218.0)</f>
        <v>75218</v>
      </c>
    </row>
    <row r="1419">
      <c r="A1419" s="5" t="s">
        <v>1325</v>
      </c>
      <c r="B1419" s="6">
        <v>35.0</v>
      </c>
      <c r="C1419" s="7" t="s">
        <v>1148</v>
      </c>
      <c r="E1419" s="8" t="str">
        <f>IFERROR(__xludf.DUMMYFUNCTION("SPLIT(A1419,""TX"")"),"Crum, Christina
6006 Palo Pinto Ave.
Dallas, ")</f>
        <v>Crum, Christina
6006 Palo Pinto Ave.
Dallas, </v>
      </c>
      <c r="F1419" s="8">
        <f>IFERROR(__xludf.DUMMYFUNCTION("""COMPUTED_VALUE"""),75206.0)</f>
        <v>75206</v>
      </c>
      <c r="I1419" s="8">
        <f t="shared" si="17"/>
        <v>75206</v>
      </c>
      <c r="J1419" s="9">
        <f>IFERROR(__xludf.DUMMYFUNCTION("SPLIT(I1419,""-"")"),75206.0)</f>
        <v>75206</v>
      </c>
    </row>
    <row r="1420">
      <c r="A1420" s="10" t="s">
        <v>1318</v>
      </c>
      <c r="B1420" s="11">
        <v>100.0</v>
      </c>
      <c r="C1420" s="12" t="s">
        <v>1148</v>
      </c>
      <c r="E1420" s="8" t="str">
        <f>IFERROR(__xludf.DUMMYFUNCTION("SPLIT(A1420,""TX"")"),"homas, Jenny
6932 Santa Monica Dr.
Dallas, ")</f>
        <v>homas, Jenny
6932 Santa Monica Dr.
Dallas, </v>
      </c>
      <c r="F1420" s="8">
        <f>IFERROR(__xludf.DUMMYFUNCTION("""COMPUTED_VALUE"""),75223.0)</f>
        <v>75223</v>
      </c>
      <c r="I1420" s="8">
        <f t="shared" si="17"/>
        <v>75223</v>
      </c>
      <c r="J1420" s="9">
        <f>IFERROR(__xludf.DUMMYFUNCTION("SPLIT(I1420,""-"")"),75223.0)</f>
        <v>75223</v>
      </c>
    </row>
    <row r="1421">
      <c r="A1421" s="5" t="s">
        <v>1338</v>
      </c>
      <c r="B1421" s="6">
        <v>150.0</v>
      </c>
      <c r="C1421" s="7" t="s">
        <v>1148</v>
      </c>
      <c r="E1421" s="8" t="str">
        <f>IFERROR(__xludf.DUMMYFUNCTION("SPLIT(A1421,""TX"")"),"Grimsley, ")</f>
        <v>Grimsley, </v>
      </c>
      <c r="F1421" s="8" t="str">
        <f>IFERROR(__xludf.DUMMYFUNCTION("""COMPUTED_VALUE"""),"risha
6006 Belmont Ave.
Dallas, ")</f>
        <v>risha
6006 Belmont Ave.
Dallas, </v>
      </c>
      <c r="G1421" s="8">
        <f>IFERROR(__xludf.DUMMYFUNCTION("""COMPUTED_VALUE"""),75206.0)</f>
        <v>75206</v>
      </c>
      <c r="I1421" s="8">
        <f t="shared" si="17"/>
        <v>75206</v>
      </c>
      <c r="J1421" s="9">
        <f>IFERROR(__xludf.DUMMYFUNCTION("SPLIT(I1421,""-"")"),75206.0)</f>
        <v>75206</v>
      </c>
    </row>
    <row r="1422">
      <c r="A1422" s="10" t="s">
        <v>1339</v>
      </c>
      <c r="B1422" s="11">
        <v>250.0</v>
      </c>
      <c r="C1422" s="12" t="s">
        <v>1148</v>
      </c>
      <c r="E1422" s="8" t="str">
        <f>IFERROR(__xludf.DUMMYFUNCTION("SPLIT(A1422,""TX"")"),"Ervin, ")</f>
        <v>Ervin, </v>
      </c>
      <c r="F1422" s="8" t="str">
        <f>IFERROR(__xludf.DUMMYFUNCTION("""COMPUTED_VALUE"""),"eri
5439 McCommas Blvd.
Dallas, ")</f>
        <v>eri
5439 McCommas Blvd.
Dallas, </v>
      </c>
      <c r="G1422" s="8">
        <f>IFERROR(__xludf.DUMMYFUNCTION("""COMPUTED_VALUE"""),75206.0)</f>
        <v>75206</v>
      </c>
      <c r="I1422" s="8">
        <f t="shared" si="17"/>
        <v>75206</v>
      </c>
      <c r="J1422" s="9">
        <f>IFERROR(__xludf.DUMMYFUNCTION("SPLIT(I1422,""-"")"),75206.0)</f>
        <v>75206</v>
      </c>
    </row>
    <row r="1423">
      <c r="A1423" s="5" t="s">
        <v>1340</v>
      </c>
      <c r="B1423" s="6">
        <v>250.0</v>
      </c>
      <c r="C1423" s="7" t="s">
        <v>1148</v>
      </c>
      <c r="E1423" s="8" t="str">
        <f>IFERROR(__xludf.DUMMYFUNCTION("SPLIT(A1423,""TX"")"),"Syler, ")</f>
        <v>Syler, </v>
      </c>
      <c r="F1423" s="8" t="str">
        <f>IFERROR(__xludf.DUMMYFUNCTION("""COMPUTED_VALUE"""),"erry
6661 Lakewood Blvd.
Dallas, ")</f>
        <v>erry
6661 Lakewood Blvd.
Dallas, </v>
      </c>
      <c r="G1423" s="8">
        <f>IFERROR(__xludf.DUMMYFUNCTION("""COMPUTED_VALUE"""),75214.0)</f>
        <v>75214</v>
      </c>
      <c r="I1423" s="8">
        <f t="shared" si="17"/>
        <v>75214</v>
      </c>
      <c r="J1423" s="9">
        <f>IFERROR(__xludf.DUMMYFUNCTION("SPLIT(I1423,""-"")"),75214.0)</f>
        <v>75214</v>
      </c>
    </row>
    <row r="1424">
      <c r="A1424" s="10" t="s">
        <v>1341</v>
      </c>
      <c r="B1424" s="11">
        <v>100.0</v>
      </c>
      <c r="C1424" s="12" t="s">
        <v>1148</v>
      </c>
      <c r="E1424" s="8" t="str">
        <f>IFERROR(__xludf.DUMMYFUNCTION("SPLIT(A1424,""TX"")"),"Adelman, Ellie
5519 Ellsworth Ave.
Dallas, ")</f>
        <v>Adelman, Ellie
5519 Ellsworth Ave.
Dallas, </v>
      </c>
      <c r="F1424" s="8">
        <f>IFERROR(__xludf.DUMMYFUNCTION("""COMPUTED_VALUE"""),75206.0)</f>
        <v>75206</v>
      </c>
      <c r="I1424" s="8">
        <f t="shared" si="17"/>
        <v>75206</v>
      </c>
      <c r="J1424" s="9">
        <f>IFERROR(__xludf.DUMMYFUNCTION("SPLIT(I1424,""-"")"),75206.0)</f>
        <v>75206</v>
      </c>
    </row>
    <row r="1425">
      <c r="A1425" s="5" t="s">
        <v>1342</v>
      </c>
      <c r="B1425" s="6">
        <v>50.0</v>
      </c>
      <c r="C1425" s="7" t="s">
        <v>1148</v>
      </c>
      <c r="E1425" s="8" t="str">
        <f>IFERROR(__xludf.DUMMYFUNCTION("SPLIT(A1425,""TX"")"),"Isaly, Ellen
2923 Rambling Dr.
Dallas, ")</f>
        <v>Isaly, Ellen
2923 Rambling Dr.
Dallas, </v>
      </c>
      <c r="F1425" s="8">
        <f>IFERROR(__xludf.DUMMYFUNCTION("""COMPUTED_VALUE"""),75228.0)</f>
        <v>75228</v>
      </c>
      <c r="I1425" s="8">
        <f t="shared" si="17"/>
        <v>75228</v>
      </c>
      <c r="J1425" s="9">
        <f>IFERROR(__xludf.DUMMYFUNCTION("SPLIT(I1425,""-"")"),75228.0)</f>
        <v>75228</v>
      </c>
    </row>
    <row r="1426">
      <c r="A1426" s="10" t="s">
        <v>1343</v>
      </c>
      <c r="B1426" s="11">
        <v>300.0</v>
      </c>
      <c r="C1426" s="12" t="s">
        <v>1148</v>
      </c>
      <c r="E1426" s="8" t="str">
        <f>IFERROR(__xludf.DUMMYFUNCTION("SPLIT(A1426,""TX"")"),"Berman, Marcy
3915 Azure Ln.
Addison, ")</f>
        <v>Berman, Marcy
3915 Azure Ln.
Addison, </v>
      </c>
      <c r="F1426" s="8">
        <f>IFERROR(__xludf.DUMMYFUNCTION("""COMPUTED_VALUE"""),75001.0)</f>
        <v>75001</v>
      </c>
      <c r="I1426" s="8">
        <f t="shared" si="17"/>
        <v>75001</v>
      </c>
      <c r="J1426" s="9">
        <f>IFERROR(__xludf.DUMMYFUNCTION("SPLIT(I1426,""-"")"),75001.0)</f>
        <v>75001</v>
      </c>
    </row>
    <row r="1427">
      <c r="A1427" s="5" t="s">
        <v>1344</v>
      </c>
      <c r="B1427" s="6">
        <v>100.0</v>
      </c>
      <c r="C1427" s="7" t="s">
        <v>1148</v>
      </c>
      <c r="E1427" s="8" t="str">
        <f>IFERROR(__xludf.DUMMYFUNCTION("SPLIT(A1427,""TX"")"),"Henry, Clayton
9322 Moss ")</f>
        <v>Henry, Clayton
9322 Moss </v>
      </c>
      <c r="F1427" s="8" t="str">
        <f>IFERROR(__xludf.DUMMYFUNCTION("""COMPUTED_VALUE"""),"rail
Dallas, ")</f>
        <v>rail
Dallas, </v>
      </c>
      <c r="G1427" s="8">
        <f>IFERROR(__xludf.DUMMYFUNCTION("""COMPUTED_VALUE"""),75231.0)</f>
        <v>75231</v>
      </c>
      <c r="I1427" s="8">
        <f t="shared" si="17"/>
        <v>75231</v>
      </c>
      <c r="J1427" s="9">
        <f>IFERROR(__xludf.DUMMYFUNCTION("SPLIT(I1427,""-"")"),75231.0)</f>
        <v>75231</v>
      </c>
    </row>
    <row r="1428">
      <c r="A1428" s="10" t="s">
        <v>1345</v>
      </c>
      <c r="B1428" s="11">
        <v>100.0</v>
      </c>
      <c r="C1428" s="12" t="s">
        <v>1148</v>
      </c>
      <c r="E1428" s="8" t="str">
        <f>IFERROR(__xludf.DUMMYFUNCTION("SPLIT(A1428,""TX"")"),"Gersch, John
5939 Belmont Ave.
Dallas, ")</f>
        <v>Gersch, John
5939 Belmont Ave.
Dallas, </v>
      </c>
      <c r="F1428" s="8">
        <f>IFERROR(__xludf.DUMMYFUNCTION("""COMPUTED_VALUE"""),75206.0)</f>
        <v>75206</v>
      </c>
      <c r="I1428" s="8">
        <f t="shared" si="17"/>
        <v>75206</v>
      </c>
      <c r="J1428" s="9">
        <f>IFERROR(__xludf.DUMMYFUNCTION("SPLIT(I1428,""-"")"),75206.0)</f>
        <v>75206</v>
      </c>
    </row>
    <row r="1429">
      <c r="A1429" s="5" t="s">
        <v>1346</v>
      </c>
      <c r="B1429" s="6">
        <v>100.0</v>
      </c>
      <c r="C1429" s="7" t="s">
        <v>1148</v>
      </c>
      <c r="E1429" s="8" t="str">
        <f>IFERROR(__xludf.DUMMYFUNCTION("SPLIT(A1429,""TX"")"),"imburgia, regina
5423 Goodwin Ave.
dallas, ")</f>
        <v>imburgia, regina
5423 Goodwin Ave.
dallas, </v>
      </c>
      <c r="F1429" s="8">
        <f>IFERROR(__xludf.DUMMYFUNCTION("""COMPUTED_VALUE"""),75206.0)</f>
        <v>75206</v>
      </c>
      <c r="I1429" s="8">
        <f t="shared" si="17"/>
        <v>75206</v>
      </c>
      <c r="J1429" s="9">
        <f>IFERROR(__xludf.DUMMYFUNCTION("SPLIT(I1429,""-"")"),75206.0)</f>
        <v>75206</v>
      </c>
    </row>
    <row r="1430">
      <c r="A1430" s="10" t="s">
        <v>1347</v>
      </c>
      <c r="B1430" s="11">
        <v>100.0</v>
      </c>
      <c r="C1430" s="12" t="s">
        <v>1148</v>
      </c>
      <c r="E1430" s="8" t="str">
        <f>IFERROR(__xludf.DUMMYFUNCTION("SPLIT(A1430,""TX"")"),"Howard, Carolyn
7247 Stefani Dr.
Dallas, ")</f>
        <v>Howard, Carolyn
7247 Stefani Dr.
Dallas, </v>
      </c>
      <c r="F1430" s="8">
        <f>IFERROR(__xludf.DUMMYFUNCTION("""COMPUTED_VALUE"""),75225.0)</f>
        <v>75225</v>
      </c>
      <c r="I1430" s="8">
        <f t="shared" si="17"/>
        <v>75225</v>
      </c>
      <c r="J1430" s="9">
        <f>IFERROR(__xludf.DUMMYFUNCTION("SPLIT(I1430,""-"")"),75225.0)</f>
        <v>75225</v>
      </c>
    </row>
    <row r="1431">
      <c r="A1431" s="5" t="s">
        <v>1348</v>
      </c>
      <c r="B1431" s="6">
        <v>500.0</v>
      </c>
      <c r="C1431" s="7" t="s">
        <v>1148</v>
      </c>
      <c r="E1431" s="8" t="str">
        <f>IFERROR(__xludf.DUMMYFUNCTION("SPLIT(A1431,""TX"")"),"Bratton, Vince
4738 Hallmark Dr.
Dallas, ")</f>
        <v>Bratton, Vince
4738 Hallmark Dr.
Dallas, </v>
      </c>
      <c r="F1431" s="8">
        <f>IFERROR(__xludf.DUMMYFUNCTION("""COMPUTED_VALUE"""),75229.0)</f>
        <v>75229</v>
      </c>
      <c r="I1431" s="8">
        <f t="shared" si="17"/>
        <v>75229</v>
      </c>
      <c r="J1431" s="9">
        <f>IFERROR(__xludf.DUMMYFUNCTION("SPLIT(I1431,""-"")"),75229.0)</f>
        <v>75229</v>
      </c>
    </row>
    <row r="1432">
      <c r="A1432" s="10" t="s">
        <v>1349</v>
      </c>
      <c r="B1432" s="11">
        <v>50.0</v>
      </c>
      <c r="C1432" s="12" t="s">
        <v>1148</v>
      </c>
      <c r="E1432" s="8" t="str">
        <f>IFERROR(__xludf.DUMMYFUNCTION("SPLIT(A1432,""TX"")"),"Rauscher, Leslie
6227 Malcom Dr.
Dallas, ")</f>
        <v>Rauscher, Leslie
6227 Malcom Dr.
Dallas, </v>
      </c>
      <c r="F1432" s="8">
        <f>IFERROR(__xludf.DUMMYFUNCTION("""COMPUTED_VALUE"""),75214.0)</f>
        <v>75214</v>
      </c>
      <c r="I1432" s="8">
        <f t="shared" si="17"/>
        <v>75214</v>
      </c>
      <c r="J1432" s="9">
        <f>IFERROR(__xludf.DUMMYFUNCTION("SPLIT(I1432,""-"")"),75214.0)</f>
        <v>75214</v>
      </c>
    </row>
    <row r="1433">
      <c r="A1433" s="5" t="s">
        <v>1350</v>
      </c>
      <c r="B1433" s="6">
        <v>100.0</v>
      </c>
      <c r="C1433" s="7" t="s">
        <v>1148</v>
      </c>
      <c r="E1433" s="8" t="str">
        <f>IFERROR(__xludf.DUMMYFUNCTION("SPLIT(A1433,""TX"")"),"Blair, Ed
4130 Herschel Ave.
Dallas, ")</f>
        <v>Blair, Ed
4130 Herschel Ave.
Dallas, </v>
      </c>
      <c r="F1433" s="8">
        <f>IFERROR(__xludf.DUMMYFUNCTION("""COMPUTED_VALUE"""),75219.0)</f>
        <v>75219</v>
      </c>
      <c r="I1433" s="8">
        <f t="shared" si="17"/>
        <v>75219</v>
      </c>
      <c r="J1433" s="9">
        <f>IFERROR(__xludf.DUMMYFUNCTION("SPLIT(I1433,""-"")"),75219.0)</f>
        <v>75219</v>
      </c>
    </row>
    <row r="1434">
      <c r="A1434" s="10" t="s">
        <v>1351</v>
      </c>
      <c r="B1434" s="11">
        <v>1000.0</v>
      </c>
      <c r="C1434" s="12" t="s">
        <v>1148</v>
      </c>
      <c r="E1434" s="8" t="str">
        <f>IFERROR(__xludf.DUMMYFUNCTION("SPLIT(A1434,""TX"")"),"Cox, Brad
4514 Cole Ave.
Dallas, ")</f>
        <v>Cox, Brad
4514 Cole Ave.
Dallas, </v>
      </c>
      <c r="F1434" s="8">
        <f>IFERROR(__xludf.DUMMYFUNCTION("""COMPUTED_VALUE"""),75205.0)</f>
        <v>75205</v>
      </c>
      <c r="I1434" s="8">
        <f t="shared" si="17"/>
        <v>75205</v>
      </c>
      <c r="J1434" s="9">
        <f>IFERROR(__xludf.DUMMYFUNCTION("SPLIT(I1434,""-"")"),75205.0)</f>
        <v>75205</v>
      </c>
    </row>
    <row r="1435">
      <c r="A1435" s="5" t="s">
        <v>1017</v>
      </c>
      <c r="B1435" s="6">
        <v>1000.0</v>
      </c>
      <c r="C1435" s="7" t="s">
        <v>1148</v>
      </c>
      <c r="E1435" s="8" t="str">
        <f>IFERROR(__xludf.DUMMYFUNCTION("SPLIT(A1435,""TX"")"),"erry, Mike
12240 Inwood Rd.
Dallas, ")</f>
        <v>erry, Mike
12240 Inwood Rd.
Dallas, </v>
      </c>
      <c r="F1435" s="8">
        <f>IFERROR(__xludf.DUMMYFUNCTION("""COMPUTED_VALUE"""),75244.0)</f>
        <v>75244</v>
      </c>
      <c r="I1435" s="8">
        <f t="shared" si="17"/>
        <v>75244</v>
      </c>
      <c r="J1435" s="9">
        <f>IFERROR(__xludf.DUMMYFUNCTION("SPLIT(I1435,""-"")"),75244.0)</f>
        <v>75244</v>
      </c>
    </row>
    <row r="1436">
      <c r="A1436" s="10" t="s">
        <v>1352</v>
      </c>
      <c r="B1436" s="11">
        <v>250.0</v>
      </c>
      <c r="C1436" s="12" t="s">
        <v>1148</v>
      </c>
      <c r="E1436" s="8" t="str">
        <f>IFERROR(__xludf.DUMMYFUNCTION("SPLIT(A1436,""TX"")"),"Lacy, John Ford
3710 Shenandoah St.
Dallas, ")</f>
        <v>Lacy, John Ford
3710 Shenandoah St.
Dallas, </v>
      </c>
      <c r="F1436" s="8">
        <f>IFERROR(__xludf.DUMMYFUNCTION("""COMPUTED_VALUE"""),75205.0)</f>
        <v>75205</v>
      </c>
      <c r="I1436" s="8">
        <f t="shared" si="17"/>
        <v>75205</v>
      </c>
      <c r="J1436" s="9">
        <f>IFERROR(__xludf.DUMMYFUNCTION("SPLIT(I1436,""-"")"),75205.0)</f>
        <v>75205</v>
      </c>
    </row>
    <row r="1437">
      <c r="A1437" s="5" t="s">
        <v>738</v>
      </c>
      <c r="B1437" s="6">
        <v>300.0</v>
      </c>
      <c r="C1437" s="7" t="s">
        <v>1148</v>
      </c>
      <c r="E1437" s="8" t="str">
        <f>IFERROR(__xludf.DUMMYFUNCTION("SPLIT(A1437,""TX"")"),"Schenkel, Pete
614 N. Bishop Ave.
Dallas, ")</f>
        <v>Schenkel, Pete
614 N. Bishop Ave.
Dallas, </v>
      </c>
      <c r="F1437" s="8">
        <f>IFERROR(__xludf.DUMMYFUNCTION("""COMPUTED_VALUE"""),75208.0)</f>
        <v>75208</v>
      </c>
      <c r="I1437" s="8">
        <f t="shared" si="17"/>
        <v>75208</v>
      </c>
      <c r="J1437" s="9">
        <f>IFERROR(__xludf.DUMMYFUNCTION("SPLIT(I1437,""-"")"),75208.0)</f>
        <v>75208</v>
      </c>
    </row>
    <row r="1438">
      <c r="A1438" s="10" t="s">
        <v>1353</v>
      </c>
      <c r="B1438" s="11">
        <v>1000.0</v>
      </c>
      <c r="C1438" s="12" t="s">
        <v>1148</v>
      </c>
      <c r="E1438" s="8" t="str">
        <f>IFERROR(__xludf.DUMMYFUNCTION("SPLIT(A1438,""TX"")"),"Gruber, Mike
1918 Olive St.
Dallas, ")</f>
        <v>Gruber, Mike
1918 Olive St.
Dallas, </v>
      </c>
      <c r="F1438" s="8">
        <f>IFERROR(__xludf.DUMMYFUNCTION("""COMPUTED_VALUE"""),75201.0)</f>
        <v>75201</v>
      </c>
      <c r="I1438" s="8">
        <f t="shared" si="17"/>
        <v>75201</v>
      </c>
      <c r="J1438" s="9">
        <f>IFERROR(__xludf.DUMMYFUNCTION("SPLIT(I1438,""-"")"),75201.0)</f>
        <v>75201</v>
      </c>
    </row>
    <row r="1439">
      <c r="A1439" s="5" t="s">
        <v>1354</v>
      </c>
      <c r="B1439" s="6">
        <v>250.0</v>
      </c>
      <c r="C1439" s="7" t="s">
        <v>1148</v>
      </c>
      <c r="E1439" s="8" t="str">
        <f>IFERROR(__xludf.DUMMYFUNCTION("SPLIT(A1439,""TX"")"),"Emmons, Kyle
4805 McKinney Ave.
Dallas, ")</f>
        <v>Emmons, Kyle
4805 McKinney Ave.
Dallas, </v>
      </c>
      <c r="F1439" s="8">
        <f>IFERROR(__xludf.DUMMYFUNCTION("""COMPUTED_VALUE"""),75205.0)</f>
        <v>75205</v>
      </c>
      <c r="I1439" s="8">
        <f t="shared" si="17"/>
        <v>75205</v>
      </c>
      <c r="J1439" s="9">
        <f>IFERROR(__xludf.DUMMYFUNCTION("SPLIT(I1439,""-"")"),75205.0)</f>
        <v>75205</v>
      </c>
    </row>
    <row r="1440">
      <c r="A1440" s="10" t="s">
        <v>1355</v>
      </c>
      <c r="B1440" s="11">
        <v>500.0</v>
      </c>
      <c r="C1440" s="12" t="s">
        <v>1148</v>
      </c>
      <c r="E1440" s="8" t="str">
        <f>IFERROR(__xludf.DUMMYFUNCTION("SPLIT(A1440,""TX"")"),"Sands, John
3417 Cornell Ave.
Dallas, ")</f>
        <v>Sands, John
3417 Cornell Ave.
Dallas, </v>
      </c>
      <c r="F1440" s="8">
        <f>IFERROR(__xludf.DUMMYFUNCTION("""COMPUTED_VALUE"""),75205.0)</f>
        <v>75205</v>
      </c>
      <c r="I1440" s="8">
        <f t="shared" si="17"/>
        <v>75205</v>
      </c>
      <c r="J1440" s="9">
        <f>IFERROR(__xludf.DUMMYFUNCTION("SPLIT(I1440,""-"")"),75205.0)</f>
        <v>75205</v>
      </c>
    </row>
    <row r="1441">
      <c r="A1441" s="5" t="s">
        <v>1356</v>
      </c>
      <c r="B1441" s="6">
        <v>25.0</v>
      </c>
      <c r="C1441" s="7" t="s">
        <v>1148</v>
      </c>
      <c r="E1441" s="8" t="str">
        <f>IFERROR(__xludf.DUMMYFUNCTION("SPLIT(A1441,""TX"")"),"Youngberg, Carrie
6342 Vanderbilt Ave.
Dallas, ")</f>
        <v>Youngberg, Carrie
6342 Vanderbilt Ave.
Dallas, </v>
      </c>
      <c r="F1441" s="8">
        <f>IFERROR(__xludf.DUMMYFUNCTION("""COMPUTED_VALUE"""),75214.0)</f>
        <v>75214</v>
      </c>
      <c r="I1441" s="8">
        <f t="shared" si="17"/>
        <v>75214</v>
      </c>
      <c r="J1441" s="9">
        <f>IFERROR(__xludf.DUMMYFUNCTION("SPLIT(I1441,""-"")"),75214.0)</f>
        <v>75214</v>
      </c>
    </row>
    <row r="1442">
      <c r="A1442" s="10" t="s">
        <v>1357</v>
      </c>
      <c r="B1442" s="11">
        <v>50.0</v>
      </c>
      <c r="C1442" s="12" t="s">
        <v>1148</v>
      </c>
      <c r="E1442" s="8" t="str">
        <f>IFERROR(__xludf.DUMMYFUNCTION("SPLIT(A1442,""TX"")"),"Allums, Marvin
5939 Palo Pinto Ave.
Dallas, ")</f>
        <v>Allums, Marvin
5939 Palo Pinto Ave.
Dallas, </v>
      </c>
      <c r="F1442" s="8">
        <f>IFERROR(__xludf.DUMMYFUNCTION("""COMPUTED_VALUE"""),75206.0)</f>
        <v>75206</v>
      </c>
      <c r="I1442" s="8">
        <f t="shared" si="17"/>
        <v>75206</v>
      </c>
      <c r="J1442" s="9">
        <f>IFERROR(__xludf.DUMMYFUNCTION("SPLIT(I1442,""-"")"),75206.0)</f>
        <v>75206</v>
      </c>
    </row>
    <row r="1443">
      <c r="A1443" s="5" t="s">
        <v>1358</v>
      </c>
      <c r="B1443" s="6">
        <v>100.0</v>
      </c>
      <c r="C1443" s="7" t="s">
        <v>1148</v>
      </c>
      <c r="E1443" s="8" t="str">
        <f>IFERROR(__xludf.DUMMYFUNCTION("SPLIT(A1443,""TX"")"),"Claybrook, Dee
6842 Casa Loma Ave.
Dallas, ")</f>
        <v>Claybrook, Dee
6842 Casa Loma Ave.
Dallas, </v>
      </c>
      <c r="F1443" s="8">
        <f>IFERROR(__xludf.DUMMYFUNCTION("""COMPUTED_VALUE"""),75214.0)</f>
        <v>75214</v>
      </c>
      <c r="I1443" s="8">
        <f t="shared" si="17"/>
        <v>75214</v>
      </c>
      <c r="J1443" s="9">
        <f>IFERROR(__xludf.DUMMYFUNCTION("SPLIT(I1443,""-"")"),75214.0)</f>
        <v>75214</v>
      </c>
    </row>
    <row r="1444">
      <c r="A1444" s="10" t="s">
        <v>1359</v>
      </c>
      <c r="B1444" s="11">
        <v>250.0</v>
      </c>
      <c r="C1444" s="12" t="s">
        <v>1148</v>
      </c>
      <c r="E1444" s="8" t="str">
        <f>IFERROR(__xludf.DUMMYFUNCTION("SPLIT(A1444,""TX"")"),"Schlosser, Rodney
6336 ")</f>
        <v>Schlosser, Rodney
6336 </v>
      </c>
      <c r="F1444" s="8" t="str">
        <f>IFERROR(__xludf.DUMMYFUNCTION("""COMPUTED_VALUE"""),"ulip Ln.
Dallas, ")</f>
        <v>ulip Ln.
Dallas, </v>
      </c>
      <c r="G1444" s="8">
        <f>IFERROR(__xludf.DUMMYFUNCTION("""COMPUTED_VALUE"""),75230.0)</f>
        <v>75230</v>
      </c>
      <c r="I1444" s="8">
        <f t="shared" si="17"/>
        <v>75230</v>
      </c>
      <c r="J1444" s="9">
        <f>IFERROR(__xludf.DUMMYFUNCTION("SPLIT(I1444,""-"")"),75230.0)</f>
        <v>75230</v>
      </c>
    </row>
    <row r="1445">
      <c r="A1445" s="5" t="s">
        <v>1360</v>
      </c>
      <c r="B1445" s="6">
        <v>50.0</v>
      </c>
      <c r="C1445" s="7" t="s">
        <v>1148</v>
      </c>
      <c r="E1445" s="8" t="str">
        <f>IFERROR(__xludf.DUMMYFUNCTION("SPLIT(A1445,""TX"")"),"Kelly, Elley
5820 Palo Pinto Ave.
Dallas, ")</f>
        <v>Kelly, Elley
5820 Palo Pinto Ave.
Dallas, </v>
      </c>
      <c r="F1445" s="8">
        <f>IFERROR(__xludf.DUMMYFUNCTION("""COMPUTED_VALUE"""),75206.0)</f>
        <v>75206</v>
      </c>
      <c r="I1445" s="8">
        <f t="shared" si="17"/>
        <v>75206</v>
      </c>
      <c r="J1445" s="9">
        <f>IFERROR(__xludf.DUMMYFUNCTION("SPLIT(I1445,""-"")"),75206.0)</f>
        <v>75206</v>
      </c>
    </row>
    <row r="1446">
      <c r="A1446" s="10" t="s">
        <v>1361</v>
      </c>
      <c r="B1446" s="11">
        <v>50.0</v>
      </c>
      <c r="C1446" s="12" t="s">
        <v>1148</v>
      </c>
      <c r="E1446" s="8" t="str">
        <f>IFERROR(__xludf.DUMMYFUNCTION("SPLIT(A1446,""TX"")"),"Pittman, Caleb
2346 Victory Park Ln.
Dallas, ")</f>
        <v>Pittman, Caleb
2346 Victory Park Ln.
Dallas, </v>
      </c>
      <c r="F1446" s="8">
        <f>IFERROR(__xludf.DUMMYFUNCTION("""COMPUTED_VALUE"""),75219.0)</f>
        <v>75219</v>
      </c>
      <c r="I1446" s="8">
        <f t="shared" si="17"/>
        <v>75219</v>
      </c>
      <c r="J1446" s="9">
        <f>IFERROR(__xludf.DUMMYFUNCTION("SPLIT(I1446,""-"")"),75219.0)</f>
        <v>75219</v>
      </c>
    </row>
    <row r="1447">
      <c r="A1447" s="5" t="s">
        <v>1362</v>
      </c>
      <c r="B1447" s="6">
        <v>250.0</v>
      </c>
      <c r="C1447" s="7" t="s">
        <v>1148</v>
      </c>
      <c r="E1447" s="8" t="str">
        <f>IFERROR(__xludf.DUMMYFUNCTION("SPLIT(A1447,""TX"")"),"Reed, Scott
5822 Lakehurst Ave.
Dallas, ")</f>
        <v>Reed, Scott
5822 Lakehurst Ave.
Dallas, </v>
      </c>
      <c r="F1447" s="8">
        <f>IFERROR(__xludf.DUMMYFUNCTION("""COMPUTED_VALUE"""),75230.0)</f>
        <v>75230</v>
      </c>
      <c r="I1447" s="8">
        <f t="shared" si="17"/>
        <v>75230</v>
      </c>
      <c r="J1447" s="9">
        <f>IFERROR(__xludf.DUMMYFUNCTION("SPLIT(I1447,""-"")"),75230.0)</f>
        <v>75230</v>
      </c>
    </row>
    <row r="1448">
      <c r="A1448" s="10" t="s">
        <v>1363</v>
      </c>
      <c r="B1448" s="11">
        <v>100.0</v>
      </c>
      <c r="C1448" s="12" t="s">
        <v>1148</v>
      </c>
      <c r="E1448" s="8" t="str">
        <f>IFERROR(__xludf.DUMMYFUNCTION("SPLIT(A1448,""TX"")"),"Kao, Linda
5455 Castlewood Rd.
Dallas, ")</f>
        <v>Kao, Linda
5455 Castlewood Rd.
Dallas, </v>
      </c>
      <c r="F1448" s="8">
        <f>IFERROR(__xludf.DUMMYFUNCTION("""COMPUTED_VALUE"""),75229.0)</f>
        <v>75229</v>
      </c>
      <c r="I1448" s="8">
        <f t="shared" si="17"/>
        <v>75229</v>
      </c>
      <c r="J1448" s="9">
        <f>IFERROR(__xludf.DUMMYFUNCTION("SPLIT(I1448,""-"")"),75229.0)</f>
        <v>75229</v>
      </c>
    </row>
    <row r="1449">
      <c r="A1449" s="5" t="s">
        <v>1364</v>
      </c>
      <c r="B1449" s="6">
        <v>100.0</v>
      </c>
      <c r="C1449" s="7" t="s">
        <v>1148</v>
      </c>
      <c r="E1449" s="8" t="str">
        <f>IFERROR(__xludf.DUMMYFUNCTION("SPLIT(A1449,""TX"")"),"Bush, Lori
4247 Lively Ln.
Dallas, ")</f>
        <v>Bush, Lori
4247 Lively Ln.
Dallas, </v>
      </c>
      <c r="F1449" s="8">
        <f>IFERROR(__xludf.DUMMYFUNCTION("""COMPUTED_VALUE"""),75220.0)</f>
        <v>75220</v>
      </c>
      <c r="I1449" s="8">
        <f t="shared" si="17"/>
        <v>75220</v>
      </c>
      <c r="J1449" s="9">
        <f>IFERROR(__xludf.DUMMYFUNCTION("SPLIT(I1449,""-"")"),75220.0)</f>
        <v>75220</v>
      </c>
    </row>
    <row r="1450">
      <c r="A1450" s="10" t="s">
        <v>1365</v>
      </c>
      <c r="B1450" s="11">
        <v>250.0</v>
      </c>
      <c r="C1450" s="12" t="s">
        <v>1148</v>
      </c>
      <c r="E1450" s="8" t="str">
        <f>IFERROR(__xludf.DUMMYFUNCTION("SPLIT(A1450,""TX"")"),"Davis, Lauren
7130 Mimosa Ln.
Dallas, ")</f>
        <v>Davis, Lauren
7130 Mimosa Ln.
Dallas, </v>
      </c>
      <c r="F1450" s="8">
        <f>IFERROR(__xludf.DUMMYFUNCTION("""COMPUTED_VALUE"""),75230.0)</f>
        <v>75230</v>
      </c>
      <c r="I1450" s="8">
        <f t="shared" si="17"/>
        <v>75230</v>
      </c>
      <c r="J1450" s="9">
        <f>IFERROR(__xludf.DUMMYFUNCTION("SPLIT(I1450,""-"")"),75230.0)</f>
        <v>75230</v>
      </c>
    </row>
    <row r="1451">
      <c r="A1451" s="5" t="s">
        <v>1366</v>
      </c>
      <c r="B1451" s="6">
        <v>250.0</v>
      </c>
      <c r="C1451" s="7" t="s">
        <v>1148</v>
      </c>
      <c r="E1451" s="8" t="str">
        <f>IFERROR(__xludf.DUMMYFUNCTION("SPLIT(A1451,""TX"")"),"Fleury, Lisa
5806 Marquita Ave.
Dallas, ")</f>
        <v>Fleury, Lisa
5806 Marquita Ave.
Dallas, </v>
      </c>
      <c r="F1451" s="8">
        <f>IFERROR(__xludf.DUMMYFUNCTION("""COMPUTED_VALUE"""),75206.0)</f>
        <v>75206</v>
      </c>
      <c r="I1451" s="8">
        <f t="shared" si="17"/>
        <v>75206</v>
      </c>
      <c r="J1451" s="9">
        <f>IFERROR(__xludf.DUMMYFUNCTION("SPLIT(I1451,""-"")"),75206.0)</f>
        <v>75206</v>
      </c>
    </row>
    <row r="1452">
      <c r="A1452" s="10" t="s">
        <v>1367</v>
      </c>
      <c r="B1452" s="11">
        <v>250.0</v>
      </c>
      <c r="C1452" s="12" t="s">
        <v>1148</v>
      </c>
      <c r="E1452" s="8" t="str">
        <f>IFERROR(__xludf.DUMMYFUNCTION("SPLIT(A1452,""TX"")"),"Mortimer, Samuel
1623 Main St.
Dallas, ")</f>
        <v>Mortimer, Samuel
1623 Main St.
Dallas, </v>
      </c>
      <c r="F1452" s="8">
        <f>IFERROR(__xludf.DUMMYFUNCTION("""COMPUTED_VALUE"""),75201.0)</f>
        <v>75201</v>
      </c>
      <c r="I1452" s="8">
        <f t="shared" si="17"/>
        <v>75201</v>
      </c>
      <c r="J1452" s="9">
        <f>IFERROR(__xludf.DUMMYFUNCTION("SPLIT(I1452,""-"")"),75201.0)</f>
        <v>75201</v>
      </c>
    </row>
    <row r="1453">
      <c r="A1453" s="5" t="s">
        <v>1368</v>
      </c>
      <c r="B1453" s="6">
        <v>150.0</v>
      </c>
      <c r="C1453" s="7" t="s">
        <v>1148</v>
      </c>
      <c r="E1453" s="8" t="str">
        <f>IFERROR(__xludf.DUMMYFUNCTION("SPLIT(A1453,""TX"")"),"Scullion, Dennis
5815 Belmont Ave.
Dallas, ")</f>
        <v>Scullion, Dennis
5815 Belmont Ave.
Dallas, </v>
      </c>
      <c r="F1453" s="8">
        <f>IFERROR(__xludf.DUMMYFUNCTION("""COMPUTED_VALUE"""),75206.0)</f>
        <v>75206</v>
      </c>
      <c r="I1453" s="8">
        <f t="shared" si="17"/>
        <v>75206</v>
      </c>
      <c r="J1453" s="9">
        <f>IFERROR(__xludf.DUMMYFUNCTION("SPLIT(I1453,""-"")"),75206.0)</f>
        <v>75206</v>
      </c>
    </row>
    <row r="1454">
      <c r="A1454" s="10" t="s">
        <v>1369</v>
      </c>
      <c r="B1454" s="11">
        <v>100.0</v>
      </c>
      <c r="C1454" s="12" t="s">
        <v>1148</v>
      </c>
      <c r="E1454" s="8" t="str">
        <f>IFERROR(__xludf.DUMMYFUNCTION("SPLIT(A1454,""TX"")"),"Williams, William
3902 ")</f>
        <v>Williams, William
3902 </v>
      </c>
      <c r="F1454" s="8" t="str">
        <f>IFERROR(__xludf.DUMMYFUNCTION("""COMPUTED_VALUE"""),"hornhill Way
Rowlett, ")</f>
        <v>hornhill Way
Rowlett, </v>
      </c>
      <c r="G1454" s="8">
        <f>IFERROR(__xludf.DUMMYFUNCTION("""COMPUTED_VALUE"""),75088.0)</f>
        <v>75088</v>
      </c>
      <c r="I1454" s="8">
        <f t="shared" si="17"/>
        <v>75088</v>
      </c>
      <c r="J1454" s="9">
        <f>IFERROR(__xludf.DUMMYFUNCTION("SPLIT(I1454,""-"")"),75088.0)</f>
        <v>75088</v>
      </c>
    </row>
    <row r="1455">
      <c r="A1455" s="5" t="s">
        <v>1370</v>
      </c>
      <c r="B1455" s="6">
        <v>250.0</v>
      </c>
      <c r="C1455" s="7" t="s">
        <v>1148</v>
      </c>
      <c r="E1455" s="8" t="str">
        <f>IFERROR(__xludf.DUMMYFUNCTION("SPLIT(A1455,""TX"")"),"Lunceford, Michael
4440 Shady Hill Dr.
Dallas, ")</f>
        <v>Lunceford, Michael
4440 Shady Hill Dr.
Dallas, </v>
      </c>
      <c r="F1455" s="8">
        <f>IFERROR(__xludf.DUMMYFUNCTION("""COMPUTED_VALUE"""),75229.0)</f>
        <v>75229</v>
      </c>
      <c r="I1455" s="8">
        <f t="shared" si="17"/>
        <v>75229</v>
      </c>
      <c r="J1455" s="9">
        <f>IFERROR(__xludf.DUMMYFUNCTION("SPLIT(I1455,""-"")"),75229.0)</f>
        <v>75229</v>
      </c>
    </row>
    <row r="1456">
      <c r="A1456" s="10" t="s">
        <v>1371</v>
      </c>
      <c r="B1456" s="11">
        <v>150.0</v>
      </c>
      <c r="C1456" s="12" t="s">
        <v>1148</v>
      </c>
      <c r="E1456" s="8" t="str">
        <f>IFERROR(__xludf.DUMMYFUNCTION("SPLIT(A1456,""TX"")"),"Minear, Kimberly
6002 Belmont Ave.
Dallas, ")</f>
        <v>Minear, Kimberly
6002 Belmont Ave.
Dallas, </v>
      </c>
      <c r="F1456" s="8">
        <f>IFERROR(__xludf.DUMMYFUNCTION("""COMPUTED_VALUE"""),75206.0)</f>
        <v>75206</v>
      </c>
      <c r="I1456" s="8">
        <f t="shared" si="17"/>
        <v>75206</v>
      </c>
      <c r="J1456" s="9">
        <f>IFERROR(__xludf.DUMMYFUNCTION("SPLIT(I1456,""-"")"),75206.0)</f>
        <v>75206</v>
      </c>
    </row>
    <row r="1457">
      <c r="A1457" s="5" t="s">
        <v>1324</v>
      </c>
      <c r="B1457" s="6">
        <v>100.0</v>
      </c>
      <c r="C1457" s="7" t="s">
        <v>1148</v>
      </c>
      <c r="E1457" s="8" t="str">
        <f>IFERROR(__xludf.DUMMYFUNCTION("SPLIT(A1457,""TX"")"),"Salvaggio, Patricia
5701 Belmont Ave.
Dallas, ")</f>
        <v>Salvaggio, Patricia
5701 Belmont Ave.
Dallas, </v>
      </c>
      <c r="F1457" s="8">
        <f>IFERROR(__xludf.DUMMYFUNCTION("""COMPUTED_VALUE"""),75206.0)</f>
        <v>75206</v>
      </c>
      <c r="I1457" s="8">
        <f t="shared" si="17"/>
        <v>75206</v>
      </c>
      <c r="J1457" s="9">
        <f>IFERROR(__xludf.DUMMYFUNCTION("SPLIT(I1457,""-"")"),75206.0)</f>
        <v>75206</v>
      </c>
    </row>
    <row r="1458">
      <c r="A1458" s="10" t="s">
        <v>1372</v>
      </c>
      <c r="B1458" s="11">
        <v>100.0</v>
      </c>
      <c r="C1458" s="12" t="s">
        <v>1148</v>
      </c>
      <c r="E1458" s="8" t="str">
        <f>IFERROR(__xludf.DUMMYFUNCTION("SPLIT(A1458,""TX"")"),"Melnick, Susan
2316 Kesslery Pkwy.
Dallas, ")</f>
        <v>Melnick, Susan
2316 Kesslery Pkwy.
Dallas, </v>
      </c>
      <c r="F1458" s="8">
        <f>IFERROR(__xludf.DUMMYFUNCTION("""COMPUTED_VALUE"""),75208.0)</f>
        <v>75208</v>
      </c>
      <c r="I1458" s="8">
        <f t="shared" si="17"/>
        <v>75208</v>
      </c>
      <c r="J1458" s="9">
        <f>IFERROR(__xludf.DUMMYFUNCTION("SPLIT(I1458,""-"")"),75208.0)</f>
        <v>75208</v>
      </c>
    </row>
    <row r="1459">
      <c r="A1459" s="5" t="s">
        <v>1373</v>
      </c>
      <c r="B1459" s="6">
        <v>250.0</v>
      </c>
      <c r="C1459" s="7" t="s">
        <v>1148</v>
      </c>
      <c r="E1459" s="8" t="str">
        <f>IFERROR(__xludf.DUMMYFUNCTION("SPLIT(A1459,""TX"")"),"Campagna, Anthony
726 Paulus Ave.
Dallas, ")</f>
        <v>Campagna, Anthony
726 Paulus Ave.
Dallas, </v>
      </c>
      <c r="F1459" s="8">
        <f>IFERROR(__xludf.DUMMYFUNCTION("""COMPUTED_VALUE"""),75214.0)</f>
        <v>75214</v>
      </c>
      <c r="I1459" s="8">
        <f t="shared" si="17"/>
        <v>75214</v>
      </c>
      <c r="J1459" s="9">
        <f>IFERROR(__xludf.DUMMYFUNCTION("SPLIT(I1459,""-"")"),75214.0)</f>
        <v>75214</v>
      </c>
    </row>
    <row r="1460">
      <c r="A1460" s="10" t="s">
        <v>1374</v>
      </c>
      <c r="B1460" s="11">
        <v>50.0</v>
      </c>
      <c r="C1460" s="12" t="s">
        <v>1148</v>
      </c>
      <c r="E1460" s="8" t="str">
        <f>IFERROR(__xludf.DUMMYFUNCTION("SPLIT(A1460,""TX"")"),"Elkins, Vera
4840 Worth St.
Dallas, ")</f>
        <v>Elkins, Vera
4840 Worth St.
Dallas, </v>
      </c>
      <c r="F1460" s="8">
        <f>IFERROR(__xludf.DUMMYFUNCTION("""COMPUTED_VALUE"""),75246.0)</f>
        <v>75246</v>
      </c>
      <c r="I1460" s="8">
        <f t="shared" si="17"/>
        <v>75246</v>
      </c>
      <c r="J1460" s="9">
        <f>IFERROR(__xludf.DUMMYFUNCTION("SPLIT(I1460,""-"")"),75246.0)</f>
        <v>75246</v>
      </c>
    </row>
    <row r="1461">
      <c r="A1461" s="5" t="s">
        <v>1375</v>
      </c>
      <c r="B1461" s="6">
        <v>100.0</v>
      </c>
      <c r="C1461" s="7" t="s">
        <v>1148</v>
      </c>
      <c r="E1461" s="8" t="str">
        <f>IFERROR(__xludf.DUMMYFUNCTION("SPLIT(A1461,""TX"")"),"Spellicy, Courtney
7117 Wake Forrest Dr.
Dallas, ")</f>
        <v>Spellicy, Courtney
7117 Wake Forrest Dr.
Dallas, </v>
      </c>
      <c r="F1461" s="8">
        <f>IFERROR(__xludf.DUMMYFUNCTION("""COMPUTED_VALUE"""),75214.0)</f>
        <v>75214</v>
      </c>
      <c r="I1461" s="8">
        <f t="shared" si="17"/>
        <v>75214</v>
      </c>
      <c r="J1461" s="9">
        <f>IFERROR(__xludf.DUMMYFUNCTION("SPLIT(I1461,""-"")"),75214.0)</f>
        <v>75214</v>
      </c>
    </row>
    <row r="1462">
      <c r="A1462" s="10" t="s">
        <v>1376</v>
      </c>
      <c r="B1462" s="11">
        <v>1000.0</v>
      </c>
      <c r="C1462" s="12" t="s">
        <v>1148</v>
      </c>
      <c r="E1462" s="8" t="str">
        <f>IFERROR(__xludf.DUMMYFUNCTION("SPLIT(A1462,""TX"")"),"Deason, Darwin
9203 Esplanade Dr.
Dallas, ")</f>
        <v>Deason, Darwin
9203 Esplanade Dr.
Dallas, </v>
      </c>
      <c r="F1462" s="8">
        <f>IFERROR(__xludf.DUMMYFUNCTION("""COMPUTED_VALUE"""),75220.0)</f>
        <v>75220</v>
      </c>
      <c r="I1462" s="8">
        <f t="shared" si="17"/>
        <v>75220</v>
      </c>
      <c r="J1462" s="9">
        <f>IFERROR(__xludf.DUMMYFUNCTION("SPLIT(I1462,""-"")"),75220.0)</f>
        <v>75220</v>
      </c>
    </row>
    <row r="1463">
      <c r="A1463" s="5" t="s">
        <v>1377</v>
      </c>
      <c r="B1463" s="6">
        <v>1000.0</v>
      </c>
      <c r="C1463" s="7" t="s">
        <v>1148</v>
      </c>
      <c r="E1463" s="8" t="str">
        <f>IFERROR(__xludf.DUMMYFUNCTION("SPLIT(A1463,""TX"")"),"Deason, Douglas
10134 Waller Dr.
Dallas, ")</f>
        <v>Deason, Douglas
10134 Waller Dr.
Dallas, </v>
      </c>
      <c r="F1463" s="8">
        <f>IFERROR(__xludf.DUMMYFUNCTION("""COMPUTED_VALUE"""),75229.0)</f>
        <v>75229</v>
      </c>
      <c r="I1463" s="8">
        <f t="shared" si="17"/>
        <v>75229</v>
      </c>
      <c r="J1463" s="9">
        <f>IFERROR(__xludf.DUMMYFUNCTION("SPLIT(I1463,""-"")"),75229.0)</f>
        <v>75229</v>
      </c>
    </row>
    <row r="1464">
      <c r="A1464" s="10" t="s">
        <v>1378</v>
      </c>
      <c r="B1464" s="11">
        <v>1000.0</v>
      </c>
      <c r="C1464" s="12" t="s">
        <v>1148</v>
      </c>
      <c r="E1464" s="8" t="str">
        <f>IFERROR(__xludf.DUMMYFUNCTION("SPLIT(A1464,""TX"")"),"Deason, Kimberly
9203 Esplanade Dr.
Dallas, ")</f>
        <v>Deason, Kimberly
9203 Esplanade Dr.
Dallas, </v>
      </c>
      <c r="F1464" s="8">
        <f>IFERROR(__xludf.DUMMYFUNCTION("""COMPUTED_VALUE"""),75220.0)</f>
        <v>75220</v>
      </c>
      <c r="I1464" s="8">
        <f t="shared" si="17"/>
        <v>75220</v>
      </c>
      <c r="J1464" s="9">
        <f>IFERROR(__xludf.DUMMYFUNCTION("SPLIT(I1464,""-"")"),75220.0)</f>
        <v>75220</v>
      </c>
    </row>
    <row r="1465">
      <c r="A1465" s="5" t="s">
        <v>1379</v>
      </c>
      <c r="B1465" s="6">
        <v>1000.0</v>
      </c>
      <c r="C1465" s="7" t="s">
        <v>1148</v>
      </c>
      <c r="E1465" s="8" t="str">
        <f>IFERROR(__xludf.DUMMYFUNCTION("SPLIT(A1465,""TX"")"),"Pick, Jacki
10134 Waller Dr.
Dallas, ")</f>
        <v>Pick, Jacki
10134 Waller Dr.
Dallas, </v>
      </c>
      <c r="F1465" s="8">
        <f>IFERROR(__xludf.DUMMYFUNCTION("""COMPUTED_VALUE"""),75229.0)</f>
        <v>75229</v>
      </c>
      <c r="I1465" s="8">
        <f t="shared" si="17"/>
        <v>75229</v>
      </c>
      <c r="J1465" s="9">
        <f>IFERROR(__xludf.DUMMYFUNCTION("SPLIT(I1465,""-"")"),75229.0)</f>
        <v>75229</v>
      </c>
    </row>
    <row r="1466">
      <c r="A1466" s="10" t="s">
        <v>1380</v>
      </c>
      <c r="B1466" s="11">
        <v>100.0</v>
      </c>
      <c r="C1466" s="12" t="s">
        <v>1148</v>
      </c>
      <c r="E1466" s="8" t="str">
        <f>IFERROR(__xludf.DUMMYFUNCTION("SPLIT(A1466,""TX"")"),"Dharmagunaratne, Charaka
4530 Victor St.
Dallas, ")</f>
        <v>Dharmagunaratne, Charaka
4530 Victor St.
Dallas, </v>
      </c>
      <c r="F1466" s="8">
        <f>IFERROR(__xludf.DUMMYFUNCTION("""COMPUTED_VALUE"""),75246.0)</f>
        <v>75246</v>
      </c>
      <c r="I1466" s="8">
        <f t="shared" si="17"/>
        <v>75246</v>
      </c>
      <c r="J1466" s="9">
        <f>IFERROR(__xludf.DUMMYFUNCTION("SPLIT(I1466,""-"")"),75246.0)</f>
        <v>75246</v>
      </c>
    </row>
    <row r="1467">
      <c r="A1467" s="5" t="s">
        <v>1381</v>
      </c>
      <c r="B1467" s="6">
        <v>250.0</v>
      </c>
      <c r="C1467" s="7" t="s">
        <v>1148</v>
      </c>
      <c r="E1467" s="8" t="str">
        <f>IFERROR(__xludf.DUMMYFUNCTION("SPLIT(A1467,""TX"")"),"Sones, Graham
468 Easton Rd.
Dallas, ")</f>
        <v>Sones, Graham
468 Easton Rd.
Dallas, </v>
      </c>
      <c r="F1467" s="8">
        <f>IFERROR(__xludf.DUMMYFUNCTION("""COMPUTED_VALUE"""),75218.0)</f>
        <v>75218</v>
      </c>
      <c r="I1467" s="8">
        <f t="shared" si="17"/>
        <v>75218</v>
      </c>
      <c r="J1467" s="9">
        <f>IFERROR(__xludf.DUMMYFUNCTION("SPLIT(I1467,""-"")"),75218.0)</f>
        <v>75218</v>
      </c>
    </row>
    <row r="1468">
      <c r="A1468" s="10" t="s">
        <v>1382</v>
      </c>
      <c r="B1468" s="11">
        <v>1000.0</v>
      </c>
      <c r="C1468" s="12" t="s">
        <v>1148</v>
      </c>
      <c r="E1468" s="8" t="str">
        <f>IFERROR(__xludf.DUMMYFUNCTION("SPLIT(A1468,""TX"")"),"Lyle, Bobby
34 Masland Cir.
Dallas, ")</f>
        <v>Lyle, Bobby
34 Masland Cir.
Dallas, </v>
      </c>
      <c r="F1468" s="8">
        <f>IFERROR(__xludf.DUMMYFUNCTION("""COMPUTED_VALUE"""),75230.0)</f>
        <v>75230</v>
      </c>
      <c r="I1468" s="8">
        <f t="shared" si="17"/>
        <v>75230</v>
      </c>
      <c r="J1468" s="9">
        <f>IFERROR(__xludf.DUMMYFUNCTION("SPLIT(I1468,""-"")"),75230.0)</f>
        <v>75230</v>
      </c>
    </row>
    <row r="1469">
      <c r="A1469" s="5" t="s">
        <v>1383</v>
      </c>
      <c r="B1469" s="6">
        <v>250.0</v>
      </c>
      <c r="C1469" s="7" t="s">
        <v>1148</v>
      </c>
      <c r="E1469" s="8" t="str">
        <f>IFERROR(__xludf.DUMMYFUNCTION("SPLIT(A1469,""TX"")"),"Howard, Zachery
5923 Belmont Ave.
Dallas, ")</f>
        <v>Howard, Zachery
5923 Belmont Ave.
Dallas, </v>
      </c>
      <c r="F1469" s="8">
        <f>IFERROR(__xludf.DUMMYFUNCTION("""COMPUTED_VALUE"""),75206.0)</f>
        <v>75206</v>
      </c>
      <c r="I1469" s="8">
        <f t="shared" si="17"/>
        <v>75206</v>
      </c>
      <c r="J1469" s="9">
        <f>IFERROR(__xludf.DUMMYFUNCTION("SPLIT(I1469,""-"")"),75206.0)</f>
        <v>75206</v>
      </c>
    </row>
    <row r="1470">
      <c r="A1470" s="10" t="s">
        <v>1384</v>
      </c>
      <c r="B1470" s="11">
        <v>100.0</v>
      </c>
      <c r="C1470" s="12" t="s">
        <v>1148</v>
      </c>
      <c r="E1470" s="8" t="str">
        <f>IFERROR(__xludf.DUMMYFUNCTION("SPLIT(A1470,""TX"")"),"Haden, Carrie
6331 Mercedes Ave.
Dallas, ")</f>
        <v>Haden, Carrie
6331 Mercedes Ave.
Dallas, </v>
      </c>
      <c r="F1470" s="8">
        <f>IFERROR(__xludf.DUMMYFUNCTION("""COMPUTED_VALUE"""),75214.0)</f>
        <v>75214</v>
      </c>
      <c r="I1470" s="8">
        <f t="shared" si="17"/>
        <v>75214</v>
      </c>
      <c r="J1470" s="9">
        <f>IFERROR(__xludf.DUMMYFUNCTION("SPLIT(I1470,""-"")"),75214.0)</f>
        <v>75214</v>
      </c>
    </row>
    <row r="1471">
      <c r="A1471" s="5" t="s">
        <v>1385</v>
      </c>
      <c r="B1471" s="6">
        <v>250.0</v>
      </c>
      <c r="C1471" s="7" t="s">
        <v>1148</v>
      </c>
      <c r="E1471" s="8" t="str">
        <f>IFERROR(__xludf.DUMMYFUNCTION("SPLIT(A1471,""TX"")"),"Desler, Amy
5700 Winton St.
Dallas, ")</f>
        <v>Desler, Amy
5700 Winton St.
Dallas, </v>
      </c>
      <c r="F1471" s="8">
        <f>IFERROR(__xludf.DUMMYFUNCTION("""COMPUTED_VALUE"""),75206.0)</f>
        <v>75206</v>
      </c>
      <c r="I1471" s="8">
        <f t="shared" si="17"/>
        <v>75206</v>
      </c>
      <c r="J1471" s="9">
        <f>IFERROR(__xludf.DUMMYFUNCTION("SPLIT(I1471,""-"")"),75206.0)</f>
        <v>75206</v>
      </c>
    </row>
    <row r="1472">
      <c r="A1472" s="10" t="s">
        <v>1386</v>
      </c>
      <c r="B1472" s="11">
        <v>250.0</v>
      </c>
      <c r="C1472" s="12" t="s">
        <v>1148</v>
      </c>
      <c r="E1472" s="8" t="str">
        <f>IFERROR(__xludf.DUMMYFUNCTION("SPLIT(A1472,""TX"")"),"Elliott, Jill
3130 Sperry St.
Dallas, ")</f>
        <v>Elliott, Jill
3130 Sperry St.
Dallas, </v>
      </c>
      <c r="F1472" s="8">
        <f>IFERROR(__xludf.DUMMYFUNCTION("""COMPUTED_VALUE"""),75214.0)</f>
        <v>75214</v>
      </c>
      <c r="I1472" s="8">
        <f t="shared" si="17"/>
        <v>75214</v>
      </c>
      <c r="J1472" s="9">
        <f>IFERROR(__xludf.DUMMYFUNCTION("SPLIT(I1472,""-"")"),75214.0)</f>
        <v>75214</v>
      </c>
    </row>
    <row r="1473">
      <c r="A1473" s="5" t="s">
        <v>1387</v>
      </c>
      <c r="B1473" s="6">
        <v>500.0</v>
      </c>
      <c r="C1473" s="7" t="s">
        <v>1148</v>
      </c>
      <c r="E1473" s="8" t="str">
        <f>IFERROR(__xludf.DUMMYFUNCTION("SPLIT(A1473,""TX"")"),"Lewis, Jeanne
3604 Princeton Ave.
Dallas, ")</f>
        <v>Lewis, Jeanne
3604 Princeton Ave.
Dallas, </v>
      </c>
      <c r="F1473" s="8">
        <f>IFERROR(__xludf.DUMMYFUNCTION("""COMPUTED_VALUE"""),75205.0)</f>
        <v>75205</v>
      </c>
      <c r="I1473" s="8">
        <f t="shared" si="17"/>
        <v>75205</v>
      </c>
      <c r="J1473" s="9">
        <f>IFERROR(__xludf.DUMMYFUNCTION("SPLIT(I1473,""-"")"),75205.0)</f>
        <v>75205</v>
      </c>
    </row>
    <row r="1474">
      <c r="A1474" s="10" t="s">
        <v>1388</v>
      </c>
      <c r="B1474" s="11">
        <v>1000.0</v>
      </c>
      <c r="C1474" s="12" t="s">
        <v>1060</v>
      </c>
      <c r="E1474" s="8" t="str">
        <f>IFERROR(__xludf.DUMMYFUNCTION("SPLIT(A1474,""TX"")"),"Love, Alicia
6006 Vanderbilt Ave
Dallas, ")</f>
        <v>Love, Alicia
6006 Vanderbilt Ave
Dallas, </v>
      </c>
      <c r="F1474" s="8">
        <f>IFERROR(__xludf.DUMMYFUNCTION("""COMPUTED_VALUE"""),75206.0)</f>
        <v>75206</v>
      </c>
      <c r="I1474" s="8">
        <f t="shared" si="17"/>
        <v>75206</v>
      </c>
      <c r="J1474" s="9">
        <f>IFERROR(__xludf.DUMMYFUNCTION("SPLIT(I1474,""-"")"),75206.0)</f>
        <v>75206</v>
      </c>
    </row>
    <row r="1475">
      <c r="A1475" s="5" t="s">
        <v>1389</v>
      </c>
      <c r="B1475" s="6">
        <v>51.99</v>
      </c>
      <c r="C1475" s="7" t="s">
        <v>1060</v>
      </c>
      <c r="E1475" s="8" t="str">
        <f>IFERROR(__xludf.DUMMYFUNCTION("SPLIT(A1475,""TX"")"),"Degroot, Michael
7014 Coronado
Dallas, ")</f>
        <v>Degroot, Michael
7014 Coronado
Dallas, </v>
      </c>
      <c r="F1475" s="8">
        <f>IFERROR(__xludf.DUMMYFUNCTION("""COMPUTED_VALUE"""),75214.0)</f>
        <v>75214</v>
      </c>
      <c r="I1475" s="8">
        <f t="shared" si="17"/>
        <v>75214</v>
      </c>
      <c r="J1475" s="9">
        <f>IFERROR(__xludf.DUMMYFUNCTION("SPLIT(I1475,""-"")"),75214.0)</f>
        <v>75214</v>
      </c>
    </row>
    <row r="1476">
      <c r="A1476" s="10" t="s">
        <v>1390</v>
      </c>
      <c r="B1476" s="11">
        <v>100.0</v>
      </c>
      <c r="C1476" s="12" t="s">
        <v>1148</v>
      </c>
      <c r="E1476" s="8" t="str">
        <f>IFERROR(__xludf.DUMMYFUNCTION("SPLIT(A1476,""TX"")"),"Isaly, Ellen
PO Box 570177
Dallas, ")</f>
        <v>Isaly, Ellen
PO Box 570177
Dallas, </v>
      </c>
      <c r="F1476" s="8">
        <f>IFERROR(__xludf.DUMMYFUNCTION("""COMPUTED_VALUE"""),75357.0)</f>
        <v>75357</v>
      </c>
      <c r="I1476" s="8">
        <f t="shared" si="17"/>
        <v>75357</v>
      </c>
      <c r="J1476" s="9">
        <f>IFERROR(__xludf.DUMMYFUNCTION("SPLIT(I1476,""-"")"),75357.0)</f>
        <v>75357</v>
      </c>
    </row>
    <row r="1477">
      <c r="A1477" s="5" t="s">
        <v>1391</v>
      </c>
      <c r="B1477" s="6">
        <v>100.0</v>
      </c>
      <c r="C1477" s="7" t="s">
        <v>1148</v>
      </c>
      <c r="E1477" s="8" t="str">
        <f>IFERROR(__xludf.DUMMYFUNCTION("SPLIT(A1477,""TX"")"),"Sage, Geyden
PO Box 59291
Dallas, ")</f>
        <v>Sage, Geyden
PO Box 59291
Dallas, </v>
      </c>
      <c r="F1477" s="8">
        <f>IFERROR(__xludf.DUMMYFUNCTION("""COMPUTED_VALUE"""),75229.0)</f>
        <v>75229</v>
      </c>
      <c r="I1477" s="8">
        <f t="shared" si="17"/>
        <v>75229</v>
      </c>
      <c r="J1477" s="9">
        <f>IFERROR(__xludf.DUMMYFUNCTION("SPLIT(I1477,""-"")"),75229.0)</f>
        <v>75229</v>
      </c>
    </row>
    <row r="1478">
      <c r="A1478" s="10" t="s">
        <v>1392</v>
      </c>
      <c r="B1478" s="11">
        <v>103.48</v>
      </c>
      <c r="C1478" s="12" t="s">
        <v>1060</v>
      </c>
      <c r="E1478" s="8" t="str">
        <f>IFERROR(__xludf.DUMMYFUNCTION("SPLIT(A1478,""TX"")"),"Modell, Cynthia
5215 Homer
Dallas, ")</f>
        <v>Modell, Cynthia
5215 Homer
Dallas, </v>
      </c>
      <c r="F1478" s="8">
        <f>IFERROR(__xludf.DUMMYFUNCTION("""COMPUTED_VALUE"""),75206.0)</f>
        <v>75206</v>
      </c>
      <c r="I1478" s="8">
        <f t="shared" si="17"/>
        <v>75206</v>
      </c>
      <c r="J1478" s="9">
        <f>IFERROR(__xludf.DUMMYFUNCTION("SPLIT(I1478,""-"")"),75206.0)</f>
        <v>75206</v>
      </c>
    </row>
    <row r="1479">
      <c r="A1479" s="5" t="s">
        <v>1390</v>
      </c>
      <c r="B1479" s="6">
        <v>50.0</v>
      </c>
      <c r="C1479" s="7" t="s">
        <v>1148</v>
      </c>
      <c r="E1479" s="8" t="str">
        <f>IFERROR(__xludf.DUMMYFUNCTION("SPLIT(A1479,""TX"")"),"Isaly, Ellen
PO Box 570177
Dallas, ")</f>
        <v>Isaly, Ellen
PO Box 570177
Dallas, </v>
      </c>
      <c r="F1479" s="8">
        <f>IFERROR(__xludf.DUMMYFUNCTION("""COMPUTED_VALUE"""),75357.0)</f>
        <v>75357</v>
      </c>
      <c r="I1479" s="8">
        <f t="shared" si="17"/>
        <v>75357</v>
      </c>
      <c r="J1479" s="9">
        <f>IFERROR(__xludf.DUMMYFUNCTION("SPLIT(I1479,""-"")"),75357.0)</f>
        <v>75357</v>
      </c>
    </row>
    <row r="1480">
      <c r="A1480" s="10" t="s">
        <v>1390</v>
      </c>
      <c r="B1480" s="11">
        <v>50.0</v>
      </c>
      <c r="C1480" s="12" t="s">
        <v>1148</v>
      </c>
      <c r="E1480" s="8" t="str">
        <f>IFERROR(__xludf.DUMMYFUNCTION("SPLIT(A1480,""TX"")"),"Isaly, Ellen
PO Box 570177
Dallas, ")</f>
        <v>Isaly, Ellen
PO Box 570177
Dallas, </v>
      </c>
      <c r="F1480" s="8">
        <f>IFERROR(__xludf.DUMMYFUNCTION("""COMPUTED_VALUE"""),75357.0)</f>
        <v>75357</v>
      </c>
      <c r="I1480" s="8">
        <f t="shared" si="17"/>
        <v>75357</v>
      </c>
      <c r="J1480" s="9">
        <f>IFERROR(__xludf.DUMMYFUNCTION("SPLIT(I1480,""-"")"),75357.0)</f>
        <v>75357</v>
      </c>
    </row>
    <row r="1481">
      <c r="A1481" s="5" t="s">
        <v>1393</v>
      </c>
      <c r="B1481" s="6">
        <v>103.48</v>
      </c>
      <c r="C1481" s="7" t="s">
        <v>1060</v>
      </c>
      <c r="E1481" s="8" t="str">
        <f>IFERROR(__xludf.DUMMYFUNCTION("SPLIT(A1481,""TX"")"),"Craig, Christopher
5837 Victor
Dallas, ")</f>
        <v>Craig, Christopher
5837 Victor
Dallas, </v>
      </c>
      <c r="F1481" s="8">
        <f>IFERROR(__xludf.DUMMYFUNCTION("""COMPUTED_VALUE"""),75214.0)</f>
        <v>75214</v>
      </c>
      <c r="I1481" s="8">
        <f t="shared" si="17"/>
        <v>75214</v>
      </c>
      <c r="J1481" s="9">
        <f>IFERROR(__xludf.DUMMYFUNCTION("SPLIT(I1481,""-"")"),75214.0)</f>
        <v>75214</v>
      </c>
    </row>
    <row r="1482">
      <c r="A1482" s="10" t="s">
        <v>1394</v>
      </c>
      <c r="B1482" s="11">
        <v>103.48</v>
      </c>
      <c r="C1482" s="12" t="s">
        <v>1060</v>
      </c>
      <c r="E1482" s="8" t="str">
        <f>IFERROR(__xludf.DUMMYFUNCTION("SPLIT(A1482,""TX"")"),"Jackson, Joan
6033 Penrose
Dallas, ")</f>
        <v>Jackson, Joan
6033 Penrose
Dallas, </v>
      </c>
      <c r="F1482" s="8">
        <f>IFERROR(__xludf.DUMMYFUNCTION("""COMPUTED_VALUE"""),75206.0)</f>
        <v>75206</v>
      </c>
      <c r="I1482" s="8">
        <f t="shared" si="17"/>
        <v>75206</v>
      </c>
      <c r="J1482" s="9">
        <f>IFERROR(__xludf.DUMMYFUNCTION("SPLIT(I1482,""-"")"),75206.0)</f>
        <v>75206</v>
      </c>
    </row>
    <row r="1483">
      <c r="A1483" s="5" t="s">
        <v>1293</v>
      </c>
      <c r="B1483" s="6">
        <v>750.0</v>
      </c>
      <c r="C1483" s="7" t="s">
        <v>1060</v>
      </c>
      <c r="E1483" s="8" t="str">
        <f>IFERROR(__xludf.DUMMYFUNCTION("SPLIT(A1483,""TX"")"),"Ginsberg, Carl
2905 Wellborn
Dallas, ")</f>
        <v>Ginsberg, Carl
2905 Wellborn
Dallas, </v>
      </c>
      <c r="F1483" s="8">
        <f>IFERROR(__xludf.DUMMYFUNCTION("""COMPUTED_VALUE"""),75219.0)</f>
        <v>75219</v>
      </c>
      <c r="I1483" s="8">
        <f t="shared" si="17"/>
        <v>75219</v>
      </c>
      <c r="J1483" s="9">
        <f>IFERROR(__xludf.DUMMYFUNCTION("SPLIT(I1483,""-"")"),75219.0)</f>
        <v>75219</v>
      </c>
    </row>
    <row r="1484">
      <c r="A1484" s="10" t="s">
        <v>1137</v>
      </c>
      <c r="B1484" s="11">
        <v>250.0</v>
      </c>
      <c r="C1484" s="12" t="s">
        <v>1060</v>
      </c>
      <c r="E1484" s="8" t="str">
        <f>IFERROR(__xludf.DUMMYFUNCTION("SPLIT(A1484,""TX"")"),"Parks, Robert
6923 Santa Fe
Dallas, ")</f>
        <v>Parks, Robert
6923 Santa Fe
Dallas, </v>
      </c>
      <c r="F1484" s="8">
        <f>IFERROR(__xludf.DUMMYFUNCTION("""COMPUTED_VALUE"""),75223.0)</f>
        <v>75223</v>
      </c>
      <c r="I1484" s="8">
        <f t="shared" si="17"/>
        <v>75223</v>
      </c>
      <c r="J1484" s="9">
        <f>IFERROR(__xludf.DUMMYFUNCTION("SPLIT(I1484,""-"")"),75223.0)</f>
        <v>75223</v>
      </c>
    </row>
    <row r="1485">
      <c r="A1485" s="5" t="s">
        <v>1395</v>
      </c>
      <c r="B1485" s="6">
        <v>257.94</v>
      </c>
      <c r="C1485" s="7" t="s">
        <v>1060</v>
      </c>
      <c r="E1485" s="8" t="str">
        <f>IFERROR(__xludf.DUMMYFUNCTION("SPLIT(A1485,""TX"")"),"OKane, James
760 W Main
Barrington, IL 60010")</f>
        <v>OKane, James
760 W Main
Barrington, IL 60010</v>
      </c>
      <c r="I1485" s="8" t="str">
        <f t="shared" si="17"/>
        <v/>
      </c>
      <c r="J1485" s="9" t="str">
        <f>IFERROR(__xludf.DUMMYFUNCTION("SPLIT(I1485,""-"")"),"#VALUE!")</f>
        <v>#VALUE!</v>
      </c>
    </row>
    <row r="1486">
      <c r="A1486" s="10" t="s">
        <v>1396</v>
      </c>
      <c r="B1486" s="11">
        <v>103.48</v>
      </c>
      <c r="C1486" s="12" t="s">
        <v>1060</v>
      </c>
      <c r="E1486" s="8" t="str">
        <f>IFERROR(__xludf.DUMMYFUNCTION("SPLIT(A1486,""TX"")"),"Hines, David
5415 Morningside
Dallas, ")</f>
        <v>Hines, David
5415 Morningside
Dallas, </v>
      </c>
      <c r="F1486" s="8">
        <f>IFERROR(__xludf.DUMMYFUNCTION("""COMPUTED_VALUE"""),75206.0)</f>
        <v>75206</v>
      </c>
      <c r="I1486" s="8">
        <f t="shared" si="17"/>
        <v>75206</v>
      </c>
      <c r="J1486" s="9">
        <f>IFERROR(__xludf.DUMMYFUNCTION("SPLIT(I1486,""-"")"),75206.0)</f>
        <v>75206</v>
      </c>
    </row>
    <row r="1487">
      <c r="A1487" s="5" t="s">
        <v>1397</v>
      </c>
      <c r="B1487" s="6">
        <v>51.99</v>
      </c>
      <c r="C1487" s="7" t="s">
        <v>1060</v>
      </c>
      <c r="E1487" s="8" t="str">
        <f>IFERROR(__xludf.DUMMYFUNCTION("SPLIT(A1487,""TX"")"),"Watson, Marcus
12 W Leary
Columbus, OH 43215")</f>
        <v>Watson, Marcus
12 W Leary
Columbus, OH 43215</v>
      </c>
      <c r="I1487" s="8" t="str">
        <f t="shared" si="17"/>
        <v/>
      </c>
      <c r="J1487" s="9" t="str">
        <f>IFERROR(__xludf.DUMMYFUNCTION("SPLIT(I1487,""-"")"),"#VALUE!")</f>
        <v>#VALUE!</v>
      </c>
    </row>
    <row r="1488">
      <c r="A1488" s="10" t="s">
        <v>1398</v>
      </c>
      <c r="B1488" s="11">
        <v>103.48</v>
      </c>
      <c r="C1488" s="12" t="s">
        <v>1060</v>
      </c>
      <c r="E1488" s="8" t="str">
        <f>IFERROR(__xludf.DUMMYFUNCTION("SPLIT(A1488,""TX"")"),"Zahra, Edward
1003 Valencia
Dallas, ")</f>
        <v>Zahra, Edward
1003 Valencia
Dallas, </v>
      </c>
      <c r="F1488" s="8">
        <f>IFERROR(__xludf.DUMMYFUNCTION("""COMPUTED_VALUE"""),75223.0)</f>
        <v>75223</v>
      </c>
      <c r="I1488" s="8">
        <f t="shared" si="17"/>
        <v>75223</v>
      </c>
      <c r="J1488" s="9">
        <f>IFERROR(__xludf.DUMMYFUNCTION("SPLIT(I1488,""-"")"),75223.0)</f>
        <v>75223</v>
      </c>
    </row>
    <row r="1489">
      <c r="A1489" s="5" t="s">
        <v>1399</v>
      </c>
      <c r="B1489" s="6">
        <v>51.0</v>
      </c>
      <c r="C1489" s="7" t="s">
        <v>1060</v>
      </c>
      <c r="E1489" s="8" t="str">
        <f>IFERROR(__xludf.DUMMYFUNCTION("SPLIT(A1489,""TX"")"),"Keith, Walter
5914 Bryan Pkwy
Dallas, ")</f>
        <v>Keith, Walter
5914 Bryan Pkwy
Dallas, </v>
      </c>
      <c r="F1489" s="8">
        <f>IFERROR(__xludf.DUMMYFUNCTION("""COMPUTED_VALUE"""),75206.0)</f>
        <v>75206</v>
      </c>
      <c r="I1489" s="8">
        <f t="shared" si="17"/>
        <v>75206</v>
      </c>
      <c r="J1489" s="9">
        <f>IFERROR(__xludf.DUMMYFUNCTION("SPLIT(I1489,""-"")"),75206.0)</f>
        <v>75206</v>
      </c>
    </row>
    <row r="1490">
      <c r="A1490" s="10" t="s">
        <v>1400</v>
      </c>
      <c r="B1490" s="11">
        <v>206.46</v>
      </c>
      <c r="C1490" s="12" t="s">
        <v>1060</v>
      </c>
      <c r="E1490" s="8" t="str">
        <f>IFERROR(__xludf.DUMMYFUNCTION("SPLIT(A1490,""TX"")"),"Quimby, Marcel
7001 Hammond
Dallas, ")</f>
        <v>Quimby, Marcel
7001 Hammond
Dallas, </v>
      </c>
      <c r="F1490" s="8">
        <f>IFERROR(__xludf.DUMMYFUNCTION("""COMPUTED_VALUE"""),75223.0)</f>
        <v>75223</v>
      </c>
      <c r="I1490" s="8">
        <f t="shared" si="17"/>
        <v>75223</v>
      </c>
      <c r="J1490" s="9">
        <f>IFERROR(__xludf.DUMMYFUNCTION("SPLIT(I1490,""-"")"),75223.0)</f>
        <v>75223</v>
      </c>
    </row>
    <row r="1491">
      <c r="A1491" s="5" t="s">
        <v>1401</v>
      </c>
      <c r="B1491" s="6">
        <v>206.46</v>
      </c>
      <c r="C1491" s="7" t="s">
        <v>1060</v>
      </c>
      <c r="E1491" s="8" t="str">
        <f>IFERROR(__xludf.DUMMYFUNCTION("SPLIT(A1491,""TX"")"),"Hull, Robert
3510 ")</f>
        <v>Hull, Robert
3510 </v>
      </c>
      <c r="F1491" s="8" t="str">
        <f>IFERROR(__xludf.DUMMYFUNCTION("""COMPUTED_VALUE"""),"urtle Creek
Dallas, ")</f>
        <v>urtle Creek
Dallas, </v>
      </c>
      <c r="G1491" s="8">
        <f>IFERROR(__xludf.DUMMYFUNCTION("""COMPUTED_VALUE"""),75219.0)</f>
        <v>75219</v>
      </c>
      <c r="I1491" s="8">
        <f t="shared" si="17"/>
        <v>75219</v>
      </c>
      <c r="J1491" s="9">
        <f>IFERROR(__xludf.DUMMYFUNCTION("SPLIT(I1491,""-"")"),75219.0)</f>
        <v>75219</v>
      </c>
    </row>
    <row r="1492">
      <c r="A1492" s="10" t="s">
        <v>1294</v>
      </c>
      <c r="B1492" s="11">
        <v>100.0</v>
      </c>
      <c r="C1492" s="12" t="s">
        <v>1060</v>
      </c>
      <c r="E1492" s="8" t="str">
        <f>IFERROR(__xludf.DUMMYFUNCTION("SPLIT(A1492,""TX"")"),"West, ")</f>
        <v>West, </v>
      </c>
      <c r="F1492" s="8" t="str">
        <f>IFERROR(__xludf.DUMMYFUNCTION("""COMPUTED_VALUE"""),"homas
7027 E Grand
Dallas, ")</f>
        <v>homas
7027 E Grand
Dallas, </v>
      </c>
      <c r="G1492" s="8">
        <f>IFERROR(__xludf.DUMMYFUNCTION("""COMPUTED_VALUE"""),75223.0)</f>
        <v>75223</v>
      </c>
      <c r="I1492" s="8">
        <f t="shared" si="17"/>
        <v>75223</v>
      </c>
      <c r="J1492" s="9">
        <f>IFERROR(__xludf.DUMMYFUNCTION("SPLIT(I1492,""-"")"),75223.0)</f>
        <v>75223</v>
      </c>
    </row>
    <row r="1493">
      <c r="A1493" s="5" t="s">
        <v>1402</v>
      </c>
      <c r="B1493" s="6">
        <v>515.38</v>
      </c>
      <c r="C1493" s="7" t="s">
        <v>1060</v>
      </c>
      <c r="E1493" s="8" t="str">
        <f>IFERROR(__xludf.DUMMYFUNCTION("SPLIT(A1493,""TX"")"),"Ladd, Bobby
4616 St Johns
Dallas, ")</f>
        <v>Ladd, Bobby
4616 St Johns
Dallas, </v>
      </c>
      <c r="F1493" s="8">
        <f>IFERROR(__xludf.DUMMYFUNCTION("""COMPUTED_VALUE"""),75205.0)</f>
        <v>75205</v>
      </c>
      <c r="I1493" s="8">
        <f t="shared" si="17"/>
        <v>75205</v>
      </c>
      <c r="J1493" s="9">
        <f>IFERROR(__xludf.DUMMYFUNCTION("SPLIT(I1493,""-"")"),75205.0)</f>
        <v>75205</v>
      </c>
    </row>
    <row r="1494">
      <c r="A1494" s="10" t="s">
        <v>1265</v>
      </c>
      <c r="B1494" s="11">
        <v>50.0</v>
      </c>
      <c r="C1494" s="12" t="s">
        <v>1060</v>
      </c>
      <c r="E1494" s="8" t="str">
        <f>IFERROR(__xludf.DUMMYFUNCTION("SPLIT(A1494,""TX"")"),"Lowenberg, Julie
2828 Hood
Dallas, ")</f>
        <v>Lowenberg, Julie
2828 Hood
Dallas, </v>
      </c>
      <c r="F1494" s="8">
        <f>IFERROR(__xludf.DUMMYFUNCTION("""COMPUTED_VALUE"""),75219.0)</f>
        <v>75219</v>
      </c>
      <c r="I1494" s="8">
        <f t="shared" si="17"/>
        <v>75219</v>
      </c>
      <c r="J1494" s="9">
        <f>IFERROR(__xludf.DUMMYFUNCTION("SPLIT(I1494,""-"")"),75219.0)</f>
        <v>75219</v>
      </c>
    </row>
    <row r="1495">
      <c r="A1495" s="5" t="s">
        <v>1403</v>
      </c>
      <c r="B1495" s="6">
        <v>205.0</v>
      </c>
      <c r="C1495" s="7" t="s">
        <v>1060</v>
      </c>
      <c r="E1495" s="8" t="str">
        <f>IFERROR(__xludf.DUMMYFUNCTION("SPLIT(A1495,""TX"")"),"Hebeler, Rulan
3600 Lexington
Dallas, ")</f>
        <v>Hebeler, Rulan
3600 Lexington
Dallas, </v>
      </c>
      <c r="F1495" s="8">
        <f>IFERROR(__xludf.DUMMYFUNCTION("""COMPUTED_VALUE"""),75205.0)</f>
        <v>75205</v>
      </c>
      <c r="I1495" s="8">
        <f t="shared" si="17"/>
        <v>75205</v>
      </c>
      <c r="J1495" s="9">
        <f>IFERROR(__xludf.DUMMYFUNCTION("SPLIT(I1495,""-"")"),75205.0)</f>
        <v>75205</v>
      </c>
    </row>
    <row r="1496">
      <c r="A1496" s="10" t="s">
        <v>162</v>
      </c>
      <c r="B1496" s="11">
        <v>50.0</v>
      </c>
      <c r="C1496" s="12" t="s">
        <v>1060</v>
      </c>
      <c r="E1496" s="8" t="str">
        <f>IFERROR(__xludf.DUMMYFUNCTION("SPLIT(A1496,""TX"")"),"alley, Olive
6133 Prospect
Dallas, ")</f>
        <v>alley, Olive
6133 Prospect
Dallas, </v>
      </c>
      <c r="F1496" s="8">
        <f>IFERROR(__xludf.DUMMYFUNCTION("""COMPUTED_VALUE"""),75214.0)</f>
        <v>75214</v>
      </c>
      <c r="I1496" s="8">
        <f t="shared" si="17"/>
        <v>75214</v>
      </c>
      <c r="J1496" s="9">
        <f>IFERROR(__xludf.DUMMYFUNCTION("SPLIT(I1496,""-"")"),75214.0)</f>
        <v>75214</v>
      </c>
    </row>
    <row r="1497">
      <c r="A1497" s="5" t="s">
        <v>1398</v>
      </c>
      <c r="B1497" s="6">
        <v>103.48</v>
      </c>
      <c r="C1497" s="7" t="s">
        <v>1060</v>
      </c>
      <c r="E1497" s="8" t="str">
        <f>IFERROR(__xludf.DUMMYFUNCTION("SPLIT(A1497,""TX"")"),"Zahra, Edward
1003 Valencia
Dallas, ")</f>
        <v>Zahra, Edward
1003 Valencia
Dallas, </v>
      </c>
      <c r="F1497" s="8">
        <f>IFERROR(__xludf.DUMMYFUNCTION("""COMPUTED_VALUE"""),75223.0)</f>
        <v>75223</v>
      </c>
      <c r="I1497" s="8">
        <f t="shared" si="17"/>
        <v>75223</v>
      </c>
      <c r="J1497" s="9">
        <f>IFERROR(__xludf.DUMMYFUNCTION("SPLIT(I1497,""-"")"),75223.0)</f>
        <v>75223</v>
      </c>
    </row>
    <row r="1498">
      <c r="A1498" s="10" t="s">
        <v>1404</v>
      </c>
      <c r="B1498" s="11">
        <v>50.0</v>
      </c>
      <c r="C1498" s="12" t="s">
        <v>1060</v>
      </c>
      <c r="E1498" s="8" t="str">
        <f>IFERROR(__xludf.DUMMYFUNCTION("SPLIT(A1498,""TX"")"),"Connell, James
5115 Victor St
Dallas, ")</f>
        <v>Connell, James
5115 Victor St
Dallas, </v>
      </c>
      <c r="F1498" s="8">
        <f>IFERROR(__xludf.DUMMYFUNCTION("""COMPUTED_VALUE"""),75214.0)</f>
        <v>75214</v>
      </c>
      <c r="I1498" s="8">
        <f t="shared" si="17"/>
        <v>75214</v>
      </c>
      <c r="J1498" s="9">
        <f>IFERROR(__xludf.DUMMYFUNCTION("SPLIT(I1498,""-"")"),75214.0)</f>
        <v>75214</v>
      </c>
    </row>
    <row r="1499">
      <c r="A1499" s="5" t="s">
        <v>1308</v>
      </c>
      <c r="B1499" s="6">
        <v>51.99</v>
      </c>
      <c r="C1499" s="7" t="s">
        <v>1060</v>
      </c>
      <c r="E1499" s="8" t="str">
        <f>IFERROR(__xludf.DUMMYFUNCTION("SPLIT(A1499,""TX"")"),"Pleasants, Chrystin
4920 ")</f>
        <v>Pleasants, Chrystin
4920 </v>
      </c>
      <c r="F1499" s="8" t="str">
        <f>IFERROR(__xludf.DUMMYFUNCTION("""COMPUTED_VALUE"""),"remont
Dallas, ")</f>
        <v>remont
Dallas, </v>
      </c>
      <c r="G1499" s="8">
        <f>IFERROR(__xludf.DUMMYFUNCTION("""COMPUTED_VALUE"""),75214.0)</f>
        <v>75214</v>
      </c>
      <c r="I1499" s="8">
        <f t="shared" si="17"/>
        <v>75214</v>
      </c>
      <c r="J1499" s="9">
        <f>IFERROR(__xludf.DUMMYFUNCTION("SPLIT(I1499,""-"")"),75214.0)</f>
        <v>75214</v>
      </c>
    </row>
    <row r="1500">
      <c r="A1500" s="10" t="s">
        <v>1405</v>
      </c>
      <c r="B1500" s="11">
        <v>500.0</v>
      </c>
      <c r="C1500" s="12" t="s">
        <v>1060</v>
      </c>
      <c r="E1500" s="8" t="str">
        <f>IFERROR(__xludf.DUMMYFUNCTION("SPLIT(A1500,""TX"")"),"Wright, Robert
2361 Allen St
Dallas, ")</f>
        <v>Wright, Robert
2361 Allen St
Dallas, </v>
      </c>
      <c r="F1500" s="8">
        <f>IFERROR(__xludf.DUMMYFUNCTION("""COMPUTED_VALUE"""),75204.0)</f>
        <v>75204</v>
      </c>
      <c r="I1500" s="8">
        <f t="shared" si="17"/>
        <v>75204</v>
      </c>
      <c r="J1500" s="9">
        <f>IFERROR(__xludf.DUMMYFUNCTION("SPLIT(I1500,""-"")"),75204.0)</f>
        <v>75204</v>
      </c>
    </row>
    <row r="1501">
      <c r="A1501" s="5" t="s">
        <v>1406</v>
      </c>
      <c r="B1501" s="6">
        <v>25.0</v>
      </c>
      <c r="C1501" s="7" t="s">
        <v>1060</v>
      </c>
      <c r="E1501" s="8" t="str">
        <f>IFERROR(__xludf.DUMMYFUNCTION("SPLIT(A1501,""TX"")"),"Stauffer, Brett
2920 State
Dallas, ")</f>
        <v>Stauffer, Brett
2920 State
Dallas, </v>
      </c>
      <c r="F1501" s="8">
        <f>IFERROR(__xludf.DUMMYFUNCTION("""COMPUTED_VALUE"""),75204.0)</f>
        <v>75204</v>
      </c>
      <c r="I1501" s="8">
        <f t="shared" si="17"/>
        <v>75204</v>
      </c>
      <c r="J1501" s="9">
        <f>IFERROR(__xludf.DUMMYFUNCTION("SPLIT(I1501,""-"")"),75204.0)</f>
        <v>75204</v>
      </c>
    </row>
    <row r="1502">
      <c r="A1502" s="10" t="s">
        <v>1407</v>
      </c>
      <c r="B1502" s="11">
        <v>25.0</v>
      </c>
      <c r="C1502" s="12" t="s">
        <v>1060</v>
      </c>
      <c r="E1502" s="8" t="str">
        <f>IFERROR(__xludf.DUMMYFUNCTION("SPLIT(A1502,""TX"")"),"Mazero, John
6914 La Vista
Dallas, ")</f>
        <v>Mazero, John
6914 La Vista
Dallas, </v>
      </c>
      <c r="F1502" s="8">
        <f>IFERROR(__xludf.DUMMYFUNCTION("""COMPUTED_VALUE"""),75214.0)</f>
        <v>75214</v>
      </c>
      <c r="I1502" s="8">
        <f t="shared" si="17"/>
        <v>75214</v>
      </c>
      <c r="J1502" s="9">
        <f>IFERROR(__xludf.DUMMYFUNCTION("SPLIT(I1502,""-"")"),75214.0)</f>
        <v>75214</v>
      </c>
    </row>
    <row r="1503">
      <c r="A1503" s="5" t="s">
        <v>1408</v>
      </c>
      <c r="B1503" s="6">
        <v>25.0</v>
      </c>
      <c r="C1503" s="7" t="s">
        <v>1060</v>
      </c>
      <c r="E1503" s="8" t="str">
        <f>IFERROR(__xludf.DUMMYFUNCTION("SPLIT(A1503,""TX"")"),"Brunker, Douglas
2502 Live Oak
Dallas, ")</f>
        <v>Brunker, Douglas
2502 Live Oak
Dallas, </v>
      </c>
      <c r="F1503" s="8">
        <f>IFERROR(__xludf.DUMMYFUNCTION("""COMPUTED_VALUE"""),75204.0)</f>
        <v>75204</v>
      </c>
      <c r="I1503" s="8">
        <f t="shared" si="17"/>
        <v>75204</v>
      </c>
      <c r="J1503" s="9">
        <f>IFERROR(__xludf.DUMMYFUNCTION("SPLIT(I1503,""-"")"),75204.0)</f>
        <v>75204</v>
      </c>
    </row>
    <row r="1504">
      <c r="A1504" s="10" t="s">
        <v>1409</v>
      </c>
      <c r="B1504" s="11">
        <v>100.0</v>
      </c>
      <c r="C1504" s="12" t="s">
        <v>1060</v>
      </c>
      <c r="E1504" s="8" t="str">
        <f>IFERROR(__xludf.DUMMYFUNCTION("SPLIT(A1504,""TX"")"),"Davis, Dary
1914 Skillman
Dallas, ")</f>
        <v>Davis, Dary
1914 Skillman
Dallas, </v>
      </c>
      <c r="F1504" s="8">
        <f>IFERROR(__xludf.DUMMYFUNCTION("""COMPUTED_VALUE"""),75206.0)</f>
        <v>75206</v>
      </c>
      <c r="I1504" s="8">
        <f t="shared" si="17"/>
        <v>75206</v>
      </c>
      <c r="J1504" s="9">
        <f>IFERROR(__xludf.DUMMYFUNCTION("SPLIT(I1504,""-"")"),75206.0)</f>
        <v>75206</v>
      </c>
    </row>
    <row r="1505">
      <c r="A1505" s="5" t="s">
        <v>285</v>
      </c>
      <c r="B1505" s="6">
        <v>500.0</v>
      </c>
      <c r="C1505" s="7" t="s">
        <v>1060</v>
      </c>
      <c r="E1505" s="8" t="str">
        <f>IFERROR(__xludf.DUMMYFUNCTION("SPLIT(A1505,""TX"")"),"Margolin, Ann
3535 Gillespie
Dallas, ")</f>
        <v>Margolin, Ann
3535 Gillespie
Dallas, </v>
      </c>
      <c r="F1505" s="8">
        <f>IFERROR(__xludf.DUMMYFUNCTION("""COMPUTED_VALUE"""),75219.0)</f>
        <v>75219</v>
      </c>
      <c r="I1505" s="8">
        <f t="shared" si="17"/>
        <v>75219</v>
      </c>
      <c r="J1505" s="9">
        <f>IFERROR(__xludf.DUMMYFUNCTION("SPLIT(I1505,""-"")"),75219.0)</f>
        <v>75219</v>
      </c>
    </row>
    <row r="1506">
      <c r="A1506" s="10" t="s">
        <v>1410</v>
      </c>
      <c r="B1506" s="11">
        <v>51.99</v>
      </c>
      <c r="C1506" s="12" t="s">
        <v>1060</v>
      </c>
      <c r="E1506" s="8" t="str">
        <f>IFERROR(__xludf.DUMMYFUNCTION("SPLIT(A1506,""TX"")"),"Considine, Carol
7230 Westlake
Dallas, ")</f>
        <v>Considine, Carol
7230 Westlake
Dallas, </v>
      </c>
      <c r="F1506" s="8">
        <f>IFERROR(__xludf.DUMMYFUNCTION("""COMPUTED_VALUE"""),75214.0)</f>
        <v>75214</v>
      </c>
      <c r="I1506" s="8">
        <f t="shared" si="17"/>
        <v>75214</v>
      </c>
      <c r="J1506" s="9">
        <f>IFERROR(__xludf.DUMMYFUNCTION("SPLIT(I1506,""-"")"),75214.0)</f>
        <v>75214</v>
      </c>
    </row>
    <row r="1507">
      <c r="A1507" s="5" t="s">
        <v>1411</v>
      </c>
      <c r="B1507" s="6">
        <v>154.97</v>
      </c>
      <c r="C1507" s="7" t="s">
        <v>1060</v>
      </c>
      <c r="E1507" s="8" t="str">
        <f>IFERROR(__xludf.DUMMYFUNCTION("SPLIT(A1507,""TX"")"),"Rieves, Mark
5530 Goodwin
Dallas, ")</f>
        <v>Rieves, Mark
5530 Goodwin
Dallas, </v>
      </c>
      <c r="F1507" s="8">
        <f>IFERROR(__xludf.DUMMYFUNCTION("""COMPUTED_VALUE"""),75206.0)</f>
        <v>75206</v>
      </c>
      <c r="I1507" s="8">
        <f t="shared" si="17"/>
        <v>75206</v>
      </c>
      <c r="J1507" s="9">
        <f>IFERROR(__xludf.DUMMYFUNCTION("SPLIT(I1507,""-"")"),75206.0)</f>
        <v>75206</v>
      </c>
    </row>
    <row r="1508">
      <c r="A1508" s="10" t="s">
        <v>1412</v>
      </c>
      <c r="B1508" s="11">
        <v>515.38</v>
      </c>
      <c r="C1508" s="12" t="s">
        <v>1060</v>
      </c>
      <c r="E1508" s="8" t="str">
        <f>IFERROR(__xludf.DUMMYFUNCTION("SPLIT(A1508,""TX"")"),"Kitchell, Ellen
3939 Buena Vista
Dallas, ")</f>
        <v>Kitchell, Ellen
3939 Buena Vista
Dallas, </v>
      </c>
      <c r="F1508" s="8">
        <f>IFERROR(__xludf.DUMMYFUNCTION("""COMPUTED_VALUE"""),75204.0)</f>
        <v>75204</v>
      </c>
      <c r="I1508" s="8">
        <f t="shared" si="17"/>
        <v>75204</v>
      </c>
      <c r="J1508" s="9">
        <f>IFERROR(__xludf.DUMMYFUNCTION("SPLIT(I1508,""-"")"),75204.0)</f>
        <v>75204</v>
      </c>
    </row>
    <row r="1509">
      <c r="A1509" s="5" t="s">
        <v>1274</v>
      </c>
      <c r="B1509" s="6">
        <v>150.0</v>
      </c>
      <c r="C1509" s="7" t="s">
        <v>1060</v>
      </c>
      <c r="E1509" s="8" t="str">
        <f>IFERROR(__xludf.DUMMYFUNCTION("SPLIT(A1509,""TX"")"),"Friedman, Brandon
500 Clermont Ave
Dallas, ")</f>
        <v>Friedman, Brandon
500 Clermont Ave
Dallas, </v>
      </c>
      <c r="F1509" s="8">
        <f>IFERROR(__xludf.DUMMYFUNCTION("""COMPUTED_VALUE"""),75223.0)</f>
        <v>75223</v>
      </c>
      <c r="I1509" s="8">
        <f t="shared" si="17"/>
        <v>75223</v>
      </c>
      <c r="J1509" s="9">
        <f>IFERROR(__xludf.DUMMYFUNCTION("SPLIT(I1509,""-"")"),75223.0)</f>
        <v>75223</v>
      </c>
    </row>
    <row r="1510">
      <c r="A1510" s="10" t="s">
        <v>1283</v>
      </c>
      <c r="B1510" s="11">
        <v>250.0</v>
      </c>
      <c r="C1510" s="12" t="s">
        <v>1060</v>
      </c>
      <c r="E1510" s="8" t="str">
        <f>IFERROR(__xludf.DUMMYFUNCTION("SPLIT(A1510,""TX"")"),"Lill, Veletta
622 Blair
Dallas, ")</f>
        <v>Lill, Veletta
622 Blair
Dallas, </v>
      </c>
      <c r="F1510" s="8">
        <f>IFERROR(__xludf.DUMMYFUNCTION("""COMPUTED_VALUE"""),75223.0)</f>
        <v>75223</v>
      </c>
      <c r="I1510" s="8">
        <f t="shared" si="17"/>
        <v>75223</v>
      </c>
      <c r="J1510" s="9">
        <f>IFERROR(__xludf.DUMMYFUNCTION("SPLIT(I1510,""-"")"),75223.0)</f>
        <v>75223</v>
      </c>
    </row>
    <row r="1511">
      <c r="A1511" s="5" t="s">
        <v>1413</v>
      </c>
      <c r="B1511" s="6">
        <v>51.99</v>
      </c>
      <c r="C1511" s="7" t="s">
        <v>1060</v>
      </c>
      <c r="E1511" s="8" t="str">
        <f>IFERROR(__xludf.DUMMYFUNCTION("SPLIT(A1511,""TX"")"),"Linder, Kenneth
6305 E Lovers Lane
Dallas, ")</f>
        <v>Linder, Kenneth
6305 E Lovers Lane
Dallas, </v>
      </c>
      <c r="F1511" s="8">
        <f>IFERROR(__xludf.DUMMYFUNCTION("""COMPUTED_VALUE"""),75214.0)</f>
        <v>75214</v>
      </c>
      <c r="I1511" s="8">
        <f t="shared" si="17"/>
        <v>75214</v>
      </c>
      <c r="J1511" s="9">
        <f>IFERROR(__xludf.DUMMYFUNCTION("SPLIT(I1511,""-"")"),75214.0)</f>
        <v>75214</v>
      </c>
    </row>
    <row r="1512">
      <c r="A1512" s="10" t="s">
        <v>1414</v>
      </c>
      <c r="B1512" s="11">
        <v>103.48</v>
      </c>
      <c r="C1512" s="12" t="s">
        <v>1060</v>
      </c>
      <c r="E1512" s="8" t="str">
        <f>IFERROR(__xludf.DUMMYFUNCTION("SPLIT(A1512,""TX"")"),"Kozmetsky, Cynthia
3510 ")</f>
        <v>Kozmetsky, Cynthia
3510 </v>
      </c>
      <c r="F1512" s="8" t="str">
        <f>IFERROR(__xludf.DUMMYFUNCTION("""COMPUTED_VALUE"""),"urtle Creek
Dallas, ")</f>
        <v>urtle Creek
Dallas, </v>
      </c>
      <c r="G1512" s="8">
        <f>IFERROR(__xludf.DUMMYFUNCTION("""COMPUTED_VALUE"""),75219.0)</f>
        <v>75219</v>
      </c>
      <c r="I1512" s="8">
        <f t="shared" si="17"/>
        <v>75219</v>
      </c>
      <c r="J1512" s="9">
        <f>IFERROR(__xludf.DUMMYFUNCTION("SPLIT(I1512,""-"")"),75219.0)</f>
        <v>75219</v>
      </c>
    </row>
    <row r="1513">
      <c r="A1513" s="5" t="s">
        <v>1415</v>
      </c>
      <c r="B1513" s="6">
        <v>103.48</v>
      </c>
      <c r="C1513" s="7" t="s">
        <v>1060</v>
      </c>
      <c r="E1513" s="8" t="str">
        <f>IFERROR(__xludf.DUMMYFUNCTION("SPLIT(A1513,""TX"")"),"Meckfessel, Robert
1427 Haines
Dallas, ")</f>
        <v>Meckfessel, Robert
1427 Haines
Dallas, </v>
      </c>
      <c r="F1513" s="8">
        <f>IFERROR(__xludf.DUMMYFUNCTION("""COMPUTED_VALUE"""),75208.0)</f>
        <v>75208</v>
      </c>
      <c r="I1513" s="8">
        <f t="shared" si="17"/>
        <v>75208</v>
      </c>
      <c r="J1513" s="9">
        <f>IFERROR(__xludf.DUMMYFUNCTION("SPLIT(I1513,""-"")"),75208.0)</f>
        <v>75208</v>
      </c>
    </row>
    <row r="1514">
      <c r="A1514" s="10" t="s">
        <v>1281</v>
      </c>
      <c r="B1514" s="11">
        <v>103.48</v>
      </c>
      <c r="C1514" s="12" t="s">
        <v>1060</v>
      </c>
      <c r="E1514" s="8" t="str">
        <f>IFERROR(__xludf.DUMMYFUNCTION("SPLIT(A1514,""TX"")"),"Denison, Donna
6323 Lakeshore
Dallas, ")</f>
        <v>Denison, Donna
6323 Lakeshore
Dallas, </v>
      </c>
      <c r="F1514" s="8">
        <f>IFERROR(__xludf.DUMMYFUNCTION("""COMPUTED_VALUE"""),75214.0)</f>
        <v>75214</v>
      </c>
      <c r="I1514" s="8">
        <f t="shared" si="17"/>
        <v>75214</v>
      </c>
      <c r="J1514" s="9">
        <f>IFERROR(__xludf.DUMMYFUNCTION("SPLIT(I1514,""-"")"),75214.0)</f>
        <v>75214</v>
      </c>
    </row>
    <row r="1515">
      <c r="A1515" s="5" t="s">
        <v>1416</v>
      </c>
      <c r="B1515" s="6">
        <v>1000.0</v>
      </c>
      <c r="C1515" s="7" t="s">
        <v>1060</v>
      </c>
      <c r="E1515" s="8" t="str">
        <f>IFERROR(__xludf.DUMMYFUNCTION("SPLIT(A1515,""TX"")"),"Enloe, ")</f>
        <v>Enloe, </v>
      </c>
      <c r="F1515" s="8" t="str">
        <f>IFERROR(__xludf.DUMMYFUNCTION("""COMPUTED_VALUE"""),"ed
3510 ")</f>
        <v>ed
3510 </v>
      </c>
      <c r="G1515" s="8" t="str">
        <f>IFERROR(__xludf.DUMMYFUNCTION("""COMPUTED_VALUE"""),"urtle Creek
Dallas, ")</f>
        <v>urtle Creek
Dallas, </v>
      </c>
      <c r="H1515" s="8">
        <f>IFERROR(__xludf.DUMMYFUNCTION("""COMPUTED_VALUE"""),75219.0)</f>
        <v>75219</v>
      </c>
      <c r="I1515" s="13">
        <v>75219.0</v>
      </c>
      <c r="J1515" s="9">
        <f>IFERROR(__xludf.DUMMYFUNCTION("SPLIT(I1515,""-"")"),75219.0)</f>
        <v>75219</v>
      </c>
    </row>
    <row r="1516">
      <c r="A1516" s="10" t="s">
        <v>1417</v>
      </c>
      <c r="B1516" s="11">
        <v>1000.0</v>
      </c>
      <c r="C1516" s="12" t="s">
        <v>1060</v>
      </c>
      <c r="E1516" s="8" t="str">
        <f>IFERROR(__xludf.DUMMYFUNCTION("SPLIT(A1516,""TX"")"),"Enloe, Bess
3500 ")</f>
        <v>Enloe, Bess
3500 </v>
      </c>
      <c r="F1516" s="8" t="str">
        <f>IFERROR(__xludf.DUMMYFUNCTION("""COMPUTED_VALUE"""),"urtle Creek
Dallas, ")</f>
        <v>urtle Creek
Dallas, </v>
      </c>
      <c r="G1516" s="8">
        <f>IFERROR(__xludf.DUMMYFUNCTION("""COMPUTED_VALUE"""),75219.0)</f>
        <v>75219</v>
      </c>
      <c r="I1516" s="8">
        <f t="shared" ref="I1516:I1583" si="18">IF(ISBLANK(G1516),F1516,G1516)</f>
        <v>75219</v>
      </c>
      <c r="J1516" s="9">
        <f>IFERROR(__xludf.DUMMYFUNCTION("SPLIT(I1516,""-"")"),75219.0)</f>
        <v>75219</v>
      </c>
    </row>
    <row r="1517">
      <c r="A1517" s="5" t="s">
        <v>1418</v>
      </c>
      <c r="B1517" s="6">
        <v>1000.0</v>
      </c>
      <c r="C1517" s="7" t="s">
        <v>1060</v>
      </c>
      <c r="E1517" s="8" t="str">
        <f>IFERROR(__xludf.DUMMYFUNCTION("SPLIT(A1517,""TX"")"),"Enloe, Robert
3510 ")</f>
        <v>Enloe, Robert
3510 </v>
      </c>
      <c r="F1517" s="8" t="str">
        <f>IFERROR(__xludf.DUMMYFUNCTION("""COMPUTED_VALUE"""),"urtle Creek
Dallas, ")</f>
        <v>urtle Creek
Dallas, </v>
      </c>
      <c r="G1517" s="8">
        <f>IFERROR(__xludf.DUMMYFUNCTION("""COMPUTED_VALUE"""),75219.0)</f>
        <v>75219</v>
      </c>
      <c r="I1517" s="8">
        <f t="shared" si="18"/>
        <v>75219</v>
      </c>
      <c r="J1517" s="9">
        <f>IFERROR(__xludf.DUMMYFUNCTION("SPLIT(I1517,""-"")"),75219.0)</f>
        <v>75219</v>
      </c>
    </row>
    <row r="1518">
      <c r="A1518" s="10" t="s">
        <v>1107</v>
      </c>
      <c r="B1518" s="11">
        <v>515.38</v>
      </c>
      <c r="C1518" s="12" t="s">
        <v>1060</v>
      </c>
      <c r="E1518" s="8" t="str">
        <f>IFERROR(__xludf.DUMMYFUNCTION("SPLIT(A1518,""TX"")"),"Krider, Sue
3401 Lee Parkway
Dallas, ")</f>
        <v>Krider, Sue
3401 Lee Parkway
Dallas, </v>
      </c>
      <c r="F1518" s="8">
        <f>IFERROR(__xludf.DUMMYFUNCTION("""COMPUTED_VALUE"""),75219.0)</f>
        <v>75219</v>
      </c>
      <c r="I1518" s="8">
        <f t="shared" si="18"/>
        <v>75219</v>
      </c>
      <c r="J1518" s="9">
        <f>IFERROR(__xludf.DUMMYFUNCTION("SPLIT(I1518,""-"")"),75219.0)</f>
        <v>75219</v>
      </c>
    </row>
    <row r="1519">
      <c r="A1519" s="5" t="s">
        <v>1419</v>
      </c>
      <c r="B1519" s="6">
        <v>250.0</v>
      </c>
      <c r="C1519" s="7" t="s">
        <v>1060</v>
      </c>
      <c r="E1519" s="8" t="str">
        <f>IFERROR(__xludf.DUMMYFUNCTION("SPLIT(A1519,""TX"")"),"Riemer, Carol
5610 Monticello
Dallas, ")</f>
        <v>Riemer, Carol
5610 Monticello
Dallas, </v>
      </c>
      <c r="F1519" s="8">
        <f>IFERROR(__xludf.DUMMYFUNCTION("""COMPUTED_VALUE"""),75206.0)</f>
        <v>75206</v>
      </c>
      <c r="I1519" s="8">
        <f t="shared" si="18"/>
        <v>75206</v>
      </c>
      <c r="J1519" s="9">
        <f>IFERROR(__xludf.DUMMYFUNCTION("SPLIT(I1519,""-"")"),75206.0)</f>
        <v>75206</v>
      </c>
    </row>
    <row r="1520">
      <c r="A1520" s="10" t="s">
        <v>1420</v>
      </c>
      <c r="B1520" s="11">
        <v>257.94</v>
      </c>
      <c r="C1520" s="12" t="s">
        <v>1060</v>
      </c>
      <c r="E1520" s="8" t="str">
        <f>IFERROR(__xludf.DUMMYFUNCTION("SPLIT(A1520,""TX"")"),"Maclean, Leslie
3310 Fairmont
Dallas, ")</f>
        <v>Maclean, Leslie
3310 Fairmont
Dallas, </v>
      </c>
      <c r="F1520" s="8">
        <f>IFERROR(__xludf.DUMMYFUNCTION("""COMPUTED_VALUE"""),75201.0)</f>
        <v>75201</v>
      </c>
      <c r="I1520" s="8">
        <f t="shared" si="18"/>
        <v>75201</v>
      </c>
      <c r="J1520" s="9">
        <f>IFERROR(__xludf.DUMMYFUNCTION("SPLIT(I1520,""-"")"),75201.0)</f>
        <v>75201</v>
      </c>
    </row>
    <row r="1521">
      <c r="A1521" s="5" t="s">
        <v>1421</v>
      </c>
      <c r="B1521" s="6">
        <v>515.38</v>
      </c>
      <c r="C1521" s="7" t="s">
        <v>1060</v>
      </c>
      <c r="E1521" s="8" t="str">
        <f>IFERROR(__xludf.DUMMYFUNCTION("SPLIT(A1521,""TX"")"),"Hansen, Wendell
3813 Wentwood
Dallas, ")</f>
        <v>Hansen, Wendell
3813 Wentwood
Dallas, </v>
      </c>
      <c r="F1521" s="8">
        <f>IFERROR(__xludf.DUMMYFUNCTION("""COMPUTED_VALUE"""),75225.0)</f>
        <v>75225</v>
      </c>
      <c r="I1521" s="8">
        <f t="shared" si="18"/>
        <v>75225</v>
      </c>
      <c r="J1521" s="9">
        <f>IFERROR(__xludf.DUMMYFUNCTION("SPLIT(I1521,""-"")"),75225.0)</f>
        <v>75225</v>
      </c>
    </row>
    <row r="1522">
      <c r="A1522" s="10" t="s">
        <v>1422</v>
      </c>
      <c r="B1522" s="11">
        <v>515.38</v>
      </c>
      <c r="C1522" s="12" t="s">
        <v>1060</v>
      </c>
      <c r="E1522" s="8" t="str">
        <f>IFERROR(__xludf.DUMMYFUNCTION("SPLIT(A1522,""TX"")"),"Bach, Mathew
15746 Covewood Cir
Dallas, ")</f>
        <v>Bach, Mathew
15746 Covewood Cir
Dallas, </v>
      </c>
      <c r="F1522" s="8">
        <f>IFERROR(__xludf.DUMMYFUNCTION("""COMPUTED_VALUE"""),75225.0)</f>
        <v>75225</v>
      </c>
      <c r="I1522" s="8">
        <f t="shared" si="18"/>
        <v>75225</v>
      </c>
      <c r="J1522" s="9">
        <f>IFERROR(__xludf.DUMMYFUNCTION("SPLIT(I1522,""-"")"),75225.0)</f>
        <v>75225</v>
      </c>
    </row>
    <row r="1523">
      <c r="A1523" s="5" t="s">
        <v>1423</v>
      </c>
      <c r="B1523" s="6">
        <v>100.0</v>
      </c>
      <c r="C1523" s="7" t="s">
        <v>1060</v>
      </c>
      <c r="E1523" s="8" t="str">
        <f>IFERROR(__xludf.DUMMYFUNCTION("SPLIT(A1523,""TX"")"),"Andersen, Jeffry
503 Monte Vista
Dallas, ")</f>
        <v>Andersen, Jeffry
503 Monte Vista
Dallas, </v>
      </c>
      <c r="F1523" s="8">
        <f>IFERROR(__xludf.DUMMYFUNCTION("""COMPUTED_VALUE"""),75223.0)</f>
        <v>75223</v>
      </c>
      <c r="I1523" s="8">
        <f t="shared" si="18"/>
        <v>75223</v>
      </c>
      <c r="J1523" s="9">
        <f>IFERROR(__xludf.DUMMYFUNCTION("SPLIT(I1523,""-"")"),75223.0)</f>
        <v>75223</v>
      </c>
    </row>
    <row r="1524">
      <c r="A1524" s="10" t="s">
        <v>1424</v>
      </c>
      <c r="B1524" s="11">
        <v>100.0</v>
      </c>
      <c r="C1524" s="12" t="s">
        <v>1060</v>
      </c>
      <c r="E1524" s="8" t="str">
        <f>IFERROR(__xludf.DUMMYFUNCTION("SPLIT(A1524,""TX"")"),"Bober, Joanne
3510 ")</f>
        <v>Bober, Joanne
3510 </v>
      </c>
      <c r="F1524" s="8" t="str">
        <f>IFERROR(__xludf.DUMMYFUNCTION("""COMPUTED_VALUE"""),"urtle Creek
Dallas, ")</f>
        <v>urtle Creek
Dallas, </v>
      </c>
      <c r="G1524" s="8">
        <f>IFERROR(__xludf.DUMMYFUNCTION("""COMPUTED_VALUE"""),75219.0)</f>
        <v>75219</v>
      </c>
      <c r="I1524" s="8">
        <f t="shared" si="18"/>
        <v>75219</v>
      </c>
      <c r="J1524" s="9">
        <f>IFERROR(__xludf.DUMMYFUNCTION("SPLIT(I1524,""-"")"),75219.0)</f>
        <v>75219</v>
      </c>
    </row>
    <row r="1525">
      <c r="A1525" s="5" t="s">
        <v>1425</v>
      </c>
      <c r="B1525" s="6">
        <v>103.48</v>
      </c>
      <c r="C1525" s="7" t="s">
        <v>1060</v>
      </c>
      <c r="E1525" s="8" t="str">
        <f>IFERROR(__xludf.DUMMYFUNCTION("SPLIT(A1525,""TX"")"),"Chase, Scott
1200 Pacific
Dallas, ")</f>
        <v>Chase, Scott
1200 Pacific
Dallas, </v>
      </c>
      <c r="F1525" s="8">
        <f>IFERROR(__xludf.DUMMYFUNCTION("""COMPUTED_VALUE"""),75201.0)</f>
        <v>75201</v>
      </c>
      <c r="I1525" s="8">
        <f t="shared" si="18"/>
        <v>75201</v>
      </c>
      <c r="J1525" s="9">
        <f>IFERROR(__xludf.DUMMYFUNCTION("SPLIT(I1525,""-"")"),75201.0)</f>
        <v>75201</v>
      </c>
    </row>
    <row r="1526">
      <c r="A1526" s="10" t="s">
        <v>1426</v>
      </c>
      <c r="B1526" s="11">
        <v>515.38</v>
      </c>
      <c r="C1526" s="12" t="s">
        <v>1060</v>
      </c>
      <c r="E1526" s="8" t="str">
        <f>IFERROR(__xludf.DUMMYFUNCTION("SPLIT(A1526,""TX"")"),"Shaffer, Richard
3131 Maple
Dallas, ")</f>
        <v>Shaffer, Richard
3131 Maple
Dallas, </v>
      </c>
      <c r="F1526" s="8">
        <f>IFERROR(__xludf.DUMMYFUNCTION("""COMPUTED_VALUE"""),75219.0)</f>
        <v>75219</v>
      </c>
      <c r="I1526" s="8">
        <f t="shared" si="18"/>
        <v>75219</v>
      </c>
      <c r="J1526" s="9">
        <f>IFERROR(__xludf.DUMMYFUNCTION("SPLIT(I1526,""-"")"),75219.0)</f>
        <v>75219</v>
      </c>
    </row>
    <row r="1527">
      <c r="A1527" s="5" t="s">
        <v>1427</v>
      </c>
      <c r="B1527" s="6">
        <v>51.99</v>
      </c>
      <c r="C1527" s="7" t="s">
        <v>1060</v>
      </c>
      <c r="E1527" s="8" t="str">
        <f>IFERROR(__xludf.DUMMYFUNCTION("SPLIT(A1527,""TX"")"),"Dixon, Drew
5909 Winton
Dallas, ")</f>
        <v>Dixon, Drew
5909 Winton
Dallas, </v>
      </c>
      <c r="F1527" s="8">
        <f>IFERROR(__xludf.DUMMYFUNCTION("""COMPUTED_VALUE"""),75206.0)</f>
        <v>75206</v>
      </c>
      <c r="I1527" s="8">
        <f t="shared" si="18"/>
        <v>75206</v>
      </c>
      <c r="J1527" s="9">
        <f>IFERROR(__xludf.DUMMYFUNCTION("SPLIT(I1527,""-"")"),75206.0)</f>
        <v>75206</v>
      </c>
    </row>
    <row r="1528">
      <c r="A1528" s="10" t="s">
        <v>403</v>
      </c>
      <c r="B1528" s="11">
        <v>50.0</v>
      </c>
      <c r="C1528" s="12" t="s">
        <v>1060</v>
      </c>
      <c r="E1528" s="8" t="str">
        <f>IFERROR(__xludf.DUMMYFUNCTION("SPLIT(A1528,""TX"")"),"Morrow, John
8522 Stable Glen
Dallas, ")</f>
        <v>Morrow, John
8522 Stable Glen
Dallas, </v>
      </c>
      <c r="F1528" s="8">
        <f>IFERROR(__xludf.DUMMYFUNCTION("""COMPUTED_VALUE"""),75243.0)</f>
        <v>75243</v>
      </c>
      <c r="I1528" s="8">
        <f t="shared" si="18"/>
        <v>75243</v>
      </c>
      <c r="J1528" s="9">
        <f>IFERROR(__xludf.DUMMYFUNCTION("SPLIT(I1528,""-"")"),75243.0)</f>
        <v>75243</v>
      </c>
    </row>
    <row r="1529">
      <c r="A1529" s="5" t="s">
        <v>1428</v>
      </c>
      <c r="B1529" s="6">
        <v>100.0</v>
      </c>
      <c r="C1529" s="7" t="s">
        <v>1060</v>
      </c>
      <c r="E1529" s="8" t="str">
        <f>IFERROR(__xludf.DUMMYFUNCTION("SPLIT(A1529,""TX"")"),"McCreery, Roxanne
7035 Coronado Ave
Dallas, ")</f>
        <v>McCreery, Roxanne
7035 Coronado Ave
Dallas, </v>
      </c>
      <c r="F1529" s="8">
        <f>IFERROR(__xludf.DUMMYFUNCTION("""COMPUTED_VALUE"""),75214.0)</f>
        <v>75214</v>
      </c>
      <c r="I1529" s="8">
        <f t="shared" si="18"/>
        <v>75214</v>
      </c>
      <c r="J1529" s="9">
        <f>IFERROR(__xludf.DUMMYFUNCTION("SPLIT(I1529,""-"")"),75214.0)</f>
        <v>75214</v>
      </c>
    </row>
    <row r="1530">
      <c r="A1530" s="10" t="s">
        <v>1429</v>
      </c>
      <c r="B1530" s="11">
        <v>1000.0</v>
      </c>
      <c r="C1530" s="12" t="s">
        <v>1060</v>
      </c>
      <c r="E1530" s="8" t="str">
        <f>IFERROR(__xludf.DUMMYFUNCTION("SPLIT(A1530,""TX"")"),"Levy, Carol
5839 Desco
Dallas, ")</f>
        <v>Levy, Carol
5839 Desco
Dallas, </v>
      </c>
      <c r="F1530" s="8">
        <f>IFERROR(__xludf.DUMMYFUNCTION("""COMPUTED_VALUE"""),75225.0)</f>
        <v>75225</v>
      </c>
      <c r="I1530" s="8">
        <f t="shared" si="18"/>
        <v>75225</v>
      </c>
      <c r="J1530" s="9">
        <f>IFERROR(__xludf.DUMMYFUNCTION("SPLIT(I1530,""-"")"),75225.0)</f>
        <v>75225</v>
      </c>
    </row>
    <row r="1531">
      <c r="A1531" s="5" t="s">
        <v>1430</v>
      </c>
      <c r="B1531" s="6">
        <v>51.99</v>
      </c>
      <c r="C1531" s="7" t="s">
        <v>1060</v>
      </c>
      <c r="E1531" s="8" t="str">
        <f>IFERROR(__xludf.DUMMYFUNCTION("SPLIT(A1531,""TX"")"),"erry, Phillip
1028 Glen Echo Ct
Dallas, ")</f>
        <v>erry, Phillip
1028 Glen Echo Ct
Dallas, </v>
      </c>
      <c r="F1531" s="8">
        <f>IFERROR(__xludf.DUMMYFUNCTION("""COMPUTED_VALUE"""),75238.0)</f>
        <v>75238</v>
      </c>
      <c r="I1531" s="8">
        <f t="shared" si="18"/>
        <v>75238</v>
      </c>
      <c r="J1531" s="9">
        <f>IFERROR(__xludf.DUMMYFUNCTION("SPLIT(I1531,""-"")"),75238.0)</f>
        <v>75238</v>
      </c>
    </row>
    <row r="1532">
      <c r="A1532" s="10" t="s">
        <v>1431</v>
      </c>
      <c r="B1532" s="11">
        <v>51.99</v>
      </c>
      <c r="C1532" s="12" t="s">
        <v>1060</v>
      </c>
      <c r="E1532" s="8" t="str">
        <f>IFERROR(__xludf.DUMMYFUNCTION("SPLIT(A1532,""TX"")"),"Lowenberg, Julie &amp; Michael
2828 Hood
Dallas, ")</f>
        <v>Lowenberg, Julie &amp; Michael
2828 Hood
Dallas, </v>
      </c>
      <c r="F1532" s="8">
        <f>IFERROR(__xludf.DUMMYFUNCTION("""COMPUTED_VALUE"""),75219.0)</f>
        <v>75219</v>
      </c>
      <c r="I1532" s="8">
        <f t="shared" si="18"/>
        <v>75219</v>
      </c>
      <c r="J1532" s="9">
        <f>IFERROR(__xludf.DUMMYFUNCTION("SPLIT(I1532,""-"")"),75219.0)</f>
        <v>75219</v>
      </c>
    </row>
    <row r="1533">
      <c r="A1533" s="5" t="s">
        <v>1432</v>
      </c>
      <c r="B1533" s="6">
        <v>51.99</v>
      </c>
      <c r="C1533" s="7" t="s">
        <v>1060</v>
      </c>
      <c r="E1533" s="8" t="str">
        <f>IFERROR(__xludf.DUMMYFUNCTION("SPLIT(A1533,""TX"")"),"Post, Kraig
5402 ")</f>
        <v>Post, Kraig
5402 </v>
      </c>
      <c r="F1533" s="8" t="str">
        <f>IFERROR(__xludf.DUMMYFUNCTION("""COMPUTED_VALUE"""),"remont
Dallas, ")</f>
        <v>remont
Dallas, </v>
      </c>
      <c r="G1533" s="8">
        <f>IFERROR(__xludf.DUMMYFUNCTION("""COMPUTED_VALUE"""),75214.0)</f>
        <v>75214</v>
      </c>
      <c r="I1533" s="8">
        <f t="shared" si="18"/>
        <v>75214</v>
      </c>
      <c r="J1533" s="9">
        <f>IFERROR(__xludf.DUMMYFUNCTION("SPLIT(I1533,""-"")"),75214.0)</f>
        <v>75214</v>
      </c>
    </row>
    <row r="1534">
      <c r="A1534" s="10" t="s">
        <v>1300</v>
      </c>
      <c r="B1534" s="11">
        <v>50.0</v>
      </c>
      <c r="C1534" s="12" t="s">
        <v>1060</v>
      </c>
      <c r="E1534" s="8" t="str">
        <f>IFERROR(__xludf.DUMMYFUNCTION("SPLIT(A1534,""TX"")"),"Ehrhardt, Harryette
3525 ")</f>
        <v>Ehrhardt, Harryette
3525 </v>
      </c>
      <c r="F1534" s="8" t="str">
        <f>IFERROR(__xludf.DUMMYFUNCTION("""COMPUTED_VALUE"""),"urtle Creek
Dallas, ")</f>
        <v>urtle Creek
Dallas, </v>
      </c>
      <c r="G1534" s="8">
        <f>IFERROR(__xludf.DUMMYFUNCTION("""COMPUTED_VALUE"""),75219.0)</f>
        <v>75219</v>
      </c>
      <c r="I1534" s="8">
        <f t="shared" si="18"/>
        <v>75219</v>
      </c>
      <c r="J1534" s="9">
        <f>IFERROR(__xludf.DUMMYFUNCTION("SPLIT(I1534,""-"")"),75219.0)</f>
        <v>75219</v>
      </c>
    </row>
    <row r="1535">
      <c r="A1535" s="5" t="s">
        <v>1433</v>
      </c>
      <c r="B1535" s="6">
        <v>50.0</v>
      </c>
      <c r="C1535" s="7" t="s">
        <v>1060</v>
      </c>
      <c r="E1535" s="8" t="str">
        <f>IFERROR(__xludf.DUMMYFUNCTION("SPLIT(A1535,""TX"")"),"Bond, ")</f>
        <v>Bond, </v>
      </c>
      <c r="F1535" s="8" t="str">
        <f>IFERROR(__xludf.DUMMYFUNCTION("""COMPUTED_VALUE"""),"eresa
1815 Loving
Dallas, ")</f>
        <v>eresa
1815 Loving
Dallas, </v>
      </c>
      <c r="G1535" s="8">
        <f>IFERROR(__xludf.DUMMYFUNCTION("""COMPUTED_VALUE"""),75214.0)</f>
        <v>75214</v>
      </c>
      <c r="I1535" s="8">
        <f t="shared" si="18"/>
        <v>75214</v>
      </c>
      <c r="J1535" s="9">
        <f>IFERROR(__xludf.DUMMYFUNCTION("SPLIT(I1535,""-"")"),75214.0)</f>
        <v>75214</v>
      </c>
    </row>
    <row r="1536">
      <c r="A1536" s="10" t="s">
        <v>1434</v>
      </c>
      <c r="B1536" s="11">
        <v>100.0</v>
      </c>
      <c r="C1536" s="12" t="s">
        <v>1060</v>
      </c>
      <c r="E1536" s="8" t="str">
        <f>IFERROR(__xludf.DUMMYFUNCTION("SPLIT(A1536,""TX"")"),"Hill, Jennifer
6915 San Mateo Blvd
Dallas, ")</f>
        <v>Hill, Jennifer
6915 San Mateo Blvd
Dallas, </v>
      </c>
      <c r="F1536" s="8">
        <f>IFERROR(__xludf.DUMMYFUNCTION("""COMPUTED_VALUE"""),75223.0)</f>
        <v>75223</v>
      </c>
      <c r="I1536" s="8">
        <f t="shared" si="18"/>
        <v>75223</v>
      </c>
      <c r="J1536" s="9">
        <f>IFERROR(__xludf.DUMMYFUNCTION("SPLIT(I1536,""-"")"),75223.0)</f>
        <v>75223</v>
      </c>
    </row>
    <row r="1537">
      <c r="A1537" s="5" t="s">
        <v>1435</v>
      </c>
      <c r="B1537" s="6">
        <v>250.0</v>
      </c>
      <c r="C1537" s="7" t="s">
        <v>1060</v>
      </c>
      <c r="E1537" s="8" t="str">
        <f>IFERROR(__xludf.DUMMYFUNCTION("SPLIT(A1537,""TX"")"),"Kender, Randall
4116 Stonebridge
Dallas, ")</f>
        <v>Kender, Randall
4116 Stonebridge
Dallas, </v>
      </c>
      <c r="F1537" s="8">
        <f>IFERROR(__xludf.DUMMYFUNCTION("""COMPUTED_VALUE"""),75204.0)</f>
        <v>75204</v>
      </c>
      <c r="I1537" s="8">
        <f t="shared" si="18"/>
        <v>75204</v>
      </c>
      <c r="J1537" s="9">
        <f>IFERROR(__xludf.DUMMYFUNCTION("SPLIT(I1537,""-"")"),75204.0)</f>
        <v>75204</v>
      </c>
    </row>
    <row r="1538">
      <c r="A1538" s="10" t="s">
        <v>1436</v>
      </c>
      <c r="B1538" s="11">
        <v>100.0</v>
      </c>
      <c r="C1538" s="12" t="s">
        <v>1060</v>
      </c>
      <c r="E1538" s="8" t="str">
        <f>IFERROR(__xludf.DUMMYFUNCTION("SPLIT(A1538,""TX"")"),"Davis, Gregory
3615 Gillespie
Dallas, ")</f>
        <v>Davis, Gregory
3615 Gillespie
Dallas, </v>
      </c>
      <c r="F1538" s="8">
        <f>IFERROR(__xludf.DUMMYFUNCTION("""COMPUTED_VALUE"""),75219.0)</f>
        <v>75219</v>
      </c>
      <c r="I1538" s="8">
        <f t="shared" si="18"/>
        <v>75219</v>
      </c>
      <c r="J1538" s="9">
        <f>IFERROR(__xludf.DUMMYFUNCTION("SPLIT(I1538,""-"")"),75219.0)</f>
        <v>75219</v>
      </c>
    </row>
    <row r="1539">
      <c r="A1539" s="5" t="s">
        <v>1437</v>
      </c>
      <c r="B1539" s="6">
        <v>250.0</v>
      </c>
      <c r="C1539" s="7" t="s">
        <v>1060</v>
      </c>
      <c r="E1539" s="8" t="str">
        <f>IFERROR(__xludf.DUMMYFUNCTION("SPLIT(A1539,""TX"")"),"Nash, Kelly
6327 Vickery Blvd
Dallas, ")</f>
        <v>Nash, Kelly
6327 Vickery Blvd
Dallas, </v>
      </c>
      <c r="F1539" s="8">
        <f>IFERROR(__xludf.DUMMYFUNCTION("""COMPUTED_VALUE"""),75214.0)</f>
        <v>75214</v>
      </c>
      <c r="I1539" s="8">
        <f t="shared" si="18"/>
        <v>75214</v>
      </c>
      <c r="J1539" s="9">
        <f>IFERROR(__xludf.DUMMYFUNCTION("SPLIT(I1539,""-"")"),75214.0)</f>
        <v>75214</v>
      </c>
    </row>
    <row r="1540">
      <c r="A1540" s="10" t="s">
        <v>1438</v>
      </c>
      <c r="B1540" s="11">
        <v>103.48</v>
      </c>
      <c r="C1540" s="12" t="s">
        <v>1060</v>
      </c>
      <c r="E1540" s="8" t="str">
        <f>IFERROR(__xludf.DUMMYFUNCTION("SPLIT(A1540,""TX"")"),"Mills, Rosanne
6906 Casa Loma Ave
Dallas, ")</f>
        <v>Mills, Rosanne
6906 Casa Loma Ave
Dallas, </v>
      </c>
      <c r="F1540" s="8">
        <f>IFERROR(__xludf.DUMMYFUNCTION("""COMPUTED_VALUE"""),75214.0)</f>
        <v>75214</v>
      </c>
      <c r="I1540" s="8">
        <f t="shared" si="18"/>
        <v>75214</v>
      </c>
      <c r="J1540" s="9">
        <f>IFERROR(__xludf.DUMMYFUNCTION("SPLIT(I1540,""-"")"),75214.0)</f>
        <v>75214</v>
      </c>
    </row>
    <row r="1541">
      <c r="A1541" s="5" t="s">
        <v>1439</v>
      </c>
      <c r="B1541" s="6">
        <v>200.0</v>
      </c>
      <c r="C1541" s="7" t="s">
        <v>1060</v>
      </c>
      <c r="E1541" s="8" t="str">
        <f>IFERROR(__xludf.DUMMYFUNCTION("SPLIT(A1541,""TX"")"),"Silhan, Gailya
6918 Patricia
Dallas, ")</f>
        <v>Silhan, Gailya
6918 Patricia
Dallas, </v>
      </c>
      <c r="F1541" s="8">
        <f>IFERROR(__xludf.DUMMYFUNCTION("""COMPUTED_VALUE"""),75223.0)</f>
        <v>75223</v>
      </c>
      <c r="I1541" s="8">
        <f t="shared" si="18"/>
        <v>75223</v>
      </c>
      <c r="J1541" s="9">
        <f>IFERROR(__xludf.DUMMYFUNCTION("SPLIT(I1541,""-"")"),75223.0)</f>
        <v>75223</v>
      </c>
    </row>
    <row r="1542">
      <c r="A1542" s="10" t="s">
        <v>1440</v>
      </c>
      <c r="B1542" s="11">
        <v>25.0</v>
      </c>
      <c r="C1542" s="12" t="s">
        <v>1060</v>
      </c>
      <c r="E1542" s="8" t="str">
        <f>IFERROR(__xludf.DUMMYFUNCTION("SPLIT(A1542,""TX"")"),"Mueller, Pamela
5928 Marquita Ave
Dallas, ")</f>
        <v>Mueller, Pamela
5928 Marquita Ave
Dallas, </v>
      </c>
      <c r="F1542" s="8">
        <f>IFERROR(__xludf.DUMMYFUNCTION("""COMPUTED_VALUE"""),75206.0)</f>
        <v>75206</v>
      </c>
      <c r="I1542" s="8">
        <f t="shared" si="18"/>
        <v>75206</v>
      </c>
      <c r="J1542" s="9">
        <f>IFERROR(__xludf.DUMMYFUNCTION("SPLIT(I1542,""-"")"),75206.0)</f>
        <v>75206</v>
      </c>
    </row>
    <row r="1543">
      <c r="A1543" s="5" t="s">
        <v>1441</v>
      </c>
      <c r="B1543" s="6">
        <v>100.0</v>
      </c>
      <c r="C1543" s="7" t="s">
        <v>649</v>
      </c>
      <c r="E1543" s="8" t="str">
        <f>IFERROR(__xludf.DUMMYFUNCTION("SPLIT(A1543,""TX"")"),"Beitler, Patrick
1218 Elmwood Blvd
Dallas, ")</f>
        <v>Beitler, Patrick
1218 Elmwood Blvd
Dallas, </v>
      </c>
      <c r="F1543" s="8">
        <f>IFERROR(__xludf.DUMMYFUNCTION("""COMPUTED_VALUE"""),75224.0)</f>
        <v>75224</v>
      </c>
      <c r="I1543" s="8">
        <f t="shared" si="18"/>
        <v>75224</v>
      </c>
      <c r="J1543" s="9">
        <f>IFERROR(__xludf.DUMMYFUNCTION("SPLIT(I1543,""-"")"),75224.0)</f>
        <v>75224</v>
      </c>
    </row>
    <row r="1544">
      <c r="A1544" s="5" t="s">
        <v>667</v>
      </c>
      <c r="B1544" s="6">
        <v>500.0</v>
      </c>
      <c r="C1544" s="7" t="s">
        <v>649</v>
      </c>
      <c r="E1544" s="8" t="str">
        <f>IFERROR(__xludf.DUMMYFUNCTION("SPLIT(A1544,""TX"")"),"Camarillo, Sylvia
3 Richmond Ct.
Mansfield, ")</f>
        <v>Camarillo, Sylvia
3 Richmond Ct.
Mansfield, </v>
      </c>
      <c r="F1544" s="8">
        <f>IFERROR(__xludf.DUMMYFUNCTION("""COMPUTED_VALUE"""),76063.0)</f>
        <v>76063</v>
      </c>
      <c r="I1544" s="8">
        <f t="shared" si="18"/>
        <v>76063</v>
      </c>
      <c r="J1544" s="9">
        <f>IFERROR(__xludf.DUMMYFUNCTION("SPLIT(I1544,""-"")"),76063.0)</f>
        <v>76063</v>
      </c>
    </row>
    <row r="1545">
      <c r="A1545" s="5" t="s">
        <v>1442</v>
      </c>
      <c r="B1545" s="6">
        <v>237.2</v>
      </c>
      <c r="C1545" s="7" t="s">
        <v>649</v>
      </c>
      <c r="E1545" s="8" t="str">
        <f>IFERROR(__xludf.DUMMYFUNCTION("SPLIT(A1545,""TX"")"),"Cusimano, Leo
1619 Sylvan Ave.
Dallas, ")</f>
        <v>Cusimano, Leo
1619 Sylvan Ave.
Dallas, </v>
      </c>
      <c r="F1545" s="8">
        <f>IFERROR(__xludf.DUMMYFUNCTION("""COMPUTED_VALUE"""),75208.0)</f>
        <v>75208</v>
      </c>
      <c r="I1545" s="8">
        <f t="shared" si="18"/>
        <v>75208</v>
      </c>
      <c r="J1545" s="9">
        <f>IFERROR(__xludf.DUMMYFUNCTION("SPLIT(I1545,""-"")"),75208.0)</f>
        <v>75208</v>
      </c>
    </row>
    <row r="1546">
      <c r="A1546" s="5" t="s">
        <v>1443</v>
      </c>
      <c r="B1546" s="6">
        <v>100.0</v>
      </c>
      <c r="C1546" s="7" t="s">
        <v>649</v>
      </c>
      <c r="E1546" s="8" t="str">
        <f>IFERROR(__xludf.DUMMYFUNCTION("SPLIT(A1546,""TX"")"),"Davis, Amy
1106 N. Clinton Ave
Dallas, ")</f>
        <v>Davis, Amy
1106 N. Clinton Ave
Dallas, </v>
      </c>
      <c r="F1546" s="8">
        <f>IFERROR(__xludf.DUMMYFUNCTION("""COMPUTED_VALUE"""),75208.0)</f>
        <v>75208</v>
      </c>
      <c r="I1546" s="8">
        <f t="shared" si="18"/>
        <v>75208</v>
      </c>
      <c r="J1546" s="9">
        <f>IFERROR(__xludf.DUMMYFUNCTION("SPLIT(I1546,""-"")"),75208.0)</f>
        <v>75208</v>
      </c>
    </row>
    <row r="1547">
      <c r="A1547" s="5" t="s">
        <v>1444</v>
      </c>
      <c r="B1547" s="6">
        <v>1000.0</v>
      </c>
      <c r="C1547" s="7" t="s">
        <v>649</v>
      </c>
      <c r="E1547" s="8" t="str">
        <f>IFERROR(__xludf.DUMMYFUNCTION("SPLIT(A1547,""TX"")"),"Dismore, Socorro
1860 Masters Dr.
Dallas, ")</f>
        <v>Dismore, Socorro
1860 Masters Dr.
Dallas, </v>
      </c>
      <c r="F1547" s="8">
        <f>IFERROR(__xludf.DUMMYFUNCTION("""COMPUTED_VALUE"""),75115.0)</f>
        <v>75115</v>
      </c>
      <c r="I1547" s="8">
        <f t="shared" si="18"/>
        <v>75115</v>
      </c>
      <c r="J1547" s="9">
        <f>IFERROR(__xludf.DUMMYFUNCTION("SPLIT(I1547,""-"")"),75115.0)</f>
        <v>75115</v>
      </c>
    </row>
    <row r="1548">
      <c r="A1548" s="5" t="s">
        <v>1445</v>
      </c>
      <c r="B1548" s="6">
        <v>250.0</v>
      </c>
      <c r="C1548" s="7" t="s">
        <v>649</v>
      </c>
      <c r="E1548" s="8" t="str">
        <f>IFERROR(__xludf.DUMMYFUNCTION("SPLIT(A1548,""TX"")"),"Estrada, Laura
1339 Cedar Hill Ave.
Dallas, ")</f>
        <v>Estrada, Laura
1339 Cedar Hill Ave.
Dallas, </v>
      </c>
      <c r="F1548" s="8">
        <f>IFERROR(__xludf.DUMMYFUNCTION("""COMPUTED_VALUE"""),75208.0)</f>
        <v>75208</v>
      </c>
      <c r="I1548" s="8">
        <f t="shared" si="18"/>
        <v>75208</v>
      </c>
      <c r="J1548" s="9">
        <f>IFERROR(__xludf.DUMMYFUNCTION("SPLIT(I1548,""-"")"),75208.0)</f>
        <v>75208</v>
      </c>
    </row>
    <row r="1549">
      <c r="A1549" s="5" t="s">
        <v>1446</v>
      </c>
      <c r="B1549" s="6">
        <v>94.7</v>
      </c>
      <c r="C1549" s="7" t="s">
        <v>649</v>
      </c>
      <c r="E1549" s="8" t="str">
        <f>IFERROR(__xludf.DUMMYFUNCTION("SPLIT(A1549,""TX"")"),"Goodwin, Elisa
2310 Broken Point
McKinney, ")</f>
        <v>Goodwin, Elisa
2310 Broken Point
McKinney, </v>
      </c>
      <c r="F1549" s="8">
        <f>IFERROR(__xludf.DUMMYFUNCTION("""COMPUTED_VALUE"""),75702.0)</f>
        <v>75702</v>
      </c>
      <c r="I1549" s="8">
        <f t="shared" si="18"/>
        <v>75702</v>
      </c>
      <c r="J1549" s="9">
        <f>IFERROR(__xludf.DUMMYFUNCTION("SPLIT(I1549,""-"")"),75702.0)</f>
        <v>75702</v>
      </c>
    </row>
    <row r="1550">
      <c r="A1550" s="5" t="s">
        <v>1447</v>
      </c>
      <c r="B1550" s="6">
        <v>250.0</v>
      </c>
      <c r="C1550" s="7" t="s">
        <v>649</v>
      </c>
      <c r="E1550" s="8" t="str">
        <f>IFERROR(__xludf.DUMMYFUNCTION("SPLIT(A1550,""TX"")"),"Hamilton, Jane Hope
623 Aspen Valley Ln.
Dallas, ")</f>
        <v>Hamilton, Jane Hope
623 Aspen Valley Ln.
Dallas, </v>
      </c>
      <c r="F1550" s="8">
        <f>IFERROR(__xludf.DUMMYFUNCTION("""COMPUTED_VALUE"""),75208.0)</f>
        <v>75208</v>
      </c>
      <c r="I1550" s="8">
        <f t="shared" si="18"/>
        <v>75208</v>
      </c>
      <c r="J1550" s="9">
        <f>IFERROR(__xludf.DUMMYFUNCTION("SPLIT(I1550,""-"")"),75208.0)</f>
        <v>75208</v>
      </c>
    </row>
    <row r="1551">
      <c r="A1551" s="5" t="s">
        <v>1448</v>
      </c>
      <c r="B1551" s="6">
        <v>800.0</v>
      </c>
      <c r="C1551" s="7" t="s">
        <v>649</v>
      </c>
      <c r="E1551" s="8" t="str">
        <f>IFERROR(__xludf.DUMMYFUNCTION("SPLIT(A1551,""TX"")"),"Huerta, Junior
2135 Elmwood Blvd
Dallas, ")</f>
        <v>Huerta, Junior
2135 Elmwood Blvd
Dallas, </v>
      </c>
      <c r="F1551" s="8">
        <f>IFERROR(__xludf.DUMMYFUNCTION("""COMPUTED_VALUE"""),75224.0)</f>
        <v>75224</v>
      </c>
      <c r="I1551" s="8">
        <f t="shared" si="18"/>
        <v>75224</v>
      </c>
      <c r="J1551" s="9">
        <f>IFERROR(__xludf.DUMMYFUNCTION("SPLIT(I1551,""-"")"),75224.0)</f>
        <v>75224</v>
      </c>
    </row>
    <row r="1552">
      <c r="A1552" s="5" t="s">
        <v>1449</v>
      </c>
      <c r="B1552" s="6">
        <v>500.0</v>
      </c>
      <c r="C1552" s="7" t="s">
        <v>649</v>
      </c>
      <c r="E1552" s="8" t="str">
        <f>IFERROR(__xludf.DUMMYFUNCTION("SPLIT(A1552,""TX"")"),"Long, William
3500 Kim Dr.
Irving, ")</f>
        <v>Long, William
3500 Kim Dr.
Irving, </v>
      </c>
      <c r="F1552" s="8">
        <f>IFERROR(__xludf.DUMMYFUNCTION("""COMPUTED_VALUE"""),75061.0)</f>
        <v>75061</v>
      </c>
      <c r="I1552" s="8">
        <f t="shared" si="18"/>
        <v>75061</v>
      </c>
      <c r="J1552" s="9">
        <f>IFERROR(__xludf.DUMMYFUNCTION("SPLIT(I1552,""-"")"),75061.0)</f>
        <v>75061</v>
      </c>
    </row>
    <row r="1553">
      <c r="A1553" s="5" t="s">
        <v>1450</v>
      </c>
      <c r="B1553" s="6">
        <v>250.0</v>
      </c>
      <c r="C1553" s="7" t="s">
        <v>649</v>
      </c>
      <c r="E1553" s="8" t="str">
        <f>IFERROR(__xludf.DUMMYFUNCTION("SPLIT(A1553,""TX"")"),"Krochtengel, Zachary
17014 Preston Bend Dr.
Dallas, ")</f>
        <v>Krochtengel, Zachary
17014 Preston Bend Dr.
Dallas, </v>
      </c>
      <c r="F1553" s="8">
        <f>IFERROR(__xludf.DUMMYFUNCTION("""COMPUTED_VALUE"""),75248.0)</f>
        <v>75248</v>
      </c>
      <c r="I1553" s="8">
        <f t="shared" si="18"/>
        <v>75248</v>
      </c>
      <c r="J1553" s="9">
        <f>IFERROR(__xludf.DUMMYFUNCTION("SPLIT(I1553,""-"")"),75248.0)</f>
        <v>75248</v>
      </c>
    </row>
    <row r="1554">
      <c r="A1554" s="5" t="s">
        <v>1451</v>
      </c>
      <c r="B1554" s="6">
        <v>250.0</v>
      </c>
      <c r="C1554" s="7" t="s">
        <v>649</v>
      </c>
      <c r="E1554" s="8" t="str">
        <f>IFERROR(__xludf.DUMMYFUNCTION("SPLIT(A1554,""TX"")"),"Leal, Rolando
414 N. Casa Grande Cir.
Duncanville, ")</f>
        <v>Leal, Rolando
414 N. Casa Grande Cir.
Duncanville, </v>
      </c>
      <c r="F1554" s="8">
        <f>IFERROR(__xludf.DUMMYFUNCTION("""COMPUTED_VALUE"""),75116.0)</f>
        <v>75116</v>
      </c>
      <c r="I1554" s="8">
        <f t="shared" si="18"/>
        <v>75116</v>
      </c>
      <c r="J1554" s="9">
        <f>IFERROR(__xludf.DUMMYFUNCTION("SPLIT(I1554,""-"")"),75116.0)</f>
        <v>75116</v>
      </c>
    </row>
    <row r="1555">
      <c r="A1555" s="5" t="s">
        <v>1452</v>
      </c>
      <c r="B1555" s="6">
        <v>1000.0</v>
      </c>
      <c r="C1555" s="7" t="s">
        <v>649</v>
      </c>
      <c r="E1555" s="8" t="str">
        <f>IFERROR(__xludf.DUMMYFUNCTION("SPLIT(A1555,""TX"")"),"Andres, Sarah
PO Box 17428
Austin, ")</f>
        <v>Andres, Sarah
PO Box 17428
Austin, </v>
      </c>
      <c r="F1555" s="8">
        <f>IFERROR(__xludf.DUMMYFUNCTION("""COMPUTED_VALUE"""),78760.0)</f>
        <v>78760</v>
      </c>
      <c r="I1555" s="8">
        <f t="shared" si="18"/>
        <v>78760</v>
      </c>
      <c r="J1555" s="9">
        <f>IFERROR(__xludf.DUMMYFUNCTION("SPLIT(I1555,""-"")"),78760.0)</f>
        <v>78760</v>
      </c>
    </row>
    <row r="1556">
      <c r="A1556" s="5" t="s">
        <v>1453</v>
      </c>
      <c r="B1556" s="6">
        <v>500.0</v>
      </c>
      <c r="C1556" s="7" t="s">
        <v>649</v>
      </c>
      <c r="E1556" s="8" t="str">
        <f>IFERROR(__xludf.DUMMYFUNCTION("SPLIT(A1556,""TX"")"),"Lopez, Bridget
4326 Meadowdale Ln.
Dallas, ")</f>
        <v>Lopez, Bridget
4326 Meadowdale Ln.
Dallas, </v>
      </c>
      <c r="F1556" s="8">
        <f>IFERROR(__xludf.DUMMYFUNCTION("""COMPUTED_VALUE"""),75229.0)</f>
        <v>75229</v>
      </c>
      <c r="I1556" s="8">
        <f t="shared" si="18"/>
        <v>75229</v>
      </c>
      <c r="J1556" s="9">
        <f>IFERROR(__xludf.DUMMYFUNCTION("SPLIT(I1556,""-"")"),75229.0)</f>
        <v>75229</v>
      </c>
    </row>
    <row r="1557">
      <c r="A1557" s="5" t="s">
        <v>254</v>
      </c>
      <c r="B1557" s="6">
        <v>100.0</v>
      </c>
      <c r="C1557" s="7" t="s">
        <v>649</v>
      </c>
      <c r="E1557" s="8" t="str">
        <f>IFERROR(__xludf.DUMMYFUNCTION("SPLIT(A1557,""TX"")"),"Minnis, Norma
PO Box 140977
Dallas, ")</f>
        <v>Minnis, Norma
PO Box 140977
Dallas, </v>
      </c>
      <c r="F1557" s="8">
        <f>IFERROR(__xludf.DUMMYFUNCTION("""COMPUTED_VALUE"""),75214.0)</f>
        <v>75214</v>
      </c>
      <c r="I1557" s="8">
        <f t="shared" si="18"/>
        <v>75214</v>
      </c>
      <c r="J1557" s="9">
        <f>IFERROR(__xludf.DUMMYFUNCTION("SPLIT(I1557,""-"")"),75214.0)</f>
        <v>75214</v>
      </c>
    </row>
    <row r="1558">
      <c r="A1558" s="5" t="s">
        <v>1454</v>
      </c>
      <c r="B1558" s="6">
        <v>250.0</v>
      </c>
      <c r="C1558" s="7" t="s">
        <v>649</v>
      </c>
      <c r="E1558" s="8" t="str">
        <f>IFERROR(__xludf.DUMMYFUNCTION("SPLIT(A1558,""TX"")"),"Orr, Marci
211 S. ")</f>
        <v>Orr, Marci
211 S. </v>
      </c>
      <c r="F1558" s="8" t="str">
        <f>IFERROR(__xludf.DUMMYFUNCTION("""COMPUTED_VALUE"""),"yler St.
Dallas, ")</f>
        <v>yler St.
Dallas, </v>
      </c>
      <c r="G1558" s="8">
        <f>IFERROR(__xludf.DUMMYFUNCTION("""COMPUTED_VALUE"""),75224.0)</f>
        <v>75224</v>
      </c>
      <c r="I1558" s="8">
        <f t="shared" si="18"/>
        <v>75224</v>
      </c>
      <c r="J1558" s="9">
        <f>IFERROR(__xludf.DUMMYFUNCTION("SPLIT(I1558,""-"")"),75224.0)</f>
        <v>75224</v>
      </c>
    </row>
    <row r="1559">
      <c r="A1559" s="5" t="s">
        <v>1455</v>
      </c>
      <c r="B1559" s="6">
        <v>200.0</v>
      </c>
      <c r="C1559" s="7" t="s">
        <v>649</v>
      </c>
      <c r="E1559" s="8" t="str">
        <f>IFERROR(__xludf.DUMMYFUNCTION("SPLIT(A1559,""TX"")"),"Owens, Gerald
1508 Winding Hollow Ln.
Plano, ")</f>
        <v>Owens, Gerald
1508 Winding Hollow Ln.
Plano, </v>
      </c>
      <c r="F1559" s="8">
        <f>IFERROR(__xludf.DUMMYFUNCTION("""COMPUTED_VALUE"""),75093.0)</f>
        <v>75093</v>
      </c>
      <c r="I1559" s="8">
        <f t="shared" si="18"/>
        <v>75093</v>
      </c>
      <c r="J1559" s="9">
        <f>IFERROR(__xludf.DUMMYFUNCTION("SPLIT(I1559,""-"")"),75093.0)</f>
        <v>75093</v>
      </c>
    </row>
    <row r="1560">
      <c r="A1560" s="5" t="s">
        <v>1456</v>
      </c>
      <c r="B1560" s="6">
        <v>500.0</v>
      </c>
      <c r="C1560" s="7" t="s">
        <v>649</v>
      </c>
      <c r="E1560" s="8" t="str">
        <f>IFERROR(__xludf.DUMMYFUNCTION("SPLIT(A1560,""TX"")"),"Ridley, Paul
5100 Victor St.
Dallas, ")</f>
        <v>Ridley, Paul
5100 Victor St.
Dallas, </v>
      </c>
      <c r="F1560" s="8">
        <f>IFERROR(__xludf.DUMMYFUNCTION("""COMPUTED_VALUE"""),75214.0)</f>
        <v>75214</v>
      </c>
      <c r="I1560" s="8">
        <f t="shared" si="18"/>
        <v>75214</v>
      </c>
      <c r="J1560" s="9">
        <f>IFERROR(__xludf.DUMMYFUNCTION("SPLIT(I1560,""-"")"),75214.0)</f>
        <v>75214</v>
      </c>
    </row>
    <row r="1561">
      <c r="A1561" s="5" t="s">
        <v>1457</v>
      </c>
      <c r="B1561" s="6">
        <v>1000.0</v>
      </c>
      <c r="C1561" s="7" t="s">
        <v>649</v>
      </c>
      <c r="E1561" s="8" t="str">
        <f>IFERROR(__xludf.DUMMYFUNCTION("SPLIT(A1561,""TX"")"),"Santa Maria, Arthur
785 Huntingdon St.
Coppell, ")</f>
        <v>Santa Maria, Arthur
785 Huntingdon St.
Coppell, </v>
      </c>
      <c r="F1561" s="8">
        <f>IFERROR(__xludf.DUMMYFUNCTION("""COMPUTED_VALUE"""),76501.0)</f>
        <v>76501</v>
      </c>
      <c r="I1561" s="8">
        <f t="shared" si="18"/>
        <v>76501</v>
      </c>
      <c r="J1561" s="9">
        <f>IFERROR(__xludf.DUMMYFUNCTION("SPLIT(I1561,""-"")"),76501.0)</f>
        <v>76501</v>
      </c>
    </row>
    <row r="1562">
      <c r="A1562" s="5" t="s">
        <v>1458</v>
      </c>
      <c r="B1562" s="6">
        <v>500.0</v>
      </c>
      <c r="C1562" s="7" t="s">
        <v>649</v>
      </c>
      <c r="E1562" s="8" t="str">
        <f>IFERROR(__xludf.DUMMYFUNCTION("SPLIT(A1562,""TX"")"),"horne, Harold
3550 Gifco Rd.
Midlothian, ")</f>
        <v>horne, Harold
3550 Gifco Rd.
Midlothian, </v>
      </c>
      <c r="F1562" s="8">
        <f>IFERROR(__xludf.DUMMYFUNCTION("""COMPUTED_VALUE"""),76065.0)</f>
        <v>76065</v>
      </c>
      <c r="I1562" s="8">
        <f t="shared" si="18"/>
        <v>76065</v>
      </c>
      <c r="J1562" s="9">
        <f>IFERROR(__xludf.DUMMYFUNCTION("SPLIT(I1562,""-"")"),76065.0)</f>
        <v>76065</v>
      </c>
    </row>
    <row r="1563">
      <c r="A1563" s="5" t="s">
        <v>760</v>
      </c>
      <c r="B1563" s="6">
        <v>250.0</v>
      </c>
      <c r="C1563" s="7" t="s">
        <v>649</v>
      </c>
      <c r="E1563" s="8" t="str">
        <f>IFERROR(__xludf.DUMMYFUNCTION("SPLIT(A1563,""TX"")"),"Wedell, Roger
1318 Elmwood Blvd.
Dallas, ")</f>
        <v>Wedell, Roger
1318 Elmwood Blvd.
Dallas, </v>
      </c>
      <c r="F1563" s="8">
        <f>IFERROR(__xludf.DUMMYFUNCTION("""COMPUTED_VALUE"""),75224.0)</f>
        <v>75224</v>
      </c>
      <c r="I1563" s="8">
        <f t="shared" si="18"/>
        <v>75224</v>
      </c>
      <c r="J1563" s="9">
        <f>IFERROR(__xludf.DUMMYFUNCTION("SPLIT(I1563,""-"")"),75224.0)</f>
        <v>75224</v>
      </c>
    </row>
    <row r="1564">
      <c r="A1564" s="5" t="s">
        <v>1459</v>
      </c>
      <c r="B1564" s="6">
        <v>50.0</v>
      </c>
      <c r="C1564" s="7" t="s">
        <v>649</v>
      </c>
      <c r="E1564" s="8" t="str">
        <f>IFERROR(__xludf.DUMMYFUNCTION("SPLIT(A1564,""TX"")"),"Sievers, Lisa
8238 Barbaree Blvd.
Dallas, ")</f>
        <v>Sievers, Lisa
8238 Barbaree Blvd.
Dallas, </v>
      </c>
      <c r="F1564" s="8">
        <f>IFERROR(__xludf.DUMMYFUNCTION("""COMPUTED_VALUE"""),75228.0)</f>
        <v>75228</v>
      </c>
      <c r="I1564" s="8">
        <f t="shared" si="18"/>
        <v>75228</v>
      </c>
      <c r="J1564" s="9">
        <f>IFERROR(__xludf.DUMMYFUNCTION("SPLIT(I1564,""-"")"),75228.0)</f>
        <v>75228</v>
      </c>
    </row>
    <row r="1565">
      <c r="A1565" s="5" t="s">
        <v>1460</v>
      </c>
      <c r="B1565" s="6">
        <v>100.0</v>
      </c>
      <c r="C1565" s="7" t="s">
        <v>649</v>
      </c>
      <c r="E1565" s="8" t="str">
        <f>IFERROR(__xludf.DUMMYFUNCTION("SPLIT(A1565,""TX"")"),"Smades, David
732 Kessler Lake Dr.
Dallas, ")</f>
        <v>Smades, David
732 Kessler Lake Dr.
Dallas, </v>
      </c>
      <c r="F1565" s="8">
        <f>IFERROR(__xludf.DUMMYFUNCTION("""COMPUTED_VALUE"""),75208.0)</f>
        <v>75208</v>
      </c>
      <c r="I1565" s="8">
        <f t="shared" si="18"/>
        <v>75208</v>
      </c>
      <c r="J1565" s="9">
        <f>IFERROR(__xludf.DUMMYFUNCTION("SPLIT(I1565,""-"")"),75208.0)</f>
        <v>75208</v>
      </c>
    </row>
    <row r="1566">
      <c r="A1566" s="5" t="s">
        <v>1461</v>
      </c>
      <c r="B1566" s="6">
        <v>1000.0</v>
      </c>
      <c r="C1566" s="7" t="s">
        <v>649</v>
      </c>
      <c r="E1566" s="8" t="str">
        <f>IFERROR(__xludf.DUMMYFUNCTION("SPLIT(A1566,""TX"")"),"Addy, Lydia
3805 Normandy Ave.
Dallas, ")</f>
        <v>Addy, Lydia
3805 Normandy Ave.
Dallas, </v>
      </c>
      <c r="F1566" s="8">
        <f>IFERROR(__xludf.DUMMYFUNCTION("""COMPUTED_VALUE"""),75205.0)</f>
        <v>75205</v>
      </c>
      <c r="I1566" s="8">
        <f t="shared" si="18"/>
        <v>75205</v>
      </c>
      <c r="J1566" s="9">
        <f>IFERROR(__xludf.DUMMYFUNCTION("SPLIT(I1566,""-"")"),75205.0)</f>
        <v>75205</v>
      </c>
    </row>
    <row r="1567">
      <c r="A1567" s="5" t="s">
        <v>1462</v>
      </c>
      <c r="B1567" s="6">
        <v>1000.0</v>
      </c>
      <c r="C1567" s="7" t="s">
        <v>649</v>
      </c>
      <c r="E1567" s="8" t="str">
        <f>IFERROR(__xludf.DUMMYFUNCTION("SPLIT(A1567,""TX"")"),"Addy, William
3805 Normandy Ave.
Dallas, ")</f>
        <v>Addy, William
3805 Normandy Ave.
Dallas, </v>
      </c>
      <c r="F1567" s="8">
        <f>IFERROR(__xludf.DUMMYFUNCTION("""COMPUTED_VALUE"""),75205.0)</f>
        <v>75205</v>
      </c>
      <c r="I1567" s="8">
        <f t="shared" si="18"/>
        <v>75205</v>
      </c>
      <c r="J1567" s="9">
        <f>IFERROR(__xludf.DUMMYFUNCTION("SPLIT(I1567,""-"")"),75205.0)</f>
        <v>75205</v>
      </c>
    </row>
    <row r="1568">
      <c r="A1568" s="5" t="s">
        <v>1463</v>
      </c>
      <c r="B1568" s="6">
        <v>1000.0</v>
      </c>
      <c r="C1568" s="7" t="s">
        <v>649</v>
      </c>
      <c r="E1568" s="8" t="str">
        <f>IFERROR(__xludf.DUMMYFUNCTION("SPLIT(A1568,""TX"")"),"Crow, Katherine
4700 Preston Rd.
Dallas, ")</f>
        <v>Crow, Katherine
4700 Preston Rd.
Dallas, </v>
      </c>
      <c r="F1568" s="8">
        <f>IFERROR(__xludf.DUMMYFUNCTION("""COMPUTED_VALUE"""),75205.0)</f>
        <v>75205</v>
      </c>
      <c r="I1568" s="8">
        <f t="shared" si="18"/>
        <v>75205</v>
      </c>
      <c r="J1568" s="9">
        <f>IFERROR(__xludf.DUMMYFUNCTION("SPLIT(I1568,""-"")"),75205.0)</f>
        <v>75205</v>
      </c>
    </row>
    <row r="1569">
      <c r="A1569" s="5" t="s">
        <v>1464</v>
      </c>
      <c r="B1569" s="6">
        <v>1000.0</v>
      </c>
      <c r="C1569" s="7" t="s">
        <v>649</v>
      </c>
      <c r="E1569" s="8" t="str">
        <f>IFERROR(__xludf.DUMMYFUNCTION("SPLIT(A1569,""TX"")"),"Valach, Ken
5 Lazee ")</f>
        <v>Valach, Ken
5 Lazee </v>
      </c>
      <c r="F1569" s="8" t="str">
        <f>IFERROR(__xludf.DUMMYFUNCTION("""COMPUTED_VALUE"""),"rail
Houston, ")</f>
        <v>rail
Houston, </v>
      </c>
      <c r="G1569" s="8">
        <f>IFERROR(__xludf.DUMMYFUNCTION("""COMPUTED_VALUE"""),77024.0)</f>
        <v>77024</v>
      </c>
      <c r="I1569" s="8">
        <f t="shared" si="18"/>
        <v>77024</v>
      </c>
      <c r="J1569" s="9">
        <f>IFERROR(__xludf.DUMMYFUNCTION("SPLIT(I1569,""-"")"),77024.0)</f>
        <v>77024</v>
      </c>
    </row>
    <row r="1570">
      <c r="A1570" s="5" t="s">
        <v>1465</v>
      </c>
      <c r="B1570" s="6">
        <v>25.0</v>
      </c>
      <c r="C1570" s="7" t="s">
        <v>649</v>
      </c>
      <c r="E1570" s="8" t="str">
        <f>IFERROR(__xludf.DUMMYFUNCTION("SPLIT(A1570,""TX"")"),"Baum, Zachary
PO Box 587
East Setauket, NY 11733")</f>
        <v>Baum, Zachary
PO Box 587
East Setauket, NY 11733</v>
      </c>
      <c r="I1570" s="8" t="str">
        <f t="shared" si="18"/>
        <v/>
      </c>
      <c r="J1570" s="9" t="str">
        <f>IFERROR(__xludf.DUMMYFUNCTION("SPLIT(I1570,""-"")"),"#VALUE!")</f>
        <v>#VALUE!</v>
      </c>
    </row>
    <row r="1571">
      <c r="A1571" s="5" t="s">
        <v>1466</v>
      </c>
      <c r="B1571" s="6">
        <v>142.2</v>
      </c>
      <c r="C1571" s="7" t="s">
        <v>649</v>
      </c>
      <c r="E1571" s="8" t="str">
        <f>IFERROR(__xludf.DUMMYFUNCTION("SPLIT(A1571,""TX"")"),"Bryant, Kevin
4463 Brookview Dr.
Dallas, ")</f>
        <v>Bryant, Kevin
4463 Brookview Dr.
Dallas, </v>
      </c>
      <c r="F1571" s="8">
        <f>IFERROR(__xludf.DUMMYFUNCTION("""COMPUTED_VALUE"""),75220.0)</f>
        <v>75220</v>
      </c>
      <c r="I1571" s="8">
        <f t="shared" si="18"/>
        <v>75220</v>
      </c>
      <c r="J1571" s="9">
        <f>IFERROR(__xludf.DUMMYFUNCTION("SPLIT(I1571,""-"")"),75220.0)</f>
        <v>75220</v>
      </c>
    </row>
    <row r="1572">
      <c r="A1572" s="5" t="s">
        <v>1467</v>
      </c>
      <c r="B1572" s="6">
        <v>100.0</v>
      </c>
      <c r="C1572" s="7" t="s">
        <v>649</v>
      </c>
      <c r="E1572" s="8" t="str">
        <f>IFERROR(__xludf.DUMMYFUNCTION("SPLIT(A1572,""TX"")"),"Crow, Harlan
3819 Maple Ave.
Dallas, ")</f>
        <v>Crow, Harlan
3819 Maple Ave.
Dallas, </v>
      </c>
      <c r="F1572" s="8">
        <f>IFERROR(__xludf.DUMMYFUNCTION("""COMPUTED_VALUE"""),75219.0)</f>
        <v>75219</v>
      </c>
      <c r="I1572" s="8">
        <f t="shared" si="18"/>
        <v>75219</v>
      </c>
      <c r="J1572" s="9">
        <f>IFERROR(__xludf.DUMMYFUNCTION("SPLIT(I1572,""-"")"),75219.0)</f>
        <v>75219</v>
      </c>
    </row>
    <row r="1573">
      <c r="A1573" s="5" t="s">
        <v>1468</v>
      </c>
      <c r="B1573" s="6">
        <v>50.0</v>
      </c>
      <c r="C1573" s="7" t="s">
        <v>649</v>
      </c>
      <c r="E1573" s="8" t="str">
        <f>IFERROR(__xludf.DUMMYFUNCTION("SPLIT(A1573,""TX"")"),"Ellison, Brock
6405 Marquett Dr.
Rowlett, ")</f>
        <v>Ellison, Brock
6405 Marquett Dr.
Rowlett, </v>
      </c>
      <c r="F1573" s="8">
        <f>IFERROR(__xludf.DUMMYFUNCTION("""COMPUTED_VALUE"""),75089.0)</f>
        <v>75089</v>
      </c>
      <c r="I1573" s="8">
        <f t="shared" si="18"/>
        <v>75089</v>
      </c>
      <c r="J1573" s="9">
        <f>IFERROR(__xludf.DUMMYFUNCTION("SPLIT(I1573,""-"")"),75089.0)</f>
        <v>75089</v>
      </c>
    </row>
    <row r="1574">
      <c r="A1574" s="5" t="s">
        <v>1469</v>
      </c>
      <c r="B1574" s="6">
        <v>500.0</v>
      </c>
      <c r="C1574" s="7" t="s">
        <v>649</v>
      </c>
      <c r="E1574" s="8" t="str">
        <f>IFERROR(__xludf.DUMMYFUNCTION("SPLIT(A1574,""TX"")"),"Gonzalez, Crystal
6231 Meadow Rd.
Dallas, ")</f>
        <v>Gonzalez, Crystal
6231 Meadow Rd.
Dallas, </v>
      </c>
      <c r="F1574" s="8">
        <f>IFERROR(__xludf.DUMMYFUNCTION("""COMPUTED_VALUE"""),75230.0)</f>
        <v>75230</v>
      </c>
      <c r="I1574" s="8">
        <f t="shared" si="18"/>
        <v>75230</v>
      </c>
      <c r="J1574" s="9">
        <f>IFERROR(__xludf.DUMMYFUNCTION("SPLIT(I1574,""-"")"),75230.0)</f>
        <v>75230</v>
      </c>
    </row>
    <row r="1575">
      <c r="A1575" s="5" t="s">
        <v>1470</v>
      </c>
      <c r="B1575" s="6">
        <v>250.0</v>
      </c>
      <c r="C1575" s="7" t="s">
        <v>649</v>
      </c>
      <c r="E1575" s="8" t="str">
        <f>IFERROR(__xludf.DUMMYFUNCTION("SPLIT(A1575,""TX"")"),"Connatser, Becky
815 W. Greenbriar Ln.
Dallas, ")</f>
        <v>Connatser, Becky
815 W. Greenbriar Ln.
Dallas, </v>
      </c>
      <c r="F1575" s="8">
        <f>IFERROR(__xludf.DUMMYFUNCTION("""COMPUTED_VALUE"""),75208.0)</f>
        <v>75208</v>
      </c>
      <c r="I1575" s="8">
        <f t="shared" si="18"/>
        <v>75208</v>
      </c>
      <c r="J1575" s="9">
        <f>IFERROR(__xludf.DUMMYFUNCTION("SPLIT(I1575,""-"")"),75208.0)</f>
        <v>75208</v>
      </c>
    </row>
    <row r="1576">
      <c r="A1576" s="5" t="s">
        <v>1471</v>
      </c>
      <c r="B1576" s="6">
        <v>100.0</v>
      </c>
      <c r="C1576" s="7" t="s">
        <v>649</v>
      </c>
      <c r="E1576" s="8" t="str">
        <f>IFERROR(__xludf.DUMMYFUNCTION("SPLIT(A1576,""TX"")"),"Edgemon, Christopher
5540 Farquhar
Dallas, ")</f>
        <v>Edgemon, Christopher
5540 Farquhar
Dallas, </v>
      </c>
      <c r="F1576" s="8">
        <f>IFERROR(__xludf.DUMMYFUNCTION("""COMPUTED_VALUE"""),75209.0)</f>
        <v>75209</v>
      </c>
      <c r="I1576" s="8">
        <f t="shared" si="18"/>
        <v>75209</v>
      </c>
      <c r="J1576" s="9">
        <f>IFERROR(__xludf.DUMMYFUNCTION("SPLIT(I1576,""-"")"),75209.0)</f>
        <v>75209</v>
      </c>
    </row>
    <row r="1577">
      <c r="A1577" s="5" t="s">
        <v>1472</v>
      </c>
      <c r="B1577" s="6">
        <v>100.0</v>
      </c>
      <c r="C1577" s="7" t="s">
        <v>649</v>
      </c>
      <c r="E1577" s="8" t="str">
        <f>IFERROR(__xludf.DUMMYFUNCTION("SPLIT(A1577,""TX"")"),"Greenhouse, Clyde
1129 N. Beckley Ave
Dallas, ")</f>
        <v>Greenhouse, Clyde
1129 N. Beckley Ave
Dallas, </v>
      </c>
      <c r="F1577" s="8">
        <f>IFERROR(__xludf.DUMMYFUNCTION("""COMPUTED_VALUE"""),75208.0)</f>
        <v>75208</v>
      </c>
      <c r="I1577" s="8">
        <f t="shared" si="18"/>
        <v>75208</v>
      </c>
      <c r="J1577" s="9">
        <f>IFERROR(__xludf.DUMMYFUNCTION("SPLIT(I1577,""-"")"),75208.0)</f>
        <v>75208</v>
      </c>
    </row>
    <row r="1578">
      <c r="A1578" s="5" t="s">
        <v>1473</v>
      </c>
      <c r="B1578" s="6">
        <v>250.0</v>
      </c>
      <c r="C1578" s="7" t="s">
        <v>649</v>
      </c>
      <c r="E1578" s="8" t="str">
        <f>IFERROR(__xludf.DUMMYFUNCTION("SPLIT(A1578,""TX"")"),"Kemble, Steve
2206 Marilla St.
Dallas, ")</f>
        <v>Kemble, Steve
2206 Marilla St.
Dallas, </v>
      </c>
      <c r="F1578" s="8">
        <f>IFERROR(__xludf.DUMMYFUNCTION("""COMPUTED_VALUE"""),75201.0)</f>
        <v>75201</v>
      </c>
      <c r="I1578" s="8">
        <f t="shared" si="18"/>
        <v>75201</v>
      </c>
      <c r="J1578" s="9">
        <f>IFERROR(__xludf.DUMMYFUNCTION("SPLIT(I1578,""-"")"),75201.0)</f>
        <v>75201</v>
      </c>
    </row>
    <row r="1579">
      <c r="A1579" s="5" t="s">
        <v>1474</v>
      </c>
      <c r="B1579" s="6">
        <v>237.2</v>
      </c>
      <c r="C1579" s="7" t="s">
        <v>649</v>
      </c>
      <c r="E1579" s="8" t="str">
        <f>IFERROR(__xludf.DUMMYFUNCTION("SPLIT(A1579,""TX"")"),"McLaren, Jill
6051 Kenwood Ave.
Dallas, ")</f>
        <v>McLaren, Jill
6051 Kenwood Ave.
Dallas, </v>
      </c>
      <c r="F1579" s="8">
        <f>IFERROR(__xludf.DUMMYFUNCTION("""COMPUTED_VALUE"""),75206.0)</f>
        <v>75206</v>
      </c>
      <c r="I1579" s="8">
        <f t="shared" si="18"/>
        <v>75206</v>
      </c>
      <c r="J1579" s="9">
        <f>IFERROR(__xludf.DUMMYFUNCTION("SPLIT(I1579,""-"")"),75206.0)</f>
        <v>75206</v>
      </c>
    </row>
    <row r="1580">
      <c r="A1580" s="5" t="s">
        <v>1475</v>
      </c>
      <c r="B1580" s="6">
        <v>100.0</v>
      </c>
      <c r="C1580" s="7" t="s">
        <v>649</v>
      </c>
      <c r="E1580" s="8" t="str">
        <f>IFERROR(__xludf.DUMMYFUNCTION("SPLIT(A1580,""TX"")"),"Worden, Lawrence
2019 Old Orchard Dr.
Dallas, ")</f>
        <v>Worden, Lawrence
2019 Old Orchard Dr.
Dallas, </v>
      </c>
      <c r="F1580" s="8">
        <f>IFERROR(__xludf.DUMMYFUNCTION("""COMPUTED_VALUE"""),75230.0)</f>
        <v>75230</v>
      </c>
      <c r="I1580" s="8">
        <f t="shared" si="18"/>
        <v>75230</v>
      </c>
      <c r="J1580" s="9">
        <f>IFERROR(__xludf.DUMMYFUNCTION("SPLIT(I1580,""-"")"),75230.0)</f>
        <v>75230</v>
      </c>
    </row>
    <row r="1581">
      <c r="A1581" s="5" t="s">
        <v>1476</v>
      </c>
      <c r="B1581" s="6">
        <v>100.0</v>
      </c>
      <c r="C1581" s="7" t="s">
        <v>649</v>
      </c>
      <c r="E1581" s="8" t="str">
        <f>IFERROR(__xludf.DUMMYFUNCTION("SPLIT(A1581,""TX"")"),"Wynne, Ed
1225 Lausanne Ave
Dallas, ")</f>
        <v>Wynne, Ed
1225 Lausanne Ave
Dallas, </v>
      </c>
      <c r="F1581" s="8">
        <f>IFERROR(__xludf.DUMMYFUNCTION("""COMPUTED_VALUE"""),75208.0)</f>
        <v>75208</v>
      </c>
      <c r="I1581" s="8">
        <f t="shared" si="18"/>
        <v>75208</v>
      </c>
      <c r="J1581" s="9">
        <f>IFERROR(__xludf.DUMMYFUNCTION("SPLIT(I1581,""-"")"),75208.0)</f>
        <v>75208</v>
      </c>
    </row>
    <row r="1582">
      <c r="A1582" s="5" t="s">
        <v>1477</v>
      </c>
      <c r="B1582" s="6">
        <v>189.7</v>
      </c>
      <c r="C1582" s="7" t="s">
        <v>649</v>
      </c>
      <c r="E1582" s="8" t="str">
        <f>IFERROR(__xludf.DUMMYFUNCTION("SPLIT(A1582,""TX"")"),"Hampton, Logan
2501 N. Harwood St.
Dallas, ")</f>
        <v>Hampton, Logan
2501 N. Harwood St.
Dallas, </v>
      </c>
      <c r="F1582" s="8">
        <f>IFERROR(__xludf.DUMMYFUNCTION("""COMPUTED_VALUE"""),75201.0)</f>
        <v>75201</v>
      </c>
      <c r="I1582" s="8">
        <f t="shared" si="18"/>
        <v>75201</v>
      </c>
      <c r="J1582" s="9">
        <f>IFERROR(__xludf.DUMMYFUNCTION("SPLIT(I1582,""-"")"),75201.0)</f>
        <v>75201</v>
      </c>
    </row>
    <row r="1583">
      <c r="A1583" s="5" t="s">
        <v>1478</v>
      </c>
      <c r="B1583" s="6">
        <v>250.0</v>
      </c>
      <c r="C1583" s="7" t="s">
        <v>649</v>
      </c>
      <c r="E1583" s="8" t="str">
        <f>IFERROR(__xludf.DUMMYFUNCTION("SPLIT(A1583,""TX"")"),"Hellyar, Nicholas
2368 Rice Blvd
Houston, ")</f>
        <v>Hellyar, Nicholas
2368 Rice Blvd
Houston, </v>
      </c>
      <c r="F1583" s="8">
        <f>IFERROR(__xludf.DUMMYFUNCTION("""COMPUTED_VALUE"""),77005.0)</f>
        <v>77005</v>
      </c>
      <c r="I1583" s="8">
        <f t="shared" si="18"/>
        <v>77005</v>
      </c>
      <c r="J1583" s="9">
        <f>IFERROR(__xludf.DUMMYFUNCTION("SPLIT(I1583,""-"")"),77005.0)</f>
        <v>77005</v>
      </c>
    </row>
    <row r="1584">
      <c r="A1584" s="5" t="s">
        <v>1479</v>
      </c>
      <c r="B1584" s="6">
        <v>50.0</v>
      </c>
      <c r="C1584" s="7" t="s">
        <v>649</v>
      </c>
      <c r="E1584" s="8" t="str">
        <f>IFERROR(__xludf.DUMMYFUNCTION("SPLIT(A1584,""TX"")"),"Lawrence, Dianna
1905 Mar West St.
")</f>
        <v>Lawrence, Dianna
1905 Mar West St.
</v>
      </c>
      <c r="F1584" s="8" t="str">
        <f>IFERROR(__xludf.DUMMYFUNCTION("""COMPUTED_VALUE"""),"iburon, CA 94920")</f>
        <v>iburon, CA 94920</v>
      </c>
      <c r="J1584" s="9" t="str">
        <f>IFERROR(__xludf.DUMMYFUNCTION("SPLIT(I1584,""-"")"),"#VALUE!")</f>
        <v>#VALUE!</v>
      </c>
    </row>
    <row r="1585">
      <c r="A1585" s="5" t="s">
        <v>1480</v>
      </c>
      <c r="B1585" s="6">
        <v>1000.0</v>
      </c>
      <c r="C1585" s="7" t="s">
        <v>649</v>
      </c>
      <c r="E1585" s="8" t="str">
        <f>IFERROR(__xludf.DUMMYFUNCTION("SPLIT(A1585,""TX"")"),"Linburg, Heather
5619 Purdue Ave.
Dallas, ")</f>
        <v>Linburg, Heather
5619 Purdue Ave.
Dallas, </v>
      </c>
      <c r="F1585" s="8">
        <f>IFERROR(__xludf.DUMMYFUNCTION("""COMPUTED_VALUE"""),75209.0)</f>
        <v>75209</v>
      </c>
      <c r="I1585" s="8">
        <f t="shared" ref="I1585:I1802" si="19">IF(ISBLANK(G1585),F1585,G1585)</f>
        <v>75209</v>
      </c>
      <c r="J1585" s="9">
        <f>IFERROR(__xludf.DUMMYFUNCTION("SPLIT(I1585,""-"")"),75209.0)</f>
        <v>75209</v>
      </c>
    </row>
    <row r="1586">
      <c r="A1586" s="5" t="s">
        <v>1481</v>
      </c>
      <c r="B1586" s="6">
        <v>189.7</v>
      </c>
      <c r="C1586" s="7" t="s">
        <v>649</v>
      </c>
      <c r="E1586" s="8" t="str">
        <f>IFERROR(__xludf.DUMMYFUNCTION("SPLIT(A1586,""TX"")"),"Rouse, Will
2501 N. Harwood St.
Dallas, ")</f>
        <v>Rouse, Will
2501 N. Harwood St.
Dallas, </v>
      </c>
      <c r="F1586" s="8">
        <f>IFERROR(__xludf.DUMMYFUNCTION("""COMPUTED_VALUE"""),75201.0)</f>
        <v>75201</v>
      </c>
      <c r="I1586" s="8">
        <f t="shared" si="19"/>
        <v>75201</v>
      </c>
      <c r="J1586" s="9">
        <f>IFERROR(__xludf.DUMMYFUNCTION("SPLIT(I1586,""-"")"),75201.0)</f>
        <v>75201</v>
      </c>
    </row>
    <row r="1587">
      <c r="A1587" s="5" t="s">
        <v>1482</v>
      </c>
      <c r="B1587" s="6">
        <v>1000.0</v>
      </c>
      <c r="C1587" s="7" t="s">
        <v>649</v>
      </c>
      <c r="E1587" s="8" t="str">
        <f>IFERROR(__xludf.DUMMYFUNCTION("SPLIT(A1587,""TX"")"),"Kingston, Melissa
5901 Palo Pinto Ave.
Dallas, ")</f>
        <v>Kingston, Melissa
5901 Palo Pinto Ave.
Dallas, </v>
      </c>
      <c r="F1587" s="8">
        <f>IFERROR(__xludf.DUMMYFUNCTION("""COMPUTED_VALUE"""),75206.0)</f>
        <v>75206</v>
      </c>
      <c r="I1587" s="8">
        <f t="shared" si="19"/>
        <v>75206</v>
      </c>
      <c r="J1587" s="9">
        <f>IFERROR(__xludf.DUMMYFUNCTION("SPLIT(I1587,""-"")"),75206.0)</f>
        <v>75206</v>
      </c>
    </row>
    <row r="1588">
      <c r="A1588" s="5" t="s">
        <v>708</v>
      </c>
      <c r="B1588" s="6">
        <v>100.0</v>
      </c>
      <c r="C1588" s="7" t="s">
        <v>649</v>
      </c>
      <c r="E1588" s="8" t="str">
        <f>IFERROR(__xludf.DUMMYFUNCTION("SPLIT(A1588,""TX"")"),"Larsen, Scott
665 Kessler Reserve Ct.
Dallas, ")</f>
        <v>Larsen, Scott
665 Kessler Reserve Ct.
Dallas, </v>
      </c>
      <c r="F1588" s="8">
        <f>IFERROR(__xludf.DUMMYFUNCTION("""COMPUTED_VALUE"""),75208.0)</f>
        <v>75208</v>
      </c>
      <c r="I1588" s="8">
        <f t="shared" si="19"/>
        <v>75208</v>
      </c>
      <c r="J1588" s="9">
        <f>IFERROR(__xludf.DUMMYFUNCTION("SPLIT(I1588,""-"")"),75208.0)</f>
        <v>75208</v>
      </c>
    </row>
    <row r="1589">
      <c r="A1589" s="5" t="s">
        <v>1483</v>
      </c>
      <c r="B1589" s="6">
        <v>100.0</v>
      </c>
      <c r="C1589" s="7" t="s">
        <v>649</v>
      </c>
      <c r="E1589" s="8" t="str">
        <f>IFERROR(__xludf.DUMMYFUNCTION("SPLIT(A1589,""TX"")"),"McGinnis, Gayla
4144 N Central Expwy.
Dallas, ")</f>
        <v>McGinnis, Gayla
4144 N Central Expwy.
Dallas, </v>
      </c>
      <c r="F1589" s="8">
        <f>IFERROR(__xludf.DUMMYFUNCTION("""COMPUTED_VALUE"""),75204.0)</f>
        <v>75204</v>
      </c>
      <c r="I1589" s="8">
        <f t="shared" si="19"/>
        <v>75204</v>
      </c>
      <c r="J1589" s="9">
        <f>IFERROR(__xludf.DUMMYFUNCTION("SPLIT(I1589,""-"")"),75204.0)</f>
        <v>75204</v>
      </c>
    </row>
    <row r="1590">
      <c r="A1590" s="5" t="s">
        <v>1484</v>
      </c>
      <c r="B1590" s="6">
        <v>1000.0</v>
      </c>
      <c r="C1590" s="7" t="s">
        <v>649</v>
      </c>
      <c r="E1590" s="8" t="str">
        <f>IFERROR(__xludf.DUMMYFUNCTION("SPLIT(A1590,""TX"")"),"Bhatt, Rohan
5932 Rosebud Dr.
Dallas, ")</f>
        <v>Bhatt, Rohan
5932 Rosebud Dr.
Dallas, </v>
      </c>
      <c r="F1590" s="8">
        <f>IFERROR(__xludf.DUMMYFUNCTION("""COMPUTED_VALUE"""),75252.0)</f>
        <v>75252</v>
      </c>
      <c r="I1590" s="8">
        <f t="shared" si="19"/>
        <v>75252</v>
      </c>
      <c r="J1590" s="9">
        <f>IFERROR(__xludf.DUMMYFUNCTION("SPLIT(I1590,""-"")"),75252.0)</f>
        <v>75252</v>
      </c>
    </row>
    <row r="1591">
      <c r="A1591" s="5" t="s">
        <v>1485</v>
      </c>
      <c r="B1591" s="6">
        <v>50.0</v>
      </c>
      <c r="C1591" s="7" t="s">
        <v>649</v>
      </c>
      <c r="E1591" s="8" t="str">
        <f>IFERROR(__xludf.DUMMYFUNCTION("SPLIT(A1591,""TX"")"),"Culak, Chris
1223 Kings Hwy.
Dallas, ")</f>
        <v>Culak, Chris
1223 Kings Hwy.
Dallas, </v>
      </c>
      <c r="F1591" s="8">
        <f>IFERROR(__xludf.DUMMYFUNCTION("""COMPUTED_VALUE"""),75208.0)</f>
        <v>75208</v>
      </c>
      <c r="I1591" s="8">
        <f t="shared" si="19"/>
        <v>75208</v>
      </c>
      <c r="J1591" s="9">
        <f>IFERROR(__xludf.DUMMYFUNCTION("SPLIT(I1591,""-"")"),75208.0)</f>
        <v>75208</v>
      </c>
    </row>
    <row r="1592">
      <c r="A1592" s="5" t="s">
        <v>1486</v>
      </c>
      <c r="B1592" s="6">
        <v>100.0</v>
      </c>
      <c r="C1592" s="7" t="s">
        <v>649</v>
      </c>
      <c r="E1592" s="8" t="str">
        <f>IFERROR(__xludf.DUMMYFUNCTION("SPLIT(A1592,""TX"")"),"Huerta, Daniel
1414 Cedar Hill Ave.
Dallas, ")</f>
        <v>Huerta, Daniel
1414 Cedar Hill Ave.
Dallas, </v>
      </c>
      <c r="F1592" s="8">
        <f>IFERROR(__xludf.DUMMYFUNCTION("""COMPUTED_VALUE"""),75208.0)</f>
        <v>75208</v>
      </c>
      <c r="I1592" s="8">
        <f t="shared" si="19"/>
        <v>75208</v>
      </c>
      <c r="J1592" s="9">
        <f>IFERROR(__xludf.DUMMYFUNCTION("SPLIT(I1592,""-"")"),75208.0)</f>
        <v>75208</v>
      </c>
    </row>
    <row r="1593">
      <c r="A1593" s="5" t="s">
        <v>1487</v>
      </c>
      <c r="B1593" s="6">
        <v>100.0</v>
      </c>
      <c r="C1593" s="7" t="s">
        <v>649</v>
      </c>
      <c r="E1593" s="8" t="str">
        <f>IFERROR(__xludf.DUMMYFUNCTION("SPLIT(A1593,""TX"")"),"Jenkins, Mary Ann
744 S. Manus Dr.
Dallas, ")</f>
        <v>Jenkins, Mary Ann
744 S. Manus Dr.
Dallas, </v>
      </c>
      <c r="F1593" s="8">
        <f>IFERROR(__xludf.DUMMYFUNCTION("""COMPUTED_VALUE"""),75224.0)</f>
        <v>75224</v>
      </c>
      <c r="I1593" s="8">
        <f t="shared" si="19"/>
        <v>75224</v>
      </c>
      <c r="J1593" s="9">
        <f>IFERROR(__xludf.DUMMYFUNCTION("SPLIT(I1593,""-"")"),75224.0)</f>
        <v>75224</v>
      </c>
    </row>
    <row r="1594">
      <c r="A1594" s="5" t="s">
        <v>1488</v>
      </c>
      <c r="B1594" s="6">
        <v>400.0</v>
      </c>
      <c r="C1594" s="7" t="s">
        <v>649</v>
      </c>
      <c r="E1594" s="8" t="str">
        <f>IFERROR(__xludf.DUMMYFUNCTION("SPLIT(A1594,""TX"")"),"Spence, Gary
1921 Marydale Dr.
Dallas, ")</f>
        <v>Spence, Gary
1921 Marydale Dr.
Dallas, </v>
      </c>
      <c r="F1594" s="8">
        <f>IFERROR(__xludf.DUMMYFUNCTION("""COMPUTED_VALUE"""),75208.0)</f>
        <v>75208</v>
      </c>
      <c r="I1594" s="8">
        <f t="shared" si="19"/>
        <v>75208</v>
      </c>
      <c r="J1594" s="9">
        <f>IFERROR(__xludf.DUMMYFUNCTION("SPLIT(I1594,""-"")"),75208.0)</f>
        <v>75208</v>
      </c>
    </row>
    <row r="1595">
      <c r="A1595" s="5" t="s">
        <v>1489</v>
      </c>
      <c r="B1595" s="6">
        <v>100.0</v>
      </c>
      <c r="C1595" s="7" t="s">
        <v>649</v>
      </c>
      <c r="E1595" s="8" t="str">
        <f>IFERROR(__xludf.DUMMYFUNCTION("SPLIT(A1595,""TX"")"),"Ardendorff, Justin
3508 Bryn Mawr Dr.
Dallas, ")</f>
        <v>Ardendorff, Justin
3508 Bryn Mawr Dr.
Dallas, </v>
      </c>
      <c r="F1595" s="8">
        <f>IFERROR(__xludf.DUMMYFUNCTION("""COMPUTED_VALUE"""),75225.0)</f>
        <v>75225</v>
      </c>
      <c r="I1595" s="8">
        <f t="shared" si="19"/>
        <v>75225</v>
      </c>
      <c r="J1595" s="9">
        <f>IFERROR(__xludf.DUMMYFUNCTION("SPLIT(I1595,""-"")"),75225.0)</f>
        <v>75225</v>
      </c>
    </row>
    <row r="1596">
      <c r="A1596" s="5" t="s">
        <v>1490</v>
      </c>
      <c r="B1596" s="6">
        <v>250.0</v>
      </c>
      <c r="C1596" s="7" t="s">
        <v>649</v>
      </c>
      <c r="E1596" s="8" t="str">
        <f>IFERROR(__xludf.DUMMYFUNCTION("SPLIT(A1596,""TX"")"),"Banerjee, Doug
6911 Ellsworth Ave.
Dallas, ")</f>
        <v>Banerjee, Doug
6911 Ellsworth Ave.
Dallas, </v>
      </c>
      <c r="F1596" s="8">
        <f>IFERROR(__xludf.DUMMYFUNCTION("""COMPUTED_VALUE"""),75214.0)</f>
        <v>75214</v>
      </c>
      <c r="I1596" s="8">
        <f t="shared" si="19"/>
        <v>75214</v>
      </c>
      <c r="J1596" s="9">
        <f>IFERROR(__xludf.DUMMYFUNCTION("SPLIT(I1596,""-"")"),75214.0)</f>
        <v>75214</v>
      </c>
    </row>
    <row r="1597">
      <c r="A1597" s="5" t="s">
        <v>669</v>
      </c>
      <c r="B1597" s="6">
        <v>50.0</v>
      </c>
      <c r="C1597" s="7" t="s">
        <v>649</v>
      </c>
      <c r="E1597" s="8" t="str">
        <f>IFERROR(__xludf.DUMMYFUNCTION("SPLIT(A1597,""TX"")"),"Christopher, Roberta
307 N. Windomere Ave.
Dallas, ")</f>
        <v>Christopher, Roberta
307 N. Windomere Ave.
Dallas, </v>
      </c>
      <c r="F1597" s="8">
        <f>IFERROR(__xludf.DUMMYFUNCTION("""COMPUTED_VALUE"""),75208.0)</f>
        <v>75208</v>
      </c>
      <c r="I1597" s="8">
        <f t="shared" si="19"/>
        <v>75208</v>
      </c>
      <c r="J1597" s="9">
        <f>IFERROR(__xludf.DUMMYFUNCTION("SPLIT(I1597,""-"")"),75208.0)</f>
        <v>75208</v>
      </c>
    </row>
    <row r="1598">
      <c r="A1598" s="5" t="s">
        <v>1491</v>
      </c>
      <c r="B1598" s="6">
        <v>25.0</v>
      </c>
      <c r="C1598" s="7" t="s">
        <v>649</v>
      </c>
      <c r="E1598" s="8" t="str">
        <f>IFERROR(__xludf.DUMMYFUNCTION("SPLIT(A1598,""TX"")"),"Coffee, Ben
2169 Kessler Ct.
Dallas, ")</f>
        <v>Coffee, Ben
2169 Kessler Ct.
Dallas, </v>
      </c>
      <c r="F1598" s="8">
        <f>IFERROR(__xludf.DUMMYFUNCTION("""COMPUTED_VALUE"""),75208.0)</f>
        <v>75208</v>
      </c>
      <c r="I1598" s="8">
        <f t="shared" si="19"/>
        <v>75208</v>
      </c>
      <c r="J1598" s="9">
        <f>IFERROR(__xludf.DUMMYFUNCTION("SPLIT(I1598,""-"")"),75208.0)</f>
        <v>75208</v>
      </c>
    </row>
    <row r="1599">
      <c r="A1599" s="5" t="s">
        <v>1492</v>
      </c>
      <c r="B1599" s="6">
        <v>100.0</v>
      </c>
      <c r="C1599" s="7" t="s">
        <v>649</v>
      </c>
      <c r="E1599" s="8" t="str">
        <f>IFERROR(__xludf.DUMMYFUNCTION("SPLIT(A1599,""TX"")"),"Cryer, Byron
627 Kessler Lake Dr
Dallas, ")</f>
        <v>Cryer, Byron
627 Kessler Lake Dr
Dallas, </v>
      </c>
      <c r="F1599" s="8">
        <f>IFERROR(__xludf.DUMMYFUNCTION("""COMPUTED_VALUE"""),75208.0)</f>
        <v>75208</v>
      </c>
      <c r="I1599" s="8">
        <f t="shared" si="19"/>
        <v>75208</v>
      </c>
      <c r="J1599" s="9">
        <f>IFERROR(__xludf.DUMMYFUNCTION("SPLIT(I1599,""-"")"),75208.0)</f>
        <v>75208</v>
      </c>
    </row>
    <row r="1600">
      <c r="A1600" s="5" t="s">
        <v>1493</v>
      </c>
      <c r="B1600" s="6">
        <v>50.0</v>
      </c>
      <c r="C1600" s="7" t="s">
        <v>649</v>
      </c>
      <c r="E1600" s="8" t="str">
        <f>IFERROR(__xludf.DUMMYFUNCTION("SPLIT(A1600,""TX"")"),"Hicks, ")</f>
        <v>Hicks, </v>
      </c>
      <c r="F1600" s="8" t="str">
        <f>IFERROR(__xludf.DUMMYFUNCTION("""COMPUTED_VALUE"""),"iffany
740 Rainbow Dr.
Dallas, ")</f>
        <v>iffany
740 Rainbow Dr.
Dallas, </v>
      </c>
      <c r="G1600" s="8">
        <f>IFERROR(__xludf.DUMMYFUNCTION("""COMPUTED_VALUE"""),75208.0)</f>
        <v>75208</v>
      </c>
      <c r="I1600" s="8">
        <f t="shared" si="19"/>
        <v>75208</v>
      </c>
      <c r="J1600" s="9">
        <f>IFERROR(__xludf.DUMMYFUNCTION("SPLIT(I1600,""-"")"),75208.0)</f>
        <v>75208</v>
      </c>
    </row>
    <row r="1601">
      <c r="A1601" s="5" t="s">
        <v>1494</v>
      </c>
      <c r="B1601" s="6">
        <v>500.0</v>
      </c>
      <c r="C1601" s="7" t="s">
        <v>649</v>
      </c>
      <c r="E1601" s="8" t="str">
        <f>IFERROR(__xludf.DUMMYFUNCTION("SPLIT(A1601,""TX"")"),"Johnson, Eric
3525 ")</f>
        <v>Johnson, Eric
3525 </v>
      </c>
      <c r="F1601" s="8" t="str">
        <f>IFERROR(__xludf.DUMMYFUNCTION("""COMPUTED_VALUE"""),"urtle Creek Blvd.
Dallas, ")</f>
        <v>urtle Creek Blvd.
Dallas, </v>
      </c>
      <c r="G1601" s="8">
        <f>IFERROR(__xludf.DUMMYFUNCTION("""COMPUTED_VALUE"""),75219.0)</f>
        <v>75219</v>
      </c>
      <c r="I1601" s="8">
        <f t="shared" si="19"/>
        <v>75219</v>
      </c>
      <c r="J1601" s="9">
        <f>IFERROR(__xludf.DUMMYFUNCTION("SPLIT(I1601,""-"")"),75219.0)</f>
        <v>75219</v>
      </c>
    </row>
    <row r="1602">
      <c r="A1602" s="5" t="s">
        <v>1495</v>
      </c>
      <c r="B1602" s="6">
        <v>500.0</v>
      </c>
      <c r="C1602" s="7" t="s">
        <v>649</v>
      </c>
      <c r="E1602" s="8" t="str">
        <f>IFERROR(__xludf.DUMMYFUNCTION("SPLIT(A1602,""TX"")"),"Lamb, Sarah
5630 Willis Ave.
Dallas, ")</f>
        <v>Lamb, Sarah
5630 Willis Ave.
Dallas, </v>
      </c>
      <c r="F1602" s="8">
        <f>IFERROR(__xludf.DUMMYFUNCTION("""COMPUTED_VALUE"""),75206.0)</f>
        <v>75206</v>
      </c>
      <c r="I1602" s="8">
        <f t="shared" si="19"/>
        <v>75206</v>
      </c>
      <c r="J1602" s="9">
        <f>IFERROR(__xludf.DUMMYFUNCTION("SPLIT(I1602,""-"")"),75206.0)</f>
        <v>75206</v>
      </c>
    </row>
    <row r="1603">
      <c r="A1603" s="5" t="s">
        <v>1495</v>
      </c>
      <c r="B1603" s="6">
        <v>250.0</v>
      </c>
      <c r="C1603" s="7" t="s">
        <v>649</v>
      </c>
      <c r="E1603" s="8" t="str">
        <f>IFERROR(__xludf.DUMMYFUNCTION("SPLIT(A1603,""TX"")"),"Lamb, Sarah
5630 Willis Ave.
Dallas, ")</f>
        <v>Lamb, Sarah
5630 Willis Ave.
Dallas, </v>
      </c>
      <c r="F1603" s="8">
        <f>IFERROR(__xludf.DUMMYFUNCTION("""COMPUTED_VALUE"""),75206.0)</f>
        <v>75206</v>
      </c>
      <c r="I1603" s="8">
        <f t="shared" si="19"/>
        <v>75206</v>
      </c>
      <c r="J1603" s="9">
        <f>IFERROR(__xludf.DUMMYFUNCTION("SPLIT(I1603,""-"")"),75206.0)</f>
        <v>75206</v>
      </c>
    </row>
    <row r="1604">
      <c r="A1604" s="5" t="s">
        <v>1496</v>
      </c>
      <c r="B1604" s="6">
        <v>250.0</v>
      </c>
      <c r="C1604" s="7" t="s">
        <v>649</v>
      </c>
      <c r="E1604" s="8" t="str">
        <f>IFERROR(__xludf.DUMMYFUNCTION("SPLIT(A1604,""TX"")"),"Linburg, Angela
4660 N. Versailles Ave.
Dallas, ")</f>
        <v>Linburg, Angela
4660 N. Versailles Ave.
Dallas, </v>
      </c>
      <c r="F1604" s="8">
        <f>IFERROR(__xludf.DUMMYFUNCTION("""COMPUTED_VALUE"""),75209.0)</f>
        <v>75209</v>
      </c>
      <c r="I1604" s="8">
        <f t="shared" si="19"/>
        <v>75209</v>
      </c>
      <c r="J1604" s="9">
        <f>IFERROR(__xludf.DUMMYFUNCTION("SPLIT(I1604,""-"")"),75209.0)</f>
        <v>75209</v>
      </c>
    </row>
    <row r="1605">
      <c r="A1605" s="5" t="s">
        <v>1497</v>
      </c>
      <c r="B1605" s="6">
        <v>50.0</v>
      </c>
      <c r="C1605" s="7" t="s">
        <v>649</v>
      </c>
      <c r="E1605" s="8" t="str">
        <f>IFERROR(__xludf.DUMMYFUNCTION("SPLIT(A1605,""TX"")"),"Nightengale, Krista
1623 Main St.
Dallas, ")</f>
        <v>Nightengale, Krista
1623 Main St.
Dallas, </v>
      </c>
      <c r="F1605" s="8">
        <f>IFERROR(__xludf.DUMMYFUNCTION("""COMPUTED_VALUE"""),75201.0)</f>
        <v>75201</v>
      </c>
      <c r="I1605" s="8">
        <f t="shared" si="19"/>
        <v>75201</v>
      </c>
      <c r="J1605" s="9">
        <f>IFERROR(__xludf.DUMMYFUNCTION("SPLIT(I1605,""-"")"),75201.0)</f>
        <v>75201</v>
      </c>
    </row>
    <row r="1606">
      <c r="A1606" s="5" t="s">
        <v>1498</v>
      </c>
      <c r="B1606" s="6">
        <v>50.0</v>
      </c>
      <c r="C1606" s="7" t="s">
        <v>649</v>
      </c>
      <c r="E1606" s="8" t="str">
        <f>IFERROR(__xludf.DUMMYFUNCTION("SPLIT(A1606,""TX"")"),"Orr, Benjamin
518 N. Manus Dr.
Dallas, ")</f>
        <v>Orr, Benjamin
518 N. Manus Dr.
Dallas, </v>
      </c>
      <c r="F1606" s="8">
        <f>IFERROR(__xludf.DUMMYFUNCTION("""COMPUTED_VALUE"""),75222.0)</f>
        <v>75222</v>
      </c>
      <c r="I1606" s="8">
        <f t="shared" si="19"/>
        <v>75222</v>
      </c>
      <c r="J1606" s="9">
        <f>IFERROR(__xludf.DUMMYFUNCTION("SPLIT(I1606,""-"")"),75222.0)</f>
        <v>75222</v>
      </c>
    </row>
    <row r="1607">
      <c r="A1607" s="5" t="s">
        <v>1499</v>
      </c>
      <c r="B1607" s="6">
        <v>50.0</v>
      </c>
      <c r="C1607" s="7" t="s">
        <v>649</v>
      </c>
      <c r="E1607" s="8" t="str">
        <f>IFERROR(__xludf.DUMMYFUNCTION("SPLIT(A1607,""TX"")"),"Perez, Joel
1303 Lansford Ave.
Dallas, ")</f>
        <v>Perez, Joel
1303 Lansford Ave.
Dallas, </v>
      </c>
      <c r="F1607" s="8">
        <f>IFERROR(__xludf.DUMMYFUNCTION("""COMPUTED_VALUE"""),75224.0)</f>
        <v>75224</v>
      </c>
      <c r="I1607" s="8">
        <f t="shared" si="19"/>
        <v>75224</v>
      </c>
      <c r="J1607" s="9">
        <f>IFERROR(__xludf.DUMMYFUNCTION("SPLIT(I1607,""-"")"),75224.0)</f>
        <v>75224</v>
      </c>
    </row>
    <row r="1608">
      <c r="A1608" s="5" t="s">
        <v>1500</v>
      </c>
      <c r="B1608" s="6">
        <v>100.0</v>
      </c>
      <c r="C1608" s="7" t="s">
        <v>649</v>
      </c>
      <c r="E1608" s="8" t="str">
        <f>IFERROR(__xludf.DUMMYFUNCTION("SPLIT(A1608,""TX"")"),"Smith, Suzanne
3210 Carlisle St.
Dallas, ")</f>
        <v>Smith, Suzanne
3210 Carlisle St.
Dallas, </v>
      </c>
      <c r="F1608" s="8">
        <f>IFERROR(__xludf.DUMMYFUNCTION("""COMPUTED_VALUE"""),75204.0)</f>
        <v>75204</v>
      </c>
      <c r="I1608" s="8">
        <f t="shared" si="19"/>
        <v>75204</v>
      </c>
      <c r="J1608" s="9">
        <f>IFERROR(__xludf.DUMMYFUNCTION("SPLIT(I1608,""-"")"),75204.0)</f>
        <v>75204</v>
      </c>
    </row>
    <row r="1609">
      <c r="A1609" s="5" t="s">
        <v>1501</v>
      </c>
      <c r="B1609" s="6">
        <v>500.0</v>
      </c>
      <c r="C1609" s="7" t="s">
        <v>649</v>
      </c>
      <c r="E1609" s="8" t="str">
        <f>IFERROR(__xludf.DUMMYFUNCTION("SPLIT(A1609,""TX"")"),"White, David
15750 Spectrum Dr.
Addison, ")</f>
        <v>White, David
15750 Spectrum Dr.
Addison, </v>
      </c>
      <c r="F1609" s="8">
        <f>IFERROR(__xludf.DUMMYFUNCTION("""COMPUTED_VALUE"""),75001.0)</f>
        <v>75001</v>
      </c>
      <c r="I1609" s="8">
        <f t="shared" si="19"/>
        <v>75001</v>
      </c>
      <c r="J1609" s="9">
        <f>IFERROR(__xludf.DUMMYFUNCTION("SPLIT(I1609,""-"")"),75001.0)</f>
        <v>75001</v>
      </c>
    </row>
    <row r="1610">
      <c r="A1610" s="5" t="s">
        <v>1502</v>
      </c>
      <c r="B1610" s="6">
        <v>1000.0</v>
      </c>
      <c r="C1610" s="7" t="s">
        <v>649</v>
      </c>
      <c r="E1610" s="8" t="str">
        <f>IFERROR(__xludf.DUMMYFUNCTION("SPLIT(A1610,""TX"")"),"Wood, Megan
5121 Southbrook Dr.
Dallas, ")</f>
        <v>Wood, Megan
5121 Southbrook Dr.
Dallas, </v>
      </c>
      <c r="F1610" s="8">
        <f>IFERROR(__xludf.DUMMYFUNCTION("""COMPUTED_VALUE"""),75209.0)</f>
        <v>75209</v>
      </c>
      <c r="I1610" s="8">
        <f t="shared" si="19"/>
        <v>75209</v>
      </c>
      <c r="J1610" s="9">
        <f>IFERROR(__xludf.DUMMYFUNCTION("SPLIT(I1610,""-"")"),75209.0)</f>
        <v>75209</v>
      </c>
    </row>
    <row r="1611">
      <c r="A1611" s="5" t="s">
        <v>1503</v>
      </c>
      <c r="B1611" s="6">
        <v>237.2</v>
      </c>
      <c r="C1611" s="7" t="s">
        <v>649</v>
      </c>
      <c r="E1611" s="8" t="str">
        <f>IFERROR(__xludf.DUMMYFUNCTION("SPLIT(A1611,""TX"")"),"Zielinski, ")</f>
        <v>Zielinski, </v>
      </c>
      <c r="F1611" s="8" t="str">
        <f>IFERROR(__xludf.DUMMYFUNCTION("""COMPUTED_VALUE"""),"om
2717 Conflans Rd.
Irving, ")</f>
        <v>om
2717 Conflans Rd.
Irving, </v>
      </c>
      <c r="G1611" s="8">
        <f>IFERROR(__xludf.DUMMYFUNCTION("""COMPUTED_VALUE"""),75061.0)</f>
        <v>75061</v>
      </c>
      <c r="I1611" s="8">
        <f t="shared" si="19"/>
        <v>75061</v>
      </c>
      <c r="J1611" s="9">
        <f>IFERROR(__xludf.DUMMYFUNCTION("SPLIT(I1611,""-"")"),75061.0)</f>
        <v>75061</v>
      </c>
    </row>
    <row r="1612">
      <c r="A1612" s="5" t="s">
        <v>1504</v>
      </c>
      <c r="B1612" s="6">
        <v>474.7</v>
      </c>
      <c r="C1612" s="7" t="s">
        <v>649</v>
      </c>
      <c r="E1612" s="8" t="str">
        <f>IFERROR(__xludf.DUMMYFUNCTION("SPLIT(A1612,""TX"")"),"Hewitt, Kathy
1410 Yakimo Dr.
Dallas, ")</f>
        <v>Hewitt, Kathy
1410 Yakimo Dr.
Dallas, </v>
      </c>
      <c r="F1612" s="8">
        <f>IFERROR(__xludf.DUMMYFUNCTION("""COMPUTED_VALUE"""),75208.0)</f>
        <v>75208</v>
      </c>
      <c r="I1612" s="8">
        <f t="shared" si="19"/>
        <v>75208</v>
      </c>
      <c r="J1612" s="9">
        <f>IFERROR(__xludf.DUMMYFUNCTION("SPLIT(I1612,""-"")"),75208.0)</f>
        <v>75208</v>
      </c>
    </row>
    <row r="1613">
      <c r="A1613" s="5" t="s">
        <v>1505</v>
      </c>
      <c r="B1613" s="6">
        <v>500.0</v>
      </c>
      <c r="C1613" s="7" t="s">
        <v>649</v>
      </c>
      <c r="E1613" s="8" t="str">
        <f>IFERROR(__xludf.DUMMYFUNCTION("SPLIT(A1613,""TX"")"),"Homan, Katherine
1629 Handley Dr.
Dallas, ")</f>
        <v>Homan, Katherine
1629 Handley Dr.
Dallas, </v>
      </c>
      <c r="F1613" s="8">
        <f>IFERROR(__xludf.DUMMYFUNCTION("""COMPUTED_VALUE"""),75208.0)</f>
        <v>75208</v>
      </c>
      <c r="I1613" s="8">
        <f t="shared" si="19"/>
        <v>75208</v>
      </c>
      <c r="J1613" s="9">
        <f>IFERROR(__xludf.DUMMYFUNCTION("SPLIT(I1613,""-"")"),75208.0)</f>
        <v>75208</v>
      </c>
    </row>
    <row r="1614">
      <c r="A1614" s="5" t="s">
        <v>729</v>
      </c>
      <c r="B1614" s="6">
        <v>1000.0</v>
      </c>
      <c r="C1614" s="7" t="s">
        <v>649</v>
      </c>
      <c r="E1614" s="8" t="str">
        <f>IFERROR(__xludf.DUMMYFUNCTION("SPLIT(A1614,""TX"")"),"Parker, Kim
13330 Noel Rd.
Dallas, ")</f>
        <v>Parker, Kim
13330 Noel Rd.
Dallas, </v>
      </c>
      <c r="F1614" s="8">
        <f>IFERROR(__xludf.DUMMYFUNCTION("""COMPUTED_VALUE"""),75240.0)</f>
        <v>75240</v>
      </c>
      <c r="I1614" s="8">
        <f t="shared" si="19"/>
        <v>75240</v>
      </c>
      <c r="J1614" s="9">
        <f>IFERROR(__xludf.DUMMYFUNCTION("SPLIT(I1614,""-"")"),75240.0)</f>
        <v>75240</v>
      </c>
    </row>
    <row r="1615">
      <c r="A1615" s="5" t="s">
        <v>1506</v>
      </c>
      <c r="B1615" s="6">
        <v>4000.0</v>
      </c>
      <c r="C1615" s="7" t="s">
        <v>649</v>
      </c>
      <c r="E1615" s="8" t="str">
        <f>IFERROR(__xludf.DUMMYFUNCTION("SPLIT(A1615,""TX"")"),"Headington, ")</f>
        <v>Headington, </v>
      </c>
      <c r="F1615" s="8" t="str">
        <f>IFERROR(__xludf.DUMMYFUNCTION("""COMPUTED_VALUE"""),"imothy
1608 Main St.
Dallas, ")</f>
        <v>imothy
1608 Main St.
Dallas, </v>
      </c>
      <c r="G1615" s="8">
        <f>IFERROR(__xludf.DUMMYFUNCTION("""COMPUTED_VALUE"""),75201.0)</f>
        <v>75201</v>
      </c>
      <c r="I1615" s="8">
        <f t="shared" si="19"/>
        <v>75201</v>
      </c>
      <c r="J1615" s="9">
        <f>IFERROR(__xludf.DUMMYFUNCTION("SPLIT(I1615,""-"")"),75201.0)</f>
        <v>75201</v>
      </c>
    </row>
    <row r="1616">
      <c r="A1616" s="5" t="s">
        <v>1507</v>
      </c>
      <c r="B1616" s="6">
        <v>1000.0</v>
      </c>
      <c r="C1616" s="7" t="s">
        <v>649</v>
      </c>
      <c r="E1616" s="8" t="str">
        <f>IFERROR(__xludf.DUMMYFUNCTION("SPLIT(A1616,""TX"")"),"Matthews, John
320 W. Main St.
Lewisville, ")</f>
        <v>Matthews, John
320 W. Main St.
Lewisville, </v>
      </c>
      <c r="F1616" s="8">
        <f>IFERROR(__xludf.DUMMYFUNCTION("""COMPUTED_VALUE"""),75057.0)</f>
        <v>75057</v>
      </c>
      <c r="I1616" s="8">
        <f t="shared" si="19"/>
        <v>75057</v>
      </c>
      <c r="J1616" s="9">
        <f>IFERROR(__xludf.DUMMYFUNCTION("SPLIT(I1616,""-"")"),75057.0)</f>
        <v>75057</v>
      </c>
    </row>
    <row r="1617">
      <c r="A1617" s="5" t="s">
        <v>1508</v>
      </c>
      <c r="B1617" s="6">
        <v>100.0</v>
      </c>
      <c r="C1617" s="7" t="s">
        <v>649</v>
      </c>
      <c r="E1617" s="8" t="str">
        <f>IFERROR(__xludf.DUMMYFUNCTION("SPLIT(A1617,""TX"")"),"Owen, Jennifer
6541 Arborist Ln.
Dallas, ")</f>
        <v>Owen, Jennifer
6541 Arborist Ln.
Dallas, </v>
      </c>
      <c r="F1617" s="8">
        <f>IFERROR(__xludf.DUMMYFUNCTION("""COMPUTED_VALUE"""),75214.0)</f>
        <v>75214</v>
      </c>
      <c r="I1617" s="8">
        <f t="shared" si="19"/>
        <v>75214</v>
      </c>
      <c r="J1617" s="9">
        <f>IFERROR(__xludf.DUMMYFUNCTION("SPLIT(I1617,""-"")"),75214.0)</f>
        <v>75214</v>
      </c>
    </row>
    <row r="1618">
      <c r="A1618" s="5" t="s">
        <v>1509</v>
      </c>
      <c r="B1618" s="6">
        <v>1000.0</v>
      </c>
      <c r="C1618" s="7" t="s">
        <v>649</v>
      </c>
      <c r="E1618" s="8" t="str">
        <f>IFERROR(__xludf.DUMMYFUNCTION("SPLIT(A1618,""TX"")"),"Weempe, Jane
1316 W. Canterbury Ct.
Dallas, ")</f>
        <v>Weempe, Jane
1316 W. Canterbury Ct.
Dallas, </v>
      </c>
      <c r="F1618" s="8">
        <f>IFERROR(__xludf.DUMMYFUNCTION("""COMPUTED_VALUE"""),75208.0)</f>
        <v>75208</v>
      </c>
      <c r="I1618" s="8">
        <f t="shared" si="19"/>
        <v>75208</v>
      </c>
      <c r="J1618" s="9">
        <f>IFERROR(__xludf.DUMMYFUNCTION("SPLIT(I1618,""-"")"),75208.0)</f>
        <v>75208</v>
      </c>
    </row>
    <row r="1619">
      <c r="A1619" s="5" t="s">
        <v>1510</v>
      </c>
      <c r="B1619" s="6">
        <v>1000.0</v>
      </c>
      <c r="C1619" s="7" t="s">
        <v>649</v>
      </c>
      <c r="E1619" s="8" t="str">
        <f>IFERROR(__xludf.DUMMYFUNCTION("SPLIT(A1619,""TX"")"),"Ginsburg, Harold
2610 Fairmount St.
Dallas, ")</f>
        <v>Ginsburg, Harold
2610 Fairmount St.
Dallas, </v>
      </c>
      <c r="F1619" s="8">
        <f>IFERROR(__xludf.DUMMYFUNCTION("""COMPUTED_VALUE"""),75201.0)</f>
        <v>75201</v>
      </c>
      <c r="I1619" s="8">
        <f t="shared" si="19"/>
        <v>75201</v>
      </c>
      <c r="J1619" s="9">
        <f>IFERROR(__xludf.DUMMYFUNCTION("SPLIT(I1619,""-"")"),75201.0)</f>
        <v>75201</v>
      </c>
    </row>
    <row r="1620">
      <c r="A1620" s="5" t="s">
        <v>1511</v>
      </c>
      <c r="B1620" s="6">
        <v>949.7</v>
      </c>
      <c r="C1620" s="7" t="s">
        <v>649</v>
      </c>
      <c r="E1620" s="8" t="str">
        <f>IFERROR(__xludf.DUMMYFUNCTION("SPLIT(A1620,""TX"")"),"Hancock, Barry
3843 Maplewood Ave.
Dallas, ")</f>
        <v>Hancock, Barry
3843 Maplewood Ave.
Dallas, </v>
      </c>
      <c r="F1620" s="8">
        <f>IFERROR(__xludf.DUMMYFUNCTION("""COMPUTED_VALUE"""),75205.0)</f>
        <v>75205</v>
      </c>
      <c r="I1620" s="8">
        <f t="shared" si="19"/>
        <v>75205</v>
      </c>
      <c r="J1620" s="9">
        <f>IFERROR(__xludf.DUMMYFUNCTION("SPLIT(I1620,""-"")"),75205.0)</f>
        <v>75205</v>
      </c>
    </row>
    <row r="1621">
      <c r="A1621" s="5" t="s">
        <v>1512</v>
      </c>
      <c r="B1621" s="6">
        <v>1000.0</v>
      </c>
      <c r="C1621" s="7" t="s">
        <v>649</v>
      </c>
      <c r="E1621" s="8" t="str">
        <f>IFERROR(__xludf.DUMMYFUNCTION("SPLIT(A1621,""TX"")"),"Anderson, Carl
2929 Carlisle St.
Dallas, ")</f>
        <v>Anderson, Carl
2929 Carlisle St.
Dallas, </v>
      </c>
      <c r="F1621" s="8">
        <f>IFERROR(__xludf.DUMMYFUNCTION("""COMPUTED_VALUE"""),75204.0)</f>
        <v>75204</v>
      </c>
      <c r="I1621" s="8">
        <f t="shared" si="19"/>
        <v>75204</v>
      </c>
      <c r="J1621" s="9">
        <f>IFERROR(__xludf.DUMMYFUNCTION("SPLIT(I1621,""-"")"),75204.0)</f>
        <v>75204</v>
      </c>
    </row>
    <row r="1622">
      <c r="A1622" s="5" t="s">
        <v>1513</v>
      </c>
      <c r="B1622" s="6">
        <v>250.0</v>
      </c>
      <c r="C1622" s="7" t="s">
        <v>649</v>
      </c>
      <c r="E1622" s="8" t="str">
        <f>IFERROR(__xludf.DUMMYFUNCTION("SPLIT(A1622,""TX"")"),"Schenkel, Stephen
3610 ")</f>
        <v>Schenkel, Stephen
3610 </v>
      </c>
      <c r="F1622" s="8" t="str">
        <f>IFERROR(__xludf.DUMMYFUNCTION("""COMPUTED_VALUE"""),"urtle Creek Blvd.
Dallas, ")</f>
        <v>urtle Creek Blvd.
Dallas, </v>
      </c>
      <c r="G1622" s="8">
        <f>IFERROR(__xludf.DUMMYFUNCTION("""COMPUTED_VALUE"""),75219.0)</f>
        <v>75219</v>
      </c>
      <c r="I1622" s="8">
        <f t="shared" si="19"/>
        <v>75219</v>
      </c>
      <c r="J1622" s="9">
        <f>IFERROR(__xludf.DUMMYFUNCTION("SPLIT(I1622,""-"")"),75219.0)</f>
        <v>75219</v>
      </c>
    </row>
    <row r="1623">
      <c r="A1623" s="5" t="s">
        <v>1514</v>
      </c>
      <c r="B1623" s="6">
        <v>1000.0</v>
      </c>
      <c r="C1623" s="7" t="s">
        <v>649</v>
      </c>
      <c r="E1623" s="8" t="str">
        <f>IFERROR(__xludf.DUMMYFUNCTION("SPLIT(A1623,""TX"")"),"Schenkel, Craig
3105 Stanford Avenue
Dallas, ")</f>
        <v>Schenkel, Craig
3105 Stanford Avenue
Dallas, </v>
      </c>
      <c r="F1623" s="8">
        <f>IFERROR(__xludf.DUMMYFUNCTION("""COMPUTED_VALUE"""),75225.0)</f>
        <v>75225</v>
      </c>
      <c r="I1623" s="8">
        <f t="shared" si="19"/>
        <v>75225</v>
      </c>
      <c r="J1623" s="9">
        <f>IFERROR(__xludf.DUMMYFUNCTION("SPLIT(I1623,""-"")"),75225.0)</f>
        <v>75225</v>
      </c>
    </row>
    <row r="1624">
      <c r="A1624" s="5" t="s">
        <v>1515</v>
      </c>
      <c r="B1624" s="6">
        <v>4000.0</v>
      </c>
      <c r="C1624" s="7" t="s">
        <v>649</v>
      </c>
      <c r="E1624" s="8" t="str">
        <f>IFERROR(__xludf.DUMMYFUNCTION("SPLIT(A1624,""TX"")"),"Lindegaard, Joanna
133 E De La Guerra St
Santa Barbara, CA 93101")</f>
        <v>Lindegaard, Joanna
133 E De La Guerra St
Santa Barbara, CA 93101</v>
      </c>
      <c r="I1624" s="8" t="str">
        <f t="shared" si="19"/>
        <v/>
      </c>
      <c r="J1624" s="9" t="str">
        <f>IFERROR(__xludf.DUMMYFUNCTION("SPLIT(I1624,""-"")"),"#VALUE!")</f>
        <v>#VALUE!</v>
      </c>
    </row>
    <row r="1625">
      <c r="A1625" s="5" t="s">
        <v>1515</v>
      </c>
      <c r="B1625" s="6">
        <v>1000.0</v>
      </c>
      <c r="C1625" s="7" t="s">
        <v>649</v>
      </c>
      <c r="E1625" s="8" t="str">
        <f>IFERROR(__xludf.DUMMYFUNCTION("SPLIT(A1625,""TX"")"),"Lindegaard, Joanna
133 E De La Guerra St
Santa Barbara, CA 93101")</f>
        <v>Lindegaard, Joanna
133 E De La Guerra St
Santa Barbara, CA 93101</v>
      </c>
      <c r="I1625" s="8" t="str">
        <f t="shared" si="19"/>
        <v/>
      </c>
      <c r="J1625" s="9" t="str">
        <f>IFERROR(__xludf.DUMMYFUNCTION("SPLIT(I1625,""-"")"),"#VALUE!")</f>
        <v>#VALUE!</v>
      </c>
    </row>
    <row r="1626">
      <c r="A1626" s="5" t="s">
        <v>1516</v>
      </c>
      <c r="B1626" s="6">
        <v>250.0</v>
      </c>
      <c r="C1626" s="7" t="s">
        <v>649</v>
      </c>
      <c r="E1626" s="8" t="str">
        <f>IFERROR(__xludf.DUMMYFUNCTION("SPLIT(A1626,""TX"")"),"Roberts, Craig
3306 Stanford Avenue
Dallas, ")</f>
        <v>Roberts, Craig
3306 Stanford Avenue
Dallas, </v>
      </c>
      <c r="F1626" s="8">
        <f>IFERROR(__xludf.DUMMYFUNCTION("""COMPUTED_VALUE"""),75205.0)</f>
        <v>75205</v>
      </c>
      <c r="I1626" s="8">
        <f t="shared" si="19"/>
        <v>75205</v>
      </c>
      <c r="J1626" s="9">
        <f>IFERROR(__xludf.DUMMYFUNCTION("SPLIT(I1626,""-"")"),75205.0)</f>
        <v>75205</v>
      </c>
    </row>
    <row r="1627">
      <c r="A1627" s="5" t="s">
        <v>1517</v>
      </c>
      <c r="B1627" s="6">
        <v>500.0</v>
      </c>
      <c r="C1627" s="7" t="s">
        <v>649</v>
      </c>
      <c r="E1627" s="8" t="str">
        <f>IFERROR(__xludf.DUMMYFUNCTION("SPLIT(A1627,""TX"")"),"Schenkel, Pete
614 N Bishop
Dallas, ")</f>
        <v>Schenkel, Pete
614 N Bishop
Dallas, </v>
      </c>
      <c r="F1627" s="8">
        <f>IFERROR(__xludf.DUMMYFUNCTION("""COMPUTED_VALUE"""),75208.0)</f>
        <v>75208</v>
      </c>
      <c r="I1627" s="8">
        <f t="shared" si="19"/>
        <v>75208</v>
      </c>
      <c r="J1627" s="9">
        <f>IFERROR(__xludf.DUMMYFUNCTION("SPLIT(I1627,""-"")"),75208.0)</f>
        <v>75208</v>
      </c>
    </row>
    <row r="1628">
      <c r="A1628" s="5" t="s">
        <v>1518</v>
      </c>
      <c r="B1628" s="6">
        <v>1000.0</v>
      </c>
      <c r="C1628" s="7" t="s">
        <v>649</v>
      </c>
      <c r="E1628" s="8" t="str">
        <f>IFERROR(__xludf.DUMMYFUNCTION("SPLIT(A1628,""TX"")"),"Pitts, Jim
3525 ")</f>
        <v>Pitts, Jim
3525 </v>
      </c>
      <c r="F1628" s="8" t="str">
        <f>IFERROR(__xludf.DUMMYFUNCTION("""COMPUTED_VALUE"""),"urtle Creek Blvd.
Dallas, ")</f>
        <v>urtle Creek Blvd.
Dallas, </v>
      </c>
      <c r="G1628" s="8">
        <f>IFERROR(__xludf.DUMMYFUNCTION("""COMPUTED_VALUE"""),75219.0)</f>
        <v>75219</v>
      </c>
      <c r="I1628" s="8">
        <f t="shared" si="19"/>
        <v>75219</v>
      </c>
      <c r="J1628" s="9">
        <f>IFERROR(__xludf.DUMMYFUNCTION("SPLIT(I1628,""-"")"),75219.0)</f>
        <v>75219</v>
      </c>
    </row>
    <row r="1629">
      <c r="A1629" s="5" t="s">
        <v>1519</v>
      </c>
      <c r="B1629" s="6">
        <v>1000.0</v>
      </c>
      <c r="C1629" s="7" t="s">
        <v>649</v>
      </c>
      <c r="E1629" s="8" t="str">
        <f>IFERROR(__xludf.DUMMYFUNCTION("SPLIT(A1629,""TX"")"),"Crow, ")</f>
        <v>Crow, </v>
      </c>
      <c r="F1629" s="8" t="str">
        <f>IFERROR(__xludf.DUMMYFUNCTION("""COMPUTED_VALUE"""),"rammell
4000 Rock Creek Drive
Dallas, ")</f>
        <v>rammell
4000 Rock Creek Drive
Dallas, </v>
      </c>
      <c r="G1629" s="8">
        <f>IFERROR(__xludf.DUMMYFUNCTION("""COMPUTED_VALUE"""),75204.0)</f>
        <v>75204</v>
      </c>
      <c r="I1629" s="8">
        <f t="shared" si="19"/>
        <v>75204</v>
      </c>
      <c r="J1629" s="9">
        <f>IFERROR(__xludf.DUMMYFUNCTION("SPLIT(I1629,""-"")"),75204.0)</f>
        <v>75204</v>
      </c>
    </row>
    <row r="1630">
      <c r="A1630" s="5" t="s">
        <v>1520</v>
      </c>
      <c r="B1630" s="6">
        <v>1500.0</v>
      </c>
      <c r="C1630" s="7" t="s">
        <v>649</v>
      </c>
      <c r="E1630" s="8" t="str">
        <f>IFERROR(__xludf.DUMMYFUNCTION("SPLIT(A1630,""TX"")"),"SWA Freedom Fund PAC
PO Box 36611
Dallas, ")</f>
        <v>SWA Freedom Fund PAC
PO Box 36611
Dallas, </v>
      </c>
      <c r="F1630" s="8">
        <f>IFERROR(__xludf.DUMMYFUNCTION("""COMPUTED_VALUE"""),75235.0)</f>
        <v>75235</v>
      </c>
      <c r="I1630" s="8">
        <f t="shared" si="19"/>
        <v>75235</v>
      </c>
      <c r="J1630" s="9">
        <f>IFERROR(__xludf.DUMMYFUNCTION("SPLIT(I1630,""-"")"),75235.0)</f>
        <v>75235</v>
      </c>
    </row>
    <row r="1631">
      <c r="A1631" s="5" t="s">
        <v>1521</v>
      </c>
      <c r="B1631" s="6">
        <v>500.0</v>
      </c>
      <c r="C1631" s="7" t="s">
        <v>375</v>
      </c>
      <c r="E1631" s="8" t="str">
        <f>IFERROR(__xludf.DUMMYFUNCTION("SPLIT(A1631,""TX"")"),"Johnson, Willis
1700 Pacific Ave
Dallas, ")</f>
        <v>Johnson, Willis
1700 Pacific Ave
Dallas, </v>
      </c>
      <c r="F1631" s="8">
        <f>IFERROR(__xludf.DUMMYFUNCTION("""COMPUTED_VALUE"""),75201.0)</f>
        <v>75201</v>
      </c>
      <c r="I1631" s="8">
        <f t="shared" si="19"/>
        <v>75201</v>
      </c>
      <c r="J1631" s="9">
        <f>IFERROR(__xludf.DUMMYFUNCTION("SPLIT(I1631,""-"")"),75201.0)</f>
        <v>75201</v>
      </c>
    </row>
    <row r="1632">
      <c r="A1632" s="5" t="s">
        <v>1522</v>
      </c>
      <c r="B1632" s="6">
        <v>50.0</v>
      </c>
      <c r="C1632" s="7" t="s">
        <v>375</v>
      </c>
      <c r="E1632" s="8" t="str">
        <f>IFERROR(__xludf.DUMMYFUNCTION("SPLIT(A1632,""TX"")"),"Adams, James
1201 Elm Street
Dallas, ")</f>
        <v>Adams, James
1201 Elm Street
Dallas, </v>
      </c>
      <c r="F1632" s="8">
        <f>IFERROR(__xludf.DUMMYFUNCTION("""COMPUTED_VALUE"""),75270.0)</f>
        <v>75270</v>
      </c>
      <c r="I1632" s="8">
        <f t="shared" si="19"/>
        <v>75270</v>
      </c>
      <c r="J1632" s="9">
        <f>IFERROR(__xludf.DUMMYFUNCTION("SPLIT(I1632,""-"")"),75270.0)</f>
        <v>75270</v>
      </c>
    </row>
    <row r="1633">
      <c r="A1633" s="5" t="s">
        <v>1523</v>
      </c>
      <c r="B1633" s="6">
        <v>50.0</v>
      </c>
      <c r="C1633" s="7" t="s">
        <v>375</v>
      </c>
      <c r="E1633" s="8" t="str">
        <f>IFERROR(__xludf.DUMMYFUNCTION("SPLIT(A1633,""TX"")"),"ran, Jimmy
5024 Denton Dr
Dallas, ")</f>
        <v>ran, Jimmy
5024 Denton Dr
Dallas, </v>
      </c>
      <c r="F1633" s="8">
        <f>IFERROR(__xludf.DUMMYFUNCTION("""COMPUTED_VALUE"""),75235.0)</f>
        <v>75235</v>
      </c>
      <c r="I1633" s="8">
        <f t="shared" si="19"/>
        <v>75235</v>
      </c>
      <c r="J1633" s="9">
        <f>IFERROR(__xludf.DUMMYFUNCTION("SPLIT(I1633,""-"")"),75235.0)</f>
        <v>75235</v>
      </c>
    </row>
    <row r="1634">
      <c r="A1634" s="5" t="s">
        <v>1524</v>
      </c>
      <c r="B1634" s="6">
        <v>100.0</v>
      </c>
      <c r="C1634" s="7" t="s">
        <v>375</v>
      </c>
      <c r="E1634" s="8" t="str">
        <f>IFERROR(__xludf.DUMMYFUNCTION("SPLIT(A1634,""TX"")"),"Bufford, Quontinetta
2500 N. Houston Street
Dallas, ")</f>
        <v>Bufford, Quontinetta
2500 N. Houston Street
Dallas, </v>
      </c>
      <c r="F1634" s="8">
        <f>IFERROR(__xludf.DUMMYFUNCTION("""COMPUTED_VALUE"""),75219.0)</f>
        <v>75219</v>
      </c>
      <c r="I1634" s="8">
        <f t="shared" si="19"/>
        <v>75219</v>
      </c>
      <c r="J1634" s="9">
        <f>IFERROR(__xludf.DUMMYFUNCTION("SPLIT(I1634,""-"")"),75219.0)</f>
        <v>75219</v>
      </c>
    </row>
    <row r="1635">
      <c r="A1635" s="5" t="s">
        <v>1525</v>
      </c>
      <c r="B1635" s="6">
        <v>100.0</v>
      </c>
      <c r="C1635" s="7" t="s">
        <v>375</v>
      </c>
      <c r="E1635" s="8" t="str">
        <f>IFERROR(__xludf.DUMMYFUNCTION("SPLIT(A1635,""TX"")"),"Leal, Chris
1777 N Record St
Dallas, ")</f>
        <v>Leal, Chris
1777 N Record St
Dallas, </v>
      </c>
      <c r="F1635" s="8">
        <f>IFERROR(__xludf.DUMMYFUNCTION("""COMPUTED_VALUE"""),75202.0)</f>
        <v>75202</v>
      </c>
      <c r="I1635" s="8">
        <f t="shared" si="19"/>
        <v>75202</v>
      </c>
      <c r="J1635" s="9">
        <f>IFERROR(__xludf.DUMMYFUNCTION("SPLIT(I1635,""-"")"),75202.0)</f>
        <v>75202</v>
      </c>
    </row>
    <row r="1636">
      <c r="A1636" s="5" t="s">
        <v>1526</v>
      </c>
      <c r="B1636" s="6">
        <v>200.0</v>
      </c>
      <c r="C1636" s="7" t="s">
        <v>375</v>
      </c>
      <c r="E1636" s="8" t="str">
        <f>IFERROR(__xludf.DUMMYFUNCTION("SPLIT(A1636,""TX"")"),"Lill, Veletta
622 Blair Blvd
Dallas, ")</f>
        <v>Lill, Veletta
622 Blair Blvd
Dallas, </v>
      </c>
      <c r="F1636" s="8">
        <f>IFERROR(__xludf.DUMMYFUNCTION("""COMPUTED_VALUE"""),75223.0)</f>
        <v>75223</v>
      </c>
      <c r="I1636" s="8">
        <f t="shared" si="19"/>
        <v>75223</v>
      </c>
      <c r="J1636" s="9">
        <f>IFERROR(__xludf.DUMMYFUNCTION("SPLIT(I1636,""-"")"),75223.0)</f>
        <v>75223</v>
      </c>
    </row>
    <row r="1637">
      <c r="A1637" s="5" t="s">
        <v>1527</v>
      </c>
      <c r="B1637" s="6">
        <v>1000.0</v>
      </c>
      <c r="C1637" s="7" t="s">
        <v>375</v>
      </c>
      <c r="E1637" s="8" t="str">
        <f>IFERROR(__xludf.DUMMYFUNCTION("SPLIT(A1637,""TX"")"),"Boone, Garrett
2417 Loving Ave
Dallas, ")</f>
        <v>Boone, Garrett
2417 Loving Ave
Dallas, </v>
      </c>
      <c r="F1637" s="8">
        <f>IFERROR(__xludf.DUMMYFUNCTION("""COMPUTED_VALUE"""),75214.0)</f>
        <v>75214</v>
      </c>
      <c r="I1637" s="8">
        <f t="shared" si="19"/>
        <v>75214</v>
      </c>
      <c r="J1637" s="9">
        <f>IFERROR(__xludf.DUMMYFUNCTION("SPLIT(I1637,""-"")"),75214.0)</f>
        <v>75214</v>
      </c>
    </row>
    <row r="1638">
      <c r="A1638" s="5" t="s">
        <v>1528</v>
      </c>
      <c r="B1638" s="6">
        <v>100.0</v>
      </c>
      <c r="C1638" s="7" t="s">
        <v>375</v>
      </c>
      <c r="E1638" s="8" t="str">
        <f>IFERROR(__xludf.DUMMYFUNCTION("SPLIT(A1638,""TX"")"),"Carter, ")</f>
        <v>Carter, </v>
      </c>
      <c r="F1638" s="8" t="str">
        <f>IFERROR(__xludf.DUMMYFUNCTION("""COMPUTED_VALUE"""),"anya
2228 Colony Court
Dallas, ")</f>
        <v>anya
2228 Colony Court
Dallas, </v>
      </c>
      <c r="G1638" s="8">
        <f>IFERROR(__xludf.DUMMYFUNCTION("""COMPUTED_VALUE"""),75235.0)</f>
        <v>75235</v>
      </c>
      <c r="I1638" s="8">
        <f t="shared" si="19"/>
        <v>75235</v>
      </c>
      <c r="J1638" s="9">
        <f>IFERROR(__xludf.DUMMYFUNCTION("SPLIT(I1638,""-"")"),75235.0)</f>
        <v>75235</v>
      </c>
    </row>
    <row r="1639">
      <c r="A1639" s="5" t="s">
        <v>1529</v>
      </c>
      <c r="B1639" s="6">
        <v>100.0</v>
      </c>
      <c r="C1639" s="7" t="s">
        <v>375</v>
      </c>
      <c r="E1639" s="8" t="str">
        <f>IFERROR(__xludf.DUMMYFUNCTION("SPLIT(A1639,""TX"")"),"Reichert, Veronica
3924 Kimballdale Drive
Dallas, ")</f>
        <v>Reichert, Veronica
3924 Kimballdale Drive
Dallas, </v>
      </c>
      <c r="F1639" s="8">
        <f>IFERROR(__xludf.DUMMYFUNCTION("""COMPUTED_VALUE"""),75233.0)</f>
        <v>75233</v>
      </c>
      <c r="I1639" s="8">
        <f t="shared" si="19"/>
        <v>75233</v>
      </c>
      <c r="J1639" s="9">
        <f>IFERROR(__xludf.DUMMYFUNCTION("SPLIT(I1639,""-"")"),75233.0)</f>
        <v>75233</v>
      </c>
    </row>
    <row r="1640">
      <c r="A1640" s="5" t="s">
        <v>231</v>
      </c>
      <c r="B1640" s="6">
        <v>100.0</v>
      </c>
      <c r="C1640" s="7" t="s">
        <v>375</v>
      </c>
      <c r="E1640" s="8" t="str">
        <f>IFERROR(__xludf.DUMMYFUNCTION("SPLIT(A1640,""TX"")"),"Brown, Susanna
4175 Wilada Drive
Dallas, ")</f>
        <v>Brown, Susanna
4175 Wilada Drive
Dallas, </v>
      </c>
      <c r="F1640" s="8">
        <f>IFERROR(__xludf.DUMMYFUNCTION("""COMPUTED_VALUE"""),75220.0)</f>
        <v>75220</v>
      </c>
      <c r="I1640" s="8">
        <f t="shared" si="19"/>
        <v>75220</v>
      </c>
      <c r="J1640" s="9">
        <f>IFERROR(__xludf.DUMMYFUNCTION("SPLIT(I1640,""-"")"),75220.0)</f>
        <v>75220</v>
      </c>
    </row>
    <row r="1641">
      <c r="A1641" s="5" t="s">
        <v>1530</v>
      </c>
      <c r="B1641" s="6">
        <v>500.0</v>
      </c>
      <c r="C1641" s="7" t="s">
        <v>375</v>
      </c>
      <c r="E1641" s="8" t="str">
        <f>IFERROR(__xludf.DUMMYFUNCTION("SPLIT(A1641,""TX"")"),"Davis, Macy
8322 Ridgelea St
Dallas, ")</f>
        <v>Davis, Macy
8322 Ridgelea St
Dallas, </v>
      </c>
      <c r="F1641" s="8">
        <f>IFERROR(__xludf.DUMMYFUNCTION("""COMPUTED_VALUE"""),75209.0)</f>
        <v>75209</v>
      </c>
      <c r="I1641" s="8">
        <f t="shared" si="19"/>
        <v>75209</v>
      </c>
      <c r="J1641" s="9">
        <f>IFERROR(__xludf.DUMMYFUNCTION("SPLIT(I1641,""-"")"),75209.0)</f>
        <v>75209</v>
      </c>
    </row>
    <row r="1642">
      <c r="A1642" s="5" t="s">
        <v>1531</v>
      </c>
      <c r="B1642" s="6">
        <v>1000.0</v>
      </c>
      <c r="C1642" s="7" t="s">
        <v>375</v>
      </c>
      <c r="E1642" s="8" t="str">
        <f>IFERROR(__xludf.DUMMYFUNCTION("SPLIT(A1642,""TX"")"),"Santa-Maria, Arrthur
785 Huntingdon St
Coppell, ")</f>
        <v>Santa-Maria, Arrthur
785 Huntingdon St
Coppell, </v>
      </c>
      <c r="F1642" s="8">
        <f>IFERROR(__xludf.DUMMYFUNCTION("""COMPUTED_VALUE"""),75019.0)</f>
        <v>75019</v>
      </c>
      <c r="I1642" s="8">
        <f t="shared" si="19"/>
        <v>75019</v>
      </c>
      <c r="J1642" s="9">
        <f>IFERROR(__xludf.DUMMYFUNCTION("SPLIT(I1642,""-"")"),75019.0)</f>
        <v>75019</v>
      </c>
    </row>
    <row r="1643">
      <c r="A1643" s="5" t="s">
        <v>1532</v>
      </c>
      <c r="B1643" s="6">
        <v>1000.0</v>
      </c>
      <c r="C1643" s="7" t="s">
        <v>375</v>
      </c>
      <c r="E1643" s="8" t="str">
        <f>IFERROR(__xludf.DUMMYFUNCTION("SPLIT(A1643,""TX"")"),"Rodriguez, Minerva
1036 Opal Drive
Despot, ")</f>
        <v>Rodriguez, Minerva
1036 Opal Drive
Despot, </v>
      </c>
      <c r="F1643" s="8">
        <f>IFERROR(__xludf.DUMMYFUNCTION("""COMPUTED_VALUE"""),75115.0)</f>
        <v>75115</v>
      </c>
      <c r="I1643" s="8">
        <f t="shared" si="19"/>
        <v>75115</v>
      </c>
      <c r="J1643" s="9">
        <f>IFERROR(__xludf.DUMMYFUNCTION("SPLIT(I1643,""-"")"),75115.0)</f>
        <v>75115</v>
      </c>
    </row>
    <row r="1644">
      <c r="A1644" s="5" t="s">
        <v>1533</v>
      </c>
      <c r="B1644" s="6">
        <v>150.0</v>
      </c>
      <c r="C1644" s="7" t="s">
        <v>375</v>
      </c>
      <c r="E1644" s="8" t="str">
        <f>IFERROR(__xludf.DUMMYFUNCTION("SPLIT(A1644,""TX"")"),"Bryant, Kevin
4463 Brookview Drive
Dallas, ")</f>
        <v>Bryant, Kevin
4463 Brookview Drive
Dallas, </v>
      </c>
      <c r="F1644" s="8">
        <f>IFERROR(__xludf.DUMMYFUNCTION("""COMPUTED_VALUE"""),75220.0)</f>
        <v>75220</v>
      </c>
      <c r="I1644" s="8">
        <f t="shared" si="19"/>
        <v>75220</v>
      </c>
      <c r="J1644" s="9">
        <f>IFERROR(__xludf.DUMMYFUNCTION("SPLIT(I1644,""-"")"),75220.0)</f>
        <v>75220</v>
      </c>
    </row>
    <row r="1645">
      <c r="A1645" s="5" t="s">
        <v>1534</v>
      </c>
      <c r="B1645" s="6">
        <v>1000.0</v>
      </c>
      <c r="C1645" s="7" t="s">
        <v>375</v>
      </c>
      <c r="E1645" s="8" t="str">
        <f>IFERROR(__xludf.DUMMYFUNCTION("SPLIT(A1645,""TX"")"),"Walker, Melody
127 Oakwood Lane
Hickory Creek, ")</f>
        <v>Walker, Melody
127 Oakwood Lane
Hickory Creek, </v>
      </c>
      <c r="F1645" s="8">
        <f>IFERROR(__xludf.DUMMYFUNCTION("""COMPUTED_VALUE"""),75065.0)</f>
        <v>75065</v>
      </c>
      <c r="I1645" s="8">
        <f t="shared" si="19"/>
        <v>75065</v>
      </c>
      <c r="J1645" s="9">
        <f>IFERROR(__xludf.DUMMYFUNCTION("SPLIT(I1645,""-"")"),75065.0)</f>
        <v>75065</v>
      </c>
    </row>
    <row r="1646">
      <c r="A1646" s="5" t="s">
        <v>1535</v>
      </c>
      <c r="B1646" s="6">
        <v>50.0</v>
      </c>
      <c r="C1646" s="7" t="s">
        <v>375</v>
      </c>
      <c r="E1646" s="8" t="str">
        <f>IFERROR(__xludf.DUMMYFUNCTION("SPLIT(A1646,""TX"")"),"Blanco, Erica
419 S Garrett Ave
Dallas, ")</f>
        <v>Blanco, Erica
419 S Garrett Ave
Dallas, </v>
      </c>
      <c r="F1646" s="8">
        <f>IFERROR(__xludf.DUMMYFUNCTION("""COMPUTED_VALUE"""),75223.0)</f>
        <v>75223</v>
      </c>
      <c r="I1646" s="8">
        <f t="shared" si="19"/>
        <v>75223</v>
      </c>
      <c r="J1646" s="9">
        <f>IFERROR(__xludf.DUMMYFUNCTION("SPLIT(I1646,""-"")"),75223.0)</f>
        <v>75223</v>
      </c>
    </row>
    <row r="1647">
      <c r="A1647" s="5" t="s">
        <v>1536</v>
      </c>
      <c r="B1647" s="6">
        <v>75.0</v>
      </c>
      <c r="C1647" s="7" t="s">
        <v>375</v>
      </c>
      <c r="E1647" s="8" t="str">
        <f>IFERROR(__xludf.DUMMYFUNCTION("SPLIT(A1647,""TX"")"),"Heinbaugh, Chris
1801 Annex Ave
Dallas, ")</f>
        <v>Heinbaugh, Chris
1801 Annex Ave
Dallas, </v>
      </c>
      <c r="F1647" s="8">
        <f>IFERROR(__xludf.DUMMYFUNCTION("""COMPUTED_VALUE"""),75204.0)</f>
        <v>75204</v>
      </c>
      <c r="I1647" s="8">
        <f t="shared" si="19"/>
        <v>75204</v>
      </c>
      <c r="J1647" s="9">
        <f>IFERROR(__xludf.DUMMYFUNCTION("SPLIT(I1647,""-"")"),75204.0)</f>
        <v>75204</v>
      </c>
    </row>
    <row r="1648">
      <c r="A1648" s="5" t="s">
        <v>1537</v>
      </c>
      <c r="B1648" s="6">
        <v>500.0</v>
      </c>
      <c r="C1648" s="7" t="s">
        <v>375</v>
      </c>
      <c r="E1648" s="8" t="str">
        <f>IFERROR(__xludf.DUMMYFUNCTION("SPLIT(A1648,""TX"")"),"Holmes, Jesse
2107 Canton Street
Dallas, ")</f>
        <v>Holmes, Jesse
2107 Canton Street
Dallas, </v>
      </c>
      <c r="F1648" s="8">
        <f>IFERROR(__xludf.DUMMYFUNCTION("""COMPUTED_VALUE"""),75201.0)</f>
        <v>75201</v>
      </c>
      <c r="I1648" s="8">
        <f t="shared" si="19"/>
        <v>75201</v>
      </c>
      <c r="J1648" s="9">
        <f>IFERROR(__xludf.DUMMYFUNCTION("SPLIT(I1648,""-"")"),75201.0)</f>
        <v>75201</v>
      </c>
    </row>
    <row r="1649">
      <c r="A1649" s="5" t="s">
        <v>1162</v>
      </c>
      <c r="B1649" s="6">
        <v>100.0</v>
      </c>
      <c r="C1649" s="7" t="s">
        <v>375</v>
      </c>
      <c r="E1649" s="8" t="str">
        <f>IFERROR(__xludf.DUMMYFUNCTION("SPLIT(A1649,""TX"")"),"Offutt, Larry
6038 Bryan Pkwy
Dallas, ")</f>
        <v>Offutt, Larry
6038 Bryan Pkwy
Dallas, </v>
      </c>
      <c r="F1649" s="8">
        <f>IFERROR(__xludf.DUMMYFUNCTION("""COMPUTED_VALUE"""),75206.0)</f>
        <v>75206</v>
      </c>
      <c r="I1649" s="8">
        <f t="shared" si="19"/>
        <v>75206</v>
      </c>
      <c r="J1649" s="9">
        <f>IFERROR(__xludf.DUMMYFUNCTION("SPLIT(I1649,""-"")"),75206.0)</f>
        <v>75206</v>
      </c>
    </row>
    <row r="1650">
      <c r="A1650" s="5" t="s">
        <v>1538</v>
      </c>
      <c r="B1650" s="6">
        <v>500.0</v>
      </c>
      <c r="C1650" s="7" t="s">
        <v>375</v>
      </c>
      <c r="E1650" s="8" t="str">
        <f>IFERROR(__xludf.DUMMYFUNCTION("SPLIT(A1650,""TX"")"),"Magins, Ellen
5511 Preston Fairways Dr.
Dallas, ")</f>
        <v>Magins, Ellen
5511 Preston Fairways Dr.
Dallas, </v>
      </c>
      <c r="F1650" s="8">
        <f>IFERROR(__xludf.DUMMYFUNCTION("""COMPUTED_VALUE"""),75252.0)</f>
        <v>75252</v>
      </c>
      <c r="I1650" s="8">
        <f t="shared" si="19"/>
        <v>75252</v>
      </c>
      <c r="J1650" s="9">
        <f>IFERROR(__xludf.DUMMYFUNCTION("SPLIT(I1650,""-"")"),75252.0)</f>
        <v>75252</v>
      </c>
    </row>
    <row r="1651">
      <c r="A1651" s="5" t="s">
        <v>1539</v>
      </c>
      <c r="B1651" s="6">
        <v>100.0</v>
      </c>
      <c r="C1651" s="7" t="s">
        <v>375</v>
      </c>
      <c r="E1651" s="8" t="str">
        <f>IFERROR(__xludf.DUMMYFUNCTION("SPLIT(A1651,""TX"")"),"Smith, Suzanne
3210 Carlisle
Dallas, ")</f>
        <v>Smith, Suzanne
3210 Carlisle
Dallas, </v>
      </c>
      <c r="F1651" s="8">
        <f>IFERROR(__xludf.DUMMYFUNCTION("""COMPUTED_VALUE"""),75204.0)</f>
        <v>75204</v>
      </c>
      <c r="I1651" s="8">
        <f t="shared" si="19"/>
        <v>75204</v>
      </c>
      <c r="J1651" s="9">
        <f>IFERROR(__xludf.DUMMYFUNCTION("SPLIT(I1651,""-"")"),75204.0)</f>
        <v>75204</v>
      </c>
    </row>
    <row r="1652">
      <c r="A1652" s="5" t="s">
        <v>1540</v>
      </c>
      <c r="B1652" s="6">
        <v>1000.0</v>
      </c>
      <c r="C1652" s="7" t="s">
        <v>375</v>
      </c>
      <c r="E1652" s="8" t="str">
        <f>IFERROR(__xludf.DUMMYFUNCTION("SPLIT(A1652,""TX"")"),"Carnahan, Andrew
4411 Bowser Ave
Dallas, ")</f>
        <v>Carnahan, Andrew
4411 Bowser Ave
Dallas, </v>
      </c>
      <c r="F1652" s="8">
        <f>IFERROR(__xludf.DUMMYFUNCTION("""COMPUTED_VALUE"""),75219.0)</f>
        <v>75219</v>
      </c>
      <c r="I1652" s="8">
        <f t="shared" si="19"/>
        <v>75219</v>
      </c>
      <c r="J1652" s="9">
        <f>IFERROR(__xludf.DUMMYFUNCTION("SPLIT(I1652,""-"")"),75219.0)</f>
        <v>75219</v>
      </c>
    </row>
    <row r="1653">
      <c r="A1653" s="5" t="s">
        <v>1162</v>
      </c>
      <c r="B1653" s="6">
        <v>100.0</v>
      </c>
      <c r="C1653" s="7" t="s">
        <v>375</v>
      </c>
      <c r="E1653" s="8" t="str">
        <f>IFERROR(__xludf.DUMMYFUNCTION("SPLIT(A1653,""TX"")"),"Offutt, Larry
6038 Bryan Pkwy
Dallas, ")</f>
        <v>Offutt, Larry
6038 Bryan Pkwy
Dallas, </v>
      </c>
      <c r="F1653" s="8">
        <f>IFERROR(__xludf.DUMMYFUNCTION("""COMPUTED_VALUE"""),75206.0)</f>
        <v>75206</v>
      </c>
      <c r="I1653" s="8">
        <f t="shared" si="19"/>
        <v>75206</v>
      </c>
      <c r="J1653" s="9">
        <f>IFERROR(__xludf.DUMMYFUNCTION("SPLIT(I1653,""-"")"),75206.0)</f>
        <v>75206</v>
      </c>
    </row>
    <row r="1654">
      <c r="A1654" s="5" t="s">
        <v>1541</v>
      </c>
      <c r="B1654" s="6">
        <v>100.0</v>
      </c>
      <c r="C1654" s="7" t="s">
        <v>375</v>
      </c>
      <c r="E1654" s="8" t="str">
        <f>IFERROR(__xludf.DUMMYFUNCTION("SPLIT(A1654,""TX"")"),"Mortimer, Samuel
1623 Main St
Dallas, ")</f>
        <v>Mortimer, Samuel
1623 Main St
Dallas, </v>
      </c>
      <c r="F1654" s="8">
        <f>IFERROR(__xludf.DUMMYFUNCTION("""COMPUTED_VALUE"""),75201.0)</f>
        <v>75201</v>
      </c>
      <c r="I1654" s="8">
        <f t="shared" si="19"/>
        <v>75201</v>
      </c>
      <c r="J1654" s="9">
        <f>IFERROR(__xludf.DUMMYFUNCTION("SPLIT(I1654,""-"")"),75201.0)</f>
        <v>75201</v>
      </c>
    </row>
    <row r="1655">
      <c r="A1655" s="5" t="s">
        <v>1542</v>
      </c>
      <c r="B1655" s="6">
        <v>100.0</v>
      </c>
      <c r="C1655" s="7" t="s">
        <v>375</v>
      </c>
      <c r="E1655" s="8" t="str">
        <f>IFERROR(__xludf.DUMMYFUNCTION("SPLIT(A1655,""TX"")"),"Havlick, Mita
5331 Monticello Ave.
Dallas, ")</f>
        <v>Havlick, Mita
5331 Monticello Ave.
Dallas, </v>
      </c>
      <c r="F1655" s="8">
        <f>IFERROR(__xludf.DUMMYFUNCTION("""COMPUTED_VALUE"""),75206.0)</f>
        <v>75206</v>
      </c>
      <c r="I1655" s="8">
        <f t="shared" si="19"/>
        <v>75206</v>
      </c>
      <c r="J1655" s="9">
        <f>IFERROR(__xludf.DUMMYFUNCTION("SPLIT(I1655,""-"")"),75206.0)</f>
        <v>75206</v>
      </c>
    </row>
    <row r="1656">
      <c r="A1656" s="5" t="s">
        <v>382</v>
      </c>
      <c r="B1656" s="6">
        <v>100.0</v>
      </c>
      <c r="C1656" s="7" t="s">
        <v>375</v>
      </c>
      <c r="E1656" s="8" t="str">
        <f>IFERROR(__xludf.DUMMYFUNCTION("SPLIT(A1656,""TX"")"),"Friedman, Brad
1505 Seegar St
Dallas, ")</f>
        <v>Friedman, Brad
1505 Seegar St
Dallas, </v>
      </c>
      <c r="F1656" s="8">
        <f>IFERROR(__xludf.DUMMYFUNCTION("""COMPUTED_VALUE"""),75215.0)</f>
        <v>75215</v>
      </c>
      <c r="I1656" s="8">
        <f t="shared" si="19"/>
        <v>75215</v>
      </c>
      <c r="J1656" s="9">
        <f>IFERROR(__xludf.DUMMYFUNCTION("SPLIT(I1656,""-"")"),75215.0)</f>
        <v>75215</v>
      </c>
    </row>
    <row r="1657">
      <c r="A1657" s="5" t="s">
        <v>1543</v>
      </c>
      <c r="B1657" s="6">
        <v>1000.0</v>
      </c>
      <c r="C1657" s="7" t="s">
        <v>375</v>
      </c>
      <c r="E1657" s="8" t="str">
        <f>IFERROR(__xludf.DUMMYFUNCTION("SPLIT(A1657,""TX"")"),"Hunt, Ray
1900 North Akard Street
Dallas, ")</f>
        <v>Hunt, Ray
1900 North Akard Street
Dallas, </v>
      </c>
      <c r="F1657" s="8">
        <f>IFERROR(__xludf.DUMMYFUNCTION("""COMPUTED_VALUE"""),75201.0)</f>
        <v>75201</v>
      </c>
      <c r="I1657" s="8">
        <f t="shared" si="19"/>
        <v>75201</v>
      </c>
      <c r="J1657" s="9">
        <f>IFERROR(__xludf.DUMMYFUNCTION("SPLIT(I1657,""-"")"),75201.0)</f>
        <v>75201</v>
      </c>
    </row>
    <row r="1658">
      <c r="A1658" s="5" t="s">
        <v>1544</v>
      </c>
      <c r="B1658" s="6">
        <v>500.0</v>
      </c>
      <c r="C1658" s="7" t="s">
        <v>375</v>
      </c>
      <c r="E1658" s="8" t="str">
        <f>IFERROR(__xludf.DUMMYFUNCTION("SPLIT(A1658,""TX"")"),"John Bryant Campaign
PO Box 140977
Dallas, ")</f>
        <v>John Bryant Campaign
PO Box 140977
Dallas, </v>
      </c>
      <c r="F1658" s="8">
        <f>IFERROR(__xludf.DUMMYFUNCTION("""COMPUTED_VALUE"""),75214.0)</f>
        <v>75214</v>
      </c>
      <c r="I1658" s="8">
        <f t="shared" si="19"/>
        <v>75214</v>
      </c>
      <c r="J1658" s="9">
        <f>IFERROR(__xludf.DUMMYFUNCTION("SPLIT(I1658,""-"")"),75214.0)</f>
        <v>75214</v>
      </c>
    </row>
    <row r="1659">
      <c r="A1659" s="5" t="s">
        <v>1545</v>
      </c>
      <c r="B1659" s="6">
        <v>500.0</v>
      </c>
      <c r="C1659" s="7" t="s">
        <v>375</v>
      </c>
      <c r="E1659" s="8" t="str">
        <f>IFERROR(__xludf.DUMMYFUNCTION("SPLIT(A1659,""TX"")"),"Reardon, John
6405 E Grand
Dallas, ")</f>
        <v>Reardon, John
6405 E Grand
Dallas, </v>
      </c>
      <c r="F1659" s="8">
        <f>IFERROR(__xludf.DUMMYFUNCTION("""COMPUTED_VALUE"""),75223.0)</f>
        <v>75223</v>
      </c>
      <c r="I1659" s="8">
        <f t="shared" si="19"/>
        <v>75223</v>
      </c>
      <c r="J1659" s="9">
        <f>IFERROR(__xludf.DUMMYFUNCTION("SPLIT(I1659,""-"")"),75223.0)</f>
        <v>75223</v>
      </c>
    </row>
    <row r="1660">
      <c r="A1660" s="5" t="s">
        <v>1546</v>
      </c>
      <c r="B1660" s="6">
        <v>150.0</v>
      </c>
      <c r="C1660" s="7" t="s">
        <v>375</v>
      </c>
      <c r="E1660" s="8" t="str">
        <f>IFERROR(__xludf.DUMMYFUNCTION("SPLIT(A1660,""TX"")"),"Linville, Stephen
5023 Maple Springs Blvd.
Dallas, ")</f>
        <v>Linville, Stephen
5023 Maple Springs Blvd.
Dallas, </v>
      </c>
      <c r="F1660" s="8">
        <f>IFERROR(__xludf.DUMMYFUNCTION("""COMPUTED_VALUE"""),75235.0)</f>
        <v>75235</v>
      </c>
      <c r="I1660" s="8">
        <f t="shared" si="19"/>
        <v>75235</v>
      </c>
      <c r="J1660" s="9">
        <f>IFERROR(__xludf.DUMMYFUNCTION("SPLIT(I1660,""-"")"),75235.0)</f>
        <v>75235</v>
      </c>
    </row>
    <row r="1661">
      <c r="A1661" s="5" t="s">
        <v>1547</v>
      </c>
      <c r="B1661" s="6">
        <v>500.0</v>
      </c>
      <c r="C1661" s="7" t="s">
        <v>375</v>
      </c>
      <c r="E1661" s="8" t="str">
        <f>IFERROR(__xludf.DUMMYFUNCTION("SPLIT(A1661,""TX"")"),"Ward, Erik
3825 Mcfarlin Blvd
Dallas, ")</f>
        <v>Ward, Erik
3825 Mcfarlin Blvd
Dallas, </v>
      </c>
      <c r="F1661" s="8">
        <f>IFERROR(__xludf.DUMMYFUNCTION("""COMPUTED_VALUE"""),75205.0)</f>
        <v>75205</v>
      </c>
      <c r="I1661" s="8">
        <f t="shared" si="19"/>
        <v>75205</v>
      </c>
      <c r="J1661" s="9">
        <f>IFERROR(__xludf.DUMMYFUNCTION("SPLIT(I1661,""-"")"),75205.0)</f>
        <v>75205</v>
      </c>
    </row>
    <row r="1662">
      <c r="A1662" s="5" t="s">
        <v>1548</v>
      </c>
      <c r="B1662" s="6">
        <v>100.0</v>
      </c>
      <c r="C1662" s="7" t="s">
        <v>375</v>
      </c>
      <c r="E1662" s="8" t="str">
        <f>IFERROR(__xludf.DUMMYFUNCTION("SPLIT(A1662,""TX"")"),"Gray, Gary
PO Box 140977
Dallas, ")</f>
        <v>Gray, Gary
PO Box 140977
Dallas, </v>
      </c>
      <c r="F1662" s="8">
        <f>IFERROR(__xludf.DUMMYFUNCTION("""COMPUTED_VALUE"""),75214.0)</f>
        <v>75214</v>
      </c>
      <c r="I1662" s="8">
        <f t="shared" si="19"/>
        <v>75214</v>
      </c>
      <c r="J1662" s="9">
        <f>IFERROR(__xludf.DUMMYFUNCTION("SPLIT(I1662,""-"")"),75214.0)</f>
        <v>75214</v>
      </c>
    </row>
    <row r="1663">
      <c r="A1663" s="5" t="s">
        <v>1549</v>
      </c>
      <c r="B1663" s="6">
        <v>1000.0</v>
      </c>
      <c r="C1663" s="7" t="s">
        <v>375</v>
      </c>
      <c r="E1663" s="8" t="str">
        <f>IFERROR(__xludf.DUMMYFUNCTION("SPLIT(A1663,""TX"")"),"Hetzel, Jonathan
7002 Vivian Ave
Dallas, ")</f>
        <v>Hetzel, Jonathan
7002 Vivian Ave
Dallas, </v>
      </c>
      <c r="F1663" s="8">
        <f>IFERROR(__xludf.DUMMYFUNCTION("""COMPUTED_VALUE"""),75223.0)</f>
        <v>75223</v>
      </c>
      <c r="I1663" s="8">
        <f t="shared" si="19"/>
        <v>75223</v>
      </c>
      <c r="J1663" s="9">
        <f>IFERROR(__xludf.DUMMYFUNCTION("SPLIT(I1663,""-"")"),75223.0)</f>
        <v>75223</v>
      </c>
    </row>
    <row r="1664">
      <c r="A1664" s="5" t="s">
        <v>1550</v>
      </c>
      <c r="B1664" s="6">
        <v>500.0</v>
      </c>
      <c r="C1664" s="7" t="s">
        <v>375</v>
      </c>
      <c r="E1664" s="8" t="str">
        <f>IFERROR(__xludf.DUMMYFUNCTION("SPLIT(A1664,""TX"")"),"Nedler, Donald
8703 Allen Brook Ct
Dallas, ")</f>
        <v>Nedler, Donald
8703 Allen Brook Ct
Dallas, </v>
      </c>
      <c r="F1664" s="8">
        <f>IFERROR(__xludf.DUMMYFUNCTION("""COMPUTED_VALUE"""),75243.0)</f>
        <v>75243</v>
      </c>
      <c r="I1664" s="8">
        <f t="shared" si="19"/>
        <v>75243</v>
      </c>
      <c r="J1664" s="9">
        <f>IFERROR(__xludf.DUMMYFUNCTION("SPLIT(I1664,""-"")"),75243.0)</f>
        <v>75243</v>
      </c>
    </row>
    <row r="1665">
      <c r="A1665" s="5" t="s">
        <v>1551</v>
      </c>
      <c r="B1665" s="6">
        <v>1000.0</v>
      </c>
      <c r="C1665" s="7" t="s">
        <v>375</v>
      </c>
      <c r="E1665" s="8" t="str">
        <f>IFERROR(__xludf.DUMMYFUNCTION("SPLIT(A1665,""TX"")"),"Dominguez, Dorene
8850 Vista De Lago Ct
Granite Bay, CA 95746")</f>
        <v>Dominguez, Dorene
8850 Vista De Lago Ct
Granite Bay, CA 95746</v>
      </c>
      <c r="I1665" s="8" t="str">
        <f t="shared" si="19"/>
        <v/>
      </c>
      <c r="J1665" s="9" t="str">
        <f>IFERROR(__xludf.DUMMYFUNCTION("SPLIT(I1665,""-"")"),"#VALUE!")</f>
        <v>#VALUE!</v>
      </c>
    </row>
    <row r="1666">
      <c r="A1666" s="5" t="s">
        <v>1127</v>
      </c>
      <c r="B1666" s="6">
        <v>500.0</v>
      </c>
      <c r="C1666" s="7" t="s">
        <v>375</v>
      </c>
      <c r="E1666" s="8" t="str">
        <f>IFERROR(__xludf.DUMMYFUNCTION("SPLIT(A1666,""TX"")"),"Medrano, Pauline
2346 Douglas Ave
Dallas, ")</f>
        <v>Medrano, Pauline
2346 Douglas Ave
Dallas, </v>
      </c>
      <c r="F1666" s="8">
        <f>IFERROR(__xludf.DUMMYFUNCTION("""COMPUTED_VALUE"""),75219.0)</f>
        <v>75219</v>
      </c>
      <c r="I1666" s="8">
        <f t="shared" si="19"/>
        <v>75219</v>
      </c>
      <c r="J1666" s="9">
        <f>IFERROR(__xludf.DUMMYFUNCTION("SPLIT(I1666,""-"")"),75219.0)</f>
        <v>75219</v>
      </c>
    </row>
    <row r="1667">
      <c r="A1667" s="5" t="s">
        <v>1552</v>
      </c>
      <c r="B1667" s="6">
        <v>25.0</v>
      </c>
      <c r="C1667" s="7" t="s">
        <v>375</v>
      </c>
      <c r="E1667" s="8" t="str">
        <f>IFERROR(__xludf.DUMMYFUNCTION("SPLIT(A1667,""TX"")"),"Eharhardt, Harryette
3525 ")</f>
        <v>Eharhardt, Harryette
3525 </v>
      </c>
      <c r="F1667" s="8" t="str">
        <f>IFERROR(__xludf.DUMMYFUNCTION("""COMPUTED_VALUE"""),"urtle Creek Blvd
Dallas, ")</f>
        <v>urtle Creek Blvd
Dallas, </v>
      </c>
      <c r="G1667" s="8">
        <f>IFERROR(__xludf.DUMMYFUNCTION("""COMPUTED_VALUE"""),75219.0)</f>
        <v>75219</v>
      </c>
      <c r="I1667" s="8">
        <f t="shared" si="19"/>
        <v>75219</v>
      </c>
      <c r="J1667" s="9">
        <f>IFERROR(__xludf.DUMMYFUNCTION("SPLIT(I1667,""-"")"),75219.0)</f>
        <v>75219</v>
      </c>
    </row>
    <row r="1668">
      <c r="A1668" s="5" t="s">
        <v>1553</v>
      </c>
      <c r="B1668" s="6">
        <v>100.0</v>
      </c>
      <c r="C1668" s="7" t="s">
        <v>375</v>
      </c>
      <c r="E1668" s="8" t="str">
        <f>IFERROR(__xludf.DUMMYFUNCTION("SPLIT(A1668,""TX"")"),"Solares, George
5203 Junius St
Dallas, ")</f>
        <v>Solares, George
5203 Junius St
Dallas, </v>
      </c>
      <c r="F1668" s="8">
        <f>IFERROR(__xludf.DUMMYFUNCTION("""COMPUTED_VALUE"""),75214.0)</f>
        <v>75214</v>
      </c>
      <c r="I1668" s="8">
        <f t="shared" si="19"/>
        <v>75214</v>
      </c>
      <c r="J1668" s="9">
        <f>IFERROR(__xludf.DUMMYFUNCTION("SPLIT(I1668,""-"")"),75214.0)</f>
        <v>75214</v>
      </c>
    </row>
    <row r="1669">
      <c r="A1669" s="5" t="s">
        <v>166</v>
      </c>
      <c r="B1669" s="6">
        <v>500.0</v>
      </c>
      <c r="C1669" s="7" t="s">
        <v>375</v>
      </c>
      <c r="E1669" s="8" t="str">
        <f>IFERROR(__xludf.DUMMYFUNCTION("SPLIT(A1669,""TX"")"),"Lopez, Bridget
4326 Meadowdale Lane
Dallas, ")</f>
        <v>Lopez, Bridget
4326 Meadowdale Lane
Dallas, </v>
      </c>
      <c r="F1669" s="8">
        <f>IFERROR(__xludf.DUMMYFUNCTION("""COMPUTED_VALUE"""),75229.0)</f>
        <v>75229</v>
      </c>
      <c r="I1669" s="8">
        <f t="shared" si="19"/>
        <v>75229</v>
      </c>
      <c r="J1669" s="9">
        <f>IFERROR(__xludf.DUMMYFUNCTION("SPLIT(I1669,""-"")"),75229.0)</f>
        <v>75229</v>
      </c>
    </row>
    <row r="1670">
      <c r="A1670" s="5" t="s">
        <v>1462</v>
      </c>
      <c r="B1670" s="6">
        <v>1000.0</v>
      </c>
      <c r="C1670" s="7" t="s">
        <v>375</v>
      </c>
      <c r="E1670" s="8" t="str">
        <f>IFERROR(__xludf.DUMMYFUNCTION("SPLIT(A1670,""TX"")"),"Addy, William
3805 Normandy Ave.
Dallas, ")</f>
        <v>Addy, William
3805 Normandy Ave.
Dallas, </v>
      </c>
      <c r="F1670" s="8">
        <f>IFERROR(__xludf.DUMMYFUNCTION("""COMPUTED_VALUE"""),75205.0)</f>
        <v>75205</v>
      </c>
      <c r="I1670" s="8">
        <f t="shared" si="19"/>
        <v>75205</v>
      </c>
      <c r="J1670" s="9">
        <f>IFERROR(__xludf.DUMMYFUNCTION("SPLIT(I1670,""-"")"),75205.0)</f>
        <v>75205</v>
      </c>
    </row>
    <row r="1671">
      <c r="A1671" s="5" t="s">
        <v>1461</v>
      </c>
      <c r="B1671" s="6">
        <v>1000.0</v>
      </c>
      <c r="C1671" s="7" t="s">
        <v>375</v>
      </c>
      <c r="E1671" s="8" t="str">
        <f>IFERROR(__xludf.DUMMYFUNCTION("SPLIT(A1671,""TX"")"),"Addy, Lydia
3805 Normandy Ave.
Dallas, ")</f>
        <v>Addy, Lydia
3805 Normandy Ave.
Dallas, </v>
      </c>
      <c r="F1671" s="8">
        <f>IFERROR(__xludf.DUMMYFUNCTION("""COMPUTED_VALUE"""),75205.0)</f>
        <v>75205</v>
      </c>
      <c r="I1671" s="8">
        <f t="shared" si="19"/>
        <v>75205</v>
      </c>
      <c r="J1671" s="9">
        <f>IFERROR(__xludf.DUMMYFUNCTION("SPLIT(I1671,""-"")"),75205.0)</f>
        <v>75205</v>
      </c>
    </row>
    <row r="1672">
      <c r="A1672" s="5" t="s">
        <v>1554</v>
      </c>
      <c r="B1672" s="6">
        <v>1000.0</v>
      </c>
      <c r="C1672" s="7" t="s">
        <v>375</v>
      </c>
      <c r="E1672" s="8" t="str">
        <f>IFERROR(__xludf.DUMMYFUNCTION("SPLIT(A1672,""TX"")"),"Linebarger Noggin Blair &amp; Sampson, LLP
PO Box 17428
Austin, ")</f>
        <v>Linebarger Noggin Blair &amp; Sampson, LLP
PO Box 17428
Austin, </v>
      </c>
      <c r="F1672" s="8">
        <f>IFERROR(__xludf.DUMMYFUNCTION("""COMPUTED_VALUE"""),78760.0)</f>
        <v>78760</v>
      </c>
      <c r="I1672" s="8">
        <f t="shared" si="19"/>
        <v>78760</v>
      </c>
      <c r="J1672" s="9">
        <f>IFERROR(__xludf.DUMMYFUNCTION("SPLIT(I1672,""-"")"),78760.0)</f>
        <v>78760</v>
      </c>
    </row>
    <row r="1673">
      <c r="A1673" s="5" t="s">
        <v>1555</v>
      </c>
      <c r="B1673" s="6">
        <v>250.0</v>
      </c>
      <c r="C1673" s="7" t="s">
        <v>375</v>
      </c>
      <c r="E1673" s="8" t="str">
        <f>IFERROR(__xludf.DUMMYFUNCTION("SPLIT(A1673,""TX"")"),"Garza, Jorge
2231 Hondo Ave
Dallas, ")</f>
        <v>Garza, Jorge
2231 Hondo Ave
Dallas, </v>
      </c>
      <c r="F1673" s="8">
        <f>IFERROR(__xludf.DUMMYFUNCTION("""COMPUTED_VALUE"""),75219.0)</f>
        <v>75219</v>
      </c>
      <c r="I1673" s="8">
        <f t="shared" si="19"/>
        <v>75219</v>
      </c>
      <c r="J1673" s="9">
        <f>IFERROR(__xludf.DUMMYFUNCTION("SPLIT(I1673,""-"")"),75219.0)</f>
        <v>75219</v>
      </c>
    </row>
    <row r="1674">
      <c r="A1674" s="5" t="s">
        <v>1556</v>
      </c>
      <c r="B1674" s="6">
        <v>1000.0</v>
      </c>
      <c r="C1674" s="7" t="s">
        <v>375</v>
      </c>
      <c r="E1674" s="8" t="str">
        <f>IFERROR(__xludf.DUMMYFUNCTION("SPLIT(A1674,""TX"")"),"Vasquez, Mary
1709 East Ave
Katy, ")</f>
        <v>Vasquez, Mary
1709 East Ave
Katy, </v>
      </c>
      <c r="F1674" s="8">
        <f>IFERROR(__xludf.DUMMYFUNCTION("""COMPUTED_VALUE"""),77493.0)</f>
        <v>77493</v>
      </c>
      <c r="I1674" s="8">
        <f t="shared" si="19"/>
        <v>77493</v>
      </c>
      <c r="J1674" s="9">
        <f>IFERROR(__xludf.DUMMYFUNCTION("SPLIT(I1674,""-"")"),77493.0)</f>
        <v>77493</v>
      </c>
    </row>
    <row r="1675">
      <c r="A1675" s="5" t="s">
        <v>1557</v>
      </c>
      <c r="B1675" s="6">
        <v>1000.0</v>
      </c>
      <c r="C1675" s="7" t="s">
        <v>375</v>
      </c>
      <c r="E1675" s="8" t="str">
        <f>IFERROR(__xludf.DUMMYFUNCTION("SPLIT(A1675,""TX"")"),"Aranza, Anthony
1507 Stonehenge Bend Dr
Houston, ")</f>
        <v>Aranza, Anthony
1507 Stonehenge Bend Dr
Houston, </v>
      </c>
      <c r="F1675" s="8">
        <f>IFERROR(__xludf.DUMMYFUNCTION("""COMPUTED_VALUE"""),77072.0)</f>
        <v>77072</v>
      </c>
      <c r="I1675" s="8">
        <f t="shared" si="19"/>
        <v>77072</v>
      </c>
      <c r="J1675" s="9">
        <f>IFERROR(__xludf.DUMMYFUNCTION("SPLIT(I1675,""-"")"),77072.0)</f>
        <v>77072</v>
      </c>
    </row>
    <row r="1676">
      <c r="A1676" s="5" t="s">
        <v>1558</v>
      </c>
      <c r="B1676" s="6">
        <v>1000.0</v>
      </c>
      <c r="C1676" s="7" t="s">
        <v>375</v>
      </c>
      <c r="E1676" s="8" t="str">
        <f>IFERROR(__xludf.DUMMYFUNCTION("SPLIT(A1676,""TX"")"),"Aranza, Humberto
3105 SanJacinto St
Dallas, ")</f>
        <v>Aranza, Humberto
3105 SanJacinto St
Dallas, </v>
      </c>
      <c r="F1676" s="8">
        <f>IFERROR(__xludf.DUMMYFUNCTION("""COMPUTED_VALUE"""),75204.0)</f>
        <v>75204</v>
      </c>
      <c r="I1676" s="8">
        <f t="shared" si="19"/>
        <v>75204</v>
      </c>
      <c r="J1676" s="9">
        <f>IFERROR(__xludf.DUMMYFUNCTION("SPLIT(I1676,""-"")"),75204.0)</f>
        <v>75204</v>
      </c>
    </row>
    <row r="1677">
      <c r="A1677" s="5" t="s">
        <v>1559</v>
      </c>
      <c r="B1677" s="6">
        <v>1000.0</v>
      </c>
      <c r="C1677" s="7" t="s">
        <v>375</v>
      </c>
      <c r="E1677" s="8" t="str">
        <f>IFERROR(__xludf.DUMMYFUNCTION("SPLIT(A1677,""TX"")"),"Montfort, Jesus
1610 hyland Greens Dr
Grapevine, ")</f>
        <v>Montfort, Jesus
1610 hyland Greens Dr
Grapevine, </v>
      </c>
      <c r="F1677" s="8">
        <f>IFERROR(__xludf.DUMMYFUNCTION("""COMPUTED_VALUE"""),76051.0)</f>
        <v>76051</v>
      </c>
      <c r="I1677" s="8">
        <f t="shared" si="19"/>
        <v>76051</v>
      </c>
      <c r="J1677" s="9">
        <f>IFERROR(__xludf.DUMMYFUNCTION("SPLIT(I1677,""-"")"),76051.0)</f>
        <v>76051</v>
      </c>
    </row>
    <row r="1678">
      <c r="A1678" s="5" t="s">
        <v>1560</v>
      </c>
      <c r="B1678" s="6">
        <v>1000.0</v>
      </c>
      <c r="C1678" s="7" t="s">
        <v>375</v>
      </c>
      <c r="E1678" s="8" t="str">
        <f>IFERROR(__xludf.DUMMYFUNCTION("SPLIT(A1678,""TX"")"),"Montfort, Jane
1610 Hyland Greens Dr
Grapevine, ")</f>
        <v>Montfort, Jane
1610 Hyland Greens Dr
Grapevine, </v>
      </c>
      <c r="F1678" s="8">
        <f>IFERROR(__xludf.DUMMYFUNCTION("""COMPUTED_VALUE"""),76051.0)</f>
        <v>76051</v>
      </c>
      <c r="I1678" s="8">
        <f t="shared" si="19"/>
        <v>76051</v>
      </c>
      <c r="J1678" s="9">
        <f>IFERROR(__xludf.DUMMYFUNCTION("SPLIT(I1678,""-"")"),76051.0)</f>
        <v>76051</v>
      </c>
    </row>
    <row r="1679">
      <c r="A1679" s="5" t="s">
        <v>1561</v>
      </c>
      <c r="B1679" s="6">
        <v>1000.0</v>
      </c>
      <c r="C1679" s="7" t="s">
        <v>375</v>
      </c>
      <c r="E1679" s="8" t="str">
        <f>IFERROR(__xludf.DUMMYFUNCTION("SPLIT(A1679,""TX"")"),"Crow, Harlen
3819 Maple Ave
Dallas, ")</f>
        <v>Crow, Harlen
3819 Maple Ave
Dallas, </v>
      </c>
      <c r="F1679" s="8">
        <f>IFERROR(__xludf.DUMMYFUNCTION("""COMPUTED_VALUE"""),75219.0)</f>
        <v>75219</v>
      </c>
      <c r="I1679" s="8">
        <f t="shared" si="19"/>
        <v>75219</v>
      </c>
      <c r="J1679" s="9">
        <f>IFERROR(__xludf.DUMMYFUNCTION("SPLIT(I1679,""-"")"),75219.0)</f>
        <v>75219</v>
      </c>
    </row>
    <row r="1680">
      <c r="A1680" s="5" t="s">
        <v>1562</v>
      </c>
      <c r="B1680" s="6">
        <v>1000.0</v>
      </c>
      <c r="C1680" s="7" t="s">
        <v>375</v>
      </c>
      <c r="E1680" s="8" t="str">
        <f>IFERROR(__xludf.DUMMYFUNCTION("SPLIT(A1680,""TX"")"),"Valach, Kenneth
5 Lazee ")</f>
        <v>Valach, Kenneth
5 Lazee </v>
      </c>
      <c r="F1680" s="8" t="str">
        <f>IFERROR(__xludf.DUMMYFUNCTION("""COMPUTED_VALUE"""),"rl
Houston, ")</f>
        <v>rl
Houston, </v>
      </c>
      <c r="G1680" s="8">
        <f>IFERROR(__xludf.DUMMYFUNCTION("""COMPUTED_VALUE"""),77024.0)</f>
        <v>77024</v>
      </c>
      <c r="I1680" s="8">
        <f t="shared" si="19"/>
        <v>77024</v>
      </c>
      <c r="J1680" s="9">
        <f>IFERROR(__xludf.DUMMYFUNCTION("SPLIT(I1680,""-"")"),77024.0)</f>
        <v>77024</v>
      </c>
    </row>
    <row r="1681">
      <c r="A1681" s="5" t="s">
        <v>1563</v>
      </c>
      <c r="B1681" s="6">
        <v>1000.0</v>
      </c>
      <c r="C1681" s="7" t="s">
        <v>375</v>
      </c>
      <c r="E1681" s="8" t="str">
        <f>IFERROR(__xludf.DUMMYFUNCTION("SPLIT(A1681,""TX"")"),"Crow, Katherine
4700 Preston Rd
Dallas, ")</f>
        <v>Crow, Katherine
4700 Preston Rd
Dallas, </v>
      </c>
      <c r="F1681" s="8">
        <f>IFERROR(__xludf.DUMMYFUNCTION("""COMPUTED_VALUE"""),75205.0)</f>
        <v>75205</v>
      </c>
      <c r="I1681" s="8">
        <f t="shared" si="19"/>
        <v>75205</v>
      </c>
      <c r="J1681" s="9">
        <f>IFERROR(__xludf.DUMMYFUNCTION("SPLIT(I1681,""-"")"),75205.0)</f>
        <v>75205</v>
      </c>
    </row>
    <row r="1682">
      <c r="A1682" s="5" t="s">
        <v>1564</v>
      </c>
      <c r="B1682" s="6">
        <v>1000.0</v>
      </c>
      <c r="C1682" s="7" t="s">
        <v>375</v>
      </c>
      <c r="E1682" s="8" t="str">
        <f>IFERROR(__xludf.DUMMYFUNCTION("SPLIT(A1682,""TX"")"),"Crow, ")</f>
        <v>Crow, </v>
      </c>
      <c r="F1682" s="8" t="str">
        <f>IFERROR(__xludf.DUMMYFUNCTION("""COMPUTED_VALUE"""),"rammell
4000 Rock Creek Dr
Dallas, ")</f>
        <v>rammell
4000 Rock Creek Dr
Dallas, </v>
      </c>
      <c r="G1682" s="8">
        <f>IFERROR(__xludf.DUMMYFUNCTION("""COMPUTED_VALUE"""),75204.0)</f>
        <v>75204</v>
      </c>
      <c r="I1682" s="8">
        <f t="shared" si="19"/>
        <v>75204</v>
      </c>
      <c r="J1682" s="9">
        <f>IFERROR(__xludf.DUMMYFUNCTION("SPLIT(I1682,""-"")"),75204.0)</f>
        <v>75204</v>
      </c>
    </row>
    <row r="1683">
      <c r="A1683" s="5" t="s">
        <v>1565</v>
      </c>
      <c r="B1683" s="6">
        <v>250.0</v>
      </c>
      <c r="C1683" s="7" t="s">
        <v>375</v>
      </c>
      <c r="E1683" s="8" t="str">
        <f>IFERROR(__xludf.DUMMYFUNCTION("SPLIT(A1683,""TX"")"),"Hampton, Joanna
5408 Swiss Ave
Dallas, ")</f>
        <v>Hampton, Joanna
5408 Swiss Ave
Dallas, </v>
      </c>
      <c r="F1683" s="8">
        <f>IFERROR(__xludf.DUMMYFUNCTION("""COMPUTED_VALUE"""),75214.0)</f>
        <v>75214</v>
      </c>
      <c r="I1683" s="8">
        <f t="shared" si="19"/>
        <v>75214</v>
      </c>
      <c r="J1683" s="9">
        <f>IFERROR(__xludf.DUMMYFUNCTION("SPLIT(I1683,""-"")"),75214.0)</f>
        <v>75214</v>
      </c>
    </row>
    <row r="1684">
      <c r="A1684" s="5" t="s">
        <v>1566</v>
      </c>
      <c r="B1684" s="6">
        <v>1000.0</v>
      </c>
      <c r="C1684" s="7" t="s">
        <v>375</v>
      </c>
      <c r="E1684" s="8" t="str">
        <f>IFERROR(__xludf.DUMMYFUNCTION("SPLIT(A1684,""TX"")"),"Southwest Airlines Co. Freedom Fund
PO Box 36611
Dallas, ")</f>
        <v>Southwest Airlines Co. Freedom Fund
PO Box 36611
Dallas, </v>
      </c>
      <c r="F1684" s="8">
        <f>IFERROR(__xludf.DUMMYFUNCTION("""COMPUTED_VALUE"""),75235.0)</f>
        <v>75235</v>
      </c>
      <c r="I1684" s="8">
        <f t="shared" si="19"/>
        <v>75235</v>
      </c>
      <c r="J1684" s="9">
        <f>IFERROR(__xludf.DUMMYFUNCTION("SPLIT(I1684,""-"")"),75235.0)</f>
        <v>75235</v>
      </c>
    </row>
    <row r="1685">
      <c r="A1685" s="5" t="s">
        <v>1567</v>
      </c>
      <c r="B1685" s="6">
        <v>2000.0</v>
      </c>
      <c r="C1685" s="7" t="s">
        <v>1568</v>
      </c>
      <c r="E1685" s="8" t="str">
        <f>IFERROR(__xludf.DUMMYFUNCTION("SPLIT(A1685,""TX"")"),"Urban, Mr Mrs Carlos
6834 Victoria
Dallas, ")</f>
        <v>Urban, Mr Mrs Carlos
6834 Victoria
Dallas, </v>
      </c>
      <c r="F1685" s="8">
        <f>IFERROR(__xludf.DUMMYFUNCTION("""COMPUTED_VALUE"""),75209.0)</f>
        <v>75209</v>
      </c>
      <c r="I1685" s="8">
        <f t="shared" si="19"/>
        <v>75209</v>
      </c>
      <c r="J1685" s="9">
        <f>IFERROR(__xludf.DUMMYFUNCTION("SPLIT(I1685,""-"")"),75209.0)</f>
        <v>75209</v>
      </c>
    </row>
    <row r="1686">
      <c r="A1686" s="10" t="s">
        <v>1569</v>
      </c>
      <c r="B1686" s="11">
        <v>1000.0</v>
      </c>
      <c r="C1686" s="12" t="s">
        <v>1568</v>
      </c>
      <c r="E1686" s="8" t="str">
        <f>IFERROR(__xludf.DUMMYFUNCTION("SPLIT(A1686,""TX"")"),"Morales, Mayra
6834 Victoria
Dallas, ")</f>
        <v>Morales, Mayra
6834 Victoria
Dallas, </v>
      </c>
      <c r="F1686" s="8">
        <f>IFERROR(__xludf.DUMMYFUNCTION("""COMPUTED_VALUE"""),75209.0)</f>
        <v>75209</v>
      </c>
      <c r="I1686" s="8">
        <f t="shared" si="19"/>
        <v>75209</v>
      </c>
      <c r="J1686" s="9">
        <f>IFERROR(__xludf.DUMMYFUNCTION("SPLIT(I1686,""-"")"),75209.0)</f>
        <v>75209</v>
      </c>
    </row>
    <row r="1687">
      <c r="A1687" s="5" t="s">
        <v>1570</v>
      </c>
      <c r="B1687" s="6">
        <v>2000.0</v>
      </c>
      <c r="C1687" s="7" t="s">
        <v>1568</v>
      </c>
      <c r="E1687" s="8" t="str">
        <f>IFERROR(__xludf.DUMMYFUNCTION("SPLIT(A1687,""TX"")"),"Carrillo, Mr Mrs Ricardo
2615 Buckner Blvd
Dallas, ")</f>
        <v>Carrillo, Mr Mrs Ricardo
2615 Buckner Blvd
Dallas, </v>
      </c>
      <c r="F1687" s="8">
        <f>IFERROR(__xludf.DUMMYFUNCTION("""COMPUTED_VALUE"""),75227.0)</f>
        <v>75227</v>
      </c>
      <c r="I1687" s="8">
        <f t="shared" si="19"/>
        <v>75227</v>
      </c>
      <c r="J1687" s="9">
        <f>IFERROR(__xludf.DUMMYFUNCTION("SPLIT(I1687,""-"")"),75227.0)</f>
        <v>75227</v>
      </c>
    </row>
    <row r="1688">
      <c r="A1688" s="10" t="s">
        <v>1571</v>
      </c>
      <c r="B1688" s="11">
        <v>1000.0</v>
      </c>
      <c r="C1688" s="12" t="s">
        <v>353</v>
      </c>
      <c r="E1688" s="8" t="str">
        <f>IFERROR(__xludf.DUMMYFUNCTION("SPLIT(A1688,""TX"")"),"Coats and Rose
9 Greenway Plaza, Suite 1000
Dallas, ")</f>
        <v>Coats and Rose
9 Greenway Plaza, Suite 1000
Dallas, </v>
      </c>
      <c r="F1688" s="8">
        <f>IFERROR(__xludf.DUMMYFUNCTION("""COMPUTED_VALUE"""),77046.0)</f>
        <v>77046</v>
      </c>
      <c r="I1688" s="8">
        <f t="shared" si="19"/>
        <v>77046</v>
      </c>
      <c r="J1688" s="9">
        <f>IFERROR(__xludf.DUMMYFUNCTION("SPLIT(I1688,""-"")"),77046.0)</f>
        <v>77046</v>
      </c>
    </row>
    <row r="1689">
      <c r="A1689" s="5" t="s">
        <v>1572</v>
      </c>
      <c r="B1689" s="6">
        <v>400.0</v>
      </c>
      <c r="C1689" s="7" t="s">
        <v>1568</v>
      </c>
      <c r="E1689" s="8" t="str">
        <f>IFERROR(__xludf.DUMMYFUNCTION("SPLIT(A1689,""TX"")"),"Gutierrez, Victor B
13935 N Central Expressway
Dallas, ")</f>
        <v>Gutierrez, Victor B
13935 N Central Expressway
Dallas, </v>
      </c>
      <c r="F1689" s="8">
        <f>IFERROR(__xludf.DUMMYFUNCTION("""COMPUTED_VALUE"""),75243.0)</f>
        <v>75243</v>
      </c>
      <c r="I1689" s="8">
        <f t="shared" si="19"/>
        <v>75243</v>
      </c>
      <c r="J1689" s="9">
        <f>IFERROR(__xludf.DUMMYFUNCTION("SPLIT(I1689,""-"")"),75243.0)</f>
        <v>75243</v>
      </c>
    </row>
    <row r="1690">
      <c r="A1690" s="10" t="s">
        <v>1573</v>
      </c>
      <c r="B1690" s="11">
        <v>1000.0</v>
      </c>
      <c r="C1690" s="12" t="s">
        <v>353</v>
      </c>
      <c r="E1690" s="8" t="str">
        <f>IFERROR(__xludf.DUMMYFUNCTION("SPLIT(A1690,""TX"")"),"King, Kenneth
1447 Hwy 75 S.
Dallas, ")</f>
        <v>King, Kenneth
1447 Hwy 75 S.
Dallas, </v>
      </c>
      <c r="F1690" s="8">
        <f>IFERROR(__xludf.DUMMYFUNCTION("""COMPUTED_VALUE"""),75831.0)</f>
        <v>75831</v>
      </c>
      <c r="I1690" s="8">
        <f t="shared" si="19"/>
        <v>75831</v>
      </c>
      <c r="J1690" s="9">
        <f>IFERROR(__xludf.DUMMYFUNCTION("SPLIT(I1690,""-"")"),75831.0)</f>
        <v>75831</v>
      </c>
    </row>
    <row r="1691">
      <c r="A1691" s="5" t="s">
        <v>1574</v>
      </c>
      <c r="B1691" s="6">
        <v>2000.0</v>
      </c>
      <c r="C1691" s="7" t="s">
        <v>1568</v>
      </c>
      <c r="E1691" s="8" t="str">
        <f>IFERROR(__xludf.DUMMYFUNCTION("SPLIT(A1691,""TX"")"),"Zavala, Mr Mrs Jose
9978 Bowman
Dallas, ")</f>
        <v>Zavala, Mr Mrs Jose
9978 Bowman
Dallas, </v>
      </c>
      <c r="F1691" s="8">
        <f>IFERROR(__xludf.DUMMYFUNCTION("""COMPUTED_VALUE"""),75220.0)</f>
        <v>75220</v>
      </c>
      <c r="I1691" s="8">
        <f t="shared" si="19"/>
        <v>75220</v>
      </c>
      <c r="J1691" s="9">
        <f>IFERROR(__xludf.DUMMYFUNCTION("SPLIT(I1691,""-"")"),75220.0)</f>
        <v>75220</v>
      </c>
    </row>
    <row r="1692">
      <c r="A1692" s="10" t="s">
        <v>1575</v>
      </c>
      <c r="B1692" s="11">
        <v>2000.0</v>
      </c>
      <c r="C1692" s="12" t="s">
        <v>241</v>
      </c>
      <c r="E1692" s="8" t="str">
        <f>IFERROR(__xludf.DUMMYFUNCTION("SPLIT(A1692,""TX"")"),"Flanagan, Lashonda
646 Grovemeadow
Arlington, ")</f>
        <v>Flanagan, Lashonda
646 Grovemeadow
Arlington, </v>
      </c>
      <c r="F1692" s="8">
        <f>IFERROR(__xludf.DUMMYFUNCTION("""COMPUTED_VALUE"""),75061.0)</f>
        <v>75061</v>
      </c>
      <c r="I1692" s="8">
        <f t="shared" si="19"/>
        <v>75061</v>
      </c>
      <c r="J1692" s="9">
        <f>IFERROR(__xludf.DUMMYFUNCTION("SPLIT(I1692,""-"")"),75061.0)</f>
        <v>75061</v>
      </c>
    </row>
    <row r="1693">
      <c r="A1693" s="5" t="s">
        <v>1575</v>
      </c>
      <c r="B1693" s="6">
        <v>2000.0</v>
      </c>
      <c r="C1693" s="7" t="s">
        <v>241</v>
      </c>
      <c r="E1693" s="8" t="str">
        <f>IFERROR(__xludf.DUMMYFUNCTION("SPLIT(A1693,""TX"")"),"Flanagan, Lashonda
646 Grovemeadow
Arlington, ")</f>
        <v>Flanagan, Lashonda
646 Grovemeadow
Arlington, </v>
      </c>
      <c r="F1693" s="8">
        <f>IFERROR(__xludf.DUMMYFUNCTION("""COMPUTED_VALUE"""),75061.0)</f>
        <v>75061</v>
      </c>
      <c r="I1693" s="8">
        <f t="shared" si="19"/>
        <v>75061</v>
      </c>
      <c r="J1693" s="9">
        <f>IFERROR(__xludf.DUMMYFUNCTION("SPLIT(I1693,""-"")"),75061.0)</f>
        <v>75061</v>
      </c>
    </row>
    <row r="1694">
      <c r="A1694" s="5" t="s">
        <v>1576</v>
      </c>
      <c r="B1694" s="6">
        <v>500.0</v>
      </c>
      <c r="C1694" s="7" t="s">
        <v>1577</v>
      </c>
      <c r="E1694" s="8" t="str">
        <f>IFERROR(__xludf.DUMMYFUNCTION("SPLIT(A1694,""TX"")"),"CO")</f>
        <v>CO</v>
      </c>
      <c r="F1694" s="8" t="str">
        <f>IFERROR(__xludf.DUMMYFUNCTION("""COMPUTED_VALUE"""),", Bill
9304 9304 LOCARNO
Dallas, ")</f>
        <v>, Bill
9304 9304 LOCARNO
Dallas, </v>
      </c>
      <c r="G1694" s="8">
        <f>IFERROR(__xludf.DUMMYFUNCTION("""COMPUTED_VALUE"""),75243.0)</f>
        <v>75243</v>
      </c>
      <c r="I1694" s="8">
        <f t="shared" si="19"/>
        <v>75243</v>
      </c>
      <c r="J1694" s="9">
        <f>IFERROR(__xludf.DUMMYFUNCTION("SPLIT(I1694,""-"")"),75243.0)</f>
        <v>75243</v>
      </c>
    </row>
    <row r="1695">
      <c r="A1695" s="10" t="s">
        <v>1576</v>
      </c>
      <c r="B1695" s="11">
        <v>500.0</v>
      </c>
      <c r="C1695" s="12" t="s">
        <v>1577</v>
      </c>
      <c r="E1695" s="8" t="str">
        <f>IFERROR(__xludf.DUMMYFUNCTION("SPLIT(A1695,""TX"")"),"CO")</f>
        <v>CO</v>
      </c>
      <c r="F1695" s="8" t="str">
        <f>IFERROR(__xludf.DUMMYFUNCTION("""COMPUTED_VALUE"""),", Bill
9304 9304 LOCARNO
Dallas, ")</f>
        <v>, Bill
9304 9304 LOCARNO
Dallas, </v>
      </c>
      <c r="G1695" s="8">
        <f>IFERROR(__xludf.DUMMYFUNCTION("""COMPUTED_VALUE"""),75243.0)</f>
        <v>75243</v>
      </c>
      <c r="I1695" s="8">
        <f t="shared" si="19"/>
        <v>75243</v>
      </c>
      <c r="J1695" s="9">
        <f>IFERROR(__xludf.DUMMYFUNCTION("SPLIT(I1695,""-"")"),75243.0)</f>
        <v>75243</v>
      </c>
    </row>
    <row r="1696">
      <c r="A1696" s="10" t="s">
        <v>1578</v>
      </c>
      <c r="B1696" s="11">
        <v>104.15</v>
      </c>
      <c r="C1696" s="12" t="s">
        <v>1577</v>
      </c>
      <c r="E1696" s="8" t="str">
        <f>IFERROR(__xludf.DUMMYFUNCTION("SPLIT(A1696,""TX"")"),"ROGERS, JOYCE
8355 South Saint Lawrence
Chicago, IL 60619")</f>
        <v>ROGERS, JOYCE
8355 South Saint Lawrence
Chicago, IL 60619</v>
      </c>
      <c r="I1696" s="8" t="str">
        <f t="shared" si="19"/>
        <v/>
      </c>
      <c r="J1696" s="9" t="str">
        <f>IFERROR(__xludf.DUMMYFUNCTION("SPLIT(I1696,""-"")"),"#VALUE!")</f>
        <v>#VALUE!</v>
      </c>
    </row>
    <row r="1697">
      <c r="A1697" s="5" t="s">
        <v>1578</v>
      </c>
      <c r="B1697" s="6">
        <v>104.15</v>
      </c>
      <c r="C1697" s="7" t="s">
        <v>1577</v>
      </c>
      <c r="E1697" s="8" t="str">
        <f>IFERROR(__xludf.DUMMYFUNCTION("SPLIT(A1697,""TX"")"),"ROGERS, JOYCE
8355 South Saint Lawrence
Chicago, IL 60619")</f>
        <v>ROGERS, JOYCE
8355 South Saint Lawrence
Chicago, IL 60619</v>
      </c>
      <c r="I1697" s="8" t="str">
        <f t="shared" si="19"/>
        <v/>
      </c>
      <c r="J1697" s="9" t="str">
        <f>IFERROR(__xludf.DUMMYFUNCTION("SPLIT(I1697,""-"")"),"#VALUE!")</f>
        <v>#VALUE!</v>
      </c>
    </row>
    <row r="1698">
      <c r="A1698" s="5" t="s">
        <v>1579</v>
      </c>
      <c r="B1698" s="6">
        <v>100.0</v>
      </c>
      <c r="C1698" s="7" t="s">
        <v>1580</v>
      </c>
      <c r="E1698" s="8" t="str">
        <f>IFERROR(__xludf.DUMMYFUNCTION("SPLIT(A1698,""TX"")"),"contributor, my
PO Box 111
Dallas, ")</f>
        <v>contributor, my
PO Box 111
Dallas, </v>
      </c>
      <c r="F1698" s="8">
        <f>IFERROR(__xludf.DUMMYFUNCTION("""COMPUTED_VALUE"""),77777.0)</f>
        <v>77777</v>
      </c>
      <c r="I1698" s="8">
        <f t="shared" si="19"/>
        <v>77777</v>
      </c>
      <c r="J1698" s="9">
        <f>IFERROR(__xludf.DUMMYFUNCTION("SPLIT(I1698,""-"")"),77777.0)</f>
        <v>77777</v>
      </c>
    </row>
    <row r="1699">
      <c r="A1699" s="5" t="s">
        <v>1581</v>
      </c>
      <c r="B1699" s="6">
        <v>125.0</v>
      </c>
      <c r="C1699" s="7" t="s">
        <v>1582</v>
      </c>
      <c r="E1699" s="8" t="str">
        <f>IFERROR(__xludf.DUMMYFUNCTION("SPLIT(A1699,""TX"")"),"Montgomery, Sally
13801 midway
Dallas, ")</f>
        <v>Montgomery, Sally
13801 midway
Dallas, </v>
      </c>
      <c r="F1699" s="8">
        <f>IFERROR(__xludf.DUMMYFUNCTION("""COMPUTED_VALUE"""),75244.0)</f>
        <v>75244</v>
      </c>
      <c r="I1699" s="8">
        <f t="shared" si="19"/>
        <v>75244</v>
      </c>
      <c r="J1699" s="9">
        <f>IFERROR(__xludf.DUMMYFUNCTION("SPLIT(I1699,""-"")"),75244.0)</f>
        <v>75244</v>
      </c>
    </row>
    <row r="1700">
      <c r="A1700" s="10" t="s">
        <v>1581</v>
      </c>
      <c r="B1700" s="11">
        <v>125.0</v>
      </c>
      <c r="C1700" s="12" t="s">
        <v>1582</v>
      </c>
      <c r="E1700" s="8" t="str">
        <f>IFERROR(__xludf.DUMMYFUNCTION("SPLIT(A1700,""TX"")"),"Montgomery, Sally
13801 midway
Dallas, ")</f>
        <v>Montgomery, Sally
13801 midway
Dallas, </v>
      </c>
      <c r="F1700" s="8">
        <f>IFERROR(__xludf.DUMMYFUNCTION("""COMPUTED_VALUE"""),75244.0)</f>
        <v>75244</v>
      </c>
      <c r="I1700" s="8">
        <f t="shared" si="19"/>
        <v>75244</v>
      </c>
      <c r="J1700" s="9">
        <f>IFERROR(__xludf.DUMMYFUNCTION("SPLIT(I1700,""-"")"),75244.0)</f>
        <v>75244</v>
      </c>
    </row>
    <row r="1701">
      <c r="A1701" s="10" t="s">
        <v>1583</v>
      </c>
      <c r="B1701" s="11">
        <v>50.0</v>
      </c>
      <c r="C1701" s="12" t="s">
        <v>1238</v>
      </c>
      <c r="E1701" s="8" t="str">
        <f>IFERROR(__xludf.DUMMYFUNCTION("SPLIT(A1701,""TX"")"),"Goode, Claudia
9757 Wisterwood
Dallas, ")</f>
        <v>Goode, Claudia
9757 Wisterwood
Dallas, </v>
      </c>
      <c r="F1701" s="8">
        <f>IFERROR(__xludf.DUMMYFUNCTION("""COMPUTED_VALUE"""),75238.0)</f>
        <v>75238</v>
      </c>
      <c r="I1701" s="8">
        <f t="shared" si="19"/>
        <v>75238</v>
      </c>
      <c r="J1701" s="9">
        <f>IFERROR(__xludf.DUMMYFUNCTION("SPLIT(I1701,""-"")"),75238.0)</f>
        <v>75238</v>
      </c>
    </row>
    <row r="1702">
      <c r="A1702" s="10" t="s">
        <v>1584</v>
      </c>
      <c r="B1702" s="11">
        <v>100.0</v>
      </c>
      <c r="C1702" s="12" t="s">
        <v>1238</v>
      </c>
      <c r="E1702" s="8" t="str">
        <f>IFERROR(__xludf.DUMMYFUNCTION("SPLIT(A1702,""TX"")"),"Stevenson, Frank
5346 Weninah Dr.
Dallas, ")</f>
        <v>Stevenson, Frank
5346 Weninah Dr.
Dallas, </v>
      </c>
      <c r="F1702" s="8">
        <f>IFERROR(__xludf.DUMMYFUNCTION("""COMPUTED_VALUE"""),75209.0)</f>
        <v>75209</v>
      </c>
      <c r="I1702" s="8">
        <f t="shared" si="19"/>
        <v>75209</v>
      </c>
      <c r="J1702" s="9">
        <f>IFERROR(__xludf.DUMMYFUNCTION("SPLIT(I1702,""-"")"),75209.0)</f>
        <v>75209</v>
      </c>
    </row>
    <row r="1703">
      <c r="A1703" s="10" t="s">
        <v>1585</v>
      </c>
      <c r="B1703" s="11">
        <v>100.0</v>
      </c>
      <c r="C1703" s="12" t="s">
        <v>1238</v>
      </c>
      <c r="E1703" s="8" t="str">
        <f>IFERROR(__xludf.DUMMYFUNCTION("SPLIT(A1703,""TX"")"),"Blair, Brennan
706 Dumont
Dallas, ")</f>
        <v>Blair, Brennan
706 Dumont
Dallas, </v>
      </c>
      <c r="F1703" s="8">
        <f>IFERROR(__xludf.DUMMYFUNCTION("""COMPUTED_VALUE"""),75214.0)</f>
        <v>75214</v>
      </c>
      <c r="I1703" s="8">
        <f t="shared" si="19"/>
        <v>75214</v>
      </c>
      <c r="J1703" s="9">
        <f>IFERROR(__xludf.DUMMYFUNCTION("SPLIT(I1703,""-"")"),75214.0)</f>
        <v>75214</v>
      </c>
    </row>
    <row r="1704">
      <c r="A1704" s="10" t="s">
        <v>1586</v>
      </c>
      <c r="B1704" s="11">
        <v>200.0</v>
      </c>
      <c r="C1704" s="12" t="s">
        <v>1238</v>
      </c>
      <c r="E1704" s="8" t="str">
        <f>IFERROR(__xludf.DUMMYFUNCTION("SPLIT(A1704,""TX"")"),"Brown, Kile
9611 Crestedge
Dallas, ")</f>
        <v>Brown, Kile
9611 Crestedge
Dallas, </v>
      </c>
      <c r="F1704" s="8">
        <f>IFERROR(__xludf.DUMMYFUNCTION("""COMPUTED_VALUE"""),75238.0)</f>
        <v>75238</v>
      </c>
      <c r="I1704" s="8">
        <f t="shared" si="19"/>
        <v>75238</v>
      </c>
      <c r="J1704" s="9">
        <f>IFERROR(__xludf.DUMMYFUNCTION("SPLIT(I1704,""-"")"),75238.0)</f>
        <v>75238</v>
      </c>
    </row>
    <row r="1705">
      <c r="A1705" s="10" t="s">
        <v>1587</v>
      </c>
      <c r="B1705" s="11">
        <v>75.0</v>
      </c>
      <c r="C1705" s="12" t="s">
        <v>1238</v>
      </c>
      <c r="E1705" s="8" t="str">
        <f>IFERROR(__xludf.DUMMYFUNCTION("SPLIT(A1705,""TX"")"),"Cavin, Bonnie
10924 Cactus Lane
Dallas, ")</f>
        <v>Cavin, Bonnie
10924 Cactus Lane
Dallas, </v>
      </c>
      <c r="F1705" s="8">
        <f>IFERROR(__xludf.DUMMYFUNCTION("""COMPUTED_VALUE"""),75238.0)</f>
        <v>75238</v>
      </c>
      <c r="I1705" s="8">
        <f t="shared" si="19"/>
        <v>75238</v>
      </c>
      <c r="J1705" s="9">
        <f>IFERROR(__xludf.DUMMYFUNCTION("SPLIT(I1705,""-"")"),75238.0)</f>
        <v>75238</v>
      </c>
    </row>
    <row r="1706">
      <c r="A1706" s="10" t="s">
        <v>1588</v>
      </c>
      <c r="B1706" s="11">
        <v>100.0</v>
      </c>
      <c r="C1706" s="12" t="s">
        <v>1238</v>
      </c>
      <c r="E1706" s="8" t="str">
        <f>IFERROR(__xludf.DUMMYFUNCTION("SPLIT(A1706,""TX"")"),"Abtahi, Bobby
1126 N. Zang
Dallas, ")</f>
        <v>Abtahi, Bobby
1126 N. Zang
Dallas, </v>
      </c>
      <c r="F1706" s="8">
        <f>IFERROR(__xludf.DUMMYFUNCTION("""COMPUTED_VALUE"""),75203.0)</f>
        <v>75203</v>
      </c>
      <c r="I1706" s="8">
        <f t="shared" si="19"/>
        <v>75203</v>
      </c>
      <c r="J1706" s="9">
        <f>IFERROR(__xludf.DUMMYFUNCTION("SPLIT(I1706,""-"")"),75203.0)</f>
        <v>75203</v>
      </c>
    </row>
    <row r="1707">
      <c r="A1707" s="10" t="s">
        <v>1589</v>
      </c>
      <c r="B1707" s="11">
        <v>250.0</v>
      </c>
      <c r="C1707" s="12" t="s">
        <v>1238</v>
      </c>
      <c r="E1707" s="8" t="str">
        <f>IFERROR(__xludf.DUMMYFUNCTION("SPLIT(A1707,""TX"")"),"Dean, John
7319 Hundley
Dallas, ")</f>
        <v>Dean, John
7319 Hundley
Dallas, </v>
      </c>
      <c r="F1707" s="8">
        <f>IFERROR(__xludf.DUMMYFUNCTION("""COMPUTED_VALUE"""),75231.0)</f>
        <v>75231</v>
      </c>
      <c r="I1707" s="8">
        <f t="shared" si="19"/>
        <v>75231</v>
      </c>
      <c r="J1707" s="9">
        <f>IFERROR(__xludf.DUMMYFUNCTION("SPLIT(I1707,""-"")"),75231.0)</f>
        <v>75231</v>
      </c>
    </row>
    <row r="1708">
      <c r="A1708" s="10" t="s">
        <v>1590</v>
      </c>
      <c r="B1708" s="11">
        <v>200.0</v>
      </c>
      <c r="C1708" s="12" t="s">
        <v>1238</v>
      </c>
      <c r="E1708" s="8" t="str">
        <f>IFERROR(__xludf.DUMMYFUNCTION("SPLIT(A1708,""TX"")"),"Jennings, KP
1787 Angus Ridge Dr.
Kernersville, NC 27284")</f>
        <v>Jennings, KP
1787 Angus Ridge Dr.
Kernersville, NC 27284</v>
      </c>
      <c r="I1708" s="8" t="str">
        <f t="shared" si="19"/>
        <v/>
      </c>
      <c r="J1708" s="9" t="str">
        <f>IFERROR(__xludf.DUMMYFUNCTION("SPLIT(I1708,""-"")"),"#VALUE!")</f>
        <v>#VALUE!</v>
      </c>
    </row>
    <row r="1709">
      <c r="A1709" s="10" t="s">
        <v>1591</v>
      </c>
      <c r="B1709" s="11">
        <v>500.0</v>
      </c>
      <c r="C1709" s="12" t="s">
        <v>1238</v>
      </c>
      <c r="E1709" s="8" t="str">
        <f>IFERROR(__xludf.DUMMYFUNCTION("SPLIT(A1709,""TX"")"),"Arends, Susan
10149 ")</f>
        <v>Arends, Susan
10149 </v>
      </c>
      <c r="F1709" s="8" t="str">
        <f>IFERROR(__xludf.DUMMYFUNCTION("""COMPUTED_VALUE"""),"railpine Dr.
Dallas, ")</f>
        <v>railpine Dr.
Dallas, </v>
      </c>
      <c r="G1709" s="8">
        <f>IFERROR(__xludf.DUMMYFUNCTION("""COMPUTED_VALUE"""),75231.0)</f>
        <v>75231</v>
      </c>
      <c r="I1709" s="8">
        <f t="shared" si="19"/>
        <v>75231</v>
      </c>
      <c r="J1709" s="9">
        <f>IFERROR(__xludf.DUMMYFUNCTION("SPLIT(I1709,""-"")"),75231.0)</f>
        <v>75231</v>
      </c>
    </row>
    <row r="1710">
      <c r="A1710" s="10" t="s">
        <v>1592</v>
      </c>
      <c r="B1710" s="11">
        <v>100.0</v>
      </c>
      <c r="C1710" s="12" t="s">
        <v>1238</v>
      </c>
      <c r="E1710" s="8" t="str">
        <f>IFERROR(__xludf.DUMMYFUNCTION("SPLIT(A1710,""TX"")"),"Moomaw, Christal
8115 Windy ")</f>
        <v>Moomaw, Christal
8115 Windy </v>
      </c>
      <c r="F1710" s="8" t="str">
        <f>IFERROR(__xludf.DUMMYFUNCTION("""COMPUTED_VALUE"""),"errace Cr.
Dallas, ")</f>
        <v>errace Cr.
Dallas, </v>
      </c>
      <c r="G1710" s="8">
        <f>IFERROR(__xludf.DUMMYFUNCTION("""COMPUTED_VALUE"""),75231.0)</f>
        <v>75231</v>
      </c>
      <c r="I1710" s="8">
        <f t="shared" si="19"/>
        <v>75231</v>
      </c>
      <c r="J1710" s="9">
        <f>IFERROR(__xludf.DUMMYFUNCTION("SPLIT(I1710,""-"")"),75231.0)</f>
        <v>75231</v>
      </c>
    </row>
    <row r="1711">
      <c r="A1711" s="10" t="s">
        <v>1593</v>
      </c>
      <c r="B1711" s="11">
        <v>50.0</v>
      </c>
      <c r="C1711" s="12" t="s">
        <v>1238</v>
      </c>
      <c r="E1711" s="8" t="str">
        <f>IFERROR(__xludf.DUMMYFUNCTION("SPLIT(A1711,""TX"")"),"Clapp, Patti
8418 ")</f>
        <v>Clapp, Patti
8418 </v>
      </c>
      <c r="F1711" s="8" t="str">
        <f>IFERROR(__xludf.DUMMYFUNCTION("""COMPUTED_VALUE"""),"rail Hill Dr.
Dallas, ")</f>
        <v>rail Hill Dr.
Dallas, </v>
      </c>
      <c r="G1711" s="8">
        <f>IFERROR(__xludf.DUMMYFUNCTION("""COMPUTED_VALUE"""),75238.0)</f>
        <v>75238</v>
      </c>
      <c r="I1711" s="8">
        <f t="shared" si="19"/>
        <v>75238</v>
      </c>
      <c r="J1711" s="9">
        <f>IFERROR(__xludf.DUMMYFUNCTION("SPLIT(I1711,""-"")"),75238.0)</f>
        <v>75238</v>
      </c>
    </row>
    <row r="1712">
      <c r="A1712" s="10" t="s">
        <v>1594</v>
      </c>
      <c r="B1712" s="11">
        <v>250.0</v>
      </c>
      <c r="C1712" s="12" t="s">
        <v>1238</v>
      </c>
      <c r="E1712" s="8" t="str">
        <f>IFERROR(__xludf.DUMMYFUNCTION("SPLIT(A1712,""TX"")"),"Halstead, Fred
130 Pinnacle Club Dr
Mabank, ")</f>
        <v>Halstead, Fred
130 Pinnacle Club Dr
Mabank, </v>
      </c>
      <c r="F1712" s="8">
        <f>IFERROR(__xludf.DUMMYFUNCTION("""COMPUTED_VALUE"""),75156.0)</f>
        <v>75156</v>
      </c>
      <c r="I1712" s="8">
        <f t="shared" si="19"/>
        <v>75156</v>
      </c>
      <c r="J1712" s="9">
        <f>IFERROR(__xludf.DUMMYFUNCTION("SPLIT(I1712,""-"")"),75156.0)</f>
        <v>75156</v>
      </c>
    </row>
    <row r="1713">
      <c r="A1713" s="10" t="s">
        <v>1595</v>
      </c>
      <c r="B1713" s="11">
        <v>250.0</v>
      </c>
      <c r="C1713" s="12" t="s">
        <v>1238</v>
      </c>
      <c r="E1713" s="8" t="str">
        <f>IFERROR(__xludf.DUMMYFUNCTION("SPLIT(A1713,""TX"")"),"Halstead, Donna
130 Pinnacle Club Dr
Mabank, ")</f>
        <v>Halstead, Donna
130 Pinnacle Club Dr
Mabank, </v>
      </c>
      <c r="F1713" s="8">
        <f>IFERROR(__xludf.DUMMYFUNCTION("""COMPUTED_VALUE"""),75156.0)</f>
        <v>75156</v>
      </c>
      <c r="I1713" s="8">
        <f t="shared" si="19"/>
        <v>75156</v>
      </c>
      <c r="J1713" s="9">
        <f>IFERROR(__xludf.DUMMYFUNCTION("SPLIT(I1713,""-"")"),75156.0)</f>
        <v>75156</v>
      </c>
    </row>
    <row r="1714">
      <c r="A1714" s="10" t="s">
        <v>1596</v>
      </c>
      <c r="B1714" s="11">
        <v>1000.0</v>
      </c>
      <c r="C1714" s="12" t="s">
        <v>1238</v>
      </c>
      <c r="E1714" s="8" t="str">
        <f>IFERROR(__xludf.DUMMYFUNCTION("SPLIT(A1714,""TX"")"),"Michael, Cox
6007 Glencove St
Houston, ")</f>
        <v>Michael, Cox
6007 Glencove St
Houston, </v>
      </c>
      <c r="F1714" s="8">
        <f>IFERROR(__xludf.DUMMYFUNCTION("""COMPUTED_VALUE"""),77007.0)</f>
        <v>77007</v>
      </c>
      <c r="I1714" s="8">
        <f t="shared" si="19"/>
        <v>77007</v>
      </c>
      <c r="J1714" s="9">
        <f>IFERROR(__xludf.DUMMYFUNCTION("SPLIT(I1714,""-"")"),77007.0)</f>
        <v>77007</v>
      </c>
    </row>
    <row r="1715">
      <c r="A1715" s="10" t="s">
        <v>1597</v>
      </c>
      <c r="B1715" s="11">
        <v>100.0</v>
      </c>
      <c r="C1715" s="12" t="s">
        <v>1238</v>
      </c>
      <c r="E1715" s="8" t="str">
        <f>IFERROR(__xludf.DUMMYFUNCTION("SPLIT(A1715,""TX"")"),"Gerteisen, Glenda
9920 Robin Hill Lane
Dallas, ")</f>
        <v>Gerteisen, Glenda
9920 Robin Hill Lane
Dallas, </v>
      </c>
      <c r="F1715" s="8">
        <f>IFERROR(__xludf.DUMMYFUNCTION("""COMPUTED_VALUE"""),75238.0)</f>
        <v>75238</v>
      </c>
      <c r="I1715" s="8">
        <f t="shared" si="19"/>
        <v>75238</v>
      </c>
      <c r="J1715" s="9">
        <f>IFERROR(__xludf.DUMMYFUNCTION("SPLIT(I1715,""-"")"),75238.0)</f>
        <v>75238</v>
      </c>
    </row>
    <row r="1716">
      <c r="A1716" s="10" t="s">
        <v>1598</v>
      </c>
      <c r="B1716" s="11">
        <v>100.0</v>
      </c>
      <c r="C1716" s="12" t="s">
        <v>1238</v>
      </c>
      <c r="E1716" s="8" t="str">
        <f>IFERROR(__xludf.DUMMYFUNCTION("SPLIT(A1716,""TX"")"),"Dupre, Dallas
9310 Emberglow Lane
Dallas, ")</f>
        <v>Dupre, Dallas
9310 Emberglow Lane
Dallas, </v>
      </c>
      <c r="F1716" s="8">
        <f>IFERROR(__xludf.DUMMYFUNCTION("""COMPUTED_VALUE"""),75243.0)</f>
        <v>75243</v>
      </c>
      <c r="I1716" s="8">
        <f t="shared" si="19"/>
        <v>75243</v>
      </c>
      <c r="J1716" s="9">
        <f>IFERROR(__xludf.DUMMYFUNCTION("SPLIT(I1716,""-"")"),75243.0)</f>
        <v>75243</v>
      </c>
    </row>
    <row r="1717">
      <c r="A1717" s="10" t="s">
        <v>1599</v>
      </c>
      <c r="B1717" s="11">
        <v>100.0</v>
      </c>
      <c r="C1717" s="12" t="s">
        <v>1238</v>
      </c>
      <c r="E1717" s="8" t="str">
        <f>IFERROR(__xludf.DUMMYFUNCTION("SPLIT(A1717,""TX"")"),"Kitty, Maxey
9207 Shoreview Rd.
Dallas, ")</f>
        <v>Kitty, Maxey
9207 Shoreview Rd.
Dallas, </v>
      </c>
      <c r="F1717" s="8">
        <f>IFERROR(__xludf.DUMMYFUNCTION("""COMPUTED_VALUE"""),75238.0)</f>
        <v>75238</v>
      </c>
      <c r="I1717" s="8">
        <f t="shared" si="19"/>
        <v>75238</v>
      </c>
      <c r="J1717" s="9">
        <f>IFERROR(__xludf.DUMMYFUNCTION("SPLIT(I1717,""-"")"),75238.0)</f>
        <v>75238</v>
      </c>
    </row>
    <row r="1718">
      <c r="A1718" s="10" t="s">
        <v>1600</v>
      </c>
      <c r="B1718" s="11">
        <v>50.0</v>
      </c>
      <c r="C1718" s="12" t="s">
        <v>1238</v>
      </c>
      <c r="E1718" s="8" t="str">
        <f>IFERROR(__xludf.DUMMYFUNCTION("SPLIT(A1718,""TX"")"),"Baird, Connie
9603 Viewside
Dallas, ")</f>
        <v>Baird, Connie
9603 Viewside
Dallas, </v>
      </c>
      <c r="F1718" s="8">
        <f>IFERROR(__xludf.DUMMYFUNCTION("""COMPUTED_VALUE"""),75231.0)</f>
        <v>75231</v>
      </c>
      <c r="I1718" s="8">
        <f t="shared" si="19"/>
        <v>75231</v>
      </c>
      <c r="J1718" s="9">
        <f>IFERROR(__xludf.DUMMYFUNCTION("SPLIT(I1718,""-"")"),75231.0)</f>
        <v>75231</v>
      </c>
    </row>
    <row r="1719">
      <c r="A1719" s="10" t="s">
        <v>1601</v>
      </c>
      <c r="B1719" s="11">
        <v>100.0</v>
      </c>
      <c r="C1719" s="12" t="s">
        <v>1238</v>
      </c>
      <c r="E1719" s="8" t="str">
        <f>IFERROR(__xludf.DUMMYFUNCTION("SPLIT(A1719,""TX"")"),"Counts, Jackie
9615 Viewside Dr.
Dallas, ")</f>
        <v>Counts, Jackie
9615 Viewside Dr.
Dallas, </v>
      </c>
      <c r="F1719" s="8">
        <f>IFERROR(__xludf.DUMMYFUNCTION("""COMPUTED_VALUE"""),75231.0)</f>
        <v>75231</v>
      </c>
      <c r="I1719" s="8">
        <f t="shared" si="19"/>
        <v>75231</v>
      </c>
      <c r="J1719" s="9">
        <f>IFERROR(__xludf.DUMMYFUNCTION("SPLIT(I1719,""-"")"),75231.0)</f>
        <v>75231</v>
      </c>
    </row>
    <row r="1720">
      <c r="A1720" s="10" t="s">
        <v>1602</v>
      </c>
      <c r="B1720" s="11">
        <v>250.0</v>
      </c>
      <c r="C1720" s="12" t="s">
        <v>1238</v>
      </c>
      <c r="E1720" s="8" t="str">
        <f>IFERROR(__xludf.DUMMYFUNCTION("SPLIT(A1720,""TX"")"),"abor, Mary
7405 Craigshire
Dallas, ")</f>
        <v>abor, Mary
7405 Craigshire
Dallas, </v>
      </c>
      <c r="F1720" s="8">
        <f>IFERROR(__xludf.DUMMYFUNCTION("""COMPUTED_VALUE"""),75231.0)</f>
        <v>75231</v>
      </c>
      <c r="I1720" s="8">
        <f t="shared" si="19"/>
        <v>75231</v>
      </c>
      <c r="J1720" s="9">
        <f>IFERROR(__xludf.DUMMYFUNCTION("SPLIT(I1720,""-"")"),75231.0)</f>
        <v>75231</v>
      </c>
    </row>
    <row r="1721">
      <c r="A1721" s="10" t="s">
        <v>98</v>
      </c>
      <c r="B1721" s="11">
        <v>250.0</v>
      </c>
      <c r="C1721" s="12" t="s">
        <v>1238</v>
      </c>
      <c r="E1721" s="8" t="str">
        <f>IFERROR(__xludf.DUMMYFUNCTION("SPLIT(A1721,""TX"")"),"Walne, Alan
10020 Caribou ")</f>
        <v>Walne, Alan
10020 Caribou </v>
      </c>
      <c r="F1721" s="8" t="str">
        <f>IFERROR(__xludf.DUMMYFUNCTION("""COMPUTED_VALUE"""),"rail
Dallas, ")</f>
        <v>rail
Dallas, </v>
      </c>
      <c r="G1721" s="8">
        <f>IFERROR(__xludf.DUMMYFUNCTION("""COMPUTED_VALUE"""),75238.0)</f>
        <v>75238</v>
      </c>
      <c r="I1721" s="8">
        <f t="shared" si="19"/>
        <v>75238</v>
      </c>
      <c r="J1721" s="9">
        <f>IFERROR(__xludf.DUMMYFUNCTION("SPLIT(I1721,""-"")"),75238.0)</f>
        <v>75238</v>
      </c>
    </row>
    <row r="1722">
      <c r="A1722" s="10" t="s">
        <v>1603</v>
      </c>
      <c r="B1722" s="11">
        <v>250.0</v>
      </c>
      <c r="C1722" s="12" t="s">
        <v>1238</v>
      </c>
      <c r="E1722" s="8" t="str">
        <f>IFERROR(__xludf.DUMMYFUNCTION("SPLIT(A1722,""TX"")"),"Schenkel, Pete
4231 Belclaire Ave
Dallas, ")</f>
        <v>Schenkel, Pete
4231 Belclaire Ave
Dallas, </v>
      </c>
      <c r="F1722" s="8">
        <f>IFERROR(__xludf.DUMMYFUNCTION("""COMPUTED_VALUE"""),75205.0)</f>
        <v>75205</v>
      </c>
      <c r="I1722" s="8">
        <f t="shared" si="19"/>
        <v>75205</v>
      </c>
      <c r="J1722" s="9">
        <f>IFERROR(__xludf.DUMMYFUNCTION("SPLIT(I1722,""-"")"),75205.0)</f>
        <v>75205</v>
      </c>
    </row>
    <row r="1723">
      <c r="A1723" s="10" t="s">
        <v>1604</v>
      </c>
      <c r="B1723" s="11">
        <v>1000.0</v>
      </c>
      <c r="C1723" s="12" t="s">
        <v>1238</v>
      </c>
      <c r="E1723" s="8" t="str">
        <f>IFERROR(__xludf.DUMMYFUNCTION("SPLIT(A1723,""TX"")"),"Montfort, Jesus
1610 Hyland Greens Dr.
Grapevine, ")</f>
        <v>Montfort, Jesus
1610 Hyland Greens Dr.
Grapevine, </v>
      </c>
      <c r="F1723" s="8">
        <f>IFERROR(__xludf.DUMMYFUNCTION("""COMPUTED_VALUE"""),76051.0)</f>
        <v>76051</v>
      </c>
      <c r="I1723" s="8">
        <f t="shared" si="19"/>
        <v>76051</v>
      </c>
      <c r="J1723" s="9">
        <f>IFERROR(__xludf.DUMMYFUNCTION("SPLIT(I1723,""-"")"),76051.0)</f>
        <v>76051</v>
      </c>
    </row>
    <row r="1724">
      <c r="A1724" s="10" t="s">
        <v>1605</v>
      </c>
      <c r="B1724" s="11">
        <v>1000.0</v>
      </c>
      <c r="C1724" s="12" t="s">
        <v>1238</v>
      </c>
      <c r="E1724" s="8" t="str">
        <f>IFERROR(__xludf.DUMMYFUNCTION("SPLIT(A1724,""TX"")"),"Montfort, Jane
1610 Hyland Greens Dr.
Grapevine, ")</f>
        <v>Montfort, Jane
1610 Hyland Greens Dr.
Grapevine, </v>
      </c>
      <c r="F1724" s="8">
        <f>IFERROR(__xludf.DUMMYFUNCTION("""COMPUTED_VALUE"""),76051.0)</f>
        <v>76051</v>
      </c>
      <c r="I1724" s="8">
        <f t="shared" si="19"/>
        <v>76051</v>
      </c>
      <c r="J1724" s="9">
        <f>IFERROR(__xludf.DUMMYFUNCTION("SPLIT(I1724,""-"")"),76051.0)</f>
        <v>76051</v>
      </c>
    </row>
    <row r="1725">
      <c r="A1725" s="10" t="s">
        <v>1556</v>
      </c>
      <c r="B1725" s="11">
        <v>1000.0</v>
      </c>
      <c r="C1725" s="12" t="s">
        <v>1238</v>
      </c>
      <c r="E1725" s="8" t="str">
        <f>IFERROR(__xludf.DUMMYFUNCTION("SPLIT(A1725,""TX"")"),"Vasquez, Mary
1709 East Ave
Katy, ")</f>
        <v>Vasquez, Mary
1709 East Ave
Katy, </v>
      </c>
      <c r="F1725" s="8">
        <f>IFERROR(__xludf.DUMMYFUNCTION("""COMPUTED_VALUE"""),77493.0)</f>
        <v>77493</v>
      </c>
      <c r="I1725" s="8">
        <f t="shared" si="19"/>
        <v>77493</v>
      </c>
      <c r="J1725" s="9">
        <f>IFERROR(__xludf.DUMMYFUNCTION("SPLIT(I1725,""-"")"),77493.0)</f>
        <v>77493</v>
      </c>
    </row>
    <row r="1726">
      <c r="A1726" s="10" t="s">
        <v>77</v>
      </c>
      <c r="B1726" s="11">
        <v>1000.0</v>
      </c>
      <c r="C1726" s="12" t="s">
        <v>1238</v>
      </c>
      <c r="E1726" s="8" t="str">
        <f>IFERROR(__xludf.DUMMYFUNCTION("SPLIT(A1726,""TX"")"),"Aranza, Gilbert
PO Box 601527
Dallas, ")</f>
        <v>Aranza, Gilbert
PO Box 601527
Dallas, </v>
      </c>
      <c r="F1726" s="8">
        <f>IFERROR(__xludf.DUMMYFUNCTION("""COMPUTED_VALUE"""),75360.0)</f>
        <v>75360</v>
      </c>
      <c r="I1726" s="8">
        <f t="shared" si="19"/>
        <v>75360</v>
      </c>
      <c r="J1726" s="9">
        <f>IFERROR(__xludf.DUMMYFUNCTION("SPLIT(I1726,""-"")"),75360.0)</f>
        <v>75360</v>
      </c>
    </row>
    <row r="1727">
      <c r="A1727" s="10" t="s">
        <v>1606</v>
      </c>
      <c r="B1727" s="11">
        <v>1000.0</v>
      </c>
      <c r="C1727" s="12" t="s">
        <v>1238</v>
      </c>
      <c r="E1727" s="8" t="str">
        <f>IFERROR(__xludf.DUMMYFUNCTION("SPLIT(A1727,""TX"")"),"Locke Lord LLP
2200 Ross Ave 2200
Dallas, ")</f>
        <v>Locke Lord LLP
2200 Ross Ave 2200
Dallas, </v>
      </c>
      <c r="F1727" s="8">
        <f>IFERROR(__xludf.DUMMYFUNCTION("""COMPUTED_VALUE"""),75201.0)</f>
        <v>75201</v>
      </c>
      <c r="I1727" s="8">
        <f t="shared" si="19"/>
        <v>75201</v>
      </c>
      <c r="J1727" s="9">
        <f>IFERROR(__xludf.DUMMYFUNCTION("SPLIT(I1727,""-"")"),75201.0)</f>
        <v>75201</v>
      </c>
    </row>
    <row r="1728">
      <c r="A1728" s="10" t="s">
        <v>1607</v>
      </c>
      <c r="B1728" s="11">
        <v>500.0</v>
      </c>
      <c r="C1728" s="12" t="s">
        <v>1238</v>
      </c>
      <c r="E1728" s="8" t="str">
        <f>IFERROR(__xludf.DUMMYFUNCTION("SPLIT(A1728,""TX"")"),"Crawford, Robin
10025 Estate Lane
Dallas, ")</f>
        <v>Crawford, Robin
10025 Estate Lane
Dallas, </v>
      </c>
      <c r="F1728" s="8">
        <f>IFERROR(__xludf.DUMMYFUNCTION("""COMPUTED_VALUE"""),75238.0)</f>
        <v>75238</v>
      </c>
      <c r="I1728" s="8">
        <f t="shared" si="19"/>
        <v>75238</v>
      </c>
      <c r="J1728" s="9">
        <f>IFERROR(__xludf.DUMMYFUNCTION("SPLIT(I1728,""-"")"),75238.0)</f>
        <v>75238</v>
      </c>
    </row>
    <row r="1729">
      <c r="A1729" s="10" t="s">
        <v>1608</v>
      </c>
      <c r="B1729" s="11">
        <v>500.0</v>
      </c>
      <c r="C1729" s="12" t="s">
        <v>1238</v>
      </c>
      <c r="E1729" s="8" t="str">
        <f>IFERROR(__xludf.DUMMYFUNCTION("SPLIT(A1729,""TX"")"),"Peters, Paul
3905 Centenary Ave
Dallas, ")</f>
        <v>Peters, Paul
3905 Centenary Ave
Dallas, </v>
      </c>
      <c r="F1729" s="8">
        <f>IFERROR(__xludf.DUMMYFUNCTION("""COMPUTED_VALUE"""),75225.0)</f>
        <v>75225</v>
      </c>
      <c r="I1729" s="8">
        <f t="shared" si="19"/>
        <v>75225</v>
      </c>
      <c r="J1729" s="9">
        <f>IFERROR(__xludf.DUMMYFUNCTION("SPLIT(I1729,""-"")"),75225.0)</f>
        <v>75225</v>
      </c>
    </row>
    <row r="1730">
      <c r="A1730" s="10" t="s">
        <v>1609</v>
      </c>
      <c r="B1730" s="11">
        <v>500.0</v>
      </c>
      <c r="C1730" s="12" t="s">
        <v>1238</v>
      </c>
      <c r="E1730" s="8" t="str">
        <f>IFERROR(__xludf.DUMMYFUNCTION("SPLIT(A1730,""TX"")"),"Peters, Deette
3905 Centenary Ave
Dallas, ")</f>
        <v>Peters, Deette
3905 Centenary Ave
Dallas, </v>
      </c>
      <c r="F1730" s="8">
        <f>IFERROR(__xludf.DUMMYFUNCTION("""COMPUTED_VALUE"""),75225.0)</f>
        <v>75225</v>
      </c>
      <c r="I1730" s="8">
        <f t="shared" si="19"/>
        <v>75225</v>
      </c>
      <c r="J1730" s="9">
        <f>IFERROR(__xludf.DUMMYFUNCTION("SPLIT(I1730,""-"")"),75225.0)</f>
        <v>75225</v>
      </c>
    </row>
    <row r="1731">
      <c r="A1731" s="10" t="s">
        <v>1610</v>
      </c>
      <c r="B1731" s="11">
        <v>100.0</v>
      </c>
      <c r="C1731" s="12" t="s">
        <v>1238</v>
      </c>
      <c r="E1731" s="8" t="str">
        <f>IFERROR(__xludf.DUMMYFUNCTION("SPLIT(A1731,""TX"")"),"McClendon, Lynn
9030 Dunmore Dr.
Dallas, ")</f>
        <v>McClendon, Lynn
9030 Dunmore Dr.
Dallas, </v>
      </c>
      <c r="F1731" s="8">
        <f>IFERROR(__xludf.DUMMYFUNCTION("""COMPUTED_VALUE"""),75231.0)</f>
        <v>75231</v>
      </c>
      <c r="I1731" s="8">
        <f t="shared" si="19"/>
        <v>75231</v>
      </c>
      <c r="J1731" s="9">
        <f>IFERROR(__xludf.DUMMYFUNCTION("SPLIT(I1731,""-"")"),75231.0)</f>
        <v>75231</v>
      </c>
    </row>
    <row r="1732">
      <c r="A1732" s="10" t="s">
        <v>1611</v>
      </c>
      <c r="B1732" s="11">
        <v>25.0</v>
      </c>
      <c r="C1732" s="12" t="s">
        <v>1238</v>
      </c>
      <c r="E1732" s="8" t="str">
        <f>IFERROR(__xludf.DUMMYFUNCTION("SPLIT(A1732,""TX"")"),"McCurdy, Jane
9339 Faircrest
Dallas, ")</f>
        <v>McCurdy, Jane
9339 Faircrest
Dallas, </v>
      </c>
      <c r="F1732" s="8">
        <f>IFERROR(__xludf.DUMMYFUNCTION("""COMPUTED_VALUE"""),75238.0)</f>
        <v>75238</v>
      </c>
      <c r="I1732" s="8">
        <f t="shared" si="19"/>
        <v>75238</v>
      </c>
      <c r="J1732" s="9">
        <f>IFERROR(__xludf.DUMMYFUNCTION("SPLIT(I1732,""-"")"),75238.0)</f>
        <v>75238</v>
      </c>
    </row>
    <row r="1733">
      <c r="A1733" s="10" t="s">
        <v>1612</v>
      </c>
      <c r="B1733" s="11">
        <v>1000.0</v>
      </c>
      <c r="C1733" s="12" t="s">
        <v>1238</v>
      </c>
      <c r="E1733" s="8" t="str">
        <f>IFERROR(__xludf.DUMMYFUNCTION("SPLIT(A1733,""TX"")"),"Haussler, Eleanor
9062 Ridgeway Close
Cincinnati, OH 45236")</f>
        <v>Haussler, Eleanor
9062 Ridgeway Close
Cincinnati, OH 45236</v>
      </c>
      <c r="I1733" s="8" t="str">
        <f t="shared" si="19"/>
        <v/>
      </c>
      <c r="J1733" s="9" t="str">
        <f>IFERROR(__xludf.DUMMYFUNCTION("SPLIT(I1733,""-"")"),"#VALUE!")</f>
        <v>#VALUE!</v>
      </c>
    </row>
    <row r="1734">
      <c r="A1734" s="10" t="s">
        <v>1613</v>
      </c>
      <c r="B1734" s="11">
        <v>100.0</v>
      </c>
      <c r="C1734" s="12" t="s">
        <v>1238</v>
      </c>
      <c r="E1734" s="8" t="str">
        <f>IFERROR(__xludf.DUMMYFUNCTION("SPLIT(A1734,""TX"")"),"Sanders, ")</f>
        <v>Sanders, </v>
      </c>
      <c r="F1734" s="8" t="str">
        <f>IFERROR(__xludf.DUMMYFUNCTION("""COMPUTED_VALUE"""),"rudy
8916 Vista View
Dallas, ")</f>
        <v>rudy
8916 Vista View
Dallas, </v>
      </c>
      <c r="G1734" s="8">
        <f>IFERROR(__xludf.DUMMYFUNCTION("""COMPUTED_VALUE"""),75243.0)</f>
        <v>75243</v>
      </c>
      <c r="I1734" s="8">
        <f t="shared" si="19"/>
        <v>75243</v>
      </c>
      <c r="J1734" s="9">
        <f>IFERROR(__xludf.DUMMYFUNCTION("SPLIT(I1734,""-"")"),75243.0)</f>
        <v>75243</v>
      </c>
    </row>
    <row r="1735">
      <c r="A1735" s="10" t="s">
        <v>1614</v>
      </c>
      <c r="B1735" s="11">
        <v>1000.0</v>
      </c>
      <c r="C1735" s="12" t="s">
        <v>1238</v>
      </c>
      <c r="E1735" s="8" t="str">
        <f>IFERROR(__xludf.DUMMYFUNCTION("SPLIT(A1735,""TX"")"),"Allen, Jerry
9426 Dartcrest
Dallas, ")</f>
        <v>Allen, Jerry
9426 Dartcrest
Dallas, </v>
      </c>
      <c r="F1735" s="8">
        <f>IFERROR(__xludf.DUMMYFUNCTION("""COMPUTED_VALUE"""),75238.0)</f>
        <v>75238</v>
      </c>
      <c r="I1735" s="8">
        <f t="shared" si="19"/>
        <v>75238</v>
      </c>
      <c r="J1735" s="9">
        <f>IFERROR(__xludf.DUMMYFUNCTION("SPLIT(I1735,""-"")"),75238.0)</f>
        <v>75238</v>
      </c>
    </row>
    <row r="1736">
      <c r="A1736" s="10" t="s">
        <v>1615</v>
      </c>
      <c r="B1736" s="11">
        <v>1000.0</v>
      </c>
      <c r="C1736" s="12" t="s">
        <v>1238</v>
      </c>
      <c r="E1736" s="8" t="str">
        <f>IFERROR(__xludf.DUMMYFUNCTION("SPLIT(A1736,""TX"")"),"Koch, Cinda
9907 Capridge
Dallas, ")</f>
        <v>Koch, Cinda
9907 Capridge
Dallas, </v>
      </c>
      <c r="F1736" s="8">
        <f>IFERROR(__xludf.DUMMYFUNCTION("""COMPUTED_VALUE"""),75238.0)</f>
        <v>75238</v>
      </c>
      <c r="I1736" s="8">
        <f t="shared" si="19"/>
        <v>75238</v>
      </c>
      <c r="J1736" s="9">
        <f>IFERROR(__xludf.DUMMYFUNCTION("SPLIT(I1736,""-"")"),75238.0)</f>
        <v>75238</v>
      </c>
    </row>
    <row r="1737">
      <c r="A1737" s="10" t="s">
        <v>1616</v>
      </c>
      <c r="B1737" s="11">
        <v>100.0</v>
      </c>
      <c r="C1737" s="12" t="s">
        <v>1238</v>
      </c>
      <c r="E1737" s="8" t="str">
        <f>IFERROR(__xludf.DUMMYFUNCTION("SPLIT(A1737,""TX"")"),"Bucki, Lelani
8056 Forest ")</f>
        <v>Bucki, Lelani
8056 Forest </v>
      </c>
      <c r="F1737" s="8" t="str">
        <f>IFERROR(__xludf.DUMMYFUNCTION("""COMPUTED_VALUE"""),"rail
Dallas, ")</f>
        <v>rail
Dallas, </v>
      </c>
      <c r="G1737" s="8">
        <f>IFERROR(__xludf.DUMMYFUNCTION("""COMPUTED_VALUE"""),75238.0)</f>
        <v>75238</v>
      </c>
      <c r="I1737" s="8">
        <f t="shared" si="19"/>
        <v>75238</v>
      </c>
      <c r="J1737" s="9">
        <f>IFERROR(__xludf.DUMMYFUNCTION("SPLIT(I1737,""-"")"),75238.0)</f>
        <v>75238</v>
      </c>
    </row>
    <row r="1738">
      <c r="A1738" s="10" t="s">
        <v>1617</v>
      </c>
      <c r="B1738" s="11">
        <v>250.0</v>
      </c>
      <c r="C1738" s="12" t="s">
        <v>1238</v>
      </c>
      <c r="E1738" s="8" t="str">
        <f>IFERROR(__xludf.DUMMYFUNCTION("SPLIT(A1738,""TX"")"),"Slade, Katherine
5328 Waneta Dr
Dallas, ")</f>
        <v>Slade, Katherine
5328 Waneta Dr
Dallas, </v>
      </c>
      <c r="F1738" s="8">
        <f>IFERROR(__xludf.DUMMYFUNCTION("""COMPUTED_VALUE"""),75209.0)</f>
        <v>75209</v>
      </c>
      <c r="I1738" s="8">
        <f t="shared" si="19"/>
        <v>75209</v>
      </c>
      <c r="J1738" s="9">
        <f>IFERROR(__xludf.DUMMYFUNCTION("SPLIT(I1738,""-"")"),75209.0)</f>
        <v>75209</v>
      </c>
    </row>
    <row r="1739">
      <c r="A1739" s="10" t="s">
        <v>1618</v>
      </c>
      <c r="B1739" s="11">
        <v>50.0</v>
      </c>
      <c r="C1739" s="12" t="s">
        <v>1238</v>
      </c>
      <c r="E1739" s="8" t="str">
        <f>IFERROR(__xludf.DUMMYFUNCTION("SPLIT(A1739,""TX"")"),"Whisnant, Cliff
8727 ")</f>
        <v>Whisnant, Cliff
8727 </v>
      </c>
      <c r="F1739" s="8" t="str">
        <f>IFERROR(__xludf.DUMMYFUNCTION("""COMPUTED_VALUE"""),"hunderbird Ln
Dallas, ")</f>
        <v>hunderbird Ln
Dallas, </v>
      </c>
      <c r="G1739" s="8">
        <f>IFERROR(__xludf.DUMMYFUNCTION("""COMPUTED_VALUE"""),75238.0)</f>
        <v>75238</v>
      </c>
      <c r="I1739" s="8">
        <f t="shared" si="19"/>
        <v>75238</v>
      </c>
      <c r="J1739" s="9">
        <f>IFERROR(__xludf.DUMMYFUNCTION("SPLIT(I1739,""-"")"),75238.0)</f>
        <v>75238</v>
      </c>
    </row>
    <row r="1740">
      <c r="A1740" s="10" t="s">
        <v>1619</v>
      </c>
      <c r="B1740" s="11">
        <v>50.0</v>
      </c>
      <c r="C1740" s="12" t="s">
        <v>1238</v>
      </c>
      <c r="E1740" s="8" t="str">
        <f>IFERROR(__xludf.DUMMYFUNCTION("SPLIT(A1740,""TX"")"),"Canion, Judith
9715 Windham
Dallas, ")</f>
        <v>Canion, Judith
9715 Windham
Dallas, </v>
      </c>
      <c r="F1740" s="8">
        <f>IFERROR(__xludf.DUMMYFUNCTION("""COMPUTED_VALUE"""),75243.0)</f>
        <v>75243</v>
      </c>
      <c r="I1740" s="8">
        <f t="shared" si="19"/>
        <v>75243</v>
      </c>
      <c r="J1740" s="9">
        <f>IFERROR(__xludf.DUMMYFUNCTION("SPLIT(I1740,""-"")"),75243.0)</f>
        <v>75243</v>
      </c>
    </row>
    <row r="1741">
      <c r="A1741" s="10" t="s">
        <v>1620</v>
      </c>
      <c r="B1741" s="11">
        <v>250.0</v>
      </c>
      <c r="C1741" s="12" t="s">
        <v>1238</v>
      </c>
      <c r="E1741" s="8" t="str">
        <f>IFERROR(__xludf.DUMMYFUNCTION("SPLIT(A1741,""TX"")"),"Klemme, Kelly
9525 Milltrail
Dallas, ")</f>
        <v>Klemme, Kelly
9525 Milltrail
Dallas, </v>
      </c>
      <c r="F1741" s="8">
        <f>IFERROR(__xludf.DUMMYFUNCTION("""COMPUTED_VALUE"""),75238.0)</f>
        <v>75238</v>
      </c>
      <c r="I1741" s="8">
        <f t="shared" si="19"/>
        <v>75238</v>
      </c>
      <c r="J1741" s="9">
        <f>IFERROR(__xludf.DUMMYFUNCTION("SPLIT(I1741,""-"")"),75238.0)</f>
        <v>75238</v>
      </c>
    </row>
    <row r="1742">
      <c r="A1742" s="10" t="s">
        <v>1621</v>
      </c>
      <c r="B1742" s="11">
        <v>25.0</v>
      </c>
      <c r="C1742" s="12" t="s">
        <v>1238</v>
      </c>
      <c r="E1742" s="8" t="str">
        <f>IFERROR(__xludf.DUMMYFUNCTION("SPLIT(A1742,""TX"")"),"Cason, Eileen
9133 Loma Vista
Dallas, ")</f>
        <v>Cason, Eileen
9133 Loma Vista
Dallas, </v>
      </c>
      <c r="F1742" s="8">
        <f>IFERROR(__xludf.DUMMYFUNCTION("""COMPUTED_VALUE"""),75243.0)</f>
        <v>75243</v>
      </c>
      <c r="I1742" s="8">
        <f t="shared" si="19"/>
        <v>75243</v>
      </c>
      <c r="J1742" s="9">
        <f>IFERROR(__xludf.DUMMYFUNCTION("SPLIT(I1742,""-"")"),75243.0)</f>
        <v>75243</v>
      </c>
    </row>
    <row r="1743">
      <c r="A1743" s="10" t="s">
        <v>1622</v>
      </c>
      <c r="B1743" s="11">
        <v>250.0</v>
      </c>
      <c r="C1743" s="12" t="s">
        <v>1238</v>
      </c>
      <c r="E1743" s="8" t="str">
        <f>IFERROR(__xludf.DUMMYFUNCTION("SPLIT(A1743,""TX"")"),"Gorman, Phillip
10139 Bettywood Ln
Dallas, ")</f>
        <v>Gorman, Phillip
10139 Bettywood Ln
Dallas, </v>
      </c>
      <c r="F1743" s="8">
        <f>IFERROR(__xludf.DUMMYFUNCTION("""COMPUTED_VALUE"""),75243.0)</f>
        <v>75243</v>
      </c>
      <c r="I1743" s="8">
        <f t="shared" si="19"/>
        <v>75243</v>
      </c>
      <c r="J1743" s="9">
        <f>IFERROR(__xludf.DUMMYFUNCTION("SPLIT(I1743,""-"")"),75243.0)</f>
        <v>75243</v>
      </c>
    </row>
    <row r="1744">
      <c r="A1744" s="10" t="s">
        <v>1623</v>
      </c>
      <c r="B1744" s="11">
        <v>100.0</v>
      </c>
      <c r="C1744" s="12" t="s">
        <v>1238</v>
      </c>
      <c r="E1744" s="8" t="str">
        <f>IFERROR(__xludf.DUMMYFUNCTION("SPLIT(A1744,""TX"")"),"Browder, Mary
9840 Elmcrest
Dallas, ")</f>
        <v>Browder, Mary
9840 Elmcrest
Dallas, </v>
      </c>
      <c r="F1744" s="8">
        <f>IFERROR(__xludf.DUMMYFUNCTION("""COMPUTED_VALUE"""),75238.0)</f>
        <v>75238</v>
      </c>
      <c r="I1744" s="8">
        <f t="shared" si="19"/>
        <v>75238</v>
      </c>
      <c r="J1744" s="9">
        <f>IFERROR(__xludf.DUMMYFUNCTION("SPLIT(I1744,""-"")"),75238.0)</f>
        <v>75238</v>
      </c>
    </row>
    <row r="1745">
      <c r="A1745" s="10" t="s">
        <v>1624</v>
      </c>
      <c r="B1745" s="11">
        <v>50.0</v>
      </c>
      <c r="C1745" s="12" t="s">
        <v>1238</v>
      </c>
      <c r="E1745" s="8" t="str">
        <f>IFERROR(__xludf.DUMMYFUNCTION("SPLIT(A1745,""TX"")"),"hreadgill, John
9104 Kingsley Creek Cr
Dallas, ")</f>
        <v>hreadgill, John
9104 Kingsley Creek Cr
Dallas, </v>
      </c>
      <c r="F1745" s="8">
        <f>IFERROR(__xludf.DUMMYFUNCTION("""COMPUTED_VALUE"""),75231.0)</f>
        <v>75231</v>
      </c>
      <c r="I1745" s="8">
        <f t="shared" si="19"/>
        <v>75231</v>
      </c>
      <c r="J1745" s="9">
        <f>IFERROR(__xludf.DUMMYFUNCTION("SPLIT(I1745,""-"")"),75231.0)</f>
        <v>75231</v>
      </c>
    </row>
    <row r="1746">
      <c r="A1746" s="10" t="s">
        <v>1625</v>
      </c>
      <c r="B1746" s="11">
        <v>250.0</v>
      </c>
      <c r="C1746" s="12" t="s">
        <v>1238</v>
      </c>
      <c r="E1746" s="8" t="str">
        <f>IFERROR(__xludf.DUMMYFUNCTION("SPLIT(A1746,""TX"")"),"Walhood, Preston
5319 W. University Blvd
Dallas, ")</f>
        <v>Walhood, Preston
5319 W. University Blvd
Dallas, </v>
      </c>
      <c r="F1746" s="8">
        <f>IFERROR(__xludf.DUMMYFUNCTION("""COMPUTED_VALUE"""),75209.0)</f>
        <v>75209</v>
      </c>
      <c r="I1746" s="8">
        <f t="shared" si="19"/>
        <v>75209</v>
      </c>
      <c r="J1746" s="9">
        <f>IFERROR(__xludf.DUMMYFUNCTION("SPLIT(I1746,""-"")"),75209.0)</f>
        <v>75209</v>
      </c>
    </row>
    <row r="1747">
      <c r="A1747" s="10" t="s">
        <v>1621</v>
      </c>
      <c r="B1747" s="11">
        <v>75.0</v>
      </c>
      <c r="C1747" s="12" t="s">
        <v>1238</v>
      </c>
      <c r="E1747" s="8" t="str">
        <f>IFERROR(__xludf.DUMMYFUNCTION("SPLIT(A1747,""TX"")"),"Cason, Eileen
9133 Loma Vista
Dallas, ")</f>
        <v>Cason, Eileen
9133 Loma Vista
Dallas, </v>
      </c>
      <c r="F1747" s="8">
        <f>IFERROR(__xludf.DUMMYFUNCTION("""COMPUTED_VALUE"""),75243.0)</f>
        <v>75243</v>
      </c>
      <c r="I1747" s="8">
        <f t="shared" si="19"/>
        <v>75243</v>
      </c>
      <c r="J1747" s="9">
        <f>IFERROR(__xludf.DUMMYFUNCTION("SPLIT(I1747,""-"")"),75243.0)</f>
        <v>75243</v>
      </c>
    </row>
    <row r="1748">
      <c r="A1748" s="10" t="s">
        <v>1626</v>
      </c>
      <c r="B1748" s="11">
        <v>100.0</v>
      </c>
      <c r="C1748" s="12" t="s">
        <v>1238</v>
      </c>
      <c r="E1748" s="8" t="str">
        <f>IFERROR(__xludf.DUMMYFUNCTION("SPLIT(A1748,""TX"")"),"Whitehill, William
747 Meadowlark Ln
Coppell, ")</f>
        <v>Whitehill, William
747 Meadowlark Ln
Coppell, </v>
      </c>
      <c r="F1748" s="8">
        <f>IFERROR(__xludf.DUMMYFUNCTION("""COMPUTED_VALUE"""),75019.0)</f>
        <v>75019</v>
      </c>
      <c r="I1748" s="8">
        <f t="shared" si="19"/>
        <v>75019</v>
      </c>
      <c r="J1748" s="9">
        <f>IFERROR(__xludf.DUMMYFUNCTION("SPLIT(I1748,""-"")"),75019.0)</f>
        <v>75019</v>
      </c>
    </row>
    <row r="1749">
      <c r="A1749" s="10" t="s">
        <v>1627</v>
      </c>
      <c r="B1749" s="11">
        <v>300.0</v>
      </c>
      <c r="C1749" s="12" t="s">
        <v>1238</v>
      </c>
      <c r="E1749" s="8" t="str">
        <f>IFERROR(__xludf.DUMMYFUNCTION("SPLIT(A1749,""TX"")"),"Baggett, Jo
10116 Estate Lane
Dallas, ")</f>
        <v>Baggett, Jo
10116 Estate Lane
Dallas, </v>
      </c>
      <c r="F1749" s="8">
        <f>IFERROR(__xludf.DUMMYFUNCTION("""COMPUTED_VALUE"""),75238.0)</f>
        <v>75238</v>
      </c>
      <c r="I1749" s="8">
        <f t="shared" si="19"/>
        <v>75238</v>
      </c>
      <c r="J1749" s="9">
        <f>IFERROR(__xludf.DUMMYFUNCTION("SPLIT(I1749,""-"")"),75238.0)</f>
        <v>75238</v>
      </c>
    </row>
    <row r="1750">
      <c r="A1750" s="10" t="s">
        <v>1628</v>
      </c>
      <c r="B1750" s="11">
        <v>1000.0</v>
      </c>
      <c r="C1750" s="12" t="s">
        <v>1238</v>
      </c>
      <c r="E1750" s="8" t="str">
        <f>IFERROR(__xludf.DUMMYFUNCTION("SPLIT(A1750,""TX"")"),"Miers, Harriet
12076 ")</f>
        <v>Miers, Harriet
12076 </v>
      </c>
      <c r="F1750" s="8" t="str">
        <f>IFERROR(__xludf.DUMMYFUNCTION("""COMPUTED_VALUE"""),"avel Circle
Dallas, ")</f>
        <v>avel Circle
Dallas, </v>
      </c>
      <c r="G1750" s="8">
        <f>IFERROR(__xludf.DUMMYFUNCTION("""COMPUTED_VALUE"""),75230.0)</f>
        <v>75230</v>
      </c>
      <c r="I1750" s="8">
        <f t="shared" si="19"/>
        <v>75230</v>
      </c>
      <c r="J1750" s="9">
        <f>IFERROR(__xludf.DUMMYFUNCTION("SPLIT(I1750,""-"")"),75230.0)</f>
        <v>75230</v>
      </c>
    </row>
    <row r="1751">
      <c r="A1751" s="10" t="s">
        <v>1629</v>
      </c>
      <c r="B1751" s="11">
        <v>150.0</v>
      </c>
      <c r="C1751" s="12" t="s">
        <v>1238</v>
      </c>
      <c r="E1751" s="8" t="str">
        <f>IFERROR(__xludf.DUMMYFUNCTION("SPLIT(A1751,""TX"")"),"Bradley, Lori
7909 Briar Brook Ct.
Dallas, ")</f>
        <v>Bradley, Lori
7909 Briar Brook Ct.
Dallas, </v>
      </c>
      <c r="F1751" s="8">
        <f>IFERROR(__xludf.DUMMYFUNCTION("""COMPUTED_VALUE"""),75218.0)</f>
        <v>75218</v>
      </c>
      <c r="I1751" s="8">
        <f t="shared" si="19"/>
        <v>75218</v>
      </c>
      <c r="J1751" s="9">
        <f>IFERROR(__xludf.DUMMYFUNCTION("SPLIT(I1751,""-"")"),75218.0)</f>
        <v>75218</v>
      </c>
    </row>
    <row r="1752">
      <c r="A1752" s="10" t="s">
        <v>1630</v>
      </c>
      <c r="B1752" s="11">
        <v>275.0</v>
      </c>
      <c r="C1752" s="12" t="s">
        <v>1238</v>
      </c>
      <c r="E1752" s="8" t="str">
        <f>IFERROR(__xludf.DUMMYFUNCTION("SPLIT(A1752,""TX"")"),"Rosamond, Mike
6839 Colfax Dr.
Dallas, ")</f>
        <v>Rosamond, Mike
6839 Colfax Dr.
Dallas, </v>
      </c>
      <c r="F1752" s="8">
        <f>IFERROR(__xludf.DUMMYFUNCTION("""COMPUTED_VALUE"""),75231.0)</f>
        <v>75231</v>
      </c>
      <c r="I1752" s="8">
        <f t="shared" si="19"/>
        <v>75231</v>
      </c>
      <c r="J1752" s="9">
        <f>IFERROR(__xludf.DUMMYFUNCTION("SPLIT(I1752,""-"")"),75231.0)</f>
        <v>75231</v>
      </c>
    </row>
    <row r="1753">
      <c r="A1753" s="10" t="s">
        <v>1631</v>
      </c>
      <c r="B1753" s="11">
        <v>25.0</v>
      </c>
      <c r="C1753" s="12" t="s">
        <v>1238</v>
      </c>
      <c r="E1753" s="8" t="str">
        <f>IFERROR(__xludf.DUMMYFUNCTION("SPLIT(A1753,""TX"")"),"Rain, Jim
2200 Ross Ave
Dallas, ")</f>
        <v>Rain, Jim
2200 Ross Ave
Dallas, </v>
      </c>
      <c r="F1753" s="8">
        <f>IFERROR(__xludf.DUMMYFUNCTION("""COMPUTED_VALUE"""),75201.0)</f>
        <v>75201</v>
      </c>
      <c r="I1753" s="8">
        <f t="shared" si="19"/>
        <v>75201</v>
      </c>
      <c r="J1753" s="9">
        <f>IFERROR(__xludf.DUMMYFUNCTION("SPLIT(I1753,""-"")"),75201.0)</f>
        <v>75201</v>
      </c>
    </row>
    <row r="1754">
      <c r="A1754" s="10" t="s">
        <v>1632</v>
      </c>
      <c r="B1754" s="11">
        <v>100.0</v>
      </c>
      <c r="C1754" s="12" t="s">
        <v>1238</v>
      </c>
      <c r="E1754" s="8" t="str">
        <f>IFERROR(__xludf.DUMMYFUNCTION("SPLIT(A1754,""TX"")"),"Baker, Diana
8515 Greenville Ave
Dallas, ")</f>
        <v>Baker, Diana
8515 Greenville Ave
Dallas, </v>
      </c>
      <c r="F1754" s="8">
        <f>IFERROR(__xludf.DUMMYFUNCTION("""COMPUTED_VALUE"""),75243.0)</f>
        <v>75243</v>
      </c>
      <c r="I1754" s="8">
        <f t="shared" si="19"/>
        <v>75243</v>
      </c>
      <c r="J1754" s="9">
        <f>IFERROR(__xludf.DUMMYFUNCTION("SPLIT(I1754,""-"")"),75243.0)</f>
        <v>75243</v>
      </c>
    </row>
    <row r="1755">
      <c r="A1755" s="10" t="s">
        <v>1633</v>
      </c>
      <c r="B1755" s="11">
        <v>100.0</v>
      </c>
      <c r="C1755" s="12" t="s">
        <v>1238</v>
      </c>
      <c r="E1755" s="8" t="str">
        <f>IFERROR(__xludf.DUMMYFUNCTION("SPLIT(A1755,""TX"")"),"Rylander, Carole
6873 Blackwood Dr
Dallas, ")</f>
        <v>Rylander, Carole
6873 Blackwood Dr
Dallas, </v>
      </c>
      <c r="F1755" s="8">
        <f>IFERROR(__xludf.DUMMYFUNCTION("""COMPUTED_VALUE"""),75231.0)</f>
        <v>75231</v>
      </c>
      <c r="I1755" s="8">
        <f t="shared" si="19"/>
        <v>75231</v>
      </c>
      <c r="J1755" s="9">
        <f>IFERROR(__xludf.DUMMYFUNCTION("SPLIT(I1755,""-"")"),75231.0)</f>
        <v>75231</v>
      </c>
    </row>
    <row r="1756">
      <c r="A1756" s="10" t="s">
        <v>1634</v>
      </c>
      <c r="B1756" s="11">
        <v>250.0</v>
      </c>
      <c r="C1756" s="12" t="s">
        <v>1238</v>
      </c>
      <c r="E1756" s="8" t="str">
        <f>IFERROR(__xludf.DUMMYFUNCTION("SPLIT(A1756,""TX"")"),"Sleeper, Neal
3374 Blackburn St
Dallas, ")</f>
        <v>Sleeper, Neal
3374 Blackburn St
Dallas, </v>
      </c>
      <c r="F1756" s="8">
        <f>IFERROR(__xludf.DUMMYFUNCTION("""COMPUTED_VALUE"""),75204.0)</f>
        <v>75204</v>
      </c>
      <c r="I1756" s="8">
        <f t="shared" si="19"/>
        <v>75204</v>
      </c>
      <c r="J1756" s="9">
        <f>IFERROR(__xludf.DUMMYFUNCTION("SPLIT(I1756,""-"")"),75204.0)</f>
        <v>75204</v>
      </c>
    </row>
    <row r="1757">
      <c r="A1757" s="10" t="s">
        <v>1635</v>
      </c>
      <c r="B1757" s="11">
        <v>100.0</v>
      </c>
      <c r="C1757" s="12" t="s">
        <v>1238</v>
      </c>
      <c r="E1757" s="8" t="str">
        <f>IFERROR(__xludf.DUMMYFUNCTION("SPLIT(A1757,""TX"")"),"McCord, Shannon
7704 Lemmonwood
Dallas, ")</f>
        <v>McCord, Shannon
7704 Lemmonwood
Dallas, </v>
      </c>
      <c r="F1757" s="8">
        <f>IFERROR(__xludf.DUMMYFUNCTION("""COMPUTED_VALUE"""),75231.0)</f>
        <v>75231</v>
      </c>
      <c r="I1757" s="8">
        <f t="shared" si="19"/>
        <v>75231</v>
      </c>
      <c r="J1757" s="9">
        <f>IFERROR(__xludf.DUMMYFUNCTION("SPLIT(I1757,""-"")"),75231.0)</f>
        <v>75231</v>
      </c>
    </row>
    <row r="1758">
      <c r="A1758" s="10" t="s">
        <v>1636</v>
      </c>
      <c r="B1758" s="11">
        <v>100.0</v>
      </c>
      <c r="C1758" s="12" t="s">
        <v>1238</v>
      </c>
      <c r="E1758" s="8" t="str">
        <f>IFERROR(__xludf.DUMMYFUNCTION("SPLIT(A1758,""TX"")"),"Lomonaco, Jim
8643 Richardson Branch ")</f>
        <v>Lomonaco, Jim
8643 Richardson Branch </v>
      </c>
      <c r="F1758" s="8" t="str">
        <f>IFERROR(__xludf.DUMMYFUNCTION("""COMPUTED_VALUE"""),"r
Dallas, ")</f>
        <v>r
Dallas, </v>
      </c>
      <c r="G1758" s="8">
        <f>IFERROR(__xludf.DUMMYFUNCTION("""COMPUTED_VALUE"""),75243.0)</f>
        <v>75243</v>
      </c>
      <c r="I1758" s="8">
        <f t="shared" si="19"/>
        <v>75243</v>
      </c>
      <c r="J1758" s="9">
        <f>IFERROR(__xludf.DUMMYFUNCTION("SPLIT(I1758,""-"")"),75243.0)</f>
        <v>75243</v>
      </c>
    </row>
    <row r="1759">
      <c r="A1759" s="10" t="s">
        <v>1637</v>
      </c>
      <c r="B1759" s="11">
        <v>50.0</v>
      </c>
      <c r="C1759" s="12" t="s">
        <v>1238</v>
      </c>
      <c r="E1759" s="8" t="str">
        <f>IFERROR(__xludf.DUMMYFUNCTION("SPLIT(A1759,""TX"")"),"Camp, Patsy
9116 Whitehurst
Dallas, ")</f>
        <v>Camp, Patsy
9116 Whitehurst
Dallas, </v>
      </c>
      <c r="F1759" s="8">
        <f>IFERROR(__xludf.DUMMYFUNCTION("""COMPUTED_VALUE"""),75243.0)</f>
        <v>75243</v>
      </c>
      <c r="I1759" s="8">
        <f t="shared" si="19"/>
        <v>75243</v>
      </c>
      <c r="J1759" s="9">
        <f>IFERROR(__xludf.DUMMYFUNCTION("SPLIT(I1759,""-"")"),75243.0)</f>
        <v>75243</v>
      </c>
    </row>
    <row r="1760">
      <c r="A1760" s="10" t="s">
        <v>1638</v>
      </c>
      <c r="B1760" s="11">
        <v>1000.0</v>
      </c>
      <c r="C1760" s="12" t="s">
        <v>1238</v>
      </c>
      <c r="E1760" s="8" t="str">
        <f>IFERROR(__xludf.DUMMYFUNCTION("SPLIT(A1760,""TX"")"),"Griffin, Allison
9635 Lanshire
Dallas, ")</f>
        <v>Griffin, Allison
9635 Lanshire
Dallas, </v>
      </c>
      <c r="F1760" s="8">
        <f>IFERROR(__xludf.DUMMYFUNCTION("""COMPUTED_VALUE"""),75238.0)</f>
        <v>75238</v>
      </c>
      <c r="I1760" s="8">
        <f t="shared" si="19"/>
        <v>75238</v>
      </c>
      <c r="J1760" s="9">
        <f>IFERROR(__xludf.DUMMYFUNCTION("SPLIT(I1760,""-"")"),75238.0)</f>
        <v>75238</v>
      </c>
    </row>
    <row r="1761">
      <c r="A1761" s="10" t="s">
        <v>1639</v>
      </c>
      <c r="B1761" s="11">
        <v>100.0</v>
      </c>
      <c r="C1761" s="12" t="s">
        <v>1238</v>
      </c>
      <c r="E1761" s="8" t="str">
        <f>IFERROR(__xludf.DUMMYFUNCTION("SPLIT(A1761,""TX"")"),"North, Joseph
10868 Caprock Circle
Dallas, ")</f>
        <v>North, Joseph
10868 Caprock Circle
Dallas, </v>
      </c>
      <c r="F1761" s="8">
        <f>IFERROR(__xludf.DUMMYFUNCTION("""COMPUTED_VALUE"""),75218.0)</f>
        <v>75218</v>
      </c>
      <c r="I1761" s="8">
        <f t="shared" si="19"/>
        <v>75218</v>
      </c>
      <c r="J1761" s="9">
        <f>IFERROR(__xludf.DUMMYFUNCTION("SPLIT(I1761,""-"")"),75218.0)</f>
        <v>75218</v>
      </c>
    </row>
    <row r="1762">
      <c r="A1762" s="10" t="s">
        <v>1640</v>
      </c>
      <c r="B1762" s="11">
        <v>500.0</v>
      </c>
      <c r="C1762" s="12" t="s">
        <v>1238</v>
      </c>
      <c r="E1762" s="8" t="str">
        <f>IFERROR(__xludf.DUMMYFUNCTION("SPLIT(A1762,""TX"")"),"Duge, Richard
9644 ")</f>
        <v>Duge, Richard
9644 </v>
      </c>
      <c r="F1762" s="8" t="str">
        <f>IFERROR(__xludf.DUMMYFUNCTION("""COMPUTED_VALUE"""),"railview
Dallas, ")</f>
        <v>railview
Dallas, </v>
      </c>
      <c r="G1762" s="8">
        <f>IFERROR(__xludf.DUMMYFUNCTION("""COMPUTED_VALUE"""),75238.0)</f>
        <v>75238</v>
      </c>
      <c r="I1762" s="8">
        <f t="shared" si="19"/>
        <v>75238</v>
      </c>
      <c r="J1762" s="9">
        <f>IFERROR(__xludf.DUMMYFUNCTION("SPLIT(I1762,""-"")"),75238.0)</f>
        <v>75238</v>
      </c>
    </row>
    <row r="1763">
      <c r="A1763" s="10" t="s">
        <v>1641</v>
      </c>
      <c r="B1763" s="11">
        <v>250.0</v>
      </c>
      <c r="C1763" s="12" t="s">
        <v>1238</v>
      </c>
      <c r="E1763" s="8" t="str">
        <f>IFERROR(__xludf.DUMMYFUNCTION("SPLIT(A1763,""TX"")"),"Alspaw, Jon
9102 Locarno
Dallas, ")</f>
        <v>Alspaw, Jon
9102 Locarno
Dallas, </v>
      </c>
      <c r="F1763" s="8">
        <f>IFERROR(__xludf.DUMMYFUNCTION("""COMPUTED_VALUE"""),75243.0)</f>
        <v>75243</v>
      </c>
      <c r="I1763" s="8">
        <f t="shared" si="19"/>
        <v>75243</v>
      </c>
      <c r="J1763" s="9">
        <f>IFERROR(__xludf.DUMMYFUNCTION("SPLIT(I1763,""-"")"),75243.0)</f>
        <v>75243</v>
      </c>
    </row>
    <row r="1764">
      <c r="A1764" s="10" t="s">
        <v>1642</v>
      </c>
      <c r="B1764" s="11">
        <v>250.0</v>
      </c>
      <c r="C1764" s="12" t="s">
        <v>1238</v>
      </c>
      <c r="E1764" s="8" t="str">
        <f>IFERROR(__xludf.DUMMYFUNCTION("SPLIT(A1764,""TX"")"),"Dunlap, Walter
PO Box 74313
Dallas, ")</f>
        <v>Dunlap, Walter
PO Box 74313
Dallas, </v>
      </c>
      <c r="F1764" s="8">
        <f>IFERROR(__xludf.DUMMYFUNCTION("""COMPUTED_VALUE"""),75374.0)</f>
        <v>75374</v>
      </c>
      <c r="I1764" s="8">
        <f t="shared" si="19"/>
        <v>75374</v>
      </c>
      <c r="J1764" s="9">
        <f>IFERROR(__xludf.DUMMYFUNCTION("SPLIT(I1764,""-"")"),75374.0)</f>
        <v>75374</v>
      </c>
    </row>
    <row r="1765">
      <c r="A1765" s="10" t="s">
        <v>1643</v>
      </c>
      <c r="B1765" s="11">
        <v>100.0</v>
      </c>
      <c r="C1765" s="12" t="s">
        <v>1238</v>
      </c>
      <c r="E1765" s="8" t="str">
        <f>IFERROR(__xludf.DUMMYFUNCTION("SPLIT(A1765,""TX"")"),"Davis, Paula
9039 Maguires Bridge
Dallas, ")</f>
        <v>Davis, Paula
9039 Maguires Bridge
Dallas, </v>
      </c>
      <c r="F1765" s="8">
        <f>IFERROR(__xludf.DUMMYFUNCTION("""COMPUTED_VALUE"""),75231.0)</f>
        <v>75231</v>
      </c>
      <c r="I1765" s="8">
        <f t="shared" si="19"/>
        <v>75231</v>
      </c>
      <c r="J1765" s="9">
        <f>IFERROR(__xludf.DUMMYFUNCTION("SPLIT(I1765,""-"")"),75231.0)</f>
        <v>75231</v>
      </c>
    </row>
    <row r="1766">
      <c r="A1766" s="10" t="s">
        <v>1644</v>
      </c>
      <c r="B1766" s="11">
        <v>250.0</v>
      </c>
      <c r="C1766" s="12" t="s">
        <v>1238</v>
      </c>
      <c r="E1766" s="8" t="str">
        <f>IFERROR(__xludf.DUMMYFUNCTION("SPLIT(A1766,""TX"")"),"Chereck, Donna
8726 Arbor Park Ct.
Dallas, ")</f>
        <v>Chereck, Donna
8726 Arbor Park Ct.
Dallas, </v>
      </c>
      <c r="F1766" s="8">
        <f>IFERROR(__xludf.DUMMYFUNCTION("""COMPUTED_VALUE"""),75243.0)</f>
        <v>75243</v>
      </c>
      <c r="I1766" s="8">
        <f t="shared" si="19"/>
        <v>75243</v>
      </c>
      <c r="J1766" s="9">
        <f>IFERROR(__xludf.DUMMYFUNCTION("SPLIT(I1766,""-"")"),75243.0)</f>
        <v>75243</v>
      </c>
    </row>
    <row r="1767">
      <c r="A1767" s="10" t="s">
        <v>1645</v>
      </c>
      <c r="B1767" s="11">
        <v>100.0</v>
      </c>
      <c r="C1767" s="12" t="s">
        <v>1238</v>
      </c>
      <c r="E1767" s="8" t="str">
        <f>IFERROR(__xludf.DUMMYFUNCTION("SPLIT(A1767,""TX"")"),"Hawkins, ")</f>
        <v>Hawkins, </v>
      </c>
      <c r="F1767" s="8" t="str">
        <f>IFERROR(__xludf.DUMMYFUNCTION("""COMPUTED_VALUE"""),"erri
9026 Meadowknoll
Dallas, ")</f>
        <v>erri
9026 Meadowknoll
Dallas, </v>
      </c>
      <c r="G1767" s="8">
        <f>IFERROR(__xludf.DUMMYFUNCTION("""COMPUTED_VALUE"""),75243.0)</f>
        <v>75243</v>
      </c>
      <c r="I1767" s="8">
        <f t="shared" si="19"/>
        <v>75243</v>
      </c>
      <c r="J1767" s="9">
        <f>IFERROR(__xludf.DUMMYFUNCTION("SPLIT(I1767,""-"")"),75243.0)</f>
        <v>75243</v>
      </c>
    </row>
    <row r="1768">
      <c r="A1768" s="10" t="s">
        <v>1646</v>
      </c>
      <c r="B1768" s="11">
        <v>100.0</v>
      </c>
      <c r="C1768" s="12" t="s">
        <v>1238</v>
      </c>
      <c r="E1768" s="8" t="str">
        <f>IFERROR(__xludf.DUMMYFUNCTION("SPLIT(A1768,""TX"")"),"Lones, Rebecca
9932 Capridge Dr
Dallas, ")</f>
        <v>Lones, Rebecca
9932 Capridge Dr
Dallas, </v>
      </c>
      <c r="F1768" s="8">
        <f>IFERROR(__xludf.DUMMYFUNCTION("""COMPUTED_VALUE"""),75238.0)</f>
        <v>75238</v>
      </c>
      <c r="I1768" s="8">
        <f t="shared" si="19"/>
        <v>75238</v>
      </c>
      <c r="J1768" s="9">
        <f>IFERROR(__xludf.DUMMYFUNCTION("SPLIT(I1768,""-"")"),75238.0)</f>
        <v>75238</v>
      </c>
    </row>
    <row r="1769">
      <c r="A1769" s="10" t="s">
        <v>1647</v>
      </c>
      <c r="B1769" s="11">
        <v>50.0</v>
      </c>
      <c r="C1769" s="12" t="s">
        <v>1238</v>
      </c>
      <c r="E1769" s="8" t="str">
        <f>IFERROR(__xludf.DUMMYFUNCTION("SPLIT(A1769,""TX"")"),"Rooney, Patricia
8035 Nimrod
Dallas, ")</f>
        <v>Rooney, Patricia
8035 Nimrod
Dallas, </v>
      </c>
      <c r="F1769" s="8">
        <f>IFERROR(__xludf.DUMMYFUNCTION("""COMPUTED_VALUE"""),75238.0)</f>
        <v>75238</v>
      </c>
      <c r="I1769" s="8">
        <f t="shared" si="19"/>
        <v>75238</v>
      </c>
      <c r="J1769" s="9">
        <f>IFERROR(__xludf.DUMMYFUNCTION("SPLIT(I1769,""-"")"),75238.0)</f>
        <v>75238</v>
      </c>
    </row>
    <row r="1770">
      <c r="A1770" s="10" t="s">
        <v>1648</v>
      </c>
      <c r="B1770" s="11">
        <v>100.0</v>
      </c>
      <c r="C1770" s="12" t="s">
        <v>1238</v>
      </c>
      <c r="E1770" s="8" t="str">
        <f>IFERROR(__xludf.DUMMYFUNCTION("SPLIT(A1770,""TX"")"),"Irby, Robert
10030 Lakemere Dr
Dallas, ")</f>
        <v>Irby, Robert
10030 Lakemere Dr
Dallas, </v>
      </c>
      <c r="F1770" s="8">
        <f>IFERROR(__xludf.DUMMYFUNCTION("""COMPUTED_VALUE"""),75238.0)</f>
        <v>75238</v>
      </c>
      <c r="I1770" s="8">
        <f t="shared" si="19"/>
        <v>75238</v>
      </c>
      <c r="J1770" s="9">
        <f>IFERROR(__xludf.DUMMYFUNCTION("SPLIT(I1770,""-"")"),75238.0)</f>
        <v>75238</v>
      </c>
    </row>
    <row r="1771">
      <c r="A1771" s="10" t="s">
        <v>1649</v>
      </c>
      <c r="B1771" s="11">
        <v>25.0</v>
      </c>
      <c r="C1771" s="12" t="s">
        <v>1650</v>
      </c>
      <c r="E1771" s="8" t="str">
        <f>IFERROR(__xludf.DUMMYFUNCTION("SPLIT(A1771,""TX"")"),"Jenkins, Brandon
200 S Ryan Dr
Red Oak, ")</f>
        <v>Jenkins, Brandon
200 S Ryan Dr
Red Oak, </v>
      </c>
      <c r="F1771" s="8">
        <f>IFERROR(__xludf.DUMMYFUNCTION("""COMPUTED_VALUE"""),75154.0)</f>
        <v>75154</v>
      </c>
      <c r="I1771" s="8">
        <f t="shared" si="19"/>
        <v>75154</v>
      </c>
      <c r="J1771" s="9">
        <f>IFERROR(__xludf.DUMMYFUNCTION("SPLIT(I1771,""-"")"),75154.0)</f>
        <v>75154</v>
      </c>
    </row>
    <row r="1772">
      <c r="A1772" s="5" t="s">
        <v>1651</v>
      </c>
      <c r="B1772" s="6">
        <v>50.0</v>
      </c>
      <c r="C1772" s="7" t="s">
        <v>1650</v>
      </c>
      <c r="E1772" s="8" t="str">
        <f>IFERROR(__xludf.DUMMYFUNCTION("SPLIT(A1772,""TX"")"),"Lumpkins, Keisha
4381 Kendrick Cir
Loganville, GA 30052")</f>
        <v>Lumpkins, Keisha
4381 Kendrick Cir
Loganville, GA 30052</v>
      </c>
      <c r="I1772" s="8" t="str">
        <f t="shared" si="19"/>
        <v/>
      </c>
      <c r="J1772" s="9" t="str">
        <f>IFERROR(__xludf.DUMMYFUNCTION("SPLIT(I1772,""-"")"),"#VALUE!")</f>
        <v>#VALUE!</v>
      </c>
    </row>
    <row r="1773">
      <c r="A1773" s="10" t="s">
        <v>1652</v>
      </c>
      <c r="B1773" s="11">
        <v>25.0</v>
      </c>
      <c r="C1773" s="12" t="s">
        <v>1650</v>
      </c>
      <c r="E1773" s="8" t="str">
        <f>IFERROR(__xludf.DUMMYFUNCTION("SPLIT(A1773,""TX"")"),"Smith, Varice
649 Moss Rose Ct
Dallas, ")</f>
        <v>Smith, Varice
649 Moss Rose Ct
Dallas, </v>
      </c>
      <c r="F1773" s="8">
        <f>IFERROR(__xludf.DUMMYFUNCTION("""COMPUTED_VALUE"""),75217.0)</f>
        <v>75217</v>
      </c>
      <c r="I1773" s="8">
        <f t="shared" si="19"/>
        <v>75217</v>
      </c>
      <c r="J1773" s="9">
        <f>IFERROR(__xludf.DUMMYFUNCTION("SPLIT(I1773,""-"")"),75217.0)</f>
        <v>75217</v>
      </c>
    </row>
    <row r="1774">
      <c r="A1774" s="5" t="s">
        <v>1653</v>
      </c>
      <c r="B1774" s="6">
        <v>25.0</v>
      </c>
      <c r="C1774" s="7" t="s">
        <v>1650</v>
      </c>
      <c r="E1774" s="8" t="str">
        <f>IFERROR(__xludf.DUMMYFUNCTION("SPLIT(A1774,""TX"")"),"homas, Coty
1700 Dunkirk St
Slidell, LA 70461")</f>
        <v>homas, Coty
1700 Dunkirk St
Slidell, LA 70461</v>
      </c>
      <c r="I1774" s="8" t="str">
        <f t="shared" si="19"/>
        <v/>
      </c>
      <c r="J1774" s="9" t="str">
        <f>IFERROR(__xludf.DUMMYFUNCTION("SPLIT(I1774,""-"")"),"#VALUE!")</f>
        <v>#VALUE!</v>
      </c>
    </row>
    <row r="1775">
      <c r="A1775" s="10" t="s">
        <v>1654</v>
      </c>
      <c r="B1775" s="11">
        <v>25.0</v>
      </c>
      <c r="C1775" s="12" t="s">
        <v>1650</v>
      </c>
      <c r="E1775" s="8" t="str">
        <f>IFERROR(__xludf.DUMMYFUNCTION("SPLIT(A1775,""TX"")"),"Route, Victor
1816 LaHarpe St
New Orleans, LA 70116")</f>
        <v>Route, Victor
1816 LaHarpe St
New Orleans, LA 70116</v>
      </c>
      <c r="I1775" s="8" t="str">
        <f t="shared" si="19"/>
        <v/>
      </c>
      <c r="J1775" s="9" t="str">
        <f>IFERROR(__xludf.DUMMYFUNCTION("SPLIT(I1775,""-"")"),"#VALUE!")</f>
        <v>#VALUE!</v>
      </c>
    </row>
    <row r="1776">
      <c r="A1776" s="5" t="s">
        <v>1655</v>
      </c>
      <c r="B1776" s="6">
        <v>1000.0</v>
      </c>
      <c r="C1776" s="7" t="s">
        <v>1650</v>
      </c>
      <c r="E1776" s="8" t="str">
        <f>IFERROR(__xludf.DUMMYFUNCTION("SPLIT(A1776,""TX"")"),"Pierce, Curry
2000 Liverpool Dr.
Plano, ")</f>
        <v>Pierce, Curry
2000 Liverpool Dr.
Plano, </v>
      </c>
      <c r="F1776" s="8">
        <f>IFERROR(__xludf.DUMMYFUNCTION("""COMPUTED_VALUE"""),75025.0)</f>
        <v>75025</v>
      </c>
      <c r="I1776" s="8">
        <f t="shared" si="19"/>
        <v>75025</v>
      </c>
      <c r="J1776" s="9">
        <f>IFERROR(__xludf.DUMMYFUNCTION("SPLIT(I1776,""-"")"),75025.0)</f>
        <v>75025</v>
      </c>
    </row>
    <row r="1777">
      <c r="A1777" s="10" t="s">
        <v>1656</v>
      </c>
      <c r="B1777" s="11">
        <v>100.0</v>
      </c>
      <c r="C1777" s="12" t="s">
        <v>1650</v>
      </c>
      <c r="E1777" s="8" t="str">
        <f>IFERROR(__xludf.DUMMYFUNCTION("SPLIT(A1777,""TX"")"),"Carvell, Michael
7713 Captain Ln
Fort Worth, ")</f>
        <v>Carvell, Michael
7713 Captain Ln
Fort Worth, </v>
      </c>
      <c r="F1777" s="8">
        <f>IFERROR(__xludf.DUMMYFUNCTION("""COMPUTED_VALUE"""),76179.0)</f>
        <v>76179</v>
      </c>
      <c r="I1777" s="8">
        <f t="shared" si="19"/>
        <v>76179</v>
      </c>
      <c r="J1777" s="9">
        <f>IFERROR(__xludf.DUMMYFUNCTION("SPLIT(I1777,""-"")"),76179.0)</f>
        <v>76179</v>
      </c>
    </row>
    <row r="1778">
      <c r="A1778" s="5" t="s">
        <v>1657</v>
      </c>
      <c r="B1778" s="6">
        <v>50.0</v>
      </c>
      <c r="C1778" s="7" t="s">
        <v>1650</v>
      </c>
      <c r="E1778" s="8" t="str">
        <f>IFERROR(__xludf.DUMMYFUNCTION("SPLIT(A1778,""TX"")"),"McCloud, Marlo
9411 Crooked Creek Dr
Shreveport, LA 71118")</f>
        <v>McCloud, Marlo
9411 Crooked Creek Dr
Shreveport, LA 71118</v>
      </c>
      <c r="I1778" s="8" t="str">
        <f t="shared" si="19"/>
        <v/>
      </c>
      <c r="J1778" s="9" t="str">
        <f>IFERROR(__xludf.DUMMYFUNCTION("SPLIT(I1778,""-"")"),"#VALUE!")</f>
        <v>#VALUE!</v>
      </c>
    </row>
    <row r="1779">
      <c r="A1779" s="10" t="s">
        <v>1658</v>
      </c>
      <c r="B1779" s="11">
        <v>100.0</v>
      </c>
      <c r="C1779" s="12" t="s">
        <v>1650</v>
      </c>
      <c r="E1779" s="8" t="str">
        <f>IFERROR(__xludf.DUMMYFUNCTION("SPLIT(A1779,""TX"")"),"LaGrone, Laviolo
3117 Chester Ct.
Metairie, LA 70006")</f>
        <v>LaGrone, Laviolo
3117 Chester Ct.
Metairie, LA 70006</v>
      </c>
      <c r="I1779" s="8" t="str">
        <f t="shared" si="19"/>
        <v/>
      </c>
      <c r="J1779" s="9" t="str">
        <f>IFERROR(__xludf.DUMMYFUNCTION("SPLIT(I1779,""-"")"),"#VALUE!")</f>
        <v>#VALUE!</v>
      </c>
    </row>
    <row r="1780">
      <c r="A1780" s="5" t="s">
        <v>1659</v>
      </c>
      <c r="B1780" s="6">
        <v>200.0</v>
      </c>
      <c r="C1780" s="7" t="s">
        <v>1650</v>
      </c>
      <c r="E1780" s="8" t="str">
        <f>IFERROR(__xludf.DUMMYFUNCTION("SPLIT(A1780,""TX"")"),"Aguilar, Debra
727 S. Moore St
Dallas, ")</f>
        <v>Aguilar, Debra
727 S. Moore St
Dallas, </v>
      </c>
      <c r="F1780" s="8">
        <f>IFERROR(__xludf.DUMMYFUNCTION("""COMPUTED_VALUE"""),75203.0)</f>
        <v>75203</v>
      </c>
      <c r="I1780" s="8">
        <f t="shared" si="19"/>
        <v>75203</v>
      </c>
      <c r="J1780" s="9">
        <f>IFERROR(__xludf.DUMMYFUNCTION("SPLIT(I1780,""-"")"),75203.0)</f>
        <v>75203</v>
      </c>
    </row>
    <row r="1781">
      <c r="A1781" s="10" t="s">
        <v>1660</v>
      </c>
      <c r="B1781" s="11">
        <v>70.0</v>
      </c>
      <c r="C1781" s="12" t="s">
        <v>1650</v>
      </c>
      <c r="E1781" s="8" t="str">
        <f>IFERROR(__xludf.DUMMYFUNCTION("SPLIT(A1781,""TX"")"),"Culton, Jacqueline
1514 Marshall Dr.
Duncanville, ")</f>
        <v>Culton, Jacqueline
1514 Marshall Dr.
Duncanville, </v>
      </c>
      <c r="F1781" s="8">
        <f>IFERROR(__xludf.DUMMYFUNCTION("""COMPUTED_VALUE"""),75137.0)</f>
        <v>75137</v>
      </c>
      <c r="I1781" s="8">
        <f t="shared" si="19"/>
        <v>75137</v>
      </c>
      <c r="J1781" s="9">
        <f>IFERROR(__xludf.DUMMYFUNCTION("SPLIT(I1781,""-"")"),75137.0)</f>
        <v>75137</v>
      </c>
    </row>
    <row r="1782">
      <c r="A1782" s="5" t="s">
        <v>1661</v>
      </c>
      <c r="B1782" s="6">
        <v>15.0</v>
      </c>
      <c r="C1782" s="7" t="s">
        <v>1650</v>
      </c>
      <c r="E1782" s="8" t="str">
        <f>IFERROR(__xludf.DUMMYFUNCTION("SPLIT(A1782,""TX"")"),"Agbon, Jamila
1648 Champagne Dr
Dallas, ")</f>
        <v>Agbon, Jamila
1648 Champagne Dr
Dallas, </v>
      </c>
      <c r="F1782" s="8">
        <f>IFERROR(__xludf.DUMMYFUNCTION("""COMPUTED_VALUE"""),75224.0)</f>
        <v>75224</v>
      </c>
      <c r="I1782" s="8">
        <f t="shared" si="19"/>
        <v>75224</v>
      </c>
      <c r="J1782" s="9">
        <f>IFERROR(__xludf.DUMMYFUNCTION("SPLIT(I1782,""-"")"),75224.0)</f>
        <v>75224</v>
      </c>
    </row>
    <row r="1783">
      <c r="A1783" s="10" t="s">
        <v>1662</v>
      </c>
      <c r="B1783" s="11">
        <v>25.0</v>
      </c>
      <c r="C1783" s="12" t="s">
        <v>1650</v>
      </c>
      <c r="E1783" s="8" t="str">
        <f>IFERROR(__xludf.DUMMYFUNCTION("SPLIT(A1783,""TX"")"),"Childress, Nicole
83 Lucas Ln.
Edgecliff Village, ")</f>
        <v>Childress, Nicole
83 Lucas Ln.
Edgecliff Village, </v>
      </c>
      <c r="F1783" s="8">
        <f>IFERROR(__xludf.DUMMYFUNCTION("""COMPUTED_VALUE"""),76134.0)</f>
        <v>76134</v>
      </c>
      <c r="I1783" s="8">
        <f t="shared" si="19"/>
        <v>76134</v>
      </c>
      <c r="J1783" s="9">
        <f>IFERROR(__xludf.DUMMYFUNCTION("SPLIT(I1783,""-"")"),76134.0)</f>
        <v>76134</v>
      </c>
    </row>
    <row r="1784">
      <c r="A1784" s="5" t="s">
        <v>1663</v>
      </c>
      <c r="B1784" s="6">
        <v>1000.0</v>
      </c>
      <c r="C1784" s="7" t="s">
        <v>1650</v>
      </c>
      <c r="E1784" s="8" t="str">
        <f>IFERROR(__xludf.DUMMYFUNCTION("SPLIT(A1784,""TX"")"),"Jennings, Nancy
2310 N. Henderson Ave
Dallas, ")</f>
        <v>Jennings, Nancy
2310 N. Henderson Ave
Dallas, </v>
      </c>
      <c r="F1784" s="8">
        <f>IFERROR(__xludf.DUMMYFUNCTION("""COMPUTED_VALUE"""),75206.0)</f>
        <v>75206</v>
      </c>
      <c r="I1784" s="8">
        <f t="shared" si="19"/>
        <v>75206</v>
      </c>
      <c r="J1784" s="9">
        <f>IFERROR(__xludf.DUMMYFUNCTION("SPLIT(I1784,""-"")"),75206.0)</f>
        <v>75206</v>
      </c>
    </row>
    <row r="1785">
      <c r="A1785" s="10" t="s">
        <v>1664</v>
      </c>
      <c r="B1785" s="11">
        <v>1000.0</v>
      </c>
      <c r="C1785" s="12" t="s">
        <v>1650</v>
      </c>
      <c r="E1785" s="8" t="str">
        <f>IFERROR(__xludf.DUMMYFUNCTION("SPLIT(A1785,""TX"")"),"Jennings, Steve
2310 N. Henderson Ave.
Dallas, ")</f>
        <v>Jennings, Steve
2310 N. Henderson Ave.
Dallas, </v>
      </c>
      <c r="F1785" s="8">
        <f>IFERROR(__xludf.DUMMYFUNCTION("""COMPUTED_VALUE"""),75206.0)</f>
        <v>75206</v>
      </c>
      <c r="I1785" s="8">
        <f t="shared" si="19"/>
        <v>75206</v>
      </c>
      <c r="J1785" s="9">
        <f>IFERROR(__xludf.DUMMYFUNCTION("SPLIT(I1785,""-"")"),75206.0)</f>
        <v>75206</v>
      </c>
    </row>
    <row r="1786">
      <c r="A1786" s="5" t="s">
        <v>1665</v>
      </c>
      <c r="B1786" s="6">
        <v>1000.0</v>
      </c>
      <c r="C1786" s="7" t="s">
        <v>1650</v>
      </c>
      <c r="E1786" s="8" t="str">
        <f>IFERROR(__xludf.DUMMYFUNCTION("SPLIT(A1786,""TX"")"),"Deason, Doug
3953 Maple Ave
Dallas, ")</f>
        <v>Deason, Doug
3953 Maple Ave
Dallas, </v>
      </c>
      <c r="F1786" s="8">
        <f>IFERROR(__xludf.DUMMYFUNCTION("""COMPUTED_VALUE"""),75219.0)</f>
        <v>75219</v>
      </c>
      <c r="I1786" s="8">
        <f t="shared" si="19"/>
        <v>75219</v>
      </c>
      <c r="J1786" s="9">
        <f>IFERROR(__xludf.DUMMYFUNCTION("SPLIT(I1786,""-"")"),75219.0)</f>
        <v>75219</v>
      </c>
    </row>
    <row r="1787">
      <c r="A1787" s="10" t="s">
        <v>153</v>
      </c>
      <c r="B1787" s="11">
        <v>1000.0</v>
      </c>
      <c r="C1787" s="12" t="s">
        <v>1650</v>
      </c>
      <c r="E1787" s="8" t="str">
        <f>IFERROR(__xludf.DUMMYFUNCTION("SPLIT(A1787,""TX"")"),"Deason, Darwin
3953 Maple Ave
Dallas, ")</f>
        <v>Deason, Darwin
3953 Maple Ave
Dallas, </v>
      </c>
      <c r="F1787" s="8">
        <f>IFERROR(__xludf.DUMMYFUNCTION("""COMPUTED_VALUE"""),75219.0)</f>
        <v>75219</v>
      </c>
      <c r="I1787" s="8">
        <f t="shared" si="19"/>
        <v>75219</v>
      </c>
      <c r="J1787" s="9">
        <f>IFERROR(__xludf.DUMMYFUNCTION("SPLIT(I1787,""-"")"),75219.0)</f>
        <v>75219</v>
      </c>
    </row>
    <row r="1788">
      <c r="A1788" s="5" t="s">
        <v>1666</v>
      </c>
      <c r="B1788" s="6">
        <v>1000.0</v>
      </c>
      <c r="C1788" s="7" t="s">
        <v>1650</v>
      </c>
      <c r="E1788" s="8" t="str">
        <f>IFERROR(__xludf.DUMMYFUNCTION("SPLIT(A1788,""TX"")"),"Pick, Jacki
3953 Maple Ave
Dallas, ")</f>
        <v>Pick, Jacki
3953 Maple Ave
Dallas, </v>
      </c>
      <c r="F1788" s="8">
        <f>IFERROR(__xludf.DUMMYFUNCTION("""COMPUTED_VALUE"""),75219.0)</f>
        <v>75219</v>
      </c>
      <c r="I1788" s="8">
        <f t="shared" si="19"/>
        <v>75219</v>
      </c>
      <c r="J1788" s="9">
        <f>IFERROR(__xludf.DUMMYFUNCTION("SPLIT(I1788,""-"")"),75219.0)</f>
        <v>75219</v>
      </c>
    </row>
    <row r="1789">
      <c r="A1789" s="10" t="s">
        <v>154</v>
      </c>
      <c r="B1789" s="11">
        <v>1000.0</v>
      </c>
      <c r="C1789" s="12" t="s">
        <v>1650</v>
      </c>
      <c r="E1789" s="8" t="str">
        <f>IFERROR(__xludf.DUMMYFUNCTION("SPLIT(A1789,""TX"")"),"Deason, Kimberly
3953 Maple Ave
Dallas, ")</f>
        <v>Deason, Kimberly
3953 Maple Ave
Dallas, </v>
      </c>
      <c r="F1789" s="8">
        <f>IFERROR(__xludf.DUMMYFUNCTION("""COMPUTED_VALUE"""),75219.0)</f>
        <v>75219</v>
      </c>
      <c r="I1789" s="8">
        <f t="shared" si="19"/>
        <v>75219</v>
      </c>
      <c r="J1789" s="9">
        <f>IFERROR(__xludf.DUMMYFUNCTION("SPLIT(I1789,""-"")"),75219.0)</f>
        <v>75219</v>
      </c>
    </row>
    <row r="1790">
      <c r="A1790" s="5" t="s">
        <v>1667</v>
      </c>
      <c r="B1790" s="6">
        <v>25.0</v>
      </c>
      <c r="C1790" s="7" t="s">
        <v>1650</v>
      </c>
      <c r="E1790" s="8" t="str">
        <f>IFERROR(__xludf.DUMMYFUNCTION("SPLIT(A1790,""TX"")"),"Mullen, Sharita
12835 Preston Rd
Dallas, ")</f>
        <v>Mullen, Sharita
12835 Preston Rd
Dallas, </v>
      </c>
      <c r="F1790" s="8">
        <f>IFERROR(__xludf.DUMMYFUNCTION("""COMPUTED_VALUE"""),75230.0)</f>
        <v>75230</v>
      </c>
      <c r="I1790" s="8">
        <f t="shared" si="19"/>
        <v>75230</v>
      </c>
      <c r="J1790" s="9">
        <f>IFERROR(__xludf.DUMMYFUNCTION("SPLIT(I1790,""-"")"),75230.0)</f>
        <v>75230</v>
      </c>
    </row>
    <row r="1791">
      <c r="A1791" s="10" t="s">
        <v>1668</v>
      </c>
      <c r="B1791" s="11">
        <v>200.0</v>
      </c>
      <c r="C1791" s="12" t="s">
        <v>1650</v>
      </c>
      <c r="E1791" s="8" t="str">
        <f>IFERROR(__xludf.DUMMYFUNCTION("SPLIT(A1791,""TX"")"),"Sebesta, Edward
1502 Seevers Ave
Dallas, ")</f>
        <v>Sebesta, Edward
1502 Seevers Ave
Dallas, </v>
      </c>
      <c r="F1791" s="8">
        <f>IFERROR(__xludf.DUMMYFUNCTION("""COMPUTED_VALUE"""),75216.0)</f>
        <v>75216</v>
      </c>
      <c r="I1791" s="8">
        <f t="shared" si="19"/>
        <v>75216</v>
      </c>
      <c r="J1791" s="9">
        <f>IFERROR(__xludf.DUMMYFUNCTION("SPLIT(I1791,""-"")"),75216.0)</f>
        <v>75216</v>
      </c>
    </row>
    <row r="1792">
      <c r="A1792" s="5" t="s">
        <v>1669</v>
      </c>
      <c r="B1792" s="6">
        <v>25.0</v>
      </c>
      <c r="C1792" s="7" t="s">
        <v>1650</v>
      </c>
      <c r="E1792" s="8" t="str">
        <f>IFERROR(__xludf.DUMMYFUNCTION("SPLIT(A1792,""TX"")"),"Brown, Roxana
2002 Fairbanks Dr.
Princeton, ")</f>
        <v>Brown, Roxana
2002 Fairbanks Dr.
Princeton, </v>
      </c>
      <c r="F1792" s="8">
        <f>IFERROR(__xludf.DUMMYFUNCTION("""COMPUTED_VALUE"""),75407.0)</f>
        <v>75407</v>
      </c>
      <c r="I1792" s="8">
        <f t="shared" si="19"/>
        <v>75407</v>
      </c>
      <c r="J1792" s="9">
        <f>IFERROR(__xludf.DUMMYFUNCTION("SPLIT(I1792,""-"")"),75407.0)</f>
        <v>75407</v>
      </c>
    </row>
    <row r="1793">
      <c r="A1793" s="10" t="s">
        <v>1670</v>
      </c>
      <c r="B1793" s="11">
        <v>25.0</v>
      </c>
      <c r="C1793" s="12" t="s">
        <v>1650</v>
      </c>
      <c r="E1793" s="8" t="str">
        <f>IFERROR(__xludf.DUMMYFUNCTION("SPLIT(A1793,""TX"")"),"Jalitt, Blanca
1125 Shadyglen Cir
Richardson, ")</f>
        <v>Jalitt, Blanca
1125 Shadyglen Cir
Richardson, </v>
      </c>
      <c r="F1793" s="8">
        <f>IFERROR(__xludf.DUMMYFUNCTION("""COMPUTED_VALUE"""),75081.0)</f>
        <v>75081</v>
      </c>
      <c r="I1793" s="8">
        <f t="shared" si="19"/>
        <v>75081</v>
      </c>
      <c r="J1793" s="9">
        <f>IFERROR(__xludf.DUMMYFUNCTION("SPLIT(I1793,""-"")"),75081.0)</f>
        <v>75081</v>
      </c>
    </row>
    <row r="1794">
      <c r="A1794" s="5" t="s">
        <v>1671</v>
      </c>
      <c r="B1794" s="6">
        <v>25.0</v>
      </c>
      <c r="C1794" s="7" t="s">
        <v>1650</v>
      </c>
      <c r="E1794" s="8" t="str">
        <f>IFERROR(__xludf.DUMMYFUNCTION("SPLIT(A1794,""TX"")"),"Edwards, Rene
2628 Midden Dr
Marrero, LA 70072")</f>
        <v>Edwards, Rene
2628 Midden Dr
Marrero, LA 70072</v>
      </c>
      <c r="I1794" s="8" t="str">
        <f t="shared" si="19"/>
        <v/>
      </c>
      <c r="J1794" s="9" t="str">
        <f>IFERROR(__xludf.DUMMYFUNCTION("SPLIT(I1794,""-"")"),"#VALUE!")</f>
        <v>#VALUE!</v>
      </c>
    </row>
    <row r="1795">
      <c r="A1795" s="10" t="s">
        <v>1672</v>
      </c>
      <c r="B1795" s="11">
        <v>1000.0</v>
      </c>
      <c r="C1795" s="12" t="s">
        <v>1650</v>
      </c>
      <c r="E1795" s="8" t="str">
        <f>IFERROR(__xludf.DUMMYFUNCTION("SPLIT(A1795,""TX"")"),"Smith, Jamie
PO Box 398280
Dallas, ")</f>
        <v>Smith, Jamie
PO Box 398280
Dallas, </v>
      </c>
      <c r="F1795" s="8">
        <f>IFERROR(__xludf.DUMMYFUNCTION("""COMPUTED_VALUE"""),75339.0)</f>
        <v>75339</v>
      </c>
      <c r="I1795" s="8">
        <f t="shared" si="19"/>
        <v>75339</v>
      </c>
      <c r="J1795" s="9">
        <f>IFERROR(__xludf.DUMMYFUNCTION("SPLIT(I1795,""-"")"),75339.0)</f>
        <v>75339</v>
      </c>
    </row>
    <row r="1796">
      <c r="A1796" s="5" t="s">
        <v>1673</v>
      </c>
      <c r="B1796" s="6">
        <v>250.0</v>
      </c>
      <c r="C1796" s="7" t="s">
        <v>1650</v>
      </c>
      <c r="E1796" s="8" t="str">
        <f>IFERROR(__xludf.DUMMYFUNCTION("SPLIT(A1796,""TX"")"),"Kooleys BBQ
1219 E Illinois Ave
Dallas, ")</f>
        <v>Kooleys BBQ
1219 E Illinois Ave
Dallas, </v>
      </c>
      <c r="F1796" s="8">
        <f>IFERROR(__xludf.DUMMYFUNCTION("""COMPUTED_VALUE"""),75216.0)</f>
        <v>75216</v>
      </c>
      <c r="I1796" s="8">
        <f t="shared" si="19"/>
        <v>75216</v>
      </c>
      <c r="J1796" s="9">
        <f>IFERROR(__xludf.DUMMYFUNCTION("SPLIT(I1796,""-"")"),75216.0)</f>
        <v>75216</v>
      </c>
    </row>
    <row r="1797">
      <c r="A1797" s="10" t="s">
        <v>1674</v>
      </c>
      <c r="B1797" s="11">
        <v>100.0</v>
      </c>
      <c r="C1797" s="12" t="s">
        <v>1650</v>
      </c>
      <c r="E1797" s="8" t="str">
        <f>IFERROR(__xludf.DUMMYFUNCTION("SPLIT(A1797,""TX"")"),"Khepara, Mene
999 Walter Stephenson Rd
Midlothian, ")</f>
        <v>Khepara, Mene
999 Walter Stephenson Rd
Midlothian, </v>
      </c>
      <c r="F1797" s="8">
        <f>IFERROR(__xludf.DUMMYFUNCTION("""COMPUTED_VALUE"""),76065.0)</f>
        <v>76065</v>
      </c>
      <c r="I1797" s="8">
        <f t="shared" si="19"/>
        <v>76065</v>
      </c>
      <c r="J1797" s="9">
        <f>IFERROR(__xludf.DUMMYFUNCTION("SPLIT(I1797,""-"")"),76065.0)</f>
        <v>76065</v>
      </c>
    </row>
    <row r="1798">
      <c r="A1798" s="5" t="s">
        <v>1675</v>
      </c>
      <c r="B1798" s="6">
        <v>1000.0</v>
      </c>
      <c r="C1798" s="7" t="s">
        <v>1650</v>
      </c>
      <c r="E1798" s="8" t="str">
        <f>IFERROR(__xludf.DUMMYFUNCTION("SPLIT(A1798,""TX"")"),"Woodall, Laura
4303 W. Lovers Lane
Dallas, ")</f>
        <v>Woodall, Laura
4303 W. Lovers Lane
Dallas, </v>
      </c>
      <c r="F1798" s="8">
        <f>IFERROR(__xludf.DUMMYFUNCTION("""COMPUTED_VALUE"""),75209.0)</f>
        <v>75209</v>
      </c>
      <c r="I1798" s="8">
        <f t="shared" si="19"/>
        <v>75209</v>
      </c>
      <c r="J1798" s="9">
        <f>IFERROR(__xludf.DUMMYFUNCTION("SPLIT(I1798,""-"")"),75209.0)</f>
        <v>75209</v>
      </c>
    </row>
    <row r="1799">
      <c r="A1799" s="10" t="s">
        <v>1676</v>
      </c>
      <c r="B1799" s="11">
        <v>25.0</v>
      </c>
      <c r="C1799" s="12" t="s">
        <v>1650</v>
      </c>
      <c r="E1799" s="8" t="str">
        <f>IFERROR(__xludf.DUMMYFUNCTION("SPLIT(A1799,""TX"")"),"Moore, Nina
8418 Beachplum Way
Arlington, ")</f>
        <v>Moore, Nina
8418 Beachplum Way
Arlington, </v>
      </c>
      <c r="F1799" s="8">
        <f>IFERROR(__xludf.DUMMYFUNCTION("""COMPUTED_VALUE"""),76002.0)</f>
        <v>76002</v>
      </c>
      <c r="I1799" s="8">
        <f t="shared" si="19"/>
        <v>76002</v>
      </c>
      <c r="J1799" s="9">
        <f>IFERROR(__xludf.DUMMYFUNCTION("SPLIT(I1799,""-"")"),76002.0)</f>
        <v>76002</v>
      </c>
    </row>
    <row r="1800">
      <c r="A1800" s="5" t="s">
        <v>1677</v>
      </c>
      <c r="B1800" s="6">
        <v>25.0</v>
      </c>
      <c r="C1800" s="7" t="s">
        <v>1650</v>
      </c>
      <c r="E1800" s="8" t="str">
        <f>IFERROR(__xludf.DUMMYFUNCTION("SPLIT(A1800,""TX"")"),"aylor, Shirley
2115 Mistymeadow Ct
Carrollton, ")</f>
        <v>aylor, Shirley
2115 Mistymeadow Ct
Carrollton, </v>
      </c>
      <c r="F1800" s="8">
        <f>IFERROR(__xludf.DUMMYFUNCTION("""COMPUTED_VALUE"""),75006.0)</f>
        <v>75006</v>
      </c>
      <c r="I1800" s="8">
        <f t="shared" si="19"/>
        <v>75006</v>
      </c>
      <c r="J1800" s="9">
        <f>IFERROR(__xludf.DUMMYFUNCTION("SPLIT(I1800,""-"")"),75006.0)</f>
        <v>75006</v>
      </c>
    </row>
    <row r="1801">
      <c r="A1801" s="10" t="s">
        <v>1678</v>
      </c>
      <c r="B1801" s="11">
        <v>50.0</v>
      </c>
      <c r="C1801" s="12" t="s">
        <v>1650</v>
      </c>
      <c r="E1801" s="8" t="str">
        <f>IFERROR(__xludf.DUMMYFUNCTION("SPLIT(A1801,""TX"")"),"Horton, Otis
1984 Howell Mill Rd
Atlanta, GA 30325")</f>
        <v>Horton, Otis
1984 Howell Mill Rd
Atlanta, GA 30325</v>
      </c>
      <c r="I1801" s="8" t="str">
        <f t="shared" si="19"/>
        <v/>
      </c>
      <c r="J1801" s="9" t="str">
        <f>IFERROR(__xludf.DUMMYFUNCTION("SPLIT(I1801,""-"")"),"#VALUE!")</f>
        <v>#VALUE!</v>
      </c>
    </row>
    <row r="1802">
      <c r="A1802" s="5" t="s">
        <v>1679</v>
      </c>
      <c r="B1802" s="6">
        <v>25.0</v>
      </c>
      <c r="C1802" s="7" t="s">
        <v>1650</v>
      </c>
      <c r="E1802" s="8" t="str">
        <f>IFERROR(__xludf.DUMMYFUNCTION("SPLIT(A1802,""TX"")"),"Alexander, Dominique
1808 S. Good Latimer Expy
Dallas, ")</f>
        <v>Alexander, Dominique
1808 S. Good Latimer Expy
Dallas, </v>
      </c>
      <c r="F1802" s="8">
        <f>IFERROR(__xludf.DUMMYFUNCTION("""COMPUTED_VALUE"""),75226.0)</f>
        <v>75226</v>
      </c>
      <c r="I1802" s="8">
        <f t="shared" si="19"/>
        <v>75226</v>
      </c>
      <c r="J1802" s="9">
        <f>IFERROR(__xludf.DUMMYFUNCTION("SPLIT(I1802,""-"")"),75226.0)</f>
        <v>75226</v>
      </c>
    </row>
    <row r="1803">
      <c r="A1803" s="10" t="s">
        <v>1680</v>
      </c>
      <c r="B1803" s="11">
        <v>100.0</v>
      </c>
      <c r="C1803" s="12" t="s">
        <v>1238</v>
      </c>
      <c r="E1803" s="8" t="str">
        <f>IFERROR(__xludf.DUMMYFUNCTION("SPLIT(A1803,""TX"")"),"Forasiepe, ")</f>
        <v>Forasiepe, </v>
      </c>
      <c r="F1803" s="8" t="str">
        <f>IFERROR(__xludf.DUMMYFUNCTION("""COMPUTED_VALUE"""),"aama
8014 Nimord ")</f>
        <v>aama
8014 Nimord </v>
      </c>
      <c r="G1803" s="8" t="str">
        <f>IFERROR(__xludf.DUMMYFUNCTION("""COMPUTED_VALUE"""),"rail
Dallas, ")</f>
        <v>rail
Dallas, </v>
      </c>
      <c r="H1803" s="8">
        <f>IFERROR(__xludf.DUMMYFUNCTION("""COMPUTED_VALUE"""),75238.0)</f>
        <v>75238</v>
      </c>
      <c r="I1803" s="13">
        <v>75238.0</v>
      </c>
      <c r="J1803" s="9">
        <f>IFERROR(__xludf.DUMMYFUNCTION("SPLIT(I1803,""-"")"),75238.0)</f>
        <v>75238</v>
      </c>
    </row>
    <row r="1804">
      <c r="A1804" s="10" t="s">
        <v>1681</v>
      </c>
      <c r="B1804" s="11">
        <v>25.0</v>
      </c>
      <c r="C1804" s="12" t="s">
        <v>1238</v>
      </c>
      <c r="E1804" s="8" t="str">
        <f>IFERROR(__xludf.DUMMYFUNCTION("SPLIT(A1804,""TX"")"),"Morrow, John
8522 Stable Glen Dr
Dallas, ")</f>
        <v>Morrow, John
8522 Stable Glen Dr
Dallas, </v>
      </c>
      <c r="F1804" s="8">
        <f>IFERROR(__xludf.DUMMYFUNCTION("""COMPUTED_VALUE"""),75243.0)</f>
        <v>75243</v>
      </c>
      <c r="I1804" s="8">
        <f t="shared" ref="I1804:I1915" si="20">IF(ISBLANK(G1804),F1804,G1804)</f>
        <v>75243</v>
      </c>
      <c r="J1804" s="9">
        <f>IFERROR(__xludf.DUMMYFUNCTION("SPLIT(I1804,""-"")"),75243.0)</f>
        <v>75243</v>
      </c>
    </row>
    <row r="1805">
      <c r="A1805" s="10" t="s">
        <v>1682</v>
      </c>
      <c r="B1805" s="11">
        <v>1000.0</v>
      </c>
      <c r="C1805" s="12" t="s">
        <v>1238</v>
      </c>
      <c r="E1805" s="8" t="str">
        <f>IFERROR(__xludf.DUMMYFUNCTION("SPLIT(A1805,""TX"")"),"Halford, Lee
9623 Viewside Dr
Dallas, ")</f>
        <v>Halford, Lee
9623 Viewside Dr
Dallas, </v>
      </c>
      <c r="F1805" s="8">
        <f>IFERROR(__xludf.DUMMYFUNCTION("""COMPUTED_VALUE"""),75231.0)</f>
        <v>75231</v>
      </c>
      <c r="I1805" s="8">
        <f t="shared" si="20"/>
        <v>75231</v>
      </c>
      <c r="J1805" s="9">
        <f>IFERROR(__xludf.DUMMYFUNCTION("SPLIT(I1805,""-"")"),75231.0)</f>
        <v>75231</v>
      </c>
    </row>
    <row r="1806">
      <c r="A1806" s="5" t="s">
        <v>1683</v>
      </c>
      <c r="B1806" s="6">
        <v>100.0</v>
      </c>
      <c r="C1806" s="7" t="s">
        <v>50</v>
      </c>
      <c r="E1806" s="8" t="str">
        <f>IFERROR(__xludf.DUMMYFUNCTION("SPLIT(A1806,""TX"")"),"Hebeler, Rulan
3600 
Dallas, ")</f>
        <v>Hebeler, Rulan
3600 
Dallas, </v>
      </c>
      <c r="F1806" s="8">
        <f>IFERROR(__xludf.DUMMYFUNCTION("""COMPUTED_VALUE"""),75205.0)</f>
        <v>75205</v>
      </c>
      <c r="I1806" s="8">
        <f t="shared" si="20"/>
        <v>75205</v>
      </c>
      <c r="J1806" s="9">
        <f>IFERROR(__xludf.DUMMYFUNCTION("SPLIT(I1806,""-"")"),75205.0)</f>
        <v>75205</v>
      </c>
    </row>
    <row r="1807">
      <c r="A1807" s="10" t="s">
        <v>1684</v>
      </c>
      <c r="B1807" s="11">
        <v>50.0</v>
      </c>
      <c r="C1807" s="12" t="s">
        <v>50</v>
      </c>
      <c r="E1807" s="8" t="str">
        <f>IFERROR(__xludf.DUMMYFUNCTION("SPLIT(A1807,""TX"")"),"Brundage, Ashley
408 
Coppell, ")</f>
        <v>Brundage, Ashley
408 
Coppell, </v>
      </c>
      <c r="F1807" s="8">
        <f>IFERROR(__xludf.DUMMYFUNCTION("""COMPUTED_VALUE"""),75019.0)</f>
        <v>75019</v>
      </c>
      <c r="I1807" s="8">
        <f t="shared" si="20"/>
        <v>75019</v>
      </c>
      <c r="J1807" s="9">
        <f>IFERROR(__xludf.DUMMYFUNCTION("SPLIT(I1807,""-"")"),75019.0)</f>
        <v>75019</v>
      </c>
    </row>
    <row r="1808">
      <c r="A1808" s="10" t="s">
        <v>1685</v>
      </c>
      <c r="B1808" s="11">
        <v>500.0</v>
      </c>
      <c r="C1808" s="12" t="s">
        <v>50</v>
      </c>
      <c r="E1808" s="8" t="str">
        <f>IFERROR(__xludf.DUMMYFUNCTION("SPLIT(A1808,""TX"")"),"Forsythe Lill, Valetta
622 
Dallas, ")</f>
        <v>Forsythe Lill, Valetta
622 
Dallas, </v>
      </c>
      <c r="F1808" s="8">
        <f>IFERROR(__xludf.DUMMYFUNCTION("""COMPUTED_VALUE"""),75223.0)</f>
        <v>75223</v>
      </c>
      <c r="I1808" s="8">
        <f t="shared" si="20"/>
        <v>75223</v>
      </c>
      <c r="J1808" s="9">
        <f>IFERROR(__xludf.DUMMYFUNCTION("SPLIT(I1808,""-"")"),75223.0)</f>
        <v>75223</v>
      </c>
    </row>
    <row r="1809">
      <c r="A1809" s="10" t="s">
        <v>1686</v>
      </c>
      <c r="B1809" s="11">
        <v>50.0</v>
      </c>
      <c r="C1809" s="12" t="s">
        <v>50</v>
      </c>
      <c r="E1809" s="8" t="str">
        <f>IFERROR(__xludf.DUMMYFUNCTION("SPLIT(A1809,""TX"")"),"Lamont, Adam
9432 
Dallas, ")</f>
        <v>Lamont, Adam
9432 
Dallas, </v>
      </c>
      <c r="F1809" s="8">
        <f>IFERROR(__xludf.DUMMYFUNCTION("""COMPUTED_VALUE"""),75243.0)</f>
        <v>75243</v>
      </c>
      <c r="I1809" s="8">
        <f t="shared" si="20"/>
        <v>75243</v>
      </c>
      <c r="J1809" s="9">
        <f>IFERROR(__xludf.DUMMYFUNCTION("SPLIT(I1809,""-"")"),75243.0)</f>
        <v>75243</v>
      </c>
    </row>
    <row r="1810">
      <c r="A1810" s="10" t="s">
        <v>1687</v>
      </c>
      <c r="B1810" s="11">
        <v>1000.0</v>
      </c>
      <c r="C1810" s="12" t="s">
        <v>50</v>
      </c>
      <c r="E1810" s="8" t="str">
        <f>IFERROR(__xludf.DUMMYFUNCTION("SPLIT(A1810,""TX"")"),"Laster, Joseph
2721 
Dallas, ")</f>
        <v>Laster, Joseph
2721 
Dallas, </v>
      </c>
      <c r="F1810" s="8">
        <f>IFERROR(__xludf.DUMMYFUNCTION("""COMPUTED_VALUE"""),75215.0)</f>
        <v>75215</v>
      </c>
      <c r="I1810" s="8">
        <f t="shared" si="20"/>
        <v>75215</v>
      </c>
      <c r="J1810" s="9">
        <f>IFERROR(__xludf.DUMMYFUNCTION("SPLIT(I1810,""-"")"),75215.0)</f>
        <v>75215</v>
      </c>
    </row>
    <row r="1811">
      <c r="A1811" s="10" t="s">
        <v>1688</v>
      </c>
      <c r="B1811" s="11">
        <v>250.0</v>
      </c>
      <c r="C1811" s="12" t="s">
        <v>50</v>
      </c>
      <c r="E1811" s="8" t="str">
        <f>IFERROR(__xludf.DUMMYFUNCTION("SPLIT(A1811,""TX"")"),"Page, Anthony
3210 
Dallas, ")</f>
        <v>Page, Anthony
3210 
Dallas, </v>
      </c>
      <c r="F1811" s="8">
        <f>IFERROR(__xludf.DUMMYFUNCTION("""COMPUTED_VALUE"""),75204.0)</f>
        <v>75204</v>
      </c>
      <c r="I1811" s="8">
        <f t="shared" si="20"/>
        <v>75204</v>
      </c>
      <c r="J1811" s="9">
        <f>IFERROR(__xludf.DUMMYFUNCTION("SPLIT(I1811,""-"")"),75204.0)</f>
        <v>75204</v>
      </c>
    </row>
    <row r="1812">
      <c r="A1812" s="10" t="s">
        <v>1689</v>
      </c>
      <c r="B1812" s="11">
        <v>200.0</v>
      </c>
      <c r="C1812" s="12" t="s">
        <v>50</v>
      </c>
      <c r="E1812" s="8" t="str">
        <f>IFERROR(__xludf.DUMMYFUNCTION("SPLIT(A1812,""TX"")"),"Cambpell, Stewart
6427 
Dallas, ")</f>
        <v>Cambpell, Stewart
6427 
Dallas, </v>
      </c>
      <c r="F1812" s="8">
        <f>IFERROR(__xludf.DUMMYFUNCTION("""COMPUTED_VALUE"""),75214.0)</f>
        <v>75214</v>
      </c>
      <c r="I1812" s="8">
        <f t="shared" si="20"/>
        <v>75214</v>
      </c>
      <c r="J1812" s="9">
        <f>IFERROR(__xludf.DUMMYFUNCTION("SPLIT(I1812,""-"")"),75214.0)</f>
        <v>75214</v>
      </c>
    </row>
    <row r="1813">
      <c r="A1813" s="10" t="s">
        <v>1690</v>
      </c>
      <c r="B1813" s="11">
        <v>250.0</v>
      </c>
      <c r="C1813" s="12" t="s">
        <v>50</v>
      </c>
      <c r="E1813" s="8" t="str">
        <f>IFERROR(__xludf.DUMMYFUNCTION("SPLIT(A1813,""TX"")"),"Krochtengel, Zachary
17014 
Dallas, ")</f>
        <v>Krochtengel, Zachary
17014 
Dallas, </v>
      </c>
      <c r="F1813" s="8">
        <f>IFERROR(__xludf.DUMMYFUNCTION("""COMPUTED_VALUE"""),75248.0)</f>
        <v>75248</v>
      </c>
      <c r="I1813" s="8">
        <f t="shared" si="20"/>
        <v>75248</v>
      </c>
      <c r="J1813" s="9">
        <f>IFERROR(__xludf.DUMMYFUNCTION("SPLIT(I1813,""-"")"),75248.0)</f>
        <v>75248</v>
      </c>
    </row>
    <row r="1814">
      <c r="A1814" s="10" t="s">
        <v>1691</v>
      </c>
      <c r="B1814" s="11">
        <v>50.0</v>
      </c>
      <c r="C1814" s="12" t="s">
        <v>50</v>
      </c>
      <c r="E1814" s="8" t="str">
        <f>IFERROR(__xludf.DUMMYFUNCTION("SPLIT(A1814,""TX"")"),"Wright, Molly
1721 
Dallas, ")</f>
        <v>Wright, Molly
1721 
Dallas, </v>
      </c>
      <c r="F1814" s="8">
        <f>IFERROR(__xludf.DUMMYFUNCTION("""COMPUTED_VALUE"""),75228.0)</f>
        <v>75228</v>
      </c>
      <c r="I1814" s="8">
        <f t="shared" si="20"/>
        <v>75228</v>
      </c>
      <c r="J1814" s="9">
        <f>IFERROR(__xludf.DUMMYFUNCTION("SPLIT(I1814,""-"")"),75228.0)</f>
        <v>75228</v>
      </c>
    </row>
    <row r="1815">
      <c r="A1815" s="10" t="s">
        <v>1692</v>
      </c>
      <c r="B1815" s="11">
        <v>200.0</v>
      </c>
      <c r="C1815" s="12" t="s">
        <v>50</v>
      </c>
      <c r="E1815" s="8" t="str">
        <f>IFERROR(__xludf.DUMMYFUNCTION("SPLIT(A1815,""TX"")"),"Blackmon, Paula
6333 
Dallas, ")</f>
        <v>Blackmon, Paula
6333 
Dallas, </v>
      </c>
      <c r="F1815" s="8">
        <f>IFERROR(__xludf.DUMMYFUNCTION("""COMPUTED_VALUE"""),75214.0)</f>
        <v>75214</v>
      </c>
      <c r="I1815" s="8">
        <f t="shared" si="20"/>
        <v>75214</v>
      </c>
      <c r="J1815" s="9">
        <f>IFERROR(__xludf.DUMMYFUNCTION("SPLIT(I1815,""-"")"),75214.0)</f>
        <v>75214</v>
      </c>
    </row>
    <row r="1816">
      <c r="A1816" s="10" t="s">
        <v>1693</v>
      </c>
      <c r="B1816" s="11">
        <v>250.0</v>
      </c>
      <c r="C1816" s="12" t="s">
        <v>50</v>
      </c>
      <c r="E1816" s="8" t="str">
        <f>IFERROR(__xludf.DUMMYFUNCTION("SPLIT(A1816,""TX"")"),"Creuzot, John
8185 
Dallas, ")</f>
        <v>Creuzot, John
8185 
Dallas, </v>
      </c>
      <c r="F1816" s="8">
        <f>IFERROR(__xludf.DUMMYFUNCTION("""COMPUTED_VALUE"""),75218.0)</f>
        <v>75218</v>
      </c>
      <c r="I1816" s="8">
        <f t="shared" si="20"/>
        <v>75218</v>
      </c>
      <c r="J1816" s="9">
        <f>IFERROR(__xludf.DUMMYFUNCTION("SPLIT(I1816,""-"")"),75218.0)</f>
        <v>75218</v>
      </c>
    </row>
    <row r="1817">
      <c r="A1817" s="10" t="s">
        <v>1694</v>
      </c>
      <c r="B1817" s="11">
        <v>100.0</v>
      </c>
      <c r="C1817" s="12" t="s">
        <v>50</v>
      </c>
      <c r="E1817" s="8" t="str">
        <f>IFERROR(__xludf.DUMMYFUNCTION("SPLIT(A1817,""TX"")"),"Wootton, Mark
612 
Dallas, ")</f>
        <v>Wootton, Mark
612 
Dallas, </v>
      </c>
      <c r="F1817" s="8">
        <f>IFERROR(__xludf.DUMMYFUNCTION("""COMPUTED_VALUE"""),75214.0)</f>
        <v>75214</v>
      </c>
      <c r="I1817" s="8">
        <f t="shared" si="20"/>
        <v>75214</v>
      </c>
      <c r="J1817" s="9">
        <f>IFERROR(__xludf.DUMMYFUNCTION("SPLIT(I1817,""-"")"),75214.0)</f>
        <v>75214</v>
      </c>
    </row>
    <row r="1818">
      <c r="A1818" s="10" t="s">
        <v>1695</v>
      </c>
      <c r="B1818" s="11">
        <v>100.0</v>
      </c>
      <c r="C1818" s="12" t="s">
        <v>50</v>
      </c>
      <c r="E1818" s="8" t="str">
        <f>IFERROR(__xludf.DUMMYFUNCTION("SPLIT(A1818,""TX"")"),"Foy, Morgan
1777 
Dallas, ")</f>
        <v>Foy, Morgan
1777 
Dallas, </v>
      </c>
      <c r="F1818" s="8">
        <f>IFERROR(__xludf.DUMMYFUNCTION("""COMPUTED_VALUE"""),75202.0)</f>
        <v>75202</v>
      </c>
      <c r="I1818" s="8">
        <f t="shared" si="20"/>
        <v>75202</v>
      </c>
      <c r="J1818" s="9">
        <f>IFERROR(__xludf.DUMMYFUNCTION("SPLIT(I1818,""-"")"),75202.0)</f>
        <v>75202</v>
      </c>
    </row>
    <row r="1819">
      <c r="A1819" s="10" t="s">
        <v>1696</v>
      </c>
      <c r="B1819" s="11">
        <v>100.0</v>
      </c>
      <c r="C1819" s="12" t="s">
        <v>50</v>
      </c>
      <c r="E1819" s="8" t="str">
        <f>IFERROR(__xludf.DUMMYFUNCTION("SPLIT(A1819,""TX"")"),"Wear, ")</f>
        <v>Wear, </v>
      </c>
      <c r="F1819" s="8" t="str">
        <f>IFERROR(__xludf.DUMMYFUNCTION("""COMPUTED_VALUE"""),"yler
5955 
Dallas, ")</f>
        <v>yler
5955 
Dallas, </v>
      </c>
      <c r="G1819" s="8">
        <f>IFERROR(__xludf.DUMMYFUNCTION("""COMPUTED_VALUE"""),75206.0)</f>
        <v>75206</v>
      </c>
      <c r="I1819" s="8">
        <f t="shared" si="20"/>
        <v>75206</v>
      </c>
      <c r="J1819" s="9">
        <f>IFERROR(__xludf.DUMMYFUNCTION("SPLIT(I1819,""-"")"),75206.0)</f>
        <v>75206</v>
      </c>
    </row>
    <row r="1820">
      <c r="A1820" s="10" t="s">
        <v>1697</v>
      </c>
      <c r="B1820" s="11">
        <v>500.0</v>
      </c>
      <c r="C1820" s="12" t="s">
        <v>50</v>
      </c>
      <c r="E1820" s="8" t="str">
        <f>IFERROR(__xludf.DUMMYFUNCTION("SPLIT(A1820,""TX"")"),"Ablon, Mike
5908 
Dallas, ")</f>
        <v>Ablon, Mike
5908 
Dallas, </v>
      </c>
      <c r="F1820" s="8">
        <f>IFERROR(__xludf.DUMMYFUNCTION("""COMPUTED_VALUE"""),75230.0)</f>
        <v>75230</v>
      </c>
      <c r="I1820" s="8">
        <f t="shared" si="20"/>
        <v>75230</v>
      </c>
      <c r="J1820" s="9">
        <f>IFERROR(__xludf.DUMMYFUNCTION("SPLIT(I1820,""-"")"),75230.0)</f>
        <v>75230</v>
      </c>
    </row>
    <row r="1821">
      <c r="A1821" s="10" t="s">
        <v>1698</v>
      </c>
      <c r="B1821" s="11">
        <v>1000.0</v>
      </c>
      <c r="C1821" s="12" t="s">
        <v>50</v>
      </c>
      <c r="E1821" s="8" t="str">
        <f>IFERROR(__xludf.DUMMYFUNCTION("SPLIT(A1821,""TX"")"),"Melton, Lauren
2921 
Dallas, ")</f>
        <v>Melton, Lauren
2921 
Dallas, </v>
      </c>
      <c r="F1821" s="8">
        <f>IFERROR(__xludf.DUMMYFUNCTION("""COMPUTED_VALUE"""),75228.0)</f>
        <v>75228</v>
      </c>
      <c r="I1821" s="8">
        <f t="shared" si="20"/>
        <v>75228</v>
      </c>
      <c r="J1821" s="9">
        <f>IFERROR(__xludf.DUMMYFUNCTION("SPLIT(I1821,""-"")"),75228.0)</f>
        <v>75228</v>
      </c>
    </row>
    <row r="1822">
      <c r="A1822" s="10" t="s">
        <v>1699</v>
      </c>
      <c r="B1822" s="11">
        <v>1000.0</v>
      </c>
      <c r="C1822" s="12" t="s">
        <v>50</v>
      </c>
      <c r="E1822" s="8" t="str">
        <f>IFERROR(__xludf.DUMMYFUNCTION("SPLIT(A1822,""TX"")"),"Melton, Mark
2921 
Dallas, ")</f>
        <v>Melton, Mark
2921 
Dallas, </v>
      </c>
      <c r="F1822" s="8">
        <f>IFERROR(__xludf.DUMMYFUNCTION("""COMPUTED_VALUE"""),75228.0)</f>
        <v>75228</v>
      </c>
      <c r="I1822" s="8">
        <f t="shared" si="20"/>
        <v>75228</v>
      </c>
      <c r="J1822" s="9">
        <f>IFERROR(__xludf.DUMMYFUNCTION("SPLIT(I1822,""-"")"),75228.0)</f>
        <v>75228</v>
      </c>
    </row>
    <row r="1823">
      <c r="A1823" s="10" t="s">
        <v>1700</v>
      </c>
      <c r="B1823" s="11">
        <v>50.0</v>
      </c>
      <c r="C1823" s="12" t="s">
        <v>50</v>
      </c>
      <c r="E1823" s="8" t="str">
        <f>IFERROR(__xludf.DUMMYFUNCTION("SPLIT(A1823,""TX"")"),"Cole, Erica
9246 
Dallas, ")</f>
        <v>Cole, Erica
9246 
Dallas, </v>
      </c>
      <c r="F1823" s="8">
        <f>IFERROR(__xludf.DUMMYFUNCTION("""COMPUTED_VALUE"""),75218.0)</f>
        <v>75218</v>
      </c>
      <c r="I1823" s="8">
        <f t="shared" si="20"/>
        <v>75218</v>
      </c>
      <c r="J1823" s="9">
        <f>IFERROR(__xludf.DUMMYFUNCTION("SPLIT(I1823,""-"")"),75218.0)</f>
        <v>75218</v>
      </c>
    </row>
    <row r="1824">
      <c r="A1824" s="10" t="s">
        <v>1701</v>
      </c>
      <c r="B1824" s="11">
        <v>100.0</v>
      </c>
      <c r="C1824" s="12" t="s">
        <v>50</v>
      </c>
      <c r="E1824" s="8" t="str">
        <f>IFERROR(__xludf.DUMMYFUNCTION("SPLIT(A1824,""TX"")"),"Leal, Chris
1777 
Dallas, ")</f>
        <v>Leal, Chris
1777 
Dallas, </v>
      </c>
      <c r="F1824" s="8">
        <f>IFERROR(__xludf.DUMMYFUNCTION("""COMPUTED_VALUE"""),75202.0)</f>
        <v>75202</v>
      </c>
      <c r="I1824" s="8">
        <f t="shared" si="20"/>
        <v>75202</v>
      </c>
      <c r="J1824" s="9">
        <f>IFERROR(__xludf.DUMMYFUNCTION("SPLIT(I1824,""-"")"),75202.0)</f>
        <v>75202</v>
      </c>
    </row>
    <row r="1825">
      <c r="A1825" s="10" t="s">
        <v>1702</v>
      </c>
      <c r="B1825" s="11">
        <v>1000.0</v>
      </c>
      <c r="C1825" s="12" t="s">
        <v>50</v>
      </c>
      <c r="E1825" s="8" t="str">
        <f>IFERROR(__xludf.DUMMYFUNCTION("SPLIT(A1825,""TX"")"),"Matthews, Jack
320 
Lewisville, ")</f>
        <v>Matthews, Jack
320 
Lewisville, </v>
      </c>
      <c r="F1825" s="8">
        <f>IFERROR(__xludf.DUMMYFUNCTION("""COMPUTED_VALUE"""),75057.0)</f>
        <v>75057</v>
      </c>
      <c r="I1825" s="8">
        <f t="shared" si="20"/>
        <v>75057</v>
      </c>
      <c r="J1825" s="9">
        <f>IFERROR(__xludf.DUMMYFUNCTION("SPLIT(I1825,""-"")"),75057.0)</f>
        <v>75057</v>
      </c>
    </row>
    <row r="1826">
      <c r="A1826" s="10" t="s">
        <v>1703</v>
      </c>
      <c r="B1826" s="11">
        <v>250.0</v>
      </c>
      <c r="C1826" s="12" t="s">
        <v>50</v>
      </c>
      <c r="E1826" s="8" t="str">
        <f>IFERROR(__xludf.DUMMYFUNCTION("SPLIT(A1826,""TX"")"),"Sherman, Carl
1670 
Dallas, ")</f>
        <v>Sherman, Carl
1670 
Dallas, </v>
      </c>
      <c r="F1826" s="8">
        <f>IFERROR(__xludf.DUMMYFUNCTION("""COMPUTED_VALUE"""),75115.0)</f>
        <v>75115</v>
      </c>
      <c r="I1826" s="8">
        <f t="shared" si="20"/>
        <v>75115</v>
      </c>
      <c r="J1826" s="9">
        <f>IFERROR(__xludf.DUMMYFUNCTION("SPLIT(I1826,""-"")"),75115.0)</f>
        <v>75115</v>
      </c>
    </row>
    <row r="1827">
      <c r="A1827" s="10" t="s">
        <v>1704</v>
      </c>
      <c r="B1827" s="11">
        <v>500.0</v>
      </c>
      <c r="C1827" s="12" t="s">
        <v>50</v>
      </c>
      <c r="E1827" s="8" t="str">
        <f>IFERROR(__xludf.DUMMYFUNCTION("SPLIT(A1827,""TX"")"),"Crockett, Jasmine
PO Box 227235
Dallas, ")</f>
        <v>Crockett, Jasmine
PO Box 227235
Dallas, </v>
      </c>
      <c r="F1827" s="8">
        <f>IFERROR(__xludf.DUMMYFUNCTION("""COMPUTED_VALUE"""),75222.0)</f>
        <v>75222</v>
      </c>
      <c r="I1827" s="8">
        <f t="shared" si="20"/>
        <v>75222</v>
      </c>
      <c r="J1827" s="9">
        <f>IFERROR(__xludf.DUMMYFUNCTION("SPLIT(I1827,""-"")"),75222.0)</f>
        <v>75222</v>
      </c>
    </row>
    <row r="1828">
      <c r="A1828" s="10" t="s">
        <v>1705</v>
      </c>
      <c r="B1828" s="11">
        <v>150.0</v>
      </c>
      <c r="C1828" s="12" t="s">
        <v>50</v>
      </c>
      <c r="E1828" s="8" t="str">
        <f>IFERROR(__xludf.DUMMYFUNCTION("SPLIT(A1828,""TX"")"),"McBee, Lynn
3925 
Dallas, ")</f>
        <v>McBee, Lynn
3925 
Dallas, </v>
      </c>
      <c r="F1828" s="8">
        <f>IFERROR(__xludf.DUMMYFUNCTION("""COMPUTED_VALUE"""),75204.0)</f>
        <v>75204</v>
      </c>
      <c r="I1828" s="8">
        <f t="shared" si="20"/>
        <v>75204</v>
      </c>
      <c r="J1828" s="9">
        <f>IFERROR(__xludf.DUMMYFUNCTION("SPLIT(I1828,""-"")"),75204.0)</f>
        <v>75204</v>
      </c>
    </row>
    <row r="1829">
      <c r="A1829" s="10" t="s">
        <v>1706</v>
      </c>
      <c r="B1829" s="11">
        <v>100.0</v>
      </c>
      <c r="C1829" s="12" t="s">
        <v>50</v>
      </c>
      <c r="E1829" s="8" t="str">
        <f>IFERROR(__xludf.DUMMYFUNCTION("SPLIT(A1829,""TX"")"),"Burton, John
5532 
Dallas, ")</f>
        <v>Burton, John
5532 
Dallas, </v>
      </c>
      <c r="F1829" s="8">
        <f>IFERROR(__xludf.DUMMYFUNCTION("""COMPUTED_VALUE"""),75206.0)</f>
        <v>75206</v>
      </c>
      <c r="I1829" s="8">
        <f t="shared" si="20"/>
        <v>75206</v>
      </c>
      <c r="J1829" s="9">
        <f>IFERROR(__xludf.DUMMYFUNCTION("SPLIT(I1829,""-"")"),75206.0)</f>
        <v>75206</v>
      </c>
    </row>
    <row r="1830">
      <c r="A1830" s="10" t="s">
        <v>1707</v>
      </c>
      <c r="B1830" s="11">
        <v>100.0</v>
      </c>
      <c r="C1830" s="12" t="s">
        <v>50</v>
      </c>
      <c r="E1830" s="8" t="str">
        <f>IFERROR(__xludf.DUMMYFUNCTION("SPLIT(A1830,""TX"")"),"Sanders, ")</f>
        <v>Sanders, </v>
      </c>
      <c r="F1830" s="8" t="str">
        <f>IFERROR(__xludf.DUMMYFUNCTION("""COMPUTED_VALUE"""),"ricia
4930 
Garland, ")</f>
        <v>ricia
4930 
Garland, </v>
      </c>
      <c r="G1830" s="8">
        <f>IFERROR(__xludf.DUMMYFUNCTION("""COMPUTED_VALUE"""),75044.0)</f>
        <v>75044</v>
      </c>
      <c r="I1830" s="8">
        <f t="shared" si="20"/>
        <v>75044</v>
      </c>
      <c r="J1830" s="9">
        <f>IFERROR(__xludf.DUMMYFUNCTION("SPLIT(I1830,""-"")"),75044.0)</f>
        <v>75044</v>
      </c>
    </row>
    <row r="1831">
      <c r="A1831" s="10" t="s">
        <v>1708</v>
      </c>
      <c r="B1831" s="11">
        <v>100.0</v>
      </c>
      <c r="C1831" s="12" t="s">
        <v>50</v>
      </c>
      <c r="E1831" s="8" t="str">
        <f>IFERROR(__xludf.DUMMYFUNCTION("SPLIT(A1831,""TX"")"),"Rogers, Kevin
6312 
Dallas, ")</f>
        <v>Rogers, Kevin
6312 
Dallas, </v>
      </c>
      <c r="F1831" s="8">
        <f>IFERROR(__xludf.DUMMYFUNCTION("""COMPUTED_VALUE"""),75214.0)</f>
        <v>75214</v>
      </c>
      <c r="I1831" s="8">
        <f t="shared" si="20"/>
        <v>75214</v>
      </c>
      <c r="J1831" s="9">
        <f>IFERROR(__xludf.DUMMYFUNCTION("SPLIT(I1831,""-"")"),75214.0)</f>
        <v>75214</v>
      </c>
    </row>
    <row r="1832">
      <c r="A1832" s="10" t="s">
        <v>1709</v>
      </c>
      <c r="B1832" s="11">
        <v>100.0</v>
      </c>
      <c r="C1832" s="12" t="s">
        <v>50</v>
      </c>
      <c r="E1832" s="8" t="str">
        <f>IFERROR(__xludf.DUMMYFUNCTION("SPLIT(A1832,""TX"")"),"Ragsdale, Diane
3611 
Dallas, ")</f>
        <v>Ragsdale, Diane
3611 
Dallas, </v>
      </c>
      <c r="F1832" s="8">
        <f>IFERROR(__xludf.DUMMYFUNCTION("""COMPUTED_VALUE"""),75215.0)</f>
        <v>75215</v>
      </c>
      <c r="I1832" s="8">
        <f t="shared" si="20"/>
        <v>75215</v>
      </c>
      <c r="J1832" s="9">
        <f>IFERROR(__xludf.DUMMYFUNCTION("SPLIT(I1832,""-"")"),75215.0)</f>
        <v>75215</v>
      </c>
    </row>
    <row r="1833">
      <c r="A1833" s="10" t="s">
        <v>1710</v>
      </c>
      <c r="B1833" s="11">
        <v>200.0</v>
      </c>
      <c r="C1833" s="12" t="s">
        <v>50</v>
      </c>
      <c r="E1833" s="8" t="str">
        <f>IFERROR(__xludf.DUMMYFUNCTION("SPLIT(A1833,""TX"")"),"Silhan, Gailya
6918 
Dallas, ")</f>
        <v>Silhan, Gailya
6918 
Dallas, </v>
      </c>
      <c r="F1833" s="8">
        <f>IFERROR(__xludf.DUMMYFUNCTION("""COMPUTED_VALUE"""),75223.0)</f>
        <v>75223</v>
      </c>
      <c r="I1833" s="8">
        <f t="shared" si="20"/>
        <v>75223</v>
      </c>
      <c r="J1833" s="9">
        <f>IFERROR(__xludf.DUMMYFUNCTION("SPLIT(I1833,""-"")"),75223.0)</f>
        <v>75223</v>
      </c>
    </row>
    <row r="1834">
      <c r="A1834" s="10" t="s">
        <v>1711</v>
      </c>
      <c r="B1834" s="11">
        <v>100.0</v>
      </c>
      <c r="C1834" s="12" t="s">
        <v>50</v>
      </c>
      <c r="E1834" s="8" t="str">
        <f>IFERROR(__xludf.DUMMYFUNCTION("SPLIT(A1834,""TX"")"),"Freeland, Steve
14801 
Dallas, ")</f>
        <v>Freeland, Steve
14801 
Dallas, </v>
      </c>
      <c r="F1834" s="8">
        <f>IFERROR(__xludf.DUMMYFUNCTION("""COMPUTED_VALUE"""),75254.0)</f>
        <v>75254</v>
      </c>
      <c r="I1834" s="8">
        <f t="shared" si="20"/>
        <v>75254</v>
      </c>
      <c r="J1834" s="9">
        <f>IFERROR(__xludf.DUMMYFUNCTION("SPLIT(I1834,""-"")"),75254.0)</f>
        <v>75254</v>
      </c>
    </row>
    <row r="1835">
      <c r="A1835" s="10" t="s">
        <v>1712</v>
      </c>
      <c r="B1835" s="11">
        <v>50.0</v>
      </c>
      <c r="C1835" s="12" t="s">
        <v>50</v>
      </c>
      <c r="E1835" s="8" t="str">
        <f>IFERROR(__xludf.DUMMYFUNCTION("SPLIT(A1835,""TX"")"),"Schmidt, Rene
715 
Dallas, ")</f>
        <v>Schmidt, Rene
715 
Dallas, </v>
      </c>
      <c r="F1835" s="8">
        <f>IFERROR(__xludf.DUMMYFUNCTION("""COMPUTED_VALUE"""),75214.0)</f>
        <v>75214</v>
      </c>
      <c r="I1835" s="8">
        <f t="shared" si="20"/>
        <v>75214</v>
      </c>
      <c r="J1835" s="9">
        <f>IFERROR(__xludf.DUMMYFUNCTION("SPLIT(I1835,""-"")"),75214.0)</f>
        <v>75214</v>
      </c>
    </row>
    <row r="1836">
      <c r="A1836" s="10" t="s">
        <v>1713</v>
      </c>
      <c r="B1836" s="11">
        <v>250.0</v>
      </c>
      <c r="C1836" s="12" t="s">
        <v>50</v>
      </c>
      <c r="E1836" s="8" t="str">
        <f>IFERROR(__xludf.DUMMYFUNCTION("SPLIT(A1836,""TX"")"),"Johnson, Eric
3525 
Dallas, ")</f>
        <v>Johnson, Eric
3525 
Dallas, </v>
      </c>
      <c r="F1836" s="8">
        <f>IFERROR(__xludf.DUMMYFUNCTION("""COMPUTED_VALUE"""),75219.0)</f>
        <v>75219</v>
      </c>
      <c r="I1836" s="8">
        <f t="shared" si="20"/>
        <v>75219</v>
      </c>
      <c r="J1836" s="9">
        <f>IFERROR(__xludf.DUMMYFUNCTION("SPLIT(I1836,""-"")"),75219.0)</f>
        <v>75219</v>
      </c>
    </row>
    <row r="1837">
      <c r="A1837" s="10" t="s">
        <v>1714</v>
      </c>
      <c r="B1837" s="11">
        <v>50.0</v>
      </c>
      <c r="C1837" s="12" t="s">
        <v>50</v>
      </c>
      <c r="E1837" s="8" t="str">
        <f>IFERROR(__xludf.DUMMYFUNCTION("SPLIT(A1837,""TX"")"),"Montano, Bradley
3525 
Dallas, ")</f>
        <v>Montano, Bradley
3525 
Dallas, </v>
      </c>
      <c r="F1837" s="8">
        <f>IFERROR(__xludf.DUMMYFUNCTION("""COMPUTED_VALUE"""),75219.0)</f>
        <v>75219</v>
      </c>
      <c r="I1837" s="8">
        <f t="shared" si="20"/>
        <v>75219</v>
      </c>
      <c r="J1837" s="9">
        <f>IFERROR(__xludf.DUMMYFUNCTION("SPLIT(I1837,""-"")"),75219.0)</f>
        <v>75219</v>
      </c>
    </row>
    <row r="1838">
      <c r="A1838" s="10" t="s">
        <v>1715</v>
      </c>
      <c r="B1838" s="11">
        <v>500.0</v>
      </c>
      <c r="C1838" s="12" t="s">
        <v>50</v>
      </c>
      <c r="E1838" s="8" t="str">
        <f>IFERROR(__xludf.DUMMYFUNCTION("SPLIT(A1838,""TX"")"),"Lopez, Bridget
4326 
Dallas, ")</f>
        <v>Lopez, Bridget
4326 
Dallas, </v>
      </c>
      <c r="F1838" s="8">
        <f>IFERROR(__xludf.DUMMYFUNCTION("""COMPUTED_VALUE"""),75229.0)</f>
        <v>75229</v>
      </c>
      <c r="I1838" s="8">
        <f t="shared" si="20"/>
        <v>75229</v>
      </c>
      <c r="J1838" s="9">
        <f>IFERROR(__xludf.DUMMYFUNCTION("SPLIT(I1838,""-"")"),75229.0)</f>
        <v>75229</v>
      </c>
    </row>
    <row r="1839">
      <c r="A1839" s="10" t="s">
        <v>1716</v>
      </c>
      <c r="B1839" s="11">
        <v>100.0</v>
      </c>
      <c r="C1839" s="12" t="s">
        <v>50</v>
      </c>
      <c r="E1839" s="8" t="str">
        <f>IFERROR(__xludf.DUMMYFUNCTION("SPLIT(A1839,""TX"")"),"Bracken, Robert
6114 
Dallas, ")</f>
        <v>Bracken, Robert
6114 
Dallas, </v>
      </c>
      <c r="F1839" s="8">
        <f>IFERROR(__xludf.DUMMYFUNCTION("""COMPUTED_VALUE"""),75206.0)</f>
        <v>75206</v>
      </c>
      <c r="I1839" s="8">
        <f t="shared" si="20"/>
        <v>75206</v>
      </c>
      <c r="J1839" s="9">
        <f>IFERROR(__xludf.DUMMYFUNCTION("SPLIT(I1839,""-"")"),75206.0)</f>
        <v>75206</v>
      </c>
    </row>
    <row r="1840">
      <c r="A1840" s="10" t="s">
        <v>1717</v>
      </c>
      <c r="B1840" s="11">
        <v>200.0</v>
      </c>
      <c r="C1840" s="12" t="s">
        <v>50</v>
      </c>
      <c r="E1840" s="8" t="str">
        <f>IFERROR(__xludf.DUMMYFUNCTION("SPLIT(A1840,""TX"")"),"Shelton, Nancy
3913 
Dallas, ")</f>
        <v>Shelton, Nancy
3913 
Dallas, </v>
      </c>
      <c r="F1840" s="8">
        <f>IFERROR(__xludf.DUMMYFUNCTION("""COMPUTED_VALUE"""),75205.0)</f>
        <v>75205</v>
      </c>
      <c r="I1840" s="8">
        <f t="shared" si="20"/>
        <v>75205</v>
      </c>
      <c r="J1840" s="9">
        <f>IFERROR(__xludf.DUMMYFUNCTION("SPLIT(I1840,""-"")"),75205.0)</f>
        <v>75205</v>
      </c>
    </row>
    <row r="1841">
      <c r="A1841" s="10" t="s">
        <v>1718</v>
      </c>
      <c r="B1841" s="11">
        <v>250.0</v>
      </c>
      <c r="C1841" s="12" t="s">
        <v>50</v>
      </c>
      <c r="E1841" s="8" t="str">
        <f>IFERROR(__xludf.DUMMYFUNCTION("SPLIT(A1841,""TX"")"),"Patel, Sunil
5122 
Dallas, ")</f>
        <v>Patel, Sunil
5122 
Dallas, </v>
      </c>
      <c r="F1841" s="8">
        <f>IFERROR(__xludf.DUMMYFUNCTION("""COMPUTED_VALUE"""),75210.0)</f>
        <v>75210</v>
      </c>
      <c r="I1841" s="8">
        <f t="shared" si="20"/>
        <v>75210</v>
      </c>
      <c r="J1841" s="9">
        <f>IFERROR(__xludf.DUMMYFUNCTION("SPLIT(I1841,""-"")"),75210.0)</f>
        <v>75210</v>
      </c>
    </row>
    <row r="1842">
      <c r="A1842" s="10" t="s">
        <v>1719</v>
      </c>
      <c r="B1842" s="11">
        <v>100.0</v>
      </c>
      <c r="C1842" s="12" t="s">
        <v>50</v>
      </c>
      <c r="E1842" s="8" t="str">
        <f>IFERROR(__xludf.DUMMYFUNCTION("SPLIT(A1842,""TX"")"),"Neil, JoDee
3253 
Dallas, ")</f>
        <v>Neil, JoDee
3253 
Dallas, </v>
      </c>
      <c r="F1842" s="8">
        <f>IFERROR(__xludf.DUMMYFUNCTION("""COMPUTED_VALUE"""),75229.0)</f>
        <v>75229</v>
      </c>
      <c r="I1842" s="8">
        <f t="shared" si="20"/>
        <v>75229</v>
      </c>
      <c r="J1842" s="9">
        <f>IFERROR(__xludf.DUMMYFUNCTION("SPLIT(I1842,""-"")"),75229.0)</f>
        <v>75229</v>
      </c>
    </row>
    <row r="1843">
      <c r="A1843" s="10" t="s">
        <v>1720</v>
      </c>
      <c r="B1843" s="11">
        <v>100.0</v>
      </c>
      <c r="C1843" s="12" t="s">
        <v>50</v>
      </c>
      <c r="E1843" s="8" t="str">
        <f>IFERROR(__xludf.DUMMYFUNCTION("SPLIT(A1843,""TX"")"),"Bland, Jody
3010 
Dallas, ")</f>
        <v>Bland, Jody
3010 
Dallas, </v>
      </c>
      <c r="F1843" s="8">
        <f>IFERROR(__xludf.DUMMYFUNCTION("""COMPUTED_VALUE"""),75204.0)</f>
        <v>75204</v>
      </c>
      <c r="I1843" s="8">
        <f t="shared" si="20"/>
        <v>75204</v>
      </c>
      <c r="J1843" s="9">
        <f>IFERROR(__xludf.DUMMYFUNCTION("SPLIT(I1843,""-"")"),75204.0)</f>
        <v>75204</v>
      </c>
    </row>
    <row r="1844">
      <c r="A1844" s="10" t="s">
        <v>1721</v>
      </c>
      <c r="B1844" s="11">
        <v>100.0</v>
      </c>
      <c r="C1844" s="12" t="s">
        <v>50</v>
      </c>
      <c r="E1844" s="8" t="str">
        <f>IFERROR(__xludf.DUMMYFUNCTION("SPLIT(A1844,""TX"")"),"Wynhausen, Aaron
12420 
Lenexa, KS 66215")</f>
        <v>Wynhausen, Aaron
12420 
Lenexa, KS 66215</v>
      </c>
      <c r="I1844" s="8" t="str">
        <f t="shared" si="20"/>
        <v/>
      </c>
      <c r="J1844" s="9" t="str">
        <f>IFERROR(__xludf.DUMMYFUNCTION("SPLIT(I1844,""-"")"),"#VALUE!")</f>
        <v>#VALUE!</v>
      </c>
    </row>
    <row r="1845">
      <c r="A1845" s="10" t="s">
        <v>1722</v>
      </c>
      <c r="B1845" s="11">
        <v>500.0</v>
      </c>
      <c r="C1845" s="12" t="s">
        <v>50</v>
      </c>
      <c r="E1845" s="8" t="str">
        <f>IFERROR(__xludf.DUMMYFUNCTION("SPLIT(A1845,""TX"")"),"Mccrea, Mitchell
5750 
Dallas, ")</f>
        <v>Mccrea, Mitchell
5750 
Dallas, </v>
      </c>
      <c r="F1845" s="8">
        <f>IFERROR(__xludf.DUMMYFUNCTION("""COMPUTED_VALUE"""),75214.0)</f>
        <v>75214</v>
      </c>
      <c r="I1845" s="8">
        <f t="shared" si="20"/>
        <v>75214</v>
      </c>
      <c r="J1845" s="9">
        <f>IFERROR(__xludf.DUMMYFUNCTION("SPLIT(I1845,""-"")"),75214.0)</f>
        <v>75214</v>
      </c>
    </row>
    <row r="1846">
      <c r="A1846" s="10" t="s">
        <v>1723</v>
      </c>
      <c r="B1846" s="11">
        <v>250.0</v>
      </c>
      <c r="C1846" s="12" t="s">
        <v>50</v>
      </c>
      <c r="E1846" s="8" t="str">
        <f>IFERROR(__xludf.DUMMYFUNCTION("SPLIT(A1846,""TX"")"),"Keyes, Katrina
3839 
Dallas, ")</f>
        <v>Keyes, Katrina
3839 
Dallas, </v>
      </c>
      <c r="F1846" s="8">
        <f>IFERROR(__xludf.DUMMYFUNCTION("""COMPUTED_VALUE"""),75204.0)</f>
        <v>75204</v>
      </c>
      <c r="I1846" s="8">
        <f t="shared" si="20"/>
        <v>75204</v>
      </c>
      <c r="J1846" s="9">
        <f>IFERROR(__xludf.DUMMYFUNCTION("SPLIT(I1846,""-"")"),75204.0)</f>
        <v>75204</v>
      </c>
    </row>
    <row r="1847">
      <c r="A1847" s="10" t="s">
        <v>1724</v>
      </c>
      <c r="B1847" s="11">
        <v>500.0</v>
      </c>
      <c r="C1847" s="12" t="s">
        <v>50</v>
      </c>
      <c r="E1847" s="8" t="str">
        <f>IFERROR(__xludf.DUMMYFUNCTION("SPLIT(A1847,""TX"")"),"Schenkel, Pete
614 
Dallas, ")</f>
        <v>Schenkel, Pete
614 
Dallas, </v>
      </c>
      <c r="F1847" s="8">
        <f>IFERROR(__xludf.DUMMYFUNCTION("""COMPUTED_VALUE"""),75208.0)</f>
        <v>75208</v>
      </c>
      <c r="I1847" s="8">
        <f t="shared" si="20"/>
        <v>75208</v>
      </c>
      <c r="J1847" s="9">
        <f>IFERROR(__xludf.DUMMYFUNCTION("SPLIT(I1847,""-"")"),75208.0)</f>
        <v>75208</v>
      </c>
    </row>
    <row r="1848">
      <c r="A1848" s="10" t="s">
        <v>1725</v>
      </c>
      <c r="B1848" s="11">
        <v>500.0</v>
      </c>
      <c r="C1848" s="12" t="s">
        <v>50</v>
      </c>
      <c r="E1848" s="8" t="str">
        <f>IFERROR(__xludf.DUMMYFUNCTION("SPLIT(A1848,""TX"")"),"Mihalopoulos, Frank
4645 
Dallas, ")</f>
        <v>Mihalopoulos, Frank
4645 
Dallas, </v>
      </c>
      <c r="F1848" s="8">
        <f>IFERROR(__xludf.DUMMYFUNCTION("""COMPUTED_VALUE"""),75205.0)</f>
        <v>75205</v>
      </c>
      <c r="I1848" s="8">
        <f t="shared" si="20"/>
        <v>75205</v>
      </c>
      <c r="J1848" s="9">
        <f>IFERROR(__xludf.DUMMYFUNCTION("SPLIT(I1848,""-"")"),75205.0)</f>
        <v>75205</v>
      </c>
    </row>
    <row r="1849">
      <c r="A1849" s="10" t="s">
        <v>1726</v>
      </c>
      <c r="B1849" s="11">
        <v>500.0</v>
      </c>
      <c r="C1849" s="12" t="s">
        <v>50</v>
      </c>
      <c r="E1849" s="8" t="str">
        <f>IFERROR(__xludf.DUMMYFUNCTION("SPLIT(A1849,""TX"")"),"Price, John
510 
Dallas, ")</f>
        <v>Price, John
510 
Dallas, </v>
      </c>
      <c r="F1849" s="8">
        <f>IFERROR(__xludf.DUMMYFUNCTION("""COMPUTED_VALUE"""),75203.0)</f>
        <v>75203</v>
      </c>
      <c r="I1849" s="8">
        <f t="shared" si="20"/>
        <v>75203</v>
      </c>
      <c r="J1849" s="9">
        <f>IFERROR(__xludf.DUMMYFUNCTION("SPLIT(I1849,""-"")"),75203.0)</f>
        <v>75203</v>
      </c>
    </row>
    <row r="1850">
      <c r="A1850" s="10" t="s">
        <v>1727</v>
      </c>
      <c r="B1850" s="11">
        <v>200.0</v>
      </c>
      <c r="C1850" s="12" t="s">
        <v>50</v>
      </c>
      <c r="E1850" s="8" t="str">
        <f>IFERROR(__xludf.DUMMYFUNCTION("SPLIT(A1850,""TX"")"),"Bradford, Pamela
1333 
DeSoto, ")</f>
        <v>Bradford, Pamela
1333 
DeSoto, </v>
      </c>
      <c r="F1850" s="8">
        <f>IFERROR(__xludf.DUMMYFUNCTION("""COMPUTED_VALUE"""),75115.0)</f>
        <v>75115</v>
      </c>
      <c r="I1850" s="8">
        <f t="shared" si="20"/>
        <v>75115</v>
      </c>
      <c r="J1850" s="9">
        <f>IFERROR(__xludf.DUMMYFUNCTION("SPLIT(I1850,""-"")"),75115.0)</f>
        <v>75115</v>
      </c>
    </row>
    <row r="1851">
      <c r="A1851" s="10" t="s">
        <v>1728</v>
      </c>
      <c r="B1851" s="11">
        <v>50.0</v>
      </c>
      <c r="C1851" s="12" t="s">
        <v>50</v>
      </c>
      <c r="E1851" s="8" t="str">
        <f>IFERROR(__xludf.DUMMYFUNCTION("SPLIT(A1851,""TX"")"),"Emery, Janice
160 
Swannanoa, NC 28778")</f>
        <v>Emery, Janice
160 
Swannanoa, NC 28778</v>
      </c>
      <c r="I1851" s="8" t="str">
        <f t="shared" si="20"/>
        <v/>
      </c>
      <c r="J1851" s="9" t="str">
        <f>IFERROR(__xludf.DUMMYFUNCTION("SPLIT(I1851,""-"")"),"#VALUE!")</f>
        <v>#VALUE!</v>
      </c>
    </row>
    <row r="1852">
      <c r="A1852" s="10" t="s">
        <v>1729</v>
      </c>
      <c r="B1852" s="11">
        <v>500.0</v>
      </c>
      <c r="C1852" s="12" t="s">
        <v>50</v>
      </c>
      <c r="E1852" s="8" t="str">
        <f>IFERROR(__xludf.DUMMYFUNCTION("SPLIT(A1852,""TX"")"),"Kraus, Peter
4906 
Dallas, ")</f>
        <v>Kraus, Peter
4906 
Dallas, </v>
      </c>
      <c r="F1852" s="8">
        <f>IFERROR(__xludf.DUMMYFUNCTION("""COMPUTED_VALUE"""),75209.0)</f>
        <v>75209</v>
      </c>
      <c r="I1852" s="8">
        <f t="shared" si="20"/>
        <v>75209</v>
      </c>
      <c r="J1852" s="9">
        <f>IFERROR(__xludf.DUMMYFUNCTION("SPLIT(I1852,""-"")"),75209.0)</f>
        <v>75209</v>
      </c>
    </row>
    <row r="1853">
      <c r="A1853" s="10" t="s">
        <v>1730</v>
      </c>
      <c r="B1853" s="11">
        <v>500.0</v>
      </c>
      <c r="C1853" s="12" t="s">
        <v>50</v>
      </c>
      <c r="E1853" s="8" t="str">
        <f>IFERROR(__xludf.DUMMYFUNCTION("SPLIT(A1853,""TX"")"),"Rose, Evelyn
5 
Dallas, ")</f>
        <v>Rose, Evelyn
5 
Dallas, </v>
      </c>
      <c r="F1853" s="8">
        <f>IFERROR(__xludf.DUMMYFUNCTION("""COMPUTED_VALUE"""),75205.0)</f>
        <v>75205</v>
      </c>
      <c r="I1853" s="8">
        <f t="shared" si="20"/>
        <v>75205</v>
      </c>
      <c r="J1853" s="9">
        <f>IFERROR(__xludf.DUMMYFUNCTION("SPLIT(I1853,""-"")"),75205.0)</f>
        <v>75205</v>
      </c>
    </row>
    <row r="1854">
      <c r="A1854" s="10" t="s">
        <v>1731</v>
      </c>
      <c r="B1854" s="11">
        <v>1000.0</v>
      </c>
      <c r="C1854" s="12" t="s">
        <v>50</v>
      </c>
      <c r="E1854" s="8" t="str">
        <f>IFERROR(__xludf.DUMMYFUNCTION("SPLIT(A1854,""TX"")"),"Black, ")</f>
        <v>Black, </v>
      </c>
      <c r="F1854" s="8" t="str">
        <f>IFERROR(__xludf.DUMMYFUNCTION("""COMPUTED_VALUE"""),"re
751 
Dallas, ")</f>
        <v>re
751 
Dallas, </v>
      </c>
      <c r="G1854" s="8">
        <f>IFERROR(__xludf.DUMMYFUNCTION("""COMPUTED_VALUE"""),75208.0)</f>
        <v>75208</v>
      </c>
      <c r="I1854" s="8">
        <f t="shared" si="20"/>
        <v>75208</v>
      </c>
      <c r="J1854" s="9">
        <f>IFERROR(__xludf.DUMMYFUNCTION("SPLIT(I1854,""-"")"),75208.0)</f>
        <v>75208</v>
      </c>
    </row>
    <row r="1855">
      <c r="A1855" s="10" t="s">
        <v>1729</v>
      </c>
      <c r="B1855" s="11">
        <v>500.0</v>
      </c>
      <c r="C1855" s="12" t="s">
        <v>50</v>
      </c>
      <c r="E1855" s="8" t="str">
        <f>IFERROR(__xludf.DUMMYFUNCTION("SPLIT(A1855,""TX"")"),"Kraus, Peter
4906 
Dallas, ")</f>
        <v>Kraus, Peter
4906 
Dallas, </v>
      </c>
      <c r="F1855" s="8">
        <f>IFERROR(__xludf.DUMMYFUNCTION("""COMPUTED_VALUE"""),75209.0)</f>
        <v>75209</v>
      </c>
      <c r="I1855" s="8">
        <f t="shared" si="20"/>
        <v>75209</v>
      </c>
      <c r="J1855" s="9">
        <f>IFERROR(__xludf.DUMMYFUNCTION("SPLIT(I1855,""-"")"),75209.0)</f>
        <v>75209</v>
      </c>
    </row>
    <row r="1856">
      <c r="A1856" s="10" t="s">
        <v>1732</v>
      </c>
      <c r="B1856" s="11">
        <v>1000.0</v>
      </c>
      <c r="C1856" s="12" t="s">
        <v>50</v>
      </c>
      <c r="E1856" s="8" t="str">
        <f>IFERROR(__xludf.DUMMYFUNCTION("SPLIT(A1856,""TX"")"),"Rodriguez, Minerva
1036 
Desoto, ")</f>
        <v>Rodriguez, Minerva
1036 
Desoto, </v>
      </c>
      <c r="F1856" s="8">
        <f>IFERROR(__xludf.DUMMYFUNCTION("""COMPUTED_VALUE"""),75115.0)</f>
        <v>75115</v>
      </c>
      <c r="I1856" s="8">
        <f t="shared" si="20"/>
        <v>75115</v>
      </c>
      <c r="J1856" s="9">
        <f>IFERROR(__xludf.DUMMYFUNCTION("SPLIT(I1856,""-"")"),75115.0)</f>
        <v>75115</v>
      </c>
    </row>
    <row r="1857">
      <c r="A1857" s="10" t="s">
        <v>1733</v>
      </c>
      <c r="B1857" s="11">
        <v>200.0</v>
      </c>
      <c r="C1857" s="12" t="s">
        <v>50</v>
      </c>
      <c r="E1857" s="8" t="str">
        <f>IFERROR(__xludf.DUMMYFUNCTION("SPLIT(A1857,""TX"")"),"Bazaldua, Daniel
6404 
Arlington, ")</f>
        <v>Bazaldua, Daniel
6404 
Arlington, </v>
      </c>
      <c r="F1857" s="8">
        <f>IFERROR(__xludf.DUMMYFUNCTION("""COMPUTED_VALUE"""),76001.0)</f>
        <v>76001</v>
      </c>
      <c r="I1857" s="8">
        <f t="shared" si="20"/>
        <v>76001</v>
      </c>
      <c r="J1857" s="9">
        <f>IFERROR(__xludf.DUMMYFUNCTION("SPLIT(I1857,""-"")"),76001.0)</f>
        <v>76001</v>
      </c>
    </row>
    <row r="1858">
      <c r="A1858" s="10" t="s">
        <v>1734</v>
      </c>
      <c r="B1858" s="11">
        <v>1000.0</v>
      </c>
      <c r="C1858" s="12" t="s">
        <v>50</v>
      </c>
      <c r="E1858" s="8" t="str">
        <f>IFERROR(__xludf.DUMMYFUNCTION("SPLIT(A1858,""TX"")"),"Myers, Kirk
1604 
Desoto, ")</f>
        <v>Myers, Kirk
1604 
Desoto, </v>
      </c>
      <c r="F1858" s="8">
        <f>IFERROR(__xludf.DUMMYFUNCTION("""COMPUTED_VALUE"""),75115.0)</f>
        <v>75115</v>
      </c>
      <c r="I1858" s="8">
        <f t="shared" si="20"/>
        <v>75115</v>
      </c>
      <c r="J1858" s="9">
        <f>IFERROR(__xludf.DUMMYFUNCTION("SPLIT(I1858,""-"")"),75115.0)</f>
        <v>75115</v>
      </c>
    </row>
    <row r="1859">
      <c r="A1859" s="10" t="s">
        <v>1735</v>
      </c>
      <c r="B1859" s="11">
        <v>100.0</v>
      </c>
      <c r="C1859" s="12" t="s">
        <v>50</v>
      </c>
      <c r="E1859" s="8" t="str">
        <f>IFERROR(__xludf.DUMMYFUNCTION("SPLIT(A1859,""TX"")"),"Hagan, Anne
204 
Dallas, ")</f>
        <v>Hagan, Anne
204 
Dallas, </v>
      </c>
      <c r="F1859" s="8">
        <f>IFERROR(__xludf.DUMMYFUNCTION("""COMPUTED_VALUE"""),75208.0)</f>
        <v>75208</v>
      </c>
      <c r="I1859" s="8">
        <f t="shared" si="20"/>
        <v>75208</v>
      </c>
      <c r="J1859" s="9">
        <f>IFERROR(__xludf.DUMMYFUNCTION("SPLIT(I1859,""-"")"),75208.0)</f>
        <v>75208</v>
      </c>
    </row>
    <row r="1860">
      <c r="A1860" s="10" t="s">
        <v>1736</v>
      </c>
      <c r="B1860" s="11">
        <v>250.0</v>
      </c>
      <c r="C1860" s="12" t="s">
        <v>50</v>
      </c>
      <c r="E1860" s="8" t="str">
        <f>IFERROR(__xludf.DUMMYFUNCTION("SPLIT(A1860,""TX"")"),"Luallen, Brian
2772 
Dallas, ")</f>
        <v>Luallen, Brian
2772 
Dallas, </v>
      </c>
      <c r="F1860" s="8">
        <f>IFERROR(__xludf.DUMMYFUNCTION("""COMPUTED_VALUE"""),75226.0)</f>
        <v>75226</v>
      </c>
      <c r="I1860" s="8">
        <f t="shared" si="20"/>
        <v>75226</v>
      </c>
      <c r="J1860" s="9">
        <f>IFERROR(__xludf.DUMMYFUNCTION("SPLIT(I1860,""-"")"),75226.0)</f>
        <v>75226</v>
      </c>
    </row>
    <row r="1861">
      <c r="A1861" s="10" t="s">
        <v>1737</v>
      </c>
      <c r="B1861" s="11">
        <v>1000.0</v>
      </c>
      <c r="C1861" s="12" t="s">
        <v>50</v>
      </c>
      <c r="E1861" s="8" t="str">
        <f>IFERROR(__xludf.DUMMYFUNCTION("SPLIT(A1861,""TX"")"),"Agarwal, Arun
123 
Dallas, ")</f>
        <v>Agarwal, Arun
123 
Dallas, </v>
      </c>
      <c r="F1861" s="8">
        <f>IFERROR(__xludf.DUMMYFUNCTION("""COMPUTED_VALUE"""),75207.0)</f>
        <v>75207</v>
      </c>
      <c r="I1861" s="8">
        <f t="shared" si="20"/>
        <v>75207</v>
      </c>
      <c r="J1861" s="9">
        <f>IFERROR(__xludf.DUMMYFUNCTION("SPLIT(I1861,""-"")"),75207.0)</f>
        <v>75207</v>
      </c>
    </row>
    <row r="1862">
      <c r="A1862" s="10" t="s">
        <v>1738</v>
      </c>
      <c r="B1862" s="11">
        <v>1000.0</v>
      </c>
      <c r="C1862" s="12" t="s">
        <v>50</v>
      </c>
      <c r="E1862" s="8" t="str">
        <f>IFERROR(__xludf.DUMMYFUNCTION("SPLIT(A1862,""TX"")"),"Billingsley, Henry
1722 
Dallas, ")</f>
        <v>Billingsley, Henry
1722 
Dallas, </v>
      </c>
      <c r="F1862" s="8">
        <f>IFERROR(__xludf.DUMMYFUNCTION("""COMPUTED_VALUE"""),75201.0)</f>
        <v>75201</v>
      </c>
      <c r="I1862" s="8">
        <f t="shared" si="20"/>
        <v>75201</v>
      </c>
      <c r="J1862" s="9">
        <f>IFERROR(__xludf.DUMMYFUNCTION("SPLIT(I1862,""-"")"),75201.0)</f>
        <v>75201</v>
      </c>
    </row>
    <row r="1863">
      <c r="A1863" s="10" t="s">
        <v>1739</v>
      </c>
      <c r="B1863" s="11">
        <v>50.0</v>
      </c>
      <c r="C1863" s="12" t="s">
        <v>50</v>
      </c>
      <c r="E1863" s="8" t="str">
        <f>IFERROR(__xludf.DUMMYFUNCTION("SPLIT(A1863,""TX"")"),"Heinbaugh, Chris
1801 
Dallas, ")</f>
        <v>Heinbaugh, Chris
1801 
Dallas, </v>
      </c>
      <c r="F1863" s="8">
        <f>IFERROR(__xludf.DUMMYFUNCTION("""COMPUTED_VALUE"""),75204.0)</f>
        <v>75204</v>
      </c>
      <c r="I1863" s="8">
        <f t="shared" si="20"/>
        <v>75204</v>
      </c>
      <c r="J1863" s="9">
        <f>IFERROR(__xludf.DUMMYFUNCTION("SPLIT(I1863,""-"")"),75204.0)</f>
        <v>75204</v>
      </c>
    </row>
    <row r="1864">
      <c r="A1864" s="10" t="s">
        <v>1740</v>
      </c>
      <c r="B1864" s="11">
        <v>100.0</v>
      </c>
      <c r="C1864" s="12" t="s">
        <v>50</v>
      </c>
      <c r="E1864" s="8" t="str">
        <f>IFERROR(__xludf.DUMMYFUNCTION("SPLIT(A1864,""TX"")"),"Abrac LLC
2600 
Dallas, ")</f>
        <v>Abrac LLC
2600 
Dallas, </v>
      </c>
      <c r="F1864" s="8">
        <f>IFERROR(__xludf.DUMMYFUNCTION("""COMPUTED_VALUE"""),75201.0)</f>
        <v>75201</v>
      </c>
      <c r="I1864" s="8">
        <f t="shared" si="20"/>
        <v>75201</v>
      </c>
      <c r="J1864" s="9">
        <f>IFERROR(__xludf.DUMMYFUNCTION("SPLIT(I1864,""-"")"),75201.0)</f>
        <v>75201</v>
      </c>
    </row>
    <row r="1865">
      <c r="A1865" s="10" t="s">
        <v>1741</v>
      </c>
      <c r="B1865" s="11">
        <v>500.0</v>
      </c>
      <c r="C1865" s="12" t="s">
        <v>50</v>
      </c>
      <c r="E1865" s="8" t="str">
        <f>IFERROR(__xludf.DUMMYFUNCTION("SPLIT(A1865,""TX"")"),"Johnson, Willis
1001 
Dallas, ")</f>
        <v>Johnson, Willis
1001 
Dallas, </v>
      </c>
      <c r="F1865" s="8">
        <f>IFERROR(__xludf.DUMMYFUNCTION("""COMPUTED_VALUE"""),75215.0)</f>
        <v>75215</v>
      </c>
      <c r="I1865" s="8">
        <f t="shared" si="20"/>
        <v>75215</v>
      </c>
      <c r="J1865" s="9">
        <f>IFERROR(__xludf.DUMMYFUNCTION("SPLIT(I1865,""-"")"),75215.0)</f>
        <v>75215</v>
      </c>
    </row>
    <row r="1866">
      <c r="A1866" s="10" t="s">
        <v>1742</v>
      </c>
      <c r="B1866" s="11">
        <v>50.0</v>
      </c>
      <c r="C1866" s="12" t="s">
        <v>50</v>
      </c>
      <c r="E1866" s="8" t="str">
        <f>IFERROR(__xludf.DUMMYFUNCTION("SPLIT(A1866,""TX"")"),"Deleon Provisions
1450 
Dallas, ")</f>
        <v>Deleon Provisions
1450 
Dallas, </v>
      </c>
      <c r="F1866" s="8">
        <f>IFERROR(__xludf.DUMMYFUNCTION("""COMPUTED_VALUE"""),75218.0)</f>
        <v>75218</v>
      </c>
      <c r="I1866" s="8">
        <f t="shared" si="20"/>
        <v>75218</v>
      </c>
      <c r="J1866" s="9">
        <f>IFERROR(__xludf.DUMMYFUNCTION("SPLIT(I1866,""-"")"),75218.0)</f>
        <v>75218</v>
      </c>
    </row>
    <row r="1867">
      <c r="A1867" s="10" t="s">
        <v>1743</v>
      </c>
      <c r="B1867" s="11">
        <v>500.0</v>
      </c>
      <c r="C1867" s="12" t="s">
        <v>50</v>
      </c>
      <c r="E1867" s="8" t="str">
        <f>IFERROR(__xludf.DUMMYFUNCTION("SPLIT(A1867,""TX"")"),"Winn, ")</f>
        <v>Winn, </v>
      </c>
      <c r="F1867" s="8" t="str">
        <f>IFERROR(__xludf.DUMMYFUNCTION("""COMPUTED_VALUE"""),"im
398 
Kosse, ")</f>
        <v>im
398 
Kosse, </v>
      </c>
      <c r="G1867" s="8">
        <f>IFERROR(__xludf.DUMMYFUNCTION("""COMPUTED_VALUE"""),76653.0)</f>
        <v>76653</v>
      </c>
      <c r="I1867" s="8">
        <f t="shared" si="20"/>
        <v>76653</v>
      </c>
      <c r="J1867" s="9">
        <f>IFERROR(__xludf.DUMMYFUNCTION("SPLIT(I1867,""-"")"),76653.0)</f>
        <v>76653</v>
      </c>
    </row>
    <row r="1868">
      <c r="A1868" s="10" t="s">
        <v>1744</v>
      </c>
      <c r="B1868" s="11">
        <v>250.0</v>
      </c>
      <c r="C1868" s="12" t="s">
        <v>50</v>
      </c>
      <c r="E1868" s="8" t="str">
        <f>IFERROR(__xludf.DUMMYFUNCTION("SPLIT(A1868,""TX"")"),"Abtahi, Bobby
1126 
Dallas, ")</f>
        <v>Abtahi, Bobby
1126 
Dallas, </v>
      </c>
      <c r="F1868" s="8">
        <f>IFERROR(__xludf.DUMMYFUNCTION("""COMPUTED_VALUE"""),75203.0)</f>
        <v>75203</v>
      </c>
      <c r="I1868" s="8">
        <f t="shared" si="20"/>
        <v>75203</v>
      </c>
      <c r="J1868" s="9">
        <f>IFERROR(__xludf.DUMMYFUNCTION("SPLIT(I1868,""-"")"),75203.0)</f>
        <v>75203</v>
      </c>
    </row>
    <row r="1869">
      <c r="A1869" s="10" t="s">
        <v>1745</v>
      </c>
      <c r="B1869" s="11">
        <v>1000.0</v>
      </c>
      <c r="C1869" s="12" t="s">
        <v>50</v>
      </c>
      <c r="E1869" s="8" t="str">
        <f>IFERROR(__xludf.DUMMYFUNCTION("SPLIT(A1869,""TX"")"),"Best, Nancy
9762 
Dallas, ")</f>
        <v>Best, Nancy
9762 
Dallas, </v>
      </c>
      <c r="F1869" s="8">
        <f>IFERROR(__xludf.DUMMYFUNCTION("""COMPUTED_VALUE"""),75220.0)</f>
        <v>75220</v>
      </c>
      <c r="I1869" s="8">
        <f t="shared" si="20"/>
        <v>75220</v>
      </c>
      <c r="J1869" s="9">
        <f>IFERROR(__xludf.DUMMYFUNCTION("SPLIT(I1869,""-"")"),75220.0)</f>
        <v>75220</v>
      </c>
    </row>
    <row r="1870">
      <c r="A1870" s="10" t="s">
        <v>1746</v>
      </c>
      <c r="B1870" s="11">
        <v>50.0</v>
      </c>
      <c r="C1870" s="12" t="s">
        <v>50</v>
      </c>
      <c r="E1870" s="8" t="str">
        <f>IFERROR(__xludf.DUMMYFUNCTION("SPLIT(A1870,""TX"")"),"Chase, Scott
1700 
Dallas, ")</f>
        <v>Chase, Scott
1700 
Dallas, </v>
      </c>
      <c r="F1870" s="8">
        <f>IFERROR(__xludf.DUMMYFUNCTION("""COMPUTED_VALUE"""),75201.0)</f>
        <v>75201</v>
      </c>
      <c r="I1870" s="8">
        <f t="shared" si="20"/>
        <v>75201</v>
      </c>
      <c r="J1870" s="9">
        <f>IFERROR(__xludf.DUMMYFUNCTION("SPLIT(I1870,""-"")"),75201.0)</f>
        <v>75201</v>
      </c>
    </row>
    <row r="1871">
      <c r="A1871" s="10" t="s">
        <v>1747</v>
      </c>
      <c r="B1871" s="11">
        <v>50.0</v>
      </c>
      <c r="C1871" s="12" t="s">
        <v>50</v>
      </c>
      <c r="E1871" s="8" t="str">
        <f>IFERROR(__xludf.DUMMYFUNCTION("SPLIT(A1871,""TX"")"),"Banerjee, Amit
12640 
Dallas, ")</f>
        <v>Banerjee, Amit
12640 
Dallas, </v>
      </c>
      <c r="F1871" s="8">
        <f>IFERROR(__xludf.DUMMYFUNCTION("""COMPUTED_VALUE"""),75035.0)</f>
        <v>75035</v>
      </c>
      <c r="I1871" s="8">
        <f t="shared" si="20"/>
        <v>75035</v>
      </c>
      <c r="J1871" s="9">
        <f>IFERROR(__xludf.DUMMYFUNCTION("SPLIT(I1871,""-"")"),75035.0)</f>
        <v>75035</v>
      </c>
    </row>
    <row r="1872">
      <c r="A1872" s="10" t="s">
        <v>1748</v>
      </c>
      <c r="B1872" s="11">
        <v>1000.0</v>
      </c>
      <c r="C1872" s="12" t="s">
        <v>50</v>
      </c>
      <c r="E1872" s="8" t="str">
        <f>IFERROR(__xludf.DUMMYFUNCTION("SPLIT(A1872,""TX"")"),"Dewar, Clarie
5359 
Dallas, ")</f>
        <v>Dewar, Clarie
5359 
Dallas, </v>
      </c>
      <c r="F1872" s="8">
        <f>IFERROR(__xludf.DUMMYFUNCTION("""COMPUTED_VALUE"""),75209.0)</f>
        <v>75209</v>
      </c>
      <c r="I1872" s="8">
        <f t="shared" si="20"/>
        <v>75209</v>
      </c>
      <c r="J1872" s="9">
        <f>IFERROR(__xludf.DUMMYFUNCTION("SPLIT(I1872,""-"")"),75209.0)</f>
        <v>75209</v>
      </c>
    </row>
    <row r="1873">
      <c r="A1873" s="10" t="s">
        <v>1749</v>
      </c>
      <c r="B1873" s="11">
        <v>150.0</v>
      </c>
      <c r="C1873" s="12" t="s">
        <v>50</v>
      </c>
      <c r="E1873" s="8" t="str">
        <f>IFERROR(__xludf.DUMMYFUNCTION("SPLIT(A1873,""TX"")"),"Sullivan, Peter
5947 
Dallas, ")</f>
        <v>Sullivan, Peter
5947 
Dallas, </v>
      </c>
      <c r="F1873" s="8">
        <f>IFERROR(__xludf.DUMMYFUNCTION("""COMPUTED_VALUE"""),75206.0)</f>
        <v>75206</v>
      </c>
      <c r="I1873" s="8">
        <f t="shared" si="20"/>
        <v>75206</v>
      </c>
      <c r="J1873" s="9">
        <f>IFERROR(__xludf.DUMMYFUNCTION("SPLIT(I1873,""-"")"),75206.0)</f>
        <v>75206</v>
      </c>
    </row>
    <row r="1874">
      <c r="A1874" s="10" t="s">
        <v>1721</v>
      </c>
      <c r="B1874" s="11">
        <v>500.0</v>
      </c>
      <c r="C1874" s="12" t="s">
        <v>50</v>
      </c>
      <c r="E1874" s="8" t="str">
        <f>IFERROR(__xludf.DUMMYFUNCTION("SPLIT(A1874,""TX"")"),"Wynhausen, Aaron
12420 
Lenexa, KS 66215")</f>
        <v>Wynhausen, Aaron
12420 
Lenexa, KS 66215</v>
      </c>
      <c r="I1874" s="8" t="str">
        <f t="shared" si="20"/>
        <v/>
      </c>
      <c r="J1874" s="9" t="str">
        <f>IFERROR(__xludf.DUMMYFUNCTION("SPLIT(I1874,""-"")"),"#VALUE!")</f>
        <v>#VALUE!</v>
      </c>
    </row>
    <row r="1875">
      <c r="A1875" s="10" t="s">
        <v>1750</v>
      </c>
      <c r="B1875" s="11">
        <v>1000.0</v>
      </c>
      <c r="C1875" s="12" t="s">
        <v>50</v>
      </c>
      <c r="E1875" s="8" t="str">
        <f>IFERROR(__xludf.DUMMYFUNCTION("SPLIT(A1875,""TX"")"),"Addy, William
3805 
Dallas, ")</f>
        <v>Addy, William
3805 
Dallas, </v>
      </c>
      <c r="F1875" s="8">
        <f>IFERROR(__xludf.DUMMYFUNCTION("""COMPUTED_VALUE"""),75205.0)</f>
        <v>75205</v>
      </c>
      <c r="I1875" s="8">
        <f t="shared" si="20"/>
        <v>75205</v>
      </c>
      <c r="J1875" s="9">
        <f>IFERROR(__xludf.DUMMYFUNCTION("SPLIT(I1875,""-"")"),75205.0)</f>
        <v>75205</v>
      </c>
    </row>
    <row r="1876">
      <c r="A1876" s="10" t="s">
        <v>1751</v>
      </c>
      <c r="B1876" s="11">
        <v>1000.0</v>
      </c>
      <c r="C1876" s="12" t="s">
        <v>50</v>
      </c>
      <c r="E1876" s="8" t="str">
        <f>IFERROR(__xludf.DUMMYFUNCTION("SPLIT(A1876,""TX"")"),"Addy, Lydia
3805 
Dallas, ")</f>
        <v>Addy, Lydia
3805 
Dallas, </v>
      </c>
      <c r="F1876" s="8">
        <f>IFERROR(__xludf.DUMMYFUNCTION("""COMPUTED_VALUE"""),75205.0)</f>
        <v>75205</v>
      </c>
      <c r="I1876" s="8">
        <f t="shared" si="20"/>
        <v>75205</v>
      </c>
      <c r="J1876" s="9">
        <f>IFERROR(__xludf.DUMMYFUNCTION("SPLIT(I1876,""-"")"),75205.0)</f>
        <v>75205</v>
      </c>
    </row>
    <row r="1877">
      <c r="A1877" s="10" t="s">
        <v>1752</v>
      </c>
      <c r="B1877" s="11">
        <v>500.0</v>
      </c>
      <c r="C1877" s="12" t="s">
        <v>50</v>
      </c>
      <c r="E1877" s="8" t="str">
        <f>IFERROR(__xludf.DUMMYFUNCTION("SPLIT(A1877,""TX"")"),"Best, Randy
2200 
Dallas, ")</f>
        <v>Best, Randy
2200 
Dallas, </v>
      </c>
      <c r="F1877" s="8">
        <f>IFERROR(__xludf.DUMMYFUNCTION("""COMPUTED_VALUE"""),75201.0)</f>
        <v>75201</v>
      </c>
      <c r="I1877" s="8">
        <f t="shared" si="20"/>
        <v>75201</v>
      </c>
      <c r="J1877" s="9">
        <f>IFERROR(__xludf.DUMMYFUNCTION("SPLIT(I1877,""-"")"),75201.0)</f>
        <v>75201</v>
      </c>
    </row>
    <row r="1878">
      <c r="A1878" s="10" t="s">
        <v>1718</v>
      </c>
      <c r="B1878" s="11">
        <v>500.0</v>
      </c>
      <c r="C1878" s="12" t="s">
        <v>50</v>
      </c>
      <c r="E1878" s="8" t="str">
        <f>IFERROR(__xludf.DUMMYFUNCTION("SPLIT(A1878,""TX"")"),"Patel, Sunil
5122 
Dallas, ")</f>
        <v>Patel, Sunil
5122 
Dallas, </v>
      </c>
      <c r="F1878" s="8">
        <f>IFERROR(__xludf.DUMMYFUNCTION("""COMPUTED_VALUE"""),75210.0)</f>
        <v>75210</v>
      </c>
      <c r="I1878" s="8">
        <f t="shared" si="20"/>
        <v>75210</v>
      </c>
      <c r="J1878" s="9">
        <f>IFERROR(__xludf.DUMMYFUNCTION("SPLIT(I1878,""-"")"),75210.0)</f>
        <v>75210</v>
      </c>
    </row>
    <row r="1879">
      <c r="A1879" s="10" t="s">
        <v>1753</v>
      </c>
      <c r="B1879" s="11">
        <v>1000.0</v>
      </c>
      <c r="C1879" s="12" t="s">
        <v>50</v>
      </c>
      <c r="E1879" s="8" t="str">
        <f>IFERROR(__xludf.DUMMYFUNCTION("SPLIT(A1879,""TX"")"),"Scudder, Kendall
2158 
Dallas, ")</f>
        <v>Scudder, Kendall
2158 
Dallas, </v>
      </c>
      <c r="F1879" s="8">
        <f>IFERROR(__xludf.DUMMYFUNCTION("""COMPUTED_VALUE"""),75228.0)</f>
        <v>75228</v>
      </c>
      <c r="I1879" s="8">
        <f t="shared" si="20"/>
        <v>75228</v>
      </c>
      <c r="J1879" s="9">
        <f>IFERROR(__xludf.DUMMYFUNCTION("SPLIT(I1879,""-"")"),75228.0)</f>
        <v>75228</v>
      </c>
    </row>
    <row r="1880">
      <c r="A1880" s="10" t="s">
        <v>1754</v>
      </c>
      <c r="B1880" s="11">
        <v>500.0</v>
      </c>
      <c r="C1880" s="12" t="s">
        <v>50</v>
      </c>
      <c r="E1880" s="8" t="str">
        <f>IFERROR(__xludf.DUMMYFUNCTION("SPLIT(A1880,""TX"")"),"Davis, Macey
8322 
Dallas, ")</f>
        <v>Davis, Macey
8322 
Dallas, </v>
      </c>
      <c r="F1880" s="8">
        <f>IFERROR(__xludf.DUMMYFUNCTION("""COMPUTED_VALUE"""),75209.0)</f>
        <v>75209</v>
      </c>
      <c r="I1880" s="8">
        <f t="shared" si="20"/>
        <v>75209</v>
      </c>
      <c r="J1880" s="9">
        <f>IFERROR(__xludf.DUMMYFUNCTION("SPLIT(I1880,""-"")"),75209.0)</f>
        <v>75209</v>
      </c>
    </row>
    <row r="1881">
      <c r="A1881" s="10" t="s">
        <v>1755</v>
      </c>
      <c r="B1881" s="11">
        <v>1000.0</v>
      </c>
      <c r="C1881" s="12" t="s">
        <v>50</v>
      </c>
      <c r="E1881" s="8" t="str">
        <f>IFERROR(__xludf.DUMMYFUNCTION("SPLIT(A1881,""TX"")"),"Valach, Kenneth
5 
Houston, ")</f>
        <v>Valach, Kenneth
5 
Houston, </v>
      </c>
      <c r="F1881" s="8">
        <f>IFERROR(__xludf.DUMMYFUNCTION("""COMPUTED_VALUE"""),77024.0)</f>
        <v>77024</v>
      </c>
      <c r="I1881" s="8">
        <f t="shared" si="20"/>
        <v>77024</v>
      </c>
      <c r="J1881" s="9">
        <f>IFERROR(__xludf.DUMMYFUNCTION("SPLIT(I1881,""-"")"),77024.0)</f>
        <v>77024</v>
      </c>
    </row>
    <row r="1882">
      <c r="A1882" s="10" t="s">
        <v>1756</v>
      </c>
      <c r="B1882" s="11">
        <v>1000.0</v>
      </c>
      <c r="C1882" s="12" t="s">
        <v>50</v>
      </c>
      <c r="E1882" s="8" t="str">
        <f>IFERROR(__xludf.DUMMYFUNCTION("SPLIT(A1882,""TX"")"),"Crow, Katherine
4700 
Dallas, ")</f>
        <v>Crow, Katherine
4700 
Dallas, </v>
      </c>
      <c r="F1882" s="8">
        <f>IFERROR(__xludf.DUMMYFUNCTION("""COMPUTED_VALUE"""),75205.0)</f>
        <v>75205</v>
      </c>
      <c r="I1882" s="8">
        <f t="shared" si="20"/>
        <v>75205</v>
      </c>
      <c r="J1882" s="9">
        <f>IFERROR(__xludf.DUMMYFUNCTION("SPLIT(I1882,""-"")"),75205.0)</f>
        <v>75205</v>
      </c>
    </row>
    <row r="1883">
      <c r="A1883" s="10" t="s">
        <v>1757</v>
      </c>
      <c r="B1883" s="11">
        <v>150.0</v>
      </c>
      <c r="C1883" s="12" t="s">
        <v>50</v>
      </c>
      <c r="E1883" s="8" t="str">
        <f>IFERROR(__xludf.DUMMYFUNCTION("SPLIT(A1883,""TX"")"),"Bryant, Kevin
4463 
Dallas, ")</f>
        <v>Bryant, Kevin
4463 
Dallas, </v>
      </c>
      <c r="F1883" s="8">
        <f>IFERROR(__xludf.DUMMYFUNCTION("""COMPUTED_VALUE"""),75220.0)</f>
        <v>75220</v>
      </c>
      <c r="I1883" s="8">
        <f t="shared" si="20"/>
        <v>75220</v>
      </c>
      <c r="J1883" s="9">
        <f>IFERROR(__xludf.DUMMYFUNCTION("SPLIT(I1883,""-"")"),75220.0)</f>
        <v>75220</v>
      </c>
    </row>
    <row r="1884">
      <c r="A1884" s="10" t="s">
        <v>1758</v>
      </c>
      <c r="B1884" s="11">
        <v>100.0</v>
      </c>
      <c r="C1884" s="12" t="s">
        <v>50</v>
      </c>
      <c r="E1884" s="8" t="str">
        <f>IFERROR(__xludf.DUMMYFUNCTION("SPLIT(A1884,""TX"")"),"Rimal, Karrol
10600 
Austin, ")</f>
        <v>Rimal, Karrol
10600 
Austin, </v>
      </c>
      <c r="F1884" s="8">
        <f>IFERROR(__xludf.DUMMYFUNCTION("""COMPUTED_VALUE"""),78748.0)</f>
        <v>78748</v>
      </c>
      <c r="I1884" s="8">
        <f t="shared" si="20"/>
        <v>78748</v>
      </c>
      <c r="J1884" s="9">
        <f>IFERROR(__xludf.DUMMYFUNCTION("SPLIT(I1884,""-"")"),78748.0)</f>
        <v>78748</v>
      </c>
    </row>
    <row r="1885">
      <c r="A1885" s="10" t="s">
        <v>1759</v>
      </c>
      <c r="B1885" s="11">
        <v>75.0</v>
      </c>
      <c r="C1885" s="12" t="s">
        <v>50</v>
      </c>
      <c r="E1885" s="8" t="str">
        <f>IFERROR(__xludf.DUMMYFUNCTION("SPLIT(A1885,""TX"")"),"Bazaldua, Karen
1649 
Midlothian, ")</f>
        <v>Bazaldua, Karen
1649 
Midlothian, </v>
      </c>
      <c r="F1885" s="8">
        <f>IFERROR(__xludf.DUMMYFUNCTION("""COMPUTED_VALUE"""),76065.0)</f>
        <v>76065</v>
      </c>
      <c r="I1885" s="8">
        <f t="shared" si="20"/>
        <v>76065</v>
      </c>
      <c r="J1885" s="9">
        <f>IFERROR(__xludf.DUMMYFUNCTION("SPLIT(I1885,""-"")"),76065.0)</f>
        <v>76065</v>
      </c>
    </row>
    <row r="1886">
      <c r="A1886" s="10" t="s">
        <v>1760</v>
      </c>
      <c r="B1886" s="11">
        <v>250.0</v>
      </c>
      <c r="C1886" s="12" t="s">
        <v>50</v>
      </c>
      <c r="E1886" s="8" t="str">
        <f>IFERROR(__xludf.DUMMYFUNCTION("SPLIT(A1886,""TX"")"),"Stevens, Heather
1808 
Dallas, ")</f>
        <v>Stevens, Heather
1808 
Dallas, </v>
      </c>
      <c r="F1886" s="8">
        <f>IFERROR(__xludf.DUMMYFUNCTION("""COMPUTED_VALUE"""),75226.0)</f>
        <v>75226</v>
      </c>
      <c r="I1886" s="8">
        <f t="shared" si="20"/>
        <v>75226</v>
      </c>
      <c r="J1886" s="9">
        <f>IFERROR(__xludf.DUMMYFUNCTION("SPLIT(I1886,""-"")"),75226.0)</f>
        <v>75226</v>
      </c>
    </row>
    <row r="1887">
      <c r="A1887" s="10" t="s">
        <v>1761</v>
      </c>
      <c r="B1887" s="11">
        <v>1000.0</v>
      </c>
      <c r="C1887" s="12" t="s">
        <v>50</v>
      </c>
      <c r="E1887" s="8" t="str">
        <f>IFERROR(__xludf.DUMMYFUNCTION("SPLIT(A1887,""TX"")"),"Crow, Harlan
3819 
Dallas, ")</f>
        <v>Crow, Harlan
3819 
Dallas, </v>
      </c>
      <c r="F1887" s="8">
        <f>IFERROR(__xludf.DUMMYFUNCTION("""COMPUTED_VALUE"""),75219.0)</f>
        <v>75219</v>
      </c>
      <c r="I1887" s="8">
        <f t="shared" si="20"/>
        <v>75219</v>
      </c>
      <c r="J1887" s="9">
        <f>IFERROR(__xludf.DUMMYFUNCTION("SPLIT(I1887,""-"")"),75219.0)</f>
        <v>75219</v>
      </c>
    </row>
    <row r="1888">
      <c r="A1888" s="10" t="s">
        <v>1762</v>
      </c>
      <c r="B1888" s="11">
        <v>500.0</v>
      </c>
      <c r="C1888" s="12" t="s">
        <v>50</v>
      </c>
      <c r="E1888" s="8" t="str">
        <f>IFERROR(__xludf.DUMMYFUNCTION("SPLIT(A1888,""TX"")"),"Brown, Jason
2534 
Dallas, ")</f>
        <v>Brown, Jason
2534 
Dallas, </v>
      </c>
      <c r="F1888" s="8">
        <f>IFERROR(__xludf.DUMMYFUNCTION("""COMPUTED_VALUE"""),75215.0)</f>
        <v>75215</v>
      </c>
      <c r="I1888" s="8">
        <f t="shared" si="20"/>
        <v>75215</v>
      </c>
      <c r="J1888" s="9">
        <f>IFERROR(__xludf.DUMMYFUNCTION("SPLIT(I1888,""-"")"),75215.0)</f>
        <v>75215</v>
      </c>
    </row>
    <row r="1889">
      <c r="A1889" s="10" t="s">
        <v>1763</v>
      </c>
      <c r="B1889" s="11">
        <v>77.0</v>
      </c>
      <c r="C1889" s="12" t="s">
        <v>50</v>
      </c>
      <c r="E1889" s="8" t="str">
        <f>IFERROR(__xludf.DUMMYFUNCTION("SPLIT(A1889,""TX"")"),"Offutt, Larry
325 
Dallas, ")</f>
        <v>Offutt, Larry
325 
Dallas, </v>
      </c>
      <c r="F1889" s="8">
        <f>IFERROR(__xludf.DUMMYFUNCTION("""COMPUTED_VALUE"""),75201.0)</f>
        <v>75201</v>
      </c>
      <c r="I1889" s="8">
        <f t="shared" si="20"/>
        <v>75201</v>
      </c>
      <c r="J1889" s="9">
        <f>IFERROR(__xludf.DUMMYFUNCTION("SPLIT(I1889,""-"")"),75201.0)</f>
        <v>75201</v>
      </c>
    </row>
    <row r="1890">
      <c r="A1890" s="10" t="s">
        <v>344</v>
      </c>
      <c r="B1890" s="11">
        <v>250.0</v>
      </c>
      <c r="C1890" s="12" t="s">
        <v>50</v>
      </c>
      <c r="E1890" s="8" t="str">
        <f>IFERROR(__xludf.DUMMYFUNCTION("SPLIT(A1890,""TX"")"),"Sampson, Demetris
PO Box 763834
Dallas, ")</f>
        <v>Sampson, Demetris
PO Box 763834
Dallas, </v>
      </c>
      <c r="F1890" s="8">
        <f>IFERROR(__xludf.DUMMYFUNCTION("""COMPUTED_VALUE"""),75376.0)</f>
        <v>75376</v>
      </c>
      <c r="I1890" s="8">
        <f t="shared" si="20"/>
        <v>75376</v>
      </c>
      <c r="J1890" s="9">
        <f>IFERROR(__xludf.DUMMYFUNCTION("SPLIT(I1890,""-"")"),75376.0)</f>
        <v>75376</v>
      </c>
    </row>
    <row r="1891">
      <c r="A1891" s="10" t="s">
        <v>1764</v>
      </c>
      <c r="B1891" s="11">
        <v>50.0</v>
      </c>
      <c r="C1891" s="12" t="s">
        <v>50</v>
      </c>
      <c r="E1891" s="8" t="str">
        <f>IFERROR(__xludf.DUMMYFUNCTION("SPLIT(A1891,""TX"")"),"Mitchell, Elayna
5323 
Dallas, ")</f>
        <v>Mitchell, Elayna
5323 
Dallas, </v>
      </c>
      <c r="F1891" s="8">
        <f>IFERROR(__xludf.DUMMYFUNCTION("""COMPUTED_VALUE"""),75214.0)</f>
        <v>75214</v>
      </c>
      <c r="I1891" s="8">
        <f t="shared" si="20"/>
        <v>75214</v>
      </c>
      <c r="J1891" s="9">
        <f>IFERROR(__xludf.DUMMYFUNCTION("SPLIT(I1891,""-"")"),75214.0)</f>
        <v>75214</v>
      </c>
    </row>
    <row r="1892">
      <c r="A1892" s="10" t="s">
        <v>1765</v>
      </c>
      <c r="B1892" s="11">
        <v>100.0</v>
      </c>
      <c r="C1892" s="12" t="s">
        <v>50</v>
      </c>
      <c r="E1892" s="8" t="str">
        <f>IFERROR(__xludf.DUMMYFUNCTION("SPLIT(A1892,""TX"")"),"Smith, Suzanne
3210 
Dallas, ")</f>
        <v>Smith, Suzanne
3210 
Dallas, </v>
      </c>
      <c r="F1892" s="8">
        <f>IFERROR(__xludf.DUMMYFUNCTION("""COMPUTED_VALUE"""),75204.0)</f>
        <v>75204</v>
      </c>
      <c r="I1892" s="8">
        <f t="shared" si="20"/>
        <v>75204</v>
      </c>
      <c r="J1892" s="9">
        <f>IFERROR(__xludf.DUMMYFUNCTION("SPLIT(I1892,""-"")"),75204.0)</f>
        <v>75204</v>
      </c>
    </row>
    <row r="1893">
      <c r="A1893" s="10" t="s">
        <v>1766</v>
      </c>
      <c r="B1893" s="11">
        <v>100.0</v>
      </c>
      <c r="C1893" s="12" t="s">
        <v>50</v>
      </c>
      <c r="E1893" s="8" t="str">
        <f>IFERROR(__xludf.DUMMYFUNCTION("SPLIT(A1893,""TX"")"),"Reynolds, Melissa
713 
Denton, ")</f>
        <v>Reynolds, Melissa
713 
Denton, </v>
      </c>
      <c r="F1893" s="8">
        <f>IFERROR(__xludf.DUMMYFUNCTION("""COMPUTED_VALUE"""),76209.0)</f>
        <v>76209</v>
      </c>
      <c r="I1893" s="8">
        <f t="shared" si="20"/>
        <v>76209</v>
      </c>
      <c r="J1893" s="9">
        <f>IFERROR(__xludf.DUMMYFUNCTION("SPLIT(I1893,""-"")"),76209.0)</f>
        <v>76209</v>
      </c>
    </row>
    <row r="1894">
      <c r="A1894" s="10" t="s">
        <v>1767</v>
      </c>
      <c r="B1894" s="11">
        <v>100.0</v>
      </c>
      <c r="C1894" s="12" t="s">
        <v>50</v>
      </c>
      <c r="E1894" s="8" t="str">
        <f>IFERROR(__xludf.DUMMYFUNCTION("SPLIT(A1894,""TX"")"),"Dohanian, Armen
5859 
Dallas, ")</f>
        <v>Dohanian, Armen
5859 
Dallas, </v>
      </c>
      <c r="F1894" s="8">
        <f>IFERROR(__xludf.DUMMYFUNCTION("""COMPUTED_VALUE"""),75227.0)</f>
        <v>75227</v>
      </c>
      <c r="I1894" s="8">
        <f t="shared" si="20"/>
        <v>75227</v>
      </c>
      <c r="J1894" s="9">
        <f>IFERROR(__xludf.DUMMYFUNCTION("SPLIT(I1894,""-"")"),75227.0)</f>
        <v>75227</v>
      </c>
    </row>
    <row r="1895">
      <c r="A1895" s="10" t="s">
        <v>1768</v>
      </c>
      <c r="B1895" s="11">
        <v>500.0</v>
      </c>
      <c r="C1895" s="12" t="s">
        <v>50</v>
      </c>
      <c r="E1895" s="8" t="str">
        <f>IFERROR(__xludf.DUMMYFUNCTION("SPLIT(A1895,""TX"")"),"Kingston, Phillip
5901 
Dallas, ")</f>
        <v>Kingston, Phillip
5901 
Dallas, </v>
      </c>
      <c r="F1895" s="8">
        <f>IFERROR(__xludf.DUMMYFUNCTION("""COMPUTED_VALUE"""),75206.0)</f>
        <v>75206</v>
      </c>
      <c r="I1895" s="8">
        <f t="shared" si="20"/>
        <v>75206</v>
      </c>
      <c r="J1895" s="9">
        <f>IFERROR(__xludf.DUMMYFUNCTION("SPLIT(I1895,""-"")"),75206.0)</f>
        <v>75206</v>
      </c>
    </row>
    <row r="1896">
      <c r="A1896" s="10" t="s">
        <v>1724</v>
      </c>
      <c r="B1896" s="11">
        <v>500.0</v>
      </c>
      <c r="C1896" s="12" t="s">
        <v>50</v>
      </c>
      <c r="E1896" s="8" t="str">
        <f>IFERROR(__xludf.DUMMYFUNCTION("SPLIT(A1896,""TX"")"),"Schenkel, Pete
614 
Dallas, ")</f>
        <v>Schenkel, Pete
614 
Dallas, </v>
      </c>
      <c r="F1896" s="8">
        <f>IFERROR(__xludf.DUMMYFUNCTION("""COMPUTED_VALUE"""),75208.0)</f>
        <v>75208</v>
      </c>
      <c r="I1896" s="8">
        <f t="shared" si="20"/>
        <v>75208</v>
      </c>
      <c r="J1896" s="9">
        <f>IFERROR(__xludf.DUMMYFUNCTION("SPLIT(I1896,""-"")"),75208.0)</f>
        <v>75208</v>
      </c>
    </row>
    <row r="1897">
      <c r="A1897" s="10" t="s">
        <v>1769</v>
      </c>
      <c r="B1897" s="11">
        <v>2000.0</v>
      </c>
      <c r="C1897" s="12" t="s">
        <v>35</v>
      </c>
      <c r="E1897" s="8" t="str">
        <f>IFERROR(__xludf.DUMMYFUNCTION("SPLIT(A1897,""TX"")"),"Southwest Airlines Freedom Fund PAC
PO Box 36611
Dallas, ")</f>
        <v>Southwest Airlines Freedom Fund PAC
PO Box 36611
Dallas, </v>
      </c>
      <c r="F1897" s="8">
        <f>IFERROR(__xludf.DUMMYFUNCTION("""COMPUTED_VALUE"""),75235.0)</f>
        <v>75235</v>
      </c>
      <c r="I1897" s="8">
        <f t="shared" si="20"/>
        <v>75235</v>
      </c>
      <c r="J1897" s="9">
        <f>IFERROR(__xludf.DUMMYFUNCTION("SPLIT(I1897,""-"")"),75235.0)</f>
        <v>75235</v>
      </c>
    </row>
    <row r="1898">
      <c r="A1898" s="10" t="s">
        <v>1770</v>
      </c>
      <c r="B1898" s="11">
        <v>1000.0</v>
      </c>
      <c r="C1898" s="12" t="s">
        <v>35</v>
      </c>
      <c r="E1898" s="8" t="str">
        <f>IFERROR(__xludf.DUMMYFUNCTION("SPLIT(A1898,""TX"")"),"Newmore LLP
5329 Northmoor Dr
Dallas, ")</f>
        <v>Newmore LLP
5329 Northmoor Dr
Dallas, </v>
      </c>
      <c r="F1898" s="8">
        <f>IFERROR(__xludf.DUMMYFUNCTION("""COMPUTED_VALUE"""),75229.0)</f>
        <v>75229</v>
      </c>
      <c r="I1898" s="8">
        <f t="shared" si="20"/>
        <v>75229</v>
      </c>
      <c r="J1898" s="9">
        <f>IFERROR(__xludf.DUMMYFUNCTION("SPLIT(I1898,""-"")"),75229.0)</f>
        <v>75229</v>
      </c>
    </row>
    <row r="1899">
      <c r="A1899" s="10" t="s">
        <v>1771</v>
      </c>
      <c r="B1899" s="11">
        <v>1000.0</v>
      </c>
      <c r="C1899" s="12" t="s">
        <v>35</v>
      </c>
      <c r="E1899" s="8" t="str">
        <f>IFERROR(__xludf.DUMMYFUNCTION("SPLIT(A1899,""TX"")"),"Addy, William
3805 Normandy
Dallas, ")</f>
        <v>Addy, William
3805 Normandy
Dallas, </v>
      </c>
      <c r="F1899" s="8">
        <f>IFERROR(__xludf.DUMMYFUNCTION("""COMPUTED_VALUE"""),75205.0)</f>
        <v>75205</v>
      </c>
      <c r="I1899" s="8">
        <f t="shared" si="20"/>
        <v>75205</v>
      </c>
      <c r="J1899" s="9">
        <f>IFERROR(__xludf.DUMMYFUNCTION("SPLIT(I1899,""-"")"),75205.0)</f>
        <v>75205</v>
      </c>
    </row>
    <row r="1900">
      <c r="A1900" s="10" t="s">
        <v>1772</v>
      </c>
      <c r="B1900" s="11">
        <v>1000.0</v>
      </c>
      <c r="C1900" s="12" t="s">
        <v>35</v>
      </c>
      <c r="E1900" s="8" t="str">
        <f>IFERROR(__xludf.DUMMYFUNCTION("SPLIT(A1900,""TX"")"),"Narvaez, Sylvia
8049 Ridgeview
Houston, ")</f>
        <v>Narvaez, Sylvia
8049 Ridgeview
Houston, </v>
      </c>
      <c r="F1900" s="8">
        <f>IFERROR(__xludf.DUMMYFUNCTION("""COMPUTED_VALUE"""),77055.0)</f>
        <v>77055</v>
      </c>
      <c r="I1900" s="8">
        <f t="shared" si="20"/>
        <v>77055</v>
      </c>
      <c r="J1900" s="9">
        <f>IFERROR(__xludf.DUMMYFUNCTION("SPLIT(I1900,""-"")"),77055.0)</f>
        <v>77055</v>
      </c>
    </row>
    <row r="1901">
      <c r="A1901" s="10" t="s">
        <v>1773</v>
      </c>
      <c r="B1901" s="11">
        <v>1000.0</v>
      </c>
      <c r="C1901" s="12" t="s">
        <v>35</v>
      </c>
      <c r="E1901" s="8" t="str">
        <f>IFERROR(__xludf.DUMMYFUNCTION("SPLIT(A1901,""TX"")"),"Addy, Lydia
3805 Normandy
Dallas, ")</f>
        <v>Addy, Lydia
3805 Normandy
Dallas, </v>
      </c>
      <c r="F1901" s="8">
        <f>IFERROR(__xludf.DUMMYFUNCTION("""COMPUTED_VALUE"""),75212.0)</f>
        <v>75212</v>
      </c>
      <c r="I1901" s="8">
        <f t="shared" si="20"/>
        <v>75212</v>
      </c>
      <c r="J1901" s="9">
        <f>IFERROR(__xludf.DUMMYFUNCTION("SPLIT(I1901,""-"")"),75212.0)</f>
        <v>75212</v>
      </c>
    </row>
    <row r="1902">
      <c r="A1902" s="10" t="s">
        <v>1774</v>
      </c>
      <c r="B1902" s="11">
        <v>1000.0</v>
      </c>
      <c r="C1902" s="12" t="s">
        <v>35</v>
      </c>
      <c r="E1902" s="8" t="str">
        <f>IFERROR(__xludf.DUMMYFUNCTION("SPLIT(A1902,""TX"")"),"Cheema, Supreet
4753 Harlow Bend
Irving, ")</f>
        <v>Cheema, Supreet
4753 Harlow Bend
Irving, </v>
      </c>
      <c r="F1902" s="8">
        <f>IFERROR(__xludf.DUMMYFUNCTION("""COMPUTED_VALUE"""),75038.0)</f>
        <v>75038</v>
      </c>
      <c r="I1902" s="8">
        <f t="shared" si="20"/>
        <v>75038</v>
      </c>
      <c r="J1902" s="9">
        <f>IFERROR(__xludf.DUMMYFUNCTION("SPLIT(I1902,""-"")"),75038.0)</f>
        <v>75038</v>
      </c>
    </row>
    <row r="1903">
      <c r="A1903" s="10" t="s">
        <v>1775</v>
      </c>
      <c r="B1903" s="11">
        <v>1000.0</v>
      </c>
      <c r="C1903" s="12" t="s">
        <v>35</v>
      </c>
      <c r="E1903" s="8" t="str">
        <f>IFERROR(__xludf.DUMMYFUNCTION("SPLIT(A1903,""TX"")"),"Davidson, Alyssa
2353 N Field St
Dallas, ")</f>
        <v>Davidson, Alyssa
2353 N Field St
Dallas, </v>
      </c>
      <c r="F1903" s="8">
        <f>IFERROR(__xludf.DUMMYFUNCTION("""COMPUTED_VALUE"""),75201.0)</f>
        <v>75201</v>
      </c>
      <c r="I1903" s="8">
        <f t="shared" si="20"/>
        <v>75201</v>
      </c>
      <c r="J1903" s="9">
        <f>IFERROR(__xludf.DUMMYFUNCTION("SPLIT(I1903,""-"")"),75201.0)</f>
        <v>75201</v>
      </c>
    </row>
    <row r="1904">
      <c r="A1904" s="10" t="s">
        <v>1776</v>
      </c>
      <c r="B1904" s="11">
        <v>500.0</v>
      </c>
      <c r="C1904" s="12" t="s">
        <v>35</v>
      </c>
      <c r="E1904" s="8" t="str">
        <f>IFERROR(__xludf.DUMMYFUNCTION("SPLIT(A1904,""TX"")"),"Spinola, Luis
4608 Windsor Ridge
Dallas, UM 75038")</f>
        <v>Spinola, Luis
4608 Windsor Ridge
Dallas, UM 75038</v>
      </c>
      <c r="I1904" s="8" t="str">
        <f t="shared" si="20"/>
        <v/>
      </c>
      <c r="J1904" s="9" t="str">
        <f>IFERROR(__xludf.DUMMYFUNCTION("SPLIT(I1904,""-"")"),"#VALUE!")</f>
        <v>#VALUE!</v>
      </c>
    </row>
    <row r="1905">
      <c r="A1905" s="10" t="s">
        <v>1777</v>
      </c>
      <c r="B1905" s="11">
        <v>500.0</v>
      </c>
      <c r="C1905" s="12" t="s">
        <v>35</v>
      </c>
      <c r="E1905" s="8" t="str">
        <f>IFERROR(__xludf.DUMMYFUNCTION("SPLIT(A1905,""TX"")"),"Ridley, Paul
5100 Victor
Dallas, ")</f>
        <v>Ridley, Paul
5100 Victor
Dallas, </v>
      </c>
      <c r="F1905" s="8">
        <f>IFERROR(__xludf.DUMMYFUNCTION("""COMPUTED_VALUE"""),75214.0)</f>
        <v>75214</v>
      </c>
      <c r="I1905" s="8">
        <f t="shared" si="20"/>
        <v>75214</v>
      </c>
      <c r="J1905" s="9">
        <f>IFERROR(__xludf.DUMMYFUNCTION("SPLIT(I1905,""-"")"),75214.0)</f>
        <v>75214</v>
      </c>
    </row>
    <row r="1906">
      <c r="A1906" s="10" t="s">
        <v>1778</v>
      </c>
      <c r="B1906" s="11">
        <v>1000.0</v>
      </c>
      <c r="C1906" s="12" t="s">
        <v>35</v>
      </c>
      <c r="E1906" s="8" t="str">
        <f>IFERROR(__xludf.DUMMYFUNCTION("SPLIT(A1906,""TX"")"),"Johnson, Willis
1001 Belleview
Dallas, ")</f>
        <v>Johnson, Willis
1001 Belleview
Dallas, </v>
      </c>
      <c r="F1906" s="8">
        <f>IFERROR(__xludf.DUMMYFUNCTION("""COMPUTED_VALUE"""),75215.0)</f>
        <v>75215</v>
      </c>
      <c r="I1906" s="8">
        <f t="shared" si="20"/>
        <v>75215</v>
      </c>
      <c r="J1906" s="9">
        <f>IFERROR(__xludf.DUMMYFUNCTION("SPLIT(I1906,""-"")"),75215.0)</f>
        <v>75215</v>
      </c>
    </row>
    <row r="1907">
      <c r="A1907" s="10" t="s">
        <v>1779</v>
      </c>
      <c r="B1907" s="11">
        <v>1000.0</v>
      </c>
      <c r="C1907" s="12" t="s">
        <v>35</v>
      </c>
      <c r="E1907" s="8" t="str">
        <f>IFERROR(__xludf.DUMMYFUNCTION("SPLIT(A1907,""TX"")"),"Crow, Harlan
3819 Maple Ave
Dallas, ")</f>
        <v>Crow, Harlan
3819 Maple Ave
Dallas, </v>
      </c>
      <c r="F1907" s="8">
        <f>IFERROR(__xludf.DUMMYFUNCTION("""COMPUTED_VALUE"""),75219.0)</f>
        <v>75219</v>
      </c>
      <c r="I1907" s="8">
        <f t="shared" si="20"/>
        <v>75219</v>
      </c>
      <c r="J1907" s="9">
        <f>IFERROR(__xludf.DUMMYFUNCTION("SPLIT(I1907,""-"")"),75219.0)</f>
        <v>75219</v>
      </c>
    </row>
    <row r="1908">
      <c r="A1908" s="10" t="s">
        <v>1780</v>
      </c>
      <c r="B1908" s="11">
        <v>30.0</v>
      </c>
      <c r="C1908" s="12" t="s">
        <v>35</v>
      </c>
      <c r="E1908" s="8" t="str">
        <f>IFERROR(__xludf.DUMMYFUNCTION("SPLIT(A1908,""TX"")"),"Solis, Diane
1551 Oak Lawn
Dallas, ")</f>
        <v>Solis, Diane
1551 Oak Lawn
Dallas, </v>
      </c>
      <c r="F1908" s="8">
        <f>IFERROR(__xludf.DUMMYFUNCTION("""COMPUTED_VALUE"""),75207.0)</f>
        <v>75207</v>
      </c>
      <c r="I1908" s="8">
        <f t="shared" si="20"/>
        <v>75207</v>
      </c>
      <c r="J1908" s="9">
        <f>IFERROR(__xludf.DUMMYFUNCTION("SPLIT(I1908,""-"")"),75207.0)</f>
        <v>75207</v>
      </c>
    </row>
    <row r="1909">
      <c r="A1909" s="10" t="s">
        <v>220</v>
      </c>
      <c r="B1909" s="11">
        <v>100.0</v>
      </c>
      <c r="C1909" s="12" t="s">
        <v>35</v>
      </c>
      <c r="E1909" s="8" t="str">
        <f>IFERROR(__xludf.DUMMYFUNCTION("SPLIT(A1909,""TX"")"),"Flores, Hector
1030 ")</f>
        <v>Flores, Hector
1030 </v>
      </c>
      <c r="F1909" s="8" t="str">
        <f>IFERROR(__xludf.DUMMYFUNCTION("""COMPUTED_VALUE"""),"racy Avenue
Duncanville, ")</f>
        <v>racy Avenue
Duncanville, </v>
      </c>
      <c r="G1909" s="8">
        <f>IFERROR(__xludf.DUMMYFUNCTION("""COMPUTED_VALUE"""),75137.0)</f>
        <v>75137</v>
      </c>
      <c r="I1909" s="8">
        <f t="shared" si="20"/>
        <v>75137</v>
      </c>
      <c r="J1909" s="9">
        <f>IFERROR(__xludf.DUMMYFUNCTION("SPLIT(I1909,""-"")"),75137.0)</f>
        <v>75137</v>
      </c>
    </row>
    <row r="1910">
      <c r="A1910" s="10" t="s">
        <v>1275</v>
      </c>
      <c r="B1910" s="11">
        <v>100.0</v>
      </c>
      <c r="C1910" s="12" t="s">
        <v>35</v>
      </c>
      <c r="E1910" s="8" t="str">
        <f>IFERROR(__xludf.DUMMYFUNCTION("SPLIT(A1910,""TX"")"),"Pomykal, Keith
3001 Sale
Dallas, ")</f>
        <v>Pomykal, Keith
3001 Sale
Dallas, </v>
      </c>
      <c r="F1910" s="8">
        <f>IFERROR(__xludf.DUMMYFUNCTION("""COMPUTED_VALUE"""),75219.0)</f>
        <v>75219</v>
      </c>
      <c r="I1910" s="8">
        <f t="shared" si="20"/>
        <v>75219</v>
      </c>
      <c r="J1910" s="9">
        <f>IFERROR(__xludf.DUMMYFUNCTION("SPLIT(I1910,""-"")"),75219.0)</f>
        <v>75219</v>
      </c>
    </row>
    <row r="1911">
      <c r="A1911" s="10" t="s">
        <v>1781</v>
      </c>
      <c r="B1911" s="11">
        <v>50.0</v>
      </c>
      <c r="C1911" s="12" t="s">
        <v>35</v>
      </c>
      <c r="E1911" s="8" t="str">
        <f>IFERROR(__xludf.DUMMYFUNCTION("SPLIT(A1911,""TX"")"),"Olivarez, Javier
9749 Kittyhawk
Dallas, ")</f>
        <v>Olivarez, Javier
9749 Kittyhawk
Dallas, </v>
      </c>
      <c r="F1911" s="8">
        <f>IFERROR(__xludf.DUMMYFUNCTION("""COMPUTED_VALUE"""),75217.0)</f>
        <v>75217</v>
      </c>
      <c r="I1911" s="8">
        <f t="shared" si="20"/>
        <v>75217</v>
      </c>
      <c r="J1911" s="9">
        <f>IFERROR(__xludf.DUMMYFUNCTION("SPLIT(I1911,""-"")"),75217.0)</f>
        <v>75217</v>
      </c>
    </row>
    <row r="1912">
      <c r="A1912" s="10" t="s">
        <v>1782</v>
      </c>
      <c r="B1912" s="11">
        <v>1000.0</v>
      </c>
      <c r="C1912" s="12" t="s">
        <v>35</v>
      </c>
      <c r="E1912" s="8" t="str">
        <f>IFERROR(__xludf.DUMMYFUNCTION("SPLIT(A1912,""TX"")"),"Myers, Richard
17115 Skelton Place
Dallas, ")</f>
        <v>Myers, Richard
17115 Skelton Place
Dallas, </v>
      </c>
      <c r="F1912" s="8">
        <f>IFERROR(__xludf.DUMMYFUNCTION("""COMPUTED_VALUE"""),75248.0)</f>
        <v>75248</v>
      </c>
      <c r="I1912" s="8">
        <f t="shared" si="20"/>
        <v>75248</v>
      </c>
      <c r="J1912" s="9">
        <f>IFERROR(__xludf.DUMMYFUNCTION("SPLIT(I1912,""-"")"),75248.0)</f>
        <v>75248</v>
      </c>
    </row>
    <row r="1913">
      <c r="A1913" s="10" t="s">
        <v>1783</v>
      </c>
      <c r="B1913" s="11">
        <v>1000.0</v>
      </c>
      <c r="C1913" s="12" t="s">
        <v>35</v>
      </c>
      <c r="E1913" s="8" t="str">
        <f>IFERROR(__xludf.DUMMYFUNCTION("SPLIT(A1913,""TX"")"),"Nambiar, Vipin
1807 Ross Ave
Dallas, ")</f>
        <v>Nambiar, Vipin
1807 Ross Ave
Dallas, </v>
      </c>
      <c r="F1913" s="8">
        <f>IFERROR(__xludf.DUMMYFUNCTION("""COMPUTED_VALUE"""),75201.0)</f>
        <v>75201</v>
      </c>
      <c r="I1913" s="8">
        <f t="shared" si="20"/>
        <v>75201</v>
      </c>
      <c r="J1913" s="9">
        <f>IFERROR(__xludf.DUMMYFUNCTION("SPLIT(I1913,""-"")"),75201.0)</f>
        <v>75201</v>
      </c>
    </row>
    <row r="1914">
      <c r="A1914" s="10" t="s">
        <v>344</v>
      </c>
      <c r="B1914" s="11">
        <v>250.0</v>
      </c>
      <c r="C1914" s="12" t="s">
        <v>35</v>
      </c>
      <c r="E1914" s="8" t="str">
        <f>IFERROR(__xludf.DUMMYFUNCTION("SPLIT(A1914,""TX"")"),"Sampson, Demetris
PO Box 763834
Dallas, ")</f>
        <v>Sampson, Demetris
PO Box 763834
Dallas, </v>
      </c>
      <c r="F1914" s="8">
        <f>IFERROR(__xludf.DUMMYFUNCTION("""COMPUTED_VALUE"""),75376.0)</f>
        <v>75376</v>
      </c>
      <c r="I1914" s="8">
        <f t="shared" si="20"/>
        <v>75376</v>
      </c>
      <c r="J1914" s="9">
        <f>IFERROR(__xludf.DUMMYFUNCTION("SPLIT(I1914,""-"")"),75376.0)</f>
        <v>75376</v>
      </c>
    </row>
    <row r="1915">
      <c r="A1915" s="10" t="s">
        <v>1784</v>
      </c>
      <c r="B1915" s="11">
        <v>1000.0</v>
      </c>
      <c r="C1915" s="12" t="s">
        <v>35</v>
      </c>
      <c r="E1915" s="8" t="str">
        <f>IFERROR(__xludf.DUMMYFUNCTION("SPLIT(A1915,""TX"")"),"Billingsley, Lucy
1722 Routh St
Dallas, ")</f>
        <v>Billingsley, Lucy
1722 Routh St
Dallas, </v>
      </c>
      <c r="F1915" s="8">
        <f>IFERROR(__xludf.DUMMYFUNCTION("""COMPUTED_VALUE"""),75201.0)</f>
        <v>75201</v>
      </c>
      <c r="I1915" s="8">
        <f t="shared" si="20"/>
        <v>75201</v>
      </c>
      <c r="J1915" s="9">
        <f>IFERROR(__xludf.DUMMYFUNCTION("SPLIT(I1915,""-"")"),75201.0)</f>
        <v>75201</v>
      </c>
    </row>
    <row r="1916">
      <c r="A1916" s="10" t="s">
        <v>1785</v>
      </c>
      <c r="B1916" s="11">
        <v>1000.0</v>
      </c>
      <c r="C1916" s="12" t="s">
        <v>35</v>
      </c>
      <c r="E1916" s="8" t="str">
        <f>IFERROR(__xludf.DUMMYFUNCTION("SPLIT(A1916,""TX"")"),"BILLINGSLEY, HENRY
1722 ROU")</f>
        <v>BILLINGSLEY, HENRY
1722 ROU</v>
      </c>
      <c r="F1916" s="8" t="str">
        <f>IFERROR(__xludf.DUMMYFUNCTION("""COMPUTED_VALUE"""),"H S")</f>
        <v>H S</v>
      </c>
      <c r="G1916" s="8" t="str">
        <f>IFERROR(__xludf.DUMMYFUNCTION("""COMPUTED_VALUE"""),"
DALLAS, ")</f>
        <v>
DALLAS, </v>
      </c>
      <c r="H1916" s="8">
        <f>IFERROR(__xludf.DUMMYFUNCTION("""COMPUTED_VALUE"""),75201.0)</f>
        <v>75201</v>
      </c>
      <c r="I1916" s="13">
        <v>75201.0</v>
      </c>
      <c r="J1916" s="9">
        <f>IFERROR(__xludf.DUMMYFUNCTION("SPLIT(I1916,""-"")"),75201.0)</f>
        <v>75201</v>
      </c>
    </row>
    <row r="1917">
      <c r="A1917" s="10" t="s">
        <v>1786</v>
      </c>
      <c r="B1917" s="11">
        <v>250.0</v>
      </c>
      <c r="C1917" s="12" t="s">
        <v>35</v>
      </c>
      <c r="E1917" s="8" t="str">
        <f>IFERROR(__xludf.DUMMYFUNCTION("SPLIT(A1917,""TX"")"),"Lunceford, Michael
4440 Shady Hill Drive
Dallas, ")</f>
        <v>Lunceford, Michael
4440 Shady Hill Drive
Dallas, </v>
      </c>
      <c r="F1917" s="8">
        <f>IFERROR(__xludf.DUMMYFUNCTION("""COMPUTED_VALUE"""),75229.0)</f>
        <v>75229</v>
      </c>
      <c r="I1917" s="8">
        <f t="shared" ref="I1917:I1946" si="21">IF(ISBLANK(G1917),F1917,G1917)</f>
        <v>75229</v>
      </c>
      <c r="J1917" s="9">
        <f>IFERROR(__xludf.DUMMYFUNCTION("SPLIT(I1917,""-"")"),75229.0)</f>
        <v>75229</v>
      </c>
    </row>
    <row r="1918">
      <c r="A1918" s="10" t="s">
        <v>175</v>
      </c>
      <c r="B1918" s="11">
        <v>250.0</v>
      </c>
      <c r="C1918" s="12" t="s">
        <v>35</v>
      </c>
      <c r="E1918" s="8" t="str">
        <f>IFERROR(__xludf.DUMMYFUNCTION("SPLIT(A1918,""TX"")"),"Forsythe-Lill, Veletta
622 Blair Blvd
Dallas, ")</f>
        <v>Forsythe-Lill, Veletta
622 Blair Blvd
Dallas, </v>
      </c>
      <c r="F1918" s="8">
        <f>IFERROR(__xludf.DUMMYFUNCTION("""COMPUTED_VALUE"""),75223.0)</f>
        <v>75223</v>
      </c>
      <c r="I1918" s="8">
        <f t="shared" si="21"/>
        <v>75223</v>
      </c>
      <c r="J1918" s="9">
        <f>IFERROR(__xludf.DUMMYFUNCTION("SPLIT(I1918,""-"")"),75223.0)</f>
        <v>75223</v>
      </c>
    </row>
    <row r="1919">
      <c r="A1919" s="10" t="s">
        <v>1787</v>
      </c>
      <c r="B1919" s="11">
        <v>250.0</v>
      </c>
      <c r="C1919" s="12" t="s">
        <v>35</v>
      </c>
      <c r="E1919" s="8" t="str">
        <f>IFERROR(__xludf.DUMMYFUNCTION("SPLIT(A1919,""TX"")"),"Rose, Evelyn
5 Willowood
Dallas, ")</f>
        <v>Rose, Evelyn
5 Willowood
Dallas, </v>
      </c>
      <c r="F1919" s="8">
        <f>IFERROR(__xludf.DUMMYFUNCTION("""COMPUTED_VALUE"""),75205.0)</f>
        <v>75205</v>
      </c>
      <c r="I1919" s="8">
        <f t="shared" si="21"/>
        <v>75205</v>
      </c>
      <c r="J1919" s="9">
        <f>IFERROR(__xludf.DUMMYFUNCTION("SPLIT(I1919,""-"")"),75205.0)</f>
        <v>75205</v>
      </c>
    </row>
    <row r="1920">
      <c r="A1920" s="10" t="s">
        <v>1788</v>
      </c>
      <c r="B1920" s="11">
        <v>50.0</v>
      </c>
      <c r="C1920" s="12" t="s">
        <v>35</v>
      </c>
      <c r="E1920" s="8" t="str">
        <f>IFERROR(__xludf.DUMMYFUNCTION("SPLIT(A1920,""TX"")"),"Watson, Irish
3979 Granite Hill Dr
Dallas, ")</f>
        <v>Watson, Irish
3979 Granite Hill Dr
Dallas, </v>
      </c>
      <c r="F1920" s="8">
        <f>IFERROR(__xludf.DUMMYFUNCTION("""COMPUTED_VALUE"""),75241.0)</f>
        <v>75241</v>
      </c>
      <c r="I1920" s="8">
        <f t="shared" si="21"/>
        <v>75241</v>
      </c>
      <c r="J1920" s="9">
        <f>IFERROR(__xludf.DUMMYFUNCTION("SPLIT(I1920,""-"")"),75241.0)</f>
        <v>75241</v>
      </c>
    </row>
    <row r="1921">
      <c r="A1921" s="10" t="s">
        <v>1789</v>
      </c>
      <c r="B1921" s="11">
        <v>100.0</v>
      </c>
      <c r="C1921" s="12" t="s">
        <v>35</v>
      </c>
      <c r="E1921" s="8" t="str">
        <f>IFERROR(__xludf.DUMMYFUNCTION("SPLIT(A1921,""TX"")"),"Conwright, Fred
1441 Robert B Cullum
Dallas, ")</f>
        <v>Conwright, Fred
1441 Robert B Cullum
Dallas, </v>
      </c>
      <c r="F1921" s="8">
        <f>IFERROR(__xludf.DUMMYFUNCTION("""COMPUTED_VALUE"""),75210.0)</f>
        <v>75210</v>
      </c>
      <c r="I1921" s="8">
        <f t="shared" si="21"/>
        <v>75210</v>
      </c>
      <c r="J1921" s="9">
        <f>IFERROR(__xludf.DUMMYFUNCTION("SPLIT(I1921,""-"")"),75210.0)</f>
        <v>75210</v>
      </c>
    </row>
    <row r="1922">
      <c r="A1922" s="10" t="s">
        <v>1790</v>
      </c>
      <c r="B1922" s="11">
        <v>500.0</v>
      </c>
      <c r="C1922" s="12" t="s">
        <v>35</v>
      </c>
      <c r="E1922" s="8" t="str">
        <f>IFERROR(__xludf.DUMMYFUNCTION("SPLIT(A1922,""TX"")"),"Chaisson, Avis
2828 Woodside St
Dallas, ")</f>
        <v>Chaisson, Avis
2828 Woodside St
Dallas, </v>
      </c>
      <c r="F1922" s="8">
        <f>IFERROR(__xludf.DUMMYFUNCTION("""COMPUTED_VALUE"""),75204.0)</f>
        <v>75204</v>
      </c>
      <c r="I1922" s="8">
        <f t="shared" si="21"/>
        <v>75204</v>
      </c>
      <c r="J1922" s="9">
        <f>IFERROR(__xludf.DUMMYFUNCTION("SPLIT(I1922,""-"")"),75204.0)</f>
        <v>75204</v>
      </c>
    </row>
    <row r="1923">
      <c r="A1923" s="10" t="s">
        <v>1791</v>
      </c>
      <c r="B1923" s="11">
        <v>200.0</v>
      </c>
      <c r="C1923" s="12" t="s">
        <v>35</v>
      </c>
      <c r="E1923" s="8" t="str">
        <f>IFERROR(__xludf.DUMMYFUNCTION("SPLIT(A1923,""TX"")"),"Hill, John
2820 Reagan St
Dallas, ")</f>
        <v>Hill, John
2820 Reagan St
Dallas, </v>
      </c>
      <c r="F1923" s="8">
        <f>IFERROR(__xludf.DUMMYFUNCTION("""COMPUTED_VALUE"""),75219.0)</f>
        <v>75219</v>
      </c>
      <c r="I1923" s="8">
        <f t="shared" si="21"/>
        <v>75219</v>
      </c>
      <c r="J1923" s="9">
        <f>IFERROR(__xludf.DUMMYFUNCTION("SPLIT(I1923,""-"")"),75219.0)</f>
        <v>75219</v>
      </c>
    </row>
    <row r="1924">
      <c r="A1924" s="10" t="s">
        <v>1792</v>
      </c>
      <c r="B1924" s="11">
        <v>100.0</v>
      </c>
      <c r="C1924" s="12" t="s">
        <v>35</v>
      </c>
      <c r="E1924" s="8" t="str">
        <f>IFERROR(__xludf.DUMMYFUNCTION("SPLIT(A1924,""TX"")"),"Hanson, Swede
9925 Lakeside
Dallas, ")</f>
        <v>Hanson, Swede
9925 Lakeside
Dallas, </v>
      </c>
      <c r="F1924" s="8">
        <f>IFERROR(__xludf.DUMMYFUNCTION("""COMPUTED_VALUE"""),75218.0)</f>
        <v>75218</v>
      </c>
      <c r="I1924" s="8">
        <f t="shared" si="21"/>
        <v>75218</v>
      </c>
      <c r="J1924" s="9">
        <f>IFERROR(__xludf.DUMMYFUNCTION("SPLIT(I1924,""-"")"),75218.0)</f>
        <v>75218</v>
      </c>
    </row>
    <row r="1925">
      <c r="A1925" s="10" t="s">
        <v>1793</v>
      </c>
      <c r="B1925" s="11">
        <v>150.0</v>
      </c>
      <c r="C1925" s="12" t="s">
        <v>35</v>
      </c>
      <c r="E1925" s="8" t="str">
        <f>IFERROR(__xludf.DUMMYFUNCTION("SPLIT(A1925,""TX"")"),"Bryant, Kevin
4463 Brookview
Dallas, ")</f>
        <v>Bryant, Kevin
4463 Brookview
Dallas, </v>
      </c>
      <c r="F1925" s="8">
        <f>IFERROR(__xludf.DUMMYFUNCTION("""COMPUTED_VALUE"""),75220.0)</f>
        <v>75220</v>
      </c>
      <c r="I1925" s="8">
        <f t="shared" si="21"/>
        <v>75220</v>
      </c>
      <c r="J1925" s="9">
        <f>IFERROR(__xludf.DUMMYFUNCTION("SPLIT(I1925,""-"")"),75220.0)</f>
        <v>75220</v>
      </c>
    </row>
    <row r="1926">
      <c r="A1926" s="10" t="s">
        <v>1794</v>
      </c>
      <c r="B1926" s="11">
        <v>1000.0</v>
      </c>
      <c r="C1926" s="12" t="s">
        <v>35</v>
      </c>
      <c r="E1926" s="8" t="str">
        <f>IFERROR(__xludf.DUMMYFUNCTION("SPLIT(A1926,""TX"")"),"Phillips, Elizabeth
4655 Ashworth
Cumming, GA 30040")</f>
        <v>Phillips, Elizabeth
4655 Ashworth
Cumming, GA 30040</v>
      </c>
      <c r="I1926" s="8" t="str">
        <f t="shared" si="21"/>
        <v/>
      </c>
      <c r="J1926" s="9" t="str">
        <f>IFERROR(__xludf.DUMMYFUNCTION("SPLIT(I1926,""-"")"),"#VALUE!")</f>
        <v>#VALUE!</v>
      </c>
    </row>
    <row r="1927">
      <c r="A1927" s="10" t="s">
        <v>1795</v>
      </c>
      <c r="B1927" s="11">
        <v>750.0</v>
      </c>
      <c r="C1927" s="12" t="s">
        <v>35</v>
      </c>
      <c r="E1927" s="8" t="str">
        <f>IFERROR(__xludf.DUMMYFUNCTION("SPLIT(A1927,""TX"")"),"Montgomery, Mike
1020 E Levee
Dallas, ")</f>
        <v>Montgomery, Mike
1020 E Levee
Dallas, </v>
      </c>
      <c r="F1927" s="8">
        <f>IFERROR(__xludf.DUMMYFUNCTION("""COMPUTED_VALUE"""),75207.0)</f>
        <v>75207</v>
      </c>
      <c r="I1927" s="8">
        <f t="shared" si="21"/>
        <v>75207</v>
      </c>
      <c r="J1927" s="9">
        <f>IFERROR(__xludf.DUMMYFUNCTION("SPLIT(I1927,""-"")"),75207.0)</f>
        <v>75207</v>
      </c>
    </row>
    <row r="1928">
      <c r="A1928" s="10" t="s">
        <v>1796</v>
      </c>
      <c r="B1928" s="11">
        <v>1000.0</v>
      </c>
      <c r="C1928" s="12" t="s">
        <v>35</v>
      </c>
      <c r="E1928" s="8" t="str">
        <f>IFERROR(__xludf.DUMMYFUNCTION("SPLIT(A1928,""TX"")"),"Vasquez, Mary
1709 East Ave
Dallas, ")</f>
        <v>Vasquez, Mary
1709 East Ave
Dallas, </v>
      </c>
      <c r="F1928" s="8">
        <f>IFERROR(__xludf.DUMMYFUNCTION("""COMPUTED_VALUE"""),77493.0)</f>
        <v>77493</v>
      </c>
      <c r="I1928" s="8">
        <f t="shared" si="21"/>
        <v>77493</v>
      </c>
      <c r="J1928" s="9">
        <f>IFERROR(__xludf.DUMMYFUNCTION("SPLIT(I1928,""-"")"),77493.0)</f>
        <v>77493</v>
      </c>
    </row>
    <row r="1929">
      <c r="A1929" s="10" t="s">
        <v>1797</v>
      </c>
      <c r="B1929" s="11">
        <v>1000.0</v>
      </c>
      <c r="C1929" s="12" t="s">
        <v>35</v>
      </c>
      <c r="E1929" s="8" t="str">
        <f>IFERROR(__xludf.DUMMYFUNCTION("SPLIT(A1929,""TX"")"),"Aranza, Humberto
3105 San Jacinto
Dallas, ")</f>
        <v>Aranza, Humberto
3105 San Jacinto
Dallas, </v>
      </c>
      <c r="F1929" s="8">
        <f>IFERROR(__xludf.DUMMYFUNCTION("""COMPUTED_VALUE"""),75204.0)</f>
        <v>75204</v>
      </c>
      <c r="I1929" s="8">
        <f t="shared" si="21"/>
        <v>75204</v>
      </c>
      <c r="J1929" s="9">
        <f>IFERROR(__xludf.DUMMYFUNCTION("SPLIT(I1929,""-"")"),75204.0)</f>
        <v>75204</v>
      </c>
    </row>
    <row r="1930">
      <c r="A1930" s="10" t="s">
        <v>1798</v>
      </c>
      <c r="B1930" s="11">
        <v>1000.0</v>
      </c>
      <c r="C1930" s="12" t="s">
        <v>35</v>
      </c>
      <c r="E1930" s="8" t="str">
        <f>IFERROR(__xludf.DUMMYFUNCTION("SPLIT(A1930,""TX"")"),"Etheridge, Rosalind
PO Box 601527
Dallas, ")</f>
        <v>Etheridge, Rosalind
PO Box 601527
Dallas, </v>
      </c>
      <c r="F1930" s="8">
        <f>IFERROR(__xludf.DUMMYFUNCTION("""COMPUTED_VALUE"""),75360.0)</f>
        <v>75360</v>
      </c>
      <c r="I1930" s="8">
        <f t="shared" si="21"/>
        <v>75360</v>
      </c>
      <c r="J1930" s="9">
        <f>IFERROR(__xludf.DUMMYFUNCTION("SPLIT(I1930,""-"")"),75360.0)</f>
        <v>75360</v>
      </c>
    </row>
    <row r="1931">
      <c r="A1931" s="10" t="s">
        <v>77</v>
      </c>
      <c r="B1931" s="11">
        <v>1000.0</v>
      </c>
      <c r="C1931" s="12" t="s">
        <v>35</v>
      </c>
      <c r="E1931" s="8" t="str">
        <f>IFERROR(__xludf.DUMMYFUNCTION("SPLIT(A1931,""TX"")"),"Aranza, Gilbert
PO Box 601527
Dallas, ")</f>
        <v>Aranza, Gilbert
PO Box 601527
Dallas, </v>
      </c>
      <c r="F1931" s="8">
        <f>IFERROR(__xludf.DUMMYFUNCTION("""COMPUTED_VALUE"""),75360.0)</f>
        <v>75360</v>
      </c>
      <c r="I1931" s="8">
        <f t="shared" si="21"/>
        <v>75360</v>
      </c>
      <c r="J1931" s="9">
        <f>IFERROR(__xludf.DUMMYFUNCTION("SPLIT(I1931,""-"")"),75360.0)</f>
        <v>75360</v>
      </c>
    </row>
    <row r="1932">
      <c r="A1932" s="10" t="s">
        <v>1799</v>
      </c>
      <c r="B1932" s="11">
        <v>500.0</v>
      </c>
      <c r="C1932" s="12" t="s">
        <v>1568</v>
      </c>
      <c r="E1932" s="8" t="str">
        <f>IFERROR(__xludf.DUMMYFUNCTION("SPLIT(A1932,""TX"")"),"Hernandez, Gustavo
2410 Logan St
Dallas, ")</f>
        <v>Hernandez, Gustavo
2410 Logan St
Dallas, </v>
      </c>
      <c r="F1932" s="8">
        <f>IFERROR(__xludf.DUMMYFUNCTION("""COMPUTED_VALUE"""),75215.0)</f>
        <v>75215</v>
      </c>
      <c r="I1932" s="8">
        <f t="shared" si="21"/>
        <v>75215</v>
      </c>
      <c r="J1932" s="9">
        <f>IFERROR(__xludf.DUMMYFUNCTION("SPLIT(I1932,""-"")"),75215.0)</f>
        <v>75215</v>
      </c>
    </row>
    <row r="1933">
      <c r="A1933" s="5" t="s">
        <v>1800</v>
      </c>
      <c r="B1933" s="6">
        <v>2000.0</v>
      </c>
      <c r="C1933" s="7" t="s">
        <v>1568</v>
      </c>
      <c r="E1933" s="8" t="str">
        <f>IFERROR(__xludf.DUMMYFUNCTION("SPLIT(A1933,""TX"")"),"Armendariz, Mr Mrs Saul
5601 Cockrell Hill Rd
Dallas, ")</f>
        <v>Armendariz, Mr Mrs Saul
5601 Cockrell Hill Rd
Dallas, </v>
      </c>
      <c r="F1933" s="8">
        <f>IFERROR(__xludf.DUMMYFUNCTION("""COMPUTED_VALUE"""),75211.0)</f>
        <v>75211</v>
      </c>
      <c r="I1933" s="8">
        <f t="shared" si="21"/>
        <v>75211</v>
      </c>
      <c r="J1933" s="9">
        <f>IFERROR(__xludf.DUMMYFUNCTION("SPLIT(I1933,""-"")"),75211.0)</f>
        <v>75211</v>
      </c>
    </row>
    <row r="1934">
      <c r="A1934" s="10" t="s">
        <v>1801</v>
      </c>
      <c r="B1934" s="11">
        <v>2000.0</v>
      </c>
      <c r="C1934" s="12" t="s">
        <v>1568</v>
      </c>
      <c r="E1934" s="8" t="str">
        <f>IFERROR(__xludf.DUMMYFUNCTION("SPLIT(A1934,""TX"")"),"Ferdows, Mr Mrs Schahrouz
10505 Shady ")</f>
        <v>Ferdows, Mr Mrs Schahrouz
10505 Shady </v>
      </c>
      <c r="F1934" s="8" t="str">
        <f>IFERROR(__xludf.DUMMYFUNCTION("""COMPUTED_VALUE"""),"rail
Dallas, ")</f>
        <v>rail
Dallas, </v>
      </c>
      <c r="G1934" s="8">
        <f>IFERROR(__xludf.DUMMYFUNCTION("""COMPUTED_VALUE"""),75220.0)</f>
        <v>75220</v>
      </c>
      <c r="I1934" s="8">
        <f t="shared" si="21"/>
        <v>75220</v>
      </c>
      <c r="J1934" s="9">
        <f>IFERROR(__xludf.DUMMYFUNCTION("SPLIT(I1934,""-"")"),75220.0)</f>
        <v>75220</v>
      </c>
    </row>
    <row r="1935">
      <c r="A1935" s="5" t="s">
        <v>1802</v>
      </c>
      <c r="B1935" s="6">
        <v>2000.0</v>
      </c>
      <c r="C1935" s="7" t="s">
        <v>1568</v>
      </c>
      <c r="E1935" s="8" t="str">
        <f>IFERROR(__xludf.DUMMYFUNCTION("SPLIT(A1935,""TX"")"),"Ferdows, Mr Mrs Dario
10505 Shady ")</f>
        <v>Ferdows, Mr Mrs Dario
10505 Shady </v>
      </c>
      <c r="F1935" s="8" t="str">
        <f>IFERROR(__xludf.DUMMYFUNCTION("""COMPUTED_VALUE"""),"rail
Dallas, ")</f>
        <v>rail
Dallas, </v>
      </c>
      <c r="G1935" s="8">
        <f>IFERROR(__xludf.DUMMYFUNCTION("""COMPUTED_VALUE"""),75220.0)</f>
        <v>75220</v>
      </c>
      <c r="I1935" s="8">
        <f t="shared" si="21"/>
        <v>75220</v>
      </c>
      <c r="J1935" s="9">
        <f>IFERROR(__xludf.DUMMYFUNCTION("SPLIT(I1935,""-"")"),75220.0)</f>
        <v>75220</v>
      </c>
    </row>
    <row r="1936">
      <c r="A1936" s="10" t="s">
        <v>1803</v>
      </c>
      <c r="B1936" s="11">
        <v>1000.0</v>
      </c>
      <c r="C1936" s="12" t="s">
        <v>1568</v>
      </c>
      <c r="E1936" s="8" t="str">
        <f>IFERROR(__xludf.DUMMYFUNCTION("SPLIT(A1936,""TX"")"),"Herrera, Angelica
5519 Kiwanis
Dallas, ")</f>
        <v>Herrera, Angelica
5519 Kiwanis
Dallas, </v>
      </c>
      <c r="F1936" s="8">
        <f>IFERROR(__xludf.DUMMYFUNCTION("""COMPUTED_VALUE"""),75236.0)</f>
        <v>75236</v>
      </c>
      <c r="I1936" s="8">
        <f t="shared" si="21"/>
        <v>75236</v>
      </c>
      <c r="J1936" s="9">
        <f>IFERROR(__xludf.DUMMYFUNCTION("SPLIT(I1936,""-"")"),75236.0)</f>
        <v>75236</v>
      </c>
    </row>
    <row r="1937">
      <c r="A1937" s="5" t="s">
        <v>1804</v>
      </c>
      <c r="B1937" s="6">
        <v>2000.0</v>
      </c>
      <c r="C1937" s="7" t="s">
        <v>1568</v>
      </c>
      <c r="E1937" s="8" t="str">
        <f>IFERROR(__xludf.DUMMYFUNCTION("SPLIT(A1937,""TX"")"),"Ayala, Mr Mrs ")</f>
        <v>Ayala, Mr Mrs </v>
      </c>
      <c r="F1937" s="8" t="str">
        <f>IFERROR(__xludf.DUMMYFUNCTION("""COMPUTED_VALUE"""),"omas
2829 W Northwest Hwy
Dallas, ")</f>
        <v>omas
2829 W Northwest Hwy
Dallas, </v>
      </c>
      <c r="G1937" s="8">
        <f>IFERROR(__xludf.DUMMYFUNCTION("""COMPUTED_VALUE"""),75220.0)</f>
        <v>75220</v>
      </c>
      <c r="I1937" s="8">
        <f t="shared" si="21"/>
        <v>75220</v>
      </c>
      <c r="J1937" s="9">
        <f>IFERROR(__xludf.DUMMYFUNCTION("SPLIT(I1937,""-"")"),75220.0)</f>
        <v>75220</v>
      </c>
    </row>
    <row r="1938">
      <c r="A1938" s="10" t="s">
        <v>1805</v>
      </c>
      <c r="B1938" s="11">
        <v>2000.0</v>
      </c>
      <c r="C1938" s="12" t="s">
        <v>1568</v>
      </c>
      <c r="E1938" s="8" t="str">
        <f>IFERROR(__xludf.DUMMYFUNCTION("SPLIT(A1938,""TX"")"),"Mahsani, Mr Mrs Sam
PO Box 162327
Dallas, ")</f>
        <v>Mahsani, Mr Mrs Sam
PO Box 162327
Dallas, </v>
      </c>
      <c r="F1938" s="8">
        <f>IFERROR(__xludf.DUMMYFUNCTION("""COMPUTED_VALUE"""),75231.0)</f>
        <v>75231</v>
      </c>
      <c r="I1938" s="8">
        <f t="shared" si="21"/>
        <v>75231</v>
      </c>
      <c r="J1938" s="9">
        <f>IFERROR(__xludf.DUMMYFUNCTION("SPLIT(I1938,""-"")"),75231.0)</f>
        <v>75231</v>
      </c>
    </row>
    <row r="1939">
      <c r="A1939" s="5" t="s">
        <v>1806</v>
      </c>
      <c r="B1939" s="6">
        <v>1000.0</v>
      </c>
      <c r="C1939" s="7" t="s">
        <v>5</v>
      </c>
      <c r="E1939" s="8" t="str">
        <f>IFERROR(__xludf.DUMMYFUNCTION("SPLIT(A1939,""TX"")"),"Dauterman, Lynn
8117 Preston Rd
Dallas, ")</f>
        <v>Dauterman, Lynn
8117 Preston Rd
Dallas, </v>
      </c>
      <c r="F1939" s="8">
        <f>IFERROR(__xludf.DUMMYFUNCTION("""COMPUTED_VALUE"""),75225.0)</f>
        <v>75225</v>
      </c>
      <c r="I1939" s="8">
        <f t="shared" si="21"/>
        <v>75225</v>
      </c>
      <c r="J1939" s="9">
        <f>IFERROR(__xludf.DUMMYFUNCTION("SPLIT(I1939,""-"")"),75225.0)</f>
        <v>75225</v>
      </c>
    </row>
    <row r="1940">
      <c r="A1940" s="5" t="s">
        <v>1807</v>
      </c>
      <c r="B1940" s="6">
        <v>1000.0</v>
      </c>
      <c r="C1940" s="7" t="s">
        <v>5</v>
      </c>
      <c r="E1940" s="8" t="str">
        <f>IFERROR(__xludf.DUMMYFUNCTION("SPLIT(A1940,""TX"")"),"Dauterman, Peter
8117 Preston Road
Dallas, ")</f>
        <v>Dauterman, Peter
8117 Preston Road
Dallas, </v>
      </c>
      <c r="F1940" s="8">
        <f>IFERROR(__xludf.DUMMYFUNCTION("""COMPUTED_VALUE"""),75225.0)</f>
        <v>75225</v>
      </c>
      <c r="I1940" s="8">
        <f t="shared" si="21"/>
        <v>75225</v>
      </c>
      <c r="J1940" s="9">
        <f>IFERROR(__xludf.DUMMYFUNCTION("SPLIT(I1940,""-"")"),75225.0)</f>
        <v>75225</v>
      </c>
    </row>
    <row r="1941">
      <c r="A1941" s="5" t="s">
        <v>1808</v>
      </c>
      <c r="B1941" s="6">
        <v>500.0</v>
      </c>
      <c r="C1941" s="7" t="s">
        <v>5</v>
      </c>
      <c r="E1941" s="8" t="str">
        <f>IFERROR(__xludf.DUMMYFUNCTION("SPLIT(A1941,""TX"")"),"Smith, Wayne
7775 Firefall Way
Dallas, ")</f>
        <v>Smith, Wayne
7775 Firefall Way
Dallas, </v>
      </c>
      <c r="F1941" s="8">
        <f>IFERROR(__xludf.DUMMYFUNCTION("""COMPUTED_VALUE"""),75230.0)</f>
        <v>75230</v>
      </c>
      <c r="I1941" s="8">
        <f t="shared" si="21"/>
        <v>75230</v>
      </c>
      <c r="J1941" s="9">
        <f>IFERROR(__xludf.DUMMYFUNCTION("SPLIT(I1941,""-"")"),75230.0)</f>
        <v>75230</v>
      </c>
    </row>
    <row r="1942">
      <c r="A1942" s="5" t="s">
        <v>1809</v>
      </c>
      <c r="B1942" s="6">
        <v>250.0</v>
      </c>
      <c r="C1942" s="7" t="s">
        <v>5</v>
      </c>
      <c r="E1942" s="8" t="str">
        <f>IFERROR(__xludf.DUMMYFUNCTION("SPLIT(A1942,""TX"")"),"Harding, Anne
3031 ")</f>
        <v>Harding, Anne
3031 </v>
      </c>
      <c r="F1942" s="8" t="str">
        <f>IFERROR(__xludf.DUMMYFUNCTION("""COMPUTED_VALUE"""),"imberview Rd
Dallas, ")</f>
        <v>imberview Rd
Dallas, </v>
      </c>
      <c r="G1942" s="8">
        <f>IFERROR(__xludf.DUMMYFUNCTION("""COMPUTED_VALUE"""),75229.0)</f>
        <v>75229</v>
      </c>
      <c r="I1942" s="8">
        <f t="shared" si="21"/>
        <v>75229</v>
      </c>
      <c r="J1942" s="9">
        <f>IFERROR(__xludf.DUMMYFUNCTION("SPLIT(I1942,""-"")"),75229.0)</f>
        <v>75229</v>
      </c>
    </row>
    <row r="1943">
      <c r="A1943" s="5" t="s">
        <v>1810</v>
      </c>
      <c r="B1943" s="6">
        <v>100.0</v>
      </c>
      <c r="C1943" s="7" t="s">
        <v>5</v>
      </c>
      <c r="E1943" s="8" t="str">
        <f>IFERROR(__xludf.DUMMYFUNCTION("SPLIT(A1943,""TX"")"),"Worsham, Raguet
PO Box 988
Little Elm, ")</f>
        <v>Worsham, Raguet
PO Box 988
Little Elm, </v>
      </c>
      <c r="F1943" s="8">
        <f>IFERROR(__xludf.DUMMYFUNCTION("""COMPUTED_VALUE"""),75068.0)</f>
        <v>75068</v>
      </c>
      <c r="I1943" s="8">
        <f t="shared" si="21"/>
        <v>75068</v>
      </c>
      <c r="J1943" s="9">
        <f>IFERROR(__xludf.DUMMYFUNCTION("SPLIT(I1943,""-"")"),75068.0)</f>
        <v>75068</v>
      </c>
    </row>
    <row r="1944">
      <c r="A1944" s="5" t="s">
        <v>1811</v>
      </c>
      <c r="B1944" s="6">
        <v>250.0</v>
      </c>
      <c r="C1944" s="7" t="s">
        <v>5</v>
      </c>
      <c r="E1944" s="8" t="str">
        <f>IFERROR(__xludf.DUMMYFUNCTION("SPLIT(A1944,""TX"")"),"Lunceford, Kay
4411 Williamsburg Road
Dallas, ")</f>
        <v>Lunceford, Kay
4411 Williamsburg Road
Dallas, </v>
      </c>
      <c r="F1944" s="8">
        <f>IFERROR(__xludf.DUMMYFUNCTION("""COMPUTED_VALUE"""),75220.0)</f>
        <v>75220</v>
      </c>
      <c r="I1944" s="8">
        <f t="shared" si="21"/>
        <v>75220</v>
      </c>
      <c r="J1944" s="9">
        <f>IFERROR(__xludf.DUMMYFUNCTION("SPLIT(I1944,""-"")"),75220.0)</f>
        <v>75220</v>
      </c>
    </row>
    <row r="1945">
      <c r="A1945" s="5" t="s">
        <v>1812</v>
      </c>
      <c r="B1945" s="6">
        <v>250.0</v>
      </c>
      <c r="C1945" s="7" t="s">
        <v>5</v>
      </c>
      <c r="E1945" s="8" t="str">
        <f>IFERROR(__xludf.DUMMYFUNCTION("SPLIT(A1945,""TX"")"),"Solana, Nancy
24 Saint Laurent Place
Dallas, ")</f>
        <v>Solana, Nancy
24 Saint Laurent Place
Dallas, </v>
      </c>
      <c r="F1945" s="8">
        <f>IFERROR(__xludf.DUMMYFUNCTION("""COMPUTED_VALUE"""),75225.0)</f>
        <v>75225</v>
      </c>
      <c r="I1945" s="8">
        <f t="shared" si="21"/>
        <v>75225</v>
      </c>
      <c r="J1945" s="9">
        <f>IFERROR(__xludf.DUMMYFUNCTION("SPLIT(I1945,""-"")"),75225.0)</f>
        <v>75225</v>
      </c>
    </row>
    <row r="1946">
      <c r="A1946" s="5" t="s">
        <v>97</v>
      </c>
      <c r="B1946" s="6">
        <v>500.0</v>
      </c>
      <c r="C1946" s="7" t="s">
        <v>5</v>
      </c>
      <c r="E1946" s="8" t="str">
        <f>IFERROR(__xludf.DUMMYFUNCTION("SPLIT(A1946,""TX"")"),"Nugent, Jim
4717 Mill Run Road
Dallas, ")</f>
        <v>Nugent, Jim
4717 Mill Run Road
Dallas, </v>
      </c>
      <c r="F1946" s="8">
        <f>IFERROR(__xludf.DUMMYFUNCTION("""COMPUTED_VALUE"""),75244.0)</f>
        <v>75244</v>
      </c>
      <c r="I1946" s="8">
        <f t="shared" si="21"/>
        <v>75244</v>
      </c>
      <c r="J1946" s="9">
        <f>IFERROR(__xludf.DUMMYFUNCTION("SPLIT(I1946,""-"")"),75244.0)</f>
        <v>75244</v>
      </c>
    </row>
    <row r="1947">
      <c r="A1947" s="5" t="s">
        <v>1813</v>
      </c>
      <c r="B1947" s="6">
        <v>500.0</v>
      </c>
      <c r="C1947" s="7" t="s">
        <v>5</v>
      </c>
      <c r="E1947" s="8" t="str">
        <f>IFERROR(__xludf.DUMMYFUNCTION("SPLIT(A1947,""TX"")"),"Gomez, ")</f>
        <v>Gomez, </v>
      </c>
      <c r="F1947" s="8" t="str">
        <f>IFERROR(__xludf.DUMMYFUNCTION("""COMPUTED_VALUE"""),"y
3143 Jubilee")</f>
        <v>y
3143 Jubilee</v>
      </c>
      <c r="G1947" s="8" t="str">
        <f>IFERROR(__xludf.DUMMYFUNCTION("""COMPUTED_VALUE"""),"rail
Dallas, ")</f>
        <v>rail
Dallas, </v>
      </c>
      <c r="H1947" s="8">
        <f>IFERROR(__xludf.DUMMYFUNCTION("""COMPUTED_VALUE"""),75229.0)</f>
        <v>75229</v>
      </c>
      <c r="I1947" s="13">
        <v>75229.0</v>
      </c>
      <c r="J1947" s="9">
        <f>IFERROR(__xludf.DUMMYFUNCTION("SPLIT(I1947,""-"")"),75229.0)</f>
        <v>75229</v>
      </c>
    </row>
    <row r="1948">
      <c r="A1948" s="5" t="s">
        <v>1814</v>
      </c>
      <c r="B1948" s="6">
        <v>500.0</v>
      </c>
      <c r="C1948" s="7" t="s">
        <v>5</v>
      </c>
      <c r="E1948" s="8" t="str">
        <f>IFERROR(__xludf.DUMMYFUNCTION("SPLIT(A1948,""TX"")"),"Kleinman, Betsy
6926 Midbury Drive
Dallas, ")</f>
        <v>Kleinman, Betsy
6926 Midbury Drive
Dallas, </v>
      </c>
      <c r="F1948" s="8">
        <f>IFERROR(__xludf.DUMMYFUNCTION("""COMPUTED_VALUE"""),75230.0)</f>
        <v>75230</v>
      </c>
      <c r="I1948" s="8">
        <f t="shared" ref="I1948:I1960" si="22">IF(ISBLANK(G1948),F1948,G1948)</f>
        <v>75230</v>
      </c>
      <c r="J1948" s="9">
        <f>IFERROR(__xludf.DUMMYFUNCTION("SPLIT(I1948,""-"")"),75230.0)</f>
        <v>75230</v>
      </c>
    </row>
    <row r="1949">
      <c r="A1949" s="5" t="s">
        <v>1815</v>
      </c>
      <c r="B1949" s="6">
        <v>200.0</v>
      </c>
      <c r="C1949" s="7" t="s">
        <v>5</v>
      </c>
      <c r="E1949" s="8" t="str">
        <f>IFERROR(__xludf.DUMMYFUNCTION("SPLIT(A1949,""TX"")"),"Edmondson, Mark
12523 Matisse Ln, Dallas, ")</f>
        <v>Edmondson, Mark
12523 Matisse Ln, Dallas, </v>
      </c>
      <c r="F1949" s="8" t="str">
        <f>IFERROR(__xludf.DUMMYFUNCTION("""COMPUTED_VALUE"""),"
Dallas, ")</f>
        <v>
Dallas, </v>
      </c>
      <c r="G1949" s="8">
        <f>IFERROR(__xludf.DUMMYFUNCTION("""COMPUTED_VALUE"""),75230.0)</f>
        <v>75230</v>
      </c>
      <c r="I1949" s="8">
        <f t="shared" si="22"/>
        <v>75230</v>
      </c>
      <c r="J1949" s="9">
        <f>IFERROR(__xludf.DUMMYFUNCTION("SPLIT(I1949,""-"")"),75230.0)</f>
        <v>75230</v>
      </c>
    </row>
    <row r="1950">
      <c r="A1950" s="5" t="s">
        <v>1816</v>
      </c>
      <c r="B1950" s="6">
        <v>100.0</v>
      </c>
      <c r="C1950" s="7" t="s">
        <v>5</v>
      </c>
      <c r="E1950" s="8" t="str">
        <f>IFERROR(__xludf.DUMMYFUNCTION("SPLIT(A1950,""TX"")"),"Carafiol, Robin
4630 Gulfstream Drive
Dallas, ")</f>
        <v>Carafiol, Robin
4630 Gulfstream Drive
Dallas, </v>
      </c>
      <c r="F1950" s="8">
        <f>IFERROR(__xludf.DUMMYFUNCTION("""COMPUTED_VALUE"""),75244.0)</f>
        <v>75244</v>
      </c>
      <c r="I1950" s="8">
        <f t="shared" si="22"/>
        <v>75244</v>
      </c>
      <c r="J1950" s="9">
        <f>IFERROR(__xludf.DUMMYFUNCTION("SPLIT(I1950,""-"")"),75244.0)</f>
        <v>75244</v>
      </c>
    </row>
    <row r="1951">
      <c r="A1951" s="5" t="s">
        <v>1817</v>
      </c>
      <c r="B1951" s="6">
        <v>1000.0</v>
      </c>
      <c r="C1951" s="7" t="s">
        <v>5</v>
      </c>
      <c r="E1951" s="8" t="str">
        <f>IFERROR(__xludf.DUMMYFUNCTION("SPLIT(A1951,""TX"")"),"Wilson, Kirk
10739 Bridge Hollow Court, Dallas, ")</f>
        <v>Wilson, Kirk
10739 Bridge Hollow Court, Dallas, </v>
      </c>
      <c r="F1951" s="8" t="str">
        <f>IFERROR(__xludf.DUMMYFUNCTION("""COMPUTED_VALUE"""),"
Dallas, ")</f>
        <v>
Dallas, </v>
      </c>
      <c r="G1951" s="8">
        <f>IFERROR(__xludf.DUMMYFUNCTION("""COMPUTED_VALUE"""),75229.0)</f>
        <v>75229</v>
      </c>
      <c r="I1951" s="8">
        <f t="shared" si="22"/>
        <v>75229</v>
      </c>
      <c r="J1951" s="9">
        <f>IFERROR(__xludf.DUMMYFUNCTION("SPLIT(I1951,""-"")"),75229.0)</f>
        <v>75229</v>
      </c>
    </row>
    <row r="1952">
      <c r="A1952" s="5" t="s">
        <v>1818</v>
      </c>
      <c r="B1952" s="6">
        <v>100.0</v>
      </c>
      <c r="C1952" s="7" t="s">
        <v>5</v>
      </c>
      <c r="E1952" s="8" t="str">
        <f>IFERROR(__xludf.DUMMYFUNCTION("SPLIT(A1952,""TX"")"),"McGovern, Katherine
4364 Royal Ridge Drive
Dallas, ")</f>
        <v>McGovern, Katherine
4364 Royal Ridge Drive
Dallas, </v>
      </c>
      <c r="F1952" s="8">
        <f>IFERROR(__xludf.DUMMYFUNCTION("""COMPUTED_VALUE"""),75229.0)</f>
        <v>75229</v>
      </c>
      <c r="I1952" s="8">
        <f t="shared" si="22"/>
        <v>75229</v>
      </c>
      <c r="J1952" s="9">
        <f>IFERROR(__xludf.DUMMYFUNCTION("SPLIT(I1952,""-"")"),75229.0)</f>
        <v>75229</v>
      </c>
    </row>
    <row r="1953">
      <c r="A1953" s="5" t="s">
        <v>1819</v>
      </c>
      <c r="B1953" s="6">
        <v>10.0</v>
      </c>
      <c r="C1953" s="7" t="s">
        <v>5</v>
      </c>
      <c r="E1953" s="8" t="str">
        <f>IFERROR(__xludf.DUMMYFUNCTION("SPLIT(A1953,""TX"")"),"Minic, Bo
6152 Summer Creek Circle
Dallas, ")</f>
        <v>Minic, Bo
6152 Summer Creek Circle
Dallas, </v>
      </c>
      <c r="F1953" s="8">
        <f>IFERROR(__xludf.DUMMYFUNCTION("""COMPUTED_VALUE"""),75231.0)</f>
        <v>75231</v>
      </c>
      <c r="I1953" s="8">
        <f t="shared" si="22"/>
        <v>75231</v>
      </c>
      <c r="J1953" s="9">
        <f>IFERROR(__xludf.DUMMYFUNCTION("SPLIT(I1953,""-"")"),75231.0)</f>
        <v>75231</v>
      </c>
    </row>
    <row r="1954">
      <c r="A1954" s="5" t="s">
        <v>1820</v>
      </c>
      <c r="B1954" s="6">
        <v>200.0</v>
      </c>
      <c r="C1954" s="7" t="s">
        <v>5</v>
      </c>
      <c r="E1954" s="8" t="str">
        <f>IFERROR(__xludf.DUMMYFUNCTION("SPLIT(A1954,""TX"")"),"Hoffman, Jane
6747 Lupton Dr
Dallas, ")</f>
        <v>Hoffman, Jane
6747 Lupton Dr
Dallas, </v>
      </c>
      <c r="F1954" s="8">
        <f>IFERROR(__xludf.DUMMYFUNCTION("""COMPUTED_VALUE"""),75225.0)</f>
        <v>75225</v>
      </c>
      <c r="I1954" s="8">
        <f t="shared" si="22"/>
        <v>75225</v>
      </c>
      <c r="J1954" s="9">
        <f>IFERROR(__xludf.DUMMYFUNCTION("SPLIT(I1954,""-"")"),75225.0)</f>
        <v>75225</v>
      </c>
    </row>
    <row r="1955">
      <c r="A1955" s="5" t="s">
        <v>1821</v>
      </c>
      <c r="B1955" s="6">
        <v>50.0</v>
      </c>
      <c r="C1955" s="7" t="s">
        <v>5</v>
      </c>
      <c r="E1955" s="8" t="str">
        <f>IFERROR(__xludf.DUMMYFUNCTION("SPLIT(A1955,""TX"")"),"Bradford, Heather
3220 Lakenheath Pl
Dallas, ")</f>
        <v>Bradford, Heather
3220 Lakenheath Pl
Dallas, </v>
      </c>
      <c r="F1955" s="8">
        <f>IFERROR(__xludf.DUMMYFUNCTION("""COMPUTED_VALUE"""),75204.0)</f>
        <v>75204</v>
      </c>
      <c r="I1955" s="8">
        <f t="shared" si="22"/>
        <v>75204</v>
      </c>
      <c r="J1955" s="9">
        <f>IFERROR(__xludf.DUMMYFUNCTION("SPLIT(I1955,""-"")"),75204.0)</f>
        <v>75204</v>
      </c>
    </row>
    <row r="1956">
      <c r="A1956" s="5" t="s">
        <v>118</v>
      </c>
      <c r="B1956" s="6">
        <v>50.0</v>
      </c>
      <c r="C1956" s="7" t="s">
        <v>5</v>
      </c>
      <c r="E1956" s="8" t="str">
        <f>IFERROR(__xludf.DUMMYFUNCTION("SPLIT(A1956,""TX"")"),"Garcia, Catalina
10455 N. Central Expressway
Dallas, ")</f>
        <v>Garcia, Catalina
10455 N. Central Expressway
Dallas, </v>
      </c>
      <c r="F1956" s="8">
        <f>IFERROR(__xludf.DUMMYFUNCTION("""COMPUTED_VALUE"""),75231.0)</f>
        <v>75231</v>
      </c>
      <c r="I1956" s="8">
        <f t="shared" si="22"/>
        <v>75231</v>
      </c>
      <c r="J1956" s="9">
        <f>IFERROR(__xludf.DUMMYFUNCTION("SPLIT(I1956,""-"")"),75231.0)</f>
        <v>75231</v>
      </c>
    </row>
    <row r="1957">
      <c r="A1957" s="5" t="s">
        <v>1822</v>
      </c>
      <c r="B1957" s="6">
        <v>1000.0</v>
      </c>
      <c r="C1957" s="7" t="s">
        <v>5</v>
      </c>
      <c r="E1957" s="8" t="str">
        <f>IFERROR(__xludf.DUMMYFUNCTION("SPLIT(A1957,""TX"")"),"Boone, Garrett
4809 Cole Avenue
Dallas, ")</f>
        <v>Boone, Garrett
4809 Cole Avenue
Dallas, </v>
      </c>
      <c r="F1957" s="8">
        <f>IFERROR(__xludf.DUMMYFUNCTION("""COMPUTED_VALUE"""),75205.0)</f>
        <v>75205</v>
      </c>
      <c r="I1957" s="8">
        <f t="shared" si="22"/>
        <v>75205</v>
      </c>
      <c r="J1957" s="9">
        <f>IFERROR(__xludf.DUMMYFUNCTION("SPLIT(I1957,""-"")"),75205.0)</f>
        <v>75205</v>
      </c>
    </row>
    <row r="1958">
      <c r="A1958" s="5" t="s">
        <v>1823</v>
      </c>
      <c r="B1958" s="6">
        <v>300.0</v>
      </c>
      <c r="C1958" s="7" t="s">
        <v>5</v>
      </c>
      <c r="E1958" s="8" t="str">
        <f>IFERROR(__xludf.DUMMYFUNCTION("SPLIT(A1958,""TX"")"),"Orr, Bruce
5639 Willow Lane
Dallas, ")</f>
        <v>Orr, Bruce
5639 Willow Lane
Dallas, </v>
      </c>
      <c r="F1958" s="8">
        <f>IFERROR(__xludf.DUMMYFUNCTION("""COMPUTED_VALUE"""),75230.0)</f>
        <v>75230</v>
      </c>
      <c r="I1958" s="8">
        <f t="shared" si="22"/>
        <v>75230</v>
      </c>
      <c r="J1958" s="9">
        <f>IFERROR(__xludf.DUMMYFUNCTION("SPLIT(I1958,""-"")"),75230.0)</f>
        <v>75230</v>
      </c>
    </row>
    <row r="1959">
      <c r="A1959" s="5" t="s">
        <v>1824</v>
      </c>
      <c r="B1959" s="6">
        <v>1000.0</v>
      </c>
      <c r="C1959" s="7" t="s">
        <v>5</v>
      </c>
      <c r="E1959" s="8" t="str">
        <f>IFERROR(__xludf.DUMMYFUNCTION("SPLIT(A1959,""TX"")"),"Olerio, Louis
4133 Hyer Street Dallas, ")</f>
        <v>Olerio, Louis
4133 Hyer Street Dallas, </v>
      </c>
      <c r="F1959" s="8" t="str">
        <f>IFERROR(__xludf.DUMMYFUNCTION("""COMPUTED_VALUE"""),"
Dallas, ")</f>
        <v>
Dallas, </v>
      </c>
      <c r="G1959" s="8">
        <f>IFERROR(__xludf.DUMMYFUNCTION("""COMPUTED_VALUE"""),75205.0)</f>
        <v>75205</v>
      </c>
      <c r="I1959" s="8">
        <f t="shared" si="22"/>
        <v>75205</v>
      </c>
      <c r="J1959" s="9">
        <f>IFERROR(__xludf.DUMMYFUNCTION("SPLIT(I1959,""-"")"),75205.0)</f>
        <v>75205</v>
      </c>
    </row>
    <row r="1960">
      <c r="A1960" s="5" t="s">
        <v>1825</v>
      </c>
      <c r="B1960" s="6">
        <v>1000.0</v>
      </c>
      <c r="C1960" s="7" t="s">
        <v>5</v>
      </c>
      <c r="E1960" s="8" t="str">
        <f>IFERROR(__xludf.DUMMYFUNCTION("SPLIT(A1960,""TX"")"),"Robbins, Jenny
4133 Hyer Street Dallas, ")</f>
        <v>Robbins, Jenny
4133 Hyer Street Dallas, </v>
      </c>
      <c r="F1960" s="8" t="str">
        <f>IFERROR(__xludf.DUMMYFUNCTION("""COMPUTED_VALUE"""),"
Dallas, ")</f>
        <v>
Dallas, </v>
      </c>
      <c r="G1960" s="8">
        <f>IFERROR(__xludf.DUMMYFUNCTION("""COMPUTED_VALUE"""),75205.0)</f>
        <v>75205</v>
      </c>
      <c r="I1960" s="8">
        <f t="shared" si="22"/>
        <v>75205</v>
      </c>
      <c r="J1960" s="9">
        <f>IFERROR(__xludf.DUMMYFUNCTION("SPLIT(I1960,""-"")"),75205.0)</f>
        <v>75205</v>
      </c>
    </row>
    <row r="1961">
      <c r="A1961" s="5" t="s">
        <v>1826</v>
      </c>
      <c r="B1961" s="6">
        <v>25.0</v>
      </c>
      <c r="C1961" s="7" t="s">
        <v>5</v>
      </c>
      <c r="E1961" s="8" t="str">
        <f>IFERROR(__xludf.DUMMYFUNCTION("SPLIT(A1961,""TX"")"),"McMinn, Susie
14802 EN")</f>
        <v>McMinn, Susie
14802 EN</v>
      </c>
      <c r="F1961" s="8" t="str">
        <f>IFERROR(__xludf.DUMMYFUNCTION("""COMPUTED_VALUE"""),"ERPRISE DR AP")</f>
        <v>ERPRISE DR AP</v>
      </c>
      <c r="G1961" s="8" t="str">
        <f>IFERROR(__xludf.DUMMYFUNCTION("""COMPUTED_VALUE""")," 43D
Farmers Branch, ")</f>
        <v> 43D
Farmers Branch, </v>
      </c>
      <c r="H1961" s="8">
        <f>IFERROR(__xludf.DUMMYFUNCTION("""COMPUTED_VALUE"""),75234.0)</f>
        <v>75234</v>
      </c>
      <c r="I1961" s="13">
        <v>75234.0</v>
      </c>
      <c r="J1961" s="9">
        <f>IFERROR(__xludf.DUMMYFUNCTION("SPLIT(I1961,""-"")"),75234.0)</f>
        <v>75234</v>
      </c>
    </row>
    <row r="1962">
      <c r="A1962" s="5" t="s">
        <v>1827</v>
      </c>
      <c r="B1962" s="6">
        <v>500.0</v>
      </c>
      <c r="C1962" s="7" t="s">
        <v>5</v>
      </c>
      <c r="E1962" s="8" t="str">
        <f>IFERROR(__xludf.DUMMYFUNCTION("SPLIT(A1962,""TX"")"),"Brata, James
6443 Del Norte Lane
Dallas, ")</f>
        <v>Brata, James
6443 Del Norte Lane
Dallas, </v>
      </c>
      <c r="F1962" s="8">
        <f>IFERROR(__xludf.DUMMYFUNCTION("""COMPUTED_VALUE"""),75225.0)</f>
        <v>75225</v>
      </c>
      <c r="I1962" s="8">
        <f t="shared" ref="I1962:I2208" si="23">IF(ISBLANK(G1962),F1962,G1962)</f>
        <v>75225</v>
      </c>
      <c r="J1962" s="9">
        <f>IFERROR(__xludf.DUMMYFUNCTION("SPLIT(I1962,""-"")"),75225.0)</f>
        <v>75225</v>
      </c>
    </row>
    <row r="1963">
      <c r="A1963" s="5" t="s">
        <v>1828</v>
      </c>
      <c r="B1963" s="6">
        <v>1000.0</v>
      </c>
      <c r="C1963" s="7" t="s">
        <v>5</v>
      </c>
      <c r="E1963" s="8" t="str">
        <f>IFERROR(__xludf.DUMMYFUNCTION("SPLIT(A1963,""TX"")"),"BURK, LELAND
5311 PARK LANE
Dallas, ")</f>
        <v>BURK, LELAND
5311 PARK LANE
Dallas, </v>
      </c>
      <c r="F1963" s="8">
        <f>IFERROR(__xludf.DUMMYFUNCTION("""COMPUTED_VALUE"""),75220.0)</f>
        <v>75220</v>
      </c>
      <c r="I1963" s="8">
        <f t="shared" si="23"/>
        <v>75220</v>
      </c>
      <c r="J1963" s="9">
        <f>IFERROR(__xludf.DUMMYFUNCTION("SPLIT(I1963,""-"")"),75220.0)</f>
        <v>75220</v>
      </c>
    </row>
    <row r="1964">
      <c r="A1964" s="5" t="s">
        <v>1829</v>
      </c>
      <c r="B1964" s="6">
        <v>250.0</v>
      </c>
      <c r="C1964" s="7" t="s">
        <v>5</v>
      </c>
      <c r="E1964" s="8" t="str">
        <f>IFERROR(__xludf.DUMMYFUNCTION("SPLIT(A1964,""TX"")"),"Stewart, Kathy
9509 Shady Valley Drive, Dallas, ")</f>
        <v>Stewart, Kathy
9509 Shady Valley Drive, Dallas, </v>
      </c>
      <c r="F1964" s="8" t="str">
        <f>IFERROR(__xludf.DUMMYFUNCTION("""COMPUTED_VALUE"""),"
Dallas, ")</f>
        <v>
Dallas, </v>
      </c>
      <c r="G1964" s="8">
        <f>IFERROR(__xludf.DUMMYFUNCTION("""COMPUTED_VALUE"""),75238.0)</f>
        <v>75238</v>
      </c>
      <c r="I1964" s="8">
        <f t="shared" si="23"/>
        <v>75238</v>
      </c>
      <c r="J1964" s="9">
        <f>IFERROR(__xludf.DUMMYFUNCTION("SPLIT(I1964,""-"")"),75238.0)</f>
        <v>75238</v>
      </c>
    </row>
    <row r="1965">
      <c r="A1965" s="5" t="s">
        <v>1830</v>
      </c>
      <c r="B1965" s="6">
        <v>250.0</v>
      </c>
      <c r="C1965" s="7" t="s">
        <v>5</v>
      </c>
      <c r="E1965" s="8" t="str">
        <f>IFERROR(__xludf.DUMMYFUNCTION("SPLIT(A1965,""TX"")"),"Moreno, Jesse
4809 Victor Street, Dallas, ")</f>
        <v>Moreno, Jesse
4809 Victor Street, Dallas, </v>
      </c>
      <c r="F1965" s="8" t="str">
        <f>IFERROR(__xludf.DUMMYFUNCTION("""COMPUTED_VALUE"""),"
Dallas, ")</f>
        <v>
Dallas, </v>
      </c>
      <c r="G1965" s="8">
        <f>IFERROR(__xludf.DUMMYFUNCTION("""COMPUTED_VALUE"""),75246.0)</f>
        <v>75246</v>
      </c>
      <c r="I1965" s="8">
        <f t="shared" si="23"/>
        <v>75246</v>
      </c>
      <c r="J1965" s="9">
        <f>IFERROR(__xludf.DUMMYFUNCTION("SPLIT(I1965,""-"")"),75246.0)</f>
        <v>75246</v>
      </c>
    </row>
    <row r="1966">
      <c r="A1966" s="5" t="s">
        <v>1831</v>
      </c>
      <c r="B1966" s="6">
        <v>100.0</v>
      </c>
      <c r="C1966" s="7" t="s">
        <v>5</v>
      </c>
      <c r="E1966" s="8" t="str">
        <f>IFERROR(__xludf.DUMMYFUNCTION("SPLIT(A1966,""TX"")"),"Carnes, Scott
10029 Spokane Circle
Dallas, ")</f>
        <v>Carnes, Scott
10029 Spokane Circle
Dallas, </v>
      </c>
      <c r="F1966" s="8">
        <f>IFERROR(__xludf.DUMMYFUNCTION("""COMPUTED_VALUE"""),75229.0)</f>
        <v>75229</v>
      </c>
      <c r="I1966" s="8">
        <f t="shared" si="23"/>
        <v>75229</v>
      </c>
      <c r="J1966" s="9">
        <f>IFERROR(__xludf.DUMMYFUNCTION("SPLIT(I1966,""-"")"),75229.0)</f>
        <v>75229</v>
      </c>
    </row>
    <row r="1967">
      <c r="A1967" s="5" t="s">
        <v>1832</v>
      </c>
      <c r="B1967" s="6">
        <v>100.0</v>
      </c>
      <c r="C1967" s="7" t="s">
        <v>5</v>
      </c>
      <c r="E1967" s="8" t="str">
        <f>IFERROR(__xludf.DUMMYFUNCTION("SPLIT(A1967,""TX"")"),"Smith, Ray
12395 Crestline Avenue
Dallas, ")</f>
        <v>Smith, Ray
12395 Crestline Avenue
Dallas, </v>
      </c>
      <c r="F1967" s="8">
        <f>IFERROR(__xludf.DUMMYFUNCTION("""COMPUTED_VALUE"""),75244.0)</f>
        <v>75244</v>
      </c>
      <c r="I1967" s="8">
        <f t="shared" si="23"/>
        <v>75244</v>
      </c>
      <c r="J1967" s="9">
        <f>IFERROR(__xludf.DUMMYFUNCTION("SPLIT(I1967,""-"")"),75244.0)</f>
        <v>75244</v>
      </c>
    </row>
    <row r="1968">
      <c r="A1968" s="5" t="s">
        <v>1833</v>
      </c>
      <c r="B1968" s="6">
        <v>100.0</v>
      </c>
      <c r="C1968" s="7" t="s">
        <v>5</v>
      </c>
      <c r="E1968" s="8" t="str">
        <f>IFERROR(__xludf.DUMMYFUNCTION("SPLIT(A1968,""TX"")"),"Lovejoy, Jana
6542 Chevy Chase Avenue
Dallas, ")</f>
        <v>Lovejoy, Jana
6542 Chevy Chase Avenue
Dallas, </v>
      </c>
      <c r="F1968" s="8">
        <f>IFERROR(__xludf.DUMMYFUNCTION("""COMPUTED_VALUE"""),75225.0)</f>
        <v>75225</v>
      </c>
      <c r="I1968" s="8">
        <f t="shared" si="23"/>
        <v>75225</v>
      </c>
      <c r="J1968" s="9">
        <f>IFERROR(__xludf.DUMMYFUNCTION("SPLIT(I1968,""-"")"),75225.0)</f>
        <v>75225</v>
      </c>
    </row>
    <row r="1969">
      <c r="A1969" s="5" t="s">
        <v>1834</v>
      </c>
      <c r="B1969" s="6">
        <v>1000.0</v>
      </c>
      <c r="C1969" s="7" t="s">
        <v>5</v>
      </c>
      <c r="E1969" s="8" t="str">
        <f>IFERROR(__xludf.DUMMYFUNCTION("SPLIT(A1969,""TX"")"),"Stein, Barbara
9338 Meadowbrook Drive
Dallas, ")</f>
        <v>Stein, Barbara
9338 Meadowbrook Drive
Dallas, </v>
      </c>
      <c r="F1969" s="8">
        <f>IFERROR(__xludf.DUMMYFUNCTION("""COMPUTED_VALUE"""),75220.0)</f>
        <v>75220</v>
      </c>
      <c r="I1969" s="8">
        <f t="shared" si="23"/>
        <v>75220</v>
      </c>
      <c r="J1969" s="9">
        <f>IFERROR(__xludf.DUMMYFUNCTION("SPLIT(I1969,""-"")"),75220.0)</f>
        <v>75220</v>
      </c>
    </row>
    <row r="1970">
      <c r="A1970" s="5" t="s">
        <v>1835</v>
      </c>
      <c r="B1970" s="6">
        <v>1000.0</v>
      </c>
      <c r="C1970" s="7" t="s">
        <v>5</v>
      </c>
      <c r="E1970" s="8" t="str">
        <f>IFERROR(__xludf.DUMMYFUNCTION("SPLIT(A1970,""TX"")"),"Stein, Sheldon
9338 Meadowbrook Drive
Dallas, ")</f>
        <v>Stein, Sheldon
9338 Meadowbrook Drive
Dallas, </v>
      </c>
      <c r="F1970" s="8">
        <f>IFERROR(__xludf.DUMMYFUNCTION("""COMPUTED_VALUE"""),75220.0)</f>
        <v>75220</v>
      </c>
      <c r="I1970" s="8">
        <f t="shared" si="23"/>
        <v>75220</v>
      </c>
      <c r="J1970" s="9">
        <f>IFERROR(__xludf.DUMMYFUNCTION("SPLIT(I1970,""-"")"),75220.0)</f>
        <v>75220</v>
      </c>
    </row>
    <row r="1971">
      <c r="A1971" s="5" t="s">
        <v>1836</v>
      </c>
      <c r="B1971" s="6">
        <v>100.0</v>
      </c>
      <c r="C1971" s="7" t="s">
        <v>5</v>
      </c>
      <c r="E1971" s="8" t="str">
        <f>IFERROR(__xludf.DUMMYFUNCTION("SPLIT(A1971,""TX"")"),"Wood, Ann
7209 Baxtershire
Dallas, ")</f>
        <v>Wood, Ann
7209 Baxtershire
Dallas, </v>
      </c>
      <c r="F1971" s="8">
        <f>IFERROR(__xludf.DUMMYFUNCTION("""COMPUTED_VALUE"""),75230.0)</f>
        <v>75230</v>
      </c>
      <c r="I1971" s="8">
        <f t="shared" si="23"/>
        <v>75230</v>
      </c>
      <c r="J1971" s="9">
        <f>IFERROR(__xludf.DUMMYFUNCTION("SPLIT(I1971,""-"")"),75230.0)</f>
        <v>75230</v>
      </c>
    </row>
    <row r="1972">
      <c r="A1972" s="5" t="s">
        <v>1837</v>
      </c>
      <c r="B1972" s="6">
        <v>25.0</v>
      </c>
      <c r="C1972" s="7" t="s">
        <v>5</v>
      </c>
      <c r="E1972" s="8" t="str">
        <f>IFERROR(__xludf.DUMMYFUNCTION("SPLIT(A1972,""TX"")"),"Walker, ")</f>
        <v>Walker, </v>
      </c>
      <c r="F1972" s="8" t="str">
        <f>IFERROR(__xludf.DUMMYFUNCTION("""COMPUTED_VALUE"""),"erry
3650 Cedarplaza Ln
Dallas, ")</f>
        <v>erry
3650 Cedarplaza Ln
Dallas, </v>
      </c>
      <c r="G1972" s="8">
        <f>IFERROR(__xludf.DUMMYFUNCTION("""COMPUTED_VALUE"""),75209.0)</f>
        <v>75209</v>
      </c>
      <c r="I1972" s="8">
        <f t="shared" si="23"/>
        <v>75209</v>
      </c>
      <c r="J1972" s="9">
        <f>IFERROR(__xludf.DUMMYFUNCTION("SPLIT(I1972,""-"")"),75209.0)</f>
        <v>75209</v>
      </c>
    </row>
    <row r="1973">
      <c r="A1973" s="5" t="s">
        <v>30</v>
      </c>
      <c r="B1973" s="6">
        <v>1000.0</v>
      </c>
      <c r="C1973" s="7" t="s">
        <v>5</v>
      </c>
      <c r="E1973" s="8" t="str">
        <f>IFERROR(__xludf.DUMMYFUNCTION("SPLIT(A1973,""TX"")"),"Losinger, Sarah
4506 Park Ln
Dallas, ")</f>
        <v>Losinger, Sarah
4506 Park Ln
Dallas, </v>
      </c>
      <c r="F1973" s="8">
        <f>IFERROR(__xludf.DUMMYFUNCTION("""COMPUTED_VALUE"""),75220.0)</f>
        <v>75220</v>
      </c>
      <c r="I1973" s="8">
        <f t="shared" si="23"/>
        <v>75220</v>
      </c>
      <c r="J1973" s="9">
        <f>IFERROR(__xludf.DUMMYFUNCTION("SPLIT(I1973,""-"")"),75220.0)</f>
        <v>75220</v>
      </c>
    </row>
    <row r="1974">
      <c r="A1974" s="5" t="s">
        <v>1838</v>
      </c>
      <c r="B1974" s="6">
        <v>350.0</v>
      </c>
      <c r="C1974" s="7" t="s">
        <v>5</v>
      </c>
      <c r="E1974" s="8" t="str">
        <f>IFERROR(__xludf.DUMMYFUNCTION("SPLIT(A1974,""TX"")"),"Perkins, Mark
8911 Guernsey Ln
Dallas, ")</f>
        <v>Perkins, Mark
8911 Guernsey Ln
Dallas, </v>
      </c>
      <c r="F1974" s="8">
        <f>IFERROR(__xludf.DUMMYFUNCTION("""COMPUTED_VALUE"""),75220.0)</f>
        <v>75220</v>
      </c>
      <c r="I1974" s="8">
        <f t="shared" si="23"/>
        <v>75220</v>
      </c>
      <c r="J1974" s="9">
        <f>IFERROR(__xludf.DUMMYFUNCTION("SPLIT(I1974,""-"")"),75220.0)</f>
        <v>75220</v>
      </c>
    </row>
    <row r="1975">
      <c r="A1975" s="5" t="s">
        <v>1839</v>
      </c>
      <c r="B1975" s="6">
        <v>1000.0</v>
      </c>
      <c r="C1975" s="7" t="s">
        <v>5</v>
      </c>
      <c r="E1975" s="8" t="str">
        <f>IFERROR(__xludf.DUMMYFUNCTION("SPLIT(A1975,""TX"")"),"Boone, Garrett
2417 Loving Avenue, Dallas, ")</f>
        <v>Boone, Garrett
2417 Loving Avenue, Dallas, </v>
      </c>
      <c r="F1975" s="8" t="str">
        <f>IFERROR(__xludf.DUMMYFUNCTION("""COMPUTED_VALUE"""),"
Dallas, ")</f>
        <v>
Dallas, </v>
      </c>
      <c r="G1975" s="8">
        <f>IFERROR(__xludf.DUMMYFUNCTION("""COMPUTED_VALUE"""),75214.0)</f>
        <v>75214</v>
      </c>
      <c r="I1975" s="8">
        <f t="shared" si="23"/>
        <v>75214</v>
      </c>
      <c r="J1975" s="9">
        <f>IFERROR(__xludf.DUMMYFUNCTION("SPLIT(I1975,""-"")"),75214.0)</f>
        <v>75214</v>
      </c>
    </row>
    <row r="1976">
      <c r="A1976" s="5" t="s">
        <v>1840</v>
      </c>
      <c r="B1976" s="6">
        <v>100.0</v>
      </c>
      <c r="C1976" s="7" t="s">
        <v>5</v>
      </c>
      <c r="E1976" s="8" t="str">
        <f>IFERROR(__xludf.DUMMYFUNCTION("SPLIT(A1976,""TX"")"),"Wallace, Chris
4235 Castle Rock Court
IRVING, ")</f>
        <v>Wallace, Chris
4235 Castle Rock Court
IRVING, </v>
      </c>
      <c r="F1976" s="8">
        <f>IFERROR(__xludf.DUMMYFUNCTION("""COMPUTED_VALUE"""),75038.0)</f>
        <v>75038</v>
      </c>
      <c r="I1976" s="8">
        <f t="shared" si="23"/>
        <v>75038</v>
      </c>
      <c r="J1976" s="9">
        <f>IFERROR(__xludf.DUMMYFUNCTION("SPLIT(I1976,""-"")"),75038.0)</f>
        <v>75038</v>
      </c>
    </row>
    <row r="1977">
      <c r="A1977" s="5" t="s">
        <v>1841</v>
      </c>
      <c r="B1977" s="6">
        <v>1000.0</v>
      </c>
      <c r="C1977" s="7" t="s">
        <v>5</v>
      </c>
      <c r="E1977" s="8" t="str">
        <f>IFERROR(__xludf.DUMMYFUNCTION("SPLIT(A1977,""TX"")"),"Davis, Macey
8322 Ridgelea Street
Dallas, ")</f>
        <v>Davis, Macey
8322 Ridgelea Street
Dallas, </v>
      </c>
      <c r="F1977" s="8">
        <f>IFERROR(__xludf.DUMMYFUNCTION("""COMPUTED_VALUE"""),75209.0)</f>
        <v>75209</v>
      </c>
      <c r="I1977" s="8">
        <f t="shared" si="23"/>
        <v>75209</v>
      </c>
      <c r="J1977" s="9">
        <f>IFERROR(__xludf.DUMMYFUNCTION("SPLIT(I1977,""-"")"),75209.0)</f>
        <v>75209</v>
      </c>
    </row>
    <row r="1978">
      <c r="A1978" s="5" t="s">
        <v>1842</v>
      </c>
      <c r="B1978" s="6">
        <v>75.0</v>
      </c>
      <c r="C1978" s="7" t="s">
        <v>5</v>
      </c>
      <c r="E1978" s="8" t="str">
        <f>IFERROR(__xludf.DUMMYFUNCTION("SPLIT(A1978,""TX"")"),"Wilson, Rebecca
4233 Glenaire Drive
Dallas, ")</f>
        <v>Wilson, Rebecca
4233 Glenaire Drive
Dallas, </v>
      </c>
      <c r="F1978" s="8">
        <f>IFERROR(__xludf.DUMMYFUNCTION("""COMPUTED_VALUE"""),75229.0)</f>
        <v>75229</v>
      </c>
      <c r="I1978" s="8">
        <f t="shared" si="23"/>
        <v>75229</v>
      </c>
      <c r="J1978" s="9">
        <f>IFERROR(__xludf.DUMMYFUNCTION("SPLIT(I1978,""-"")"),75229.0)</f>
        <v>75229</v>
      </c>
    </row>
    <row r="1979">
      <c r="A1979" s="5" t="s">
        <v>1843</v>
      </c>
      <c r="B1979" s="6">
        <v>300.0</v>
      </c>
      <c r="C1979" s="7" t="s">
        <v>5</v>
      </c>
      <c r="E1979" s="8" t="str">
        <f>IFERROR(__xludf.DUMMYFUNCTION("SPLIT(A1979,""TX"")"),"Nix, Stephen
8511 Blue Bonnet Road,
Dallas, ")</f>
        <v>Nix, Stephen
8511 Blue Bonnet Road,
Dallas, </v>
      </c>
      <c r="F1979" s="8">
        <f>IFERROR(__xludf.DUMMYFUNCTION("""COMPUTED_VALUE"""),75209.0)</f>
        <v>75209</v>
      </c>
      <c r="I1979" s="8">
        <f t="shared" si="23"/>
        <v>75209</v>
      </c>
      <c r="J1979" s="9">
        <f>IFERROR(__xludf.DUMMYFUNCTION("SPLIT(I1979,""-"")"),75209.0)</f>
        <v>75209</v>
      </c>
    </row>
    <row r="1980">
      <c r="A1980" s="5" t="s">
        <v>1844</v>
      </c>
      <c r="B1980" s="6">
        <v>150.0</v>
      </c>
      <c r="C1980" s="7" t="s">
        <v>5</v>
      </c>
      <c r="E1980" s="8" t="str">
        <f>IFERROR(__xludf.DUMMYFUNCTION("SPLIT(A1980,""TX"")"),"Bryant, Kevin
4463 Brookview Dr, Dallas, ")</f>
        <v>Bryant, Kevin
4463 Brookview Dr, Dallas, </v>
      </c>
      <c r="F1980" s="8" t="str">
        <f>IFERROR(__xludf.DUMMYFUNCTION("""COMPUTED_VALUE"""),"
Dallas, ")</f>
        <v>
Dallas, </v>
      </c>
      <c r="G1980" s="8">
        <f>IFERROR(__xludf.DUMMYFUNCTION("""COMPUTED_VALUE"""),75220.0)</f>
        <v>75220</v>
      </c>
      <c r="I1980" s="8">
        <f t="shared" si="23"/>
        <v>75220</v>
      </c>
      <c r="J1980" s="9">
        <f>IFERROR(__xludf.DUMMYFUNCTION("SPLIT(I1980,""-"")"),75220.0)</f>
        <v>75220</v>
      </c>
    </row>
    <row r="1981">
      <c r="A1981" s="5" t="s">
        <v>264</v>
      </c>
      <c r="B1981" s="6">
        <v>500.0</v>
      </c>
      <c r="C1981" s="7" t="s">
        <v>5</v>
      </c>
      <c r="E1981" s="8" t="str">
        <f>IFERROR(__xludf.DUMMYFUNCTION("SPLIT(A1981,""TX"")"),"Collins-Bratton, Calvert
4738 Hallmark Drive
Dallas, ")</f>
        <v>Collins-Bratton, Calvert
4738 Hallmark Drive
Dallas, </v>
      </c>
      <c r="F1981" s="8">
        <f>IFERROR(__xludf.DUMMYFUNCTION("""COMPUTED_VALUE"""),75229.0)</f>
        <v>75229</v>
      </c>
      <c r="I1981" s="8">
        <f t="shared" si="23"/>
        <v>75229</v>
      </c>
      <c r="J1981" s="9">
        <f>IFERROR(__xludf.DUMMYFUNCTION("SPLIT(I1981,""-"")"),75229.0)</f>
        <v>75229</v>
      </c>
    </row>
    <row r="1982">
      <c r="A1982" s="5" t="s">
        <v>1845</v>
      </c>
      <c r="B1982" s="6">
        <v>50.0</v>
      </c>
      <c r="C1982" s="7" t="s">
        <v>5</v>
      </c>
      <c r="E1982" s="8" t="str">
        <f>IFERROR(__xludf.DUMMYFUNCTION("SPLIT(A1982,""TX"")"),"Hunt, Amy
10615 ROYAL CLUB LN, Dallas, ")</f>
        <v>Hunt, Amy
10615 ROYAL CLUB LN, Dallas, </v>
      </c>
      <c r="F1982" s="8" t="str">
        <f>IFERROR(__xludf.DUMMYFUNCTION("""COMPUTED_VALUE"""),"
Dallas, ")</f>
        <v>
Dallas, </v>
      </c>
      <c r="G1982" s="8">
        <f>IFERROR(__xludf.DUMMYFUNCTION("""COMPUTED_VALUE"""),75229.0)</f>
        <v>75229</v>
      </c>
      <c r="I1982" s="8">
        <f t="shared" si="23"/>
        <v>75229</v>
      </c>
      <c r="J1982" s="9">
        <f>IFERROR(__xludf.DUMMYFUNCTION("SPLIT(I1982,""-"")"),75229.0)</f>
        <v>75229</v>
      </c>
    </row>
    <row r="1983">
      <c r="A1983" s="5" t="s">
        <v>1846</v>
      </c>
      <c r="B1983" s="6">
        <v>100.0</v>
      </c>
      <c r="C1983" s="7" t="s">
        <v>5</v>
      </c>
      <c r="E1983" s="8" t="str">
        <f>IFERROR(__xludf.DUMMYFUNCTION("SPLIT(A1983,""TX"")"),"Smith, Suzanne
3210 Carlisle Street
Dallas, ")</f>
        <v>Smith, Suzanne
3210 Carlisle Street
Dallas, </v>
      </c>
      <c r="F1983" s="8">
        <f>IFERROR(__xludf.DUMMYFUNCTION("""COMPUTED_VALUE"""),75204.0)</f>
        <v>75204</v>
      </c>
      <c r="I1983" s="8">
        <f t="shared" si="23"/>
        <v>75204</v>
      </c>
      <c r="J1983" s="9">
        <f>IFERROR(__xludf.DUMMYFUNCTION("SPLIT(I1983,""-"")"),75204.0)</f>
        <v>75204</v>
      </c>
    </row>
    <row r="1984">
      <c r="A1984" s="5" t="s">
        <v>1847</v>
      </c>
      <c r="B1984" s="6">
        <v>500.0</v>
      </c>
      <c r="C1984" s="7" t="s">
        <v>5</v>
      </c>
      <c r="E1984" s="8" t="str">
        <f>IFERROR(__xludf.DUMMYFUNCTION("SPLIT(A1984,""TX"")"),"Richardson, Alison
1930 E. Rosemeade Pkwy
Carrollton, ")</f>
        <v>Richardson, Alison
1930 E. Rosemeade Pkwy
Carrollton, </v>
      </c>
      <c r="F1984" s="8">
        <f>IFERROR(__xludf.DUMMYFUNCTION("""COMPUTED_VALUE"""),75007.0)</f>
        <v>75007</v>
      </c>
      <c r="I1984" s="8">
        <f t="shared" si="23"/>
        <v>75007</v>
      </c>
      <c r="J1984" s="9">
        <f>IFERROR(__xludf.DUMMYFUNCTION("SPLIT(I1984,""-"")"),75007.0)</f>
        <v>75007</v>
      </c>
    </row>
    <row r="1985">
      <c r="A1985" s="5" t="s">
        <v>1848</v>
      </c>
      <c r="B1985" s="6">
        <v>500.0</v>
      </c>
      <c r="C1985" s="7" t="s">
        <v>5</v>
      </c>
      <c r="E1985" s="8" t="str">
        <f>IFERROR(__xludf.DUMMYFUNCTION("SPLIT(A1985,""TX"")"),"Johnson, Eric
3525 ")</f>
        <v>Johnson, Eric
3525 </v>
      </c>
      <c r="F1985" s="8" t="str">
        <f>IFERROR(__xludf.DUMMYFUNCTION("""COMPUTED_VALUE"""),"urtle Creek Blvd
Dallas, ")</f>
        <v>urtle Creek Blvd
Dallas, </v>
      </c>
      <c r="G1985" s="8">
        <f>IFERROR(__xludf.DUMMYFUNCTION("""COMPUTED_VALUE"""),75219.0)</f>
        <v>75219</v>
      </c>
      <c r="I1985" s="8">
        <f t="shared" si="23"/>
        <v>75219</v>
      </c>
      <c r="J1985" s="9">
        <f>IFERROR(__xludf.DUMMYFUNCTION("SPLIT(I1985,""-"")"),75219.0)</f>
        <v>75219</v>
      </c>
    </row>
    <row r="1986">
      <c r="A1986" s="5" t="s">
        <v>1849</v>
      </c>
      <c r="B1986" s="6">
        <v>1000.0</v>
      </c>
      <c r="C1986" s="7" t="s">
        <v>5</v>
      </c>
      <c r="E1986" s="8" t="str">
        <f>IFERROR(__xludf.DUMMYFUNCTION("SPLIT(A1986,""TX"")"),"Murchison, Maggie
10131 Gaywood Rd.
Dallas, ")</f>
        <v>Murchison, Maggie
10131 Gaywood Rd.
Dallas, </v>
      </c>
      <c r="F1986" s="8">
        <f>IFERROR(__xludf.DUMMYFUNCTION("""COMPUTED_VALUE"""),75229.0)</f>
        <v>75229</v>
      </c>
      <c r="I1986" s="8">
        <f t="shared" si="23"/>
        <v>75229</v>
      </c>
      <c r="J1986" s="9">
        <f>IFERROR(__xludf.DUMMYFUNCTION("SPLIT(I1986,""-"")"),75229.0)</f>
        <v>75229</v>
      </c>
    </row>
    <row r="1987">
      <c r="A1987" s="5" t="s">
        <v>1850</v>
      </c>
      <c r="B1987" s="6">
        <v>1000.0</v>
      </c>
      <c r="C1987" s="7" t="s">
        <v>5</v>
      </c>
      <c r="E1987" s="8" t="str">
        <f>IFERROR(__xludf.DUMMYFUNCTION("SPLIT(A1987,""TX"")"),"Murchison, Robert
10131 Gaywood Rd.
Dallas, ")</f>
        <v>Murchison, Robert
10131 Gaywood Rd.
Dallas, </v>
      </c>
      <c r="F1987" s="8">
        <f>IFERROR(__xludf.DUMMYFUNCTION("""COMPUTED_VALUE"""),75229.0)</f>
        <v>75229</v>
      </c>
      <c r="I1987" s="8">
        <f t="shared" si="23"/>
        <v>75229</v>
      </c>
      <c r="J1987" s="9">
        <f>IFERROR(__xludf.DUMMYFUNCTION("SPLIT(I1987,""-"")"),75229.0)</f>
        <v>75229</v>
      </c>
    </row>
    <row r="1988">
      <c r="A1988" s="5" t="s">
        <v>1851</v>
      </c>
      <c r="B1988" s="6">
        <v>1000.0</v>
      </c>
      <c r="C1988" s="7" t="s">
        <v>5</v>
      </c>
      <c r="E1988" s="8" t="str">
        <f>IFERROR(__xludf.DUMMYFUNCTION("SPLIT(A1988,""TX"")"),"Crow, Harlan
3819 Maple Ave
Dallas, ")</f>
        <v>Crow, Harlan
3819 Maple Ave
Dallas, </v>
      </c>
      <c r="F1988" s="8" t="str">
        <f>IFERROR(__xludf.DUMMYFUNCTION("""COMPUTED_VALUE""")," 75219-3919")</f>
        <v> 75219-3919</v>
      </c>
      <c r="I1988" s="8" t="str">
        <f t="shared" si="23"/>
        <v> 75219-3919</v>
      </c>
      <c r="J1988" s="9">
        <f>IFERROR(__xludf.DUMMYFUNCTION("SPLIT(I1988,""-"")"),75219.0)</f>
        <v>75219</v>
      </c>
      <c r="K1988" s="8">
        <f>IFERROR(__xludf.DUMMYFUNCTION("""COMPUTED_VALUE"""),3919.0)</f>
        <v>3919</v>
      </c>
    </row>
    <row r="1989">
      <c r="A1989" s="5" t="s">
        <v>1852</v>
      </c>
      <c r="B1989" s="6">
        <v>1000.0</v>
      </c>
      <c r="C1989" s="7" t="s">
        <v>5</v>
      </c>
      <c r="E1989" s="8" t="str">
        <f>IFERROR(__xludf.DUMMYFUNCTION("SPLIT(A1989,""TX"")"),"Crow, Katherine
4700 Preston
Dallas, ")</f>
        <v>Crow, Katherine
4700 Preston
Dallas, </v>
      </c>
      <c r="F1989" s="8">
        <f>IFERROR(__xludf.DUMMYFUNCTION("""COMPUTED_VALUE"""),75205.0)</f>
        <v>75205</v>
      </c>
      <c r="I1989" s="8">
        <f t="shared" si="23"/>
        <v>75205</v>
      </c>
      <c r="J1989" s="9">
        <f>IFERROR(__xludf.DUMMYFUNCTION("SPLIT(I1989,""-"")"),75205.0)</f>
        <v>75205</v>
      </c>
    </row>
    <row r="1990">
      <c r="A1990" s="5" t="s">
        <v>1853</v>
      </c>
      <c r="B1990" s="6">
        <v>1000.0</v>
      </c>
      <c r="C1990" s="7" t="s">
        <v>5</v>
      </c>
      <c r="E1990" s="8" t="str">
        <f>IFERROR(__xludf.DUMMYFUNCTION("SPLIT(A1990,""TX"")"),"Crow, ")</f>
        <v>Crow, </v>
      </c>
      <c r="F1990" s="8" t="str">
        <f>IFERROR(__xludf.DUMMYFUNCTION("""COMPUTED_VALUE"""),"rammel
4000 Rock Creek Drive
Dallas, ")</f>
        <v>rammel
4000 Rock Creek Drive
Dallas, </v>
      </c>
      <c r="G1990" s="8" t="str">
        <f>IFERROR(__xludf.DUMMYFUNCTION("""COMPUTED_VALUE""")," 75204-1626")</f>
        <v> 75204-1626</v>
      </c>
      <c r="I1990" s="8" t="str">
        <f t="shared" si="23"/>
        <v> 75204-1626</v>
      </c>
      <c r="J1990" s="9">
        <f>IFERROR(__xludf.DUMMYFUNCTION("SPLIT(I1990,""-"")"),75204.0)</f>
        <v>75204</v>
      </c>
      <c r="K1990" s="8">
        <f>IFERROR(__xludf.DUMMYFUNCTION("""COMPUTED_VALUE"""),1626.0)</f>
        <v>1626</v>
      </c>
    </row>
    <row r="1991">
      <c r="A1991" s="5" t="s">
        <v>1854</v>
      </c>
      <c r="B1991" s="6">
        <v>1000.0</v>
      </c>
      <c r="C1991" s="7" t="s">
        <v>5</v>
      </c>
      <c r="E1991" s="8" t="str">
        <f>IFERROR(__xludf.DUMMYFUNCTION("SPLIT(A1991,""TX"")"),"Valach, Kenneth
5 Lazee ")</f>
        <v>Valach, Kenneth
5 Lazee </v>
      </c>
      <c r="F1991" s="8" t="str">
        <f>IFERROR(__xludf.DUMMYFUNCTION("""COMPUTED_VALUE"""),"rail
Houston, ")</f>
        <v>rail
Houston, </v>
      </c>
      <c r="G1991" s="8" t="str">
        <f>IFERROR(__xludf.DUMMYFUNCTION("""COMPUTED_VALUE""")," 77024-5006")</f>
        <v> 77024-5006</v>
      </c>
      <c r="I1991" s="8" t="str">
        <f t="shared" si="23"/>
        <v> 77024-5006</v>
      </c>
      <c r="J1991" s="9">
        <f>IFERROR(__xludf.DUMMYFUNCTION("SPLIT(I1991,""-"")"),77024.0)</f>
        <v>77024</v>
      </c>
      <c r="K1991" s="8">
        <f>IFERROR(__xludf.DUMMYFUNCTION("""COMPUTED_VALUE"""),5006.0)</f>
        <v>5006</v>
      </c>
    </row>
    <row r="1992">
      <c r="A1992" s="5" t="s">
        <v>1855</v>
      </c>
      <c r="B1992" s="6">
        <v>100.0</v>
      </c>
      <c r="C1992" s="7" t="s">
        <v>5</v>
      </c>
      <c r="E1992" s="8" t="str">
        <f>IFERROR(__xludf.DUMMYFUNCTION("SPLIT(A1992,""TX"")"),"Sloan, Jamie
2829 North Bend Drive
Dallas, ")</f>
        <v>Sloan, Jamie
2829 North Bend Drive
Dallas, </v>
      </c>
      <c r="F1992" s="8">
        <f>IFERROR(__xludf.DUMMYFUNCTION("""COMPUTED_VALUE"""),75229.0)</f>
        <v>75229</v>
      </c>
      <c r="I1992" s="8">
        <f t="shared" si="23"/>
        <v>75229</v>
      </c>
      <c r="J1992" s="9">
        <f>IFERROR(__xludf.DUMMYFUNCTION("SPLIT(I1992,""-"")"),75229.0)</f>
        <v>75229</v>
      </c>
    </row>
    <row r="1993">
      <c r="A1993" s="5" t="s">
        <v>166</v>
      </c>
      <c r="B1993" s="6">
        <v>500.0</v>
      </c>
      <c r="C1993" s="7" t="s">
        <v>5</v>
      </c>
      <c r="E1993" s="8" t="str">
        <f>IFERROR(__xludf.DUMMYFUNCTION("SPLIT(A1993,""TX"")"),"Lopez, Bridget
4326 Meadowdale Lane
Dallas, ")</f>
        <v>Lopez, Bridget
4326 Meadowdale Lane
Dallas, </v>
      </c>
      <c r="F1993" s="8">
        <f>IFERROR(__xludf.DUMMYFUNCTION("""COMPUTED_VALUE"""),75229.0)</f>
        <v>75229</v>
      </c>
      <c r="I1993" s="8">
        <f t="shared" si="23"/>
        <v>75229</v>
      </c>
      <c r="J1993" s="9">
        <f>IFERROR(__xludf.DUMMYFUNCTION("SPLIT(I1993,""-"")"),75229.0)</f>
        <v>75229</v>
      </c>
    </row>
    <row r="1994">
      <c r="A1994" s="5" t="s">
        <v>1856</v>
      </c>
      <c r="B1994" s="6">
        <v>100.0</v>
      </c>
      <c r="C1994" s="7" t="s">
        <v>5</v>
      </c>
      <c r="E1994" s="8" t="str">
        <f>IFERROR(__xludf.DUMMYFUNCTION("SPLIT(A1994,""TX"")"),"Siepiela, Mark
5437 MEADOW CRES")</f>
        <v>Siepiela, Mark
5437 MEADOW CRES</v>
      </c>
      <c r="F1994" s="8" t="str">
        <f>IFERROR(__xludf.DUMMYFUNCTION("""COMPUTED_VALUE""")," DR
Dallas, ")</f>
        <v> DR
Dallas, </v>
      </c>
      <c r="G1994" s="8">
        <f>IFERROR(__xludf.DUMMYFUNCTION("""COMPUTED_VALUE"""),75229.0)</f>
        <v>75229</v>
      </c>
      <c r="I1994" s="8">
        <f t="shared" si="23"/>
        <v>75229</v>
      </c>
      <c r="J1994" s="9">
        <f>IFERROR(__xludf.DUMMYFUNCTION("SPLIT(I1994,""-"")"),75229.0)</f>
        <v>75229</v>
      </c>
    </row>
    <row r="1995">
      <c r="A1995" s="5" t="s">
        <v>1857</v>
      </c>
      <c r="B1995" s="6">
        <v>1000.0</v>
      </c>
      <c r="C1995" s="7" t="s">
        <v>5</v>
      </c>
      <c r="E1995" s="8" t="str">
        <f>IFERROR(__xludf.DUMMYFUNCTION("SPLIT(A1995,""TX"")"),"Groves, Joseph
114 Lake Forest Ct.
Garland, ")</f>
        <v>Groves, Joseph
114 Lake Forest Ct.
Garland, </v>
      </c>
      <c r="F1995" s="8">
        <f>IFERROR(__xludf.DUMMYFUNCTION("""COMPUTED_VALUE"""),75044.0)</f>
        <v>75044</v>
      </c>
      <c r="I1995" s="8">
        <f t="shared" si="23"/>
        <v>75044</v>
      </c>
      <c r="J1995" s="9">
        <f>IFERROR(__xludf.DUMMYFUNCTION("SPLIT(I1995,""-"")"),75044.0)</f>
        <v>75044</v>
      </c>
    </row>
    <row r="1996">
      <c r="A1996" s="5" t="s">
        <v>1858</v>
      </c>
      <c r="B1996" s="6">
        <v>1000.0</v>
      </c>
      <c r="C1996" s="7" t="s">
        <v>5</v>
      </c>
      <c r="E1996" s="8" t="str">
        <f>IFERROR(__xludf.DUMMYFUNCTION("SPLIT(A1996,""TX"")"),"Pina, Flavio
114 Lake Forest Ct.
Dallas, ")</f>
        <v>Pina, Flavio
114 Lake Forest Ct.
Dallas, </v>
      </c>
      <c r="F1996" s="8">
        <f>IFERROR(__xludf.DUMMYFUNCTION("""COMPUTED_VALUE"""),75044.0)</f>
        <v>75044</v>
      </c>
      <c r="I1996" s="8">
        <f t="shared" si="23"/>
        <v>75044</v>
      </c>
      <c r="J1996" s="9">
        <f>IFERROR(__xludf.DUMMYFUNCTION("SPLIT(I1996,""-"")"),75044.0)</f>
        <v>75044</v>
      </c>
    </row>
    <row r="1997">
      <c r="A1997" s="5" t="s">
        <v>1859</v>
      </c>
      <c r="B1997" s="6">
        <v>100.0</v>
      </c>
      <c r="C1997" s="7" t="s">
        <v>5</v>
      </c>
      <c r="E1997" s="8" t="str">
        <f>IFERROR(__xludf.DUMMYFUNCTION("SPLIT(A1997,""TX"")"),"Perry, Philip
3610 N. Versailles
Dallas, ")</f>
        <v>Perry, Philip
3610 N. Versailles
Dallas, </v>
      </c>
      <c r="F1997" s="8">
        <f>IFERROR(__xludf.DUMMYFUNCTION("""COMPUTED_VALUE"""),75092.0)</f>
        <v>75092</v>
      </c>
      <c r="I1997" s="8">
        <f t="shared" si="23"/>
        <v>75092</v>
      </c>
      <c r="J1997" s="9">
        <f>IFERROR(__xludf.DUMMYFUNCTION("SPLIT(I1997,""-"")"),75092.0)</f>
        <v>75092</v>
      </c>
    </row>
    <row r="1998">
      <c r="A1998" s="5" t="s">
        <v>1860</v>
      </c>
      <c r="B1998" s="6">
        <v>100.0</v>
      </c>
      <c r="C1998" s="7" t="s">
        <v>5</v>
      </c>
      <c r="E1998" s="8" t="str">
        <f>IFERROR(__xludf.DUMMYFUNCTION("SPLIT(A1998,""TX"")"),"Dankert, Charlie
3367 VALIAN")</f>
        <v>Dankert, Charlie
3367 VALIAN</v>
      </c>
      <c r="F1998" s="8" t="str">
        <f>IFERROR(__xludf.DUMMYFUNCTION("""COMPUTED_VALUE""")," DR
Dallas, ")</f>
        <v> DR
Dallas, </v>
      </c>
      <c r="G1998" s="8">
        <f>IFERROR(__xludf.DUMMYFUNCTION("""COMPUTED_VALUE"""),75229.0)</f>
        <v>75229</v>
      </c>
      <c r="I1998" s="8">
        <f t="shared" si="23"/>
        <v>75229</v>
      </c>
      <c r="J1998" s="9">
        <f>IFERROR(__xludf.DUMMYFUNCTION("SPLIT(I1998,""-"")"),75229.0)</f>
        <v>75229</v>
      </c>
    </row>
    <row r="1999">
      <c r="A1999" s="5" t="s">
        <v>1778</v>
      </c>
      <c r="B1999" s="6">
        <v>500.0</v>
      </c>
      <c r="C1999" s="7" t="s">
        <v>5</v>
      </c>
      <c r="E1999" s="8" t="str">
        <f>IFERROR(__xludf.DUMMYFUNCTION("SPLIT(A1999,""TX"")"),"Johnson, Willis
1001 Belleview
Dallas, ")</f>
        <v>Johnson, Willis
1001 Belleview
Dallas, </v>
      </c>
      <c r="F1999" s="8">
        <f>IFERROR(__xludf.DUMMYFUNCTION("""COMPUTED_VALUE"""),75215.0)</f>
        <v>75215</v>
      </c>
      <c r="I1999" s="8">
        <f t="shared" si="23"/>
        <v>75215</v>
      </c>
      <c r="J1999" s="9">
        <f>IFERROR(__xludf.DUMMYFUNCTION("SPLIT(I1999,""-"")"),75215.0)</f>
        <v>75215</v>
      </c>
    </row>
    <row r="2000">
      <c r="A2000" s="5" t="s">
        <v>1861</v>
      </c>
      <c r="B2000" s="6">
        <v>1000.0</v>
      </c>
      <c r="C2000" s="7" t="s">
        <v>5</v>
      </c>
      <c r="E2000" s="8" t="str">
        <f>IFERROR(__xludf.DUMMYFUNCTION("SPLIT(A2000,""TX"")"),"Linebarger Goggan Blair &amp; Sampson
PO Box 17428
Austin, ")</f>
        <v>Linebarger Goggan Blair &amp; Sampson
PO Box 17428
Austin, </v>
      </c>
      <c r="F2000" s="8">
        <f>IFERROR(__xludf.DUMMYFUNCTION("""COMPUTED_VALUE"""),78760.0)</f>
        <v>78760</v>
      </c>
      <c r="I2000" s="8">
        <f t="shared" si="23"/>
        <v>78760</v>
      </c>
      <c r="J2000" s="9">
        <f>IFERROR(__xludf.DUMMYFUNCTION("SPLIT(I2000,""-"")"),78760.0)</f>
        <v>78760</v>
      </c>
    </row>
    <row r="2001">
      <c r="A2001" s="5" t="s">
        <v>1862</v>
      </c>
      <c r="B2001" s="6">
        <v>1000.0</v>
      </c>
      <c r="C2001" s="7" t="s">
        <v>5</v>
      </c>
      <c r="E2001" s="8" t="str">
        <f>IFERROR(__xludf.DUMMYFUNCTION("SPLIT(A2001,""TX"")"),"Southwest Freedom Fund
PO Box 3661
Dallas, ")</f>
        <v>Southwest Freedom Fund
PO Box 3661
Dallas, </v>
      </c>
      <c r="F2001" s="8" t="str">
        <f>IFERROR(__xludf.DUMMYFUNCTION("""COMPUTED_VALUE""")," 75235-1611")</f>
        <v> 75235-1611</v>
      </c>
      <c r="I2001" s="8" t="str">
        <f t="shared" si="23"/>
        <v> 75235-1611</v>
      </c>
      <c r="J2001" s="9">
        <f>IFERROR(__xludf.DUMMYFUNCTION("SPLIT(I2001,""-"")"),75235.0)</f>
        <v>75235</v>
      </c>
      <c r="K2001" s="8">
        <f>IFERROR(__xludf.DUMMYFUNCTION("""COMPUTED_VALUE"""),1611.0)</f>
        <v>1611</v>
      </c>
    </row>
    <row r="2002">
      <c r="A2002" s="5" t="s">
        <v>1863</v>
      </c>
      <c r="B2002" s="6">
        <v>2500.0</v>
      </c>
      <c r="C2002" s="7" t="s">
        <v>5</v>
      </c>
      <c r="E2002" s="8" t="str">
        <f>IFERROR(__xludf.DUMMYFUNCTION("SPLIT(A2002,""TX"")"),"HBA of Greater Dallas HOME PAC
5816 W Plano Pkwy
Plano, ")</f>
        <v>HBA of Greater Dallas HOME PAC
5816 W Plano Pkwy
Plano, </v>
      </c>
      <c r="F2002" s="8">
        <f>IFERROR(__xludf.DUMMYFUNCTION("""COMPUTED_VALUE"""),75093.0)</f>
        <v>75093</v>
      </c>
      <c r="I2002" s="8">
        <f t="shared" si="23"/>
        <v>75093</v>
      </c>
      <c r="J2002" s="9">
        <f>IFERROR(__xludf.DUMMYFUNCTION("SPLIT(I2002,""-"")"),75093.0)</f>
        <v>75093</v>
      </c>
    </row>
    <row r="2003">
      <c r="A2003" s="5" t="s">
        <v>1864</v>
      </c>
      <c r="B2003" s="6">
        <v>950.0</v>
      </c>
      <c r="C2003" s="7" t="s">
        <v>106</v>
      </c>
      <c r="E2003" s="8" t="str">
        <f>IFERROR(__xludf.DUMMYFUNCTION("SPLIT(A2003,""TX"")"),"Mata, Albert
105 S Bishop Ave
Dallas, ")</f>
        <v>Mata, Albert
105 S Bishop Ave
Dallas, </v>
      </c>
      <c r="F2003" s="8">
        <f>IFERROR(__xludf.DUMMYFUNCTION("""COMPUTED_VALUE"""),75208.0)</f>
        <v>75208</v>
      </c>
      <c r="I2003" s="8">
        <f t="shared" si="23"/>
        <v>75208</v>
      </c>
      <c r="J2003" s="9">
        <f>IFERROR(__xludf.DUMMYFUNCTION("SPLIT(I2003,""-"")"),75208.0)</f>
        <v>75208</v>
      </c>
    </row>
    <row r="2004">
      <c r="A2004" s="10" t="s">
        <v>1865</v>
      </c>
      <c r="B2004" s="11">
        <v>100.0</v>
      </c>
      <c r="C2004" s="12" t="s">
        <v>106</v>
      </c>
      <c r="E2004" s="8" t="str">
        <f>IFERROR(__xludf.DUMMYFUNCTION("SPLIT(A2004,""TX"")"),"Gonzales, Jose
2105 Madera Dr
Waco, ")</f>
        <v>Gonzales, Jose
2105 Madera Dr
Waco, </v>
      </c>
      <c r="F2004" s="8">
        <f>IFERROR(__xludf.DUMMYFUNCTION("""COMPUTED_VALUE"""),76705.0)</f>
        <v>76705</v>
      </c>
      <c r="I2004" s="8">
        <f t="shared" si="23"/>
        <v>76705</v>
      </c>
      <c r="J2004" s="9">
        <f>IFERROR(__xludf.DUMMYFUNCTION("SPLIT(I2004,""-"")"),76705.0)</f>
        <v>76705</v>
      </c>
    </row>
    <row r="2005">
      <c r="A2005" s="5" t="s">
        <v>1866</v>
      </c>
      <c r="B2005" s="6">
        <v>50.0</v>
      </c>
      <c r="C2005" s="7" t="s">
        <v>106</v>
      </c>
      <c r="E2005" s="8" t="str">
        <f>IFERROR(__xludf.DUMMYFUNCTION("SPLIT(A2005,""TX"")"),"Flores, Jasmin
411 Broadway Ave
Dallas, ")</f>
        <v>Flores, Jasmin
411 Broadway Ave
Dallas, </v>
      </c>
      <c r="F2005" s="8">
        <f>IFERROR(__xludf.DUMMYFUNCTION("""COMPUTED_VALUE"""),75212.0)</f>
        <v>75212</v>
      </c>
      <c r="I2005" s="8">
        <f t="shared" si="23"/>
        <v>75212</v>
      </c>
      <c r="J2005" s="9">
        <f>IFERROR(__xludf.DUMMYFUNCTION("SPLIT(I2005,""-"")"),75212.0)</f>
        <v>75212</v>
      </c>
    </row>
    <row r="2006">
      <c r="A2006" s="10" t="s">
        <v>1867</v>
      </c>
      <c r="B2006" s="11">
        <v>500.0</v>
      </c>
      <c r="C2006" s="12" t="s">
        <v>106</v>
      </c>
      <c r="E2006" s="8" t="str">
        <f>IFERROR(__xludf.DUMMYFUNCTION("SPLIT(A2006,""TX"")"),"Gonzales, Nancy
105 S Bishop Ave
Dallas, ")</f>
        <v>Gonzales, Nancy
105 S Bishop Ave
Dallas, </v>
      </c>
      <c r="F2006" s="8">
        <f>IFERROR(__xludf.DUMMYFUNCTION("""COMPUTED_VALUE"""),75208.0)</f>
        <v>75208</v>
      </c>
      <c r="I2006" s="8">
        <f t="shared" si="23"/>
        <v>75208</v>
      </c>
      <c r="J2006" s="9">
        <f>IFERROR(__xludf.DUMMYFUNCTION("SPLIT(I2006,""-"")"),75208.0)</f>
        <v>75208</v>
      </c>
    </row>
    <row r="2007">
      <c r="A2007" s="5" t="s">
        <v>1868</v>
      </c>
      <c r="B2007" s="6">
        <v>1000.0</v>
      </c>
      <c r="C2007" s="7" t="s">
        <v>106</v>
      </c>
      <c r="E2007" s="8" t="str">
        <f>IFERROR(__xludf.DUMMYFUNCTION("SPLIT(A2007,""TX"")"),"Kirkpatrick, Lucas
1118 Elmwood Blvd
Dallas, ")</f>
        <v>Kirkpatrick, Lucas
1118 Elmwood Blvd
Dallas, </v>
      </c>
      <c r="F2007" s="8">
        <f>IFERROR(__xludf.DUMMYFUNCTION("""COMPUTED_VALUE"""),75224.0)</f>
        <v>75224</v>
      </c>
      <c r="I2007" s="8">
        <f t="shared" si="23"/>
        <v>75224</v>
      </c>
      <c r="J2007" s="9">
        <f>IFERROR(__xludf.DUMMYFUNCTION("SPLIT(I2007,""-"")"),75224.0)</f>
        <v>75224</v>
      </c>
    </row>
    <row r="2008">
      <c r="A2008" s="10" t="s">
        <v>1869</v>
      </c>
      <c r="B2008" s="11">
        <v>1000.0</v>
      </c>
      <c r="C2008" s="12" t="s">
        <v>106</v>
      </c>
      <c r="E2008" s="8" t="str">
        <f>IFERROR(__xludf.DUMMYFUNCTION("SPLIT(A2008,""TX"")"),"Hopkins, Christine
1118 Elmwood Blvd
Dallas, ")</f>
        <v>Hopkins, Christine
1118 Elmwood Blvd
Dallas, </v>
      </c>
      <c r="F2008" s="8">
        <f>IFERROR(__xludf.DUMMYFUNCTION("""COMPUTED_VALUE"""),75224.0)</f>
        <v>75224</v>
      </c>
      <c r="I2008" s="8">
        <f t="shared" si="23"/>
        <v>75224</v>
      </c>
      <c r="J2008" s="9">
        <f>IFERROR(__xludf.DUMMYFUNCTION("SPLIT(I2008,""-"")"),75224.0)</f>
        <v>75224</v>
      </c>
    </row>
    <row r="2009">
      <c r="A2009" s="5" t="s">
        <v>1870</v>
      </c>
      <c r="B2009" s="6">
        <v>100.0</v>
      </c>
      <c r="C2009" s="7" t="s">
        <v>106</v>
      </c>
      <c r="E2009" s="8" t="str">
        <f>IFERROR(__xludf.DUMMYFUNCTION("SPLIT(A2009,""TX"")"),"Carden, Paul
2007 Harlandale Ave
Dallas, ")</f>
        <v>Carden, Paul
2007 Harlandale Ave
Dallas, </v>
      </c>
      <c r="F2009" s="8">
        <f>IFERROR(__xludf.DUMMYFUNCTION("""COMPUTED_VALUE"""),75216.0)</f>
        <v>75216</v>
      </c>
      <c r="I2009" s="8">
        <f t="shared" si="23"/>
        <v>75216</v>
      </c>
      <c r="J2009" s="9">
        <f>IFERROR(__xludf.DUMMYFUNCTION("SPLIT(I2009,""-"")"),75216.0)</f>
        <v>75216</v>
      </c>
    </row>
    <row r="2010">
      <c r="A2010" s="10" t="s">
        <v>618</v>
      </c>
      <c r="B2010" s="11">
        <v>100.0</v>
      </c>
      <c r="C2010" s="12" t="s">
        <v>106</v>
      </c>
      <c r="E2010" s="8" t="str">
        <f>IFERROR(__xludf.DUMMYFUNCTION("SPLIT(A2010,""TX"")"),"Hernandez, Cecilia
218 Merribrook ")</f>
        <v>Hernandez, Cecilia
218 Merribrook </v>
      </c>
      <c r="F2010" s="8" t="str">
        <f>IFERROR(__xludf.DUMMYFUNCTION("""COMPUTED_VALUE"""),"rail
Duncanville, ")</f>
        <v>rail
Duncanville, </v>
      </c>
      <c r="G2010" s="8">
        <f>IFERROR(__xludf.DUMMYFUNCTION("""COMPUTED_VALUE"""),75116.0)</f>
        <v>75116</v>
      </c>
      <c r="I2010" s="8">
        <f t="shared" si="23"/>
        <v>75116</v>
      </c>
      <c r="J2010" s="9">
        <f>IFERROR(__xludf.DUMMYFUNCTION("SPLIT(I2010,""-"")"),75116.0)</f>
        <v>75116</v>
      </c>
    </row>
    <row r="2011">
      <c r="A2011" s="5" t="s">
        <v>1871</v>
      </c>
      <c r="B2011" s="6">
        <v>250.0</v>
      </c>
      <c r="C2011" s="7" t="s">
        <v>106</v>
      </c>
      <c r="E2011" s="8" t="str">
        <f>IFERROR(__xludf.DUMMYFUNCTION("SPLIT(A2011,""TX"")"),"Martinez, Raquel
813 Lowe Dr
Cedar Hill, ")</f>
        <v>Martinez, Raquel
813 Lowe Dr
Cedar Hill, </v>
      </c>
      <c r="F2011" s="8">
        <f>IFERROR(__xludf.DUMMYFUNCTION("""COMPUTED_VALUE"""),75104.0)</f>
        <v>75104</v>
      </c>
      <c r="I2011" s="8">
        <f t="shared" si="23"/>
        <v>75104</v>
      </c>
      <c r="J2011" s="9">
        <f>IFERROR(__xludf.DUMMYFUNCTION("SPLIT(I2011,""-"")"),75104.0)</f>
        <v>75104</v>
      </c>
    </row>
    <row r="2012">
      <c r="A2012" s="10" t="s">
        <v>1872</v>
      </c>
      <c r="B2012" s="11">
        <v>50.0</v>
      </c>
      <c r="C2012" s="12" t="s">
        <v>106</v>
      </c>
      <c r="E2012" s="8" t="str">
        <f>IFERROR(__xludf.DUMMYFUNCTION("SPLIT(A2012,""TX"")"),"Amaya, Carlos
107 Garvin Way
Midlothian, ")</f>
        <v>Amaya, Carlos
107 Garvin Way
Midlothian, </v>
      </c>
      <c r="F2012" s="8">
        <f>IFERROR(__xludf.DUMMYFUNCTION("""COMPUTED_VALUE"""),76065.0)</f>
        <v>76065</v>
      </c>
      <c r="I2012" s="8">
        <f t="shared" si="23"/>
        <v>76065</v>
      </c>
      <c r="J2012" s="9">
        <f>IFERROR(__xludf.DUMMYFUNCTION("SPLIT(I2012,""-"")"),76065.0)</f>
        <v>76065</v>
      </c>
    </row>
    <row r="2013">
      <c r="A2013" s="5" t="s">
        <v>1873</v>
      </c>
      <c r="B2013" s="6">
        <v>1000.0</v>
      </c>
      <c r="C2013" s="7" t="s">
        <v>627</v>
      </c>
      <c r="E2013" s="8" t="str">
        <f>IFERROR(__xludf.DUMMYFUNCTION("SPLIT(A2013,""TX"")"),"Carey, Jeff
300 East Round Grove Rd
Lewisville, ")</f>
        <v>Carey, Jeff
300 East Round Grove Rd
Lewisville, </v>
      </c>
      <c r="F2013" s="8">
        <f>IFERROR(__xludf.DUMMYFUNCTION("""COMPUTED_VALUE"""),75067.0)</f>
        <v>75067</v>
      </c>
      <c r="I2013" s="8">
        <f t="shared" si="23"/>
        <v>75067</v>
      </c>
      <c r="J2013" s="9">
        <f>IFERROR(__xludf.DUMMYFUNCTION("SPLIT(I2013,""-"")"),75067.0)</f>
        <v>75067</v>
      </c>
    </row>
    <row r="2014">
      <c r="A2014" s="5" t="s">
        <v>1874</v>
      </c>
      <c r="B2014" s="6">
        <v>1000.0</v>
      </c>
      <c r="C2014" s="7" t="s">
        <v>627</v>
      </c>
      <c r="E2014" s="8" t="str">
        <f>IFERROR(__xludf.DUMMYFUNCTION("SPLIT(A2014,""TX"")"),"Hunt, Ray
1900 North Akard St
Dallas, ")</f>
        <v>Hunt, Ray
1900 North Akard St
Dallas, </v>
      </c>
      <c r="F2014" s="8">
        <f>IFERROR(__xludf.DUMMYFUNCTION("""COMPUTED_VALUE"""),75201.0)</f>
        <v>75201</v>
      </c>
      <c r="I2014" s="8">
        <f t="shared" si="23"/>
        <v>75201</v>
      </c>
      <c r="J2014" s="9">
        <f>IFERROR(__xludf.DUMMYFUNCTION("SPLIT(I2014,""-"")"),75201.0)</f>
        <v>75201</v>
      </c>
    </row>
    <row r="2015">
      <c r="A2015" s="5" t="s">
        <v>77</v>
      </c>
      <c r="B2015" s="6">
        <v>1000.0</v>
      </c>
      <c r="C2015" s="7" t="s">
        <v>627</v>
      </c>
      <c r="E2015" s="8" t="str">
        <f>IFERROR(__xludf.DUMMYFUNCTION("SPLIT(A2015,""TX"")"),"Aranza, Gilbert
PO Box 601527
Dallas, ")</f>
        <v>Aranza, Gilbert
PO Box 601527
Dallas, </v>
      </c>
      <c r="F2015" s="8">
        <f>IFERROR(__xludf.DUMMYFUNCTION("""COMPUTED_VALUE"""),75360.0)</f>
        <v>75360</v>
      </c>
      <c r="I2015" s="8">
        <f t="shared" si="23"/>
        <v>75360</v>
      </c>
      <c r="J2015" s="9">
        <f>IFERROR(__xludf.DUMMYFUNCTION("SPLIT(I2015,""-"")"),75360.0)</f>
        <v>75360</v>
      </c>
    </row>
    <row r="2016">
      <c r="A2016" s="5" t="s">
        <v>1875</v>
      </c>
      <c r="B2016" s="6">
        <v>1000.0</v>
      </c>
      <c r="C2016" s="7" t="s">
        <v>627</v>
      </c>
      <c r="E2016" s="8" t="str">
        <f>IFERROR(__xludf.DUMMYFUNCTION("SPLIT(A2016,""TX"")"),"Etheridge, Roselind
PO Box 601527
Dallas, ")</f>
        <v>Etheridge, Roselind
PO Box 601527
Dallas, </v>
      </c>
      <c r="F2016" s="8">
        <f>IFERROR(__xludf.DUMMYFUNCTION("""COMPUTED_VALUE"""),75360.0)</f>
        <v>75360</v>
      </c>
      <c r="I2016" s="8">
        <f t="shared" si="23"/>
        <v>75360</v>
      </c>
      <c r="J2016" s="9">
        <f>IFERROR(__xludf.DUMMYFUNCTION("SPLIT(I2016,""-"")"),75360.0)</f>
        <v>75360</v>
      </c>
    </row>
    <row r="2017">
      <c r="A2017" s="5" t="s">
        <v>1876</v>
      </c>
      <c r="B2017" s="6">
        <v>1000.0</v>
      </c>
      <c r="C2017" s="7" t="s">
        <v>627</v>
      </c>
      <c r="E2017" s="8" t="str">
        <f>IFERROR(__xludf.DUMMYFUNCTION("SPLIT(A2017,""TX"")"),"Aranza, Anthony
1507 Stonehedge Bend Dr.
Houston, ")</f>
        <v>Aranza, Anthony
1507 Stonehedge Bend Dr.
Houston, </v>
      </c>
      <c r="F2017" s="8">
        <f>IFERROR(__xludf.DUMMYFUNCTION("""COMPUTED_VALUE"""),77073.0)</f>
        <v>77073</v>
      </c>
      <c r="I2017" s="8">
        <f t="shared" si="23"/>
        <v>77073</v>
      </c>
      <c r="J2017" s="9">
        <f>IFERROR(__xludf.DUMMYFUNCTION("SPLIT(I2017,""-"")"),77073.0)</f>
        <v>77073</v>
      </c>
    </row>
    <row r="2018">
      <c r="A2018" s="5" t="s">
        <v>1877</v>
      </c>
      <c r="B2018" s="6">
        <v>50.0</v>
      </c>
      <c r="C2018" s="7" t="s">
        <v>649</v>
      </c>
      <c r="E2018" s="8" t="str">
        <f>IFERROR(__xludf.DUMMYFUNCTION("SPLIT(A2018,""TX"")"),"Bolding, Chris
302 S. Rosemont Ave.
Dallas, ")</f>
        <v>Bolding, Chris
302 S. Rosemont Ave.
Dallas, </v>
      </c>
      <c r="F2018" s="8">
        <f>IFERROR(__xludf.DUMMYFUNCTION("""COMPUTED_VALUE"""),75208.0)</f>
        <v>75208</v>
      </c>
      <c r="I2018" s="8">
        <f t="shared" si="23"/>
        <v>75208</v>
      </c>
      <c r="J2018" s="9">
        <f>IFERROR(__xludf.DUMMYFUNCTION("SPLIT(I2018,""-"")"),75208.0)</f>
        <v>75208</v>
      </c>
    </row>
    <row r="2019">
      <c r="A2019" s="5" t="s">
        <v>1878</v>
      </c>
      <c r="B2019" s="6">
        <v>250.0</v>
      </c>
      <c r="C2019" s="7" t="s">
        <v>649</v>
      </c>
      <c r="E2019" s="8" t="str">
        <f>IFERROR(__xludf.DUMMYFUNCTION("SPLIT(A2019,""TX"")"),"Hunt, Angela
8811 Antrim Dr.
Dallas, ")</f>
        <v>Hunt, Angela
8811 Antrim Dr.
Dallas, </v>
      </c>
      <c r="F2019" s="8">
        <f>IFERROR(__xludf.DUMMYFUNCTION("""COMPUTED_VALUE"""),75218.0)</f>
        <v>75218</v>
      </c>
      <c r="I2019" s="8">
        <f t="shared" si="23"/>
        <v>75218</v>
      </c>
      <c r="J2019" s="9">
        <f>IFERROR(__xludf.DUMMYFUNCTION("SPLIT(I2019,""-"")"),75218.0)</f>
        <v>75218</v>
      </c>
    </row>
    <row r="2020">
      <c r="A2020" s="5" t="s">
        <v>1879</v>
      </c>
      <c r="B2020" s="6">
        <v>50.0</v>
      </c>
      <c r="C2020" s="7" t="s">
        <v>649</v>
      </c>
      <c r="E2020" s="8" t="str">
        <f>IFERROR(__xludf.DUMMYFUNCTION("SPLIT(A2020,""TX"")"),"Revi, Gay
908 N. Bishop Ave.
Dallas, ")</f>
        <v>Revi, Gay
908 N. Bishop Ave.
Dallas, </v>
      </c>
      <c r="F2020" s="8">
        <f>IFERROR(__xludf.DUMMYFUNCTION("""COMPUTED_VALUE"""),75208.0)</f>
        <v>75208</v>
      </c>
      <c r="I2020" s="8">
        <f t="shared" si="23"/>
        <v>75208</v>
      </c>
      <c r="J2020" s="9">
        <f>IFERROR(__xludf.DUMMYFUNCTION("SPLIT(I2020,""-"")"),75208.0)</f>
        <v>75208</v>
      </c>
    </row>
    <row r="2021">
      <c r="A2021" s="5" t="s">
        <v>723</v>
      </c>
      <c r="B2021" s="6">
        <v>100.0</v>
      </c>
      <c r="C2021" s="7" t="s">
        <v>649</v>
      </c>
      <c r="E2021" s="8" t="str">
        <f>IFERROR(__xludf.DUMMYFUNCTION("SPLIT(A2021,""TX"")"),"Melnick, Susan
2316 Kessler Pkwy
Dallas, ")</f>
        <v>Melnick, Susan
2316 Kessler Pkwy
Dallas, </v>
      </c>
      <c r="F2021" s="8">
        <f>IFERROR(__xludf.DUMMYFUNCTION("""COMPUTED_VALUE"""),75208.0)</f>
        <v>75208</v>
      </c>
      <c r="I2021" s="8">
        <f t="shared" si="23"/>
        <v>75208</v>
      </c>
      <c r="J2021" s="9">
        <f>IFERROR(__xludf.DUMMYFUNCTION("SPLIT(I2021,""-"")"),75208.0)</f>
        <v>75208</v>
      </c>
    </row>
    <row r="2022">
      <c r="A2022" s="5" t="s">
        <v>1880</v>
      </c>
      <c r="B2022" s="6">
        <v>200.0</v>
      </c>
      <c r="C2022" s="7" t="s">
        <v>649</v>
      </c>
      <c r="E2022" s="8" t="str">
        <f>IFERROR(__xludf.DUMMYFUNCTION("SPLIT(A2022,""TX"")"),"Shern, Whitney
8061 Walnut Hill Ln.
Dallas, ")</f>
        <v>Shern, Whitney
8061 Walnut Hill Ln.
Dallas, </v>
      </c>
      <c r="F2022" s="8">
        <f>IFERROR(__xludf.DUMMYFUNCTION("""COMPUTED_VALUE"""),75231.0)</f>
        <v>75231</v>
      </c>
      <c r="I2022" s="8">
        <f t="shared" si="23"/>
        <v>75231</v>
      </c>
      <c r="J2022" s="9">
        <f>IFERROR(__xludf.DUMMYFUNCTION("SPLIT(I2022,""-"")"),75231.0)</f>
        <v>75231</v>
      </c>
    </row>
    <row r="2023">
      <c r="A2023" s="5" t="s">
        <v>1881</v>
      </c>
      <c r="B2023" s="6">
        <v>250.0</v>
      </c>
      <c r="C2023" s="7" t="s">
        <v>649</v>
      </c>
      <c r="E2023" s="8" t="str">
        <f>IFERROR(__xludf.DUMMYFUNCTION("SPLIT(A2023,""TX"")"),"Schultz, Jaynie
11222 St. Michaels Dr.
Dallas, ")</f>
        <v>Schultz, Jaynie
11222 St. Michaels Dr.
Dallas, </v>
      </c>
      <c r="F2023" s="8">
        <f>IFERROR(__xludf.DUMMYFUNCTION("""COMPUTED_VALUE"""),75230.0)</f>
        <v>75230</v>
      </c>
      <c r="I2023" s="8">
        <f t="shared" si="23"/>
        <v>75230</v>
      </c>
      <c r="J2023" s="9">
        <f>IFERROR(__xludf.DUMMYFUNCTION("SPLIT(I2023,""-"")"),75230.0)</f>
        <v>75230</v>
      </c>
    </row>
    <row r="2024">
      <c r="A2024" s="5" t="s">
        <v>1882</v>
      </c>
      <c r="B2024" s="6">
        <v>1000.0</v>
      </c>
      <c r="C2024" s="7" t="s">
        <v>649</v>
      </c>
      <c r="E2024" s="8" t="str">
        <f>IFERROR(__xludf.DUMMYFUNCTION("SPLIT(A2024,""TX"")"),"Dingman, Carol
13223 Glad Acres Dr.
Dallas, ")</f>
        <v>Dingman, Carol
13223 Glad Acres Dr.
Dallas, </v>
      </c>
      <c r="F2024" s="8">
        <f>IFERROR(__xludf.DUMMYFUNCTION("""COMPUTED_VALUE"""),75234.0)</f>
        <v>75234</v>
      </c>
      <c r="I2024" s="8">
        <f t="shared" si="23"/>
        <v>75234</v>
      </c>
      <c r="J2024" s="9">
        <f>IFERROR(__xludf.DUMMYFUNCTION("SPLIT(I2024,""-"")"),75234.0)</f>
        <v>75234</v>
      </c>
    </row>
    <row r="2025">
      <c r="A2025" s="5" t="s">
        <v>1883</v>
      </c>
      <c r="B2025" s="6">
        <v>250.0</v>
      </c>
      <c r="C2025" s="7" t="s">
        <v>649</v>
      </c>
      <c r="E2025" s="8" t="str">
        <f>IFERROR(__xludf.DUMMYFUNCTION("SPLIT(A2025,""TX"")"),"Brooks, Brooks
2242 Monitor St.
Dallas, ")</f>
        <v>Brooks, Brooks
2242 Monitor St.
Dallas, </v>
      </c>
      <c r="F2025" s="8">
        <f>IFERROR(__xludf.DUMMYFUNCTION("""COMPUTED_VALUE"""),75207.0)</f>
        <v>75207</v>
      </c>
      <c r="I2025" s="8">
        <f t="shared" si="23"/>
        <v>75207</v>
      </c>
      <c r="J2025" s="9">
        <f>IFERROR(__xludf.DUMMYFUNCTION("SPLIT(I2025,""-"")"),75207.0)</f>
        <v>75207</v>
      </c>
    </row>
    <row r="2026">
      <c r="A2026" s="5" t="s">
        <v>1884</v>
      </c>
      <c r="B2026" s="6">
        <v>474.7</v>
      </c>
      <c r="C2026" s="7" t="s">
        <v>649</v>
      </c>
      <c r="E2026" s="8" t="str">
        <f>IFERROR(__xludf.DUMMYFUNCTION("SPLIT(A2026,""TX"")"),"Burns, Joel
2420 S. Adams St.
Ft. Worth, ")</f>
        <v>Burns, Joel
2420 S. Adams St.
Ft. Worth, </v>
      </c>
      <c r="F2026" s="8">
        <f>IFERROR(__xludf.DUMMYFUNCTION("""COMPUTED_VALUE"""),76110.0)</f>
        <v>76110</v>
      </c>
      <c r="I2026" s="8">
        <f t="shared" si="23"/>
        <v>76110</v>
      </c>
      <c r="J2026" s="9">
        <f>IFERROR(__xludf.DUMMYFUNCTION("SPLIT(I2026,""-"")"),76110.0)</f>
        <v>76110</v>
      </c>
    </row>
    <row r="2027">
      <c r="A2027" s="5" t="s">
        <v>681</v>
      </c>
      <c r="B2027" s="6">
        <v>100.0</v>
      </c>
      <c r="C2027" s="7" t="s">
        <v>649</v>
      </c>
      <c r="E2027" s="8" t="str">
        <f>IFERROR(__xludf.DUMMYFUNCTION("SPLIT(A2027,""TX"")"),"Forsythe Lill, Veletta
622 Blair Blvd.
Dallas, ")</f>
        <v>Forsythe Lill, Veletta
622 Blair Blvd.
Dallas, </v>
      </c>
      <c r="F2027" s="8">
        <f>IFERROR(__xludf.DUMMYFUNCTION("""COMPUTED_VALUE"""),75223.0)</f>
        <v>75223</v>
      </c>
      <c r="I2027" s="8">
        <f t="shared" si="23"/>
        <v>75223</v>
      </c>
      <c r="J2027" s="9">
        <f>IFERROR(__xludf.DUMMYFUNCTION("SPLIT(I2027,""-"")"),75223.0)</f>
        <v>75223</v>
      </c>
    </row>
    <row r="2028">
      <c r="A2028" s="5" t="s">
        <v>1885</v>
      </c>
      <c r="B2028" s="6">
        <v>949.7</v>
      </c>
      <c r="C2028" s="7" t="s">
        <v>649</v>
      </c>
      <c r="E2028" s="8" t="str">
        <f>IFERROR(__xludf.DUMMYFUNCTION("SPLIT(A2028,""TX"")"),"Raines, Jeremy
2313 Ashland Ave.
Fort Worth, ")</f>
        <v>Raines, Jeremy
2313 Ashland Ave.
Fort Worth, </v>
      </c>
      <c r="F2028" s="8">
        <f>IFERROR(__xludf.DUMMYFUNCTION("""COMPUTED_VALUE"""),76107.0)</f>
        <v>76107</v>
      </c>
      <c r="I2028" s="8">
        <f t="shared" si="23"/>
        <v>76107</v>
      </c>
      <c r="J2028" s="9">
        <f>IFERROR(__xludf.DUMMYFUNCTION("SPLIT(I2028,""-"")"),76107.0)</f>
        <v>76107</v>
      </c>
    </row>
    <row r="2029">
      <c r="A2029" s="5" t="s">
        <v>751</v>
      </c>
      <c r="B2029" s="6">
        <v>250.0</v>
      </c>
      <c r="C2029" s="7" t="s">
        <v>649</v>
      </c>
      <c r="E2029" s="8" t="str">
        <f>IFERROR(__xludf.DUMMYFUNCTION("SPLIT(A2029,""TX"")"),"Urby, Joe
1364 Romano Place
Dallas, ")</f>
        <v>Urby, Joe
1364 Romano Place
Dallas, </v>
      </c>
      <c r="F2029" s="8">
        <f>IFERROR(__xludf.DUMMYFUNCTION("""COMPUTED_VALUE"""),75215.0)</f>
        <v>75215</v>
      </c>
      <c r="I2029" s="8">
        <f t="shared" si="23"/>
        <v>75215</v>
      </c>
      <c r="J2029" s="9">
        <f>IFERROR(__xludf.DUMMYFUNCTION("SPLIT(I2029,""-"")"),75215.0)</f>
        <v>75215</v>
      </c>
    </row>
    <row r="2030">
      <c r="A2030" s="5" t="s">
        <v>1886</v>
      </c>
      <c r="B2030" s="6">
        <v>500.0</v>
      </c>
      <c r="C2030" s="7" t="s">
        <v>649</v>
      </c>
      <c r="E2030" s="8" t="str">
        <f>IFERROR(__xludf.DUMMYFUNCTION("SPLIT(A2030,""TX"")"),"Bradshaw, Stefani
2929 Wycliff Ave.
Dallas, ")</f>
        <v>Bradshaw, Stefani
2929 Wycliff Ave.
Dallas, </v>
      </c>
      <c r="F2030" s="8">
        <f>IFERROR(__xludf.DUMMYFUNCTION("""COMPUTED_VALUE"""),75219.0)</f>
        <v>75219</v>
      </c>
      <c r="I2030" s="8">
        <f t="shared" si="23"/>
        <v>75219</v>
      </c>
      <c r="J2030" s="9">
        <f>IFERROR(__xludf.DUMMYFUNCTION("SPLIT(I2030,""-"")"),75219.0)</f>
        <v>75219</v>
      </c>
    </row>
    <row r="2031">
      <c r="A2031" s="5" t="s">
        <v>1887</v>
      </c>
      <c r="B2031" s="6">
        <v>250.0</v>
      </c>
      <c r="C2031" s="7" t="s">
        <v>649</v>
      </c>
      <c r="E2031" s="8" t="str">
        <f>IFERROR(__xludf.DUMMYFUNCTION("SPLIT(A2031,""TX"")"),"Hill, ")</f>
        <v>Hill, </v>
      </c>
      <c r="F2031" s="8" t="str">
        <f>IFERROR(__xludf.DUMMYFUNCTION("""COMPUTED_VALUE"""),"odd
604 Ft. Worth Ave.
Dallas, ")</f>
        <v>odd
604 Ft. Worth Ave.
Dallas, </v>
      </c>
      <c r="G2031" s="8">
        <f>IFERROR(__xludf.DUMMYFUNCTION("""COMPUTED_VALUE"""),75208.0)</f>
        <v>75208</v>
      </c>
      <c r="I2031" s="8">
        <f t="shared" si="23"/>
        <v>75208</v>
      </c>
      <c r="J2031" s="9">
        <f>IFERROR(__xludf.DUMMYFUNCTION("SPLIT(I2031,""-"")"),75208.0)</f>
        <v>75208</v>
      </c>
    </row>
    <row r="2032">
      <c r="A2032" s="5" t="s">
        <v>1888</v>
      </c>
      <c r="B2032" s="6">
        <v>250.0</v>
      </c>
      <c r="C2032" s="7" t="s">
        <v>649</v>
      </c>
      <c r="E2032" s="8" t="str">
        <f>IFERROR(__xludf.DUMMYFUNCTION("SPLIT(A2032,""TX"")"),"Hill, ")</f>
        <v>Hill, </v>
      </c>
      <c r="F2032" s="8" t="str">
        <f>IFERROR(__xludf.DUMMYFUNCTION("""COMPUTED_VALUE"""),"odd
PO Box 192305
Dallas, ")</f>
        <v>odd
PO Box 192305
Dallas, </v>
      </c>
      <c r="G2032" s="8">
        <f>IFERROR(__xludf.DUMMYFUNCTION("""COMPUTED_VALUE"""),75219.0)</f>
        <v>75219</v>
      </c>
      <c r="I2032" s="8">
        <f t="shared" si="23"/>
        <v>75219</v>
      </c>
      <c r="J2032" s="9">
        <f>IFERROR(__xludf.DUMMYFUNCTION("SPLIT(I2032,""-"")"),75219.0)</f>
        <v>75219</v>
      </c>
    </row>
    <row r="2033">
      <c r="A2033" s="5" t="s">
        <v>1889</v>
      </c>
      <c r="B2033" s="6">
        <v>500.0</v>
      </c>
      <c r="C2033" s="7" t="s">
        <v>649</v>
      </c>
      <c r="E2033" s="8" t="str">
        <f>IFERROR(__xludf.DUMMYFUNCTION("SPLIT(A2033,""TX"")"),"Gilbreath, Jake
2102 Sharon Ln.
Austin, ")</f>
        <v>Gilbreath, Jake
2102 Sharon Ln.
Austin, </v>
      </c>
      <c r="F2033" s="8">
        <f>IFERROR(__xludf.DUMMYFUNCTION("""COMPUTED_VALUE"""),78703.0)</f>
        <v>78703</v>
      </c>
      <c r="I2033" s="8">
        <f t="shared" si="23"/>
        <v>78703</v>
      </c>
      <c r="J2033" s="9">
        <f>IFERROR(__xludf.DUMMYFUNCTION("SPLIT(I2033,""-"")"),78703.0)</f>
        <v>78703</v>
      </c>
    </row>
    <row r="2034">
      <c r="A2034" s="5" t="s">
        <v>1890</v>
      </c>
      <c r="B2034" s="6">
        <v>150.0</v>
      </c>
      <c r="C2034" s="7" t="s">
        <v>649</v>
      </c>
      <c r="E2034" s="8" t="str">
        <f>IFERROR(__xludf.DUMMYFUNCTION("SPLIT(A2034,""TX"")"),"Haass, Shea
3699 McKinney Ave.
Dallas, ")</f>
        <v>Haass, Shea
3699 McKinney Ave.
Dallas, </v>
      </c>
      <c r="F2034" s="8">
        <f>IFERROR(__xludf.DUMMYFUNCTION("""COMPUTED_VALUE"""),75204.0)</f>
        <v>75204</v>
      </c>
      <c r="I2034" s="8">
        <f t="shared" si="23"/>
        <v>75204</v>
      </c>
      <c r="J2034" s="9">
        <f>IFERROR(__xludf.DUMMYFUNCTION("SPLIT(I2034,""-"")"),75204.0)</f>
        <v>75204</v>
      </c>
    </row>
    <row r="2035">
      <c r="A2035" s="5" t="s">
        <v>1891</v>
      </c>
      <c r="B2035" s="6">
        <v>1000.0</v>
      </c>
      <c r="C2035" s="7" t="s">
        <v>649</v>
      </c>
      <c r="E2035" s="8" t="str">
        <f>IFERROR(__xludf.DUMMYFUNCTION("SPLIT(A2035,""TX"")"),"Hargraves, Jennifer
4201 Spring Valley Rd.
Dallas, ")</f>
        <v>Hargraves, Jennifer
4201 Spring Valley Rd.
Dallas, </v>
      </c>
      <c r="F2035" s="8">
        <f>IFERROR(__xludf.DUMMYFUNCTION("""COMPUTED_VALUE"""),75244.0)</f>
        <v>75244</v>
      </c>
      <c r="I2035" s="8">
        <f t="shared" si="23"/>
        <v>75244</v>
      </c>
      <c r="J2035" s="9">
        <f>IFERROR(__xludf.DUMMYFUNCTION("SPLIT(I2035,""-"")"),75244.0)</f>
        <v>75244</v>
      </c>
    </row>
    <row r="2036">
      <c r="A2036" s="5" t="s">
        <v>1892</v>
      </c>
      <c r="B2036" s="6">
        <v>1000.0</v>
      </c>
      <c r="C2036" s="7" t="s">
        <v>649</v>
      </c>
      <c r="E2036" s="8" t="str">
        <f>IFERROR(__xludf.DUMMYFUNCTION("SPLIT(A2036,""TX"")"),"Woodruff, Grant
8315 Cabrera Dr.
Dallas, ")</f>
        <v>Woodruff, Grant
8315 Cabrera Dr.
Dallas, </v>
      </c>
      <c r="F2036" s="8">
        <f>IFERROR(__xludf.DUMMYFUNCTION("""COMPUTED_VALUE"""),75228.0)</f>
        <v>75228</v>
      </c>
      <c r="I2036" s="8">
        <f t="shared" si="23"/>
        <v>75228</v>
      </c>
      <c r="J2036" s="9">
        <f>IFERROR(__xludf.DUMMYFUNCTION("SPLIT(I2036,""-"")"),75228.0)</f>
        <v>75228</v>
      </c>
    </row>
    <row r="2037">
      <c r="A2037" s="5" t="s">
        <v>1893</v>
      </c>
      <c r="B2037" s="6">
        <v>250.0</v>
      </c>
      <c r="C2037" s="7" t="s">
        <v>649</v>
      </c>
      <c r="E2037" s="8" t="str">
        <f>IFERROR(__xludf.DUMMYFUNCTION("SPLIT(A2037,""TX"")"),"Veale, Michael
1717 Arts Plaza
Dallas, ")</f>
        <v>Veale, Michael
1717 Arts Plaza
Dallas, </v>
      </c>
      <c r="F2037" s="8">
        <f>IFERROR(__xludf.DUMMYFUNCTION("""COMPUTED_VALUE"""),75201.0)</f>
        <v>75201</v>
      </c>
      <c r="I2037" s="8">
        <f t="shared" si="23"/>
        <v>75201</v>
      </c>
      <c r="J2037" s="9">
        <f>IFERROR(__xludf.DUMMYFUNCTION("SPLIT(I2037,""-"")"),75201.0)</f>
        <v>75201</v>
      </c>
    </row>
    <row r="2038">
      <c r="A2038" s="5" t="s">
        <v>1894</v>
      </c>
      <c r="B2038" s="6">
        <v>500.0</v>
      </c>
      <c r="C2038" s="7" t="s">
        <v>649</v>
      </c>
      <c r="E2038" s="8" t="str">
        <f>IFERROR(__xludf.DUMMYFUNCTION("SPLIT(A2038,""TX"")"),"Dalheim, Cullen
127 Pittsburgh St.
Dallas, ")</f>
        <v>Dalheim, Cullen
127 Pittsburgh St.
Dallas, </v>
      </c>
      <c r="F2038" s="8">
        <f>IFERROR(__xludf.DUMMYFUNCTION("""COMPUTED_VALUE"""),75207.0)</f>
        <v>75207</v>
      </c>
      <c r="I2038" s="8">
        <f t="shared" si="23"/>
        <v>75207</v>
      </c>
      <c r="J2038" s="9">
        <f>IFERROR(__xludf.DUMMYFUNCTION("SPLIT(I2038,""-"")"),75207.0)</f>
        <v>75207</v>
      </c>
    </row>
    <row r="2039">
      <c r="A2039" s="5" t="s">
        <v>1895</v>
      </c>
      <c r="B2039" s="6">
        <v>100.0</v>
      </c>
      <c r="C2039" s="7" t="s">
        <v>649</v>
      </c>
      <c r="E2039" s="8" t="str">
        <f>IFERROR(__xludf.DUMMYFUNCTION("SPLIT(A2039,""TX"")"),"Edwards, Dianne
223 S. Marlborough Ave.
Dallas, ")</f>
        <v>Edwards, Dianne
223 S. Marlborough Ave.
Dallas, </v>
      </c>
      <c r="F2039" s="8">
        <f>IFERROR(__xludf.DUMMYFUNCTION("""COMPUTED_VALUE"""),75208.0)</f>
        <v>75208</v>
      </c>
      <c r="I2039" s="8">
        <f t="shared" si="23"/>
        <v>75208</v>
      </c>
      <c r="J2039" s="9">
        <f>IFERROR(__xludf.DUMMYFUNCTION("SPLIT(I2039,""-"")"),75208.0)</f>
        <v>75208</v>
      </c>
    </row>
    <row r="2040">
      <c r="A2040" s="5" t="s">
        <v>1896</v>
      </c>
      <c r="B2040" s="6">
        <v>1000.0</v>
      </c>
      <c r="C2040" s="7" t="s">
        <v>649</v>
      </c>
      <c r="E2040" s="8" t="str">
        <f>IFERROR(__xludf.DUMMYFUNCTION("SPLIT(A2040,""TX"")"),"Smith, Daniel
1402 Exeter Ct.
Southlake, ")</f>
        <v>Smith, Daniel
1402 Exeter Ct.
Southlake, </v>
      </c>
      <c r="F2040" s="8">
        <f>IFERROR(__xludf.DUMMYFUNCTION("""COMPUTED_VALUE"""),76092.0)</f>
        <v>76092</v>
      </c>
      <c r="I2040" s="8">
        <f t="shared" si="23"/>
        <v>76092</v>
      </c>
      <c r="J2040" s="9">
        <f>IFERROR(__xludf.DUMMYFUNCTION("SPLIT(I2040,""-"")"),76092.0)</f>
        <v>76092</v>
      </c>
    </row>
    <row r="2041">
      <c r="A2041" s="5" t="s">
        <v>1897</v>
      </c>
      <c r="B2041" s="6">
        <v>1000.0</v>
      </c>
      <c r="C2041" s="7" t="s">
        <v>649</v>
      </c>
      <c r="E2041" s="8" t="str">
        <f>IFERROR(__xludf.DUMMYFUNCTION("SPLIT(A2041,""TX"")"),"Clark, Michael
6750 Hillcrest Plaza Dr.
Dallas, ")</f>
        <v>Clark, Michael
6750 Hillcrest Plaza Dr.
Dallas, </v>
      </c>
      <c r="F2041" s="8">
        <f>IFERROR(__xludf.DUMMYFUNCTION("""COMPUTED_VALUE"""),75230.0)</f>
        <v>75230</v>
      </c>
      <c r="I2041" s="8">
        <f t="shared" si="23"/>
        <v>75230</v>
      </c>
      <c r="J2041" s="9">
        <f>IFERROR(__xludf.DUMMYFUNCTION("SPLIT(I2041,""-"")"),75230.0)</f>
        <v>75230</v>
      </c>
    </row>
    <row r="2042">
      <c r="A2042" s="5" t="s">
        <v>1510</v>
      </c>
      <c r="B2042" s="6">
        <v>500.0</v>
      </c>
      <c r="C2042" s="7" t="s">
        <v>649</v>
      </c>
      <c r="E2042" s="8" t="str">
        <f>IFERROR(__xludf.DUMMYFUNCTION("SPLIT(A2042,""TX"")"),"Ginsburg, Harold
2610 Fairmount St.
Dallas, ")</f>
        <v>Ginsburg, Harold
2610 Fairmount St.
Dallas, </v>
      </c>
      <c r="F2042" s="8">
        <f>IFERROR(__xludf.DUMMYFUNCTION("""COMPUTED_VALUE"""),75201.0)</f>
        <v>75201</v>
      </c>
      <c r="I2042" s="8">
        <f t="shared" si="23"/>
        <v>75201</v>
      </c>
      <c r="J2042" s="9">
        <f>IFERROR(__xludf.DUMMYFUNCTION("SPLIT(I2042,""-"")"),75201.0)</f>
        <v>75201</v>
      </c>
    </row>
    <row r="2043">
      <c r="A2043" s="5" t="s">
        <v>725</v>
      </c>
      <c r="B2043" s="6">
        <v>100.0</v>
      </c>
      <c r="C2043" s="7" t="s">
        <v>649</v>
      </c>
      <c r="E2043" s="8" t="str">
        <f>IFERROR(__xludf.DUMMYFUNCTION("SPLIT(A2043,""TX"")"),"Mohr, Isabella
2736 Mateur St.
Dallas, ")</f>
        <v>Mohr, Isabella
2736 Mateur St.
Dallas, </v>
      </c>
      <c r="F2043" s="8">
        <f>IFERROR(__xludf.DUMMYFUNCTION("""COMPUTED_VALUE"""),75211.0)</f>
        <v>75211</v>
      </c>
      <c r="I2043" s="8">
        <f t="shared" si="23"/>
        <v>75211</v>
      </c>
      <c r="J2043" s="9">
        <f>IFERROR(__xludf.DUMMYFUNCTION("SPLIT(I2043,""-"")"),75211.0)</f>
        <v>75211</v>
      </c>
    </row>
    <row r="2044">
      <c r="A2044" s="5" t="s">
        <v>1898</v>
      </c>
      <c r="B2044" s="6">
        <v>1000.0</v>
      </c>
      <c r="C2044" s="7" t="s">
        <v>649</v>
      </c>
      <c r="E2044" s="8" t="str">
        <f>IFERROR(__xludf.DUMMYFUNCTION("SPLIT(A2044,""TX"")"),"Spence, David
408 W. 8th St.
Dallas, ")</f>
        <v>Spence, David
408 W. 8th St.
Dallas, </v>
      </c>
      <c r="F2044" s="8">
        <f>IFERROR(__xludf.DUMMYFUNCTION("""COMPUTED_VALUE"""),75208.0)</f>
        <v>75208</v>
      </c>
      <c r="I2044" s="8">
        <f t="shared" si="23"/>
        <v>75208</v>
      </c>
      <c r="J2044" s="9">
        <f>IFERROR(__xludf.DUMMYFUNCTION("SPLIT(I2044,""-"")"),75208.0)</f>
        <v>75208</v>
      </c>
    </row>
    <row r="2045">
      <c r="A2045" s="5" t="s">
        <v>1899</v>
      </c>
      <c r="B2045" s="6">
        <v>250.0</v>
      </c>
      <c r="C2045" s="7" t="s">
        <v>649</v>
      </c>
      <c r="E2045" s="8" t="str">
        <f>IFERROR(__xludf.DUMMYFUNCTION("SPLIT(A2045,""TX"")"),"Chase, Scott
1700 Pacific Ave.
Dallas, ")</f>
        <v>Chase, Scott
1700 Pacific Ave.
Dallas, </v>
      </c>
      <c r="F2045" s="8">
        <f>IFERROR(__xludf.DUMMYFUNCTION("""COMPUTED_VALUE"""),75201.0)</f>
        <v>75201</v>
      </c>
      <c r="I2045" s="8">
        <f t="shared" si="23"/>
        <v>75201</v>
      </c>
      <c r="J2045" s="9">
        <f>IFERROR(__xludf.DUMMYFUNCTION("SPLIT(I2045,""-"")"),75201.0)</f>
        <v>75201</v>
      </c>
    </row>
    <row r="2046">
      <c r="A2046" s="5" t="s">
        <v>1900</v>
      </c>
      <c r="B2046" s="6">
        <v>500.0</v>
      </c>
      <c r="C2046" s="7" t="s">
        <v>649</v>
      </c>
      <c r="E2046" s="8" t="str">
        <f>IFERROR(__xludf.DUMMYFUNCTION("SPLIT(A2046,""TX"")"),"Haley, Clinton
6311 Club Lake Ct.
Dallas, ")</f>
        <v>Haley, Clinton
6311 Club Lake Ct.
Dallas, </v>
      </c>
      <c r="F2046" s="8">
        <f>IFERROR(__xludf.DUMMYFUNCTION("""COMPUTED_VALUE"""),75214.0)</f>
        <v>75214</v>
      </c>
      <c r="I2046" s="8">
        <f t="shared" si="23"/>
        <v>75214</v>
      </c>
      <c r="J2046" s="9">
        <f>IFERROR(__xludf.DUMMYFUNCTION("SPLIT(I2046,""-"")"),75214.0)</f>
        <v>75214</v>
      </c>
    </row>
    <row r="2047">
      <c r="A2047" s="5" t="s">
        <v>1901</v>
      </c>
      <c r="B2047" s="6">
        <v>250.0</v>
      </c>
      <c r="C2047" s="7" t="s">
        <v>649</v>
      </c>
      <c r="E2047" s="8" t="str">
        <f>IFERROR(__xludf.DUMMYFUNCTION("SPLIT(A2047,""TX"")"),"Andres, Marc
2800 N. Henderson Ave.
Dallas, ")</f>
        <v>Andres, Marc
2800 N. Henderson Ave.
Dallas, </v>
      </c>
      <c r="F2047" s="8">
        <f>IFERROR(__xludf.DUMMYFUNCTION("""COMPUTED_VALUE"""),75206.0)</f>
        <v>75206</v>
      </c>
      <c r="I2047" s="8">
        <f t="shared" si="23"/>
        <v>75206</v>
      </c>
      <c r="J2047" s="9">
        <f>IFERROR(__xludf.DUMMYFUNCTION("SPLIT(I2047,""-"")"),75206.0)</f>
        <v>75206</v>
      </c>
    </row>
    <row r="2048">
      <c r="A2048" s="5" t="s">
        <v>1902</v>
      </c>
      <c r="B2048" s="6">
        <v>100.0</v>
      </c>
      <c r="C2048" s="7" t="s">
        <v>649</v>
      </c>
      <c r="E2048" s="8" t="str">
        <f>IFERROR(__xludf.DUMMYFUNCTION("SPLIT(A2048,""TX"")"),"Aukeman, Cheryl
1915 W. Colorado Blvd
Dallas, ")</f>
        <v>Aukeman, Cheryl
1915 W. Colorado Blvd
Dallas, </v>
      </c>
      <c r="F2048" s="8">
        <f>IFERROR(__xludf.DUMMYFUNCTION("""COMPUTED_VALUE"""),75208.0)</f>
        <v>75208</v>
      </c>
      <c r="I2048" s="8">
        <f t="shared" si="23"/>
        <v>75208</v>
      </c>
      <c r="J2048" s="9">
        <f>IFERROR(__xludf.DUMMYFUNCTION("SPLIT(I2048,""-"")"),75208.0)</f>
        <v>75208</v>
      </c>
    </row>
    <row r="2049">
      <c r="A2049" s="5" t="s">
        <v>1470</v>
      </c>
      <c r="B2049" s="6">
        <v>250.0</v>
      </c>
      <c r="C2049" s="7" t="s">
        <v>649</v>
      </c>
      <c r="E2049" s="8" t="str">
        <f>IFERROR(__xludf.DUMMYFUNCTION("SPLIT(A2049,""TX"")"),"Connatser, Becky
815 W. Greenbriar Ln.
Dallas, ")</f>
        <v>Connatser, Becky
815 W. Greenbriar Ln.
Dallas, </v>
      </c>
      <c r="F2049" s="8">
        <f>IFERROR(__xludf.DUMMYFUNCTION("""COMPUTED_VALUE"""),75208.0)</f>
        <v>75208</v>
      </c>
      <c r="I2049" s="8">
        <f t="shared" si="23"/>
        <v>75208</v>
      </c>
      <c r="J2049" s="9">
        <f>IFERROR(__xludf.DUMMYFUNCTION("SPLIT(I2049,""-"")"),75208.0)</f>
        <v>75208</v>
      </c>
    </row>
    <row r="2050">
      <c r="A2050" s="5" t="s">
        <v>1903</v>
      </c>
      <c r="B2050" s="6">
        <v>250.0</v>
      </c>
      <c r="C2050" s="7" t="s">
        <v>649</v>
      </c>
      <c r="E2050" s="8" t="str">
        <f>IFERROR(__xludf.DUMMYFUNCTION("SPLIT(A2050,""TX"")"),"Evans, Nate
3572 Boone Park Ave.
Jacksonville, FL 32205")</f>
        <v>Evans, Nate
3572 Boone Park Ave.
Jacksonville, FL 32205</v>
      </c>
      <c r="I2050" s="8" t="str">
        <f t="shared" si="23"/>
        <v/>
      </c>
      <c r="J2050" s="9" t="str">
        <f>IFERROR(__xludf.DUMMYFUNCTION("SPLIT(I2050,""-"")"),"#VALUE!")</f>
        <v>#VALUE!</v>
      </c>
    </row>
    <row r="2051">
      <c r="A2051" s="5" t="s">
        <v>1904</v>
      </c>
      <c r="B2051" s="6">
        <v>1000.0</v>
      </c>
      <c r="C2051" s="7" t="s">
        <v>649</v>
      </c>
      <c r="E2051" s="8" t="str">
        <f>IFERROR(__xludf.DUMMYFUNCTION("SPLIT(A2051,""TX"")"),"Garza, Rick
101 S. Jennings Ave.
Ft. Worth, ")</f>
        <v>Garza, Rick
101 S. Jennings Ave.
Ft. Worth, </v>
      </c>
      <c r="F2051" s="8">
        <f>IFERROR(__xludf.DUMMYFUNCTION("""COMPUTED_VALUE"""),76104.0)</f>
        <v>76104</v>
      </c>
      <c r="I2051" s="8">
        <f t="shared" si="23"/>
        <v>76104</v>
      </c>
      <c r="J2051" s="9">
        <f>IFERROR(__xludf.DUMMYFUNCTION("SPLIT(I2051,""-"")"),76104.0)</f>
        <v>76104</v>
      </c>
    </row>
    <row r="2052">
      <c r="A2052" s="5" t="s">
        <v>1905</v>
      </c>
      <c r="B2052" s="6">
        <v>100.0</v>
      </c>
      <c r="C2052" s="7" t="s">
        <v>649</v>
      </c>
      <c r="E2052" s="8" t="str">
        <f>IFERROR(__xludf.DUMMYFUNCTION("SPLIT(A2052,""TX"")"),"Park, Jonas
4333 Belmont Ave.
Dallas, ")</f>
        <v>Park, Jonas
4333 Belmont Ave.
Dallas, </v>
      </c>
      <c r="F2052" s="8">
        <f>IFERROR(__xludf.DUMMYFUNCTION("""COMPUTED_VALUE"""),75204.0)</f>
        <v>75204</v>
      </c>
      <c r="I2052" s="8">
        <f t="shared" si="23"/>
        <v>75204</v>
      </c>
      <c r="J2052" s="9">
        <f>IFERROR(__xludf.DUMMYFUNCTION("SPLIT(I2052,""-"")"),75204.0)</f>
        <v>75204</v>
      </c>
    </row>
    <row r="2053">
      <c r="A2053" s="5" t="s">
        <v>734</v>
      </c>
      <c r="B2053" s="6">
        <v>250.0</v>
      </c>
      <c r="C2053" s="7" t="s">
        <v>649</v>
      </c>
      <c r="E2053" s="8" t="str">
        <f>IFERROR(__xludf.DUMMYFUNCTION("SPLIT(A2053,""TX"")"),"Preziosi, David
2229 Lawndale Dr.
Dallas, ")</f>
        <v>Preziosi, David
2229 Lawndale Dr.
Dallas, </v>
      </c>
      <c r="F2053" s="8">
        <f>IFERROR(__xludf.DUMMYFUNCTION("""COMPUTED_VALUE"""),75211.0)</f>
        <v>75211</v>
      </c>
      <c r="I2053" s="8">
        <f t="shared" si="23"/>
        <v>75211</v>
      </c>
      <c r="J2053" s="9">
        <f>IFERROR(__xludf.DUMMYFUNCTION("SPLIT(I2053,""-"")"),75211.0)</f>
        <v>75211</v>
      </c>
    </row>
    <row r="2054">
      <c r="A2054" s="5" t="s">
        <v>1353</v>
      </c>
      <c r="B2054" s="6">
        <v>1000.0</v>
      </c>
      <c r="C2054" s="7" t="s">
        <v>649</v>
      </c>
      <c r="E2054" s="8" t="str">
        <f>IFERROR(__xludf.DUMMYFUNCTION("SPLIT(A2054,""TX"")"),"Gruber, Mike
1918 Olive St.
Dallas, ")</f>
        <v>Gruber, Mike
1918 Olive St.
Dallas, </v>
      </c>
      <c r="F2054" s="8">
        <f>IFERROR(__xludf.DUMMYFUNCTION("""COMPUTED_VALUE"""),75201.0)</f>
        <v>75201</v>
      </c>
      <c r="I2054" s="8">
        <f t="shared" si="23"/>
        <v>75201</v>
      </c>
      <c r="J2054" s="9">
        <f>IFERROR(__xludf.DUMMYFUNCTION("SPLIT(I2054,""-"")"),75201.0)</f>
        <v>75201</v>
      </c>
    </row>
    <row r="2055">
      <c r="A2055" s="5" t="s">
        <v>1906</v>
      </c>
      <c r="B2055" s="6">
        <v>949.7</v>
      </c>
      <c r="C2055" s="7" t="s">
        <v>649</v>
      </c>
      <c r="E2055" s="8" t="str">
        <f>IFERROR(__xludf.DUMMYFUNCTION("SPLIT(A2055,""TX"")"),"Billingsley, Lucy
1722 Routh St.
Dallas, ")</f>
        <v>Billingsley, Lucy
1722 Routh St.
Dallas, </v>
      </c>
      <c r="F2055" s="8">
        <f>IFERROR(__xludf.DUMMYFUNCTION("""COMPUTED_VALUE"""),75201.0)</f>
        <v>75201</v>
      </c>
      <c r="I2055" s="8">
        <f t="shared" si="23"/>
        <v>75201</v>
      </c>
      <c r="J2055" s="9">
        <f>IFERROR(__xludf.DUMMYFUNCTION("SPLIT(I2055,""-"")"),75201.0)</f>
        <v>75201</v>
      </c>
    </row>
    <row r="2056">
      <c r="A2056" s="5" t="s">
        <v>1907</v>
      </c>
      <c r="B2056" s="6">
        <v>474.7</v>
      </c>
      <c r="C2056" s="7" t="s">
        <v>649</v>
      </c>
      <c r="E2056" s="8" t="str">
        <f>IFERROR(__xludf.DUMMYFUNCTION("SPLIT(A2056,""TX"")"),"Peña, Lucilo
1717 Arts Plaza
Dallas, ")</f>
        <v>Peña, Lucilo
1717 Arts Plaza
Dallas, </v>
      </c>
      <c r="F2056" s="8">
        <f>IFERROR(__xludf.DUMMYFUNCTION("""COMPUTED_VALUE"""),75201.0)</f>
        <v>75201</v>
      </c>
      <c r="I2056" s="8">
        <f t="shared" si="23"/>
        <v>75201</v>
      </c>
      <c r="J2056" s="9">
        <f>IFERROR(__xludf.DUMMYFUNCTION("SPLIT(I2056,""-"")"),75201.0)</f>
        <v>75201</v>
      </c>
    </row>
    <row r="2057">
      <c r="A2057" s="5" t="s">
        <v>1908</v>
      </c>
      <c r="B2057" s="6">
        <v>250.0</v>
      </c>
      <c r="C2057" s="7" t="s">
        <v>649</v>
      </c>
      <c r="E2057" s="8" t="str">
        <f>IFERROR(__xludf.DUMMYFUNCTION("SPLIT(A2057,""TX"")"),"Schorman, Elizabeth
1219 N. Winnetka Ave.
Dallas, ")</f>
        <v>Schorman, Elizabeth
1219 N. Winnetka Ave.
Dallas, </v>
      </c>
      <c r="F2057" s="8">
        <f>IFERROR(__xludf.DUMMYFUNCTION("""COMPUTED_VALUE"""),75208.0)</f>
        <v>75208</v>
      </c>
      <c r="I2057" s="8">
        <f t="shared" si="23"/>
        <v>75208</v>
      </c>
      <c r="J2057" s="9">
        <f>IFERROR(__xludf.DUMMYFUNCTION("SPLIT(I2057,""-"")"),75208.0)</f>
        <v>75208</v>
      </c>
    </row>
    <row r="2058">
      <c r="A2058" s="5" t="s">
        <v>1909</v>
      </c>
      <c r="B2058" s="6">
        <v>25.0</v>
      </c>
      <c r="C2058" s="7" t="s">
        <v>649</v>
      </c>
      <c r="E2058" s="8" t="str">
        <f>IFERROR(__xludf.DUMMYFUNCTION("SPLIT(A2058,""TX"")"),"aylor, Doug
1147 N. Winnetka Ave.
Dallas, ")</f>
        <v>aylor, Doug
1147 N. Winnetka Ave.
Dallas, </v>
      </c>
      <c r="F2058" s="8">
        <f>IFERROR(__xludf.DUMMYFUNCTION("""COMPUTED_VALUE"""),75208.0)</f>
        <v>75208</v>
      </c>
      <c r="I2058" s="8">
        <f t="shared" si="23"/>
        <v>75208</v>
      </c>
      <c r="J2058" s="9">
        <f>IFERROR(__xludf.DUMMYFUNCTION("SPLIT(I2058,""-"")"),75208.0)</f>
        <v>75208</v>
      </c>
    </row>
    <row r="2059">
      <c r="A2059" s="5" t="s">
        <v>1910</v>
      </c>
      <c r="B2059" s="6">
        <v>100.0</v>
      </c>
      <c r="C2059" s="7" t="s">
        <v>649</v>
      </c>
      <c r="E2059" s="8" t="str">
        <f>IFERROR(__xludf.DUMMYFUNCTION("SPLIT(A2059,""TX"")"),"Alvarado, Barbara
318 S. Waverly Dr.
Dallas, ")</f>
        <v>Alvarado, Barbara
318 S. Waverly Dr.
Dallas, </v>
      </c>
      <c r="F2059" s="8">
        <f>IFERROR(__xludf.DUMMYFUNCTION("""COMPUTED_VALUE"""),75208.0)</f>
        <v>75208</v>
      </c>
      <c r="I2059" s="8">
        <f t="shared" si="23"/>
        <v>75208</v>
      </c>
      <c r="J2059" s="9">
        <f>IFERROR(__xludf.DUMMYFUNCTION("SPLIT(I2059,""-"")"),75208.0)</f>
        <v>75208</v>
      </c>
    </row>
    <row r="2060">
      <c r="A2060" s="5" t="s">
        <v>1506</v>
      </c>
      <c r="B2060" s="6">
        <v>1000.0</v>
      </c>
      <c r="C2060" s="7" t="s">
        <v>649</v>
      </c>
      <c r="E2060" s="8" t="str">
        <f>IFERROR(__xludf.DUMMYFUNCTION("SPLIT(A2060,""TX"")"),"Headington, ")</f>
        <v>Headington, </v>
      </c>
      <c r="F2060" s="8" t="str">
        <f>IFERROR(__xludf.DUMMYFUNCTION("""COMPUTED_VALUE"""),"imothy
1608 Main St.
Dallas, ")</f>
        <v>imothy
1608 Main St.
Dallas, </v>
      </c>
      <c r="G2060" s="8">
        <f>IFERROR(__xludf.DUMMYFUNCTION("""COMPUTED_VALUE"""),75201.0)</f>
        <v>75201</v>
      </c>
      <c r="I2060" s="8">
        <f t="shared" si="23"/>
        <v>75201</v>
      </c>
      <c r="J2060" s="9">
        <f>IFERROR(__xludf.DUMMYFUNCTION("SPLIT(I2060,""-"")"),75201.0)</f>
        <v>75201</v>
      </c>
    </row>
    <row r="2061">
      <c r="A2061" s="5" t="s">
        <v>1911</v>
      </c>
      <c r="B2061" s="6">
        <v>1000.0</v>
      </c>
      <c r="C2061" s="7" t="s">
        <v>649</v>
      </c>
      <c r="E2061" s="8" t="str">
        <f>IFERROR(__xludf.DUMMYFUNCTION("SPLIT(A2061,""TX"")"),"Pirkey, Melissa
1525 Parliament Ln.
Plano, ")</f>
        <v>Pirkey, Melissa
1525 Parliament Ln.
Plano, </v>
      </c>
      <c r="F2061" s="8">
        <f>IFERROR(__xludf.DUMMYFUNCTION("""COMPUTED_VALUE"""),75093.0)</f>
        <v>75093</v>
      </c>
      <c r="I2061" s="8">
        <f t="shared" si="23"/>
        <v>75093</v>
      </c>
      <c r="J2061" s="9">
        <f>IFERROR(__xludf.DUMMYFUNCTION("SPLIT(I2061,""-"")"),75093.0)</f>
        <v>75093</v>
      </c>
    </row>
    <row r="2062">
      <c r="A2062" s="5" t="s">
        <v>1912</v>
      </c>
      <c r="B2062" s="6">
        <v>250.0</v>
      </c>
      <c r="C2062" s="7" t="s">
        <v>649</v>
      </c>
      <c r="E2062" s="8" t="str">
        <f>IFERROR(__xludf.DUMMYFUNCTION("SPLIT(A2062,""TX"")"),"Wilson, Joe
6208 Copperhill Dr.
Dallas, ")</f>
        <v>Wilson, Joe
6208 Copperhill Dr.
Dallas, </v>
      </c>
      <c r="F2062" s="8">
        <f>IFERROR(__xludf.DUMMYFUNCTION("""COMPUTED_VALUE"""),75248.0)</f>
        <v>75248</v>
      </c>
      <c r="I2062" s="8">
        <f t="shared" si="23"/>
        <v>75248</v>
      </c>
      <c r="J2062" s="9">
        <f>IFERROR(__xludf.DUMMYFUNCTION("SPLIT(I2062,""-"")"),75248.0)</f>
        <v>75248</v>
      </c>
    </row>
    <row r="2063">
      <c r="A2063" s="5" t="s">
        <v>1913</v>
      </c>
      <c r="B2063" s="6">
        <v>1000.0</v>
      </c>
      <c r="C2063" s="7" t="s">
        <v>649</v>
      </c>
      <c r="E2063" s="8" t="str">
        <f>IFERROR(__xludf.DUMMYFUNCTION("SPLIT(A2063,""TX"")"),"McElroy, Joe
1207 Eldorado Ave.
Dallas, ")</f>
        <v>McElroy, Joe
1207 Eldorado Ave.
Dallas, </v>
      </c>
      <c r="F2063" s="8">
        <f>IFERROR(__xludf.DUMMYFUNCTION("""COMPUTED_VALUE"""),75208.0)</f>
        <v>75208</v>
      </c>
      <c r="I2063" s="8">
        <f t="shared" si="23"/>
        <v>75208</v>
      </c>
      <c r="J2063" s="9">
        <f>IFERROR(__xludf.DUMMYFUNCTION("SPLIT(I2063,""-"")"),75208.0)</f>
        <v>75208</v>
      </c>
    </row>
    <row r="2064">
      <c r="A2064" s="5" t="s">
        <v>1914</v>
      </c>
      <c r="B2064" s="6">
        <v>1000.0</v>
      </c>
      <c r="C2064" s="7" t="s">
        <v>634</v>
      </c>
      <c r="E2064" s="8" t="str">
        <f>IFERROR(__xludf.DUMMYFUNCTION("SPLIT(A2064,""TX"")"),"Helfand, Marcy
7191 Kendallwood Dr
Dallas, ")</f>
        <v>Helfand, Marcy
7191 Kendallwood Dr
Dallas, </v>
      </c>
      <c r="F2064" s="8">
        <f>IFERROR(__xludf.DUMMYFUNCTION("""COMPUTED_VALUE"""),75240.0)</f>
        <v>75240</v>
      </c>
      <c r="I2064" s="8">
        <f t="shared" si="23"/>
        <v>75240</v>
      </c>
      <c r="J2064" s="9">
        <f>IFERROR(__xludf.DUMMYFUNCTION("SPLIT(I2064,""-"")"),75240.0)</f>
        <v>75240</v>
      </c>
    </row>
    <row r="2065">
      <c r="A2065" s="10" t="s">
        <v>811</v>
      </c>
      <c r="B2065" s="11">
        <v>500.0</v>
      </c>
      <c r="C2065" s="12" t="s">
        <v>634</v>
      </c>
      <c r="E2065" s="8" t="str">
        <f>IFERROR(__xludf.DUMMYFUNCTION("SPLIT(A2065,""TX"")"),"Hoppenstein, Carole Ann
3831 Duchess ")</f>
        <v>Hoppenstein, Carole Ann
3831 Duchess </v>
      </c>
      <c r="F2065" s="8" t="str">
        <f>IFERROR(__xludf.DUMMYFUNCTION("""COMPUTED_VALUE"""),"rail
Dallas, ")</f>
        <v>rail
Dallas, </v>
      </c>
      <c r="G2065" s="8">
        <f>IFERROR(__xludf.DUMMYFUNCTION("""COMPUTED_VALUE"""),75229.0)</f>
        <v>75229</v>
      </c>
      <c r="I2065" s="8">
        <f t="shared" si="23"/>
        <v>75229</v>
      </c>
      <c r="J2065" s="9">
        <f>IFERROR(__xludf.DUMMYFUNCTION("SPLIT(I2065,""-"")"),75229.0)</f>
        <v>75229</v>
      </c>
    </row>
    <row r="2066">
      <c r="A2066" s="10" t="s">
        <v>1915</v>
      </c>
      <c r="B2066" s="11">
        <v>1000.0</v>
      </c>
      <c r="C2066" s="12" t="s">
        <v>634</v>
      </c>
      <c r="E2066" s="8" t="str">
        <f>IFERROR(__xludf.DUMMYFUNCTION("SPLIT(A2066,""TX"")"),"Billingsley, Lucy
1722 Routh Street Suite
Dallas, ")</f>
        <v>Billingsley, Lucy
1722 Routh Street Suite
Dallas, </v>
      </c>
      <c r="F2066" s="8">
        <f>IFERROR(__xludf.DUMMYFUNCTION("""COMPUTED_VALUE"""),75201.0)</f>
        <v>75201</v>
      </c>
      <c r="I2066" s="8">
        <f t="shared" si="23"/>
        <v>75201</v>
      </c>
      <c r="J2066" s="9">
        <f>IFERROR(__xludf.DUMMYFUNCTION("SPLIT(I2066,""-"")"),75201.0)</f>
        <v>75201</v>
      </c>
    </row>
    <row r="2067">
      <c r="A2067" s="10" t="s">
        <v>1916</v>
      </c>
      <c r="B2067" s="11">
        <v>500.0</v>
      </c>
      <c r="C2067" s="12" t="s">
        <v>634</v>
      </c>
      <c r="E2067" s="8" t="str">
        <f>IFERROR(__xludf.DUMMYFUNCTION("SPLIT(A2067,""TX"")"),"Schoenbrun, Larry
52 Masland Circle
Dallas, ")</f>
        <v>Schoenbrun, Larry
52 Masland Circle
Dallas, </v>
      </c>
      <c r="F2067" s="8">
        <f>IFERROR(__xludf.DUMMYFUNCTION("""COMPUTED_VALUE"""),75230.0)</f>
        <v>75230</v>
      </c>
      <c r="I2067" s="8">
        <f t="shared" si="23"/>
        <v>75230</v>
      </c>
      <c r="J2067" s="9">
        <f>IFERROR(__xludf.DUMMYFUNCTION("SPLIT(I2067,""-"")"),75230.0)</f>
        <v>75230</v>
      </c>
    </row>
    <row r="2068">
      <c r="A2068" s="10" t="s">
        <v>1917</v>
      </c>
      <c r="B2068" s="11">
        <v>1000.0</v>
      </c>
      <c r="C2068" s="12" t="s">
        <v>634</v>
      </c>
      <c r="E2068" s="8" t="str">
        <f>IFERROR(__xludf.DUMMYFUNCTION("SPLIT(A2068,""TX"")"),"Meyerson, Morton
8604 ")</f>
        <v>Meyerson, Morton
8604 </v>
      </c>
      <c r="F2068" s="8" t="str">
        <f>IFERROR(__xludf.DUMMYFUNCTION("""COMPUTED_VALUE"""),"urtle Creek Boulevard
Dallas, ")</f>
        <v>urtle Creek Boulevard
Dallas, </v>
      </c>
      <c r="G2068" s="8">
        <f>IFERROR(__xludf.DUMMYFUNCTION("""COMPUTED_VALUE"""),75225.0)</f>
        <v>75225</v>
      </c>
      <c r="I2068" s="8">
        <f t="shared" si="23"/>
        <v>75225</v>
      </c>
      <c r="J2068" s="9">
        <f>IFERROR(__xludf.DUMMYFUNCTION("SPLIT(I2068,""-"")"),75225.0)</f>
        <v>75225</v>
      </c>
    </row>
    <row r="2069">
      <c r="A2069" s="10" t="s">
        <v>1918</v>
      </c>
      <c r="B2069" s="11">
        <v>100.0</v>
      </c>
      <c r="C2069" s="12" t="s">
        <v>634</v>
      </c>
      <c r="E2069" s="8" t="str">
        <f>IFERROR(__xludf.DUMMYFUNCTION("SPLIT(A2069,""TX"")"),"Mackler, Scott
12123 Edgestone Rd
Dallas, ")</f>
        <v>Mackler, Scott
12123 Edgestone Rd
Dallas, </v>
      </c>
      <c r="F2069" s="8">
        <f>IFERROR(__xludf.DUMMYFUNCTION("""COMPUTED_VALUE"""),75230.0)</f>
        <v>75230</v>
      </c>
      <c r="I2069" s="8">
        <f t="shared" si="23"/>
        <v>75230</v>
      </c>
      <c r="J2069" s="9">
        <f>IFERROR(__xludf.DUMMYFUNCTION("SPLIT(I2069,""-"")"),75230.0)</f>
        <v>75230</v>
      </c>
    </row>
    <row r="2070">
      <c r="A2070" s="10" t="s">
        <v>1919</v>
      </c>
      <c r="B2070" s="11">
        <v>1000.0</v>
      </c>
      <c r="C2070" s="12" t="s">
        <v>634</v>
      </c>
      <c r="E2070" s="8" t="str">
        <f>IFERROR(__xludf.DUMMYFUNCTION("SPLIT(A2070,""TX"")"),"Bloch, Michael
14901 Quorum Drive
Dallas, ")</f>
        <v>Bloch, Michael
14901 Quorum Drive
Dallas, </v>
      </c>
      <c r="F2070" s="8">
        <f>IFERROR(__xludf.DUMMYFUNCTION("""COMPUTED_VALUE"""),75254.0)</f>
        <v>75254</v>
      </c>
      <c r="I2070" s="8">
        <f t="shared" si="23"/>
        <v>75254</v>
      </c>
      <c r="J2070" s="9">
        <f>IFERROR(__xludf.DUMMYFUNCTION("SPLIT(I2070,""-"")"),75254.0)</f>
        <v>75254</v>
      </c>
    </row>
    <row r="2071">
      <c r="A2071" s="10" t="s">
        <v>1920</v>
      </c>
      <c r="B2071" s="11">
        <v>1000.0</v>
      </c>
      <c r="C2071" s="12" t="s">
        <v>634</v>
      </c>
      <c r="E2071" s="8" t="str">
        <f>IFERROR(__xludf.DUMMYFUNCTION("SPLIT(A2071,""TX"")"),"Rabin, Stanley
24 Downs Lake Circle
Dallas, ")</f>
        <v>Rabin, Stanley
24 Downs Lake Circle
Dallas, </v>
      </c>
      <c r="F2071" s="8">
        <f>IFERROR(__xludf.DUMMYFUNCTION("""COMPUTED_VALUE"""),75230.0)</f>
        <v>75230</v>
      </c>
      <c r="I2071" s="8">
        <f t="shared" si="23"/>
        <v>75230</v>
      </c>
      <c r="J2071" s="9">
        <f>IFERROR(__xludf.DUMMYFUNCTION("SPLIT(I2071,""-"")"),75230.0)</f>
        <v>75230</v>
      </c>
    </row>
    <row r="2072">
      <c r="A2072" s="10" t="s">
        <v>855</v>
      </c>
      <c r="B2072" s="11">
        <v>100.0</v>
      </c>
      <c r="C2072" s="12" t="s">
        <v>634</v>
      </c>
      <c r="E2072" s="8" t="str">
        <f>IFERROR(__xludf.DUMMYFUNCTION("SPLIT(A2072,""TX"")"),"Polsky, Debra
15221 Berry ")</f>
        <v>Polsky, Debra
15221 Berry </v>
      </c>
      <c r="F2072" s="8" t="str">
        <f>IFERROR(__xludf.DUMMYFUNCTION("""COMPUTED_VALUE"""),"rail
Dallas, ")</f>
        <v>rail
Dallas, </v>
      </c>
      <c r="G2072" s="8">
        <f>IFERROR(__xludf.DUMMYFUNCTION("""COMPUTED_VALUE"""),75248.0)</f>
        <v>75248</v>
      </c>
      <c r="I2072" s="8">
        <f t="shared" si="23"/>
        <v>75248</v>
      </c>
      <c r="J2072" s="9">
        <f>IFERROR(__xludf.DUMMYFUNCTION("SPLIT(I2072,""-"")"),75248.0)</f>
        <v>75248</v>
      </c>
    </row>
    <row r="2073">
      <c r="A2073" s="10" t="s">
        <v>1921</v>
      </c>
      <c r="B2073" s="11">
        <v>1000.0</v>
      </c>
      <c r="C2073" s="12" t="s">
        <v>634</v>
      </c>
      <c r="E2073" s="8" t="str">
        <f>IFERROR(__xludf.DUMMYFUNCTION("SPLIT(A2073,""TX"")"),"Fleisher, Randall
8333 Douglas Ave
Dallas, ")</f>
        <v>Fleisher, Randall
8333 Douglas Ave
Dallas, </v>
      </c>
      <c r="F2073" s="8">
        <f>IFERROR(__xludf.DUMMYFUNCTION("""COMPUTED_VALUE"""),75225.0)</f>
        <v>75225</v>
      </c>
      <c r="I2073" s="8">
        <f t="shared" si="23"/>
        <v>75225</v>
      </c>
      <c r="J2073" s="9">
        <f>IFERROR(__xludf.DUMMYFUNCTION("SPLIT(I2073,""-"")"),75225.0)</f>
        <v>75225</v>
      </c>
    </row>
    <row r="2074">
      <c r="A2074" s="10" t="s">
        <v>1922</v>
      </c>
      <c r="B2074" s="11">
        <v>180.0</v>
      </c>
      <c r="C2074" s="12" t="s">
        <v>634</v>
      </c>
      <c r="E2074" s="8" t="str">
        <f>IFERROR(__xludf.DUMMYFUNCTION("SPLIT(A2074,""TX"")"),"Kaseff, Barry
6508 Overhill Road
Mission Hills, KS 66208")</f>
        <v>Kaseff, Barry
6508 Overhill Road
Mission Hills, KS 66208</v>
      </c>
      <c r="I2074" s="8" t="str">
        <f t="shared" si="23"/>
        <v/>
      </c>
      <c r="J2074" s="9" t="str">
        <f>IFERROR(__xludf.DUMMYFUNCTION("SPLIT(I2074,""-"")"),"#VALUE!")</f>
        <v>#VALUE!</v>
      </c>
    </row>
    <row r="2075">
      <c r="A2075" s="10" t="s">
        <v>1923</v>
      </c>
      <c r="B2075" s="11">
        <v>1000.0</v>
      </c>
      <c r="C2075" s="12" t="s">
        <v>634</v>
      </c>
      <c r="E2075" s="8" t="str">
        <f>IFERROR(__xludf.DUMMYFUNCTION("SPLIT(A2075,""TX"")"),"Houck, ")</f>
        <v>Houck, </v>
      </c>
      <c r="F2075" s="8" t="str">
        <f>IFERROR(__xludf.DUMMYFUNCTION("""COMPUTED_VALUE"""),"rish
1547 Cedar Hill Ave
Dallas, ")</f>
        <v>rish
1547 Cedar Hill Ave
Dallas, </v>
      </c>
      <c r="G2075" s="8">
        <f>IFERROR(__xludf.DUMMYFUNCTION("""COMPUTED_VALUE"""),75208.0)</f>
        <v>75208</v>
      </c>
      <c r="I2075" s="8">
        <f t="shared" si="23"/>
        <v>75208</v>
      </c>
      <c r="J2075" s="9">
        <f>IFERROR(__xludf.DUMMYFUNCTION("SPLIT(I2075,""-"")"),75208.0)</f>
        <v>75208</v>
      </c>
    </row>
    <row r="2076">
      <c r="A2076" s="10" t="s">
        <v>1924</v>
      </c>
      <c r="B2076" s="11">
        <v>500.0</v>
      </c>
      <c r="C2076" s="12" t="s">
        <v>634</v>
      </c>
      <c r="E2076" s="8" t="str">
        <f>IFERROR(__xludf.DUMMYFUNCTION("SPLIT(A2076,""TX"")"),"arpley, Gloria
8378 Forest Hills Blvd
Dallas, ")</f>
        <v>arpley, Gloria
8378 Forest Hills Blvd
Dallas, </v>
      </c>
      <c r="F2076" s="8">
        <f>IFERROR(__xludf.DUMMYFUNCTION("""COMPUTED_VALUE"""),75218.0)</f>
        <v>75218</v>
      </c>
      <c r="I2076" s="8">
        <f t="shared" si="23"/>
        <v>75218</v>
      </c>
      <c r="J2076" s="9">
        <f>IFERROR(__xludf.DUMMYFUNCTION("SPLIT(I2076,""-"")"),75218.0)</f>
        <v>75218</v>
      </c>
    </row>
    <row r="2077">
      <c r="A2077" s="10" t="s">
        <v>1925</v>
      </c>
      <c r="B2077" s="11">
        <v>1000.0</v>
      </c>
      <c r="C2077" s="12" t="s">
        <v>634</v>
      </c>
      <c r="E2077" s="8" t="str">
        <f>IFERROR(__xludf.DUMMYFUNCTION("SPLIT(A2077,""TX"")"),"Ward, John
5020 Abbott Avenue
Dallas, ")</f>
        <v>Ward, John
5020 Abbott Avenue
Dallas, </v>
      </c>
      <c r="F2077" s="8">
        <f>IFERROR(__xludf.DUMMYFUNCTION("""COMPUTED_VALUE"""),75205.0)</f>
        <v>75205</v>
      </c>
      <c r="I2077" s="8">
        <f t="shared" si="23"/>
        <v>75205</v>
      </c>
      <c r="J2077" s="9">
        <f>IFERROR(__xludf.DUMMYFUNCTION("SPLIT(I2077,""-"")"),75205.0)</f>
        <v>75205</v>
      </c>
    </row>
    <row r="2078">
      <c r="A2078" s="10" t="s">
        <v>1926</v>
      </c>
      <c r="B2078" s="11">
        <v>1000.0</v>
      </c>
      <c r="C2078" s="12" t="s">
        <v>634</v>
      </c>
      <c r="E2078" s="8" t="str">
        <f>IFERROR(__xludf.DUMMYFUNCTION("SPLIT(A2078,""TX"")"),"Okon, Louis
7219 Kenny Lane
Dallas, ")</f>
        <v>Okon, Louis
7219 Kenny Lane
Dallas, </v>
      </c>
      <c r="F2078" s="8">
        <f>IFERROR(__xludf.DUMMYFUNCTION("""COMPUTED_VALUE"""),75230.0)</f>
        <v>75230</v>
      </c>
      <c r="I2078" s="8">
        <f t="shared" si="23"/>
        <v>75230</v>
      </c>
      <c r="J2078" s="9">
        <f>IFERROR(__xludf.DUMMYFUNCTION("SPLIT(I2078,""-"")"),75230.0)</f>
        <v>75230</v>
      </c>
    </row>
    <row r="2079">
      <c r="A2079" s="10" t="s">
        <v>1927</v>
      </c>
      <c r="B2079" s="11">
        <v>1000.0</v>
      </c>
      <c r="C2079" s="12" t="s">
        <v>634</v>
      </c>
      <c r="E2079" s="8" t="str">
        <f>IFERROR(__xludf.DUMMYFUNCTION("SPLIT(A2079,""TX"")"),"Lidji, Brian
9024 Broken Arrow Lane
Dallas, ")</f>
        <v>Lidji, Brian
9024 Broken Arrow Lane
Dallas, </v>
      </c>
      <c r="F2079" s="8">
        <f>IFERROR(__xludf.DUMMYFUNCTION("""COMPUTED_VALUE"""),75209.0)</f>
        <v>75209</v>
      </c>
      <c r="I2079" s="8">
        <f t="shared" si="23"/>
        <v>75209</v>
      </c>
      <c r="J2079" s="9">
        <f>IFERROR(__xludf.DUMMYFUNCTION("SPLIT(I2079,""-"")"),75209.0)</f>
        <v>75209</v>
      </c>
    </row>
    <row r="2080">
      <c r="A2080" s="10" t="s">
        <v>815</v>
      </c>
      <c r="B2080" s="11">
        <v>250.0</v>
      </c>
      <c r="C2080" s="12" t="s">
        <v>634</v>
      </c>
      <c r="E2080" s="8" t="str">
        <f>IFERROR(__xludf.DUMMYFUNCTION("SPLIT(A2080,""TX"")"),"Jonas, Hylton
4615 Briar Oaks Circle
Dallas, ")</f>
        <v>Jonas, Hylton
4615 Briar Oaks Circle
Dallas, </v>
      </c>
      <c r="F2080" s="8">
        <f>IFERROR(__xludf.DUMMYFUNCTION("""COMPUTED_VALUE"""),75287.0)</f>
        <v>75287</v>
      </c>
      <c r="I2080" s="8">
        <f t="shared" si="23"/>
        <v>75287</v>
      </c>
      <c r="J2080" s="9">
        <f>IFERROR(__xludf.DUMMYFUNCTION("SPLIT(I2080,""-"")"),75287.0)</f>
        <v>75287</v>
      </c>
    </row>
    <row r="2081">
      <c r="A2081" s="10" t="s">
        <v>1928</v>
      </c>
      <c r="B2081" s="11">
        <v>500.0</v>
      </c>
      <c r="C2081" s="12" t="s">
        <v>634</v>
      </c>
      <c r="E2081" s="8" t="str">
        <f>IFERROR(__xludf.DUMMYFUNCTION("SPLIT(A2081,""TX"")"),"Milstein, Robert
6440 Preston Crest Lane
Dallas, ")</f>
        <v>Milstein, Robert
6440 Preston Crest Lane
Dallas, </v>
      </c>
      <c r="F2081" s="8">
        <f>IFERROR(__xludf.DUMMYFUNCTION("""COMPUTED_VALUE"""),75230.0)</f>
        <v>75230</v>
      </c>
      <c r="I2081" s="8">
        <f t="shared" si="23"/>
        <v>75230</v>
      </c>
      <c r="J2081" s="9">
        <f>IFERROR(__xludf.DUMMYFUNCTION("SPLIT(I2081,""-"")"),75230.0)</f>
        <v>75230</v>
      </c>
    </row>
    <row r="2082">
      <c r="A2082" s="10" t="s">
        <v>1929</v>
      </c>
      <c r="B2082" s="11">
        <v>100.0</v>
      </c>
      <c r="C2082" s="12" t="s">
        <v>634</v>
      </c>
      <c r="E2082" s="8" t="str">
        <f>IFERROR(__xludf.DUMMYFUNCTION("SPLIT(A2082,""TX"")"),"Weinstein, Krista
12608 Sunlight Drive
Dallas, ")</f>
        <v>Weinstein, Krista
12608 Sunlight Drive
Dallas, </v>
      </c>
      <c r="F2082" s="8">
        <f>IFERROR(__xludf.DUMMYFUNCTION("""COMPUTED_VALUE"""),75230.0)</f>
        <v>75230</v>
      </c>
      <c r="I2082" s="8">
        <f t="shared" si="23"/>
        <v>75230</v>
      </c>
      <c r="J2082" s="9">
        <f>IFERROR(__xludf.DUMMYFUNCTION("SPLIT(I2082,""-"")"),75230.0)</f>
        <v>75230</v>
      </c>
    </row>
    <row r="2083">
      <c r="A2083" s="10" t="s">
        <v>1930</v>
      </c>
      <c r="B2083" s="11">
        <v>1000.0</v>
      </c>
      <c r="C2083" s="12" t="s">
        <v>634</v>
      </c>
      <c r="E2083" s="8" t="str">
        <f>IFERROR(__xludf.DUMMYFUNCTION("SPLIT(A2083,""TX"")"),"Margolin, Ann
2828 Hood Street
Dallas, ")</f>
        <v>Margolin, Ann
2828 Hood Street
Dallas, </v>
      </c>
      <c r="F2083" s="8">
        <f>IFERROR(__xludf.DUMMYFUNCTION("""COMPUTED_VALUE"""),75219.0)</f>
        <v>75219</v>
      </c>
      <c r="I2083" s="8">
        <f t="shared" si="23"/>
        <v>75219</v>
      </c>
      <c r="J2083" s="9">
        <f>IFERROR(__xludf.DUMMYFUNCTION("SPLIT(I2083,""-"")"),75219.0)</f>
        <v>75219</v>
      </c>
    </row>
    <row r="2084">
      <c r="A2084" s="10" t="s">
        <v>1931</v>
      </c>
      <c r="B2084" s="11">
        <v>1000.0</v>
      </c>
      <c r="C2084" s="12" t="s">
        <v>634</v>
      </c>
      <c r="E2084" s="8" t="str">
        <f>IFERROR(__xludf.DUMMYFUNCTION("SPLIT(A2084,""TX"")"),"Rubin, Ron
150 Carondelet Plaza
Clayton, MO 63105")</f>
        <v>Rubin, Ron
150 Carondelet Plaza
Clayton, MO 63105</v>
      </c>
      <c r="I2084" s="8" t="str">
        <f t="shared" si="23"/>
        <v/>
      </c>
      <c r="J2084" s="9" t="str">
        <f>IFERROR(__xludf.DUMMYFUNCTION("SPLIT(I2084,""-"")"),"#VALUE!")</f>
        <v>#VALUE!</v>
      </c>
    </row>
    <row r="2085">
      <c r="A2085" s="10" t="s">
        <v>1932</v>
      </c>
      <c r="B2085" s="11">
        <v>1000.0</v>
      </c>
      <c r="C2085" s="12" t="s">
        <v>634</v>
      </c>
      <c r="E2085" s="8" t="str">
        <f>IFERROR(__xludf.DUMMYFUNCTION("SPLIT(A2085,""TX"")"),"Santa-Maria, Arthur
1717 Main Street
Dallas, ")</f>
        <v>Santa-Maria, Arthur
1717 Main Street
Dallas, </v>
      </c>
      <c r="F2085" s="8">
        <f>IFERROR(__xludf.DUMMYFUNCTION("""COMPUTED_VALUE"""),75201.0)</f>
        <v>75201</v>
      </c>
      <c r="I2085" s="8">
        <f t="shared" si="23"/>
        <v>75201</v>
      </c>
      <c r="J2085" s="9">
        <f>IFERROR(__xludf.DUMMYFUNCTION("SPLIT(I2085,""-"")"),75201.0)</f>
        <v>75201</v>
      </c>
    </row>
    <row r="2086">
      <c r="A2086" s="10" t="s">
        <v>1543</v>
      </c>
      <c r="B2086" s="11">
        <v>1000.0</v>
      </c>
      <c r="C2086" s="12" t="s">
        <v>634</v>
      </c>
      <c r="E2086" s="8" t="str">
        <f>IFERROR(__xludf.DUMMYFUNCTION("SPLIT(A2086,""TX"")"),"Hunt, Ray
1900 North Akard Street
Dallas, ")</f>
        <v>Hunt, Ray
1900 North Akard Street
Dallas, </v>
      </c>
      <c r="F2086" s="8">
        <f>IFERROR(__xludf.DUMMYFUNCTION("""COMPUTED_VALUE"""),75201.0)</f>
        <v>75201</v>
      </c>
      <c r="I2086" s="8">
        <f t="shared" si="23"/>
        <v>75201</v>
      </c>
      <c r="J2086" s="9">
        <f>IFERROR(__xludf.DUMMYFUNCTION("SPLIT(I2086,""-"")"),75201.0)</f>
        <v>75201</v>
      </c>
    </row>
    <row r="2087">
      <c r="A2087" s="10" t="s">
        <v>1933</v>
      </c>
      <c r="B2087" s="11">
        <v>1000.0</v>
      </c>
      <c r="C2087" s="12" t="s">
        <v>1005</v>
      </c>
      <c r="E2087" s="8" t="str">
        <f>IFERROR(__xludf.DUMMYFUNCTION("SPLIT(A2087,""TX"")"),"Hunt, Ray
1900 N. Akard Street
Dallas, ")</f>
        <v>Hunt, Ray
1900 N. Akard Street
Dallas, </v>
      </c>
      <c r="F2087" s="8">
        <f>IFERROR(__xludf.DUMMYFUNCTION("""COMPUTED_VALUE"""),75201.0)</f>
        <v>75201</v>
      </c>
      <c r="I2087" s="8">
        <f t="shared" si="23"/>
        <v>75201</v>
      </c>
      <c r="J2087" s="9">
        <f>IFERROR(__xludf.DUMMYFUNCTION("SPLIT(I2087,""-"")"),75201.0)</f>
        <v>75201</v>
      </c>
    </row>
    <row r="2088">
      <c r="A2088" s="5" t="s">
        <v>1934</v>
      </c>
      <c r="B2088" s="6">
        <v>100.0</v>
      </c>
      <c r="C2088" s="7" t="s">
        <v>1005</v>
      </c>
      <c r="E2088" s="8" t="str">
        <f>IFERROR(__xludf.DUMMYFUNCTION("SPLIT(A2088,""TX"")"),"Black, Jan Hart
4563 Isabella
Dallas, ")</f>
        <v>Black, Jan Hart
4563 Isabella
Dallas, </v>
      </c>
      <c r="F2088" s="8">
        <f>IFERROR(__xludf.DUMMYFUNCTION("""COMPUTED_VALUE"""),75229.0)</f>
        <v>75229</v>
      </c>
      <c r="I2088" s="8">
        <f t="shared" si="23"/>
        <v>75229</v>
      </c>
      <c r="J2088" s="9">
        <f>IFERROR(__xludf.DUMMYFUNCTION("SPLIT(I2088,""-"")"),75229.0)</f>
        <v>75229</v>
      </c>
    </row>
    <row r="2089">
      <c r="A2089" s="10" t="s">
        <v>1566</v>
      </c>
      <c r="B2089" s="11">
        <v>1500.0</v>
      </c>
      <c r="C2089" s="12" t="s">
        <v>1005</v>
      </c>
      <c r="E2089" s="8" t="str">
        <f>IFERROR(__xludf.DUMMYFUNCTION("SPLIT(A2089,""TX"")"),"Southwest Airlines Co. Freedom Fund
PO Box 36611
Dallas, ")</f>
        <v>Southwest Airlines Co. Freedom Fund
PO Box 36611
Dallas, </v>
      </c>
      <c r="F2089" s="8">
        <f>IFERROR(__xludf.DUMMYFUNCTION("""COMPUTED_VALUE"""),75235.0)</f>
        <v>75235</v>
      </c>
      <c r="I2089" s="8">
        <f t="shared" si="23"/>
        <v>75235</v>
      </c>
      <c r="J2089" s="9">
        <f>IFERROR(__xludf.DUMMYFUNCTION("SPLIT(I2089,""-"")"),75235.0)</f>
        <v>75235</v>
      </c>
    </row>
    <row r="2090">
      <c r="A2090" s="5" t="s">
        <v>1935</v>
      </c>
      <c r="B2090" s="6">
        <v>250.0</v>
      </c>
      <c r="C2090" s="7" t="s">
        <v>1005</v>
      </c>
      <c r="E2090" s="8" t="str">
        <f>IFERROR(__xludf.DUMMYFUNCTION("SPLIT(A2090,""TX"")"),"HERMANN, SCO")</f>
        <v>HERMANN, SCO</v>
      </c>
      <c r="F2090" s="8" t="str">
        <f>IFERROR(__xludf.DUMMYFUNCTION("""COMPUTED_VALUE"""),"Y
405 Londonderry Suite 106
WACO, ")</f>
        <v>Y
405 Londonderry Suite 106
WACO, </v>
      </c>
      <c r="G2090" s="8">
        <f>IFERROR(__xludf.DUMMYFUNCTION("""COMPUTED_VALUE"""),76712.0)</f>
        <v>76712</v>
      </c>
      <c r="I2090" s="8">
        <f t="shared" si="23"/>
        <v>76712</v>
      </c>
      <c r="J2090" s="9">
        <f>IFERROR(__xludf.DUMMYFUNCTION("SPLIT(I2090,""-"")"),76712.0)</f>
        <v>76712</v>
      </c>
    </row>
    <row r="2091">
      <c r="A2091" s="10" t="s">
        <v>1936</v>
      </c>
      <c r="B2091" s="11">
        <v>1000.0</v>
      </c>
      <c r="C2091" s="12" t="s">
        <v>1005</v>
      </c>
      <c r="E2091" s="8" t="str">
        <f>IFERROR(__xludf.DUMMYFUNCTION("SPLIT(A2091,""TX"")"),"Beucler, Reid
6060 N Central Expwy Suite 125
Dallas, ")</f>
        <v>Beucler, Reid
6060 N Central Expwy Suite 125
Dallas, </v>
      </c>
      <c r="F2091" s="8">
        <f>IFERROR(__xludf.DUMMYFUNCTION("""COMPUTED_VALUE"""),75206.0)</f>
        <v>75206</v>
      </c>
      <c r="I2091" s="8">
        <f t="shared" si="23"/>
        <v>75206</v>
      </c>
      <c r="J2091" s="9">
        <f>IFERROR(__xludf.DUMMYFUNCTION("SPLIT(I2091,""-"")"),75206.0)</f>
        <v>75206</v>
      </c>
    </row>
    <row r="2092">
      <c r="A2092" s="5" t="s">
        <v>1937</v>
      </c>
      <c r="B2092" s="6">
        <v>500.0</v>
      </c>
      <c r="C2092" s="7" t="s">
        <v>1005</v>
      </c>
      <c r="E2092" s="8" t="str">
        <f>IFERROR(__xludf.DUMMYFUNCTION("SPLIT(A2092,""TX"")"),"Alcantar, Joe
7304 Lane Park Court
Dallas, ")</f>
        <v>Alcantar, Joe
7304 Lane Park Court
Dallas, </v>
      </c>
      <c r="F2092" s="8">
        <f>IFERROR(__xludf.DUMMYFUNCTION("""COMPUTED_VALUE"""),75225.0)</f>
        <v>75225</v>
      </c>
      <c r="I2092" s="8">
        <f t="shared" si="23"/>
        <v>75225</v>
      </c>
      <c r="J2092" s="9">
        <f>IFERROR(__xludf.DUMMYFUNCTION("SPLIT(I2092,""-"")"),75225.0)</f>
        <v>75225</v>
      </c>
    </row>
    <row r="2093">
      <c r="A2093" s="10" t="s">
        <v>1938</v>
      </c>
      <c r="B2093" s="11">
        <v>1000.0</v>
      </c>
      <c r="C2093" s="12" t="s">
        <v>1005</v>
      </c>
      <c r="E2093" s="8" t="str">
        <f>IFERROR(__xludf.DUMMYFUNCTION("SPLIT(A2093,""TX"")"),"Pankey, Julie
3435 Wendy Lane
Dallas, ")</f>
        <v>Pankey, Julie
3435 Wendy Lane
Dallas, </v>
      </c>
      <c r="F2093" s="8">
        <f>IFERROR(__xludf.DUMMYFUNCTION("""COMPUTED_VALUE"""),75214.0)</f>
        <v>75214</v>
      </c>
      <c r="I2093" s="8">
        <f t="shared" si="23"/>
        <v>75214</v>
      </c>
      <c r="J2093" s="9">
        <f>IFERROR(__xludf.DUMMYFUNCTION("SPLIT(I2093,""-"")"),75214.0)</f>
        <v>75214</v>
      </c>
    </row>
    <row r="2094">
      <c r="A2094" s="5" t="s">
        <v>317</v>
      </c>
      <c r="B2094" s="6">
        <v>500.0</v>
      </c>
      <c r="C2094" s="7" t="s">
        <v>1005</v>
      </c>
      <c r="E2094" s="8" t="str">
        <f>IFERROR(__xludf.DUMMYFUNCTION("SPLIT(A2094,""TX"")"),"Billingsley, Lucy
1722 Routh Street
Dallas, ")</f>
        <v>Billingsley, Lucy
1722 Routh Street
Dallas, </v>
      </c>
      <c r="F2094" s="8">
        <f>IFERROR(__xludf.DUMMYFUNCTION("""COMPUTED_VALUE"""),75201.0)</f>
        <v>75201</v>
      </c>
      <c r="I2094" s="8">
        <f t="shared" si="23"/>
        <v>75201</v>
      </c>
      <c r="J2094" s="9">
        <f>IFERROR(__xludf.DUMMYFUNCTION("SPLIT(I2094,""-"")"),75201.0)</f>
        <v>75201</v>
      </c>
    </row>
    <row r="2095">
      <c r="A2095" s="10" t="s">
        <v>1939</v>
      </c>
      <c r="B2095" s="11">
        <v>1000.0</v>
      </c>
      <c r="C2095" s="12" t="s">
        <v>1005</v>
      </c>
      <c r="E2095" s="8" t="str">
        <f>IFERROR(__xludf.DUMMYFUNCTION("SPLIT(A2095,""TX"")"),"Hurley, S.J.
2227 Vantage Street
Dallas, ")</f>
        <v>Hurley, S.J.
2227 Vantage Street
Dallas, </v>
      </c>
      <c r="F2095" s="8">
        <f>IFERROR(__xludf.DUMMYFUNCTION("""COMPUTED_VALUE"""),75207.0)</f>
        <v>75207</v>
      </c>
      <c r="I2095" s="8">
        <f t="shared" si="23"/>
        <v>75207</v>
      </c>
      <c r="J2095" s="9">
        <f>IFERROR(__xludf.DUMMYFUNCTION("SPLIT(I2095,""-"")"),75207.0)</f>
        <v>75207</v>
      </c>
    </row>
    <row r="2096">
      <c r="A2096" s="5" t="s">
        <v>1940</v>
      </c>
      <c r="B2096" s="6">
        <v>1000.0</v>
      </c>
      <c r="C2096" s="7" t="s">
        <v>1005</v>
      </c>
      <c r="E2096" s="8" t="str">
        <f>IFERROR(__xludf.DUMMYFUNCTION("SPLIT(A2096,""TX"")"),"Gatlin, Paige
PO Box 670865
Dallas, ")</f>
        <v>Gatlin, Paige
PO Box 670865
Dallas, </v>
      </c>
      <c r="F2096" s="8">
        <f>IFERROR(__xludf.DUMMYFUNCTION("""COMPUTED_VALUE"""),75367.0)</f>
        <v>75367</v>
      </c>
      <c r="I2096" s="8">
        <f t="shared" si="23"/>
        <v>75367</v>
      </c>
      <c r="J2096" s="9">
        <f>IFERROR(__xludf.DUMMYFUNCTION("SPLIT(I2096,""-"")"),75367.0)</f>
        <v>75367</v>
      </c>
    </row>
    <row r="2097">
      <c r="A2097" s="10" t="s">
        <v>1941</v>
      </c>
      <c r="B2097" s="11">
        <v>250.0</v>
      </c>
      <c r="C2097" s="12" t="s">
        <v>1005</v>
      </c>
      <c r="E2097" s="8" t="str">
        <f>IFERROR(__xludf.DUMMYFUNCTION("SPLIT(A2097,""TX"")"),"Casto, Larry
2500 McKinney Ave
Dallas, ")</f>
        <v>Casto, Larry
2500 McKinney Ave
Dallas, </v>
      </c>
      <c r="F2097" s="8">
        <f>IFERROR(__xludf.DUMMYFUNCTION("""COMPUTED_VALUE"""),75201.0)</f>
        <v>75201</v>
      </c>
      <c r="I2097" s="8">
        <f t="shared" si="23"/>
        <v>75201</v>
      </c>
      <c r="J2097" s="9">
        <f>IFERROR(__xludf.DUMMYFUNCTION("SPLIT(I2097,""-"")"),75201.0)</f>
        <v>75201</v>
      </c>
    </row>
    <row r="2098">
      <c r="A2098" s="5" t="s">
        <v>1942</v>
      </c>
      <c r="B2098" s="6">
        <v>100.0</v>
      </c>
      <c r="C2098" s="7" t="s">
        <v>1005</v>
      </c>
      <c r="E2098" s="8" t="str">
        <f>IFERROR(__xludf.DUMMYFUNCTION("SPLIT(A2098,""TX"")"),"Spellicy, Courtney
7117 Wake Forrest Drive
Dallas, ")</f>
        <v>Spellicy, Courtney
7117 Wake Forrest Drive
Dallas, </v>
      </c>
      <c r="F2098" s="8">
        <f>IFERROR(__xludf.DUMMYFUNCTION("""COMPUTED_VALUE"""),75214.0)</f>
        <v>75214</v>
      </c>
      <c r="I2098" s="8">
        <f t="shared" si="23"/>
        <v>75214</v>
      </c>
      <c r="J2098" s="9">
        <f>IFERROR(__xludf.DUMMYFUNCTION("SPLIT(I2098,""-"")"),75214.0)</f>
        <v>75214</v>
      </c>
    </row>
    <row r="2099">
      <c r="A2099" s="10" t="s">
        <v>1943</v>
      </c>
      <c r="B2099" s="11">
        <v>250.0</v>
      </c>
      <c r="C2099" s="12" t="s">
        <v>1005</v>
      </c>
      <c r="E2099" s="8" t="str">
        <f>IFERROR(__xludf.DUMMYFUNCTION("SPLIT(A2099,""TX"")"),"McCrary, Michael
1302 Bellaire Dr
Grapevine, ")</f>
        <v>McCrary, Michael
1302 Bellaire Dr
Grapevine, </v>
      </c>
      <c r="F2099" s="8">
        <f>IFERROR(__xludf.DUMMYFUNCTION("""COMPUTED_VALUE"""),76051.0)</f>
        <v>76051</v>
      </c>
      <c r="I2099" s="8">
        <f t="shared" si="23"/>
        <v>76051</v>
      </c>
      <c r="J2099" s="9">
        <f>IFERROR(__xludf.DUMMYFUNCTION("SPLIT(I2099,""-"")"),76051.0)</f>
        <v>76051</v>
      </c>
    </row>
    <row r="2100">
      <c r="A2100" s="5" t="s">
        <v>1944</v>
      </c>
      <c r="B2100" s="6">
        <v>100.0</v>
      </c>
      <c r="C2100" s="7" t="s">
        <v>1005</v>
      </c>
      <c r="E2100" s="8" t="str">
        <f>IFERROR(__xludf.DUMMYFUNCTION("SPLIT(A2100,""TX"")"),"Abtahi, Robert
1126 North Zang Boulevard
Dallas, ")</f>
        <v>Abtahi, Robert
1126 North Zang Boulevard
Dallas, </v>
      </c>
      <c r="F2100" s="8">
        <f>IFERROR(__xludf.DUMMYFUNCTION("""COMPUTED_VALUE"""),75203.0)</f>
        <v>75203</v>
      </c>
      <c r="I2100" s="8">
        <f t="shared" si="23"/>
        <v>75203</v>
      </c>
      <c r="J2100" s="9">
        <f>IFERROR(__xludf.DUMMYFUNCTION("SPLIT(I2100,""-"")"),75203.0)</f>
        <v>75203</v>
      </c>
    </row>
    <row r="2101">
      <c r="A2101" s="10" t="s">
        <v>311</v>
      </c>
      <c r="B2101" s="11">
        <v>5000.0</v>
      </c>
      <c r="C2101" s="12" t="s">
        <v>1005</v>
      </c>
      <c r="E2101" s="8" t="str">
        <f>IFERROR(__xludf.DUMMYFUNCTION("SPLIT(A2101,""TX"")"),"Byrne, J ")</f>
        <v>Byrne, J </v>
      </c>
      <c r="F2101" s="8" t="str">
        <f>IFERROR(__xludf.DUMMYFUNCTION("""COMPUTED_VALUE"""),"im
3720 Miramar Ave
Dallas, ")</f>
        <v>im
3720 Miramar Ave
Dallas, </v>
      </c>
      <c r="G2101" s="8">
        <f>IFERROR(__xludf.DUMMYFUNCTION("""COMPUTED_VALUE"""),75205.0)</f>
        <v>75205</v>
      </c>
      <c r="I2101" s="8">
        <f t="shared" si="23"/>
        <v>75205</v>
      </c>
      <c r="J2101" s="9">
        <f>IFERROR(__xludf.DUMMYFUNCTION("SPLIT(I2101,""-"")"),75205.0)</f>
        <v>75205</v>
      </c>
    </row>
    <row r="2102">
      <c r="A2102" s="5" t="s">
        <v>1945</v>
      </c>
      <c r="B2102" s="6">
        <v>2000.0</v>
      </c>
      <c r="C2102" s="7" t="s">
        <v>1005</v>
      </c>
      <c r="E2102" s="8" t="str">
        <f>IFERROR(__xludf.DUMMYFUNCTION("SPLIT(A2102,""TX"")"),"Courtwright, Jeff
6785 Avalon Ave
Dallas, ")</f>
        <v>Courtwright, Jeff
6785 Avalon Ave
Dallas, </v>
      </c>
      <c r="F2102" s="8">
        <f>IFERROR(__xludf.DUMMYFUNCTION("""COMPUTED_VALUE"""),75214.0)</f>
        <v>75214</v>
      </c>
      <c r="I2102" s="8">
        <f t="shared" si="23"/>
        <v>75214</v>
      </c>
      <c r="J2102" s="9">
        <f>IFERROR(__xludf.DUMMYFUNCTION("SPLIT(I2102,""-"")"),75214.0)</f>
        <v>75214</v>
      </c>
    </row>
    <row r="2103">
      <c r="A2103" s="10" t="s">
        <v>1946</v>
      </c>
      <c r="B2103" s="11">
        <v>100.0</v>
      </c>
      <c r="C2103" s="12" t="s">
        <v>1005</v>
      </c>
      <c r="E2103" s="8" t="str">
        <f>IFERROR(__xludf.DUMMYFUNCTION("SPLIT(A2103,""TX"")"),"Halfmann, Zoe
3565 Waldorf
Dallas, ")</f>
        <v>Halfmann, Zoe
3565 Waldorf
Dallas, </v>
      </c>
      <c r="F2103" s="8">
        <f>IFERROR(__xludf.DUMMYFUNCTION("""COMPUTED_VALUE"""),75229.0)</f>
        <v>75229</v>
      </c>
      <c r="I2103" s="8">
        <f t="shared" si="23"/>
        <v>75229</v>
      </c>
      <c r="J2103" s="9">
        <f>IFERROR(__xludf.DUMMYFUNCTION("SPLIT(I2103,""-"")"),75229.0)</f>
        <v>75229</v>
      </c>
    </row>
    <row r="2104">
      <c r="A2104" s="5" t="s">
        <v>1947</v>
      </c>
      <c r="B2104" s="6">
        <v>1000.0</v>
      </c>
      <c r="C2104" s="7" t="s">
        <v>1005</v>
      </c>
      <c r="E2104" s="8" t="str">
        <f>IFERROR(__xludf.DUMMYFUNCTION("SPLIT(A2104,""TX"")"),"Reed, Holly
7123 La Vista
Dallas, ")</f>
        <v>Reed, Holly
7123 La Vista
Dallas, </v>
      </c>
      <c r="F2104" s="8">
        <f>IFERROR(__xludf.DUMMYFUNCTION("""COMPUTED_VALUE"""),75214.0)</f>
        <v>75214</v>
      </c>
      <c r="I2104" s="8">
        <f t="shared" si="23"/>
        <v>75214</v>
      </c>
      <c r="J2104" s="9">
        <f>IFERROR(__xludf.DUMMYFUNCTION("SPLIT(I2104,""-"")"),75214.0)</f>
        <v>75214</v>
      </c>
    </row>
    <row r="2105">
      <c r="A2105" s="10" t="s">
        <v>1948</v>
      </c>
      <c r="B2105" s="11">
        <v>1000.0</v>
      </c>
      <c r="C2105" s="12" t="s">
        <v>1005</v>
      </c>
      <c r="E2105" s="8" t="str">
        <f>IFERROR(__xludf.DUMMYFUNCTION("SPLIT(A2105,""TX"")"),"Robin Autopilot Holdings, LLC
8400 Esters Blvd Ste 150
Irving, ")</f>
        <v>Robin Autopilot Holdings, LLC
8400 Esters Blvd Ste 150
Irving, </v>
      </c>
      <c r="F2105" s="8">
        <f>IFERROR(__xludf.DUMMYFUNCTION("""COMPUTED_VALUE"""),75063.0)</f>
        <v>75063</v>
      </c>
      <c r="I2105" s="8">
        <f t="shared" si="23"/>
        <v>75063</v>
      </c>
      <c r="J2105" s="9">
        <f>IFERROR(__xludf.DUMMYFUNCTION("SPLIT(I2105,""-"")"),75063.0)</f>
        <v>75063</v>
      </c>
    </row>
    <row r="2106">
      <c r="A2106" s="5" t="s">
        <v>1949</v>
      </c>
      <c r="B2106" s="6">
        <v>1000.0</v>
      </c>
      <c r="C2106" s="7" t="s">
        <v>1005</v>
      </c>
      <c r="E2106" s="8" t="str">
        <f>IFERROR(__xludf.DUMMYFUNCTION("SPLIT(A2106,""TX"")"),"Coats Rose P.C. PAC
9 Greenway Plaza Ste. 1000
Houston, ")</f>
        <v>Coats Rose P.C. PAC
9 Greenway Plaza Ste. 1000
Houston, </v>
      </c>
      <c r="F2106" s="8">
        <f>IFERROR(__xludf.DUMMYFUNCTION("""COMPUTED_VALUE"""),77046.0)</f>
        <v>77046</v>
      </c>
      <c r="I2106" s="8">
        <f t="shared" si="23"/>
        <v>77046</v>
      </c>
      <c r="J2106" s="9">
        <f>IFERROR(__xludf.DUMMYFUNCTION("SPLIT(I2106,""-"")"),77046.0)</f>
        <v>77046</v>
      </c>
    </row>
    <row r="2107">
      <c r="A2107" s="10" t="s">
        <v>1950</v>
      </c>
      <c r="B2107" s="11">
        <v>1000.0</v>
      </c>
      <c r="C2107" s="12" t="s">
        <v>1005</v>
      </c>
      <c r="E2107" s="8" t="str">
        <f>IFERROR(__xludf.DUMMYFUNCTION("SPLIT(A2107,""TX"")"),"See, Alonzo
6507 Bob O Link Dr
Dallas, ")</f>
        <v>See, Alonzo
6507 Bob O Link Dr
Dallas, </v>
      </c>
      <c r="F2107" s="8">
        <f>IFERROR(__xludf.DUMMYFUNCTION("""COMPUTED_VALUE"""),75214.0)</f>
        <v>75214</v>
      </c>
      <c r="I2107" s="8">
        <f t="shared" si="23"/>
        <v>75214</v>
      </c>
      <c r="J2107" s="9">
        <f>IFERROR(__xludf.DUMMYFUNCTION("SPLIT(I2107,""-"")"),75214.0)</f>
        <v>75214</v>
      </c>
    </row>
    <row r="2108">
      <c r="A2108" s="5" t="s">
        <v>1951</v>
      </c>
      <c r="B2108" s="6">
        <v>50.0</v>
      </c>
      <c r="C2108" s="7" t="s">
        <v>1005</v>
      </c>
      <c r="E2108" s="8" t="str">
        <f>IFERROR(__xludf.DUMMYFUNCTION("SPLIT(A2108,""TX"")"),"Henry, Barry
1717 Arts Plaza Residence 1801
Dallas, ")</f>
        <v>Henry, Barry
1717 Arts Plaza Residence 1801
Dallas, </v>
      </c>
      <c r="F2108" s="8">
        <f>IFERROR(__xludf.DUMMYFUNCTION("""COMPUTED_VALUE"""),75201.0)</f>
        <v>75201</v>
      </c>
      <c r="I2108" s="8">
        <f t="shared" si="23"/>
        <v>75201</v>
      </c>
      <c r="J2108" s="9">
        <f>IFERROR(__xludf.DUMMYFUNCTION("SPLIT(I2108,""-"")"),75201.0)</f>
        <v>75201</v>
      </c>
    </row>
    <row r="2109">
      <c r="A2109" s="10" t="s">
        <v>1952</v>
      </c>
      <c r="B2109" s="11">
        <v>50.0</v>
      </c>
      <c r="C2109" s="12" t="s">
        <v>1005</v>
      </c>
      <c r="E2109" s="8" t="str">
        <f>IFERROR(__xludf.DUMMYFUNCTION("SPLIT(A2109,""TX"")"),"Dann, Mark
9510 West Lake Highlands Drive
Dallas, ")</f>
        <v>Dann, Mark
9510 West Lake Highlands Drive
Dallas, </v>
      </c>
      <c r="F2109" s="8">
        <f>IFERROR(__xludf.DUMMYFUNCTION("""COMPUTED_VALUE"""),75218.0)</f>
        <v>75218</v>
      </c>
      <c r="I2109" s="8">
        <f t="shared" si="23"/>
        <v>75218</v>
      </c>
      <c r="J2109" s="9">
        <f>IFERROR(__xludf.DUMMYFUNCTION("SPLIT(I2109,""-"")"),75218.0)</f>
        <v>75218</v>
      </c>
    </row>
    <row r="2110">
      <c r="A2110" s="5" t="s">
        <v>1953</v>
      </c>
      <c r="B2110" s="6">
        <v>50.0</v>
      </c>
      <c r="C2110" s="7" t="s">
        <v>1005</v>
      </c>
      <c r="E2110" s="8" t="str">
        <f>IFERROR(__xludf.DUMMYFUNCTION("SPLIT(A2110,""TX"")"),"Abrams, John
6427 Bob O Link Dr.
Dallas, ")</f>
        <v>Abrams, John
6427 Bob O Link Dr.
Dallas, </v>
      </c>
      <c r="F2110" s="8">
        <f>IFERROR(__xludf.DUMMYFUNCTION("""COMPUTED_VALUE"""),75214.0)</f>
        <v>75214</v>
      </c>
      <c r="I2110" s="8">
        <f t="shared" si="23"/>
        <v>75214</v>
      </c>
      <c r="J2110" s="9">
        <f>IFERROR(__xludf.DUMMYFUNCTION("SPLIT(I2110,""-"")"),75214.0)</f>
        <v>75214</v>
      </c>
    </row>
    <row r="2111">
      <c r="A2111" s="10" t="s">
        <v>1954</v>
      </c>
      <c r="B2111" s="11">
        <v>250.0</v>
      </c>
      <c r="C2111" s="12" t="s">
        <v>1005</v>
      </c>
      <c r="E2111" s="8" t="str">
        <f>IFERROR(__xludf.DUMMYFUNCTION("SPLIT(A2111,""TX"")"),"Veale, Michael
1717 Arts Plaza 2207
Dallas, ")</f>
        <v>Veale, Michael
1717 Arts Plaza 2207
Dallas, </v>
      </c>
      <c r="F2111" s="8">
        <f>IFERROR(__xludf.DUMMYFUNCTION("""COMPUTED_VALUE"""),75201.0)</f>
        <v>75201</v>
      </c>
      <c r="I2111" s="8">
        <f t="shared" si="23"/>
        <v>75201</v>
      </c>
      <c r="J2111" s="9">
        <f>IFERROR(__xludf.DUMMYFUNCTION("SPLIT(I2111,""-"")"),75201.0)</f>
        <v>75201</v>
      </c>
    </row>
    <row r="2112">
      <c r="A2112" s="5" t="s">
        <v>681</v>
      </c>
      <c r="B2112" s="6">
        <v>100.0</v>
      </c>
      <c r="C2112" s="7" t="s">
        <v>1005</v>
      </c>
      <c r="E2112" s="8" t="str">
        <f>IFERROR(__xludf.DUMMYFUNCTION("SPLIT(A2112,""TX"")"),"Forsythe Lill, Veletta
622 Blair Blvd.
Dallas, ")</f>
        <v>Forsythe Lill, Veletta
622 Blair Blvd.
Dallas, </v>
      </c>
      <c r="F2112" s="8">
        <f>IFERROR(__xludf.DUMMYFUNCTION("""COMPUTED_VALUE"""),75223.0)</f>
        <v>75223</v>
      </c>
      <c r="I2112" s="8">
        <f t="shared" si="23"/>
        <v>75223</v>
      </c>
      <c r="J2112" s="9">
        <f>IFERROR(__xludf.DUMMYFUNCTION("SPLIT(I2112,""-"")"),75223.0)</f>
        <v>75223</v>
      </c>
    </row>
    <row r="2113">
      <c r="A2113" s="10" t="s">
        <v>1840</v>
      </c>
      <c r="B2113" s="11">
        <v>100.0</v>
      </c>
      <c r="C2113" s="12" t="s">
        <v>1005</v>
      </c>
      <c r="E2113" s="8" t="str">
        <f>IFERROR(__xludf.DUMMYFUNCTION("SPLIT(A2113,""TX"")"),"Wallace, Chris
4235 Castle Rock Court
IRVING, ")</f>
        <v>Wallace, Chris
4235 Castle Rock Court
IRVING, </v>
      </c>
      <c r="F2113" s="8">
        <f>IFERROR(__xludf.DUMMYFUNCTION("""COMPUTED_VALUE"""),75038.0)</f>
        <v>75038</v>
      </c>
      <c r="I2113" s="8">
        <f t="shared" si="23"/>
        <v>75038</v>
      </c>
      <c r="J2113" s="9">
        <f>IFERROR(__xludf.DUMMYFUNCTION("SPLIT(I2113,""-"")"),75038.0)</f>
        <v>75038</v>
      </c>
    </row>
    <row r="2114">
      <c r="A2114" s="5" t="s">
        <v>1955</v>
      </c>
      <c r="B2114" s="6">
        <v>50.0</v>
      </c>
      <c r="C2114" s="7" t="s">
        <v>1005</v>
      </c>
      <c r="E2114" s="8" t="str">
        <f>IFERROR(__xludf.DUMMYFUNCTION("SPLIT(A2114,""TX"")"),"Coyle, Grady
6524 Winton St
Dallas, ")</f>
        <v>Coyle, Grady
6524 Winton St
Dallas, </v>
      </c>
      <c r="F2114" s="8">
        <f>IFERROR(__xludf.DUMMYFUNCTION("""COMPUTED_VALUE"""),75214.0)</f>
        <v>75214</v>
      </c>
      <c r="I2114" s="8">
        <f t="shared" si="23"/>
        <v>75214</v>
      </c>
      <c r="J2114" s="9">
        <f>IFERROR(__xludf.DUMMYFUNCTION("SPLIT(I2114,""-"")"),75214.0)</f>
        <v>75214</v>
      </c>
    </row>
    <row r="2115">
      <c r="A2115" s="10" t="s">
        <v>1956</v>
      </c>
      <c r="B2115" s="11">
        <v>50.0</v>
      </c>
      <c r="C2115" s="12" t="s">
        <v>1005</v>
      </c>
      <c r="E2115" s="8" t="str">
        <f>IFERROR(__xludf.DUMMYFUNCTION("SPLIT(A2115,""TX"")"),"Newton, Karen
10415 Fern Dr
Dallas, ")</f>
        <v>Newton, Karen
10415 Fern Dr
Dallas, </v>
      </c>
      <c r="F2115" s="8">
        <f>IFERROR(__xludf.DUMMYFUNCTION("""COMPUTED_VALUE"""),75228.0)</f>
        <v>75228</v>
      </c>
      <c r="I2115" s="8">
        <f t="shared" si="23"/>
        <v>75228</v>
      </c>
      <c r="J2115" s="9">
        <f>IFERROR(__xludf.DUMMYFUNCTION("SPLIT(I2115,""-"")"),75228.0)</f>
        <v>75228</v>
      </c>
    </row>
    <row r="2116">
      <c r="A2116" s="5" t="s">
        <v>1957</v>
      </c>
      <c r="B2116" s="6">
        <v>250.0</v>
      </c>
      <c r="C2116" s="7" t="s">
        <v>1005</v>
      </c>
      <c r="E2116" s="8" t="str">
        <f>IFERROR(__xludf.DUMMYFUNCTION("SPLIT(A2116,""TX"")"),"Conner, ")</f>
        <v>Conner, </v>
      </c>
      <c r="F2116" s="8" t="str">
        <f>IFERROR(__xludf.DUMMYFUNCTION("""COMPUTED_VALUE"""),"erry
7110 Lakewood Boulevard
Dallas, ")</f>
        <v>erry
7110 Lakewood Boulevard
Dallas, </v>
      </c>
      <c r="G2116" s="8">
        <f>IFERROR(__xludf.DUMMYFUNCTION("""COMPUTED_VALUE"""),75214.0)</f>
        <v>75214</v>
      </c>
      <c r="I2116" s="8">
        <f t="shared" si="23"/>
        <v>75214</v>
      </c>
      <c r="J2116" s="9">
        <f>IFERROR(__xludf.DUMMYFUNCTION("SPLIT(I2116,""-"")"),75214.0)</f>
        <v>75214</v>
      </c>
    </row>
    <row r="2117">
      <c r="A2117" s="10" t="s">
        <v>1958</v>
      </c>
      <c r="B2117" s="11">
        <v>2500.0</v>
      </c>
      <c r="C2117" s="12" t="s">
        <v>1005</v>
      </c>
      <c r="E2117" s="8" t="str">
        <f>IFERROR(__xludf.DUMMYFUNCTION("SPLIT(A2117,""TX"")"),"HBA of Greater Dallas HOME PAC
5816 West Plano Pkwy
Plano, ")</f>
        <v>HBA of Greater Dallas HOME PAC
5816 West Plano Pkwy
Plano, </v>
      </c>
      <c r="F2117" s="8">
        <f>IFERROR(__xludf.DUMMYFUNCTION("""COMPUTED_VALUE"""),75093.0)</f>
        <v>75093</v>
      </c>
      <c r="I2117" s="8">
        <f t="shared" si="23"/>
        <v>75093</v>
      </c>
      <c r="J2117" s="9">
        <f>IFERROR(__xludf.DUMMYFUNCTION("SPLIT(I2117,""-"")"),75093.0)</f>
        <v>75093</v>
      </c>
    </row>
    <row r="2118">
      <c r="A2118" s="5" t="s">
        <v>1959</v>
      </c>
      <c r="B2118" s="6">
        <v>250.0</v>
      </c>
      <c r="C2118" s="7" t="s">
        <v>1005</v>
      </c>
      <c r="E2118" s="8" t="str">
        <f>IFERROR(__xludf.DUMMYFUNCTION("SPLIT(A2118,""TX"")"),"Pouland, John
345 Patriot Drive
Buda, ")</f>
        <v>Pouland, John
345 Patriot Drive
Buda, </v>
      </c>
      <c r="F2118" s="8">
        <f>IFERROR(__xludf.DUMMYFUNCTION("""COMPUTED_VALUE"""),78610.0)</f>
        <v>78610</v>
      </c>
      <c r="I2118" s="8">
        <f t="shared" si="23"/>
        <v>78610</v>
      </c>
      <c r="J2118" s="9">
        <f>IFERROR(__xludf.DUMMYFUNCTION("SPLIT(I2118,""-"")"),78610.0)</f>
        <v>78610</v>
      </c>
    </row>
    <row r="2119">
      <c r="A2119" s="10" t="s">
        <v>1960</v>
      </c>
      <c r="B2119" s="11">
        <v>100.0</v>
      </c>
      <c r="C2119" s="12" t="s">
        <v>1005</v>
      </c>
      <c r="E2119" s="8" t="str">
        <f>IFERROR(__xludf.DUMMYFUNCTION("SPLIT(A2119,""TX"")"),"Dawson ")</f>
        <v>Dawson </v>
      </c>
      <c r="F2119" s="8" t="str">
        <f>IFERROR(__xludf.DUMMYFUNCTION("""COMPUTED_VALUE"""),"hompson, Roslyn
2 Botsford Court
Dallas, ")</f>
        <v>hompson, Roslyn
2 Botsford Court
Dallas, </v>
      </c>
      <c r="G2119" s="8">
        <f>IFERROR(__xludf.DUMMYFUNCTION("""COMPUTED_VALUE"""),75225.0)</f>
        <v>75225</v>
      </c>
      <c r="I2119" s="8">
        <f t="shared" si="23"/>
        <v>75225</v>
      </c>
      <c r="J2119" s="9">
        <f>IFERROR(__xludf.DUMMYFUNCTION("SPLIT(I2119,""-"")"),75225.0)</f>
        <v>75225</v>
      </c>
    </row>
    <row r="2120">
      <c r="A2120" s="5" t="s">
        <v>1961</v>
      </c>
      <c r="B2120" s="6">
        <v>100.0</v>
      </c>
      <c r="C2120" s="7" t="s">
        <v>1005</v>
      </c>
      <c r="E2120" s="8" t="str">
        <f>IFERROR(__xludf.DUMMYFUNCTION("SPLIT(A2120,""TX"")"),"Saab, Elizabeth
7344 Edgerton Drive
Dallas, ")</f>
        <v>Saab, Elizabeth
7344 Edgerton Drive
Dallas, </v>
      </c>
      <c r="F2120" s="8">
        <f>IFERROR(__xludf.DUMMYFUNCTION("""COMPUTED_VALUE"""),75231.0)</f>
        <v>75231</v>
      </c>
      <c r="I2120" s="8">
        <f t="shared" si="23"/>
        <v>75231</v>
      </c>
      <c r="J2120" s="9">
        <f>IFERROR(__xludf.DUMMYFUNCTION("SPLIT(I2120,""-"")"),75231.0)</f>
        <v>75231</v>
      </c>
    </row>
    <row r="2121">
      <c r="A2121" s="10" t="s">
        <v>1962</v>
      </c>
      <c r="B2121" s="11">
        <v>500.0</v>
      </c>
      <c r="C2121" s="12" t="s">
        <v>1005</v>
      </c>
      <c r="E2121" s="8" t="str">
        <f>IFERROR(__xludf.DUMMYFUNCTION("SPLIT(A2121,""TX"")"),"Grant, Joseph
4305 Overhill
Dallas, ")</f>
        <v>Grant, Joseph
4305 Overhill
Dallas, </v>
      </c>
      <c r="F2121" s="8">
        <f>IFERROR(__xludf.DUMMYFUNCTION("""COMPUTED_VALUE"""),75205.0)</f>
        <v>75205</v>
      </c>
      <c r="I2121" s="8">
        <f t="shared" si="23"/>
        <v>75205</v>
      </c>
      <c r="J2121" s="9">
        <f>IFERROR(__xludf.DUMMYFUNCTION("SPLIT(I2121,""-"")"),75205.0)</f>
        <v>75205</v>
      </c>
    </row>
    <row r="2122">
      <c r="A2122" s="5" t="s">
        <v>1963</v>
      </c>
      <c r="B2122" s="6">
        <v>100.0</v>
      </c>
      <c r="C2122" s="7" t="s">
        <v>1005</v>
      </c>
      <c r="E2122" s="8" t="str">
        <f>IFERROR(__xludf.DUMMYFUNCTION("SPLIT(A2122,""TX"")"),"Mason, George
6821 Carolyncrest Dr
Dallas, ")</f>
        <v>Mason, George
6821 Carolyncrest Dr
Dallas, </v>
      </c>
      <c r="F2122" s="8">
        <f>IFERROR(__xludf.DUMMYFUNCTION("""COMPUTED_VALUE"""),75214.0)</f>
        <v>75214</v>
      </c>
      <c r="I2122" s="8">
        <f t="shared" si="23"/>
        <v>75214</v>
      </c>
      <c r="J2122" s="9">
        <f>IFERROR(__xludf.DUMMYFUNCTION("SPLIT(I2122,""-"")"),75214.0)</f>
        <v>75214</v>
      </c>
    </row>
    <row r="2123">
      <c r="A2123" s="10" t="s">
        <v>1964</v>
      </c>
      <c r="B2123" s="11">
        <v>1000.0</v>
      </c>
      <c r="C2123" s="12" t="s">
        <v>1005</v>
      </c>
      <c r="E2123" s="8" t="str">
        <f>IFERROR(__xludf.DUMMYFUNCTION("SPLIT(A2123,""TX"")"),"Ybarra, Manny
2390 Westchester Dr
Lucas, ")</f>
        <v>Ybarra, Manny
2390 Westchester Dr
Lucas, </v>
      </c>
      <c r="F2123" s="8">
        <f>IFERROR(__xludf.DUMMYFUNCTION("""COMPUTED_VALUE"""),75002.0)</f>
        <v>75002</v>
      </c>
      <c r="I2123" s="8">
        <f t="shared" si="23"/>
        <v>75002</v>
      </c>
      <c r="J2123" s="9">
        <f>IFERROR(__xludf.DUMMYFUNCTION("SPLIT(I2123,""-"")"),75002.0)</f>
        <v>75002</v>
      </c>
    </row>
    <row r="2124">
      <c r="A2124" s="5" t="s">
        <v>1965</v>
      </c>
      <c r="B2124" s="6">
        <v>1000.0</v>
      </c>
      <c r="C2124" s="7" t="s">
        <v>1005</v>
      </c>
      <c r="E2124" s="8" t="str">
        <f>IFERROR(__xludf.DUMMYFUNCTION("SPLIT(A2124,""TX"")"),"Raymond, Anne
4111 W. Lawther
Dallas, ")</f>
        <v>Raymond, Anne
4111 W. Lawther
Dallas, </v>
      </c>
      <c r="F2124" s="8">
        <f>IFERROR(__xludf.DUMMYFUNCTION("""COMPUTED_VALUE"""),75214.0)</f>
        <v>75214</v>
      </c>
      <c r="I2124" s="8">
        <f t="shared" si="23"/>
        <v>75214</v>
      </c>
      <c r="J2124" s="9">
        <f>IFERROR(__xludf.DUMMYFUNCTION("SPLIT(I2124,""-"")"),75214.0)</f>
        <v>75214</v>
      </c>
    </row>
    <row r="2125">
      <c r="A2125" s="10" t="s">
        <v>1311</v>
      </c>
      <c r="B2125" s="11">
        <v>250.0</v>
      </c>
      <c r="C2125" s="12" t="s">
        <v>1005</v>
      </c>
      <c r="E2125" s="8" t="str">
        <f>IFERROR(__xludf.DUMMYFUNCTION("SPLIT(A2125,""TX"")"),"Clay, Barbara
8246 Forest Hills Blvd
Dallas, ")</f>
        <v>Clay, Barbara
8246 Forest Hills Blvd
Dallas, </v>
      </c>
      <c r="F2125" s="8">
        <f>IFERROR(__xludf.DUMMYFUNCTION("""COMPUTED_VALUE"""),75218.0)</f>
        <v>75218</v>
      </c>
      <c r="I2125" s="8">
        <f t="shared" si="23"/>
        <v>75218</v>
      </c>
      <c r="J2125" s="9">
        <f>IFERROR(__xludf.DUMMYFUNCTION("SPLIT(I2125,""-"")"),75218.0)</f>
        <v>75218</v>
      </c>
    </row>
    <row r="2126">
      <c r="A2126" s="5" t="s">
        <v>1841</v>
      </c>
      <c r="B2126" s="6">
        <v>1000.0</v>
      </c>
      <c r="C2126" s="7" t="s">
        <v>1005</v>
      </c>
      <c r="E2126" s="8" t="str">
        <f>IFERROR(__xludf.DUMMYFUNCTION("SPLIT(A2126,""TX"")"),"Davis, Macey
8322 Ridgelea Street
Dallas, ")</f>
        <v>Davis, Macey
8322 Ridgelea Street
Dallas, </v>
      </c>
      <c r="F2126" s="8">
        <f>IFERROR(__xludf.DUMMYFUNCTION("""COMPUTED_VALUE"""),75209.0)</f>
        <v>75209</v>
      </c>
      <c r="I2126" s="8">
        <f t="shared" si="23"/>
        <v>75209</v>
      </c>
      <c r="J2126" s="9">
        <f>IFERROR(__xludf.DUMMYFUNCTION("SPLIT(I2126,""-"")"),75209.0)</f>
        <v>75209</v>
      </c>
    </row>
    <row r="2127">
      <c r="A2127" s="10" t="s">
        <v>1966</v>
      </c>
      <c r="B2127" s="11">
        <v>1000.0</v>
      </c>
      <c r="C2127" s="12" t="s">
        <v>1005</v>
      </c>
      <c r="E2127" s="8" t="str">
        <f>IFERROR(__xludf.DUMMYFUNCTION("SPLIT(A2127,""TX"")"),"Cook, Mary
1942 Malone Cliff View
Dallas, ")</f>
        <v>Cook, Mary
1942 Malone Cliff View
Dallas, </v>
      </c>
      <c r="F2127" s="8">
        <f>IFERROR(__xludf.DUMMYFUNCTION("""COMPUTED_VALUE"""),75208.0)</f>
        <v>75208</v>
      </c>
      <c r="I2127" s="8">
        <f t="shared" si="23"/>
        <v>75208</v>
      </c>
      <c r="J2127" s="9">
        <f>IFERROR(__xludf.DUMMYFUNCTION("SPLIT(I2127,""-"")"),75208.0)</f>
        <v>75208</v>
      </c>
    </row>
    <row r="2128">
      <c r="A2128" s="5" t="s">
        <v>1943</v>
      </c>
      <c r="B2128" s="6">
        <v>250.0</v>
      </c>
      <c r="C2128" s="7" t="s">
        <v>1005</v>
      </c>
      <c r="E2128" s="8" t="str">
        <f>IFERROR(__xludf.DUMMYFUNCTION("SPLIT(A2128,""TX"")"),"McCrary, Michael
1302 Bellaire Dr
Grapevine, ")</f>
        <v>McCrary, Michael
1302 Bellaire Dr
Grapevine, </v>
      </c>
      <c r="F2128" s="8">
        <f>IFERROR(__xludf.DUMMYFUNCTION("""COMPUTED_VALUE"""),76051.0)</f>
        <v>76051</v>
      </c>
      <c r="I2128" s="8">
        <f t="shared" si="23"/>
        <v>76051</v>
      </c>
      <c r="J2128" s="9">
        <f>IFERROR(__xludf.DUMMYFUNCTION("SPLIT(I2128,""-"")"),76051.0)</f>
        <v>76051</v>
      </c>
    </row>
    <row r="2129">
      <c r="A2129" s="10" t="s">
        <v>1967</v>
      </c>
      <c r="B2129" s="11">
        <v>100.0</v>
      </c>
      <c r="C2129" s="12" t="s">
        <v>1005</v>
      </c>
      <c r="E2129" s="8" t="str">
        <f>IFERROR(__xludf.DUMMYFUNCTION("SPLIT(A2129,""TX"")"),"Syler, ")</f>
        <v>Syler, </v>
      </c>
      <c r="F2129" s="8" t="str">
        <f>IFERROR(__xludf.DUMMYFUNCTION("""COMPUTED_VALUE"""),"erry
6661 Lakewood Boulevard
DALLAS, ")</f>
        <v>erry
6661 Lakewood Boulevard
DALLAS, </v>
      </c>
      <c r="G2129" s="8">
        <f>IFERROR(__xludf.DUMMYFUNCTION("""COMPUTED_VALUE"""),75214.0)</f>
        <v>75214</v>
      </c>
      <c r="I2129" s="8">
        <f t="shared" si="23"/>
        <v>75214</v>
      </c>
      <c r="J2129" s="9">
        <f>IFERROR(__xludf.DUMMYFUNCTION("SPLIT(I2129,""-"")"),75214.0)</f>
        <v>75214</v>
      </c>
    </row>
    <row r="2130">
      <c r="A2130" s="5" t="s">
        <v>1968</v>
      </c>
      <c r="B2130" s="6">
        <v>50.0</v>
      </c>
      <c r="C2130" s="7" t="s">
        <v>1005</v>
      </c>
      <c r="E2130" s="8" t="str">
        <f>IFERROR(__xludf.DUMMYFUNCTION("SPLIT(A2130,""TX"")"),"Ellis, ")</f>
        <v>Ellis, </v>
      </c>
      <c r="F2130" s="8" t="str">
        <f>IFERROR(__xludf.DUMMYFUNCTION("""COMPUTED_VALUE"""),"homas
6872 BURWOOD LN
DALLAS, ")</f>
        <v>homas
6872 BURWOOD LN
DALLAS, </v>
      </c>
      <c r="G2130" s="8">
        <f>IFERROR(__xludf.DUMMYFUNCTION("""COMPUTED_VALUE"""),75214.0)</f>
        <v>75214</v>
      </c>
      <c r="I2130" s="8">
        <f t="shared" si="23"/>
        <v>75214</v>
      </c>
      <c r="J2130" s="9">
        <f>IFERROR(__xludf.DUMMYFUNCTION("SPLIT(I2130,""-"")"),75214.0)</f>
        <v>75214</v>
      </c>
    </row>
    <row r="2131">
      <c r="A2131" s="10" t="s">
        <v>681</v>
      </c>
      <c r="B2131" s="11">
        <v>100.0</v>
      </c>
      <c r="C2131" s="12" t="s">
        <v>1005</v>
      </c>
      <c r="E2131" s="8" t="str">
        <f>IFERROR(__xludf.DUMMYFUNCTION("SPLIT(A2131,""TX"")"),"Forsythe Lill, Veletta
622 Blair Blvd.
Dallas, ")</f>
        <v>Forsythe Lill, Veletta
622 Blair Blvd.
Dallas, </v>
      </c>
      <c r="F2131" s="8">
        <f>IFERROR(__xludf.DUMMYFUNCTION("""COMPUTED_VALUE"""),75223.0)</f>
        <v>75223</v>
      </c>
      <c r="I2131" s="8">
        <f t="shared" si="23"/>
        <v>75223</v>
      </c>
      <c r="J2131" s="9">
        <f>IFERROR(__xludf.DUMMYFUNCTION("SPLIT(I2131,""-"")"),75223.0)</f>
        <v>75223</v>
      </c>
    </row>
    <row r="2132">
      <c r="A2132" s="5" t="s">
        <v>1969</v>
      </c>
      <c r="B2132" s="6">
        <v>200.0</v>
      </c>
      <c r="C2132" s="7" t="s">
        <v>1005</v>
      </c>
      <c r="E2132" s="8" t="str">
        <f>IFERROR(__xludf.DUMMYFUNCTION("SPLIT(A2132,""TX"")"),"Hoyt, Karen
7152 Dalewood Lane
Dallas, ")</f>
        <v>Hoyt, Karen
7152 Dalewood Lane
Dallas, </v>
      </c>
      <c r="F2132" s="8">
        <f>IFERROR(__xludf.DUMMYFUNCTION("""COMPUTED_VALUE"""),75214.0)</f>
        <v>75214</v>
      </c>
      <c r="I2132" s="8">
        <f t="shared" si="23"/>
        <v>75214</v>
      </c>
      <c r="J2132" s="9">
        <f>IFERROR(__xludf.DUMMYFUNCTION("SPLIT(I2132,""-"")"),75214.0)</f>
        <v>75214</v>
      </c>
    </row>
    <row r="2133">
      <c r="A2133" s="10" t="s">
        <v>1970</v>
      </c>
      <c r="B2133" s="11">
        <v>250.0</v>
      </c>
      <c r="C2133" s="12" t="s">
        <v>1005</v>
      </c>
      <c r="E2133" s="8" t="str">
        <f>IFERROR(__xludf.DUMMYFUNCTION("SPLIT(A2133,""TX"")"),"Hofland, Amy
7278 Williamson Circle
Dallas, ")</f>
        <v>Hofland, Amy
7278 Williamson Circle
Dallas, </v>
      </c>
      <c r="F2133" s="8">
        <f>IFERROR(__xludf.DUMMYFUNCTION("""COMPUTED_VALUE"""),75214.0)</f>
        <v>75214</v>
      </c>
      <c r="I2133" s="8">
        <f t="shared" si="23"/>
        <v>75214</v>
      </c>
      <c r="J2133" s="9">
        <f>IFERROR(__xludf.DUMMYFUNCTION("SPLIT(I2133,""-"")"),75214.0)</f>
        <v>75214</v>
      </c>
    </row>
    <row r="2134">
      <c r="A2134" s="5" t="s">
        <v>1971</v>
      </c>
      <c r="B2134" s="6">
        <v>50.0</v>
      </c>
      <c r="C2134" s="7" t="s">
        <v>1005</v>
      </c>
      <c r="E2134" s="8" t="str">
        <f>IFERROR(__xludf.DUMMYFUNCTION("SPLIT(A2134,""TX"")"),"Casey, Karen
6100 ")</f>
        <v>Casey, Karen
6100 </v>
      </c>
      <c r="F2134" s="8" t="str">
        <f>IFERROR(__xludf.DUMMYFUNCTION("""COMPUTED_VALUE"""),"remont St
Dallas, ")</f>
        <v>remont St
Dallas, </v>
      </c>
      <c r="G2134" s="8">
        <f>IFERROR(__xludf.DUMMYFUNCTION("""COMPUTED_VALUE"""),75214.0)</f>
        <v>75214</v>
      </c>
      <c r="I2134" s="8">
        <f t="shared" si="23"/>
        <v>75214</v>
      </c>
      <c r="J2134" s="9">
        <f>IFERROR(__xludf.DUMMYFUNCTION("SPLIT(I2134,""-"")"),75214.0)</f>
        <v>75214</v>
      </c>
    </row>
    <row r="2135">
      <c r="A2135" s="10" t="s">
        <v>1972</v>
      </c>
      <c r="B2135" s="11">
        <v>50.0</v>
      </c>
      <c r="C2135" s="12" t="s">
        <v>1005</v>
      </c>
      <c r="E2135" s="8" t="str">
        <f>IFERROR(__xludf.DUMMYFUNCTION("SPLIT(A2135,""TX"")"),"Suhm, Mary
12703 Nutty Brown Rd
Austin, ")</f>
        <v>Suhm, Mary
12703 Nutty Brown Rd
Austin, </v>
      </c>
      <c r="F2135" s="8">
        <f>IFERROR(__xludf.DUMMYFUNCTION("""COMPUTED_VALUE"""),78737.0)</f>
        <v>78737</v>
      </c>
      <c r="I2135" s="8">
        <f t="shared" si="23"/>
        <v>78737</v>
      </c>
      <c r="J2135" s="9">
        <f>IFERROR(__xludf.DUMMYFUNCTION("SPLIT(I2135,""-"")"),78737.0)</f>
        <v>78737</v>
      </c>
    </row>
    <row r="2136">
      <c r="A2136" s="5" t="s">
        <v>1097</v>
      </c>
      <c r="B2136" s="6">
        <v>1000.0</v>
      </c>
      <c r="C2136" s="7" t="s">
        <v>1005</v>
      </c>
      <c r="E2136" s="8" t="str">
        <f>IFERROR(__xludf.DUMMYFUNCTION("SPLIT(A2136,""TX"")"),"Boone, Garrett
4809 Cole Ave
Dallas, ")</f>
        <v>Boone, Garrett
4809 Cole Ave
Dallas, </v>
      </c>
      <c r="F2136" s="8">
        <f>IFERROR(__xludf.DUMMYFUNCTION("""COMPUTED_VALUE"""),75205.0)</f>
        <v>75205</v>
      </c>
      <c r="I2136" s="8">
        <f t="shared" si="23"/>
        <v>75205</v>
      </c>
      <c r="J2136" s="9">
        <f>IFERROR(__xludf.DUMMYFUNCTION("SPLIT(I2136,""-"")"),75205.0)</f>
        <v>75205</v>
      </c>
    </row>
    <row r="2137">
      <c r="A2137" s="10" t="s">
        <v>1951</v>
      </c>
      <c r="B2137" s="11">
        <v>50.0</v>
      </c>
      <c r="C2137" s="12" t="s">
        <v>1005</v>
      </c>
      <c r="E2137" s="8" t="str">
        <f>IFERROR(__xludf.DUMMYFUNCTION("SPLIT(A2137,""TX"")"),"Henry, Barry
1717 Arts Plaza Residence 1801
Dallas, ")</f>
        <v>Henry, Barry
1717 Arts Plaza Residence 1801
Dallas, </v>
      </c>
      <c r="F2137" s="8">
        <f>IFERROR(__xludf.DUMMYFUNCTION("""COMPUTED_VALUE"""),75201.0)</f>
        <v>75201</v>
      </c>
      <c r="I2137" s="8">
        <f t="shared" si="23"/>
        <v>75201</v>
      </c>
      <c r="J2137" s="9">
        <f>IFERROR(__xludf.DUMMYFUNCTION("SPLIT(I2137,""-"")"),75201.0)</f>
        <v>75201</v>
      </c>
    </row>
    <row r="2138">
      <c r="A2138" s="5" t="s">
        <v>1953</v>
      </c>
      <c r="B2138" s="6">
        <v>50.0</v>
      </c>
      <c r="C2138" s="7" t="s">
        <v>1005</v>
      </c>
      <c r="E2138" s="8" t="str">
        <f>IFERROR(__xludf.DUMMYFUNCTION("SPLIT(A2138,""TX"")"),"Abrams, John
6427 Bob O Link Dr.
Dallas, ")</f>
        <v>Abrams, John
6427 Bob O Link Dr.
Dallas, </v>
      </c>
      <c r="F2138" s="8">
        <f>IFERROR(__xludf.DUMMYFUNCTION("""COMPUTED_VALUE"""),75214.0)</f>
        <v>75214</v>
      </c>
      <c r="I2138" s="8">
        <f t="shared" si="23"/>
        <v>75214</v>
      </c>
      <c r="J2138" s="9">
        <f>IFERROR(__xludf.DUMMYFUNCTION("SPLIT(I2138,""-"")"),75214.0)</f>
        <v>75214</v>
      </c>
    </row>
    <row r="2139">
      <c r="A2139" s="10" t="s">
        <v>1957</v>
      </c>
      <c r="B2139" s="11">
        <v>100.0</v>
      </c>
      <c r="C2139" s="12" t="s">
        <v>1005</v>
      </c>
      <c r="E2139" s="8" t="str">
        <f>IFERROR(__xludf.DUMMYFUNCTION("SPLIT(A2139,""TX"")"),"Conner, ")</f>
        <v>Conner, </v>
      </c>
      <c r="F2139" s="8" t="str">
        <f>IFERROR(__xludf.DUMMYFUNCTION("""COMPUTED_VALUE"""),"erry
7110 Lakewood Boulevard
Dallas, ")</f>
        <v>erry
7110 Lakewood Boulevard
Dallas, </v>
      </c>
      <c r="G2139" s="8">
        <f>IFERROR(__xludf.DUMMYFUNCTION("""COMPUTED_VALUE"""),75214.0)</f>
        <v>75214</v>
      </c>
      <c r="I2139" s="8">
        <f t="shared" si="23"/>
        <v>75214</v>
      </c>
      <c r="J2139" s="9">
        <f>IFERROR(__xludf.DUMMYFUNCTION("SPLIT(I2139,""-"")"),75214.0)</f>
        <v>75214</v>
      </c>
    </row>
    <row r="2140">
      <c r="A2140" s="5" t="s">
        <v>1973</v>
      </c>
      <c r="B2140" s="6">
        <v>250.0</v>
      </c>
      <c r="C2140" s="7" t="s">
        <v>1005</v>
      </c>
      <c r="E2140" s="8" t="str">
        <f>IFERROR(__xludf.DUMMYFUNCTION("SPLIT(A2140,""TX"")"),"Elevation Management, LLC
6208 Copperhill Drive
Dallas, ")</f>
        <v>Elevation Management, LLC
6208 Copperhill Drive
Dallas, </v>
      </c>
      <c r="F2140" s="8">
        <f>IFERROR(__xludf.DUMMYFUNCTION("""COMPUTED_VALUE"""),75248.0)</f>
        <v>75248</v>
      </c>
      <c r="I2140" s="8">
        <f t="shared" si="23"/>
        <v>75248</v>
      </c>
      <c r="J2140" s="9">
        <f>IFERROR(__xludf.DUMMYFUNCTION("SPLIT(I2140,""-"")"),75248.0)</f>
        <v>75248</v>
      </c>
    </row>
    <row r="2141">
      <c r="A2141" s="10" t="s">
        <v>1974</v>
      </c>
      <c r="B2141" s="11">
        <v>250.0</v>
      </c>
      <c r="C2141" s="12" t="s">
        <v>1005</v>
      </c>
      <c r="E2141" s="8" t="str">
        <f>IFERROR(__xludf.DUMMYFUNCTION("SPLIT(A2141,""TX"")"),"England, Andy
6567 Anita Street
Dallas, ")</f>
        <v>England, Andy
6567 Anita Street
Dallas, </v>
      </c>
      <c r="F2141" s="8">
        <f>IFERROR(__xludf.DUMMYFUNCTION("""COMPUTED_VALUE"""),75214.0)</f>
        <v>75214</v>
      </c>
      <c r="I2141" s="8">
        <f t="shared" si="23"/>
        <v>75214</v>
      </c>
      <c r="J2141" s="9">
        <f>IFERROR(__xludf.DUMMYFUNCTION("SPLIT(I2141,""-"")"),75214.0)</f>
        <v>75214</v>
      </c>
    </row>
    <row r="2142">
      <c r="A2142" s="5" t="s">
        <v>1975</v>
      </c>
      <c r="B2142" s="6">
        <v>50.0</v>
      </c>
      <c r="C2142" s="7" t="s">
        <v>1005</v>
      </c>
      <c r="E2142" s="8" t="str">
        <f>IFERROR(__xludf.DUMMYFUNCTION("SPLIT(A2142,""TX"")"),"Ash, Michael
1535 Camino Lago
Irving, ")</f>
        <v>Ash, Michael
1535 Camino Lago
Irving, </v>
      </c>
      <c r="F2142" s="8">
        <f>IFERROR(__xludf.DUMMYFUNCTION("""COMPUTED_VALUE"""),75039.0)</f>
        <v>75039</v>
      </c>
      <c r="I2142" s="8">
        <f t="shared" si="23"/>
        <v>75039</v>
      </c>
      <c r="J2142" s="9">
        <f>IFERROR(__xludf.DUMMYFUNCTION("SPLIT(I2142,""-"")"),75039.0)</f>
        <v>75039</v>
      </c>
    </row>
    <row r="2143">
      <c r="A2143" s="10" t="s">
        <v>1976</v>
      </c>
      <c r="B2143" s="11">
        <v>200.0</v>
      </c>
      <c r="C2143" s="12" t="s">
        <v>1005</v>
      </c>
      <c r="E2143" s="8" t="str">
        <f>IFERROR(__xludf.DUMMYFUNCTION("SPLIT(A2143,""TX"")"),"Vandiver, Rich
6705 Bob O Link Drive
Dallas, ")</f>
        <v>Vandiver, Rich
6705 Bob O Link Drive
Dallas, </v>
      </c>
      <c r="F2143" s="8">
        <f>IFERROR(__xludf.DUMMYFUNCTION("""COMPUTED_VALUE"""),75214.0)</f>
        <v>75214</v>
      </c>
      <c r="I2143" s="8">
        <f t="shared" si="23"/>
        <v>75214</v>
      </c>
      <c r="J2143" s="9">
        <f>IFERROR(__xludf.DUMMYFUNCTION("SPLIT(I2143,""-"")"),75214.0)</f>
        <v>75214</v>
      </c>
    </row>
    <row r="2144">
      <c r="A2144" s="5" t="s">
        <v>1977</v>
      </c>
      <c r="B2144" s="6">
        <v>50.0</v>
      </c>
      <c r="C2144" s="7" t="s">
        <v>1005</v>
      </c>
      <c r="E2144" s="8" t="str">
        <f>IFERROR(__xludf.DUMMYFUNCTION("SPLIT(A2144,""TX"")"),"Garcia, Ryan
8102 Old Moss Road
Dallas, ")</f>
        <v>Garcia, Ryan
8102 Old Moss Road
Dallas, </v>
      </c>
      <c r="F2144" s="8">
        <f>IFERROR(__xludf.DUMMYFUNCTION("""COMPUTED_VALUE"""),75231.0)</f>
        <v>75231</v>
      </c>
      <c r="I2144" s="8">
        <f t="shared" si="23"/>
        <v>75231</v>
      </c>
      <c r="J2144" s="9">
        <f>IFERROR(__xludf.DUMMYFUNCTION("SPLIT(I2144,""-"")"),75231.0)</f>
        <v>75231</v>
      </c>
    </row>
    <row r="2145">
      <c r="A2145" s="10" t="s">
        <v>1978</v>
      </c>
      <c r="B2145" s="11">
        <v>2000.0</v>
      </c>
      <c r="C2145" s="12" t="s">
        <v>1005</v>
      </c>
      <c r="E2145" s="8" t="str">
        <f>IFERROR(__xludf.DUMMYFUNCTION("SPLIT(A2145,""TX"")"),"Matthews, John
320 West Main Street
Lewisville, ")</f>
        <v>Matthews, John
320 West Main Street
Lewisville, </v>
      </c>
      <c r="F2145" s="8">
        <f>IFERROR(__xludf.DUMMYFUNCTION("""COMPUTED_VALUE"""),75057.0)</f>
        <v>75057</v>
      </c>
      <c r="I2145" s="8">
        <f t="shared" si="23"/>
        <v>75057</v>
      </c>
      <c r="J2145" s="9">
        <f>IFERROR(__xludf.DUMMYFUNCTION("SPLIT(I2145,""-"")"),75057.0)</f>
        <v>75057</v>
      </c>
    </row>
    <row r="2146">
      <c r="A2146" s="5" t="s">
        <v>1979</v>
      </c>
      <c r="B2146" s="6">
        <v>50.0</v>
      </c>
      <c r="C2146" s="7" t="s">
        <v>1005</v>
      </c>
      <c r="E2146" s="8" t="str">
        <f>IFERROR(__xludf.DUMMYFUNCTION("SPLIT(A2146,""TX"")"),"Hoffman, Alan
9010 Groveland Drive
Dallas, ")</f>
        <v>Hoffman, Alan
9010 Groveland Drive
Dallas, </v>
      </c>
      <c r="F2146" s="8">
        <f>IFERROR(__xludf.DUMMYFUNCTION("""COMPUTED_VALUE"""),75218.0)</f>
        <v>75218</v>
      </c>
      <c r="I2146" s="8">
        <f t="shared" si="23"/>
        <v>75218</v>
      </c>
      <c r="J2146" s="9">
        <f>IFERROR(__xludf.DUMMYFUNCTION("SPLIT(I2146,""-"")"),75218.0)</f>
        <v>75218</v>
      </c>
    </row>
    <row r="2147">
      <c r="A2147" s="10" t="s">
        <v>1980</v>
      </c>
      <c r="B2147" s="11">
        <v>100.0</v>
      </c>
      <c r="C2147" s="12" t="s">
        <v>1005</v>
      </c>
      <c r="E2147" s="8" t="str">
        <f>IFERROR(__xludf.DUMMYFUNCTION("SPLIT(A2147,""TX"")"),"Linderman, ")</f>
        <v>Linderman, </v>
      </c>
      <c r="F2147" s="8" t="str">
        <f>IFERROR(__xludf.DUMMYFUNCTION("""COMPUTED_VALUE"""),"ricia
4409 Westside
Dallas, ")</f>
        <v>ricia
4409 Westside
Dallas, </v>
      </c>
      <c r="G2147" s="8">
        <f>IFERROR(__xludf.DUMMYFUNCTION("""COMPUTED_VALUE"""),75209.0)</f>
        <v>75209</v>
      </c>
      <c r="I2147" s="8">
        <f t="shared" si="23"/>
        <v>75209</v>
      </c>
      <c r="J2147" s="9">
        <f>IFERROR(__xludf.DUMMYFUNCTION("SPLIT(I2147,""-"")"),75209.0)</f>
        <v>75209</v>
      </c>
    </row>
    <row r="2148">
      <c r="A2148" s="5" t="s">
        <v>1981</v>
      </c>
      <c r="B2148" s="6">
        <v>150.0</v>
      </c>
      <c r="C2148" s="7" t="s">
        <v>1005</v>
      </c>
      <c r="E2148" s="8" t="str">
        <f>IFERROR(__xludf.DUMMYFUNCTION("SPLIT(A2148,""TX"")"),"Schulz, Amanda
5943 Palo Pinto Avenue
Dallas, ")</f>
        <v>Schulz, Amanda
5943 Palo Pinto Avenue
Dallas, </v>
      </c>
      <c r="F2148" s="8">
        <f>IFERROR(__xludf.DUMMYFUNCTION("""COMPUTED_VALUE"""),75206.0)</f>
        <v>75206</v>
      </c>
      <c r="I2148" s="8">
        <f t="shared" si="23"/>
        <v>75206</v>
      </c>
      <c r="J2148" s="9">
        <f>IFERROR(__xludf.DUMMYFUNCTION("SPLIT(I2148,""-"")"),75206.0)</f>
        <v>75206</v>
      </c>
    </row>
    <row r="2149">
      <c r="A2149" s="10" t="s">
        <v>1982</v>
      </c>
      <c r="B2149" s="11">
        <v>50.0</v>
      </c>
      <c r="C2149" s="12" t="s">
        <v>1005</v>
      </c>
      <c r="E2149" s="8" t="str">
        <f>IFERROR(__xludf.DUMMYFUNCTION("SPLIT(A2149,""TX"")"),"Hays, Brandon
440 Parkhurst Dr
Dallas, ")</f>
        <v>Hays, Brandon
440 Parkhurst Dr
Dallas, </v>
      </c>
      <c r="F2149" s="8">
        <f>IFERROR(__xludf.DUMMYFUNCTION("""COMPUTED_VALUE"""),75218.0)</f>
        <v>75218</v>
      </c>
      <c r="I2149" s="8">
        <f t="shared" si="23"/>
        <v>75218</v>
      </c>
      <c r="J2149" s="9">
        <f>IFERROR(__xludf.DUMMYFUNCTION("SPLIT(I2149,""-"")"),75218.0)</f>
        <v>75218</v>
      </c>
    </row>
    <row r="2150">
      <c r="A2150" s="5" t="s">
        <v>1983</v>
      </c>
      <c r="B2150" s="6">
        <v>100.0</v>
      </c>
      <c r="C2150" s="7" t="s">
        <v>1005</v>
      </c>
      <c r="E2150" s="8" t="str">
        <f>IFERROR(__xludf.DUMMYFUNCTION("SPLIT(A2150,""TX"")"),"SMI")</f>
        <v>SMI</v>
      </c>
      <c r="F2150" s="8" t="str">
        <f>IFERROR(__xludf.DUMMYFUNCTION("""COMPUTED_VALUE"""),"H, Jake
3700 E Randol Mill Road
Arlington, ")</f>
        <v>H, Jake
3700 E Randol Mill Road
Arlington, </v>
      </c>
      <c r="G2150" s="8">
        <f>IFERROR(__xludf.DUMMYFUNCTION("""COMPUTED_VALUE"""),76011.0)</f>
        <v>76011</v>
      </c>
      <c r="I2150" s="8">
        <f t="shared" si="23"/>
        <v>76011</v>
      </c>
      <c r="J2150" s="9">
        <f>IFERROR(__xludf.DUMMYFUNCTION("SPLIT(I2150,""-"")"),76011.0)</f>
        <v>76011</v>
      </c>
    </row>
    <row r="2151">
      <c r="A2151" s="10" t="s">
        <v>1984</v>
      </c>
      <c r="B2151" s="11">
        <v>250.0</v>
      </c>
      <c r="C2151" s="12" t="s">
        <v>1005</v>
      </c>
      <c r="E2151" s="8" t="str">
        <f>IFERROR(__xludf.DUMMYFUNCTION("SPLIT(A2151,""TX"")"),"Hamilton, Jane Hope
623 Aspen Valley Lane
Dallas, ")</f>
        <v>Hamilton, Jane Hope
623 Aspen Valley Lane
Dallas, </v>
      </c>
      <c r="F2151" s="8">
        <f>IFERROR(__xludf.DUMMYFUNCTION("""COMPUTED_VALUE"""),75208.0)</f>
        <v>75208</v>
      </c>
      <c r="I2151" s="8">
        <f t="shared" si="23"/>
        <v>75208</v>
      </c>
      <c r="J2151" s="9">
        <f>IFERROR(__xludf.DUMMYFUNCTION("SPLIT(I2151,""-"")"),75208.0)</f>
        <v>75208</v>
      </c>
    </row>
    <row r="2152">
      <c r="A2152" s="5" t="s">
        <v>1985</v>
      </c>
      <c r="B2152" s="6">
        <v>150.0</v>
      </c>
      <c r="C2152" s="7" t="s">
        <v>1005</v>
      </c>
      <c r="E2152" s="8" t="str">
        <f>IFERROR(__xludf.DUMMYFUNCTION("SPLIT(A2152,""TX"")"),"Rigelsky, Jay
6342 Belmont
Dallas, ")</f>
        <v>Rigelsky, Jay
6342 Belmont
Dallas, </v>
      </c>
      <c r="F2152" s="8">
        <f>IFERROR(__xludf.DUMMYFUNCTION("""COMPUTED_VALUE"""),75214.0)</f>
        <v>75214</v>
      </c>
      <c r="I2152" s="8">
        <f t="shared" si="23"/>
        <v>75214</v>
      </c>
      <c r="J2152" s="9">
        <f>IFERROR(__xludf.DUMMYFUNCTION("SPLIT(I2152,""-"")"),75214.0)</f>
        <v>75214</v>
      </c>
    </row>
    <row r="2153">
      <c r="A2153" s="10" t="s">
        <v>1986</v>
      </c>
      <c r="B2153" s="11">
        <v>1000.0</v>
      </c>
      <c r="C2153" s="12" t="s">
        <v>1005</v>
      </c>
      <c r="E2153" s="8" t="str">
        <f>IFERROR(__xludf.DUMMYFUNCTION("SPLIT(A2153,""TX"")"),"Williams, Kirk
3012 Rosedale Avenue
Dallas, ")</f>
        <v>Williams, Kirk
3012 Rosedale Avenue
Dallas, </v>
      </c>
      <c r="F2153" s="8">
        <f>IFERROR(__xludf.DUMMYFUNCTION("""COMPUTED_VALUE"""),75205.0)</f>
        <v>75205</v>
      </c>
      <c r="I2153" s="8">
        <f t="shared" si="23"/>
        <v>75205</v>
      </c>
      <c r="J2153" s="9">
        <f>IFERROR(__xludf.DUMMYFUNCTION("SPLIT(I2153,""-"")"),75205.0)</f>
        <v>75205</v>
      </c>
    </row>
    <row r="2154">
      <c r="A2154" s="5" t="s">
        <v>1987</v>
      </c>
      <c r="B2154" s="6">
        <v>1000.0</v>
      </c>
      <c r="C2154" s="7" t="s">
        <v>1005</v>
      </c>
      <c r="E2154" s="8" t="str">
        <f>IFERROR(__xludf.DUMMYFUNCTION("SPLIT(A2154,""TX"")"),"Proctor, John Lee
1524 Oak Meadows
Dallas, ")</f>
        <v>Proctor, John Lee
1524 Oak Meadows
Dallas, </v>
      </c>
      <c r="F2154" s="8">
        <f>IFERROR(__xludf.DUMMYFUNCTION("""COMPUTED_VALUE"""),75232.0)</f>
        <v>75232</v>
      </c>
      <c r="I2154" s="8">
        <f t="shared" si="23"/>
        <v>75232</v>
      </c>
      <c r="J2154" s="9">
        <f>IFERROR(__xludf.DUMMYFUNCTION("SPLIT(I2154,""-"")"),75232.0)</f>
        <v>75232</v>
      </c>
    </row>
    <row r="2155">
      <c r="A2155" s="10" t="s">
        <v>1988</v>
      </c>
      <c r="B2155" s="11">
        <v>1000.0</v>
      </c>
      <c r="C2155" s="12" t="s">
        <v>1005</v>
      </c>
      <c r="E2155" s="8" t="str">
        <f>IFERROR(__xludf.DUMMYFUNCTION("SPLIT(A2155,""TX"")"),"Lopez, Roy
4326 Meadowdale
Dallas, ")</f>
        <v>Lopez, Roy
4326 Meadowdale
Dallas, </v>
      </c>
      <c r="F2155" s="8">
        <f>IFERROR(__xludf.DUMMYFUNCTION("""COMPUTED_VALUE"""),75229.0)</f>
        <v>75229</v>
      </c>
      <c r="I2155" s="8">
        <f t="shared" si="23"/>
        <v>75229</v>
      </c>
      <c r="J2155" s="9">
        <f>IFERROR(__xludf.DUMMYFUNCTION("SPLIT(I2155,""-"")"),75229.0)</f>
        <v>75229</v>
      </c>
    </row>
    <row r="2156">
      <c r="A2156" s="5" t="s">
        <v>1989</v>
      </c>
      <c r="B2156" s="6">
        <v>100.0</v>
      </c>
      <c r="C2156" s="7" t="s">
        <v>1005</v>
      </c>
      <c r="E2156" s="8" t="str">
        <f>IFERROR(__xludf.DUMMYFUNCTION("SPLIT(A2156,""TX"")"),"Melton, Warren
613 Mt. Auburn
Dallas, ")</f>
        <v>Melton, Warren
613 Mt. Auburn
Dallas, </v>
      </c>
      <c r="F2156" s="8">
        <f>IFERROR(__xludf.DUMMYFUNCTION("""COMPUTED_VALUE"""),75223.0)</f>
        <v>75223</v>
      </c>
      <c r="I2156" s="8">
        <f t="shared" si="23"/>
        <v>75223</v>
      </c>
      <c r="J2156" s="9">
        <f>IFERROR(__xludf.DUMMYFUNCTION("SPLIT(I2156,""-"")"),75223.0)</f>
        <v>75223</v>
      </c>
    </row>
    <row r="2157">
      <c r="A2157" s="10" t="s">
        <v>1990</v>
      </c>
      <c r="B2157" s="11">
        <v>250.0</v>
      </c>
      <c r="C2157" s="12" t="s">
        <v>1005</v>
      </c>
      <c r="E2157" s="8" t="str">
        <f>IFERROR(__xludf.DUMMYFUNCTION("SPLIT(A2157,""TX"")"),"Goldwater, Andrea
40637 Annabelle Glen Place
Aldie, VA 20105")</f>
        <v>Goldwater, Andrea
40637 Annabelle Glen Place
Aldie, VA 20105</v>
      </c>
      <c r="I2157" s="8" t="str">
        <f t="shared" si="23"/>
        <v/>
      </c>
      <c r="J2157" s="9" t="str">
        <f>IFERROR(__xludf.DUMMYFUNCTION("SPLIT(I2157,""-"")"),"#VALUE!")</f>
        <v>#VALUE!</v>
      </c>
    </row>
    <row r="2158">
      <c r="A2158" s="5" t="s">
        <v>1991</v>
      </c>
      <c r="B2158" s="6">
        <v>50.0</v>
      </c>
      <c r="C2158" s="7" t="s">
        <v>1005</v>
      </c>
      <c r="E2158" s="8" t="str">
        <f>IFERROR(__xludf.DUMMYFUNCTION("SPLIT(A2158,""TX"")"),"Sievers, Lisa
8238 Barbaree Boulevard
Dallas, ")</f>
        <v>Sievers, Lisa
8238 Barbaree Boulevard
Dallas, </v>
      </c>
      <c r="F2158" s="8">
        <f>IFERROR(__xludf.DUMMYFUNCTION("""COMPUTED_VALUE"""),75228.0)</f>
        <v>75228</v>
      </c>
      <c r="I2158" s="8">
        <f t="shared" si="23"/>
        <v>75228</v>
      </c>
      <c r="J2158" s="9">
        <f>IFERROR(__xludf.DUMMYFUNCTION("SPLIT(I2158,""-"")"),75228.0)</f>
        <v>75228</v>
      </c>
    </row>
    <row r="2159">
      <c r="A2159" s="10" t="s">
        <v>1992</v>
      </c>
      <c r="B2159" s="11">
        <v>500.0</v>
      </c>
      <c r="C2159" s="12" t="s">
        <v>1005</v>
      </c>
      <c r="E2159" s="8" t="str">
        <f>IFERROR(__xludf.DUMMYFUNCTION("SPLIT(A2159,""TX"")"),"Rodriguez, Minerva
400 North Saint Paul Street 300
Dallas, ")</f>
        <v>Rodriguez, Minerva
400 North Saint Paul Street 300
Dallas, </v>
      </c>
      <c r="F2159" s="8">
        <f>IFERROR(__xludf.DUMMYFUNCTION("""COMPUTED_VALUE"""),75201.0)</f>
        <v>75201</v>
      </c>
      <c r="I2159" s="8">
        <f t="shared" si="23"/>
        <v>75201</v>
      </c>
      <c r="J2159" s="9">
        <f>IFERROR(__xludf.DUMMYFUNCTION("SPLIT(I2159,""-"")"),75201.0)</f>
        <v>75201</v>
      </c>
    </row>
    <row r="2160">
      <c r="A2160" s="5" t="s">
        <v>1993</v>
      </c>
      <c r="B2160" s="6">
        <v>1000.0</v>
      </c>
      <c r="C2160" s="7" t="s">
        <v>1005</v>
      </c>
      <c r="E2160" s="8" t="str">
        <f>IFERROR(__xludf.DUMMYFUNCTION("SPLIT(A2160,""TX"")"),"Valach, Kenneth
5 Lazee ")</f>
        <v>Valach, Kenneth
5 Lazee </v>
      </c>
      <c r="F2160" s="8" t="str">
        <f>IFERROR(__xludf.DUMMYFUNCTION("""COMPUTED_VALUE"""),"rail
Houston, ")</f>
        <v>rail
Houston, </v>
      </c>
      <c r="G2160" s="8">
        <f>IFERROR(__xludf.DUMMYFUNCTION("""COMPUTED_VALUE"""),77024.0)</f>
        <v>77024</v>
      </c>
      <c r="I2160" s="8">
        <f t="shared" si="23"/>
        <v>77024</v>
      </c>
      <c r="J2160" s="9">
        <f>IFERROR(__xludf.DUMMYFUNCTION("SPLIT(I2160,""-"")"),77024.0)</f>
        <v>77024</v>
      </c>
    </row>
    <row r="2161">
      <c r="A2161" s="10" t="s">
        <v>1852</v>
      </c>
      <c r="B2161" s="11">
        <v>1000.0</v>
      </c>
      <c r="C2161" s="12" t="s">
        <v>1005</v>
      </c>
      <c r="E2161" s="8" t="str">
        <f>IFERROR(__xludf.DUMMYFUNCTION("SPLIT(A2161,""TX"")"),"Crow, Katherine
4700 Preston
Dallas, ")</f>
        <v>Crow, Katherine
4700 Preston
Dallas, </v>
      </c>
      <c r="F2161" s="8">
        <f>IFERROR(__xludf.DUMMYFUNCTION("""COMPUTED_VALUE"""),75205.0)</f>
        <v>75205</v>
      </c>
      <c r="I2161" s="8">
        <f t="shared" si="23"/>
        <v>75205</v>
      </c>
      <c r="J2161" s="9">
        <f>IFERROR(__xludf.DUMMYFUNCTION("SPLIT(I2161,""-"")"),75205.0)</f>
        <v>75205</v>
      </c>
    </row>
    <row r="2162">
      <c r="A2162" s="5" t="s">
        <v>1994</v>
      </c>
      <c r="B2162" s="6">
        <v>250.0</v>
      </c>
      <c r="C2162" s="7" t="s">
        <v>1005</v>
      </c>
      <c r="E2162" s="8" t="str">
        <f>IFERROR(__xludf.DUMMYFUNCTION("SPLIT(A2162,""TX"")"),"Bazan, Kathryn
10456 Vinemont Street
Dallas, ")</f>
        <v>Bazan, Kathryn
10456 Vinemont Street
Dallas, </v>
      </c>
      <c r="F2162" s="8">
        <f>IFERROR(__xludf.DUMMYFUNCTION("""COMPUTED_VALUE"""),75218.0)</f>
        <v>75218</v>
      </c>
      <c r="I2162" s="8">
        <f t="shared" si="23"/>
        <v>75218</v>
      </c>
      <c r="J2162" s="9">
        <f>IFERROR(__xludf.DUMMYFUNCTION("SPLIT(I2162,""-"")"),75218.0)</f>
        <v>75218</v>
      </c>
    </row>
    <row r="2163">
      <c r="A2163" s="10" t="s">
        <v>1995</v>
      </c>
      <c r="B2163" s="11">
        <v>50.0</v>
      </c>
      <c r="C2163" s="12" t="s">
        <v>1005</v>
      </c>
      <c r="E2163" s="8" t="str">
        <f>IFERROR(__xludf.DUMMYFUNCTION("SPLIT(A2163,""TX"")"),"Holloway, Mike and
1505 Elm St 1004
DALLAS, ")</f>
        <v>Holloway, Mike and
1505 Elm St 1004
DALLAS, </v>
      </c>
      <c r="F2163" s="8">
        <f>IFERROR(__xludf.DUMMYFUNCTION("""COMPUTED_VALUE"""),75201.0)</f>
        <v>75201</v>
      </c>
      <c r="I2163" s="8">
        <f t="shared" si="23"/>
        <v>75201</v>
      </c>
      <c r="J2163" s="9">
        <f>IFERROR(__xludf.DUMMYFUNCTION("SPLIT(I2163,""-"")"),75201.0)</f>
        <v>75201</v>
      </c>
    </row>
    <row r="2164">
      <c r="A2164" s="5" t="s">
        <v>1996</v>
      </c>
      <c r="B2164" s="6">
        <v>500.0</v>
      </c>
      <c r="C2164" s="7" t="s">
        <v>1005</v>
      </c>
      <c r="E2164" s="8" t="str">
        <f>IFERROR(__xludf.DUMMYFUNCTION("SPLIT(A2164,""TX"")"),"Bratton, Calvert Collins
4738 Hallmark Drive
Dallas, ")</f>
        <v>Bratton, Calvert Collins
4738 Hallmark Drive
Dallas, </v>
      </c>
      <c r="F2164" s="8">
        <f>IFERROR(__xludf.DUMMYFUNCTION("""COMPUTED_VALUE"""),75229.0)</f>
        <v>75229</v>
      </c>
      <c r="I2164" s="8">
        <f t="shared" si="23"/>
        <v>75229</v>
      </c>
      <c r="J2164" s="9">
        <f>IFERROR(__xludf.DUMMYFUNCTION("SPLIT(I2164,""-"")"),75229.0)</f>
        <v>75229</v>
      </c>
    </row>
    <row r="2165">
      <c r="A2165" s="10" t="s">
        <v>1997</v>
      </c>
      <c r="B2165" s="11">
        <v>100.0</v>
      </c>
      <c r="C2165" s="12" t="s">
        <v>1005</v>
      </c>
      <c r="E2165" s="8" t="str">
        <f>IFERROR(__xludf.DUMMYFUNCTION("SPLIT(A2165,""TX"")"),"Kraft, Eric
7039 Lakeshore Drive
Dallas, ")</f>
        <v>Kraft, Eric
7039 Lakeshore Drive
Dallas, </v>
      </c>
      <c r="F2165" s="8">
        <f>IFERROR(__xludf.DUMMYFUNCTION("""COMPUTED_VALUE"""),75214.0)</f>
        <v>75214</v>
      </c>
      <c r="I2165" s="8">
        <f t="shared" si="23"/>
        <v>75214</v>
      </c>
      <c r="J2165" s="9">
        <f>IFERROR(__xludf.DUMMYFUNCTION("SPLIT(I2165,""-"")"),75214.0)</f>
        <v>75214</v>
      </c>
    </row>
    <row r="2166">
      <c r="A2166" s="5" t="s">
        <v>1998</v>
      </c>
      <c r="B2166" s="6">
        <v>150.0</v>
      </c>
      <c r="C2166" s="7" t="s">
        <v>1005</v>
      </c>
      <c r="E2166" s="8" t="str">
        <f>IFERROR(__xludf.DUMMYFUNCTION("SPLIT(A2166,""TX"")"),"Bryant, Kevin
4463 Brookview Dr
Dallas, ")</f>
        <v>Bryant, Kevin
4463 Brookview Dr
Dallas, </v>
      </c>
      <c r="F2166" s="8">
        <f>IFERROR(__xludf.DUMMYFUNCTION("""COMPUTED_VALUE"""),75220.0)</f>
        <v>75220</v>
      </c>
      <c r="I2166" s="8">
        <f t="shared" si="23"/>
        <v>75220</v>
      </c>
      <c r="J2166" s="9">
        <f>IFERROR(__xludf.DUMMYFUNCTION("SPLIT(I2166,""-"")"),75220.0)</f>
        <v>75220</v>
      </c>
    </row>
    <row r="2167">
      <c r="A2167" s="10" t="s">
        <v>1779</v>
      </c>
      <c r="B2167" s="11">
        <v>1000.0</v>
      </c>
      <c r="C2167" s="12" t="s">
        <v>1005</v>
      </c>
      <c r="E2167" s="8" t="str">
        <f>IFERROR(__xludf.DUMMYFUNCTION("SPLIT(A2167,""TX"")"),"Crow, Harlan
3819 Maple Ave
Dallas, ")</f>
        <v>Crow, Harlan
3819 Maple Ave
Dallas, </v>
      </c>
      <c r="F2167" s="8">
        <f>IFERROR(__xludf.DUMMYFUNCTION("""COMPUTED_VALUE"""),75219.0)</f>
        <v>75219</v>
      </c>
      <c r="I2167" s="8">
        <f t="shared" si="23"/>
        <v>75219</v>
      </c>
      <c r="J2167" s="9">
        <f>IFERROR(__xludf.DUMMYFUNCTION("SPLIT(I2167,""-"")"),75219.0)</f>
        <v>75219</v>
      </c>
    </row>
    <row r="2168">
      <c r="A2168" s="5" t="s">
        <v>1519</v>
      </c>
      <c r="B2168" s="6">
        <v>1000.0</v>
      </c>
      <c r="C2168" s="7" t="s">
        <v>1005</v>
      </c>
      <c r="E2168" s="8" t="str">
        <f>IFERROR(__xludf.DUMMYFUNCTION("SPLIT(A2168,""TX"")"),"Crow, ")</f>
        <v>Crow, </v>
      </c>
      <c r="F2168" s="8" t="str">
        <f>IFERROR(__xludf.DUMMYFUNCTION("""COMPUTED_VALUE"""),"rammell
4000 Rock Creek Drive
Dallas, ")</f>
        <v>rammell
4000 Rock Creek Drive
Dallas, </v>
      </c>
      <c r="G2168" s="8">
        <f>IFERROR(__xludf.DUMMYFUNCTION("""COMPUTED_VALUE"""),75204.0)</f>
        <v>75204</v>
      </c>
      <c r="I2168" s="8">
        <f t="shared" si="23"/>
        <v>75204</v>
      </c>
      <c r="J2168" s="9">
        <f>IFERROR(__xludf.DUMMYFUNCTION("SPLIT(I2168,""-"")"),75204.0)</f>
        <v>75204</v>
      </c>
    </row>
    <row r="2169">
      <c r="A2169" s="10" t="s">
        <v>1999</v>
      </c>
      <c r="B2169" s="11">
        <v>100.0</v>
      </c>
      <c r="C2169" s="12" t="s">
        <v>1005</v>
      </c>
      <c r="E2169" s="8" t="str">
        <f>IFERROR(__xludf.DUMMYFUNCTION("SPLIT(A2169,""TX"")"),"Boruff, Darren
6445 Lake Circle Drive
Dallas, ")</f>
        <v>Boruff, Darren
6445 Lake Circle Drive
Dallas, </v>
      </c>
      <c r="F2169" s="8">
        <f>IFERROR(__xludf.DUMMYFUNCTION("""COMPUTED_VALUE"""),75214.0)</f>
        <v>75214</v>
      </c>
      <c r="I2169" s="8">
        <f t="shared" si="23"/>
        <v>75214</v>
      </c>
      <c r="J2169" s="9">
        <f>IFERROR(__xludf.DUMMYFUNCTION("SPLIT(I2169,""-"")"),75214.0)</f>
        <v>75214</v>
      </c>
    </row>
    <row r="2170">
      <c r="A2170" s="5" t="s">
        <v>2000</v>
      </c>
      <c r="B2170" s="6">
        <v>250.0</v>
      </c>
      <c r="C2170" s="7" t="s">
        <v>1005</v>
      </c>
      <c r="E2170" s="8" t="str">
        <f>IFERROR(__xludf.DUMMYFUNCTION("SPLIT(A2170,""TX"")"),"Coats, Sam
26 Ryddington Pl
Dallas, ")</f>
        <v>Coats, Sam
26 Ryddington Pl
Dallas, </v>
      </c>
      <c r="F2170" s="8">
        <f>IFERROR(__xludf.DUMMYFUNCTION("""COMPUTED_VALUE"""),75230.0)</f>
        <v>75230</v>
      </c>
      <c r="I2170" s="8">
        <f t="shared" si="23"/>
        <v>75230</v>
      </c>
      <c r="J2170" s="9">
        <f>IFERROR(__xludf.DUMMYFUNCTION("SPLIT(I2170,""-"")"),75230.0)</f>
        <v>75230</v>
      </c>
    </row>
    <row r="2171">
      <c r="A2171" s="10" t="s">
        <v>2001</v>
      </c>
      <c r="B2171" s="11">
        <v>100.0</v>
      </c>
      <c r="C2171" s="12" t="s">
        <v>1005</v>
      </c>
      <c r="E2171" s="8" t="str">
        <f>IFERROR(__xludf.DUMMYFUNCTION("SPLIT(A2171,""TX"")"),"Finkelman, Lois
11437 West Ricks Circle
Dallas, ")</f>
        <v>Finkelman, Lois
11437 West Ricks Circle
Dallas, </v>
      </c>
      <c r="F2171" s="8">
        <f>IFERROR(__xludf.DUMMYFUNCTION("""COMPUTED_VALUE"""),75230.0)</f>
        <v>75230</v>
      </c>
      <c r="I2171" s="8">
        <f t="shared" si="23"/>
        <v>75230</v>
      </c>
      <c r="J2171" s="9">
        <f>IFERROR(__xludf.DUMMYFUNCTION("SPLIT(I2171,""-"")"),75230.0)</f>
        <v>75230</v>
      </c>
    </row>
    <row r="2172">
      <c r="A2172" s="5" t="s">
        <v>2002</v>
      </c>
      <c r="B2172" s="6">
        <v>100.0</v>
      </c>
      <c r="C2172" s="7" t="s">
        <v>1005</v>
      </c>
      <c r="E2172" s="8" t="str">
        <f>IFERROR(__xludf.DUMMYFUNCTION("SPLIT(A2172,""TX"")"),"Smith, Suzanne
3210 Carlisle Street No 62
Dallas, ")</f>
        <v>Smith, Suzanne
3210 Carlisle Street No 62
Dallas, </v>
      </c>
      <c r="F2172" s="8">
        <f>IFERROR(__xludf.DUMMYFUNCTION("""COMPUTED_VALUE"""),75204.0)</f>
        <v>75204</v>
      </c>
      <c r="I2172" s="8">
        <f t="shared" si="23"/>
        <v>75204</v>
      </c>
      <c r="J2172" s="9">
        <f>IFERROR(__xludf.DUMMYFUNCTION("SPLIT(I2172,""-"")"),75204.0)</f>
        <v>75204</v>
      </c>
    </row>
    <row r="2173">
      <c r="A2173" s="10" t="s">
        <v>2003</v>
      </c>
      <c r="B2173" s="11">
        <v>50.0</v>
      </c>
      <c r="C2173" s="12" t="s">
        <v>636</v>
      </c>
      <c r="E2173" s="8" t="str">
        <f>IFERROR(__xludf.DUMMYFUNCTION("SPLIT(A2173,""TX"")"),"Bacon, Diana
9834 Shoreview Rd
Dallas, ")</f>
        <v>Bacon, Diana
9834 Shoreview Rd
Dallas, </v>
      </c>
      <c r="F2173" s="8">
        <f>IFERROR(__xludf.DUMMYFUNCTION("""COMPUTED_VALUE"""),75238.0)</f>
        <v>75238</v>
      </c>
      <c r="I2173" s="8">
        <f t="shared" si="23"/>
        <v>75238</v>
      </c>
      <c r="J2173" s="9">
        <f>IFERROR(__xludf.DUMMYFUNCTION("SPLIT(I2173,""-"")"),75238.0)</f>
        <v>75238</v>
      </c>
    </row>
    <row r="2174">
      <c r="A2174" s="10" t="s">
        <v>2004</v>
      </c>
      <c r="B2174" s="11">
        <v>51.0</v>
      </c>
      <c r="C2174" s="12" t="s">
        <v>636</v>
      </c>
      <c r="E2174" s="8" t="str">
        <f>IFERROR(__xludf.DUMMYFUNCTION("SPLIT(A2174,""TX"")"),"Sexton, ")</f>
        <v>Sexton, </v>
      </c>
      <c r="F2174" s="8" t="str">
        <f>IFERROR(__xludf.DUMMYFUNCTION("""COMPUTED_VALUE"""),"im
9930 Donegal Dr.
Dallas, ")</f>
        <v>im
9930 Donegal Dr.
Dallas, </v>
      </c>
      <c r="G2174" s="8">
        <f>IFERROR(__xludf.DUMMYFUNCTION("""COMPUTED_VALUE"""),75218.0)</f>
        <v>75218</v>
      </c>
      <c r="I2174" s="8">
        <f t="shared" si="23"/>
        <v>75218</v>
      </c>
      <c r="J2174" s="9">
        <f>IFERROR(__xludf.DUMMYFUNCTION("SPLIT(I2174,""-"")"),75218.0)</f>
        <v>75218</v>
      </c>
    </row>
    <row r="2175">
      <c r="A2175" s="10" t="s">
        <v>2005</v>
      </c>
      <c r="B2175" s="11">
        <v>151.0</v>
      </c>
      <c r="C2175" s="12" t="s">
        <v>636</v>
      </c>
      <c r="E2175" s="8" t="str">
        <f>IFERROR(__xludf.DUMMYFUNCTION("SPLIT(A2175,""TX"")"),"Owen, Jennifer
6541 Arborist Lane
Dallas, ")</f>
        <v>Owen, Jennifer
6541 Arborist Lane
Dallas, </v>
      </c>
      <c r="F2175" s="8">
        <f>IFERROR(__xludf.DUMMYFUNCTION("""COMPUTED_VALUE"""),75214.0)</f>
        <v>75214</v>
      </c>
      <c r="I2175" s="8">
        <f t="shared" si="23"/>
        <v>75214</v>
      </c>
      <c r="J2175" s="9">
        <f>IFERROR(__xludf.DUMMYFUNCTION("SPLIT(I2175,""-"")"),75214.0)</f>
        <v>75214</v>
      </c>
    </row>
    <row r="2176">
      <c r="A2176" s="10" t="s">
        <v>638</v>
      </c>
      <c r="B2176" s="11">
        <v>51.0</v>
      </c>
      <c r="C2176" s="12" t="s">
        <v>636</v>
      </c>
      <c r="E2176" s="8" t="str">
        <f>IFERROR(__xludf.DUMMYFUNCTION("SPLIT(A2176,""TX"")"),"Green, Rhonda
6646 E. Lovers Lane
Dallas, ")</f>
        <v>Green, Rhonda
6646 E. Lovers Lane
Dallas, </v>
      </c>
      <c r="F2176" s="8">
        <f>IFERROR(__xludf.DUMMYFUNCTION("""COMPUTED_VALUE"""),75214.0)</f>
        <v>75214</v>
      </c>
      <c r="I2176" s="8">
        <f t="shared" si="23"/>
        <v>75214</v>
      </c>
      <c r="J2176" s="9">
        <f>IFERROR(__xludf.DUMMYFUNCTION("SPLIT(I2176,""-"")"),75214.0)</f>
        <v>75214</v>
      </c>
    </row>
    <row r="2177">
      <c r="A2177" s="10" t="s">
        <v>638</v>
      </c>
      <c r="B2177" s="11">
        <v>51.0</v>
      </c>
      <c r="C2177" s="12" t="s">
        <v>636</v>
      </c>
      <c r="E2177" s="8" t="str">
        <f>IFERROR(__xludf.DUMMYFUNCTION("SPLIT(A2177,""TX"")"),"Green, Rhonda
6646 E. Lovers Lane
Dallas, ")</f>
        <v>Green, Rhonda
6646 E. Lovers Lane
Dallas, </v>
      </c>
      <c r="F2177" s="8">
        <f>IFERROR(__xludf.DUMMYFUNCTION("""COMPUTED_VALUE"""),75214.0)</f>
        <v>75214</v>
      </c>
      <c r="I2177" s="8">
        <f t="shared" si="23"/>
        <v>75214</v>
      </c>
      <c r="J2177" s="9">
        <f>IFERROR(__xludf.DUMMYFUNCTION("SPLIT(I2177,""-"")"),75214.0)</f>
        <v>75214</v>
      </c>
    </row>
    <row r="2178">
      <c r="A2178" s="10" t="s">
        <v>211</v>
      </c>
      <c r="B2178" s="11">
        <v>250.0</v>
      </c>
      <c r="C2178" s="12" t="s">
        <v>636</v>
      </c>
      <c r="E2178" s="8" t="str">
        <f>IFERROR(__xludf.DUMMYFUNCTION("SPLIT(A2178,""TX"")"),"Dalton, Jeff
8552 Royal County Down Drive
McKinney, ")</f>
        <v>Dalton, Jeff
8552 Royal County Down Drive
McKinney, </v>
      </c>
      <c r="F2178" s="8">
        <f>IFERROR(__xludf.DUMMYFUNCTION("""COMPUTED_VALUE"""),75070.0)</f>
        <v>75070</v>
      </c>
      <c r="I2178" s="8">
        <f t="shared" si="23"/>
        <v>75070</v>
      </c>
      <c r="J2178" s="9">
        <f>IFERROR(__xludf.DUMMYFUNCTION("SPLIT(I2178,""-"")"),75070.0)</f>
        <v>75070</v>
      </c>
    </row>
    <row r="2179">
      <c r="A2179" s="10" t="s">
        <v>2006</v>
      </c>
      <c r="B2179" s="11">
        <v>51.0</v>
      </c>
      <c r="C2179" s="12" t="s">
        <v>636</v>
      </c>
      <c r="E2179" s="8" t="str">
        <f>IFERROR(__xludf.DUMMYFUNCTION("SPLIT(A2179,""TX"")"),"Estrada, Erika
10419 Lanshire
Dallas, ")</f>
        <v>Estrada, Erika
10419 Lanshire
Dallas, </v>
      </c>
      <c r="F2179" s="8">
        <f>IFERROR(__xludf.DUMMYFUNCTION("""COMPUTED_VALUE"""),75238.0)</f>
        <v>75238</v>
      </c>
      <c r="I2179" s="8">
        <f t="shared" si="23"/>
        <v>75238</v>
      </c>
      <c r="J2179" s="9">
        <f>IFERROR(__xludf.DUMMYFUNCTION("SPLIT(I2179,""-"")"),75238.0)</f>
        <v>75238</v>
      </c>
    </row>
    <row r="2180">
      <c r="A2180" s="10" t="s">
        <v>2007</v>
      </c>
      <c r="B2180" s="11">
        <v>102.0</v>
      </c>
      <c r="C2180" s="12" t="s">
        <v>636</v>
      </c>
      <c r="E2180" s="8" t="str">
        <f>IFERROR(__xludf.DUMMYFUNCTION("SPLIT(A2180,""TX"")"),"Allen, Julie
7614 Currin Dr
Dallas, ")</f>
        <v>Allen, Julie
7614 Currin Dr
Dallas, </v>
      </c>
      <c r="F2180" s="8">
        <f>IFERROR(__xludf.DUMMYFUNCTION("""COMPUTED_VALUE"""),75230.0)</f>
        <v>75230</v>
      </c>
      <c r="I2180" s="8">
        <f t="shared" si="23"/>
        <v>75230</v>
      </c>
      <c r="J2180" s="9">
        <f>IFERROR(__xludf.DUMMYFUNCTION("SPLIT(I2180,""-"")"),75230.0)</f>
        <v>75230</v>
      </c>
    </row>
    <row r="2181">
      <c r="A2181" s="10" t="s">
        <v>2008</v>
      </c>
      <c r="B2181" s="11">
        <v>51.0</v>
      </c>
      <c r="C2181" s="12" t="s">
        <v>636</v>
      </c>
      <c r="E2181" s="8" t="str">
        <f>IFERROR(__xludf.DUMMYFUNCTION("SPLIT(A2181,""TX"")"),"Hunter, ")</f>
        <v>Hunter, </v>
      </c>
      <c r="F2181" s="8" t="str">
        <f>IFERROR(__xludf.DUMMYFUNCTION("""COMPUTED_VALUE"""),"erry
2210 Ash Grove Way
Dallas, ")</f>
        <v>erry
2210 Ash Grove Way
Dallas, </v>
      </c>
      <c r="G2181" s="8">
        <f>IFERROR(__xludf.DUMMYFUNCTION("""COMPUTED_VALUE"""),75228.0)</f>
        <v>75228</v>
      </c>
      <c r="I2181" s="8">
        <f t="shared" si="23"/>
        <v>75228</v>
      </c>
      <c r="J2181" s="9">
        <f>IFERROR(__xludf.DUMMYFUNCTION("SPLIT(I2181,""-"")"),75228.0)</f>
        <v>75228</v>
      </c>
    </row>
    <row r="2182">
      <c r="A2182" s="10" t="s">
        <v>2009</v>
      </c>
      <c r="B2182" s="11">
        <v>10.0</v>
      </c>
      <c r="C2182" s="12" t="s">
        <v>636</v>
      </c>
      <c r="E2182" s="8" t="str">
        <f>IFERROR(__xludf.DUMMYFUNCTION("SPLIT(A2182,""TX"")"),"Kanthor, Pam
230 Barclay Ave
Coppell, ")</f>
        <v>Kanthor, Pam
230 Barclay Ave
Coppell, </v>
      </c>
      <c r="F2182" s="8">
        <f>IFERROR(__xludf.DUMMYFUNCTION("""COMPUTED_VALUE"""),75019.0)</f>
        <v>75019</v>
      </c>
      <c r="I2182" s="8">
        <f t="shared" si="23"/>
        <v>75019</v>
      </c>
      <c r="J2182" s="9">
        <f>IFERROR(__xludf.DUMMYFUNCTION("SPLIT(I2182,""-"")"),75019.0)</f>
        <v>75019</v>
      </c>
    </row>
    <row r="2183">
      <c r="A2183" s="10" t="s">
        <v>2010</v>
      </c>
      <c r="B2183" s="11">
        <v>251.0</v>
      </c>
      <c r="C2183" s="12" t="s">
        <v>636</v>
      </c>
      <c r="E2183" s="8" t="str">
        <f>IFERROR(__xludf.DUMMYFUNCTION("SPLIT(A2183,""TX"")"),"Donovan, Dan &amp; Hon. Carol
6509 Malcolm Drive
Dallas, ")</f>
        <v>Donovan, Dan &amp; Hon. Carol
6509 Malcolm Drive
Dallas, </v>
      </c>
      <c r="F2183" s="8">
        <f>IFERROR(__xludf.DUMMYFUNCTION("""COMPUTED_VALUE"""),75214.0)</f>
        <v>75214</v>
      </c>
      <c r="I2183" s="8">
        <f t="shared" si="23"/>
        <v>75214</v>
      </c>
      <c r="J2183" s="9">
        <f>IFERROR(__xludf.DUMMYFUNCTION("SPLIT(I2183,""-"")"),75214.0)</f>
        <v>75214</v>
      </c>
    </row>
    <row r="2184">
      <c r="A2184" s="10" t="s">
        <v>2011</v>
      </c>
      <c r="B2184" s="11">
        <v>50.0</v>
      </c>
      <c r="C2184" s="12" t="s">
        <v>636</v>
      </c>
      <c r="E2184" s="8" t="str">
        <f>IFERROR(__xludf.DUMMYFUNCTION("SPLIT(A2184,""TX"")"),"Reiss, William
2310 Mimosa Pl
Wilmington, NC 28403")</f>
        <v>Reiss, William
2310 Mimosa Pl
Wilmington, NC 28403</v>
      </c>
      <c r="I2184" s="8" t="str">
        <f t="shared" si="23"/>
        <v/>
      </c>
      <c r="J2184" s="9" t="str">
        <f>IFERROR(__xludf.DUMMYFUNCTION("SPLIT(I2184,""-"")"),"#VALUE!")</f>
        <v>#VALUE!</v>
      </c>
    </row>
    <row r="2185">
      <c r="A2185" s="10" t="s">
        <v>2012</v>
      </c>
      <c r="B2185" s="11">
        <v>102.0</v>
      </c>
      <c r="C2185" s="12" t="s">
        <v>636</v>
      </c>
      <c r="E2185" s="8" t="str">
        <f>IFERROR(__xludf.DUMMYFUNCTION("SPLIT(A2185,""TX"")"),"Grazzini, Alessio
4207 Calculus dr
Dallas, ")</f>
        <v>Grazzini, Alessio
4207 Calculus dr
Dallas, </v>
      </c>
      <c r="F2185" s="8">
        <f>IFERROR(__xludf.DUMMYFUNCTION("""COMPUTED_VALUE"""),75244.0)</f>
        <v>75244</v>
      </c>
      <c r="I2185" s="8">
        <f t="shared" si="23"/>
        <v>75244</v>
      </c>
      <c r="J2185" s="9">
        <f>IFERROR(__xludf.DUMMYFUNCTION("SPLIT(I2185,""-"")"),75244.0)</f>
        <v>75244</v>
      </c>
    </row>
    <row r="2186">
      <c r="A2186" s="10" t="s">
        <v>2013</v>
      </c>
      <c r="B2186" s="11">
        <v>51.0</v>
      </c>
      <c r="C2186" s="12" t="s">
        <v>636</v>
      </c>
      <c r="E2186" s="8" t="str">
        <f>IFERROR(__xludf.DUMMYFUNCTION("SPLIT(A2186,""TX"")"),"Bogart, Billie
1825 Place One
Garland, ")</f>
        <v>Bogart, Billie
1825 Place One
Garland, </v>
      </c>
      <c r="F2186" s="8">
        <f>IFERROR(__xludf.DUMMYFUNCTION("""COMPUTED_VALUE"""),75042.0)</f>
        <v>75042</v>
      </c>
      <c r="I2186" s="8">
        <f t="shared" si="23"/>
        <v>75042</v>
      </c>
      <c r="J2186" s="9">
        <f>IFERROR(__xludf.DUMMYFUNCTION("SPLIT(I2186,""-"")"),75042.0)</f>
        <v>75042</v>
      </c>
    </row>
    <row r="2187">
      <c r="A2187" s="10" t="s">
        <v>2014</v>
      </c>
      <c r="B2187" s="11">
        <v>100.0</v>
      </c>
      <c r="C2187" s="12" t="s">
        <v>636</v>
      </c>
      <c r="E2187" s="8" t="str">
        <f>IFERROR(__xludf.DUMMYFUNCTION("SPLIT(A2187,""TX"")"),"Baker, Jeri
10416 Church Road Dallas
Dallas, ")</f>
        <v>Baker, Jeri
10416 Church Road Dallas
Dallas, </v>
      </c>
      <c r="F2187" s="8">
        <f>IFERROR(__xludf.DUMMYFUNCTION("""COMPUTED_VALUE"""),75238.0)</f>
        <v>75238</v>
      </c>
      <c r="I2187" s="8">
        <f t="shared" si="23"/>
        <v>75238</v>
      </c>
      <c r="J2187" s="9">
        <f>IFERROR(__xludf.DUMMYFUNCTION("SPLIT(I2187,""-"")"),75238.0)</f>
        <v>75238</v>
      </c>
    </row>
    <row r="2188">
      <c r="A2188" s="10" t="s">
        <v>2015</v>
      </c>
      <c r="B2188" s="11">
        <v>51.0</v>
      </c>
      <c r="C2188" s="12" t="s">
        <v>636</v>
      </c>
      <c r="E2188" s="8" t="str">
        <f>IFERROR(__xludf.DUMMYFUNCTION("SPLIT(A2188,""TX"")"),"Lin, Gilbert
8498 Banquo Dr
Dallas, ")</f>
        <v>Lin, Gilbert
8498 Banquo Dr
Dallas, </v>
      </c>
      <c r="F2188" s="8">
        <f>IFERROR(__xludf.DUMMYFUNCTION("""COMPUTED_VALUE"""),75228.0)</f>
        <v>75228</v>
      </c>
      <c r="I2188" s="8">
        <f t="shared" si="23"/>
        <v>75228</v>
      </c>
      <c r="J2188" s="9">
        <f>IFERROR(__xludf.DUMMYFUNCTION("SPLIT(I2188,""-"")"),75228.0)</f>
        <v>75228</v>
      </c>
    </row>
    <row r="2189">
      <c r="A2189" s="10" t="s">
        <v>2016</v>
      </c>
      <c r="B2189" s="11">
        <v>51.0</v>
      </c>
      <c r="C2189" s="12" t="s">
        <v>636</v>
      </c>
      <c r="E2189" s="8" t="str">
        <f>IFERROR(__xludf.DUMMYFUNCTION("SPLIT(A2189,""TX"")"),"Crain, William
9454 Spring Branch Dr.
Dallas, ")</f>
        <v>Crain, William
9454 Spring Branch Dr.
Dallas, </v>
      </c>
      <c r="F2189" s="8">
        <f>IFERROR(__xludf.DUMMYFUNCTION("""COMPUTED_VALUE"""),75238.0)</f>
        <v>75238</v>
      </c>
      <c r="I2189" s="8">
        <f t="shared" si="23"/>
        <v>75238</v>
      </c>
      <c r="J2189" s="9">
        <f>IFERROR(__xludf.DUMMYFUNCTION("SPLIT(I2189,""-"")"),75238.0)</f>
        <v>75238</v>
      </c>
    </row>
    <row r="2190">
      <c r="A2190" s="10" t="s">
        <v>2017</v>
      </c>
      <c r="B2190" s="11">
        <v>151.0</v>
      </c>
      <c r="C2190" s="12" t="s">
        <v>636</v>
      </c>
      <c r="E2190" s="8" t="str">
        <f>IFERROR(__xludf.DUMMYFUNCTION("SPLIT(A2190,""TX"")"),"Donovan, Carol
6509 Malcolm Drive
Dallas, ")</f>
        <v>Donovan, Carol
6509 Malcolm Drive
Dallas, </v>
      </c>
      <c r="F2190" s="8">
        <f>IFERROR(__xludf.DUMMYFUNCTION("""COMPUTED_VALUE"""),75214.0)</f>
        <v>75214</v>
      </c>
      <c r="I2190" s="8">
        <f t="shared" si="23"/>
        <v>75214</v>
      </c>
      <c r="J2190" s="9">
        <f>IFERROR(__xludf.DUMMYFUNCTION("SPLIT(I2190,""-"")"),75214.0)</f>
        <v>75214</v>
      </c>
    </row>
    <row r="2191">
      <c r="A2191" s="10" t="s">
        <v>994</v>
      </c>
      <c r="B2191" s="11">
        <v>25.0</v>
      </c>
      <c r="C2191" s="12" t="s">
        <v>636</v>
      </c>
      <c r="E2191" s="8" t="str">
        <f>IFERROR(__xludf.DUMMYFUNCTION("SPLIT(A2191,""TX"")"),"Overby, Debra
8530 Bacardi Dr
Dallas, ")</f>
        <v>Overby, Debra
8530 Bacardi Dr
Dallas, </v>
      </c>
      <c r="F2191" s="8">
        <f>IFERROR(__xludf.DUMMYFUNCTION("""COMPUTED_VALUE"""),75238.0)</f>
        <v>75238</v>
      </c>
      <c r="I2191" s="8">
        <f t="shared" si="23"/>
        <v>75238</v>
      </c>
      <c r="J2191" s="9">
        <f>IFERROR(__xludf.DUMMYFUNCTION("SPLIT(I2191,""-"")"),75238.0)</f>
        <v>75238</v>
      </c>
    </row>
    <row r="2192">
      <c r="A2192" s="10" t="s">
        <v>998</v>
      </c>
      <c r="B2192" s="11">
        <v>50.0</v>
      </c>
      <c r="C2192" s="12" t="s">
        <v>636</v>
      </c>
      <c r="E2192" s="8" t="str">
        <f>IFERROR(__xludf.DUMMYFUNCTION("SPLIT(A2192,""TX"")"),"Wills, Suzanne
8412 Moorcroft Drive
Dallas, ")</f>
        <v>Wills, Suzanne
8412 Moorcroft Drive
Dallas, </v>
      </c>
      <c r="F2192" s="8">
        <f>IFERROR(__xludf.DUMMYFUNCTION("""COMPUTED_VALUE"""),75228.0)</f>
        <v>75228</v>
      </c>
      <c r="I2192" s="8">
        <f t="shared" si="23"/>
        <v>75228</v>
      </c>
      <c r="J2192" s="9">
        <f>IFERROR(__xludf.DUMMYFUNCTION("SPLIT(I2192,""-"")"),75228.0)</f>
        <v>75228</v>
      </c>
    </row>
    <row r="2193">
      <c r="A2193" s="10" t="s">
        <v>2018</v>
      </c>
      <c r="B2193" s="11">
        <v>102.0</v>
      </c>
      <c r="C2193" s="12" t="s">
        <v>636</v>
      </c>
      <c r="E2193" s="8" t="str">
        <f>IFERROR(__xludf.DUMMYFUNCTION("SPLIT(A2193,""TX"")"),"Ginsberg, Elizabeth
6172 Preston Haven
Dallas, ")</f>
        <v>Ginsberg, Elizabeth
6172 Preston Haven
Dallas, </v>
      </c>
      <c r="F2193" s="8">
        <f>IFERROR(__xludf.DUMMYFUNCTION("""COMPUTED_VALUE"""),75230.0)</f>
        <v>75230</v>
      </c>
      <c r="I2193" s="8">
        <f t="shared" si="23"/>
        <v>75230</v>
      </c>
      <c r="J2193" s="9">
        <f>IFERROR(__xludf.DUMMYFUNCTION("SPLIT(I2193,""-"")"),75230.0)</f>
        <v>75230</v>
      </c>
    </row>
    <row r="2194">
      <c r="A2194" s="10" t="s">
        <v>2019</v>
      </c>
      <c r="B2194" s="11">
        <v>151.0</v>
      </c>
      <c r="C2194" s="12" t="s">
        <v>636</v>
      </c>
      <c r="E2194" s="8" t="str">
        <f>IFERROR(__xludf.DUMMYFUNCTION("SPLIT(A2194,""TX"")"),"Noble, Kristy
9821 Estacado Dr
Dallas, ")</f>
        <v>Noble, Kristy
9821 Estacado Dr
Dallas, </v>
      </c>
      <c r="F2194" s="8">
        <f>IFERROR(__xludf.DUMMYFUNCTION("""COMPUTED_VALUE"""),75228.0)</f>
        <v>75228</v>
      </c>
      <c r="I2194" s="8">
        <f t="shared" si="23"/>
        <v>75228</v>
      </c>
      <c r="J2194" s="9">
        <f>IFERROR(__xludf.DUMMYFUNCTION("SPLIT(I2194,""-"")"),75228.0)</f>
        <v>75228</v>
      </c>
    </row>
    <row r="2195">
      <c r="A2195" s="10" t="s">
        <v>2020</v>
      </c>
      <c r="B2195" s="11">
        <v>51.0</v>
      </c>
      <c r="C2195" s="12" t="s">
        <v>636</v>
      </c>
      <c r="E2195" s="8" t="str">
        <f>IFERROR(__xludf.DUMMYFUNCTION("SPLIT(A2195,""TX"")"),"Farmer, Maureen
9405 Clearhurst Drive
Dallas, ")</f>
        <v>Farmer, Maureen
9405 Clearhurst Drive
Dallas, </v>
      </c>
      <c r="F2195" s="8">
        <f>IFERROR(__xludf.DUMMYFUNCTION("""COMPUTED_VALUE"""),75238.0)</f>
        <v>75238</v>
      </c>
      <c r="I2195" s="8">
        <f t="shared" si="23"/>
        <v>75238</v>
      </c>
      <c r="J2195" s="9">
        <f>IFERROR(__xludf.DUMMYFUNCTION("SPLIT(I2195,""-"")"),75238.0)</f>
        <v>75238</v>
      </c>
    </row>
    <row r="2196">
      <c r="A2196" s="10" t="s">
        <v>2021</v>
      </c>
      <c r="B2196" s="11">
        <v>102.0</v>
      </c>
      <c r="C2196" s="12" t="s">
        <v>636</v>
      </c>
      <c r="E2196" s="8" t="str">
        <f>IFERROR(__xludf.DUMMYFUNCTION("SPLIT(A2196,""TX"")"),"Feustel, Christi
7301 LAKEWOOD BLVD
DALLAS, ")</f>
        <v>Feustel, Christi
7301 LAKEWOOD BLVD
DALLAS, </v>
      </c>
      <c r="F2196" s="8">
        <f>IFERROR(__xludf.DUMMYFUNCTION("""COMPUTED_VALUE"""),75214.0)</f>
        <v>75214</v>
      </c>
      <c r="I2196" s="8">
        <f t="shared" si="23"/>
        <v>75214</v>
      </c>
      <c r="J2196" s="9">
        <f>IFERROR(__xludf.DUMMYFUNCTION("SPLIT(I2196,""-"")"),75214.0)</f>
        <v>75214</v>
      </c>
    </row>
    <row r="2197">
      <c r="A2197" s="10" t="s">
        <v>2022</v>
      </c>
      <c r="B2197" s="11">
        <v>51.0</v>
      </c>
      <c r="C2197" s="12" t="s">
        <v>636</v>
      </c>
      <c r="E2197" s="8" t="str">
        <f>IFERROR(__xludf.DUMMYFUNCTION("SPLIT(A2197,""TX"")"),"Piper, Victoria
179 Highland
Hamilton, MA 19820")</f>
        <v>Piper, Victoria
179 Highland
Hamilton, MA 19820</v>
      </c>
      <c r="I2197" s="8" t="str">
        <f t="shared" si="23"/>
        <v/>
      </c>
      <c r="J2197" s="9" t="str">
        <f>IFERROR(__xludf.DUMMYFUNCTION("SPLIT(I2197,""-"")"),"#VALUE!")</f>
        <v>#VALUE!</v>
      </c>
    </row>
    <row r="2198">
      <c r="A2198" s="10" t="s">
        <v>2023</v>
      </c>
      <c r="B2198" s="11">
        <v>51.0</v>
      </c>
      <c r="C2198" s="12" t="s">
        <v>636</v>
      </c>
      <c r="E2198" s="8" t="str">
        <f>IFERROR(__xludf.DUMMYFUNCTION("SPLIT(A2198,""TX"")"),"Howard, ")</f>
        <v>Howard, </v>
      </c>
      <c r="F2198" s="8" t="str">
        <f>IFERROR(__xludf.DUMMYFUNCTION("""COMPUTED_VALUE"""),"odd
9623 Athlone Drive
Dallas, ")</f>
        <v>odd
9623 Athlone Drive
Dallas, </v>
      </c>
      <c r="G2198" s="8">
        <f>IFERROR(__xludf.DUMMYFUNCTION("""COMPUTED_VALUE"""),75218.0)</f>
        <v>75218</v>
      </c>
      <c r="I2198" s="8">
        <f t="shared" si="23"/>
        <v>75218</v>
      </c>
      <c r="J2198" s="9">
        <f>IFERROR(__xludf.DUMMYFUNCTION("SPLIT(I2198,""-"")"),75218.0)</f>
        <v>75218</v>
      </c>
    </row>
    <row r="2199">
      <c r="A2199" s="10" t="s">
        <v>2024</v>
      </c>
      <c r="B2199" s="11">
        <v>102.0</v>
      </c>
      <c r="C2199" s="12" t="s">
        <v>636</v>
      </c>
      <c r="E2199" s="8" t="str">
        <f>IFERROR(__xludf.DUMMYFUNCTION("SPLIT(A2199,""TX"")"),"Walsh, Joshua
2525 North Henderson Avenue
Dallas, ")</f>
        <v>Walsh, Joshua
2525 North Henderson Avenue
Dallas, </v>
      </c>
      <c r="F2199" s="8">
        <f>IFERROR(__xludf.DUMMYFUNCTION("""COMPUTED_VALUE"""),75206.0)</f>
        <v>75206</v>
      </c>
      <c r="I2199" s="8">
        <f t="shared" si="23"/>
        <v>75206</v>
      </c>
      <c r="J2199" s="9">
        <f>IFERROR(__xludf.DUMMYFUNCTION("SPLIT(I2199,""-"")"),75206.0)</f>
        <v>75206</v>
      </c>
    </row>
    <row r="2200">
      <c r="A2200" s="10" t="s">
        <v>2025</v>
      </c>
      <c r="B2200" s="11">
        <v>102.0</v>
      </c>
      <c r="C2200" s="12" t="s">
        <v>636</v>
      </c>
      <c r="E2200" s="8" t="str">
        <f>IFERROR(__xludf.DUMMYFUNCTION("SPLIT(A2200,""TX"")"),"Gearing, Charles
9332 Mercer Dr
Dallas, ")</f>
        <v>Gearing, Charles
9332 Mercer Dr
Dallas, </v>
      </c>
      <c r="F2200" s="8">
        <f>IFERROR(__xludf.DUMMYFUNCTION("""COMPUTED_VALUE"""),75228.0)</f>
        <v>75228</v>
      </c>
      <c r="I2200" s="8">
        <f t="shared" si="23"/>
        <v>75228</v>
      </c>
      <c r="J2200" s="9">
        <f>IFERROR(__xludf.DUMMYFUNCTION("SPLIT(I2200,""-"")"),75228.0)</f>
        <v>75228</v>
      </c>
    </row>
    <row r="2201">
      <c r="A2201" s="10" t="s">
        <v>2026</v>
      </c>
      <c r="B2201" s="11">
        <v>51.0</v>
      </c>
      <c r="C2201" s="12" t="s">
        <v>636</v>
      </c>
      <c r="E2201" s="8" t="str">
        <f>IFERROR(__xludf.DUMMYFUNCTION("SPLIT(A2201,""TX"")"),"Cole, Sterling
2808 Pasadena Pl
Flower Mound, ")</f>
        <v>Cole, Sterling
2808 Pasadena Pl
Flower Mound, </v>
      </c>
      <c r="F2201" s="8">
        <f>IFERROR(__xludf.DUMMYFUNCTION("""COMPUTED_VALUE"""),75022.0)</f>
        <v>75022</v>
      </c>
      <c r="I2201" s="8">
        <f t="shared" si="23"/>
        <v>75022</v>
      </c>
      <c r="J2201" s="9">
        <f>IFERROR(__xludf.DUMMYFUNCTION("SPLIT(I2201,""-"")"),75022.0)</f>
        <v>75022</v>
      </c>
    </row>
    <row r="2202">
      <c r="A2202" s="10" t="s">
        <v>2027</v>
      </c>
      <c r="B2202" s="11">
        <v>51.0</v>
      </c>
      <c r="C2202" s="12" t="s">
        <v>636</v>
      </c>
      <c r="E2202" s="8" t="str">
        <f>IFERROR(__xludf.DUMMYFUNCTION("SPLIT(A2202,""TX"")"),"Dorminy, Sean
9318 Wildahven Drive
Dallas, ")</f>
        <v>Dorminy, Sean
9318 Wildahven Drive
Dallas, </v>
      </c>
      <c r="F2202" s="8">
        <f>IFERROR(__xludf.DUMMYFUNCTION("""COMPUTED_VALUE"""),75238.0)</f>
        <v>75238</v>
      </c>
      <c r="I2202" s="8">
        <f t="shared" si="23"/>
        <v>75238</v>
      </c>
      <c r="J2202" s="9">
        <f>IFERROR(__xludf.DUMMYFUNCTION("SPLIT(I2202,""-"")"),75238.0)</f>
        <v>75238</v>
      </c>
    </row>
    <row r="2203">
      <c r="A2203" s="10" t="s">
        <v>2028</v>
      </c>
      <c r="B2203" s="11">
        <v>25.0</v>
      </c>
      <c r="C2203" s="12" t="s">
        <v>636</v>
      </c>
      <c r="E2203" s="8" t="str">
        <f>IFERROR(__xludf.DUMMYFUNCTION("SPLIT(A2203,""TX"")"),"Nettles, Archie
18959 Lina St
Dallas, ")</f>
        <v>Nettles, Archie
18959 Lina St
Dallas, </v>
      </c>
      <c r="F2203" s="8">
        <f>IFERROR(__xludf.DUMMYFUNCTION("""COMPUTED_VALUE"""),75287.0)</f>
        <v>75287</v>
      </c>
      <c r="I2203" s="8">
        <f t="shared" si="23"/>
        <v>75287</v>
      </c>
      <c r="J2203" s="9">
        <f>IFERROR(__xludf.DUMMYFUNCTION("SPLIT(I2203,""-"")"),75287.0)</f>
        <v>75287</v>
      </c>
    </row>
    <row r="2204">
      <c r="A2204" s="10" t="s">
        <v>2029</v>
      </c>
      <c r="B2204" s="11">
        <v>25.0</v>
      </c>
      <c r="C2204" s="12" t="s">
        <v>636</v>
      </c>
      <c r="E2204" s="8" t="str">
        <f>IFERROR(__xludf.DUMMYFUNCTION("SPLIT(A2204,""TX"")"),"Hartnett, Michael
2732 Gaston Ave
Dallas, ")</f>
        <v>Hartnett, Michael
2732 Gaston Ave
Dallas, </v>
      </c>
      <c r="F2204" s="8">
        <f>IFERROR(__xludf.DUMMYFUNCTION("""COMPUTED_VALUE"""),75226.0)</f>
        <v>75226</v>
      </c>
      <c r="I2204" s="8">
        <f t="shared" si="23"/>
        <v>75226</v>
      </c>
      <c r="J2204" s="9">
        <f>IFERROR(__xludf.DUMMYFUNCTION("SPLIT(I2204,""-"")"),75226.0)</f>
        <v>75226</v>
      </c>
    </row>
    <row r="2205">
      <c r="A2205" s="10" t="s">
        <v>2030</v>
      </c>
      <c r="B2205" s="11">
        <v>51.0</v>
      </c>
      <c r="C2205" s="12" t="s">
        <v>636</v>
      </c>
      <c r="E2205" s="8" t="str">
        <f>IFERROR(__xludf.DUMMYFUNCTION("SPLIT(A2205,""TX"")"),"Barling, Hannah
1777 N Record st
Dallas, ")</f>
        <v>Barling, Hannah
1777 N Record st
Dallas, </v>
      </c>
      <c r="F2205" s="8">
        <f>IFERROR(__xludf.DUMMYFUNCTION("""COMPUTED_VALUE"""),75202.0)</f>
        <v>75202</v>
      </c>
      <c r="I2205" s="8">
        <f t="shared" si="23"/>
        <v>75202</v>
      </c>
      <c r="J2205" s="9">
        <f>IFERROR(__xludf.DUMMYFUNCTION("SPLIT(I2205,""-"")"),75202.0)</f>
        <v>75202</v>
      </c>
    </row>
    <row r="2206">
      <c r="A2206" s="10" t="s">
        <v>2031</v>
      </c>
      <c r="B2206" s="11">
        <v>25.0</v>
      </c>
      <c r="C2206" s="12" t="s">
        <v>636</v>
      </c>
      <c r="E2206" s="8" t="str">
        <f>IFERROR(__xludf.DUMMYFUNCTION("SPLIT(A2206,""TX"")"),"Hasenbauer, Brian
9811 Estate Lane
DALLAS, ")</f>
        <v>Hasenbauer, Brian
9811 Estate Lane
DALLAS, </v>
      </c>
      <c r="F2206" s="8">
        <f>IFERROR(__xludf.DUMMYFUNCTION("""COMPUTED_VALUE"""),75238.0)</f>
        <v>75238</v>
      </c>
      <c r="I2206" s="8">
        <f t="shared" si="23"/>
        <v>75238</v>
      </c>
      <c r="J2206" s="9">
        <f>IFERROR(__xludf.DUMMYFUNCTION("SPLIT(I2206,""-"")"),75238.0)</f>
        <v>75238</v>
      </c>
    </row>
    <row r="2207">
      <c r="A2207" s="10" t="s">
        <v>2032</v>
      </c>
      <c r="B2207" s="11">
        <v>100.0</v>
      </c>
      <c r="C2207" s="12" t="s">
        <v>636</v>
      </c>
      <c r="E2207" s="8" t="str">
        <f>IFERROR(__xludf.DUMMYFUNCTION("SPLIT(A2207,""TX"")"),"Mumley, Jami
9082 Longmont Drive
Dallas, ")</f>
        <v>Mumley, Jami
9082 Longmont Drive
Dallas, </v>
      </c>
      <c r="F2207" s="8">
        <f>IFERROR(__xludf.DUMMYFUNCTION("""COMPUTED_VALUE"""),75238.0)</f>
        <v>75238</v>
      </c>
      <c r="I2207" s="8">
        <f t="shared" si="23"/>
        <v>75238</v>
      </c>
      <c r="J2207" s="9">
        <f>IFERROR(__xludf.DUMMYFUNCTION("SPLIT(I2207,""-"")"),75238.0)</f>
        <v>75238</v>
      </c>
    </row>
    <row r="2208">
      <c r="A2208" s="10" t="s">
        <v>1438</v>
      </c>
      <c r="B2208" s="11">
        <v>60.0</v>
      </c>
      <c r="C2208" s="12" t="s">
        <v>636</v>
      </c>
      <c r="E2208" s="8" t="str">
        <f>IFERROR(__xludf.DUMMYFUNCTION("SPLIT(A2208,""TX"")"),"Mills, Rosanne
6906 Casa Loma Ave
Dallas, ")</f>
        <v>Mills, Rosanne
6906 Casa Loma Ave
Dallas, </v>
      </c>
      <c r="F2208" s="8">
        <f>IFERROR(__xludf.DUMMYFUNCTION("""COMPUTED_VALUE"""),75214.0)</f>
        <v>75214</v>
      </c>
      <c r="I2208" s="8">
        <f t="shared" si="23"/>
        <v>75214</v>
      </c>
      <c r="J2208" s="9">
        <f>IFERROR(__xludf.DUMMYFUNCTION("SPLIT(I2208,""-"")"),75214.0)</f>
        <v>75214</v>
      </c>
    </row>
    <row r="2209">
      <c r="A2209" s="10" t="s">
        <v>2033</v>
      </c>
      <c r="B2209" s="11">
        <v>25.0</v>
      </c>
      <c r="C2209" s="12" t="s">
        <v>636</v>
      </c>
      <c r="E2209" s="8" t="str">
        <f>IFERROR(__xludf.DUMMYFUNCTION("SPLIT(A2209,""TX"")"),"Odum, Ania
4249 W Goret Road
")</f>
        <v>Odum, Ania
4249 W Goret Road
</v>
      </c>
      <c r="F2209" s="8" t="str">
        <f>IFERROR(__xludf.DUMMYFUNCTION("""COMPUTED_VALUE"""),"ucson, AZ 85745")</f>
        <v>ucson, AZ 85745</v>
      </c>
      <c r="J2209" s="9" t="str">
        <f>IFERROR(__xludf.DUMMYFUNCTION("SPLIT(I2209,""-"")"),"#VALUE!")</f>
        <v>#VALUE!</v>
      </c>
    </row>
    <row r="2210">
      <c r="A2210" s="10" t="s">
        <v>2034</v>
      </c>
      <c r="B2210" s="11">
        <v>250.0</v>
      </c>
      <c r="C2210" s="12" t="s">
        <v>636</v>
      </c>
      <c r="E2210" s="8" t="str">
        <f>IFERROR(__xludf.DUMMYFUNCTION("SPLIT(A2210,""TX"")"),"Holmes, Mark
9225 Royalpine Drive
Dallas, ")</f>
        <v>Holmes, Mark
9225 Royalpine Drive
Dallas, </v>
      </c>
      <c r="F2210" s="8">
        <f>IFERROR(__xludf.DUMMYFUNCTION("""COMPUTED_VALUE"""),75238.0)</f>
        <v>75238</v>
      </c>
      <c r="I2210" s="8">
        <f t="shared" ref="I2210:I2302" si="24">IF(ISBLANK(G2210),F2210,G2210)</f>
        <v>75238</v>
      </c>
      <c r="J2210" s="9">
        <f>IFERROR(__xludf.DUMMYFUNCTION("SPLIT(I2210,""-"")"),75238.0)</f>
        <v>75238</v>
      </c>
    </row>
    <row r="2211">
      <c r="A2211" s="10" t="s">
        <v>2035</v>
      </c>
      <c r="B2211" s="11">
        <v>25.0</v>
      </c>
      <c r="C2211" s="12" t="s">
        <v>636</v>
      </c>
      <c r="E2211" s="8" t="str">
        <f>IFERROR(__xludf.DUMMYFUNCTION("SPLIT(A2211,""TX"")"),"Guynes, Adrienne
6646 E. Lovers Lane
Dallas, ")</f>
        <v>Guynes, Adrienne
6646 E. Lovers Lane
Dallas, </v>
      </c>
      <c r="F2211" s="8">
        <f>IFERROR(__xludf.DUMMYFUNCTION("""COMPUTED_VALUE"""),75214.0)</f>
        <v>75214</v>
      </c>
      <c r="I2211" s="8">
        <f t="shared" si="24"/>
        <v>75214</v>
      </c>
      <c r="J2211" s="9">
        <f>IFERROR(__xludf.DUMMYFUNCTION("SPLIT(I2211,""-"")"),75214.0)</f>
        <v>75214</v>
      </c>
    </row>
    <row r="2212">
      <c r="A2212" s="10" t="s">
        <v>641</v>
      </c>
      <c r="B2212" s="11">
        <v>100.0</v>
      </c>
      <c r="C2212" s="12" t="s">
        <v>636</v>
      </c>
      <c r="E2212" s="8" t="str">
        <f>IFERROR(__xludf.DUMMYFUNCTION("SPLIT(A2212,""TX"")"),"Skemp, Douglas
511 N. Akard Street
Dallas, ")</f>
        <v>Skemp, Douglas
511 N. Akard Street
Dallas, </v>
      </c>
      <c r="F2212" s="8">
        <f>IFERROR(__xludf.DUMMYFUNCTION("""COMPUTED_VALUE"""),75201.0)</f>
        <v>75201</v>
      </c>
      <c r="I2212" s="8">
        <f t="shared" si="24"/>
        <v>75201</v>
      </c>
      <c r="J2212" s="9">
        <f>IFERROR(__xludf.DUMMYFUNCTION("SPLIT(I2212,""-"")"),75201.0)</f>
        <v>75201</v>
      </c>
    </row>
    <row r="2213">
      <c r="A2213" s="10" t="s">
        <v>2036</v>
      </c>
      <c r="B2213" s="11">
        <v>50.0</v>
      </c>
      <c r="C2213" s="12" t="s">
        <v>636</v>
      </c>
      <c r="E2213" s="8" t="str">
        <f>IFERROR(__xludf.DUMMYFUNCTION("SPLIT(A2213,""TX"")"),"Crawford, Jeannette
4833 W. Lawther Drive
Dallas, ")</f>
        <v>Crawford, Jeannette
4833 W. Lawther Drive
Dallas, </v>
      </c>
      <c r="F2213" s="8">
        <f>IFERROR(__xludf.DUMMYFUNCTION("""COMPUTED_VALUE"""),75214.0)</f>
        <v>75214</v>
      </c>
      <c r="I2213" s="8">
        <f t="shared" si="24"/>
        <v>75214</v>
      </c>
      <c r="J2213" s="9">
        <f>IFERROR(__xludf.DUMMYFUNCTION("SPLIT(I2213,""-"")"),75214.0)</f>
        <v>75214</v>
      </c>
    </row>
    <row r="2214">
      <c r="A2214" s="10" t="s">
        <v>2037</v>
      </c>
      <c r="B2214" s="11">
        <v>25.0</v>
      </c>
      <c r="C2214" s="12" t="s">
        <v>636</v>
      </c>
      <c r="E2214" s="8" t="str">
        <f>IFERROR(__xludf.DUMMYFUNCTION("SPLIT(A2214,""TX"")"),"Christen, FL
4833 W. Lawther Drive
Dallas, ")</f>
        <v>Christen, FL
4833 W. Lawther Drive
Dallas, </v>
      </c>
      <c r="F2214" s="8">
        <f>IFERROR(__xludf.DUMMYFUNCTION("""COMPUTED_VALUE"""),75214.0)</f>
        <v>75214</v>
      </c>
      <c r="I2214" s="8">
        <f t="shared" si="24"/>
        <v>75214</v>
      </c>
      <c r="J2214" s="9">
        <f>IFERROR(__xludf.DUMMYFUNCTION("SPLIT(I2214,""-"")"),75214.0)</f>
        <v>75214</v>
      </c>
    </row>
    <row r="2215">
      <c r="A2215" s="10" t="s">
        <v>2031</v>
      </c>
      <c r="B2215" s="11">
        <v>150.0</v>
      </c>
      <c r="C2215" s="12" t="s">
        <v>636</v>
      </c>
      <c r="E2215" s="8" t="str">
        <f>IFERROR(__xludf.DUMMYFUNCTION("SPLIT(A2215,""TX"")"),"Hasenbauer, Brian
9811 Estate Lane
DALLAS, ")</f>
        <v>Hasenbauer, Brian
9811 Estate Lane
DALLAS, </v>
      </c>
      <c r="F2215" s="8">
        <f>IFERROR(__xludf.DUMMYFUNCTION("""COMPUTED_VALUE"""),75238.0)</f>
        <v>75238</v>
      </c>
      <c r="I2215" s="8">
        <f t="shared" si="24"/>
        <v>75238</v>
      </c>
      <c r="J2215" s="9">
        <f>IFERROR(__xludf.DUMMYFUNCTION("SPLIT(I2215,""-"")"),75238.0)</f>
        <v>75238</v>
      </c>
    </row>
    <row r="2216">
      <c r="A2216" s="10" t="s">
        <v>2038</v>
      </c>
      <c r="B2216" s="11">
        <v>20.0</v>
      </c>
      <c r="C2216" s="12" t="s">
        <v>2039</v>
      </c>
      <c r="E2216" s="8" t="str">
        <f>IFERROR(__xludf.DUMMYFUNCTION("SPLIT(A2216,""TX"")"),"Davis, ")</f>
        <v>Davis, </v>
      </c>
      <c r="F2216" s="8" t="str">
        <f>IFERROR(__xludf.DUMMYFUNCTION("""COMPUTED_VALUE"""),"ony
6416 Woodbeach Dr.
Fort Worth, ")</f>
        <v>ony
6416 Woodbeach Dr.
Fort Worth, </v>
      </c>
      <c r="G2216" s="8">
        <f>IFERROR(__xludf.DUMMYFUNCTION("""COMPUTED_VALUE"""),76133.0)</f>
        <v>76133</v>
      </c>
      <c r="I2216" s="8">
        <f t="shared" si="24"/>
        <v>76133</v>
      </c>
      <c r="J2216" s="9">
        <f>IFERROR(__xludf.DUMMYFUNCTION("SPLIT(I2216,""-"")"),76133.0)</f>
        <v>76133</v>
      </c>
    </row>
    <row r="2217">
      <c r="A2217" s="10" t="s">
        <v>2040</v>
      </c>
      <c r="B2217" s="11">
        <v>50.0</v>
      </c>
      <c r="C2217" s="12" t="s">
        <v>1005</v>
      </c>
      <c r="E2217" s="8" t="str">
        <f>IFERROR(__xludf.DUMMYFUNCTION("SPLIT(A2217,""TX"")"),"Keen Homes LLC
6953 Bob O Link
Dallas, ")</f>
        <v>Keen Homes LLC
6953 Bob O Link
Dallas, </v>
      </c>
      <c r="F2217" s="8">
        <f>IFERROR(__xludf.DUMMYFUNCTION("""COMPUTED_VALUE"""),75214.0)</f>
        <v>75214</v>
      </c>
      <c r="I2217" s="8">
        <f t="shared" si="24"/>
        <v>75214</v>
      </c>
      <c r="J2217" s="9">
        <f>IFERROR(__xludf.DUMMYFUNCTION("SPLIT(I2217,""-"")"),75214.0)</f>
        <v>75214</v>
      </c>
    </row>
    <row r="2218">
      <c r="A2218" s="5" t="s">
        <v>2041</v>
      </c>
      <c r="B2218" s="6">
        <v>5000.0</v>
      </c>
      <c r="C2218" s="7" t="s">
        <v>1005</v>
      </c>
      <c r="E2218" s="8" t="str">
        <f>IFERROR(__xludf.DUMMYFUNCTION("SPLIT(A2218,""TX"")"),"Caldwell, James
3511 ")</f>
        <v>Caldwell, James
3511 </v>
      </c>
      <c r="F2218" s="8" t="str">
        <f>IFERROR(__xludf.DUMMYFUNCTION("""COMPUTED_VALUE"""),"rinity Meadows
Midland, ")</f>
        <v>rinity Meadows
Midland, </v>
      </c>
      <c r="G2218" s="8">
        <f>IFERROR(__xludf.DUMMYFUNCTION("""COMPUTED_VALUE"""),79707.0)</f>
        <v>79707</v>
      </c>
      <c r="I2218" s="8">
        <f t="shared" si="24"/>
        <v>79707</v>
      </c>
      <c r="J2218" s="9">
        <f>IFERROR(__xludf.DUMMYFUNCTION("SPLIT(I2218,""-"")"),79707.0)</f>
        <v>79707</v>
      </c>
    </row>
    <row r="2219">
      <c r="A2219" s="10" t="s">
        <v>2042</v>
      </c>
      <c r="B2219" s="11">
        <v>1000.0</v>
      </c>
      <c r="C2219" s="12" t="s">
        <v>1151</v>
      </c>
      <c r="E2219" s="8" t="str">
        <f>IFERROR(__xludf.DUMMYFUNCTION("SPLIT(A2219,""TX"")"),"Jones, Edwin
1316 Parkview Lane
Murphy, ")</f>
        <v>Jones, Edwin
1316 Parkview Lane
Murphy, </v>
      </c>
      <c r="F2219" s="8">
        <f>IFERROR(__xludf.DUMMYFUNCTION("""COMPUTED_VALUE"""),75094.0)</f>
        <v>75094</v>
      </c>
      <c r="I2219" s="8">
        <f t="shared" si="24"/>
        <v>75094</v>
      </c>
      <c r="J2219" s="9">
        <f>IFERROR(__xludf.DUMMYFUNCTION("SPLIT(I2219,""-"")"),75094.0)</f>
        <v>75094</v>
      </c>
    </row>
    <row r="2220">
      <c r="A2220" s="10" t="s">
        <v>1564</v>
      </c>
      <c r="B2220" s="11">
        <v>1000.0</v>
      </c>
      <c r="C2220" s="12" t="s">
        <v>1151</v>
      </c>
      <c r="E2220" s="8" t="str">
        <f>IFERROR(__xludf.DUMMYFUNCTION("SPLIT(A2220,""TX"")"),"Crow, ")</f>
        <v>Crow, </v>
      </c>
      <c r="F2220" s="8" t="str">
        <f>IFERROR(__xludf.DUMMYFUNCTION("""COMPUTED_VALUE"""),"rammell
4000 Rock Creek Dr
Dallas, ")</f>
        <v>rammell
4000 Rock Creek Dr
Dallas, </v>
      </c>
      <c r="G2220" s="8">
        <f>IFERROR(__xludf.DUMMYFUNCTION("""COMPUTED_VALUE"""),75204.0)</f>
        <v>75204</v>
      </c>
      <c r="I2220" s="8">
        <f t="shared" si="24"/>
        <v>75204</v>
      </c>
      <c r="J2220" s="9">
        <f>IFERROR(__xludf.DUMMYFUNCTION("SPLIT(I2220,""-"")"),75204.0)</f>
        <v>75204</v>
      </c>
    </row>
    <row r="2221">
      <c r="A2221" s="10" t="s">
        <v>2043</v>
      </c>
      <c r="B2221" s="11">
        <v>1000.0</v>
      </c>
      <c r="C2221" s="12" t="s">
        <v>1060</v>
      </c>
      <c r="E2221" s="8" t="str">
        <f>IFERROR(__xludf.DUMMYFUNCTION("SPLIT(A2221,""TX"")"),"Carey, Jeff
300 E. Round Grove
Lewisville, ")</f>
        <v>Carey, Jeff
300 E. Round Grove
Lewisville, </v>
      </c>
      <c r="F2221" s="8">
        <f>IFERROR(__xludf.DUMMYFUNCTION("""COMPUTED_VALUE"""),75067.0)</f>
        <v>75067</v>
      </c>
      <c r="I2221" s="8">
        <f t="shared" si="24"/>
        <v>75067</v>
      </c>
      <c r="J2221" s="9">
        <f>IFERROR(__xludf.DUMMYFUNCTION("SPLIT(I2221,""-"")"),75067.0)</f>
        <v>75067</v>
      </c>
    </row>
    <row r="2222">
      <c r="A2222" s="5" t="s">
        <v>2044</v>
      </c>
      <c r="B2222" s="6">
        <v>1000.0</v>
      </c>
      <c r="C2222" s="7" t="s">
        <v>1060</v>
      </c>
      <c r="E2222" s="8" t="str">
        <f>IFERROR(__xludf.DUMMYFUNCTION("SPLIT(A2222,""TX"")"),"Page, ")</f>
        <v>Page, </v>
      </c>
      <c r="F2222" s="8" t="str">
        <f>IFERROR(__xludf.DUMMYFUNCTION("""COMPUTED_VALUE"""),"ony
3210 Carlyle
Dallas, ")</f>
        <v>ony
3210 Carlyle
Dallas, </v>
      </c>
      <c r="G2222" s="8">
        <f>IFERROR(__xludf.DUMMYFUNCTION("""COMPUTED_VALUE"""),75204.0)</f>
        <v>75204</v>
      </c>
      <c r="I2222" s="8">
        <f t="shared" si="24"/>
        <v>75204</v>
      </c>
      <c r="J2222" s="9">
        <f>IFERROR(__xludf.DUMMYFUNCTION("SPLIT(I2222,""-"")"),75204.0)</f>
        <v>75204</v>
      </c>
    </row>
    <row r="2223">
      <c r="A2223" s="10" t="s">
        <v>2045</v>
      </c>
      <c r="B2223" s="11">
        <v>500.0</v>
      </c>
      <c r="C2223" s="12" t="s">
        <v>1568</v>
      </c>
      <c r="E2223" s="8" t="str">
        <f>IFERROR(__xludf.DUMMYFUNCTION("SPLIT(A2223,""TX"")"),"Estrada, Olegario
1223 N Bagley St
Dallas, ")</f>
        <v>Estrada, Olegario
1223 N Bagley St
Dallas, </v>
      </c>
      <c r="F2223" s="8">
        <f>IFERROR(__xludf.DUMMYFUNCTION("""COMPUTED_VALUE"""),75211.0)</f>
        <v>75211</v>
      </c>
      <c r="I2223" s="8">
        <f t="shared" si="24"/>
        <v>75211</v>
      </c>
      <c r="J2223" s="9">
        <f>IFERROR(__xludf.DUMMYFUNCTION("SPLIT(I2223,""-"")"),75211.0)</f>
        <v>75211</v>
      </c>
    </row>
    <row r="2224">
      <c r="A2224" s="5" t="s">
        <v>2046</v>
      </c>
      <c r="B2224" s="6">
        <v>500.0</v>
      </c>
      <c r="C2224" s="7" t="s">
        <v>1568</v>
      </c>
      <c r="E2224" s="8" t="str">
        <f>IFERROR(__xludf.DUMMYFUNCTION("SPLIT(A2224,""TX"")"),"Pena, Celia
300 Centre St
Dallas, ")</f>
        <v>Pena, Celia
300 Centre St
Dallas, </v>
      </c>
      <c r="F2224" s="8">
        <f>IFERROR(__xludf.DUMMYFUNCTION("""COMPUTED_VALUE"""),75208.0)</f>
        <v>75208</v>
      </c>
      <c r="I2224" s="8">
        <f t="shared" si="24"/>
        <v>75208</v>
      </c>
      <c r="J2224" s="9">
        <f>IFERROR(__xludf.DUMMYFUNCTION("SPLIT(I2224,""-"")"),75208.0)</f>
        <v>75208</v>
      </c>
    </row>
    <row r="2225">
      <c r="A2225" s="10" t="s">
        <v>2047</v>
      </c>
      <c r="B2225" s="11">
        <v>500.0</v>
      </c>
      <c r="C2225" s="12" t="s">
        <v>1568</v>
      </c>
      <c r="E2225" s="8" t="str">
        <f>IFERROR(__xludf.DUMMYFUNCTION("SPLIT(A2225,""TX"")"),"Puente, Eric
2400 Catherine
Dallas, ")</f>
        <v>Puente, Eric
2400 Catherine
Dallas, </v>
      </c>
      <c r="F2225" s="8">
        <f>IFERROR(__xludf.DUMMYFUNCTION("""COMPUTED_VALUE"""),75208.0)</f>
        <v>75208</v>
      </c>
      <c r="I2225" s="8">
        <f t="shared" si="24"/>
        <v>75208</v>
      </c>
      <c r="J2225" s="9">
        <f>IFERROR(__xludf.DUMMYFUNCTION("SPLIT(I2225,""-"")"),75208.0)</f>
        <v>75208</v>
      </c>
    </row>
    <row r="2226">
      <c r="A2226" s="5" t="s">
        <v>2048</v>
      </c>
      <c r="B2226" s="6">
        <v>2000.0</v>
      </c>
      <c r="C2226" s="7" t="s">
        <v>1568</v>
      </c>
      <c r="E2226" s="8" t="str">
        <f>IFERROR(__xludf.DUMMYFUNCTION("SPLIT(A2226,""TX"")"),"Varela, David n Eva
210 N Ira
Dallas, ")</f>
        <v>Varela, David n Eva
210 N Ira
Dallas, </v>
      </c>
      <c r="F2226" s="8">
        <f>IFERROR(__xludf.DUMMYFUNCTION("""COMPUTED_VALUE"""),75211.0)</f>
        <v>75211</v>
      </c>
      <c r="I2226" s="8">
        <f t="shared" si="24"/>
        <v>75211</v>
      </c>
      <c r="J2226" s="9">
        <f>IFERROR(__xludf.DUMMYFUNCTION("SPLIT(I2226,""-"")"),75211.0)</f>
        <v>75211</v>
      </c>
    </row>
    <row r="2227">
      <c r="A2227" s="10" t="s">
        <v>2049</v>
      </c>
      <c r="B2227" s="11">
        <v>1000.0</v>
      </c>
      <c r="C2227" s="12" t="s">
        <v>1568</v>
      </c>
      <c r="E2227" s="8" t="str">
        <f>IFERROR(__xludf.DUMMYFUNCTION("SPLIT(A2227,""TX"")"),"Ross, ")</f>
        <v>Ross, </v>
      </c>
      <c r="F2227" s="8" t="str">
        <f>IFERROR(__xludf.DUMMYFUNCTION("""COMPUTED_VALUE"""),"ony
2351 W Northwest Hwy
Dallas, ")</f>
        <v>ony
2351 W Northwest Hwy
Dallas, </v>
      </c>
      <c r="G2227" s="8">
        <f>IFERROR(__xludf.DUMMYFUNCTION("""COMPUTED_VALUE"""),75235.0)</f>
        <v>75235</v>
      </c>
      <c r="I2227" s="8">
        <f t="shared" si="24"/>
        <v>75235</v>
      </c>
      <c r="J2227" s="9">
        <f>IFERROR(__xludf.DUMMYFUNCTION("SPLIT(I2227,""-"")"),75235.0)</f>
        <v>75235</v>
      </c>
    </row>
    <row r="2228">
      <c r="A2228" s="5" t="s">
        <v>2050</v>
      </c>
      <c r="B2228" s="6">
        <v>1000.0</v>
      </c>
      <c r="C2228" s="7" t="s">
        <v>1568</v>
      </c>
      <c r="E2228" s="8" t="str">
        <f>IFERROR(__xludf.DUMMYFUNCTION("SPLIT(A2228,""TX"")"),"Sanders, Jerri
2351 W Northwest Hwy
Dallas, ")</f>
        <v>Sanders, Jerri
2351 W Northwest Hwy
Dallas, </v>
      </c>
      <c r="F2228" s="8">
        <f>IFERROR(__xludf.DUMMYFUNCTION("""COMPUTED_VALUE"""),75235.0)</f>
        <v>75235</v>
      </c>
      <c r="I2228" s="8">
        <f t="shared" si="24"/>
        <v>75235</v>
      </c>
      <c r="J2228" s="9">
        <f>IFERROR(__xludf.DUMMYFUNCTION("SPLIT(I2228,""-"")"),75235.0)</f>
        <v>75235</v>
      </c>
    </row>
    <row r="2229">
      <c r="A2229" s="10" t="s">
        <v>2051</v>
      </c>
      <c r="B2229" s="11">
        <v>1000.0</v>
      </c>
      <c r="C2229" s="12" t="s">
        <v>1568</v>
      </c>
      <c r="E2229" s="8" t="str">
        <f>IFERROR(__xludf.DUMMYFUNCTION("SPLIT(A2229,""TX"")"),"Hong, Jay
6953 Bella Vista
Irving, ")</f>
        <v>Hong, Jay
6953 Bella Vista
Irving, </v>
      </c>
      <c r="F2229" s="8">
        <f>IFERROR(__xludf.DUMMYFUNCTION("""COMPUTED_VALUE"""),75039.0)</f>
        <v>75039</v>
      </c>
      <c r="I2229" s="8">
        <f t="shared" si="24"/>
        <v>75039</v>
      </c>
      <c r="J2229" s="9">
        <f>IFERROR(__xludf.DUMMYFUNCTION("SPLIT(I2229,""-"")"),75039.0)</f>
        <v>75039</v>
      </c>
    </row>
    <row r="2230">
      <c r="A2230" s="5" t="s">
        <v>2052</v>
      </c>
      <c r="B2230" s="6">
        <v>1000.0</v>
      </c>
      <c r="C2230" s="7" t="s">
        <v>1568</v>
      </c>
      <c r="E2230" s="8" t="str">
        <f>IFERROR(__xludf.DUMMYFUNCTION("SPLIT(A2230,""TX"")"),"Park, Jeung
659 Via Ravello
Irving, ")</f>
        <v>Park, Jeung
659 Via Ravello
Irving, </v>
      </c>
      <c r="F2230" s="8">
        <f>IFERROR(__xludf.DUMMYFUNCTION("""COMPUTED_VALUE"""),75039.0)</f>
        <v>75039</v>
      </c>
      <c r="I2230" s="8">
        <f t="shared" si="24"/>
        <v>75039</v>
      </c>
      <c r="J2230" s="9">
        <f>IFERROR(__xludf.DUMMYFUNCTION("SPLIT(I2230,""-"")"),75039.0)</f>
        <v>75039</v>
      </c>
    </row>
    <row r="2231">
      <c r="A2231" s="10" t="s">
        <v>2053</v>
      </c>
      <c r="B2231" s="11">
        <v>1000.0</v>
      </c>
      <c r="C2231" s="12" t="s">
        <v>1568</v>
      </c>
      <c r="E2231" s="8" t="str">
        <f>IFERROR(__xludf.DUMMYFUNCTION("SPLIT(A2231,""TX"")"),"Park, Mangu
4253 Hunt Dr
Carrollton, ")</f>
        <v>Park, Mangu
4253 Hunt Dr
Carrollton, </v>
      </c>
      <c r="F2231" s="8">
        <f>IFERROR(__xludf.DUMMYFUNCTION("""COMPUTED_VALUE"""),75010.0)</f>
        <v>75010</v>
      </c>
      <c r="I2231" s="8">
        <f t="shared" si="24"/>
        <v>75010</v>
      </c>
      <c r="J2231" s="9">
        <f>IFERROR(__xludf.DUMMYFUNCTION("SPLIT(I2231,""-"")"),75010.0)</f>
        <v>75010</v>
      </c>
    </row>
    <row r="2232">
      <c r="A2232" s="5" t="s">
        <v>2054</v>
      </c>
      <c r="B2232" s="6">
        <v>286.5</v>
      </c>
      <c r="C2232" s="7" t="s">
        <v>2055</v>
      </c>
      <c r="E2232" s="8" t="str">
        <f>IFERROR(__xludf.DUMMYFUNCTION("SPLIT(A2232,""TX"")"),"Jordan, Elizabeth
628 Blanning
Dallas, ")</f>
        <v>Jordan, Elizabeth
628 Blanning
Dallas, </v>
      </c>
      <c r="F2232" s="8">
        <f>IFERROR(__xludf.DUMMYFUNCTION("""COMPUTED_VALUE"""),75218.0)</f>
        <v>75218</v>
      </c>
      <c r="I2232" s="8">
        <f t="shared" si="24"/>
        <v>75218</v>
      </c>
      <c r="J2232" s="9">
        <f>IFERROR(__xludf.DUMMYFUNCTION("SPLIT(I2232,""-"")"),75218.0)</f>
        <v>75218</v>
      </c>
    </row>
    <row r="2233">
      <c r="A2233" s="5" t="s">
        <v>2056</v>
      </c>
      <c r="B2233" s="6">
        <v>1000.0</v>
      </c>
      <c r="C2233" s="7" t="s">
        <v>2055</v>
      </c>
      <c r="E2233" s="8" t="str">
        <f>IFERROR(__xludf.DUMMYFUNCTION("SPLIT(A2233,""TX"")"),"Byrne, ")</f>
        <v>Byrne, </v>
      </c>
      <c r="F2233" s="8" t="str">
        <f>IFERROR(__xludf.DUMMYFUNCTION("""COMPUTED_VALUE"""),"im
3720 Miramar
Dallas, ")</f>
        <v>im
3720 Miramar
Dallas, </v>
      </c>
      <c r="G2233" s="8">
        <f>IFERROR(__xludf.DUMMYFUNCTION("""COMPUTED_VALUE"""),75205.0)</f>
        <v>75205</v>
      </c>
      <c r="I2233" s="8">
        <f t="shared" si="24"/>
        <v>75205</v>
      </c>
      <c r="J2233" s="9">
        <f>IFERROR(__xludf.DUMMYFUNCTION("SPLIT(I2233,""-"")"),75205.0)</f>
        <v>75205</v>
      </c>
    </row>
    <row r="2234">
      <c r="A2234" s="5" t="s">
        <v>2057</v>
      </c>
      <c r="B2234" s="6">
        <v>1000.0</v>
      </c>
      <c r="C2234" s="7" t="s">
        <v>2055</v>
      </c>
      <c r="E2234" s="8" t="str">
        <f>IFERROR(__xludf.DUMMYFUNCTION("SPLIT(A2234,""TX"")"),"Hunt, Ray
1900 N Akard
Dallas, ")</f>
        <v>Hunt, Ray
1900 N Akard
Dallas, </v>
      </c>
      <c r="F2234" s="8">
        <f>IFERROR(__xludf.DUMMYFUNCTION("""COMPUTED_VALUE"""),75201.0)</f>
        <v>75201</v>
      </c>
      <c r="I2234" s="8">
        <f t="shared" si="24"/>
        <v>75201</v>
      </c>
      <c r="J2234" s="9">
        <f>IFERROR(__xludf.DUMMYFUNCTION("SPLIT(I2234,""-"")"),75201.0)</f>
        <v>75201</v>
      </c>
    </row>
    <row r="2235">
      <c r="A2235" s="5" t="s">
        <v>2058</v>
      </c>
      <c r="B2235" s="6">
        <v>1000.0</v>
      </c>
      <c r="C2235" s="7" t="s">
        <v>1060</v>
      </c>
      <c r="E2235" s="8" t="str">
        <f>IFERROR(__xludf.DUMMYFUNCTION("SPLIT(A2235,""TX"")"),"Pitchford, Joseph
200 Crescent Court
Dallas, ")</f>
        <v>Pitchford, Joseph
200 Crescent Court
Dallas, </v>
      </c>
      <c r="F2235" s="8">
        <f>IFERROR(__xludf.DUMMYFUNCTION("""COMPUTED_VALUE"""),75201.0)</f>
        <v>75201</v>
      </c>
      <c r="I2235" s="8">
        <f t="shared" si="24"/>
        <v>75201</v>
      </c>
      <c r="J2235" s="9">
        <f>IFERROR(__xludf.DUMMYFUNCTION("SPLIT(I2235,""-"")"),75201.0)</f>
        <v>75201</v>
      </c>
    </row>
    <row r="2236">
      <c r="A2236" s="10" t="s">
        <v>2059</v>
      </c>
      <c r="B2236" s="11">
        <v>206.46</v>
      </c>
      <c r="C2236" s="12" t="s">
        <v>1060</v>
      </c>
      <c r="E2236" s="8" t="str">
        <f>IFERROR(__xludf.DUMMYFUNCTION("SPLIT(A2236,""TX"")"),"Butts, Kelem
3030 McKinney
Dallas, ")</f>
        <v>Butts, Kelem
3030 McKinney
Dallas, </v>
      </c>
      <c r="F2236" s="8">
        <f>IFERROR(__xludf.DUMMYFUNCTION("""COMPUTED_VALUE"""),75204.0)</f>
        <v>75204</v>
      </c>
      <c r="I2236" s="8">
        <f t="shared" si="24"/>
        <v>75204</v>
      </c>
      <c r="J2236" s="9">
        <f>IFERROR(__xludf.DUMMYFUNCTION("SPLIT(I2236,""-"")"),75204.0)</f>
        <v>75204</v>
      </c>
    </row>
    <row r="2237">
      <c r="A2237" s="5" t="s">
        <v>2060</v>
      </c>
      <c r="B2237" s="6">
        <v>1000.0</v>
      </c>
      <c r="C2237" s="7" t="s">
        <v>1060</v>
      </c>
      <c r="E2237" s="8" t="str">
        <f>IFERROR(__xludf.DUMMYFUNCTION("SPLIT(A2237,""TX"")"),"Naul, Alan
3899 Maple Ave
Dallas, ")</f>
        <v>Naul, Alan
3899 Maple Ave
Dallas, </v>
      </c>
      <c r="F2237" s="8">
        <f>IFERROR(__xludf.DUMMYFUNCTION("""COMPUTED_VALUE"""),75219.0)</f>
        <v>75219</v>
      </c>
      <c r="I2237" s="8">
        <f t="shared" si="24"/>
        <v>75219</v>
      </c>
      <c r="J2237" s="9">
        <f>IFERROR(__xludf.DUMMYFUNCTION("SPLIT(I2237,""-"")"),75219.0)</f>
        <v>75219</v>
      </c>
    </row>
    <row r="2238">
      <c r="A2238" s="10" t="s">
        <v>2061</v>
      </c>
      <c r="B2238" s="11">
        <v>51.99</v>
      </c>
      <c r="C2238" s="12" t="s">
        <v>1060</v>
      </c>
      <c r="E2238" s="8" t="str">
        <f>IFERROR(__xludf.DUMMYFUNCTION("SPLIT(A2238,""TX"")"),"Casey, Karen
6100 ")</f>
        <v>Casey, Karen
6100 </v>
      </c>
      <c r="F2238" s="8" t="str">
        <f>IFERROR(__xludf.DUMMYFUNCTION("""COMPUTED_VALUE"""),"remont
Dallas, ")</f>
        <v>remont
Dallas, </v>
      </c>
      <c r="G2238" s="8">
        <f>IFERROR(__xludf.DUMMYFUNCTION("""COMPUTED_VALUE"""),75214.0)</f>
        <v>75214</v>
      </c>
      <c r="I2238" s="8">
        <f t="shared" si="24"/>
        <v>75214</v>
      </c>
      <c r="J2238" s="9">
        <f>IFERROR(__xludf.DUMMYFUNCTION("SPLIT(I2238,""-"")"),75214.0)</f>
        <v>75214</v>
      </c>
    </row>
    <row r="2239">
      <c r="A2239" s="5" t="s">
        <v>2062</v>
      </c>
      <c r="B2239" s="6">
        <v>1000.0</v>
      </c>
      <c r="C2239" s="7" t="s">
        <v>1060</v>
      </c>
      <c r="E2239" s="8" t="str">
        <f>IFERROR(__xludf.DUMMYFUNCTION("SPLIT(A2239,""TX"")"),"Ohland, Bill
0000 P.O. Box 140810
Dallas, ")</f>
        <v>Ohland, Bill
0000 P.O. Box 140810
Dallas, </v>
      </c>
      <c r="F2239" s="8">
        <f>IFERROR(__xludf.DUMMYFUNCTION("""COMPUTED_VALUE"""),75214.0)</f>
        <v>75214</v>
      </c>
      <c r="I2239" s="8">
        <f t="shared" si="24"/>
        <v>75214</v>
      </c>
      <c r="J2239" s="9">
        <f>IFERROR(__xludf.DUMMYFUNCTION("SPLIT(I2239,""-"")"),75214.0)</f>
        <v>75214</v>
      </c>
    </row>
    <row r="2240">
      <c r="A2240" s="10" t="s">
        <v>2063</v>
      </c>
      <c r="B2240" s="11">
        <v>1000.0</v>
      </c>
      <c r="C2240" s="12" t="s">
        <v>1060</v>
      </c>
      <c r="E2240" s="8" t="str">
        <f>IFERROR(__xludf.DUMMYFUNCTION("SPLIT(A2240,""TX"")"),"Pankey, Julie
3435 Wendy Ln.
Dallas, ")</f>
        <v>Pankey, Julie
3435 Wendy Ln.
Dallas, </v>
      </c>
      <c r="F2240" s="8">
        <f>IFERROR(__xludf.DUMMYFUNCTION("""COMPUTED_VALUE"""),75214.0)</f>
        <v>75214</v>
      </c>
      <c r="I2240" s="8">
        <f t="shared" si="24"/>
        <v>75214</v>
      </c>
      <c r="J2240" s="9">
        <f>IFERROR(__xludf.DUMMYFUNCTION("SPLIT(I2240,""-"")"),75214.0)</f>
        <v>75214</v>
      </c>
    </row>
    <row r="2241">
      <c r="A2241" s="5" t="s">
        <v>2064</v>
      </c>
      <c r="B2241" s="6">
        <v>300.0</v>
      </c>
      <c r="C2241" s="7" t="s">
        <v>1060</v>
      </c>
      <c r="E2241" s="8" t="str">
        <f>IFERROR(__xludf.DUMMYFUNCTION("SPLIT(A2241,""TX"")"),"Pankey, Judson
3435 Wendy Ln.
Dallas, ")</f>
        <v>Pankey, Judson
3435 Wendy Ln.
Dallas, </v>
      </c>
      <c r="F2241" s="8">
        <f>IFERROR(__xludf.DUMMYFUNCTION("""COMPUTED_VALUE"""),75214.0)</f>
        <v>75214</v>
      </c>
      <c r="I2241" s="8">
        <f t="shared" si="24"/>
        <v>75214</v>
      </c>
      <c r="J2241" s="9">
        <f>IFERROR(__xludf.DUMMYFUNCTION("SPLIT(I2241,""-"")"),75214.0)</f>
        <v>75214</v>
      </c>
    </row>
    <row r="2242">
      <c r="A2242" s="10" t="s">
        <v>2065</v>
      </c>
      <c r="B2242" s="11">
        <v>250.0</v>
      </c>
      <c r="C2242" s="12" t="s">
        <v>1060</v>
      </c>
      <c r="E2242" s="8" t="str">
        <f>IFERROR(__xludf.DUMMYFUNCTION("SPLIT(A2242,""TX"")"),"Flabiano, Noah and Molly
5402 Emerson Ave
Dallas, ")</f>
        <v>Flabiano, Noah and Molly
5402 Emerson Ave
Dallas, </v>
      </c>
      <c r="F2242" s="8">
        <f>IFERROR(__xludf.DUMMYFUNCTION("""COMPUTED_VALUE"""),75209.0)</f>
        <v>75209</v>
      </c>
      <c r="I2242" s="8">
        <f t="shared" si="24"/>
        <v>75209</v>
      </c>
      <c r="J2242" s="9">
        <f>IFERROR(__xludf.DUMMYFUNCTION("SPLIT(I2242,""-"")"),75209.0)</f>
        <v>75209</v>
      </c>
    </row>
    <row r="2243">
      <c r="A2243" s="5" t="s">
        <v>2066</v>
      </c>
      <c r="B2243" s="6">
        <v>150.0</v>
      </c>
      <c r="C2243" s="7" t="s">
        <v>1060</v>
      </c>
      <c r="E2243" s="8" t="str">
        <f>IFERROR(__xludf.DUMMYFUNCTION("SPLIT(A2243,""TX"")"),"Leslie, Joann and Brian
6226 McCommas
Dallas, ")</f>
        <v>Leslie, Joann and Brian
6226 McCommas
Dallas, </v>
      </c>
      <c r="F2243" s="8">
        <f>IFERROR(__xludf.DUMMYFUNCTION("""COMPUTED_VALUE"""),75214.0)</f>
        <v>75214</v>
      </c>
      <c r="I2243" s="8">
        <f t="shared" si="24"/>
        <v>75214</v>
      </c>
      <c r="J2243" s="9">
        <f>IFERROR(__xludf.DUMMYFUNCTION("SPLIT(I2243,""-"")"),75214.0)</f>
        <v>75214</v>
      </c>
    </row>
    <row r="2244">
      <c r="A2244" s="10" t="s">
        <v>2067</v>
      </c>
      <c r="B2244" s="11">
        <v>500.0</v>
      </c>
      <c r="C2244" s="12" t="s">
        <v>1060</v>
      </c>
      <c r="E2244" s="8" t="str">
        <f>IFERROR(__xludf.DUMMYFUNCTION("SPLIT(A2244,""TX"")"),"Sleeper, Neal
3374 Blackburn
Dallas, ")</f>
        <v>Sleeper, Neal
3374 Blackburn
Dallas, </v>
      </c>
      <c r="F2244" s="8">
        <f>IFERROR(__xludf.DUMMYFUNCTION("""COMPUTED_VALUE"""),75201.0)</f>
        <v>75201</v>
      </c>
      <c r="I2244" s="8">
        <f t="shared" si="24"/>
        <v>75201</v>
      </c>
      <c r="J2244" s="9">
        <f>IFERROR(__xludf.DUMMYFUNCTION("SPLIT(I2244,""-"")"),75201.0)</f>
        <v>75201</v>
      </c>
    </row>
    <row r="2245">
      <c r="A2245" s="5" t="s">
        <v>2068</v>
      </c>
      <c r="B2245" s="6">
        <v>500.0</v>
      </c>
      <c r="C2245" s="7" t="s">
        <v>1060</v>
      </c>
      <c r="E2245" s="8" t="str">
        <f>IFERROR(__xludf.DUMMYFUNCTION("SPLIT(A2245,""TX"")"),"Schieber, Laura and Chad
3209 Drexel Dr
Dallas, ")</f>
        <v>Schieber, Laura and Chad
3209 Drexel Dr
Dallas, </v>
      </c>
      <c r="F2245" s="8">
        <f>IFERROR(__xludf.DUMMYFUNCTION("""COMPUTED_VALUE"""),75205.0)</f>
        <v>75205</v>
      </c>
      <c r="I2245" s="8">
        <f t="shared" si="24"/>
        <v>75205</v>
      </c>
      <c r="J2245" s="9">
        <f>IFERROR(__xludf.DUMMYFUNCTION("SPLIT(I2245,""-"")"),75205.0)</f>
        <v>75205</v>
      </c>
    </row>
    <row r="2246">
      <c r="A2246" s="10" t="s">
        <v>2069</v>
      </c>
      <c r="B2246" s="11">
        <v>1000.0</v>
      </c>
      <c r="C2246" s="12" t="s">
        <v>1060</v>
      </c>
      <c r="E2246" s="8" t="str">
        <f>IFERROR(__xludf.DUMMYFUNCTION("SPLIT(A2246,""TX"")"),"McNamara, Donald
3899 Maple Ave
Dallas, ")</f>
        <v>McNamara, Donald
3899 Maple Ave
Dallas, </v>
      </c>
      <c r="F2246" s="8">
        <f>IFERROR(__xludf.DUMMYFUNCTION("""COMPUTED_VALUE"""),75219.0)</f>
        <v>75219</v>
      </c>
      <c r="I2246" s="8">
        <f t="shared" si="24"/>
        <v>75219</v>
      </c>
      <c r="J2246" s="9">
        <f>IFERROR(__xludf.DUMMYFUNCTION("SPLIT(I2246,""-"")"),75219.0)</f>
        <v>75219</v>
      </c>
    </row>
    <row r="2247">
      <c r="A2247" s="5" t="s">
        <v>2057</v>
      </c>
      <c r="B2247" s="6">
        <v>1000.0</v>
      </c>
      <c r="C2247" s="7" t="s">
        <v>1060</v>
      </c>
      <c r="E2247" s="8" t="str">
        <f>IFERROR(__xludf.DUMMYFUNCTION("SPLIT(A2247,""TX"")"),"Hunt, Ray
1900 N Akard
Dallas, ")</f>
        <v>Hunt, Ray
1900 N Akard
Dallas, </v>
      </c>
      <c r="F2247" s="8">
        <f>IFERROR(__xludf.DUMMYFUNCTION("""COMPUTED_VALUE"""),75201.0)</f>
        <v>75201</v>
      </c>
      <c r="I2247" s="8">
        <f t="shared" si="24"/>
        <v>75201</v>
      </c>
      <c r="J2247" s="9">
        <f>IFERROR(__xludf.DUMMYFUNCTION("SPLIT(I2247,""-"")"),75201.0)</f>
        <v>75201</v>
      </c>
    </row>
    <row r="2248">
      <c r="A2248" s="10" t="s">
        <v>2070</v>
      </c>
      <c r="B2248" s="11">
        <v>250.0</v>
      </c>
      <c r="C2248" s="12" t="s">
        <v>1060</v>
      </c>
      <c r="E2248" s="8" t="str">
        <f>IFERROR(__xludf.DUMMYFUNCTION("SPLIT(A2248,""TX"")"),"Cobb, Phil
3839 McKinney Ave.
Dallas, ")</f>
        <v>Cobb, Phil
3839 McKinney Ave.
Dallas, </v>
      </c>
      <c r="F2248" s="8">
        <f>IFERROR(__xludf.DUMMYFUNCTION("""COMPUTED_VALUE"""),75204.0)</f>
        <v>75204</v>
      </c>
      <c r="I2248" s="8">
        <f t="shared" si="24"/>
        <v>75204</v>
      </c>
      <c r="J2248" s="9">
        <f>IFERROR(__xludf.DUMMYFUNCTION("SPLIT(I2248,""-"")"),75204.0)</f>
        <v>75204</v>
      </c>
    </row>
    <row r="2249">
      <c r="A2249" s="5" t="s">
        <v>2071</v>
      </c>
      <c r="B2249" s="6">
        <v>1000.0</v>
      </c>
      <c r="C2249" s="7" t="s">
        <v>1060</v>
      </c>
      <c r="E2249" s="8" t="str">
        <f>IFERROR(__xludf.DUMMYFUNCTION("SPLIT(A2249,""TX"")"),"Friedman, Richard
20 University Rd
Cambridge, MA 02138")</f>
        <v>Friedman, Richard
20 University Rd
Cambridge, MA 02138</v>
      </c>
      <c r="I2249" s="8" t="str">
        <f t="shared" si="24"/>
        <v/>
      </c>
      <c r="J2249" s="9" t="str">
        <f>IFERROR(__xludf.DUMMYFUNCTION("SPLIT(I2249,""-"")"),"#VALUE!")</f>
        <v>#VALUE!</v>
      </c>
    </row>
    <row r="2250">
      <c r="A2250" s="10" t="s">
        <v>2072</v>
      </c>
      <c r="B2250" s="11">
        <v>1000.0</v>
      </c>
      <c r="C2250" s="12" t="s">
        <v>1060</v>
      </c>
      <c r="E2250" s="8" t="str">
        <f>IFERROR(__xludf.DUMMYFUNCTION("SPLIT(A2250,""TX"")"),"Klemm, Nancy
1 Dalton
Boston, MA 02115")</f>
        <v>Klemm, Nancy
1 Dalton
Boston, MA 02115</v>
      </c>
      <c r="I2250" s="8" t="str">
        <f t="shared" si="24"/>
        <v/>
      </c>
      <c r="J2250" s="9" t="str">
        <f>IFERROR(__xludf.DUMMYFUNCTION("SPLIT(I2250,""-"")"),"#VALUE!")</f>
        <v>#VALUE!</v>
      </c>
    </row>
    <row r="2251">
      <c r="A2251" s="5" t="s">
        <v>2073</v>
      </c>
      <c r="B2251" s="6">
        <v>1000.0</v>
      </c>
      <c r="C2251" s="7" t="s">
        <v>1060</v>
      </c>
      <c r="E2251" s="8" t="str">
        <f>IFERROR(__xludf.DUMMYFUNCTION("SPLIT(A2251,""TX"")"),"Montfort, Jesus and Jane
1610 Hyland Greens Dr
Grapevine, ")</f>
        <v>Montfort, Jesus and Jane
1610 Hyland Greens Dr
Grapevine, </v>
      </c>
      <c r="F2251" s="8">
        <f>IFERROR(__xludf.DUMMYFUNCTION("""COMPUTED_VALUE"""),76051.0)</f>
        <v>76051</v>
      </c>
      <c r="I2251" s="8">
        <f t="shared" si="24"/>
        <v>76051</v>
      </c>
      <c r="J2251" s="9">
        <f>IFERROR(__xludf.DUMMYFUNCTION("SPLIT(I2251,""-"")"),76051.0)</f>
        <v>76051</v>
      </c>
    </row>
    <row r="2252">
      <c r="A2252" s="10" t="s">
        <v>1797</v>
      </c>
      <c r="B2252" s="11">
        <v>1000.0</v>
      </c>
      <c r="C2252" s="12" t="s">
        <v>1060</v>
      </c>
      <c r="E2252" s="8" t="str">
        <f>IFERROR(__xludf.DUMMYFUNCTION("SPLIT(A2252,""TX"")"),"Aranza, Humberto
3105 San Jacinto
Dallas, ")</f>
        <v>Aranza, Humberto
3105 San Jacinto
Dallas, </v>
      </c>
      <c r="F2252" s="8">
        <f>IFERROR(__xludf.DUMMYFUNCTION("""COMPUTED_VALUE"""),75204.0)</f>
        <v>75204</v>
      </c>
      <c r="I2252" s="8">
        <f t="shared" si="24"/>
        <v>75204</v>
      </c>
      <c r="J2252" s="9">
        <f>IFERROR(__xludf.DUMMYFUNCTION("SPLIT(I2252,""-"")"),75204.0)</f>
        <v>75204</v>
      </c>
    </row>
    <row r="2253">
      <c r="A2253" s="5" t="s">
        <v>2074</v>
      </c>
      <c r="B2253" s="6">
        <v>1000.0</v>
      </c>
      <c r="C2253" s="7" t="s">
        <v>1060</v>
      </c>
      <c r="E2253" s="8" t="str">
        <f>IFERROR(__xludf.DUMMYFUNCTION("SPLIT(A2253,""TX"")"),"Aranza, Gilbert
000 P.O Box 601527
Dallas, ")</f>
        <v>Aranza, Gilbert
000 P.O Box 601527
Dallas, </v>
      </c>
      <c r="F2253" s="8">
        <f>IFERROR(__xludf.DUMMYFUNCTION("""COMPUTED_VALUE"""),75360.0)</f>
        <v>75360</v>
      </c>
      <c r="I2253" s="8">
        <f t="shared" si="24"/>
        <v>75360</v>
      </c>
      <c r="J2253" s="9">
        <f>IFERROR(__xludf.DUMMYFUNCTION("SPLIT(I2253,""-"")"),75360.0)</f>
        <v>75360</v>
      </c>
    </row>
    <row r="2254">
      <c r="A2254" s="10" t="s">
        <v>2075</v>
      </c>
      <c r="B2254" s="11">
        <v>1000.0</v>
      </c>
      <c r="C2254" s="12" t="s">
        <v>1060</v>
      </c>
      <c r="E2254" s="8" t="str">
        <f>IFERROR(__xludf.DUMMYFUNCTION("SPLIT(A2254,""TX"")"),"Aranza, Roselind
3445 University
Dallas, ")</f>
        <v>Aranza, Roselind
3445 University
Dallas, </v>
      </c>
      <c r="F2254" s="8">
        <f>IFERROR(__xludf.DUMMYFUNCTION("""COMPUTED_VALUE"""),75205.0)</f>
        <v>75205</v>
      </c>
      <c r="I2254" s="8">
        <f t="shared" si="24"/>
        <v>75205</v>
      </c>
      <c r="J2254" s="9">
        <f>IFERROR(__xludf.DUMMYFUNCTION("SPLIT(I2254,""-"")"),75205.0)</f>
        <v>75205</v>
      </c>
    </row>
    <row r="2255">
      <c r="A2255" s="5" t="s">
        <v>2076</v>
      </c>
      <c r="B2255" s="6">
        <v>1000.0</v>
      </c>
      <c r="C2255" s="7" t="s">
        <v>1060</v>
      </c>
      <c r="E2255" s="8" t="str">
        <f>IFERROR(__xludf.DUMMYFUNCTION("SPLIT(A2255,""TX"")"),"Segrest, Matt
3012 Fairmont St.
Dallas, ")</f>
        <v>Segrest, Matt
3012 Fairmont St.
Dallas, </v>
      </c>
      <c r="F2255" s="8">
        <f>IFERROR(__xludf.DUMMYFUNCTION("""COMPUTED_VALUE"""),75201.0)</f>
        <v>75201</v>
      </c>
      <c r="I2255" s="8">
        <f t="shared" si="24"/>
        <v>75201</v>
      </c>
      <c r="J2255" s="9">
        <f>IFERROR(__xludf.DUMMYFUNCTION("SPLIT(I2255,""-"")"),75201.0)</f>
        <v>75201</v>
      </c>
    </row>
    <row r="2256">
      <c r="A2256" s="10" t="s">
        <v>2077</v>
      </c>
      <c r="B2256" s="11">
        <v>200.0</v>
      </c>
      <c r="C2256" s="12" t="s">
        <v>50</v>
      </c>
      <c r="E2256" s="8" t="str">
        <f>IFERROR(__xludf.DUMMYFUNCTION("SPLIT(A2256,""TX"")"),"Gunby, Elizabeth
3209 
Dallas, ")</f>
        <v>Gunby, Elizabeth
3209 
Dallas, </v>
      </c>
      <c r="F2256" s="8">
        <f>IFERROR(__xludf.DUMMYFUNCTION("""COMPUTED_VALUE"""),75225.0)</f>
        <v>75225</v>
      </c>
      <c r="I2256" s="8">
        <f t="shared" si="24"/>
        <v>75225</v>
      </c>
      <c r="J2256" s="9">
        <f>IFERROR(__xludf.DUMMYFUNCTION("SPLIT(I2256,""-"")"),75225.0)</f>
        <v>75225</v>
      </c>
    </row>
    <row r="2257">
      <c r="A2257" s="10" t="s">
        <v>2078</v>
      </c>
      <c r="B2257" s="11">
        <v>50.0</v>
      </c>
      <c r="C2257" s="12" t="s">
        <v>50</v>
      </c>
      <c r="E2257" s="8" t="str">
        <f>IFERROR(__xludf.DUMMYFUNCTION("SPLIT(A2257,""TX"")"),"Martin, VJ
8230 
Dallas, ")</f>
        <v>Martin, VJ
8230 
Dallas, </v>
      </c>
      <c r="F2257" s="8">
        <f>IFERROR(__xludf.DUMMYFUNCTION("""COMPUTED_VALUE"""),75228.0)</f>
        <v>75228</v>
      </c>
      <c r="I2257" s="8">
        <f t="shared" si="24"/>
        <v>75228</v>
      </c>
      <c r="J2257" s="9">
        <f>IFERROR(__xludf.DUMMYFUNCTION("SPLIT(I2257,""-"")"),75228.0)</f>
        <v>75228</v>
      </c>
    </row>
    <row r="2258">
      <c r="A2258" s="10" t="s">
        <v>2079</v>
      </c>
      <c r="B2258" s="11">
        <v>500.0</v>
      </c>
      <c r="C2258" s="12" t="s">
        <v>50</v>
      </c>
      <c r="E2258" s="8" t="str">
        <f>IFERROR(__xludf.DUMMYFUNCTION("SPLIT(A2258,""TX"")"),"Norris, Gina
4240 
Dallas, ")</f>
        <v>Norris, Gina
4240 
Dallas, </v>
      </c>
      <c r="F2258" s="8">
        <f>IFERROR(__xludf.DUMMYFUNCTION("""COMPUTED_VALUE"""),75219.0)</f>
        <v>75219</v>
      </c>
      <c r="I2258" s="8">
        <f t="shared" si="24"/>
        <v>75219</v>
      </c>
      <c r="J2258" s="9">
        <f>IFERROR(__xludf.DUMMYFUNCTION("SPLIT(I2258,""-"")"),75219.0)</f>
        <v>75219</v>
      </c>
    </row>
    <row r="2259">
      <c r="A2259" s="10" t="s">
        <v>1767</v>
      </c>
      <c r="B2259" s="11">
        <v>100.0</v>
      </c>
      <c r="C2259" s="12" t="s">
        <v>50</v>
      </c>
      <c r="E2259" s="8" t="str">
        <f>IFERROR(__xludf.DUMMYFUNCTION("SPLIT(A2259,""TX"")"),"Dohanian, Armen
5859 
Dallas, ")</f>
        <v>Dohanian, Armen
5859 
Dallas, </v>
      </c>
      <c r="F2259" s="8">
        <f>IFERROR(__xludf.DUMMYFUNCTION("""COMPUTED_VALUE"""),75227.0)</f>
        <v>75227</v>
      </c>
      <c r="I2259" s="8">
        <f t="shared" si="24"/>
        <v>75227</v>
      </c>
      <c r="J2259" s="9">
        <f>IFERROR(__xludf.DUMMYFUNCTION("SPLIT(I2259,""-"")"),75227.0)</f>
        <v>75227</v>
      </c>
    </row>
    <row r="2260">
      <c r="A2260" s="10" t="s">
        <v>2080</v>
      </c>
      <c r="B2260" s="11">
        <v>1000.0</v>
      </c>
      <c r="C2260" s="12" t="s">
        <v>50</v>
      </c>
      <c r="E2260" s="8" t="str">
        <f>IFERROR(__xludf.DUMMYFUNCTION("SPLIT(A2260,""TX"")"),"Linebarger Goggan Blair &amp; Sampson, LLC
PO Box 17428
Austin, ")</f>
        <v>Linebarger Goggan Blair &amp; Sampson, LLC
PO Box 17428
Austin, </v>
      </c>
      <c r="F2260" s="8">
        <f>IFERROR(__xludf.DUMMYFUNCTION("""COMPUTED_VALUE"""),78760.0)</f>
        <v>78760</v>
      </c>
      <c r="I2260" s="8">
        <f t="shared" si="24"/>
        <v>78760</v>
      </c>
      <c r="J2260" s="9">
        <f>IFERROR(__xludf.DUMMYFUNCTION("SPLIT(I2260,""-"")"),78760.0)</f>
        <v>78760</v>
      </c>
    </row>
    <row r="2261">
      <c r="A2261" s="10" t="s">
        <v>2081</v>
      </c>
      <c r="B2261" s="11">
        <v>500.0</v>
      </c>
      <c r="C2261" s="12" t="s">
        <v>50</v>
      </c>
      <c r="E2261" s="8" t="str">
        <f>IFERROR(__xludf.DUMMYFUNCTION("SPLIT(A2261,""TX"")"),"Sifford, Bruce
12221 
Dallas, ")</f>
        <v>Sifford, Bruce
12221 
Dallas, </v>
      </c>
      <c r="F2261" s="8">
        <f>IFERROR(__xludf.DUMMYFUNCTION("""COMPUTED_VALUE"""),75251.0)</f>
        <v>75251</v>
      </c>
      <c r="I2261" s="8">
        <f t="shared" si="24"/>
        <v>75251</v>
      </c>
      <c r="J2261" s="9">
        <f>IFERROR(__xludf.DUMMYFUNCTION("SPLIT(I2261,""-"")"),75251.0)</f>
        <v>75251</v>
      </c>
    </row>
    <row r="2262">
      <c r="A2262" s="10" t="s">
        <v>2082</v>
      </c>
      <c r="B2262" s="11">
        <v>100.0</v>
      </c>
      <c r="C2262" s="12" t="s">
        <v>50</v>
      </c>
      <c r="E2262" s="8" t="str">
        <f>IFERROR(__xludf.DUMMYFUNCTION("SPLIT(A2262,""TX"")"),"Garcia, Catalina
10455 
Dallas, ")</f>
        <v>Garcia, Catalina
10455 
Dallas, </v>
      </c>
      <c r="F2262" s="8">
        <f>IFERROR(__xludf.DUMMYFUNCTION("""COMPUTED_VALUE"""),75231.0)</f>
        <v>75231</v>
      </c>
      <c r="I2262" s="8">
        <f t="shared" si="24"/>
        <v>75231</v>
      </c>
      <c r="J2262" s="9">
        <f>IFERROR(__xludf.DUMMYFUNCTION("SPLIT(I2262,""-"")"),75231.0)</f>
        <v>75231</v>
      </c>
    </row>
    <row r="2263">
      <c r="A2263" s="5" t="s">
        <v>2083</v>
      </c>
      <c r="B2263" s="6">
        <v>50.0</v>
      </c>
      <c r="C2263" s="7" t="s">
        <v>1065</v>
      </c>
      <c r="E2263" s="8" t="str">
        <f>IFERROR(__xludf.DUMMYFUNCTION("SPLIT(A2263,""TX"")"),"Lester, Cedric
512 N Hampton Road
DeSoto, ")</f>
        <v>Lester, Cedric
512 N Hampton Road
DeSoto, </v>
      </c>
      <c r="F2263" s="8">
        <f>IFERROR(__xludf.DUMMYFUNCTION("""COMPUTED_VALUE"""),75115.0)</f>
        <v>75115</v>
      </c>
      <c r="I2263" s="8">
        <f t="shared" si="24"/>
        <v>75115</v>
      </c>
      <c r="J2263" s="9">
        <f>IFERROR(__xludf.DUMMYFUNCTION("SPLIT(I2263,""-"")"),75115.0)</f>
        <v>75115</v>
      </c>
    </row>
    <row r="2264">
      <c r="A2264" s="10" t="s">
        <v>2084</v>
      </c>
      <c r="B2264" s="11">
        <v>2500.0</v>
      </c>
      <c r="C2264" s="12" t="s">
        <v>1065</v>
      </c>
      <c r="E2264" s="8" t="str">
        <f>IFERROR(__xludf.DUMMYFUNCTION("SPLIT(A2264,""TX"")"),"homas, Cheri
608 Belhaven Dr
Allen, ")</f>
        <v>homas, Cheri
608 Belhaven Dr
Allen, </v>
      </c>
      <c r="F2264" s="8">
        <f>IFERROR(__xludf.DUMMYFUNCTION("""COMPUTED_VALUE"""),75013.0)</f>
        <v>75013</v>
      </c>
      <c r="I2264" s="8">
        <f t="shared" si="24"/>
        <v>75013</v>
      </c>
      <c r="J2264" s="9">
        <f>IFERROR(__xludf.DUMMYFUNCTION("SPLIT(I2264,""-"")"),75013.0)</f>
        <v>75013</v>
      </c>
    </row>
    <row r="2265">
      <c r="A2265" s="5" t="s">
        <v>1536</v>
      </c>
      <c r="B2265" s="6">
        <v>100.0</v>
      </c>
      <c r="C2265" s="7" t="s">
        <v>1065</v>
      </c>
      <c r="E2265" s="8" t="str">
        <f>IFERROR(__xludf.DUMMYFUNCTION("SPLIT(A2265,""TX"")"),"Heinbaugh, Chris
1801 Annex Ave
Dallas, ")</f>
        <v>Heinbaugh, Chris
1801 Annex Ave
Dallas, </v>
      </c>
      <c r="F2265" s="8">
        <f>IFERROR(__xludf.DUMMYFUNCTION("""COMPUTED_VALUE"""),75204.0)</f>
        <v>75204</v>
      </c>
      <c r="I2265" s="8">
        <f t="shared" si="24"/>
        <v>75204</v>
      </c>
      <c r="J2265" s="9">
        <f>IFERROR(__xludf.DUMMYFUNCTION("SPLIT(I2265,""-"")"),75204.0)</f>
        <v>75204</v>
      </c>
    </row>
    <row r="2266">
      <c r="A2266" s="10" t="s">
        <v>2085</v>
      </c>
      <c r="B2266" s="11">
        <v>1000.0</v>
      </c>
      <c r="C2266" s="12" t="s">
        <v>1065</v>
      </c>
      <c r="E2266" s="8" t="str">
        <f>IFERROR(__xludf.DUMMYFUNCTION("SPLIT(A2266,""TX"")"),"Luce, ")</f>
        <v>Luce, </v>
      </c>
      <c r="F2266" s="8" t="str">
        <f>IFERROR(__xludf.DUMMYFUNCTION("""COMPUTED_VALUE"""),"om
7338 Lane Park Dr
Dallas, ")</f>
        <v>om
7338 Lane Park Dr
Dallas, </v>
      </c>
      <c r="G2266" s="8">
        <f>IFERROR(__xludf.DUMMYFUNCTION("""COMPUTED_VALUE"""),75225.0)</f>
        <v>75225</v>
      </c>
      <c r="I2266" s="8">
        <f t="shared" si="24"/>
        <v>75225</v>
      </c>
      <c r="J2266" s="9">
        <f>IFERROR(__xludf.DUMMYFUNCTION("SPLIT(I2266,""-"")"),75225.0)</f>
        <v>75225</v>
      </c>
    </row>
    <row r="2267">
      <c r="A2267" s="5" t="s">
        <v>2086</v>
      </c>
      <c r="B2267" s="6">
        <v>10000.0</v>
      </c>
      <c r="C2267" s="7" t="s">
        <v>1065</v>
      </c>
      <c r="E2267" s="8" t="str">
        <f>IFERROR(__xludf.DUMMYFUNCTION("SPLIT(A2267,""TX"")"),"Hall, Steve &amp; Joy
5959 Royal Lane
Dallas, ")</f>
        <v>Hall, Steve &amp; Joy
5959 Royal Lane
Dallas, </v>
      </c>
      <c r="F2267" s="8">
        <f>IFERROR(__xludf.DUMMYFUNCTION("""COMPUTED_VALUE"""),75230.0)</f>
        <v>75230</v>
      </c>
      <c r="I2267" s="8">
        <f t="shared" si="24"/>
        <v>75230</v>
      </c>
      <c r="J2267" s="9">
        <f>IFERROR(__xludf.DUMMYFUNCTION("SPLIT(I2267,""-"")"),75230.0)</f>
        <v>75230</v>
      </c>
    </row>
    <row r="2268">
      <c r="A2268" s="10" t="s">
        <v>2087</v>
      </c>
      <c r="B2268" s="11">
        <v>50.0</v>
      </c>
      <c r="C2268" s="12" t="s">
        <v>1065</v>
      </c>
      <c r="E2268" s="8" t="str">
        <f>IFERROR(__xludf.DUMMYFUNCTION("SPLIT(A2268,""TX"")"),"Hopper, John
8821 ")</f>
        <v>Hopper, John
8821 </v>
      </c>
      <c r="F2268" s="8" t="str">
        <f>IFERROR(__xludf.DUMMYFUNCTION("""COMPUTED_VALUE"""),"udor Pl
Dallas, ")</f>
        <v>udor Pl
Dallas, </v>
      </c>
      <c r="G2268" s="8">
        <f>IFERROR(__xludf.DUMMYFUNCTION("""COMPUTED_VALUE"""),75228.0)</f>
        <v>75228</v>
      </c>
      <c r="I2268" s="8">
        <f t="shared" si="24"/>
        <v>75228</v>
      </c>
      <c r="J2268" s="9">
        <f>IFERROR(__xludf.DUMMYFUNCTION("SPLIT(I2268,""-"")"),75228.0)</f>
        <v>75228</v>
      </c>
    </row>
    <row r="2269">
      <c r="A2269" s="5" t="s">
        <v>2088</v>
      </c>
      <c r="B2269" s="6">
        <v>5000.0</v>
      </c>
      <c r="C2269" s="7" t="s">
        <v>1065</v>
      </c>
      <c r="E2269" s="8" t="str">
        <f>IFERROR(__xludf.DUMMYFUNCTION("SPLIT(A2269,""TX"")"),"Washburne, Ray
47 Highland Park Village
Dallas, ")</f>
        <v>Washburne, Ray
47 Highland Park Village
Dallas, </v>
      </c>
      <c r="F2269" s="8">
        <f>IFERROR(__xludf.DUMMYFUNCTION("""COMPUTED_VALUE"""),75205.0)</f>
        <v>75205</v>
      </c>
      <c r="I2269" s="8">
        <f t="shared" si="24"/>
        <v>75205</v>
      </c>
      <c r="J2269" s="9">
        <f>IFERROR(__xludf.DUMMYFUNCTION("SPLIT(I2269,""-"")"),75205.0)</f>
        <v>75205</v>
      </c>
    </row>
    <row r="2270">
      <c r="A2270" s="10" t="s">
        <v>2089</v>
      </c>
      <c r="B2270" s="11">
        <v>100.0</v>
      </c>
      <c r="C2270" s="12" t="s">
        <v>1065</v>
      </c>
      <c r="E2270" s="8" t="str">
        <f>IFERROR(__xludf.DUMMYFUNCTION("SPLIT(A2270,""TX"")"),"Goldman, Bridget
4312 Larchmont St
Dallas, ")</f>
        <v>Goldman, Bridget
4312 Larchmont St
Dallas, </v>
      </c>
      <c r="F2270" s="8">
        <f>IFERROR(__xludf.DUMMYFUNCTION("""COMPUTED_VALUE"""),75205.0)</f>
        <v>75205</v>
      </c>
      <c r="I2270" s="8">
        <f t="shared" si="24"/>
        <v>75205</v>
      </c>
      <c r="J2270" s="9">
        <f>IFERROR(__xludf.DUMMYFUNCTION("SPLIT(I2270,""-"")"),75205.0)</f>
        <v>75205</v>
      </c>
    </row>
    <row r="2271">
      <c r="A2271" s="5" t="s">
        <v>2090</v>
      </c>
      <c r="B2271" s="6">
        <v>500.0</v>
      </c>
      <c r="C2271" s="7" t="s">
        <v>1065</v>
      </c>
      <c r="E2271" s="8" t="str">
        <f>IFERROR(__xludf.DUMMYFUNCTION("SPLIT(A2271,""TX"")"),"Keyes, Katrina
3839 McKinney Ave
Dallas, ")</f>
        <v>Keyes, Katrina
3839 McKinney Ave
Dallas, </v>
      </c>
      <c r="F2271" s="8">
        <f>IFERROR(__xludf.DUMMYFUNCTION("""COMPUTED_VALUE"""),75244.0)</f>
        <v>75244</v>
      </c>
      <c r="I2271" s="8">
        <f t="shared" si="24"/>
        <v>75244</v>
      </c>
      <c r="J2271" s="9">
        <f>IFERROR(__xludf.DUMMYFUNCTION("SPLIT(I2271,""-"")"),75244.0)</f>
        <v>75244</v>
      </c>
    </row>
    <row r="2272">
      <c r="A2272" s="10" t="s">
        <v>1924</v>
      </c>
      <c r="B2272" s="11">
        <v>1000.0</v>
      </c>
      <c r="C2272" s="12" t="s">
        <v>1065</v>
      </c>
      <c r="E2272" s="8" t="str">
        <f>IFERROR(__xludf.DUMMYFUNCTION("SPLIT(A2272,""TX"")"),"arpley, Gloria
8378 Forest Hills Blvd
Dallas, ")</f>
        <v>arpley, Gloria
8378 Forest Hills Blvd
Dallas, </v>
      </c>
      <c r="F2272" s="8">
        <f>IFERROR(__xludf.DUMMYFUNCTION("""COMPUTED_VALUE"""),75218.0)</f>
        <v>75218</v>
      </c>
      <c r="I2272" s="8">
        <f t="shared" si="24"/>
        <v>75218</v>
      </c>
      <c r="J2272" s="9">
        <f>IFERROR(__xludf.DUMMYFUNCTION("SPLIT(I2272,""-"")"),75218.0)</f>
        <v>75218</v>
      </c>
    </row>
    <row r="2273">
      <c r="A2273" s="5" t="s">
        <v>2091</v>
      </c>
      <c r="B2273" s="6">
        <v>100.0</v>
      </c>
      <c r="C2273" s="7" t="s">
        <v>1065</v>
      </c>
      <c r="E2273" s="8" t="str">
        <f>IFERROR(__xludf.DUMMYFUNCTION("SPLIT(A2273,""TX"")"),"Pailet, Jeff
7308 Williamswood Dr
Dallas, ")</f>
        <v>Pailet, Jeff
7308 Williamswood Dr
Dallas, </v>
      </c>
      <c r="F2273" s="8">
        <f>IFERROR(__xludf.DUMMYFUNCTION("""COMPUTED_VALUE"""),75252.0)</f>
        <v>75252</v>
      </c>
      <c r="I2273" s="8">
        <f t="shared" si="24"/>
        <v>75252</v>
      </c>
      <c r="J2273" s="9">
        <f>IFERROR(__xludf.DUMMYFUNCTION("SPLIT(I2273,""-"")"),75252.0)</f>
        <v>75252</v>
      </c>
    </row>
    <row r="2274">
      <c r="A2274" s="10" t="s">
        <v>2092</v>
      </c>
      <c r="B2274" s="11">
        <v>500.0</v>
      </c>
      <c r="C2274" s="12" t="s">
        <v>1065</v>
      </c>
      <c r="E2274" s="8" t="str">
        <f>IFERROR(__xludf.DUMMYFUNCTION("SPLIT(A2274,""TX"")"),"Walne, Alan
120 Rayflex Dr
Richardson, ")</f>
        <v>Walne, Alan
120 Rayflex Dr
Richardson, </v>
      </c>
      <c r="F2274" s="8">
        <f>IFERROR(__xludf.DUMMYFUNCTION("""COMPUTED_VALUE"""),75081.0)</f>
        <v>75081</v>
      </c>
      <c r="I2274" s="8">
        <f t="shared" si="24"/>
        <v>75081</v>
      </c>
      <c r="J2274" s="9">
        <f>IFERROR(__xludf.DUMMYFUNCTION("SPLIT(I2274,""-"")"),75081.0)</f>
        <v>75081</v>
      </c>
    </row>
    <row r="2275">
      <c r="A2275" s="5" t="s">
        <v>2093</v>
      </c>
      <c r="B2275" s="6">
        <v>2500.0</v>
      </c>
      <c r="C2275" s="7" t="s">
        <v>1065</v>
      </c>
      <c r="E2275" s="8" t="str">
        <f>IFERROR(__xludf.DUMMYFUNCTION("SPLIT(A2275,""TX"")"),"Bailey, Mary
3817 Normandy Ave
Dallas, ")</f>
        <v>Bailey, Mary
3817 Normandy Ave
Dallas, </v>
      </c>
      <c r="F2275" s="8">
        <f>IFERROR(__xludf.DUMMYFUNCTION("""COMPUTED_VALUE"""),75205.0)</f>
        <v>75205</v>
      </c>
      <c r="I2275" s="8">
        <f t="shared" si="24"/>
        <v>75205</v>
      </c>
      <c r="J2275" s="9">
        <f>IFERROR(__xludf.DUMMYFUNCTION("SPLIT(I2275,""-"")"),75205.0)</f>
        <v>75205</v>
      </c>
    </row>
    <row r="2276">
      <c r="A2276" s="10" t="s">
        <v>2094</v>
      </c>
      <c r="B2276" s="11">
        <v>500.0</v>
      </c>
      <c r="C2276" s="12" t="s">
        <v>1065</v>
      </c>
      <c r="E2276" s="8" t="str">
        <f>IFERROR(__xludf.DUMMYFUNCTION("SPLIT(A2276,""TX"")"),"Hernandez, James
1236 W 18th St
Houston, ")</f>
        <v>Hernandez, James
1236 W 18th St
Houston, </v>
      </c>
      <c r="F2276" s="8">
        <f>IFERROR(__xludf.DUMMYFUNCTION("""COMPUTED_VALUE"""),77008.0)</f>
        <v>77008</v>
      </c>
      <c r="I2276" s="8">
        <f t="shared" si="24"/>
        <v>77008</v>
      </c>
      <c r="J2276" s="9">
        <f>IFERROR(__xludf.DUMMYFUNCTION("SPLIT(I2276,""-"")"),77008.0)</f>
        <v>77008</v>
      </c>
    </row>
    <row r="2277">
      <c r="A2277" s="5" t="s">
        <v>2095</v>
      </c>
      <c r="B2277" s="6">
        <v>500.0</v>
      </c>
      <c r="C2277" s="7" t="s">
        <v>1065</v>
      </c>
      <c r="E2277" s="8" t="str">
        <f>IFERROR(__xludf.DUMMYFUNCTION("SPLIT(A2277,""TX"")"),"Collie, Robert
5939 Pine Forest Road
Houston, ")</f>
        <v>Collie, Robert
5939 Pine Forest Road
Houston, </v>
      </c>
      <c r="F2277" s="8">
        <f>IFERROR(__xludf.DUMMYFUNCTION("""COMPUTED_VALUE"""),77057.0)</f>
        <v>77057</v>
      </c>
      <c r="I2277" s="8">
        <f t="shared" si="24"/>
        <v>77057</v>
      </c>
      <c r="J2277" s="9">
        <f>IFERROR(__xludf.DUMMYFUNCTION("SPLIT(I2277,""-"")"),77057.0)</f>
        <v>77057</v>
      </c>
    </row>
    <row r="2278">
      <c r="A2278" s="10" t="s">
        <v>2096</v>
      </c>
      <c r="B2278" s="11">
        <v>500.0</v>
      </c>
      <c r="C2278" s="12" t="s">
        <v>1065</v>
      </c>
      <c r="E2278" s="8" t="str">
        <f>IFERROR(__xludf.DUMMYFUNCTION("SPLIT(A2278,""TX"")"),"Johnson, Willis
1001 Belleview St
Dallas, ")</f>
        <v>Johnson, Willis
1001 Belleview St
Dallas, </v>
      </c>
      <c r="F2278" s="8">
        <f>IFERROR(__xludf.DUMMYFUNCTION("""COMPUTED_VALUE"""),75215.0)</f>
        <v>75215</v>
      </c>
      <c r="I2278" s="8">
        <f t="shared" si="24"/>
        <v>75215</v>
      </c>
      <c r="J2278" s="9">
        <f>IFERROR(__xludf.DUMMYFUNCTION("SPLIT(I2278,""-"")"),75215.0)</f>
        <v>75215</v>
      </c>
    </row>
    <row r="2279">
      <c r="A2279" s="5" t="s">
        <v>2097</v>
      </c>
      <c r="B2279" s="6">
        <v>1000.0</v>
      </c>
      <c r="C2279" s="7" t="s">
        <v>1065</v>
      </c>
      <c r="E2279" s="8" t="str">
        <f>IFERROR(__xludf.DUMMYFUNCTION("SPLIT(A2279,""TX"")"),"aylor, David
11307 Coloma Lane
Houston, ")</f>
        <v>aylor, David
11307 Coloma Lane
Houston, </v>
      </c>
      <c r="F2279" s="8">
        <f>IFERROR(__xludf.DUMMYFUNCTION("""COMPUTED_VALUE"""),77024.0)</f>
        <v>77024</v>
      </c>
      <c r="I2279" s="8">
        <f t="shared" si="24"/>
        <v>77024</v>
      </c>
      <c r="J2279" s="9">
        <f>IFERROR(__xludf.DUMMYFUNCTION("SPLIT(I2279,""-"")"),77024.0)</f>
        <v>77024</v>
      </c>
    </row>
    <row r="2280">
      <c r="A2280" s="10" t="s">
        <v>2098</v>
      </c>
      <c r="B2280" s="11">
        <v>1000.0</v>
      </c>
      <c r="C2280" s="12" t="s">
        <v>1065</v>
      </c>
      <c r="E2280" s="8" t="str">
        <f>IFERROR(__xludf.DUMMYFUNCTION("SPLIT(A2280,""TX"")"),"Cox, Jonathan
1415 North Loop West
Houston, ")</f>
        <v>Cox, Jonathan
1415 North Loop West
Houston, </v>
      </c>
      <c r="F2280" s="8">
        <f>IFERROR(__xludf.DUMMYFUNCTION("""COMPUTED_VALUE"""),77024.0)</f>
        <v>77024</v>
      </c>
      <c r="I2280" s="8">
        <f t="shared" si="24"/>
        <v>77024</v>
      </c>
      <c r="J2280" s="9">
        <f>IFERROR(__xludf.DUMMYFUNCTION("SPLIT(I2280,""-"")"),77024.0)</f>
        <v>77024</v>
      </c>
    </row>
    <row r="2281">
      <c r="A2281" s="5" t="s">
        <v>2099</v>
      </c>
      <c r="B2281" s="6">
        <v>1000.0</v>
      </c>
      <c r="C2281" s="7" t="s">
        <v>1065</v>
      </c>
      <c r="E2281" s="8" t="str">
        <f>IFERROR(__xludf.DUMMYFUNCTION("SPLIT(A2281,""TX"")"),"Pradia, ")</f>
        <v>Pradia, </v>
      </c>
      <c r="F2281" s="8" t="str">
        <f>IFERROR(__xludf.DUMMYFUNCTION("""COMPUTED_VALUE"""),"roy
1415 N Loop West
Houston, ")</f>
        <v>roy
1415 N Loop West
Houston, </v>
      </c>
      <c r="G2281" s="8">
        <f>IFERROR(__xludf.DUMMYFUNCTION("""COMPUTED_VALUE"""),77004.0)</f>
        <v>77004</v>
      </c>
      <c r="I2281" s="8">
        <f t="shared" si="24"/>
        <v>77004</v>
      </c>
      <c r="J2281" s="9">
        <f>IFERROR(__xludf.DUMMYFUNCTION("SPLIT(I2281,""-"")"),77004.0)</f>
        <v>77004</v>
      </c>
    </row>
    <row r="2282">
      <c r="A2282" s="10" t="s">
        <v>2100</v>
      </c>
      <c r="B2282" s="11">
        <v>150.0</v>
      </c>
      <c r="C2282" s="12" t="s">
        <v>1065</v>
      </c>
      <c r="E2282" s="8" t="str">
        <f>IFERROR(__xludf.DUMMYFUNCTION("SPLIT(A2282,""TX"")"),"Lee, Jason
3602 Garrott St
Houston, ")</f>
        <v>Lee, Jason
3602 Garrott St
Houston, </v>
      </c>
      <c r="F2282" s="8">
        <f>IFERROR(__xludf.DUMMYFUNCTION("""COMPUTED_VALUE"""),77006.0)</f>
        <v>77006</v>
      </c>
      <c r="I2282" s="8">
        <f t="shared" si="24"/>
        <v>77006</v>
      </c>
      <c r="J2282" s="9">
        <f>IFERROR(__xludf.DUMMYFUNCTION("SPLIT(I2282,""-"")"),77006.0)</f>
        <v>77006</v>
      </c>
    </row>
    <row r="2283">
      <c r="A2283" s="5" t="s">
        <v>2101</v>
      </c>
      <c r="B2283" s="6">
        <v>50.0</v>
      </c>
      <c r="C2283" s="7" t="s">
        <v>1065</v>
      </c>
      <c r="E2283" s="8" t="str">
        <f>IFERROR(__xludf.DUMMYFUNCTION("SPLIT(A2283,""TX"")"),"Deckard, Chassidy
409 ")</f>
        <v>Deckard, Chassidy
409 </v>
      </c>
      <c r="F2283" s="8" t="str">
        <f>IFERROR(__xludf.DUMMYFUNCTION("""COMPUTED_VALUE"""),"ravis St
Houston, ")</f>
        <v>ravis St
Houston, </v>
      </c>
      <c r="G2283" s="8">
        <f>IFERROR(__xludf.DUMMYFUNCTION("""COMPUTED_VALUE"""),77002.0)</f>
        <v>77002</v>
      </c>
      <c r="I2283" s="8">
        <f t="shared" si="24"/>
        <v>77002</v>
      </c>
      <c r="J2283" s="9">
        <f>IFERROR(__xludf.DUMMYFUNCTION("SPLIT(I2283,""-"")"),77002.0)</f>
        <v>77002</v>
      </c>
    </row>
    <row r="2284">
      <c r="A2284" s="10" t="s">
        <v>2102</v>
      </c>
      <c r="B2284" s="11">
        <v>1000.0</v>
      </c>
      <c r="C2284" s="12" t="s">
        <v>1065</v>
      </c>
      <c r="E2284" s="8" t="str">
        <f>IFERROR(__xludf.DUMMYFUNCTION("SPLIT(A2284,""TX"")"),"Becker, Will
304 ")</f>
        <v>Becker, Will
304 </v>
      </c>
      <c r="F2284" s="8" t="str">
        <f>IFERROR(__xludf.DUMMYFUNCTION("""COMPUTED_VALUE"""),"own East Blvd
Sunnyvale, ")</f>
        <v>own East Blvd
Sunnyvale, </v>
      </c>
      <c r="G2284" s="8">
        <f>IFERROR(__xludf.DUMMYFUNCTION("""COMPUTED_VALUE"""),75182.0)</f>
        <v>75182</v>
      </c>
      <c r="I2284" s="8">
        <f t="shared" si="24"/>
        <v>75182</v>
      </c>
      <c r="J2284" s="9">
        <f>IFERROR(__xludf.DUMMYFUNCTION("SPLIT(I2284,""-"")"),75182.0)</f>
        <v>75182</v>
      </c>
    </row>
    <row r="2285">
      <c r="A2285" s="5" t="s">
        <v>2103</v>
      </c>
      <c r="B2285" s="6">
        <v>5000.0</v>
      </c>
      <c r="C2285" s="7" t="s">
        <v>1065</v>
      </c>
      <c r="E2285" s="8" t="str">
        <f>IFERROR(__xludf.DUMMYFUNCTION("SPLIT(A2285,""TX"")"),"Stanton, James
6125 Luther Ln
Dallas, ")</f>
        <v>Stanton, James
6125 Luther Ln
Dallas, </v>
      </c>
      <c r="F2285" s="8">
        <f>IFERROR(__xludf.DUMMYFUNCTION("""COMPUTED_VALUE"""),75225.0)</f>
        <v>75225</v>
      </c>
      <c r="I2285" s="8">
        <f t="shared" si="24"/>
        <v>75225</v>
      </c>
      <c r="J2285" s="9">
        <f>IFERROR(__xludf.DUMMYFUNCTION("SPLIT(I2285,""-"")"),75225.0)</f>
        <v>75225</v>
      </c>
    </row>
    <row r="2286">
      <c r="A2286" s="10" t="s">
        <v>2104</v>
      </c>
      <c r="B2286" s="11">
        <v>2100.0</v>
      </c>
      <c r="C2286" s="12" t="s">
        <v>1065</v>
      </c>
      <c r="E2286" s="8" t="str">
        <f>IFERROR(__xludf.DUMMYFUNCTION("SPLIT(A2286,""TX"")"),"Nosek, Nicole
6 Basin Ledge East
West Lake, ")</f>
        <v>Nosek, Nicole
6 Basin Ledge East
West Lake, </v>
      </c>
      <c r="F2286" s="8">
        <f>IFERROR(__xludf.DUMMYFUNCTION("""COMPUTED_VALUE"""),78746.0)</f>
        <v>78746</v>
      </c>
      <c r="I2286" s="8">
        <f t="shared" si="24"/>
        <v>78746</v>
      </c>
      <c r="J2286" s="9">
        <f>IFERROR(__xludf.DUMMYFUNCTION("SPLIT(I2286,""-"")"),78746.0)</f>
        <v>78746</v>
      </c>
    </row>
    <row r="2287">
      <c r="A2287" s="5" t="s">
        <v>2105</v>
      </c>
      <c r="B2287" s="6">
        <v>4000.0</v>
      </c>
      <c r="C2287" s="7" t="s">
        <v>1065</v>
      </c>
      <c r="E2287" s="8" t="str">
        <f>IFERROR(__xludf.DUMMYFUNCTION("SPLIT(A2287,""TX"")"),"Murchison, Robert
5430 LBJ Fwy
Dallas, ")</f>
        <v>Murchison, Robert
5430 LBJ Fwy
Dallas, </v>
      </c>
      <c r="F2287" s="8">
        <f>IFERROR(__xludf.DUMMYFUNCTION("""COMPUTED_VALUE"""),75240.0)</f>
        <v>75240</v>
      </c>
      <c r="I2287" s="8">
        <f t="shared" si="24"/>
        <v>75240</v>
      </c>
      <c r="J2287" s="9">
        <f>IFERROR(__xludf.DUMMYFUNCTION("SPLIT(I2287,""-"")"),75240.0)</f>
        <v>75240</v>
      </c>
    </row>
    <row r="2288">
      <c r="A2288" s="10" t="s">
        <v>2106</v>
      </c>
      <c r="B2288" s="11">
        <v>5000.0</v>
      </c>
      <c r="C2288" s="12" t="s">
        <v>1065</v>
      </c>
      <c r="E2288" s="8" t="str">
        <f>IFERROR(__xludf.DUMMYFUNCTION("SPLIT(A2288,""TX"")"),"Idoux, Steve
6123 Orchid Lane
Dallas, ")</f>
        <v>Idoux, Steve
6123 Orchid Lane
Dallas, </v>
      </c>
      <c r="F2288" s="8">
        <f>IFERROR(__xludf.DUMMYFUNCTION("""COMPUTED_VALUE"""),75230.0)</f>
        <v>75230</v>
      </c>
      <c r="I2288" s="8">
        <f t="shared" si="24"/>
        <v>75230</v>
      </c>
      <c r="J2288" s="9">
        <f>IFERROR(__xludf.DUMMYFUNCTION("SPLIT(I2288,""-"")"),75230.0)</f>
        <v>75230</v>
      </c>
    </row>
    <row r="2289">
      <c r="A2289" s="5" t="s">
        <v>2107</v>
      </c>
      <c r="B2289" s="6">
        <v>5000.0</v>
      </c>
      <c r="C2289" s="7" t="s">
        <v>1065</v>
      </c>
      <c r="E2289" s="8" t="str">
        <f>IFERROR(__xludf.DUMMYFUNCTION("SPLIT(A2289,""TX"")"),"Pick, Jacki
10134 Waller Dr
Dallas, ")</f>
        <v>Pick, Jacki
10134 Waller Dr
Dallas, </v>
      </c>
      <c r="F2289" s="8">
        <f>IFERROR(__xludf.DUMMYFUNCTION("""COMPUTED_VALUE"""),75229.0)</f>
        <v>75229</v>
      </c>
      <c r="I2289" s="8">
        <f t="shared" si="24"/>
        <v>75229</v>
      </c>
      <c r="J2289" s="9">
        <f>IFERROR(__xludf.DUMMYFUNCTION("SPLIT(I2289,""-"")"),75229.0)</f>
        <v>75229</v>
      </c>
    </row>
    <row r="2290">
      <c r="A2290" s="10" t="s">
        <v>2108</v>
      </c>
      <c r="B2290" s="11">
        <v>5000.0</v>
      </c>
      <c r="C2290" s="12" t="s">
        <v>1065</v>
      </c>
      <c r="E2290" s="8" t="str">
        <f>IFERROR(__xludf.DUMMYFUNCTION("SPLIT(A2290,""TX"")"),"Deason, Doug
10134 Waller Dr
Dallas, ")</f>
        <v>Deason, Doug
10134 Waller Dr
Dallas, </v>
      </c>
      <c r="F2290" s="8">
        <f>IFERROR(__xludf.DUMMYFUNCTION("""COMPUTED_VALUE"""),75229.0)</f>
        <v>75229</v>
      </c>
      <c r="I2290" s="8">
        <f t="shared" si="24"/>
        <v>75229</v>
      </c>
      <c r="J2290" s="9">
        <f>IFERROR(__xludf.DUMMYFUNCTION("SPLIT(I2290,""-"")"),75229.0)</f>
        <v>75229</v>
      </c>
    </row>
    <row r="2291">
      <c r="A2291" s="5" t="s">
        <v>2109</v>
      </c>
      <c r="B2291" s="6">
        <v>300.0</v>
      </c>
      <c r="C2291" s="7" t="s">
        <v>1065</v>
      </c>
      <c r="E2291" s="8" t="str">
        <f>IFERROR(__xludf.DUMMYFUNCTION("SPLIT(A2291,""TX"")"),"Miller, Ronald
7920 Beltline
Dallas, ")</f>
        <v>Miller, Ronald
7920 Beltline
Dallas, </v>
      </c>
      <c r="F2291" s="8">
        <f>IFERROR(__xludf.DUMMYFUNCTION("""COMPUTED_VALUE"""),75254.0)</f>
        <v>75254</v>
      </c>
      <c r="I2291" s="8">
        <f t="shared" si="24"/>
        <v>75254</v>
      </c>
      <c r="J2291" s="9">
        <f>IFERROR(__xludf.DUMMYFUNCTION("SPLIT(I2291,""-"")"),75254.0)</f>
        <v>75254</v>
      </c>
    </row>
    <row r="2292">
      <c r="A2292" s="10" t="s">
        <v>2110</v>
      </c>
      <c r="B2292" s="11">
        <v>5000.0</v>
      </c>
      <c r="C2292" s="12" t="s">
        <v>1065</v>
      </c>
      <c r="E2292" s="8" t="str">
        <f>IFERROR(__xludf.DUMMYFUNCTION("SPLIT(A2292,""TX"")"),"Martin, Jack
100 Crescent Court
Dallas, ")</f>
        <v>Martin, Jack
100 Crescent Court
Dallas, </v>
      </c>
      <c r="F2292" s="8">
        <f>IFERROR(__xludf.DUMMYFUNCTION("""COMPUTED_VALUE"""),75201.0)</f>
        <v>75201</v>
      </c>
      <c r="I2292" s="8">
        <f t="shared" si="24"/>
        <v>75201</v>
      </c>
      <c r="J2292" s="9">
        <f>IFERROR(__xludf.DUMMYFUNCTION("SPLIT(I2292,""-"")"),75201.0)</f>
        <v>75201</v>
      </c>
    </row>
    <row r="2293">
      <c r="A2293" s="5" t="s">
        <v>2111</v>
      </c>
      <c r="B2293" s="6">
        <v>1000.0</v>
      </c>
      <c r="C2293" s="7" t="s">
        <v>1065</v>
      </c>
      <c r="E2293" s="8" t="str">
        <f>IFERROR(__xludf.DUMMYFUNCTION("SPLIT(A2293,""TX"")"),"Kress, Barnett
1400 Hardouin Ave
Austin, ")</f>
        <v>Kress, Barnett
1400 Hardouin Ave
Austin, </v>
      </c>
      <c r="F2293" s="8">
        <f>IFERROR(__xludf.DUMMYFUNCTION("""COMPUTED_VALUE"""),78703.0)</f>
        <v>78703</v>
      </c>
      <c r="I2293" s="8">
        <f t="shared" si="24"/>
        <v>78703</v>
      </c>
      <c r="J2293" s="9">
        <f>IFERROR(__xludf.DUMMYFUNCTION("SPLIT(I2293,""-"")"),78703.0)</f>
        <v>78703</v>
      </c>
    </row>
    <row r="2294">
      <c r="A2294" s="10" t="s">
        <v>2112</v>
      </c>
      <c r="B2294" s="11">
        <v>4000.0</v>
      </c>
      <c r="C2294" s="12" t="s">
        <v>1065</v>
      </c>
      <c r="E2294" s="8" t="str">
        <f>IFERROR(__xludf.DUMMYFUNCTION("SPLIT(A2294,""TX"")"),"Sampson, Demetris
2207 Elderoaks Ln
Dallas, ")</f>
        <v>Sampson, Demetris
2207 Elderoaks Ln
Dallas, </v>
      </c>
      <c r="F2294" s="8">
        <f>IFERROR(__xludf.DUMMYFUNCTION("""COMPUTED_VALUE"""),75232.0)</f>
        <v>75232</v>
      </c>
      <c r="I2294" s="8">
        <f t="shared" si="24"/>
        <v>75232</v>
      </c>
      <c r="J2294" s="9">
        <f>IFERROR(__xludf.DUMMYFUNCTION("SPLIT(I2294,""-"")"),75232.0)</f>
        <v>75232</v>
      </c>
    </row>
    <row r="2295">
      <c r="A2295" s="5" t="s">
        <v>2113</v>
      </c>
      <c r="B2295" s="6">
        <v>2500.0</v>
      </c>
      <c r="C2295" s="7" t="s">
        <v>1065</v>
      </c>
      <c r="E2295" s="8" t="str">
        <f>IFERROR(__xludf.DUMMYFUNCTION("SPLIT(A2295,""TX"")"),"Gruber, Mike
1918 Olive St
Dallas, ")</f>
        <v>Gruber, Mike
1918 Olive St
Dallas, </v>
      </c>
      <c r="F2295" s="8">
        <f>IFERROR(__xludf.DUMMYFUNCTION("""COMPUTED_VALUE"""),75201.0)</f>
        <v>75201</v>
      </c>
      <c r="I2295" s="8">
        <f t="shared" si="24"/>
        <v>75201</v>
      </c>
      <c r="J2295" s="9">
        <f>IFERROR(__xludf.DUMMYFUNCTION("SPLIT(I2295,""-"")"),75201.0)</f>
        <v>75201</v>
      </c>
    </row>
    <row r="2296">
      <c r="A2296" s="10" t="s">
        <v>2114</v>
      </c>
      <c r="B2296" s="11">
        <v>1000.0</v>
      </c>
      <c r="C2296" s="12" t="s">
        <v>1065</v>
      </c>
      <c r="E2296" s="8" t="str">
        <f>IFERROR(__xludf.DUMMYFUNCTION("SPLIT(A2296,""TX"")"),"Billingsley, Lucy
1723 Routh Street
Dallas, ")</f>
        <v>Billingsley, Lucy
1723 Routh Street
Dallas, </v>
      </c>
      <c r="F2296" s="8">
        <f>IFERROR(__xludf.DUMMYFUNCTION("""COMPUTED_VALUE"""),75201.0)</f>
        <v>75201</v>
      </c>
      <c r="I2296" s="8">
        <f t="shared" si="24"/>
        <v>75201</v>
      </c>
      <c r="J2296" s="9">
        <f>IFERROR(__xludf.DUMMYFUNCTION("SPLIT(I2296,""-"")"),75201.0)</f>
        <v>75201</v>
      </c>
    </row>
    <row r="2297">
      <c r="A2297" s="5" t="s">
        <v>2115</v>
      </c>
      <c r="B2297" s="6">
        <v>2000.0</v>
      </c>
      <c r="C2297" s="7" t="s">
        <v>1065</v>
      </c>
      <c r="E2297" s="8" t="str">
        <f>IFERROR(__xludf.DUMMYFUNCTION("SPLIT(A2297,""TX"")"),"Chapman, Jeffrey
4851 Harrys Lane
Dallas, ")</f>
        <v>Chapman, Jeffrey
4851 Harrys Lane
Dallas, </v>
      </c>
      <c r="F2297" s="8">
        <f>IFERROR(__xludf.DUMMYFUNCTION("""COMPUTED_VALUE"""),75229.0)</f>
        <v>75229</v>
      </c>
      <c r="I2297" s="8">
        <f t="shared" si="24"/>
        <v>75229</v>
      </c>
      <c r="J2297" s="9">
        <f>IFERROR(__xludf.DUMMYFUNCTION("SPLIT(I2297,""-"")"),75229.0)</f>
        <v>75229</v>
      </c>
    </row>
    <row r="2298">
      <c r="A2298" s="10" t="s">
        <v>2116</v>
      </c>
      <c r="B2298" s="11">
        <v>5000.0</v>
      </c>
      <c r="C2298" s="12" t="s">
        <v>1065</v>
      </c>
      <c r="E2298" s="8" t="str">
        <f>IFERROR(__xludf.DUMMYFUNCTION("SPLIT(A2298,""TX"")"),"odd, Shawn
400 Ervay
Dallas, ")</f>
        <v>odd, Shawn
400 Ervay
Dallas, </v>
      </c>
      <c r="F2298" s="8">
        <f>IFERROR(__xludf.DUMMYFUNCTION("""COMPUTED_VALUE"""),75201.0)</f>
        <v>75201</v>
      </c>
      <c r="I2298" s="8">
        <f t="shared" si="24"/>
        <v>75201</v>
      </c>
      <c r="J2298" s="9">
        <f>IFERROR(__xludf.DUMMYFUNCTION("SPLIT(I2298,""-"")"),75201.0)</f>
        <v>75201</v>
      </c>
    </row>
    <row r="2299">
      <c r="A2299" s="5" t="s">
        <v>2117</v>
      </c>
      <c r="B2299" s="6">
        <v>5000.0</v>
      </c>
      <c r="C2299" s="7" t="s">
        <v>1065</v>
      </c>
      <c r="E2299" s="8" t="str">
        <f>IFERROR(__xludf.DUMMYFUNCTION("SPLIT(A2299,""TX"")"),"Seay, George
2626 Cole Ave
Dallas, ")</f>
        <v>Seay, George
2626 Cole Ave
Dallas, </v>
      </c>
      <c r="F2299" s="8">
        <f>IFERROR(__xludf.DUMMYFUNCTION("""COMPUTED_VALUE"""),75204.0)</f>
        <v>75204</v>
      </c>
      <c r="I2299" s="8">
        <f t="shared" si="24"/>
        <v>75204</v>
      </c>
      <c r="J2299" s="9">
        <f>IFERROR(__xludf.DUMMYFUNCTION("SPLIT(I2299,""-"")"),75204.0)</f>
        <v>75204</v>
      </c>
    </row>
    <row r="2300">
      <c r="A2300" s="10" t="s">
        <v>1784</v>
      </c>
      <c r="B2300" s="11">
        <v>3500.0</v>
      </c>
      <c r="C2300" s="12" t="s">
        <v>1065</v>
      </c>
      <c r="E2300" s="8" t="str">
        <f>IFERROR(__xludf.DUMMYFUNCTION("SPLIT(A2300,""TX"")"),"Billingsley, Lucy
1722 Routh St
Dallas, ")</f>
        <v>Billingsley, Lucy
1722 Routh St
Dallas, </v>
      </c>
      <c r="F2300" s="8">
        <f>IFERROR(__xludf.DUMMYFUNCTION("""COMPUTED_VALUE"""),75201.0)</f>
        <v>75201</v>
      </c>
      <c r="I2300" s="8">
        <f t="shared" si="24"/>
        <v>75201</v>
      </c>
      <c r="J2300" s="9">
        <f>IFERROR(__xludf.DUMMYFUNCTION("SPLIT(I2300,""-"")"),75201.0)</f>
        <v>75201</v>
      </c>
    </row>
    <row r="2301">
      <c r="A2301" s="5" t="s">
        <v>2118</v>
      </c>
      <c r="B2301" s="6">
        <v>2500.0</v>
      </c>
      <c r="C2301" s="7" t="s">
        <v>1065</v>
      </c>
      <c r="E2301" s="8" t="str">
        <f>IFERROR(__xludf.DUMMYFUNCTION("SPLIT(A2301,""TX"")"),"Lonsdale, Joe
2407 S Congress Ave
Austin, ")</f>
        <v>Lonsdale, Joe
2407 S Congress Ave
Austin, </v>
      </c>
      <c r="F2301" s="8">
        <f>IFERROR(__xludf.DUMMYFUNCTION("""COMPUTED_VALUE"""),78704.0)</f>
        <v>78704</v>
      </c>
      <c r="I2301" s="8">
        <f t="shared" si="24"/>
        <v>78704</v>
      </c>
      <c r="J2301" s="9">
        <f>IFERROR(__xludf.DUMMYFUNCTION("SPLIT(I2301,""-"")"),78704.0)</f>
        <v>78704</v>
      </c>
    </row>
    <row r="2302">
      <c r="A2302" s="10" t="s">
        <v>2119</v>
      </c>
      <c r="B2302" s="11">
        <v>5000.0</v>
      </c>
      <c r="C2302" s="12" t="s">
        <v>1065</v>
      </c>
      <c r="E2302" s="8" t="str">
        <f>IFERROR(__xludf.DUMMYFUNCTION("SPLIT(A2302,""TX"")"),"Jakes, ")</f>
        <v>Jakes, </v>
      </c>
      <c r="F2302" s="8" t="str">
        <f>IFERROR(__xludf.DUMMYFUNCTION("""COMPUTED_VALUE"""),".D.
8416 Meadowbrook Rd
Fort Worth, ")</f>
        <v>.D.
8416 Meadowbrook Rd
Fort Worth, </v>
      </c>
      <c r="G2302" s="8">
        <f>IFERROR(__xludf.DUMMYFUNCTION("""COMPUTED_VALUE"""),76120.0)</f>
        <v>76120</v>
      </c>
      <c r="I2302" s="8">
        <f t="shared" si="24"/>
        <v>76120</v>
      </c>
      <c r="J2302" s="9">
        <f>IFERROR(__xludf.DUMMYFUNCTION("SPLIT(I2302,""-"")"),76120.0)</f>
        <v>76120</v>
      </c>
    </row>
    <row r="2303">
      <c r="A2303" s="5" t="s">
        <v>2120</v>
      </c>
      <c r="B2303" s="6">
        <v>2500.0</v>
      </c>
      <c r="C2303" s="7" t="s">
        <v>1065</v>
      </c>
      <c r="E2303" s="8" t="str">
        <f>IFERROR(__xludf.DUMMYFUNCTION("SPLIT(A2303,""TX"")"),"Hicks, ")</f>
        <v>Hicks, </v>
      </c>
      <c r="F2303" s="8" t="str">
        <f>IFERROR(__xludf.DUMMYFUNCTION("""COMPUTED_VALUE"""),"homas
310 First Street Southeast
Washington, DC 20003")</f>
        <v>homas
310 First Street Southeast
Washington, DC 20003</v>
      </c>
      <c r="J2303" s="9" t="str">
        <f>IFERROR(__xludf.DUMMYFUNCTION("SPLIT(I2303,""-"")"),"#VALUE!")</f>
        <v>#VALUE!</v>
      </c>
    </row>
    <row r="2304">
      <c r="A2304" s="10" t="s">
        <v>2121</v>
      </c>
      <c r="B2304" s="11">
        <v>5000.0</v>
      </c>
      <c r="C2304" s="12" t="s">
        <v>1065</v>
      </c>
      <c r="E2304" s="8" t="str">
        <f>IFERROR(__xludf.DUMMYFUNCTION("SPLIT(A2304,""TX"")"),"Johnson, Avery
1401 Elm St
Dallas, ")</f>
        <v>Johnson, Avery
1401 Elm St
Dallas, </v>
      </c>
      <c r="F2304" s="8">
        <f>IFERROR(__xludf.DUMMYFUNCTION("""COMPUTED_VALUE"""),75202.0)</f>
        <v>75202</v>
      </c>
      <c r="I2304" s="8">
        <f t="shared" ref="I2304:I2550" si="25">IF(ISBLANK(G2304),F2304,G2304)</f>
        <v>75202</v>
      </c>
      <c r="J2304" s="9">
        <f>IFERROR(__xludf.DUMMYFUNCTION("SPLIT(I2304,""-"")"),75202.0)</f>
        <v>75202</v>
      </c>
    </row>
    <row r="2305">
      <c r="A2305" s="5" t="s">
        <v>2122</v>
      </c>
      <c r="B2305" s="6">
        <v>10000.0</v>
      </c>
      <c r="C2305" s="7" t="s">
        <v>1065</v>
      </c>
      <c r="E2305" s="8" t="str">
        <f>IFERROR(__xludf.DUMMYFUNCTION("SPLIT(A2305,""TX"")"),"Ryan, George &amp; Amanda
PO Box 803447
Dallas, ")</f>
        <v>Ryan, George &amp; Amanda
PO Box 803447
Dallas, </v>
      </c>
      <c r="F2305" s="8">
        <f>IFERROR(__xludf.DUMMYFUNCTION("""COMPUTED_VALUE"""),75380.0)</f>
        <v>75380</v>
      </c>
      <c r="I2305" s="8">
        <f t="shared" si="25"/>
        <v>75380</v>
      </c>
      <c r="J2305" s="9">
        <f>IFERROR(__xludf.DUMMYFUNCTION("SPLIT(I2305,""-"")"),75380.0)</f>
        <v>75380</v>
      </c>
    </row>
    <row r="2306">
      <c r="A2306" s="10" t="s">
        <v>1556</v>
      </c>
      <c r="B2306" s="11">
        <v>1000.0</v>
      </c>
      <c r="C2306" s="12" t="s">
        <v>1151</v>
      </c>
      <c r="E2306" s="8" t="str">
        <f>IFERROR(__xludf.DUMMYFUNCTION("SPLIT(A2306,""TX"")"),"Vasquez, Mary
1709 East Ave
Katy, ")</f>
        <v>Vasquez, Mary
1709 East Ave
Katy, </v>
      </c>
      <c r="F2306" s="8">
        <f>IFERROR(__xludf.DUMMYFUNCTION("""COMPUTED_VALUE"""),77493.0)</f>
        <v>77493</v>
      </c>
      <c r="I2306" s="8">
        <f t="shared" si="25"/>
        <v>77493</v>
      </c>
      <c r="J2306" s="9">
        <f>IFERROR(__xludf.DUMMYFUNCTION("SPLIT(I2306,""-"")"),77493.0)</f>
        <v>77493</v>
      </c>
    </row>
    <row r="2307">
      <c r="A2307" s="10" t="s">
        <v>2123</v>
      </c>
      <c r="B2307" s="11">
        <v>1000.0</v>
      </c>
      <c r="C2307" s="12" t="s">
        <v>1151</v>
      </c>
      <c r="E2307" s="8" t="str">
        <f>IFERROR(__xludf.DUMMYFUNCTION("SPLIT(A2307,""TX"")"),"Aranza, Anthony
1507 Stonehedge Bend Dr
Houston, ")</f>
        <v>Aranza, Anthony
1507 Stonehedge Bend Dr
Houston, </v>
      </c>
      <c r="F2307" s="8">
        <f>IFERROR(__xludf.DUMMYFUNCTION("""COMPUTED_VALUE"""),77073.0)</f>
        <v>77073</v>
      </c>
      <c r="I2307" s="8">
        <f t="shared" si="25"/>
        <v>77073</v>
      </c>
      <c r="J2307" s="9">
        <f>IFERROR(__xludf.DUMMYFUNCTION("SPLIT(I2307,""-"")"),77073.0)</f>
        <v>77073</v>
      </c>
    </row>
    <row r="2308">
      <c r="A2308" s="10" t="s">
        <v>2124</v>
      </c>
      <c r="B2308" s="11">
        <v>1000.0</v>
      </c>
      <c r="C2308" s="12" t="s">
        <v>1151</v>
      </c>
      <c r="E2308" s="8" t="str">
        <f>IFERROR(__xludf.DUMMYFUNCTION("SPLIT(A2308,""TX"")"),"Valach, Jane
5 Lazee ")</f>
        <v>Valach, Jane
5 Lazee </v>
      </c>
      <c r="F2308" s="8" t="str">
        <f>IFERROR(__xludf.DUMMYFUNCTION("""COMPUTED_VALUE"""),"rail
Houston, ")</f>
        <v>rail
Houston, </v>
      </c>
      <c r="G2308" s="8">
        <f>IFERROR(__xludf.DUMMYFUNCTION("""COMPUTED_VALUE"""),77024.0)</f>
        <v>77024</v>
      </c>
      <c r="I2308" s="8">
        <f t="shared" si="25"/>
        <v>77024</v>
      </c>
      <c r="J2308" s="9">
        <f>IFERROR(__xludf.DUMMYFUNCTION("SPLIT(I2308,""-"")"),77024.0)</f>
        <v>77024</v>
      </c>
    </row>
    <row r="2309">
      <c r="A2309" s="10" t="s">
        <v>1563</v>
      </c>
      <c r="B2309" s="11">
        <v>1000.0</v>
      </c>
      <c r="C2309" s="12" t="s">
        <v>1151</v>
      </c>
      <c r="E2309" s="8" t="str">
        <f>IFERROR(__xludf.DUMMYFUNCTION("SPLIT(A2309,""TX"")"),"Crow, Katherine
4700 Preston Rd
Dallas, ")</f>
        <v>Crow, Katherine
4700 Preston Rd
Dallas, </v>
      </c>
      <c r="F2309" s="8">
        <f>IFERROR(__xludf.DUMMYFUNCTION("""COMPUTED_VALUE"""),75205.0)</f>
        <v>75205</v>
      </c>
      <c r="I2309" s="8">
        <f t="shared" si="25"/>
        <v>75205</v>
      </c>
      <c r="J2309" s="9">
        <f>IFERROR(__xludf.DUMMYFUNCTION("SPLIT(I2309,""-"")"),75205.0)</f>
        <v>75205</v>
      </c>
    </row>
    <row r="2310">
      <c r="A2310" s="10" t="s">
        <v>1779</v>
      </c>
      <c r="B2310" s="11">
        <v>1000.0</v>
      </c>
      <c r="C2310" s="12" t="s">
        <v>1151</v>
      </c>
      <c r="E2310" s="8" t="str">
        <f>IFERROR(__xludf.DUMMYFUNCTION("SPLIT(A2310,""TX"")"),"Crow, Harlan
3819 Maple Ave
Dallas, ")</f>
        <v>Crow, Harlan
3819 Maple Ave
Dallas, </v>
      </c>
      <c r="F2310" s="8">
        <f>IFERROR(__xludf.DUMMYFUNCTION("""COMPUTED_VALUE"""),75219.0)</f>
        <v>75219</v>
      </c>
      <c r="I2310" s="8">
        <f t="shared" si="25"/>
        <v>75219</v>
      </c>
      <c r="J2310" s="9">
        <f>IFERROR(__xludf.DUMMYFUNCTION("SPLIT(I2310,""-"")"),75219.0)</f>
        <v>75219</v>
      </c>
    </row>
    <row r="2311">
      <c r="A2311" s="10" t="s">
        <v>303</v>
      </c>
      <c r="B2311" s="11">
        <v>1000.0</v>
      </c>
      <c r="C2311" s="12" t="s">
        <v>2125</v>
      </c>
      <c r="E2311" s="8" t="str">
        <f>IFERROR(__xludf.DUMMYFUNCTION("SPLIT(A2311,""TX"")"),"Addy, William
3805 Normandy Ave
Dallas, ")</f>
        <v>Addy, William
3805 Normandy Ave
Dallas, </v>
      </c>
      <c r="F2311" s="8">
        <f>IFERROR(__xludf.DUMMYFUNCTION("""COMPUTED_VALUE"""),75205.0)</f>
        <v>75205</v>
      </c>
      <c r="I2311" s="8">
        <f t="shared" si="25"/>
        <v>75205</v>
      </c>
      <c r="J2311" s="9">
        <f>IFERROR(__xludf.DUMMYFUNCTION("SPLIT(I2311,""-"")"),75205.0)</f>
        <v>75205</v>
      </c>
    </row>
    <row r="2312">
      <c r="A2312" s="10" t="s">
        <v>303</v>
      </c>
      <c r="B2312" s="11">
        <v>1000.0</v>
      </c>
      <c r="C2312" s="12" t="s">
        <v>2125</v>
      </c>
      <c r="E2312" s="8" t="str">
        <f>IFERROR(__xludf.DUMMYFUNCTION("SPLIT(A2312,""TX"")"),"Addy, William
3805 Normandy Ave
Dallas, ")</f>
        <v>Addy, William
3805 Normandy Ave
Dallas, </v>
      </c>
      <c r="F2312" s="8">
        <f>IFERROR(__xludf.DUMMYFUNCTION("""COMPUTED_VALUE"""),75205.0)</f>
        <v>75205</v>
      </c>
      <c r="I2312" s="8">
        <f t="shared" si="25"/>
        <v>75205</v>
      </c>
      <c r="J2312" s="9">
        <f>IFERROR(__xludf.DUMMYFUNCTION("SPLIT(I2312,""-"")"),75205.0)</f>
        <v>75205</v>
      </c>
    </row>
    <row r="2313">
      <c r="A2313" s="10" t="s">
        <v>304</v>
      </c>
      <c r="B2313" s="11">
        <v>1000.0</v>
      </c>
      <c r="C2313" s="12" t="s">
        <v>2125</v>
      </c>
      <c r="E2313" s="8" t="str">
        <f>IFERROR(__xludf.DUMMYFUNCTION("SPLIT(A2313,""TX"")"),"Addy, Lydia
3805 Normandy Ave
Dallas, ")</f>
        <v>Addy, Lydia
3805 Normandy Ave
Dallas, </v>
      </c>
      <c r="F2313" s="8">
        <f>IFERROR(__xludf.DUMMYFUNCTION("""COMPUTED_VALUE"""),75205.0)</f>
        <v>75205</v>
      </c>
      <c r="I2313" s="8">
        <f t="shared" si="25"/>
        <v>75205</v>
      </c>
      <c r="J2313" s="9">
        <f>IFERROR(__xludf.DUMMYFUNCTION("SPLIT(I2313,""-"")"),75205.0)</f>
        <v>75205</v>
      </c>
    </row>
    <row r="2314">
      <c r="A2314" s="10" t="s">
        <v>304</v>
      </c>
      <c r="B2314" s="11">
        <v>1000.0</v>
      </c>
      <c r="C2314" s="12" t="s">
        <v>2125</v>
      </c>
      <c r="E2314" s="8" t="str">
        <f>IFERROR(__xludf.DUMMYFUNCTION("SPLIT(A2314,""TX"")"),"Addy, Lydia
3805 Normandy Ave
Dallas, ")</f>
        <v>Addy, Lydia
3805 Normandy Ave
Dallas, </v>
      </c>
      <c r="F2314" s="8">
        <f>IFERROR(__xludf.DUMMYFUNCTION("""COMPUTED_VALUE"""),75205.0)</f>
        <v>75205</v>
      </c>
      <c r="I2314" s="8">
        <f t="shared" si="25"/>
        <v>75205</v>
      </c>
      <c r="J2314" s="9">
        <f>IFERROR(__xludf.DUMMYFUNCTION("SPLIT(I2314,""-"")"),75205.0)</f>
        <v>75205</v>
      </c>
    </row>
    <row r="2315">
      <c r="A2315" s="10" t="s">
        <v>2126</v>
      </c>
      <c r="B2315" s="11">
        <v>2500.0</v>
      </c>
      <c r="C2315" s="12" t="s">
        <v>2125</v>
      </c>
      <c r="E2315" s="8" t="str">
        <f>IFERROR(__xludf.DUMMYFUNCTION("SPLIT(A2315,""TX"")"),"HBA of Greater Dallas HOMEPAC
5816 W. Plano Pkwy
Plano, ")</f>
        <v>HBA of Greater Dallas HOMEPAC
5816 W. Plano Pkwy
Plano, </v>
      </c>
      <c r="F2315" s="8">
        <f>IFERROR(__xludf.DUMMYFUNCTION("""COMPUTED_VALUE"""),75093.0)</f>
        <v>75093</v>
      </c>
      <c r="I2315" s="8">
        <f t="shared" si="25"/>
        <v>75093</v>
      </c>
      <c r="J2315" s="9">
        <f>IFERROR(__xludf.DUMMYFUNCTION("SPLIT(I2315,""-"")"),75093.0)</f>
        <v>75093</v>
      </c>
    </row>
    <row r="2316">
      <c r="A2316" s="10" t="s">
        <v>2126</v>
      </c>
      <c r="B2316" s="11">
        <v>2500.0</v>
      </c>
      <c r="C2316" s="12" t="s">
        <v>2125</v>
      </c>
      <c r="E2316" s="8" t="str">
        <f>IFERROR(__xludf.DUMMYFUNCTION("SPLIT(A2316,""TX"")"),"HBA of Greater Dallas HOMEPAC
5816 W. Plano Pkwy
Plano, ")</f>
        <v>HBA of Greater Dallas HOMEPAC
5816 W. Plano Pkwy
Plano, </v>
      </c>
      <c r="F2316" s="8">
        <f>IFERROR(__xludf.DUMMYFUNCTION("""COMPUTED_VALUE"""),75093.0)</f>
        <v>75093</v>
      </c>
      <c r="I2316" s="8">
        <f t="shared" si="25"/>
        <v>75093</v>
      </c>
      <c r="J2316" s="9">
        <f>IFERROR(__xludf.DUMMYFUNCTION("SPLIT(I2316,""-"")"),75093.0)</f>
        <v>75093</v>
      </c>
    </row>
    <row r="2317">
      <c r="A2317" s="10" t="s">
        <v>2127</v>
      </c>
      <c r="B2317" s="11">
        <v>1000.0</v>
      </c>
      <c r="C2317" s="12" t="s">
        <v>2125</v>
      </c>
      <c r="E2317" s="8" t="str">
        <f>IFERROR(__xludf.DUMMYFUNCTION("SPLIT(A2317,""TX"")"),"Mazziotta, Beth
7114 Royal Lane
Dallas, ")</f>
        <v>Mazziotta, Beth
7114 Royal Lane
Dallas, </v>
      </c>
      <c r="F2317" s="8">
        <f>IFERROR(__xludf.DUMMYFUNCTION("""COMPUTED_VALUE"""),75230.0)</f>
        <v>75230</v>
      </c>
      <c r="I2317" s="8">
        <f t="shared" si="25"/>
        <v>75230</v>
      </c>
      <c r="J2317" s="9">
        <f>IFERROR(__xludf.DUMMYFUNCTION("SPLIT(I2317,""-"")"),75230.0)</f>
        <v>75230</v>
      </c>
    </row>
    <row r="2318">
      <c r="A2318" s="10" t="s">
        <v>2127</v>
      </c>
      <c r="B2318" s="11">
        <v>1000.0</v>
      </c>
      <c r="C2318" s="12" t="s">
        <v>2125</v>
      </c>
      <c r="E2318" s="8" t="str">
        <f>IFERROR(__xludf.DUMMYFUNCTION("SPLIT(A2318,""TX"")"),"Mazziotta, Beth
7114 Royal Lane
Dallas, ")</f>
        <v>Mazziotta, Beth
7114 Royal Lane
Dallas, </v>
      </c>
      <c r="F2318" s="8">
        <f>IFERROR(__xludf.DUMMYFUNCTION("""COMPUTED_VALUE"""),75230.0)</f>
        <v>75230</v>
      </c>
      <c r="I2318" s="8">
        <f t="shared" si="25"/>
        <v>75230</v>
      </c>
      <c r="J2318" s="9">
        <f>IFERROR(__xludf.DUMMYFUNCTION("SPLIT(I2318,""-"")"),75230.0)</f>
        <v>75230</v>
      </c>
    </row>
    <row r="2319">
      <c r="A2319" s="10" t="s">
        <v>2128</v>
      </c>
      <c r="B2319" s="11">
        <v>1000.0</v>
      </c>
      <c r="C2319" s="12" t="s">
        <v>2125</v>
      </c>
      <c r="E2319" s="8" t="str">
        <f>IFERROR(__xludf.DUMMYFUNCTION("SPLIT(A2319,""TX"")"),"Hunt, Ray
1900 N Akard Street
Dallas, ")</f>
        <v>Hunt, Ray
1900 N Akard Street
Dallas, </v>
      </c>
      <c r="F2319" s="8">
        <f>IFERROR(__xludf.DUMMYFUNCTION("""COMPUTED_VALUE"""),75201.0)</f>
        <v>75201</v>
      </c>
      <c r="I2319" s="8">
        <f t="shared" si="25"/>
        <v>75201</v>
      </c>
      <c r="J2319" s="9">
        <f>IFERROR(__xludf.DUMMYFUNCTION("SPLIT(I2319,""-"")"),75201.0)</f>
        <v>75201</v>
      </c>
    </row>
    <row r="2320">
      <c r="A2320" s="10" t="s">
        <v>2128</v>
      </c>
      <c r="B2320" s="11">
        <v>1000.0</v>
      </c>
      <c r="C2320" s="12" t="s">
        <v>2125</v>
      </c>
      <c r="E2320" s="8" t="str">
        <f>IFERROR(__xludf.DUMMYFUNCTION("SPLIT(A2320,""TX"")"),"Hunt, Ray
1900 N Akard Street
Dallas, ")</f>
        <v>Hunt, Ray
1900 N Akard Street
Dallas, </v>
      </c>
      <c r="F2320" s="8">
        <f>IFERROR(__xludf.DUMMYFUNCTION("""COMPUTED_VALUE"""),75201.0)</f>
        <v>75201</v>
      </c>
      <c r="I2320" s="8">
        <f t="shared" si="25"/>
        <v>75201</v>
      </c>
      <c r="J2320" s="9">
        <f>IFERROR(__xludf.DUMMYFUNCTION("SPLIT(I2320,""-"")"),75201.0)</f>
        <v>75201</v>
      </c>
    </row>
    <row r="2321">
      <c r="A2321" s="10" t="s">
        <v>2096</v>
      </c>
      <c r="B2321" s="11">
        <v>500.0</v>
      </c>
      <c r="C2321" s="12" t="s">
        <v>2125</v>
      </c>
      <c r="E2321" s="8" t="str">
        <f>IFERROR(__xludf.DUMMYFUNCTION("SPLIT(A2321,""TX"")"),"Johnson, Willis
1001 Belleview St
Dallas, ")</f>
        <v>Johnson, Willis
1001 Belleview St
Dallas, </v>
      </c>
      <c r="F2321" s="8">
        <f>IFERROR(__xludf.DUMMYFUNCTION("""COMPUTED_VALUE"""),75215.0)</f>
        <v>75215</v>
      </c>
      <c r="I2321" s="8">
        <f t="shared" si="25"/>
        <v>75215</v>
      </c>
      <c r="J2321" s="9">
        <f>IFERROR(__xludf.DUMMYFUNCTION("SPLIT(I2321,""-"")"),75215.0)</f>
        <v>75215</v>
      </c>
    </row>
    <row r="2322">
      <c r="A2322" s="10" t="s">
        <v>2096</v>
      </c>
      <c r="B2322" s="11">
        <v>500.0</v>
      </c>
      <c r="C2322" s="12" t="s">
        <v>2125</v>
      </c>
      <c r="E2322" s="8" t="str">
        <f>IFERROR(__xludf.DUMMYFUNCTION("SPLIT(A2322,""TX"")"),"Johnson, Willis
1001 Belleview St
Dallas, ")</f>
        <v>Johnson, Willis
1001 Belleview St
Dallas, </v>
      </c>
      <c r="F2322" s="8">
        <f>IFERROR(__xludf.DUMMYFUNCTION("""COMPUTED_VALUE"""),75215.0)</f>
        <v>75215</v>
      </c>
      <c r="I2322" s="8">
        <f t="shared" si="25"/>
        <v>75215</v>
      </c>
      <c r="J2322" s="9">
        <f>IFERROR(__xludf.DUMMYFUNCTION("SPLIT(I2322,""-"")"),75215.0)</f>
        <v>75215</v>
      </c>
    </row>
    <row r="2323">
      <c r="A2323" s="10" t="s">
        <v>2129</v>
      </c>
      <c r="B2323" s="11">
        <v>1000.0</v>
      </c>
      <c r="C2323" s="12" t="s">
        <v>2125</v>
      </c>
      <c r="E2323" s="8" t="str">
        <f>IFERROR(__xludf.DUMMYFUNCTION("SPLIT(A2323,""TX"")"),"Stein, Sheldon
9338 Meadowbrook Dr
Dallas, ")</f>
        <v>Stein, Sheldon
9338 Meadowbrook Dr
Dallas, </v>
      </c>
      <c r="F2323" s="8">
        <f>IFERROR(__xludf.DUMMYFUNCTION("""COMPUTED_VALUE"""),75220.0)</f>
        <v>75220</v>
      </c>
      <c r="I2323" s="8">
        <f t="shared" si="25"/>
        <v>75220</v>
      </c>
      <c r="J2323" s="9">
        <f>IFERROR(__xludf.DUMMYFUNCTION("SPLIT(I2323,""-"")"),75220.0)</f>
        <v>75220</v>
      </c>
    </row>
    <row r="2324">
      <c r="A2324" s="10" t="s">
        <v>2129</v>
      </c>
      <c r="B2324" s="11">
        <v>1000.0</v>
      </c>
      <c r="C2324" s="12" t="s">
        <v>2125</v>
      </c>
      <c r="E2324" s="8" t="str">
        <f>IFERROR(__xludf.DUMMYFUNCTION("SPLIT(A2324,""TX"")"),"Stein, Sheldon
9338 Meadowbrook Dr
Dallas, ")</f>
        <v>Stein, Sheldon
9338 Meadowbrook Dr
Dallas, </v>
      </c>
      <c r="F2324" s="8">
        <f>IFERROR(__xludf.DUMMYFUNCTION("""COMPUTED_VALUE"""),75220.0)</f>
        <v>75220</v>
      </c>
      <c r="I2324" s="8">
        <f t="shared" si="25"/>
        <v>75220</v>
      </c>
      <c r="J2324" s="9">
        <f>IFERROR(__xludf.DUMMYFUNCTION("SPLIT(I2324,""-"")"),75220.0)</f>
        <v>75220</v>
      </c>
    </row>
    <row r="2325">
      <c r="A2325" s="10" t="s">
        <v>2130</v>
      </c>
      <c r="B2325" s="11">
        <v>1000.0</v>
      </c>
      <c r="C2325" s="12" t="s">
        <v>2125</v>
      </c>
      <c r="E2325" s="8" t="str">
        <f>IFERROR(__xludf.DUMMYFUNCTION("SPLIT(A2325,""TX"")"),"Stein, Barbara
9338 Meadowbrook Dr
Dallas, ")</f>
        <v>Stein, Barbara
9338 Meadowbrook Dr
Dallas, </v>
      </c>
      <c r="F2325" s="8">
        <f>IFERROR(__xludf.DUMMYFUNCTION("""COMPUTED_VALUE"""),75220.0)</f>
        <v>75220</v>
      </c>
      <c r="I2325" s="8">
        <f t="shared" si="25"/>
        <v>75220</v>
      </c>
      <c r="J2325" s="9">
        <f>IFERROR(__xludf.DUMMYFUNCTION("SPLIT(I2325,""-"")"),75220.0)</f>
        <v>75220</v>
      </c>
    </row>
    <row r="2326">
      <c r="A2326" s="10" t="s">
        <v>2130</v>
      </c>
      <c r="B2326" s="11">
        <v>1000.0</v>
      </c>
      <c r="C2326" s="12" t="s">
        <v>2125</v>
      </c>
      <c r="E2326" s="8" t="str">
        <f>IFERROR(__xludf.DUMMYFUNCTION("SPLIT(A2326,""TX"")"),"Stein, Barbara
9338 Meadowbrook Dr
Dallas, ")</f>
        <v>Stein, Barbara
9338 Meadowbrook Dr
Dallas, </v>
      </c>
      <c r="F2326" s="8">
        <f>IFERROR(__xludf.DUMMYFUNCTION("""COMPUTED_VALUE"""),75220.0)</f>
        <v>75220</v>
      </c>
      <c r="I2326" s="8">
        <f t="shared" si="25"/>
        <v>75220</v>
      </c>
      <c r="J2326" s="9">
        <f>IFERROR(__xludf.DUMMYFUNCTION("SPLIT(I2326,""-"")"),75220.0)</f>
        <v>75220</v>
      </c>
    </row>
    <row r="2327">
      <c r="A2327" s="10" t="s">
        <v>414</v>
      </c>
      <c r="B2327" s="11">
        <v>1000.0</v>
      </c>
      <c r="C2327" s="12" t="s">
        <v>2125</v>
      </c>
      <c r="E2327" s="8" t="str">
        <f>IFERROR(__xludf.DUMMYFUNCTION("SPLIT(A2327,""TX"")"),"Burk, Leland
5311 Park Ln
Dallas, ")</f>
        <v>Burk, Leland
5311 Park Ln
Dallas, </v>
      </c>
      <c r="F2327" s="8">
        <f>IFERROR(__xludf.DUMMYFUNCTION("""COMPUTED_VALUE"""),75220.0)</f>
        <v>75220</v>
      </c>
      <c r="I2327" s="8">
        <f t="shared" si="25"/>
        <v>75220</v>
      </c>
      <c r="J2327" s="9">
        <f>IFERROR(__xludf.DUMMYFUNCTION("SPLIT(I2327,""-"")"),75220.0)</f>
        <v>75220</v>
      </c>
    </row>
    <row r="2328">
      <c r="A2328" s="10" t="s">
        <v>414</v>
      </c>
      <c r="B2328" s="11">
        <v>1000.0</v>
      </c>
      <c r="C2328" s="12" t="s">
        <v>2125</v>
      </c>
      <c r="E2328" s="8" t="str">
        <f>IFERROR(__xludf.DUMMYFUNCTION("SPLIT(A2328,""TX"")"),"Burk, Leland
5311 Park Ln
Dallas, ")</f>
        <v>Burk, Leland
5311 Park Ln
Dallas, </v>
      </c>
      <c r="F2328" s="8">
        <f>IFERROR(__xludf.DUMMYFUNCTION("""COMPUTED_VALUE"""),75220.0)</f>
        <v>75220</v>
      </c>
      <c r="I2328" s="8">
        <f t="shared" si="25"/>
        <v>75220</v>
      </c>
      <c r="J2328" s="9">
        <f>IFERROR(__xludf.DUMMYFUNCTION("SPLIT(I2328,""-"")"),75220.0)</f>
        <v>75220</v>
      </c>
    </row>
    <row r="2329">
      <c r="A2329" s="10" t="s">
        <v>2131</v>
      </c>
      <c r="B2329" s="11">
        <v>2000.0</v>
      </c>
      <c r="C2329" s="12" t="s">
        <v>2125</v>
      </c>
      <c r="E2329" s="8" t="str">
        <f>IFERROR(__xludf.DUMMYFUNCTION("SPLIT(A2329,""TX"")"),"Deitchman, Buzz and Nancy
17205 Wester Way Ct
Dallas, ")</f>
        <v>Deitchman, Buzz and Nancy
17205 Wester Way Ct
Dallas, </v>
      </c>
      <c r="F2329" s="8">
        <f>IFERROR(__xludf.DUMMYFUNCTION("""COMPUTED_VALUE"""),75248.0)</f>
        <v>75248</v>
      </c>
      <c r="I2329" s="8">
        <f t="shared" si="25"/>
        <v>75248</v>
      </c>
      <c r="J2329" s="9">
        <f>IFERROR(__xludf.DUMMYFUNCTION("SPLIT(I2329,""-"")"),75248.0)</f>
        <v>75248</v>
      </c>
    </row>
    <row r="2330">
      <c r="A2330" s="10" t="s">
        <v>2131</v>
      </c>
      <c r="B2330" s="11">
        <v>2000.0</v>
      </c>
      <c r="C2330" s="12" t="s">
        <v>2125</v>
      </c>
      <c r="E2330" s="8" t="str">
        <f>IFERROR(__xludf.DUMMYFUNCTION("SPLIT(A2330,""TX"")"),"Deitchman, Buzz and Nancy
17205 Wester Way Ct
Dallas, ")</f>
        <v>Deitchman, Buzz and Nancy
17205 Wester Way Ct
Dallas, </v>
      </c>
      <c r="F2330" s="8">
        <f>IFERROR(__xludf.DUMMYFUNCTION("""COMPUTED_VALUE"""),75248.0)</f>
        <v>75248</v>
      </c>
      <c r="I2330" s="8">
        <f t="shared" si="25"/>
        <v>75248</v>
      </c>
      <c r="J2330" s="9">
        <f>IFERROR(__xludf.DUMMYFUNCTION("SPLIT(I2330,""-"")"),75248.0)</f>
        <v>75248</v>
      </c>
    </row>
    <row r="2331">
      <c r="A2331" s="10" t="s">
        <v>2132</v>
      </c>
      <c r="B2331" s="11">
        <v>1000.0</v>
      </c>
      <c r="C2331" s="12" t="s">
        <v>2125</v>
      </c>
      <c r="E2331" s="8" t="str">
        <f>IFERROR(__xludf.DUMMYFUNCTION("SPLIT(A2331,""TX"")"),"Goad, Robert
7034 Lattimore Dr
Dallas, ")</f>
        <v>Goad, Robert
7034 Lattimore Dr
Dallas, </v>
      </c>
      <c r="F2331" s="8">
        <f>IFERROR(__xludf.DUMMYFUNCTION("""COMPUTED_VALUE"""),75252.0)</f>
        <v>75252</v>
      </c>
      <c r="I2331" s="8">
        <f t="shared" si="25"/>
        <v>75252</v>
      </c>
      <c r="J2331" s="9">
        <f>IFERROR(__xludf.DUMMYFUNCTION("SPLIT(I2331,""-"")"),75252.0)</f>
        <v>75252</v>
      </c>
    </row>
    <row r="2332">
      <c r="A2332" s="10" t="s">
        <v>2132</v>
      </c>
      <c r="B2332" s="11">
        <v>1000.0</v>
      </c>
      <c r="C2332" s="12" t="s">
        <v>2125</v>
      </c>
      <c r="E2332" s="8" t="str">
        <f>IFERROR(__xludf.DUMMYFUNCTION("SPLIT(A2332,""TX"")"),"Goad, Robert
7034 Lattimore Dr
Dallas, ")</f>
        <v>Goad, Robert
7034 Lattimore Dr
Dallas, </v>
      </c>
      <c r="F2332" s="8">
        <f>IFERROR(__xludf.DUMMYFUNCTION("""COMPUTED_VALUE"""),75252.0)</f>
        <v>75252</v>
      </c>
      <c r="I2332" s="8">
        <f t="shared" si="25"/>
        <v>75252</v>
      </c>
      <c r="J2332" s="9">
        <f>IFERROR(__xludf.DUMMYFUNCTION("SPLIT(I2332,""-"")"),75252.0)</f>
        <v>75252</v>
      </c>
    </row>
    <row r="2333">
      <c r="A2333" s="10" t="s">
        <v>2133</v>
      </c>
      <c r="B2333" s="11">
        <v>500.0</v>
      </c>
      <c r="C2333" s="12" t="s">
        <v>634</v>
      </c>
      <c r="E2333" s="8" t="str">
        <f>IFERROR(__xludf.DUMMYFUNCTION("SPLIT(A2333,""TX"")"),"Agnich, Victoria
11 Cheltenham Way
Dallas, ")</f>
        <v>Agnich, Victoria
11 Cheltenham Way
Dallas, </v>
      </c>
      <c r="F2333" s="8">
        <f>IFERROR(__xludf.DUMMYFUNCTION("""COMPUTED_VALUE"""),75230.0)</f>
        <v>75230</v>
      </c>
      <c r="I2333" s="8">
        <f t="shared" si="25"/>
        <v>75230</v>
      </c>
      <c r="J2333" s="9">
        <f>IFERROR(__xludf.DUMMYFUNCTION("SPLIT(I2333,""-"")"),75230.0)</f>
        <v>75230</v>
      </c>
    </row>
    <row r="2334">
      <c r="A2334" s="10" t="s">
        <v>1536</v>
      </c>
      <c r="B2334" s="11">
        <v>75.0</v>
      </c>
      <c r="C2334" s="12" t="s">
        <v>634</v>
      </c>
      <c r="E2334" s="8" t="str">
        <f>IFERROR(__xludf.DUMMYFUNCTION("SPLIT(A2334,""TX"")"),"Heinbaugh, Chris
1801 Annex Ave
Dallas, ")</f>
        <v>Heinbaugh, Chris
1801 Annex Ave
Dallas, </v>
      </c>
      <c r="F2334" s="8">
        <f>IFERROR(__xludf.DUMMYFUNCTION("""COMPUTED_VALUE"""),75204.0)</f>
        <v>75204</v>
      </c>
      <c r="I2334" s="8">
        <f t="shared" si="25"/>
        <v>75204</v>
      </c>
      <c r="J2334" s="9">
        <f>IFERROR(__xludf.DUMMYFUNCTION("SPLIT(I2334,""-"")"),75204.0)</f>
        <v>75204</v>
      </c>
    </row>
    <row r="2335">
      <c r="A2335" s="10" t="s">
        <v>2134</v>
      </c>
      <c r="B2335" s="11">
        <v>250.0</v>
      </c>
      <c r="C2335" s="12" t="s">
        <v>634</v>
      </c>
      <c r="E2335" s="8" t="str">
        <f>IFERROR(__xludf.DUMMYFUNCTION("SPLIT(A2335,""TX"")"),"Cohen, Doug
2731 Satsuma Dr
Dallas, ")</f>
        <v>Cohen, Doug
2731 Satsuma Dr
Dallas, </v>
      </c>
      <c r="F2335" s="8">
        <f>IFERROR(__xludf.DUMMYFUNCTION("""COMPUTED_VALUE"""),75229.0)</f>
        <v>75229</v>
      </c>
      <c r="I2335" s="8">
        <f t="shared" si="25"/>
        <v>75229</v>
      </c>
      <c r="J2335" s="9">
        <f>IFERROR(__xludf.DUMMYFUNCTION("SPLIT(I2335,""-"")"),75229.0)</f>
        <v>75229</v>
      </c>
    </row>
    <row r="2336">
      <c r="A2336" s="10" t="s">
        <v>2135</v>
      </c>
      <c r="B2336" s="11">
        <v>200.0</v>
      </c>
      <c r="C2336" s="12" t="s">
        <v>634</v>
      </c>
      <c r="E2336" s="8" t="str">
        <f>IFERROR(__xludf.DUMMYFUNCTION("SPLIT(A2336,""TX"")"),"Walne, Walter Alan
120 Rayflex Drive
Richardson, ")</f>
        <v>Walne, Walter Alan
120 Rayflex Drive
Richardson, </v>
      </c>
      <c r="F2336" s="8">
        <f>IFERROR(__xludf.DUMMYFUNCTION("""COMPUTED_VALUE"""),75081.0)</f>
        <v>75081</v>
      </c>
      <c r="I2336" s="8">
        <f t="shared" si="25"/>
        <v>75081</v>
      </c>
      <c r="J2336" s="9">
        <f>IFERROR(__xludf.DUMMYFUNCTION("SPLIT(I2336,""-"")"),75081.0)</f>
        <v>75081</v>
      </c>
    </row>
    <row r="2337">
      <c r="A2337" s="10" t="s">
        <v>2136</v>
      </c>
      <c r="B2337" s="11">
        <v>100.0</v>
      </c>
      <c r="C2337" s="12" t="s">
        <v>634</v>
      </c>
      <c r="E2337" s="8" t="str">
        <f>IFERROR(__xludf.DUMMYFUNCTION("SPLIT(A2337,""TX"")"),"Clore, William
9613 Watkins Rd
Laytonsville, MD 20882")</f>
        <v>Clore, William
9613 Watkins Rd
Laytonsville, MD 20882</v>
      </c>
      <c r="I2337" s="8" t="str">
        <f t="shared" si="25"/>
        <v/>
      </c>
      <c r="J2337" s="9" t="str">
        <f>IFERROR(__xludf.DUMMYFUNCTION("SPLIT(I2337,""-"")"),"#VALUE!")</f>
        <v>#VALUE!</v>
      </c>
    </row>
    <row r="2338">
      <c r="A2338" s="10" t="s">
        <v>2137</v>
      </c>
      <c r="B2338" s="11">
        <v>250.0</v>
      </c>
      <c r="C2338" s="12" t="s">
        <v>634</v>
      </c>
      <c r="E2338" s="8" t="str">
        <f>IFERROR(__xludf.DUMMYFUNCTION("SPLIT(A2338,""TX"")"),"Whitman Bobbitt, Jeanne
4500 Roland Ave
Dallas, ")</f>
        <v>Whitman Bobbitt, Jeanne
4500 Roland Ave
Dallas, </v>
      </c>
      <c r="F2338" s="8">
        <f>IFERROR(__xludf.DUMMYFUNCTION("""COMPUTED_VALUE"""),75219.0)</f>
        <v>75219</v>
      </c>
      <c r="I2338" s="8">
        <f t="shared" si="25"/>
        <v>75219</v>
      </c>
      <c r="J2338" s="9">
        <f>IFERROR(__xludf.DUMMYFUNCTION("SPLIT(I2338,""-"")"),75219.0)</f>
        <v>75219</v>
      </c>
    </row>
    <row r="2339">
      <c r="A2339" s="10" t="s">
        <v>2138</v>
      </c>
      <c r="B2339" s="11">
        <v>180.0</v>
      </c>
      <c r="C2339" s="12" t="s">
        <v>634</v>
      </c>
      <c r="E2339" s="8" t="str">
        <f>IFERROR(__xludf.DUMMYFUNCTION("SPLIT(A2339,""TX"")"),"Weinberg, Mike
7271 Kenny Ln
Dallas, ")</f>
        <v>Weinberg, Mike
7271 Kenny Ln
Dallas, </v>
      </c>
      <c r="F2339" s="8">
        <f>IFERROR(__xludf.DUMMYFUNCTION("""COMPUTED_VALUE"""),75230.0)</f>
        <v>75230</v>
      </c>
      <c r="I2339" s="8">
        <f t="shared" si="25"/>
        <v>75230</v>
      </c>
      <c r="J2339" s="9">
        <f>IFERROR(__xludf.DUMMYFUNCTION("SPLIT(I2339,""-"")"),75230.0)</f>
        <v>75230</v>
      </c>
    </row>
    <row r="2340">
      <c r="A2340" s="10" t="s">
        <v>2139</v>
      </c>
      <c r="B2340" s="11">
        <v>50.0</v>
      </c>
      <c r="C2340" s="12" t="s">
        <v>634</v>
      </c>
      <c r="E2340" s="8" t="str">
        <f>IFERROR(__xludf.DUMMYFUNCTION("SPLIT(A2340,""TX"")"),"Frauman, Mindy
74315 Midbury Drive
Dallas, ")</f>
        <v>Frauman, Mindy
74315 Midbury Drive
Dallas, </v>
      </c>
      <c r="F2340" s="8">
        <f>IFERROR(__xludf.DUMMYFUNCTION("""COMPUTED_VALUE"""),75230.0)</f>
        <v>75230</v>
      </c>
      <c r="I2340" s="8">
        <f t="shared" si="25"/>
        <v>75230</v>
      </c>
      <c r="J2340" s="9">
        <f>IFERROR(__xludf.DUMMYFUNCTION("SPLIT(I2340,""-"")"),75230.0)</f>
        <v>75230</v>
      </c>
    </row>
    <row r="2341">
      <c r="A2341" s="10" t="s">
        <v>2140</v>
      </c>
      <c r="B2341" s="11">
        <v>250.0</v>
      </c>
      <c r="C2341" s="12" t="s">
        <v>634</v>
      </c>
      <c r="E2341" s="8" t="str">
        <f>IFERROR(__xludf.DUMMYFUNCTION("SPLIT(A2341,""TX"")"),"Koslin, Rochelle
3456 Brook Mountain Lane
Birmingham, AL 35223")</f>
        <v>Koslin, Rochelle
3456 Brook Mountain Lane
Birmingham, AL 35223</v>
      </c>
      <c r="I2341" s="8" t="str">
        <f t="shared" si="25"/>
        <v/>
      </c>
      <c r="J2341" s="9" t="str">
        <f>IFERROR(__xludf.DUMMYFUNCTION("SPLIT(I2341,""-"")"),"#VALUE!")</f>
        <v>#VALUE!</v>
      </c>
    </row>
    <row r="2342">
      <c r="A2342" s="10" t="s">
        <v>2141</v>
      </c>
      <c r="B2342" s="11">
        <v>180.0</v>
      </c>
      <c r="C2342" s="12" t="s">
        <v>634</v>
      </c>
      <c r="E2342" s="8" t="str">
        <f>IFERROR(__xludf.DUMMYFUNCTION("SPLIT(A2342,""TX"")"),"Barnett, Sheli
14003 Hughes Lane
Dallas, ")</f>
        <v>Barnett, Sheli
14003 Hughes Lane
Dallas, </v>
      </c>
      <c r="F2342" s="8">
        <f>IFERROR(__xludf.DUMMYFUNCTION("""COMPUTED_VALUE"""),75254.0)</f>
        <v>75254</v>
      </c>
      <c r="I2342" s="8">
        <f t="shared" si="25"/>
        <v>75254</v>
      </c>
      <c r="J2342" s="9">
        <f>IFERROR(__xludf.DUMMYFUNCTION("SPLIT(I2342,""-"")"),75254.0)</f>
        <v>75254</v>
      </c>
    </row>
    <row r="2343">
      <c r="A2343" s="10" t="s">
        <v>2142</v>
      </c>
      <c r="B2343" s="11">
        <v>500.0</v>
      </c>
      <c r="C2343" s="12" t="s">
        <v>634</v>
      </c>
      <c r="E2343" s="8" t="str">
        <f>IFERROR(__xludf.DUMMYFUNCTION("SPLIT(A2343,""TX"")"),"Barnett, Miriam
14020 Hughes Lane
Dallas, ")</f>
        <v>Barnett, Miriam
14020 Hughes Lane
Dallas, </v>
      </c>
      <c r="F2343" s="8">
        <f>IFERROR(__xludf.DUMMYFUNCTION("""COMPUTED_VALUE"""),75254.0)</f>
        <v>75254</v>
      </c>
      <c r="I2343" s="8">
        <f t="shared" si="25"/>
        <v>75254</v>
      </c>
      <c r="J2343" s="9">
        <f>IFERROR(__xludf.DUMMYFUNCTION("SPLIT(I2343,""-"")"),75254.0)</f>
        <v>75254</v>
      </c>
    </row>
    <row r="2344">
      <c r="A2344" s="10" t="s">
        <v>2143</v>
      </c>
      <c r="B2344" s="11">
        <v>250.0</v>
      </c>
      <c r="C2344" s="12" t="s">
        <v>634</v>
      </c>
      <c r="E2344" s="8" t="str">
        <f>IFERROR(__xludf.DUMMYFUNCTION("SPLIT(A2344,""TX"")"),"sao, William Ming ")</f>
        <v>sao, William Ming </v>
      </c>
      <c r="F2344" s="8" t="str">
        <f>IFERROR(__xludf.DUMMYFUNCTION("""COMPUTED_VALUE"""),"zong
6435 Riverview Lane
Dallas, ")</f>
        <v>zong
6435 Riverview Lane
Dallas, </v>
      </c>
      <c r="G2344" s="8">
        <f>IFERROR(__xludf.DUMMYFUNCTION("""COMPUTED_VALUE"""),75248.0)</f>
        <v>75248</v>
      </c>
      <c r="I2344" s="8">
        <f t="shared" si="25"/>
        <v>75248</v>
      </c>
      <c r="J2344" s="9">
        <f>IFERROR(__xludf.DUMMYFUNCTION("SPLIT(I2344,""-"")"),75248.0)</f>
        <v>75248</v>
      </c>
    </row>
    <row r="2345">
      <c r="A2345" s="10" t="s">
        <v>2144</v>
      </c>
      <c r="B2345" s="11">
        <v>250.0</v>
      </c>
      <c r="C2345" s="12" t="s">
        <v>634</v>
      </c>
      <c r="E2345" s="8" t="str">
        <f>IFERROR(__xludf.DUMMYFUNCTION("SPLIT(A2345,""TX"")"),"Lerer, Jane Saginaw
3831 ")</f>
        <v>Lerer, Jane Saginaw
3831 </v>
      </c>
      <c r="F2345" s="8" t="str">
        <f>IFERROR(__xludf.DUMMYFUNCTION("""COMPUTED_VALUE"""),"urtle Creek Blvd
Dallas, ")</f>
        <v>urtle Creek Blvd
Dallas, </v>
      </c>
      <c r="G2345" s="8">
        <f>IFERROR(__xludf.DUMMYFUNCTION("""COMPUTED_VALUE"""),75219.0)</f>
        <v>75219</v>
      </c>
      <c r="I2345" s="8">
        <f t="shared" si="25"/>
        <v>75219</v>
      </c>
      <c r="J2345" s="9">
        <f>IFERROR(__xludf.DUMMYFUNCTION("SPLIT(I2345,""-"")"),75219.0)</f>
        <v>75219</v>
      </c>
    </row>
    <row r="2346">
      <c r="A2346" s="10" t="s">
        <v>2145</v>
      </c>
      <c r="B2346" s="11">
        <v>500.0</v>
      </c>
      <c r="C2346" s="12" t="s">
        <v>634</v>
      </c>
      <c r="E2346" s="8" t="str">
        <f>IFERROR(__xludf.DUMMYFUNCTION("SPLIT(A2346,""TX"")"),"Epstein, Dia
6 Ryddington Place
Dallas, ")</f>
        <v>Epstein, Dia
6 Ryddington Place
Dallas, </v>
      </c>
      <c r="F2346" s="8">
        <f>IFERROR(__xludf.DUMMYFUNCTION("""COMPUTED_VALUE"""),75230.0)</f>
        <v>75230</v>
      </c>
      <c r="I2346" s="8">
        <f t="shared" si="25"/>
        <v>75230</v>
      </c>
      <c r="J2346" s="9">
        <f>IFERROR(__xludf.DUMMYFUNCTION("SPLIT(I2346,""-"")"),75230.0)</f>
        <v>75230</v>
      </c>
    </row>
    <row r="2347">
      <c r="A2347" s="10" t="s">
        <v>2146</v>
      </c>
      <c r="B2347" s="11">
        <v>500.0</v>
      </c>
      <c r="C2347" s="12" t="s">
        <v>634</v>
      </c>
      <c r="E2347" s="8" t="str">
        <f>IFERROR(__xludf.DUMMYFUNCTION("SPLIT(A2347,""TX"")"),"Forbes, Jeff
10159 Coveridge Drive
Dallas, ")</f>
        <v>Forbes, Jeff
10159 Coveridge Drive
Dallas, </v>
      </c>
      <c r="F2347" s="8">
        <f>IFERROR(__xludf.DUMMYFUNCTION("""COMPUTED_VALUE"""),75238.0)</f>
        <v>75238</v>
      </c>
      <c r="I2347" s="8">
        <f t="shared" si="25"/>
        <v>75238</v>
      </c>
      <c r="J2347" s="9">
        <f>IFERROR(__xludf.DUMMYFUNCTION("SPLIT(I2347,""-"")"),75238.0)</f>
        <v>75238</v>
      </c>
    </row>
    <row r="2348">
      <c r="A2348" s="10" t="s">
        <v>2147</v>
      </c>
      <c r="B2348" s="11">
        <v>250.0</v>
      </c>
      <c r="C2348" s="12" t="s">
        <v>634</v>
      </c>
      <c r="E2348" s="8" t="str">
        <f>IFERROR(__xludf.DUMMYFUNCTION("SPLIT(A2348,""TX"")"),"Judson, David
7244 N Janmar Drive
Dallas, ")</f>
        <v>Judson, David
7244 N Janmar Drive
Dallas, </v>
      </c>
      <c r="F2348" s="8">
        <f>IFERROR(__xludf.DUMMYFUNCTION("""COMPUTED_VALUE"""),75230.0)</f>
        <v>75230</v>
      </c>
      <c r="I2348" s="8">
        <f t="shared" si="25"/>
        <v>75230</v>
      </c>
      <c r="J2348" s="9">
        <f>IFERROR(__xludf.DUMMYFUNCTION("SPLIT(I2348,""-"")"),75230.0)</f>
        <v>75230</v>
      </c>
    </row>
    <row r="2349">
      <c r="A2349" s="10" t="s">
        <v>2148</v>
      </c>
      <c r="B2349" s="11">
        <v>500.0</v>
      </c>
      <c r="C2349" s="12" t="s">
        <v>634</v>
      </c>
      <c r="E2349" s="8" t="str">
        <f>IFERROR(__xludf.DUMMYFUNCTION("SPLIT(A2349,""TX"")"),"Stack, Carter
7304 Malabar Ln
Dallas, ")</f>
        <v>Stack, Carter
7304 Malabar Ln
Dallas, </v>
      </c>
      <c r="F2349" s="8">
        <f>IFERROR(__xludf.DUMMYFUNCTION("""COMPUTED_VALUE"""),75230.0)</f>
        <v>75230</v>
      </c>
      <c r="I2349" s="8">
        <f t="shared" si="25"/>
        <v>75230</v>
      </c>
      <c r="J2349" s="9">
        <f>IFERROR(__xludf.DUMMYFUNCTION("SPLIT(I2349,""-"")"),75230.0)</f>
        <v>75230</v>
      </c>
    </row>
    <row r="2350">
      <c r="A2350" s="10" t="s">
        <v>2149</v>
      </c>
      <c r="B2350" s="11">
        <v>100.0</v>
      </c>
      <c r="C2350" s="12" t="s">
        <v>634</v>
      </c>
      <c r="E2350" s="8" t="str">
        <f>IFERROR(__xludf.DUMMYFUNCTION("SPLIT(A2350,""TX"")"),"Krakow, Robert
4258 Shorecrest Drive
Dallas, ")</f>
        <v>Krakow, Robert
4258 Shorecrest Drive
Dallas, </v>
      </c>
      <c r="F2350" s="8">
        <f>IFERROR(__xludf.DUMMYFUNCTION("""COMPUTED_VALUE"""),75209.0)</f>
        <v>75209</v>
      </c>
      <c r="I2350" s="8">
        <f t="shared" si="25"/>
        <v>75209</v>
      </c>
      <c r="J2350" s="9">
        <f>IFERROR(__xludf.DUMMYFUNCTION("SPLIT(I2350,""-"")"),75209.0)</f>
        <v>75209</v>
      </c>
    </row>
    <row r="2351">
      <c r="A2351" s="10" t="s">
        <v>804</v>
      </c>
      <c r="B2351" s="11">
        <v>250.0</v>
      </c>
      <c r="C2351" s="12" t="s">
        <v>634</v>
      </c>
      <c r="E2351" s="8" t="str">
        <f>IFERROR(__xludf.DUMMYFUNCTION("SPLIT(A2351,""TX"")"),"Gross, Gary
7767 Verbena Court
Dallas, ")</f>
        <v>Gross, Gary
7767 Verbena Court
Dallas, </v>
      </c>
      <c r="F2351" s="8">
        <f>IFERROR(__xludf.DUMMYFUNCTION("""COMPUTED_VALUE"""),75230.0)</f>
        <v>75230</v>
      </c>
      <c r="I2351" s="8">
        <f t="shared" si="25"/>
        <v>75230</v>
      </c>
      <c r="J2351" s="9">
        <f>IFERROR(__xludf.DUMMYFUNCTION("SPLIT(I2351,""-"")"),75230.0)</f>
        <v>75230</v>
      </c>
    </row>
    <row r="2352">
      <c r="A2352" s="10" t="s">
        <v>828</v>
      </c>
      <c r="B2352" s="11">
        <v>25.0</v>
      </c>
      <c r="C2352" s="12" t="s">
        <v>634</v>
      </c>
      <c r="E2352" s="8" t="str">
        <f>IFERROR(__xludf.DUMMYFUNCTION("SPLIT(A2352,""TX"")"),"Loomis, Jo
6857 Greenwich Lane
Dallas, ")</f>
        <v>Loomis, Jo
6857 Greenwich Lane
Dallas, </v>
      </c>
      <c r="F2352" s="8">
        <f>IFERROR(__xludf.DUMMYFUNCTION("""COMPUTED_VALUE"""),75230.0)</f>
        <v>75230</v>
      </c>
      <c r="I2352" s="8">
        <f t="shared" si="25"/>
        <v>75230</v>
      </c>
      <c r="J2352" s="9">
        <f>IFERROR(__xludf.DUMMYFUNCTION("SPLIT(I2352,""-"")"),75230.0)</f>
        <v>75230</v>
      </c>
    </row>
    <row r="2353">
      <c r="A2353" s="10" t="s">
        <v>2150</v>
      </c>
      <c r="B2353" s="11">
        <v>1000.0</v>
      </c>
      <c r="C2353" s="12" t="s">
        <v>634</v>
      </c>
      <c r="E2353" s="8" t="str">
        <f>IFERROR(__xludf.DUMMYFUNCTION("SPLIT(A2353,""TX"")"),"Feldman, Cynthia
5358 Meaders Ln
Dallas, ")</f>
        <v>Feldman, Cynthia
5358 Meaders Ln
Dallas, </v>
      </c>
      <c r="F2353" s="8">
        <f>IFERROR(__xludf.DUMMYFUNCTION("""COMPUTED_VALUE"""),75229.0)</f>
        <v>75229</v>
      </c>
      <c r="I2353" s="8">
        <f t="shared" si="25"/>
        <v>75229</v>
      </c>
      <c r="J2353" s="9">
        <f>IFERROR(__xludf.DUMMYFUNCTION("SPLIT(I2353,""-"")"),75229.0)</f>
        <v>75229</v>
      </c>
    </row>
    <row r="2354">
      <c r="A2354" s="10" t="s">
        <v>2151</v>
      </c>
      <c r="B2354" s="11">
        <v>250.0</v>
      </c>
      <c r="C2354" s="12" t="s">
        <v>634</v>
      </c>
      <c r="E2354" s="8" t="str">
        <f>IFERROR(__xludf.DUMMYFUNCTION("SPLIT(A2354,""TX"")"),"Allen, Artie
18720 Amador Ave
Dallas, ")</f>
        <v>Allen, Artie
18720 Amador Ave
Dallas, </v>
      </c>
      <c r="F2354" s="8">
        <f>IFERROR(__xludf.DUMMYFUNCTION("""COMPUTED_VALUE"""),75252.0)</f>
        <v>75252</v>
      </c>
      <c r="I2354" s="8">
        <f t="shared" si="25"/>
        <v>75252</v>
      </c>
      <c r="J2354" s="9">
        <f>IFERROR(__xludf.DUMMYFUNCTION("SPLIT(I2354,""-"")"),75252.0)</f>
        <v>75252</v>
      </c>
    </row>
    <row r="2355">
      <c r="A2355" s="10" t="s">
        <v>1182</v>
      </c>
      <c r="B2355" s="11">
        <v>250.0</v>
      </c>
      <c r="C2355" s="12" t="s">
        <v>634</v>
      </c>
      <c r="E2355" s="8" t="str">
        <f>IFERROR(__xludf.DUMMYFUNCTION("SPLIT(A2355,""TX"")"),"Baird, Jerry
6918 Lloyd Valley Ln
Dallas, ")</f>
        <v>Baird, Jerry
6918 Lloyd Valley Ln
Dallas, </v>
      </c>
      <c r="F2355" s="8">
        <f>IFERROR(__xludf.DUMMYFUNCTION("""COMPUTED_VALUE"""),75230.0)</f>
        <v>75230</v>
      </c>
      <c r="I2355" s="8">
        <f t="shared" si="25"/>
        <v>75230</v>
      </c>
      <c r="J2355" s="9">
        <f>IFERROR(__xludf.DUMMYFUNCTION("SPLIT(I2355,""-"")"),75230.0)</f>
        <v>75230</v>
      </c>
    </row>
    <row r="2356">
      <c r="A2356" s="10" t="s">
        <v>2152</v>
      </c>
      <c r="B2356" s="11">
        <v>50.0</v>
      </c>
      <c r="C2356" s="12" t="s">
        <v>634</v>
      </c>
      <c r="E2356" s="8" t="str">
        <f>IFERROR(__xludf.DUMMYFUNCTION("SPLIT(A2356,""TX"")"),"Nicklaus Sabin, Patricia
12606 Breckenridge Drive
Dallas, ")</f>
        <v>Nicklaus Sabin, Patricia
12606 Breckenridge Drive
Dallas, </v>
      </c>
      <c r="F2356" s="8">
        <f>IFERROR(__xludf.DUMMYFUNCTION("""COMPUTED_VALUE"""),75230.0)</f>
        <v>75230</v>
      </c>
      <c r="I2356" s="8">
        <f t="shared" si="25"/>
        <v>75230</v>
      </c>
      <c r="J2356" s="9">
        <f>IFERROR(__xludf.DUMMYFUNCTION("SPLIT(I2356,""-"")"),75230.0)</f>
        <v>75230</v>
      </c>
    </row>
    <row r="2357">
      <c r="A2357" s="10" t="s">
        <v>2153</v>
      </c>
      <c r="B2357" s="11">
        <v>250.0</v>
      </c>
      <c r="C2357" s="12" t="s">
        <v>634</v>
      </c>
      <c r="E2357" s="8" t="str">
        <f>IFERROR(__xludf.DUMMYFUNCTION("SPLIT(A2357,""TX"")"),"Garcia, Catalina
7622 Royal Place
Dallas, ")</f>
        <v>Garcia, Catalina
7622 Royal Place
Dallas, </v>
      </c>
      <c r="F2357" s="8">
        <f>IFERROR(__xludf.DUMMYFUNCTION("""COMPUTED_VALUE"""),75230.0)</f>
        <v>75230</v>
      </c>
      <c r="I2357" s="8">
        <f t="shared" si="25"/>
        <v>75230</v>
      </c>
      <c r="J2357" s="9">
        <f>IFERROR(__xludf.DUMMYFUNCTION("SPLIT(I2357,""-"")"),75230.0)</f>
        <v>75230</v>
      </c>
    </row>
    <row r="2358">
      <c r="A2358" s="10" t="s">
        <v>2154</v>
      </c>
      <c r="B2358" s="11">
        <v>50.0</v>
      </c>
      <c r="C2358" s="12" t="s">
        <v>634</v>
      </c>
      <c r="E2358" s="8" t="str">
        <f>IFERROR(__xludf.DUMMYFUNCTION("SPLIT(A2358,""TX"")"),"Heller, Stephen
6740 Harvest Glen Dr
Dallas, ")</f>
        <v>Heller, Stephen
6740 Harvest Glen Dr
Dallas, </v>
      </c>
      <c r="F2358" s="8">
        <f>IFERROR(__xludf.DUMMYFUNCTION("""COMPUTED_VALUE"""),75248.0)</f>
        <v>75248</v>
      </c>
      <c r="I2358" s="8">
        <f t="shared" si="25"/>
        <v>75248</v>
      </c>
      <c r="J2358" s="9">
        <f>IFERROR(__xludf.DUMMYFUNCTION("SPLIT(I2358,""-"")"),75248.0)</f>
        <v>75248</v>
      </c>
    </row>
    <row r="2359">
      <c r="A2359" s="10" t="s">
        <v>2155</v>
      </c>
      <c r="B2359" s="11">
        <v>100.0</v>
      </c>
      <c r="C2359" s="12" t="s">
        <v>634</v>
      </c>
      <c r="E2359" s="8" t="str">
        <f>IFERROR(__xludf.DUMMYFUNCTION("SPLIT(A2359,""TX"")"),"Rutchik, Morris
5200 Keller Springs Road
Dallas, ")</f>
        <v>Rutchik, Morris
5200 Keller Springs Road
Dallas, </v>
      </c>
      <c r="F2359" s="8">
        <f>IFERROR(__xludf.DUMMYFUNCTION("""COMPUTED_VALUE"""),75248.0)</f>
        <v>75248</v>
      </c>
      <c r="I2359" s="8">
        <f t="shared" si="25"/>
        <v>75248</v>
      </c>
      <c r="J2359" s="9">
        <f>IFERROR(__xludf.DUMMYFUNCTION("SPLIT(I2359,""-"")"),75248.0)</f>
        <v>75248</v>
      </c>
    </row>
    <row r="2360">
      <c r="A2360" s="10" t="s">
        <v>2000</v>
      </c>
      <c r="B2360" s="11">
        <v>500.0</v>
      </c>
      <c r="C2360" s="12" t="s">
        <v>634</v>
      </c>
      <c r="E2360" s="8" t="str">
        <f>IFERROR(__xludf.DUMMYFUNCTION("SPLIT(A2360,""TX"")"),"Coats, Sam
26 Ryddington Pl
Dallas, ")</f>
        <v>Coats, Sam
26 Ryddington Pl
Dallas, </v>
      </c>
      <c r="F2360" s="8">
        <f>IFERROR(__xludf.DUMMYFUNCTION("""COMPUTED_VALUE"""),75230.0)</f>
        <v>75230</v>
      </c>
      <c r="I2360" s="8">
        <f t="shared" si="25"/>
        <v>75230</v>
      </c>
      <c r="J2360" s="9">
        <f>IFERROR(__xludf.DUMMYFUNCTION("SPLIT(I2360,""-"")"),75230.0)</f>
        <v>75230</v>
      </c>
    </row>
    <row r="2361">
      <c r="A2361" s="10" t="s">
        <v>2156</v>
      </c>
      <c r="B2361" s="11">
        <v>50.0</v>
      </c>
      <c r="C2361" s="12" t="s">
        <v>634</v>
      </c>
      <c r="E2361" s="8" t="str">
        <f>IFERROR(__xludf.DUMMYFUNCTION("SPLIT(A2361,""TX"")"),"Wilkofsky, Susan
11651 Hillcrest Rd
Dallas, ")</f>
        <v>Wilkofsky, Susan
11651 Hillcrest Rd
Dallas, </v>
      </c>
      <c r="F2361" s="8">
        <f>IFERROR(__xludf.DUMMYFUNCTION("""COMPUTED_VALUE"""),75230.0)</f>
        <v>75230</v>
      </c>
      <c r="I2361" s="8">
        <f t="shared" si="25"/>
        <v>75230</v>
      </c>
      <c r="J2361" s="9">
        <f>IFERROR(__xludf.DUMMYFUNCTION("SPLIT(I2361,""-"")"),75230.0)</f>
        <v>75230</v>
      </c>
    </row>
    <row r="2362">
      <c r="A2362" s="10" t="s">
        <v>2157</v>
      </c>
      <c r="B2362" s="11">
        <v>500.0</v>
      </c>
      <c r="C2362" s="12" t="s">
        <v>634</v>
      </c>
      <c r="E2362" s="8" t="str">
        <f>IFERROR(__xludf.DUMMYFUNCTION("SPLIT(A2362,""TX"")"),"Radunsky, Barbara
12015 Excelsior Way
Dallas, ")</f>
        <v>Radunsky, Barbara
12015 Excelsior Way
Dallas, </v>
      </c>
      <c r="F2362" s="8">
        <f>IFERROR(__xludf.DUMMYFUNCTION("""COMPUTED_VALUE"""),75230.0)</f>
        <v>75230</v>
      </c>
      <c r="I2362" s="8">
        <f t="shared" si="25"/>
        <v>75230</v>
      </c>
      <c r="J2362" s="9">
        <f>IFERROR(__xludf.DUMMYFUNCTION("SPLIT(I2362,""-"")"),75230.0)</f>
        <v>75230</v>
      </c>
    </row>
    <row r="2363">
      <c r="A2363" s="10" t="s">
        <v>2158</v>
      </c>
      <c r="B2363" s="11">
        <v>500.0</v>
      </c>
      <c r="C2363" s="12" t="s">
        <v>634</v>
      </c>
      <c r="E2363" s="8" t="str">
        <f>IFERROR(__xludf.DUMMYFUNCTION("SPLIT(A2363,""TX"")"),"Moskowitz, Mitch
5915 Warm Mist Ln
Dallas, ")</f>
        <v>Moskowitz, Mitch
5915 Warm Mist Ln
Dallas, </v>
      </c>
      <c r="F2363" s="8">
        <f>IFERROR(__xludf.DUMMYFUNCTION("""COMPUTED_VALUE"""),75248.0)</f>
        <v>75248</v>
      </c>
      <c r="I2363" s="8">
        <f t="shared" si="25"/>
        <v>75248</v>
      </c>
      <c r="J2363" s="9">
        <f>IFERROR(__xludf.DUMMYFUNCTION("SPLIT(I2363,""-"")"),75248.0)</f>
        <v>75248</v>
      </c>
    </row>
    <row r="2364">
      <c r="A2364" s="10" t="s">
        <v>2159</v>
      </c>
      <c r="B2364" s="11">
        <v>25.0</v>
      </c>
      <c r="C2364" s="12" t="s">
        <v>634</v>
      </c>
      <c r="E2364" s="8" t="str">
        <f>IFERROR(__xludf.DUMMYFUNCTION("SPLIT(A2364,""TX"")"),"Swartzbaugh, Nathan
7716 Royal Ln
Dallas, ")</f>
        <v>Swartzbaugh, Nathan
7716 Royal Ln
Dallas, </v>
      </c>
      <c r="F2364" s="8">
        <f>IFERROR(__xludf.DUMMYFUNCTION("""COMPUTED_VALUE"""),75230.0)</f>
        <v>75230</v>
      </c>
      <c r="I2364" s="8">
        <f t="shared" si="25"/>
        <v>75230</v>
      </c>
      <c r="J2364" s="9">
        <f>IFERROR(__xludf.DUMMYFUNCTION("SPLIT(I2364,""-"")"),75230.0)</f>
        <v>75230</v>
      </c>
    </row>
    <row r="2365">
      <c r="A2365" s="10" t="s">
        <v>2160</v>
      </c>
      <c r="B2365" s="11">
        <v>100.0</v>
      </c>
      <c r="C2365" s="12" t="s">
        <v>634</v>
      </c>
      <c r="E2365" s="8" t="str">
        <f>IFERROR(__xludf.DUMMYFUNCTION("SPLIT(A2365,""TX"")"),"Erback, Elaine
7731 Royal Lane
Dallas, ")</f>
        <v>Erback, Elaine
7731 Royal Lane
Dallas, </v>
      </c>
      <c r="F2365" s="8">
        <f>IFERROR(__xludf.DUMMYFUNCTION("""COMPUTED_VALUE"""),75230.0)</f>
        <v>75230</v>
      </c>
      <c r="I2365" s="8">
        <f t="shared" si="25"/>
        <v>75230</v>
      </c>
      <c r="J2365" s="9">
        <f>IFERROR(__xludf.DUMMYFUNCTION("SPLIT(I2365,""-"")"),75230.0)</f>
        <v>75230</v>
      </c>
    </row>
    <row r="2366">
      <c r="A2366" s="10" t="s">
        <v>2161</v>
      </c>
      <c r="B2366" s="11">
        <v>100.0</v>
      </c>
      <c r="C2366" s="12" t="s">
        <v>634</v>
      </c>
      <c r="E2366" s="8" t="str">
        <f>IFERROR(__xludf.DUMMYFUNCTION("SPLIT(A2366,""TX"")"),"Williams, Debra
10924 Pinocchio Dr
Dallas, ")</f>
        <v>Williams, Debra
10924 Pinocchio Dr
Dallas, </v>
      </c>
      <c r="F2366" s="8">
        <f>IFERROR(__xludf.DUMMYFUNCTION("""COMPUTED_VALUE"""),75229.0)</f>
        <v>75229</v>
      </c>
      <c r="I2366" s="8">
        <f t="shared" si="25"/>
        <v>75229</v>
      </c>
      <c r="J2366" s="9">
        <f>IFERROR(__xludf.DUMMYFUNCTION("SPLIT(I2366,""-"")"),75229.0)</f>
        <v>75229</v>
      </c>
    </row>
    <row r="2367">
      <c r="A2367" s="10" t="s">
        <v>2162</v>
      </c>
      <c r="B2367" s="11">
        <v>50.0</v>
      </c>
      <c r="C2367" s="12" t="s">
        <v>634</v>
      </c>
      <c r="E2367" s="8" t="str">
        <f>IFERROR(__xludf.DUMMYFUNCTION("SPLIT(A2367,""TX"")"),"Bazaldua, Adam
6926 Belteau Lane
Dallas, ")</f>
        <v>Bazaldua, Adam
6926 Belteau Lane
Dallas, </v>
      </c>
      <c r="F2367" s="8">
        <f>IFERROR(__xludf.DUMMYFUNCTION("""COMPUTED_VALUE"""),75227.0)</f>
        <v>75227</v>
      </c>
      <c r="I2367" s="8">
        <f t="shared" si="25"/>
        <v>75227</v>
      </c>
      <c r="J2367" s="9">
        <f>IFERROR(__xludf.DUMMYFUNCTION("SPLIT(I2367,""-"")"),75227.0)</f>
        <v>75227</v>
      </c>
    </row>
    <row r="2368">
      <c r="A2368" s="10" t="s">
        <v>2163</v>
      </c>
      <c r="B2368" s="11">
        <v>500.0</v>
      </c>
      <c r="C2368" s="12" t="s">
        <v>634</v>
      </c>
      <c r="E2368" s="8" t="str">
        <f>IFERROR(__xludf.DUMMYFUNCTION("SPLIT(A2368,""TX"")"),"Ohayon, Jacques
6246 Dykes Way
dallas, ")</f>
        <v>Ohayon, Jacques
6246 Dykes Way
dallas, </v>
      </c>
      <c r="F2368" s="8">
        <f>IFERROR(__xludf.DUMMYFUNCTION("""COMPUTED_VALUE"""),75230.0)</f>
        <v>75230</v>
      </c>
      <c r="I2368" s="8">
        <f t="shared" si="25"/>
        <v>75230</v>
      </c>
      <c r="J2368" s="9">
        <f>IFERROR(__xludf.DUMMYFUNCTION("SPLIT(I2368,""-"")"),75230.0)</f>
        <v>75230</v>
      </c>
    </row>
    <row r="2369">
      <c r="A2369" s="10" t="s">
        <v>2164</v>
      </c>
      <c r="B2369" s="11">
        <v>25.0</v>
      </c>
      <c r="C2369" s="12" t="s">
        <v>634</v>
      </c>
      <c r="E2369" s="8" t="str">
        <f>IFERROR(__xludf.DUMMYFUNCTION("SPLIT(A2369,""TX"")"),"Hodes, Richard
220 East 42nd Street
New York, NY 10017")</f>
        <v>Hodes, Richard
220 East 42nd Street
New York, NY 10017</v>
      </c>
      <c r="I2369" s="8" t="str">
        <f t="shared" si="25"/>
        <v/>
      </c>
      <c r="J2369" s="9" t="str">
        <f>IFERROR(__xludf.DUMMYFUNCTION("SPLIT(I2369,""-"")"),"#VALUE!")</f>
        <v>#VALUE!</v>
      </c>
    </row>
    <row r="2370">
      <c r="A2370" s="10" t="s">
        <v>2165</v>
      </c>
      <c r="B2370" s="11">
        <v>300.0</v>
      </c>
      <c r="C2370" s="12" t="s">
        <v>634</v>
      </c>
      <c r="E2370" s="8" t="str">
        <f>IFERROR(__xludf.DUMMYFUNCTION("SPLIT(A2370,""TX"")"),"Rothschild, Barry
6915 Currin Drive
Dallas, ")</f>
        <v>Rothschild, Barry
6915 Currin Drive
Dallas, </v>
      </c>
      <c r="F2370" s="8">
        <f>IFERROR(__xludf.DUMMYFUNCTION("""COMPUTED_VALUE"""),75230.0)</f>
        <v>75230</v>
      </c>
      <c r="I2370" s="8">
        <f t="shared" si="25"/>
        <v>75230</v>
      </c>
      <c r="J2370" s="9">
        <f>IFERROR(__xludf.DUMMYFUNCTION("SPLIT(I2370,""-"")"),75230.0)</f>
        <v>75230</v>
      </c>
    </row>
    <row r="2371">
      <c r="A2371" s="10" t="s">
        <v>1846</v>
      </c>
      <c r="B2371" s="11">
        <v>250.0</v>
      </c>
      <c r="C2371" s="12" t="s">
        <v>634</v>
      </c>
      <c r="E2371" s="8" t="str">
        <f>IFERROR(__xludf.DUMMYFUNCTION("SPLIT(A2371,""TX"")"),"Smith, Suzanne
3210 Carlisle Street
Dallas, ")</f>
        <v>Smith, Suzanne
3210 Carlisle Street
Dallas, </v>
      </c>
      <c r="F2371" s="8">
        <f>IFERROR(__xludf.DUMMYFUNCTION("""COMPUTED_VALUE"""),75204.0)</f>
        <v>75204</v>
      </c>
      <c r="I2371" s="8">
        <f t="shared" si="25"/>
        <v>75204</v>
      </c>
      <c r="J2371" s="9">
        <f>IFERROR(__xludf.DUMMYFUNCTION("SPLIT(I2371,""-"")"),75204.0)</f>
        <v>75204</v>
      </c>
    </row>
    <row r="2372">
      <c r="A2372" s="10" t="s">
        <v>2166</v>
      </c>
      <c r="B2372" s="11">
        <v>250.0</v>
      </c>
      <c r="C2372" s="12" t="s">
        <v>634</v>
      </c>
      <c r="E2372" s="8" t="str">
        <f>IFERROR(__xludf.DUMMYFUNCTION("SPLIT(A2372,""TX"")"),"Rosenberg, Ruthy
12036 Arbargee Cir
Dallas, ")</f>
        <v>Rosenberg, Ruthy
12036 Arbargee Cir
Dallas, </v>
      </c>
      <c r="F2372" s="8">
        <f>IFERROR(__xludf.DUMMYFUNCTION("""COMPUTED_VALUE"""),75230.0)</f>
        <v>75230</v>
      </c>
      <c r="I2372" s="8">
        <f t="shared" si="25"/>
        <v>75230</v>
      </c>
      <c r="J2372" s="9">
        <f>IFERROR(__xludf.DUMMYFUNCTION("SPLIT(I2372,""-"")"),75230.0)</f>
        <v>75230</v>
      </c>
    </row>
    <row r="2373">
      <c r="A2373" s="10" t="s">
        <v>1180</v>
      </c>
      <c r="B2373" s="11">
        <v>50.0</v>
      </c>
      <c r="C2373" s="12" t="s">
        <v>634</v>
      </c>
      <c r="E2373" s="8" t="str">
        <f>IFERROR(__xludf.DUMMYFUNCTION("SPLIT(A2373,""TX"")"),"Bach, Matthew
15746 Covewood Cir
Dallas, ")</f>
        <v>Bach, Matthew
15746 Covewood Cir
Dallas, </v>
      </c>
      <c r="F2373" s="8">
        <f>IFERROR(__xludf.DUMMYFUNCTION("""COMPUTED_VALUE"""),75248.0)</f>
        <v>75248</v>
      </c>
      <c r="I2373" s="8">
        <f t="shared" si="25"/>
        <v>75248</v>
      </c>
      <c r="J2373" s="9">
        <f>IFERROR(__xludf.DUMMYFUNCTION("SPLIT(I2373,""-"")"),75248.0)</f>
        <v>75248</v>
      </c>
    </row>
    <row r="2374">
      <c r="A2374" s="10" t="s">
        <v>2167</v>
      </c>
      <c r="B2374" s="11">
        <v>500.0</v>
      </c>
      <c r="C2374" s="12" t="s">
        <v>634</v>
      </c>
      <c r="E2374" s="8" t="str">
        <f>IFERROR(__xludf.DUMMYFUNCTION("SPLIT(A2374,""TX"")"),"Nayeb, Farhad
10515 Lennox Ln
Dallas, ")</f>
        <v>Nayeb, Farhad
10515 Lennox Ln
Dallas, </v>
      </c>
      <c r="F2374" s="8">
        <f>IFERROR(__xludf.DUMMYFUNCTION("""COMPUTED_VALUE"""),75229.0)</f>
        <v>75229</v>
      </c>
      <c r="I2374" s="8">
        <f t="shared" si="25"/>
        <v>75229</v>
      </c>
      <c r="J2374" s="9">
        <f>IFERROR(__xludf.DUMMYFUNCTION("SPLIT(I2374,""-"")"),75229.0)</f>
        <v>75229</v>
      </c>
    </row>
    <row r="2375">
      <c r="A2375" s="10" t="s">
        <v>2168</v>
      </c>
      <c r="B2375" s="11">
        <v>25.0</v>
      </c>
      <c r="C2375" s="12" t="s">
        <v>634</v>
      </c>
      <c r="E2375" s="8" t="str">
        <f>IFERROR(__xludf.DUMMYFUNCTION("SPLIT(A2375,""TX"")"),"Rubin, Susie
7455 Malabar Lane
Dallas, ")</f>
        <v>Rubin, Susie
7455 Malabar Lane
Dallas, </v>
      </c>
      <c r="F2375" s="8">
        <f>IFERROR(__xludf.DUMMYFUNCTION("""COMPUTED_VALUE"""),75230.0)</f>
        <v>75230</v>
      </c>
      <c r="I2375" s="8">
        <f t="shared" si="25"/>
        <v>75230</v>
      </c>
      <c r="J2375" s="9">
        <f>IFERROR(__xludf.DUMMYFUNCTION("SPLIT(I2375,""-"")"),75230.0)</f>
        <v>75230</v>
      </c>
    </row>
    <row r="2376">
      <c r="A2376" s="10" t="s">
        <v>818</v>
      </c>
      <c r="B2376" s="11">
        <v>500.0</v>
      </c>
      <c r="C2376" s="12" t="s">
        <v>634</v>
      </c>
      <c r="E2376" s="8" t="str">
        <f>IFERROR(__xludf.DUMMYFUNCTION("SPLIT(A2376,""TX"")"),"Kittleson, ")</f>
        <v>Kittleson, </v>
      </c>
      <c r="F2376" s="8" t="str">
        <f>IFERROR(__xludf.DUMMYFUNCTION("""COMPUTED_VALUE"""),"erry
7051 Orchid Lane
Dallas, ")</f>
        <v>erry
7051 Orchid Lane
Dallas, </v>
      </c>
      <c r="G2376" s="8">
        <f>IFERROR(__xludf.DUMMYFUNCTION("""COMPUTED_VALUE"""),75230.0)</f>
        <v>75230</v>
      </c>
      <c r="I2376" s="8">
        <f t="shared" si="25"/>
        <v>75230</v>
      </c>
      <c r="J2376" s="9">
        <f>IFERROR(__xludf.DUMMYFUNCTION("SPLIT(I2376,""-"")"),75230.0)</f>
        <v>75230</v>
      </c>
    </row>
    <row r="2377">
      <c r="A2377" s="10" t="s">
        <v>2169</v>
      </c>
      <c r="B2377" s="11">
        <v>100.0</v>
      </c>
      <c r="C2377" s="12" t="s">
        <v>634</v>
      </c>
      <c r="E2377" s="8" t="str">
        <f>IFERROR(__xludf.DUMMYFUNCTION("SPLIT(A2377,""TX"")"),"Mersky, Charles
7406 Midbury Drive
Dallas, ")</f>
        <v>Mersky, Charles
7406 Midbury Drive
Dallas, </v>
      </c>
      <c r="F2377" s="8">
        <f>IFERROR(__xludf.DUMMYFUNCTION("""COMPUTED_VALUE"""),75230.0)</f>
        <v>75230</v>
      </c>
      <c r="I2377" s="8">
        <f t="shared" si="25"/>
        <v>75230</v>
      </c>
      <c r="J2377" s="9">
        <f>IFERROR(__xludf.DUMMYFUNCTION("SPLIT(I2377,""-"")"),75230.0)</f>
        <v>75230</v>
      </c>
    </row>
    <row r="2378">
      <c r="A2378" s="10" t="s">
        <v>855</v>
      </c>
      <c r="B2378" s="11">
        <v>25.0</v>
      </c>
      <c r="C2378" s="12" t="s">
        <v>634</v>
      </c>
      <c r="E2378" s="8" t="str">
        <f>IFERROR(__xludf.DUMMYFUNCTION("SPLIT(A2378,""TX"")"),"Polsky, Debra
15221 Berry ")</f>
        <v>Polsky, Debra
15221 Berry </v>
      </c>
      <c r="F2378" s="8" t="str">
        <f>IFERROR(__xludf.DUMMYFUNCTION("""COMPUTED_VALUE"""),"rail
Dallas, ")</f>
        <v>rail
Dallas, </v>
      </c>
      <c r="G2378" s="8">
        <f>IFERROR(__xludf.DUMMYFUNCTION("""COMPUTED_VALUE"""),75248.0)</f>
        <v>75248</v>
      </c>
      <c r="I2378" s="8">
        <f t="shared" si="25"/>
        <v>75248</v>
      </c>
      <c r="J2378" s="9">
        <f>IFERROR(__xludf.DUMMYFUNCTION("SPLIT(I2378,""-"")"),75248.0)</f>
        <v>75248</v>
      </c>
    </row>
    <row r="2379">
      <c r="A2379" s="10" t="s">
        <v>2170</v>
      </c>
      <c r="B2379" s="11">
        <v>250.0</v>
      </c>
      <c r="C2379" s="12" t="s">
        <v>634</v>
      </c>
      <c r="E2379" s="8" t="str">
        <f>IFERROR(__xludf.DUMMYFUNCTION("SPLIT(A2379,""TX"")"),"Ginsburg, Lawrence
6911 Oak Manor Drive
Dallas, ")</f>
        <v>Ginsburg, Lawrence
6911 Oak Manor Drive
Dallas, </v>
      </c>
      <c r="F2379" s="8">
        <f>IFERROR(__xludf.DUMMYFUNCTION("""COMPUTED_VALUE"""),75230.0)</f>
        <v>75230</v>
      </c>
      <c r="I2379" s="8">
        <f t="shared" si="25"/>
        <v>75230</v>
      </c>
      <c r="J2379" s="9">
        <f>IFERROR(__xludf.DUMMYFUNCTION("SPLIT(I2379,""-"")"),75230.0)</f>
        <v>75230</v>
      </c>
    </row>
    <row r="2380">
      <c r="A2380" s="10" t="s">
        <v>2171</v>
      </c>
      <c r="B2380" s="11">
        <v>360.0</v>
      </c>
      <c r="C2380" s="12" t="s">
        <v>634</v>
      </c>
      <c r="E2380" s="8" t="str">
        <f>IFERROR(__xludf.DUMMYFUNCTION("SPLIT(A2380,""TX"")"),"Mizrahi, Jennifer
1306 Beachview Rd
Annapolis, MD 21403")</f>
        <v>Mizrahi, Jennifer
1306 Beachview Rd
Annapolis, MD 21403</v>
      </c>
      <c r="I2380" s="8" t="str">
        <f t="shared" si="25"/>
        <v/>
      </c>
      <c r="J2380" s="9" t="str">
        <f>IFERROR(__xludf.DUMMYFUNCTION("SPLIT(I2380,""-"")"),"#VALUE!")</f>
        <v>#VALUE!</v>
      </c>
    </row>
    <row r="2381">
      <c r="A2381" s="10" t="s">
        <v>869</v>
      </c>
      <c r="B2381" s="11">
        <v>250.0</v>
      </c>
      <c r="C2381" s="12" t="s">
        <v>634</v>
      </c>
      <c r="E2381" s="8" t="str">
        <f>IFERROR(__xludf.DUMMYFUNCTION("SPLIT(A2381,""TX"")"),"Sacher, David
7225 South Janmar Court
Dallas, ")</f>
        <v>Sacher, David
7225 South Janmar Court
Dallas, </v>
      </c>
      <c r="F2381" s="8">
        <f>IFERROR(__xludf.DUMMYFUNCTION("""COMPUTED_VALUE"""),75230.0)</f>
        <v>75230</v>
      </c>
      <c r="I2381" s="8">
        <f t="shared" si="25"/>
        <v>75230</v>
      </c>
      <c r="J2381" s="9">
        <f>IFERROR(__xludf.DUMMYFUNCTION("SPLIT(I2381,""-"")"),75230.0)</f>
        <v>75230</v>
      </c>
    </row>
    <row r="2382">
      <c r="A2382" s="10" t="s">
        <v>2172</v>
      </c>
      <c r="B2382" s="11">
        <v>100.0</v>
      </c>
      <c r="C2382" s="12" t="s">
        <v>634</v>
      </c>
      <c r="E2382" s="8" t="str">
        <f>IFERROR(__xludf.DUMMYFUNCTION("SPLIT(A2382,""TX"")"),"Lee, Carl
12045 Edgestone Road
Dallas, ")</f>
        <v>Lee, Carl
12045 Edgestone Road
Dallas, </v>
      </c>
      <c r="F2382" s="8">
        <f>IFERROR(__xludf.DUMMYFUNCTION("""COMPUTED_VALUE"""),75230.0)</f>
        <v>75230</v>
      </c>
      <c r="I2382" s="8">
        <f t="shared" si="25"/>
        <v>75230</v>
      </c>
      <c r="J2382" s="9">
        <f>IFERROR(__xludf.DUMMYFUNCTION("SPLIT(I2382,""-"")"),75230.0)</f>
        <v>75230</v>
      </c>
    </row>
    <row r="2383">
      <c r="A2383" s="10" t="s">
        <v>807</v>
      </c>
      <c r="B2383" s="11">
        <v>25.0</v>
      </c>
      <c r="C2383" s="12" t="s">
        <v>634</v>
      </c>
      <c r="E2383" s="8" t="str">
        <f>IFERROR(__xludf.DUMMYFUNCTION("SPLIT(A2383,""TX"")"),"Hebley, Sandi
12304 Shiremont Drive
Dallas, ")</f>
        <v>Hebley, Sandi
12304 Shiremont Drive
Dallas, </v>
      </c>
      <c r="F2383" s="8">
        <f>IFERROR(__xludf.DUMMYFUNCTION("""COMPUTED_VALUE"""),75230.0)</f>
        <v>75230</v>
      </c>
      <c r="I2383" s="8">
        <f t="shared" si="25"/>
        <v>75230</v>
      </c>
      <c r="J2383" s="9">
        <f>IFERROR(__xludf.DUMMYFUNCTION("SPLIT(I2383,""-"")"),75230.0)</f>
        <v>75230</v>
      </c>
    </row>
    <row r="2384">
      <c r="A2384" s="10" t="s">
        <v>2173</v>
      </c>
      <c r="B2384" s="11">
        <v>50.0</v>
      </c>
      <c r="C2384" s="12" t="s">
        <v>634</v>
      </c>
      <c r="E2384" s="8" t="str">
        <f>IFERROR(__xludf.DUMMYFUNCTION("SPLIT(A2384,""TX"")"),"Risch, Jolene
6011 Warm Mist Lane
Dallas, ")</f>
        <v>Risch, Jolene
6011 Warm Mist Lane
Dallas, </v>
      </c>
      <c r="F2384" s="8">
        <f>IFERROR(__xludf.DUMMYFUNCTION("""COMPUTED_VALUE"""),75248.0)</f>
        <v>75248</v>
      </c>
      <c r="I2384" s="8">
        <f t="shared" si="25"/>
        <v>75248</v>
      </c>
      <c r="J2384" s="9">
        <f>IFERROR(__xludf.DUMMYFUNCTION("SPLIT(I2384,""-"")"),75248.0)</f>
        <v>75248</v>
      </c>
    </row>
    <row r="2385">
      <c r="A2385" s="10" t="s">
        <v>1928</v>
      </c>
      <c r="B2385" s="11">
        <v>500.0</v>
      </c>
      <c r="C2385" s="12" t="s">
        <v>634</v>
      </c>
      <c r="E2385" s="8" t="str">
        <f>IFERROR(__xludf.DUMMYFUNCTION("SPLIT(A2385,""TX"")"),"Milstein, Robert
6440 Preston Crest Lane
Dallas, ")</f>
        <v>Milstein, Robert
6440 Preston Crest Lane
Dallas, </v>
      </c>
      <c r="F2385" s="8">
        <f>IFERROR(__xludf.DUMMYFUNCTION("""COMPUTED_VALUE"""),75230.0)</f>
        <v>75230</v>
      </c>
      <c r="I2385" s="8">
        <f t="shared" si="25"/>
        <v>75230</v>
      </c>
      <c r="J2385" s="9">
        <f>IFERROR(__xludf.DUMMYFUNCTION("SPLIT(I2385,""-"")"),75230.0)</f>
        <v>75230</v>
      </c>
    </row>
    <row r="2386">
      <c r="A2386" s="10" t="s">
        <v>815</v>
      </c>
      <c r="B2386" s="11">
        <v>100.0</v>
      </c>
      <c r="C2386" s="12" t="s">
        <v>634</v>
      </c>
      <c r="E2386" s="8" t="str">
        <f>IFERROR(__xludf.DUMMYFUNCTION("SPLIT(A2386,""TX"")"),"Jonas, Hylton
4615 Briar Oaks Circle
Dallas, ")</f>
        <v>Jonas, Hylton
4615 Briar Oaks Circle
Dallas, </v>
      </c>
      <c r="F2386" s="8">
        <f>IFERROR(__xludf.DUMMYFUNCTION("""COMPUTED_VALUE"""),75287.0)</f>
        <v>75287</v>
      </c>
      <c r="I2386" s="8">
        <f t="shared" si="25"/>
        <v>75287</v>
      </c>
      <c r="J2386" s="9">
        <f>IFERROR(__xludf.DUMMYFUNCTION("SPLIT(I2386,""-"")"),75287.0)</f>
        <v>75287</v>
      </c>
    </row>
    <row r="2387">
      <c r="A2387" s="10" t="s">
        <v>2174</v>
      </c>
      <c r="B2387" s="11">
        <v>250.0</v>
      </c>
      <c r="C2387" s="12" t="s">
        <v>634</v>
      </c>
      <c r="E2387" s="8" t="str">
        <f>IFERROR(__xludf.DUMMYFUNCTION("SPLIT(A2387,""TX"")"),"Bernbaum, bruce
7715 Northaven Road
Dallas, ")</f>
        <v>Bernbaum, bruce
7715 Northaven Road
Dallas, </v>
      </c>
      <c r="F2387" s="8">
        <f>IFERROR(__xludf.DUMMYFUNCTION("""COMPUTED_VALUE"""),75230.0)</f>
        <v>75230</v>
      </c>
      <c r="I2387" s="8">
        <f t="shared" si="25"/>
        <v>75230</v>
      </c>
      <c r="J2387" s="9">
        <f>IFERROR(__xludf.DUMMYFUNCTION("SPLIT(I2387,""-"")"),75230.0)</f>
        <v>75230</v>
      </c>
    </row>
    <row r="2388">
      <c r="A2388" s="10" t="s">
        <v>2175</v>
      </c>
      <c r="B2388" s="11">
        <v>180.0</v>
      </c>
      <c r="C2388" s="12" t="s">
        <v>634</v>
      </c>
      <c r="E2388" s="8" t="str">
        <f>IFERROR(__xludf.DUMMYFUNCTION("SPLIT(A2388,""TX"")"),"Bell, David
8350 Meadow Road
Dallas, ")</f>
        <v>Bell, David
8350 Meadow Road
Dallas, </v>
      </c>
      <c r="F2388" s="8">
        <f>IFERROR(__xludf.DUMMYFUNCTION("""COMPUTED_VALUE"""),75231.0)</f>
        <v>75231</v>
      </c>
      <c r="I2388" s="8">
        <f t="shared" si="25"/>
        <v>75231</v>
      </c>
      <c r="J2388" s="9">
        <f>IFERROR(__xludf.DUMMYFUNCTION("SPLIT(I2388,""-"")"),75231.0)</f>
        <v>75231</v>
      </c>
    </row>
    <row r="2389">
      <c r="A2389" s="10" t="s">
        <v>2176</v>
      </c>
      <c r="B2389" s="11">
        <v>100.0</v>
      </c>
      <c r="C2389" s="12" t="s">
        <v>634</v>
      </c>
      <c r="E2389" s="8" t="str">
        <f>IFERROR(__xludf.DUMMYFUNCTION("SPLIT(A2389,""TX"")"),"Aisner, Robert
27 Edge Hill Drive
Dallas, ")</f>
        <v>Aisner, Robert
27 Edge Hill Drive
Dallas, </v>
      </c>
      <c r="F2389" s="8">
        <f>IFERROR(__xludf.DUMMYFUNCTION("""COMPUTED_VALUE"""),75248.0)</f>
        <v>75248</v>
      </c>
      <c r="I2389" s="8">
        <f t="shared" si="25"/>
        <v>75248</v>
      </c>
      <c r="J2389" s="9">
        <f>IFERROR(__xludf.DUMMYFUNCTION("SPLIT(I2389,""-"")"),75248.0)</f>
        <v>75248</v>
      </c>
    </row>
    <row r="2390">
      <c r="A2390" s="10" t="s">
        <v>2177</v>
      </c>
      <c r="B2390" s="11">
        <v>500.0</v>
      </c>
      <c r="C2390" s="12" t="s">
        <v>634</v>
      </c>
      <c r="E2390" s="8" t="str">
        <f>IFERROR(__xludf.DUMMYFUNCTION("SPLIT(A2390,""TX"")"),"Umholtz, Lisa
7336 Hill Forest Drive
Dallas, ")</f>
        <v>Umholtz, Lisa
7336 Hill Forest Drive
Dallas, </v>
      </c>
      <c r="F2390" s="8">
        <f>IFERROR(__xludf.DUMMYFUNCTION("""COMPUTED_VALUE"""),75230.0)</f>
        <v>75230</v>
      </c>
      <c r="I2390" s="8">
        <f t="shared" si="25"/>
        <v>75230</v>
      </c>
      <c r="J2390" s="9">
        <f>IFERROR(__xludf.DUMMYFUNCTION("SPLIT(I2390,""-"")"),75230.0)</f>
        <v>75230</v>
      </c>
    </row>
    <row r="2391">
      <c r="A2391" s="10" t="s">
        <v>1219</v>
      </c>
      <c r="B2391" s="11">
        <v>100.0</v>
      </c>
      <c r="C2391" s="12" t="s">
        <v>634</v>
      </c>
      <c r="E2391" s="8" t="str">
        <f>IFERROR(__xludf.DUMMYFUNCTION("SPLIT(A2391,""TX"")"),"Duplantis, Kandi
5202 Harbor ")</f>
        <v>Duplantis, Kandi
5202 Harbor </v>
      </c>
      <c r="F2391" s="8" t="str">
        <f>IFERROR(__xludf.DUMMYFUNCTION("""COMPUTED_VALUE"""),"own Dr
Dallas, ")</f>
        <v>own Dr
Dallas, </v>
      </c>
      <c r="G2391" s="8">
        <f>IFERROR(__xludf.DUMMYFUNCTION("""COMPUTED_VALUE"""),75287.0)</f>
        <v>75287</v>
      </c>
      <c r="I2391" s="8">
        <f t="shared" si="25"/>
        <v>75287</v>
      </c>
      <c r="J2391" s="9">
        <f>IFERROR(__xludf.DUMMYFUNCTION("SPLIT(I2391,""-"")"),75287.0)</f>
        <v>75287</v>
      </c>
    </row>
    <row r="2392">
      <c r="A2392" s="10" t="s">
        <v>2178</v>
      </c>
      <c r="B2392" s="11">
        <v>100.0</v>
      </c>
      <c r="C2392" s="12" t="s">
        <v>634</v>
      </c>
      <c r="E2392" s="8" t="str">
        <f>IFERROR(__xludf.DUMMYFUNCTION("SPLIT(A2392,""TX"")"),"Jordan, Cris
4843 Junius Street
Dallas, ")</f>
        <v>Jordan, Cris
4843 Junius Street
Dallas, </v>
      </c>
      <c r="F2392" s="8">
        <f>IFERROR(__xludf.DUMMYFUNCTION("""COMPUTED_VALUE"""),75246.0)</f>
        <v>75246</v>
      </c>
      <c r="I2392" s="8">
        <f t="shared" si="25"/>
        <v>75246</v>
      </c>
      <c r="J2392" s="9">
        <f>IFERROR(__xludf.DUMMYFUNCTION("SPLIT(I2392,""-"")"),75246.0)</f>
        <v>75246</v>
      </c>
    </row>
    <row r="2393">
      <c r="A2393" s="10" t="s">
        <v>2179</v>
      </c>
      <c r="B2393" s="11">
        <v>250.0</v>
      </c>
      <c r="C2393" s="12" t="s">
        <v>634</v>
      </c>
      <c r="E2393" s="8" t="str">
        <f>IFERROR(__xludf.DUMMYFUNCTION("SPLIT(A2393,""TX"")"),"Greif, Lizzy
6532 Longfellow Drive
Dallas, ")</f>
        <v>Greif, Lizzy
6532 Longfellow Drive
Dallas, </v>
      </c>
      <c r="F2393" s="8">
        <f>IFERROR(__xludf.DUMMYFUNCTION("""COMPUTED_VALUE"""),75230.0)</f>
        <v>75230</v>
      </c>
      <c r="I2393" s="8">
        <f t="shared" si="25"/>
        <v>75230</v>
      </c>
      <c r="J2393" s="9">
        <f>IFERROR(__xludf.DUMMYFUNCTION("SPLIT(I2393,""-"")"),75230.0)</f>
        <v>75230</v>
      </c>
    </row>
    <row r="2394">
      <c r="A2394" s="10" t="s">
        <v>2180</v>
      </c>
      <c r="B2394" s="11">
        <v>100.0</v>
      </c>
      <c r="C2394" s="12" t="s">
        <v>634</v>
      </c>
      <c r="E2394" s="8" t="str">
        <f>IFERROR(__xludf.DUMMYFUNCTION("SPLIT(A2394,""TX"")"),"Chafetz, Paul
12006 De Or
Dallas, ")</f>
        <v>Chafetz, Paul
12006 De Or
Dallas, </v>
      </c>
      <c r="F2394" s="8">
        <f>IFERROR(__xludf.DUMMYFUNCTION("""COMPUTED_VALUE"""),75230.0)</f>
        <v>75230</v>
      </c>
      <c r="I2394" s="8">
        <f t="shared" si="25"/>
        <v>75230</v>
      </c>
      <c r="J2394" s="9">
        <f>IFERROR(__xludf.DUMMYFUNCTION("SPLIT(I2394,""-"")"),75230.0)</f>
        <v>75230</v>
      </c>
    </row>
    <row r="2395">
      <c r="A2395" s="10" t="s">
        <v>2181</v>
      </c>
      <c r="B2395" s="11">
        <v>100.0</v>
      </c>
      <c r="C2395" s="12" t="s">
        <v>634</v>
      </c>
      <c r="E2395" s="8" t="str">
        <f>IFERROR(__xludf.DUMMYFUNCTION("SPLIT(A2395,""TX"")"),"Palmer, Wendy
7715 Midbury Drive
Dallas, ")</f>
        <v>Palmer, Wendy
7715 Midbury Drive
Dallas, </v>
      </c>
      <c r="F2395" s="8">
        <f>IFERROR(__xludf.DUMMYFUNCTION("""COMPUTED_VALUE"""),75230.0)</f>
        <v>75230</v>
      </c>
      <c r="I2395" s="8">
        <f t="shared" si="25"/>
        <v>75230</v>
      </c>
      <c r="J2395" s="9">
        <f>IFERROR(__xludf.DUMMYFUNCTION("SPLIT(I2395,""-"")"),75230.0)</f>
        <v>75230</v>
      </c>
    </row>
    <row r="2396">
      <c r="A2396" s="10" t="s">
        <v>2182</v>
      </c>
      <c r="B2396" s="11">
        <v>1000.0</v>
      </c>
      <c r="C2396" s="12" t="s">
        <v>634</v>
      </c>
      <c r="E2396" s="8" t="str">
        <f>IFERROR(__xludf.DUMMYFUNCTION("SPLIT(A2396,""TX"")"),"Jacobsen, Jack
7431 Yamini Dr
Dallas, ")</f>
        <v>Jacobsen, Jack
7431 Yamini Dr
Dallas, </v>
      </c>
      <c r="F2396" s="8">
        <f>IFERROR(__xludf.DUMMYFUNCTION("""COMPUTED_VALUE"""),75230.0)</f>
        <v>75230</v>
      </c>
      <c r="I2396" s="8">
        <f t="shared" si="25"/>
        <v>75230</v>
      </c>
      <c r="J2396" s="9">
        <f>IFERROR(__xludf.DUMMYFUNCTION("SPLIT(I2396,""-"")"),75230.0)</f>
        <v>75230</v>
      </c>
    </row>
    <row r="2397">
      <c r="A2397" s="10" t="s">
        <v>2183</v>
      </c>
      <c r="B2397" s="11">
        <v>18.0</v>
      </c>
      <c r="C2397" s="12" t="s">
        <v>634</v>
      </c>
      <c r="E2397" s="8" t="str">
        <f>IFERROR(__xludf.DUMMYFUNCTION("SPLIT(A2397,""TX"")"),"Fried, Randall
6263 Prestoncrest Ln
Dallas, ")</f>
        <v>Fried, Randall
6263 Prestoncrest Ln
Dallas, </v>
      </c>
      <c r="F2397" s="8">
        <f>IFERROR(__xludf.DUMMYFUNCTION("""COMPUTED_VALUE"""),75230.0)</f>
        <v>75230</v>
      </c>
      <c r="I2397" s="8">
        <f t="shared" si="25"/>
        <v>75230</v>
      </c>
      <c r="J2397" s="9">
        <f>IFERROR(__xludf.DUMMYFUNCTION("SPLIT(I2397,""-"")"),75230.0)</f>
        <v>75230</v>
      </c>
    </row>
    <row r="2398">
      <c r="A2398" s="10" t="s">
        <v>2184</v>
      </c>
      <c r="B2398" s="11">
        <v>100.0</v>
      </c>
      <c r="C2398" s="12" t="s">
        <v>634</v>
      </c>
      <c r="E2398" s="8" t="str">
        <f>IFERROR(__xludf.DUMMYFUNCTION("SPLIT(A2398,""TX"")"),"Cohen, Howard
13209 Roaring Springs Lane
Dallas, ")</f>
        <v>Cohen, Howard
13209 Roaring Springs Lane
Dallas, </v>
      </c>
      <c r="F2398" s="8">
        <f>IFERROR(__xludf.DUMMYFUNCTION("""COMPUTED_VALUE"""),75240.0)</f>
        <v>75240</v>
      </c>
      <c r="I2398" s="8">
        <f t="shared" si="25"/>
        <v>75240</v>
      </c>
      <c r="J2398" s="9">
        <f>IFERROR(__xludf.DUMMYFUNCTION("SPLIT(I2398,""-"")"),75240.0)</f>
        <v>75240</v>
      </c>
    </row>
    <row r="2399">
      <c r="A2399" s="10" t="s">
        <v>2185</v>
      </c>
      <c r="B2399" s="11">
        <v>25.0</v>
      </c>
      <c r="C2399" s="12" t="s">
        <v>634</v>
      </c>
      <c r="E2399" s="8" t="str">
        <f>IFERROR(__xludf.DUMMYFUNCTION("SPLIT(A2399,""TX"")"),"Lecca, Gina
5200 Keller Springs Rd
Dallas, ")</f>
        <v>Lecca, Gina
5200 Keller Springs Rd
Dallas, </v>
      </c>
      <c r="F2399" s="8">
        <f>IFERROR(__xludf.DUMMYFUNCTION("""COMPUTED_VALUE"""),75248.0)</f>
        <v>75248</v>
      </c>
      <c r="I2399" s="8">
        <f t="shared" si="25"/>
        <v>75248</v>
      </c>
      <c r="J2399" s="9">
        <f>IFERROR(__xludf.DUMMYFUNCTION("SPLIT(I2399,""-"")"),75248.0)</f>
        <v>75248</v>
      </c>
    </row>
    <row r="2400">
      <c r="A2400" s="10" t="s">
        <v>2186</v>
      </c>
      <c r="B2400" s="11">
        <v>100.0</v>
      </c>
      <c r="C2400" s="12" t="s">
        <v>634</v>
      </c>
      <c r="E2400" s="8" t="str">
        <f>IFERROR(__xludf.DUMMYFUNCTION("SPLIT(A2400,""TX"")"),"Fritts, Jeff
14108 Regency Place
Dallas, ")</f>
        <v>Fritts, Jeff
14108 Regency Place
Dallas, </v>
      </c>
      <c r="F2400" s="8">
        <f>IFERROR(__xludf.DUMMYFUNCTION("""COMPUTED_VALUE"""),75254.0)</f>
        <v>75254</v>
      </c>
      <c r="I2400" s="8">
        <f t="shared" si="25"/>
        <v>75254</v>
      </c>
      <c r="J2400" s="9">
        <f>IFERROR(__xludf.DUMMYFUNCTION("SPLIT(I2400,""-"")"),75254.0)</f>
        <v>75254</v>
      </c>
    </row>
    <row r="2401">
      <c r="A2401" s="10" t="s">
        <v>2187</v>
      </c>
      <c r="B2401" s="11">
        <v>500.0</v>
      </c>
      <c r="C2401" s="12" t="s">
        <v>634</v>
      </c>
      <c r="E2401" s="8" t="str">
        <f>IFERROR(__xludf.DUMMYFUNCTION("SPLIT(A2401,""TX"")"),"Gallant, Ann
7231 Northaven Road
Dallas, ")</f>
        <v>Gallant, Ann
7231 Northaven Road
Dallas, </v>
      </c>
      <c r="F2401" s="8">
        <f>IFERROR(__xludf.DUMMYFUNCTION("""COMPUTED_VALUE"""),75230.0)</f>
        <v>75230</v>
      </c>
      <c r="I2401" s="8">
        <f t="shared" si="25"/>
        <v>75230</v>
      </c>
      <c r="J2401" s="9">
        <f>IFERROR(__xludf.DUMMYFUNCTION("SPLIT(I2401,""-"")"),75230.0)</f>
        <v>75230</v>
      </c>
    </row>
    <row r="2402">
      <c r="A2402" s="10" t="s">
        <v>2188</v>
      </c>
      <c r="B2402" s="11">
        <v>100.0</v>
      </c>
      <c r="C2402" s="12" t="s">
        <v>634</v>
      </c>
      <c r="E2402" s="8" t="str">
        <f>IFERROR(__xludf.DUMMYFUNCTION("SPLIT(A2402,""TX"")"),"Deitsch-Perez, Deborah
7207 Azalea Lane
Dallas, ")</f>
        <v>Deitsch-Perez, Deborah
7207 Azalea Lane
Dallas, </v>
      </c>
      <c r="F2402" s="8">
        <f>IFERROR(__xludf.DUMMYFUNCTION("""COMPUTED_VALUE"""),75230.0)</f>
        <v>75230</v>
      </c>
      <c r="I2402" s="8">
        <f t="shared" si="25"/>
        <v>75230</v>
      </c>
      <c r="J2402" s="9">
        <f>IFERROR(__xludf.DUMMYFUNCTION("SPLIT(I2402,""-"")"),75230.0)</f>
        <v>75230</v>
      </c>
    </row>
    <row r="2403">
      <c r="A2403" s="10" t="s">
        <v>2189</v>
      </c>
      <c r="B2403" s="11">
        <v>500.0</v>
      </c>
      <c r="C2403" s="12" t="s">
        <v>634</v>
      </c>
      <c r="E2403" s="8" t="str">
        <f>IFERROR(__xludf.DUMMYFUNCTION("SPLIT(A2403,""TX"")"),"Sims, Mike
6121 Lavendale Ave
Dallas, ")</f>
        <v>Sims, Mike
6121 Lavendale Ave
Dallas, </v>
      </c>
      <c r="F2403" s="8">
        <f>IFERROR(__xludf.DUMMYFUNCTION("""COMPUTED_VALUE"""),75230.0)</f>
        <v>75230</v>
      </c>
      <c r="I2403" s="8">
        <f t="shared" si="25"/>
        <v>75230</v>
      </c>
      <c r="J2403" s="9">
        <f>IFERROR(__xludf.DUMMYFUNCTION("SPLIT(I2403,""-"")"),75230.0)</f>
        <v>75230</v>
      </c>
    </row>
    <row r="2404">
      <c r="A2404" s="10" t="s">
        <v>898</v>
      </c>
      <c r="B2404" s="11">
        <v>100.0</v>
      </c>
      <c r="C2404" s="12" t="s">
        <v>634</v>
      </c>
      <c r="E2404" s="8" t="str">
        <f>IFERROR(__xludf.DUMMYFUNCTION("SPLIT(A2404,""TX"")"),"Weber, Angela
6007 Meadow Crest Drive
Dallas, ")</f>
        <v>Weber, Angela
6007 Meadow Crest Drive
Dallas, </v>
      </c>
      <c r="F2404" s="8">
        <f>IFERROR(__xludf.DUMMYFUNCTION("""COMPUTED_VALUE"""),75230.0)</f>
        <v>75230</v>
      </c>
      <c r="I2404" s="8">
        <f t="shared" si="25"/>
        <v>75230</v>
      </c>
      <c r="J2404" s="9">
        <f>IFERROR(__xludf.DUMMYFUNCTION("SPLIT(I2404,""-"")"),75230.0)</f>
        <v>75230</v>
      </c>
    </row>
    <row r="2405">
      <c r="A2405" s="10" t="s">
        <v>2190</v>
      </c>
      <c r="B2405" s="11">
        <v>100.0</v>
      </c>
      <c r="C2405" s="12" t="s">
        <v>634</v>
      </c>
      <c r="E2405" s="8" t="str">
        <f>IFERROR(__xludf.DUMMYFUNCTION("SPLIT(A2405,""TX"")"),"Bennett, Dottie
3405 Rustic Way Lane
Falls Church, VA 22044")</f>
        <v>Bennett, Dottie
3405 Rustic Way Lane
Falls Church, VA 22044</v>
      </c>
      <c r="I2405" s="8" t="str">
        <f t="shared" si="25"/>
        <v/>
      </c>
      <c r="J2405" s="9" t="str">
        <f>IFERROR(__xludf.DUMMYFUNCTION("SPLIT(I2405,""-"")"),"#VALUE!")</f>
        <v>#VALUE!</v>
      </c>
    </row>
    <row r="2406">
      <c r="A2406" s="10" t="s">
        <v>2191</v>
      </c>
      <c r="B2406" s="11">
        <v>50.0</v>
      </c>
      <c r="C2406" s="12" t="s">
        <v>634</v>
      </c>
      <c r="E2406" s="8" t="str">
        <f>IFERROR(__xludf.DUMMYFUNCTION("SPLIT(A2406,""TX"")"),"Pogson, Anne
12112 ")</f>
        <v>Pogson, Anne
12112 </v>
      </c>
      <c r="F2406" s="8" t="str">
        <f>IFERROR(__xludf.DUMMYFUNCTION("""COMPUTED_VALUE"""),"almay Drive
Dallas, ")</f>
        <v>almay Drive
Dallas, </v>
      </c>
      <c r="G2406" s="8">
        <f>IFERROR(__xludf.DUMMYFUNCTION("""COMPUTED_VALUE"""),75230.0)</f>
        <v>75230</v>
      </c>
      <c r="I2406" s="8">
        <f t="shared" si="25"/>
        <v>75230</v>
      </c>
      <c r="J2406" s="9">
        <f>IFERROR(__xludf.DUMMYFUNCTION("SPLIT(I2406,""-"")"),75230.0)</f>
        <v>75230</v>
      </c>
    </row>
    <row r="2407">
      <c r="A2407" s="10" t="s">
        <v>2192</v>
      </c>
      <c r="B2407" s="11">
        <v>25.0</v>
      </c>
      <c r="C2407" s="12" t="s">
        <v>634</v>
      </c>
      <c r="E2407" s="8" t="str">
        <f>IFERROR(__xludf.DUMMYFUNCTION("SPLIT(A2407,""TX"")"),"Leibs, Arlene
11607 St Michaels Dr
Dallas, ")</f>
        <v>Leibs, Arlene
11607 St Michaels Dr
Dallas, </v>
      </c>
      <c r="F2407" s="8">
        <f>IFERROR(__xludf.DUMMYFUNCTION("""COMPUTED_VALUE"""),75035.0)</f>
        <v>75035</v>
      </c>
      <c r="I2407" s="8">
        <f t="shared" si="25"/>
        <v>75035</v>
      </c>
      <c r="J2407" s="9">
        <f>IFERROR(__xludf.DUMMYFUNCTION("SPLIT(I2407,""-"")"),75035.0)</f>
        <v>75035</v>
      </c>
    </row>
    <row r="2408">
      <c r="A2408" s="10" t="s">
        <v>2193</v>
      </c>
      <c r="B2408" s="11">
        <v>500.0</v>
      </c>
      <c r="C2408" s="12" t="s">
        <v>634</v>
      </c>
      <c r="E2408" s="8" t="str">
        <f>IFERROR(__xludf.DUMMYFUNCTION("SPLIT(A2408,""TX"")"),"Cedars, Leonard
12135 Madeleine Circle
Dallas, ")</f>
        <v>Cedars, Leonard
12135 Madeleine Circle
Dallas, </v>
      </c>
      <c r="F2408" s="8">
        <f>IFERROR(__xludf.DUMMYFUNCTION("""COMPUTED_VALUE"""),75230.0)</f>
        <v>75230</v>
      </c>
      <c r="I2408" s="8">
        <f t="shared" si="25"/>
        <v>75230</v>
      </c>
      <c r="J2408" s="9">
        <f>IFERROR(__xludf.DUMMYFUNCTION("SPLIT(I2408,""-"")"),75230.0)</f>
        <v>75230</v>
      </c>
    </row>
    <row r="2409">
      <c r="A2409" s="10" t="s">
        <v>2194</v>
      </c>
      <c r="B2409" s="11">
        <v>25.0</v>
      </c>
      <c r="C2409" s="12" t="s">
        <v>634</v>
      </c>
      <c r="E2409" s="8" t="str">
        <f>IFERROR(__xludf.DUMMYFUNCTION("SPLIT(A2409,""TX"")"),"Meltzer, Hedy
13345 Peyton Drive
Dallas, ")</f>
        <v>Meltzer, Hedy
13345 Peyton Drive
Dallas, </v>
      </c>
      <c r="F2409" s="8">
        <f>IFERROR(__xludf.DUMMYFUNCTION("""COMPUTED_VALUE"""),75240.0)</f>
        <v>75240</v>
      </c>
      <c r="I2409" s="8">
        <f t="shared" si="25"/>
        <v>75240</v>
      </c>
      <c r="J2409" s="9">
        <f>IFERROR(__xludf.DUMMYFUNCTION("SPLIT(I2409,""-"")"),75240.0)</f>
        <v>75240</v>
      </c>
    </row>
    <row r="2410">
      <c r="A2410" s="10" t="s">
        <v>2195</v>
      </c>
      <c r="B2410" s="11">
        <v>100.0</v>
      </c>
      <c r="C2410" s="12" t="s">
        <v>634</v>
      </c>
      <c r="E2410" s="8" t="str">
        <f>IFERROR(__xludf.DUMMYFUNCTION("SPLIT(A2410,""TX"")"),"Romaner, Carla
2902 Victoria Circle
Coconut Creek, FL 33066")</f>
        <v>Romaner, Carla
2902 Victoria Circle
Coconut Creek, FL 33066</v>
      </c>
      <c r="I2410" s="8" t="str">
        <f t="shared" si="25"/>
        <v/>
      </c>
      <c r="J2410" s="9" t="str">
        <f>IFERROR(__xludf.DUMMYFUNCTION("SPLIT(I2410,""-"")"),"#VALUE!")</f>
        <v>#VALUE!</v>
      </c>
    </row>
    <row r="2411">
      <c r="A2411" s="10" t="s">
        <v>882</v>
      </c>
      <c r="B2411" s="11">
        <v>250.0</v>
      </c>
      <c r="C2411" s="12" t="s">
        <v>634</v>
      </c>
      <c r="E2411" s="8" t="str">
        <f>IFERROR(__xludf.DUMMYFUNCTION("SPLIT(A2411,""TX"")"),"Steinberg, Larry
PO Box 12670
Dallas, ")</f>
        <v>Steinberg, Larry
PO Box 12670
Dallas, </v>
      </c>
      <c r="F2411" s="8">
        <f>IFERROR(__xludf.DUMMYFUNCTION("""COMPUTED_VALUE"""),75225.0)</f>
        <v>75225</v>
      </c>
      <c r="I2411" s="8">
        <f t="shared" si="25"/>
        <v>75225</v>
      </c>
      <c r="J2411" s="9">
        <f>IFERROR(__xludf.DUMMYFUNCTION("SPLIT(I2411,""-"")"),75225.0)</f>
        <v>75225</v>
      </c>
    </row>
    <row r="2412">
      <c r="A2412" s="10" t="s">
        <v>2137</v>
      </c>
      <c r="B2412" s="11">
        <v>250.0</v>
      </c>
      <c r="C2412" s="12" t="s">
        <v>634</v>
      </c>
      <c r="E2412" s="8" t="str">
        <f>IFERROR(__xludf.DUMMYFUNCTION("SPLIT(A2412,""TX"")"),"Whitman Bobbitt, Jeanne
4500 Roland Ave
Dallas, ")</f>
        <v>Whitman Bobbitt, Jeanne
4500 Roland Ave
Dallas, </v>
      </c>
      <c r="F2412" s="8">
        <f>IFERROR(__xludf.DUMMYFUNCTION("""COMPUTED_VALUE"""),75219.0)</f>
        <v>75219</v>
      </c>
      <c r="I2412" s="8">
        <f t="shared" si="25"/>
        <v>75219</v>
      </c>
      <c r="J2412" s="9">
        <f>IFERROR(__xludf.DUMMYFUNCTION("SPLIT(I2412,""-"")"),75219.0)</f>
        <v>75219</v>
      </c>
    </row>
    <row r="2413">
      <c r="A2413" s="10" t="s">
        <v>2196</v>
      </c>
      <c r="B2413" s="11">
        <v>100.0</v>
      </c>
      <c r="C2413" s="12" t="s">
        <v>634</v>
      </c>
      <c r="E2413" s="8" t="str">
        <f>IFERROR(__xludf.DUMMYFUNCTION("SPLIT(A2413,""TX"")"),"Radoff, Michael
16814 ")</f>
        <v>Radoff, Michael
16814 </v>
      </c>
      <c r="F2413" s="8" t="str">
        <f>IFERROR(__xludf.DUMMYFUNCTION("""COMPUTED_VALUE"""),"homas Chapel Drive
Dallas, ")</f>
        <v>homas Chapel Drive
Dallas, </v>
      </c>
      <c r="G2413" s="8">
        <f>IFERROR(__xludf.DUMMYFUNCTION("""COMPUTED_VALUE"""),75248.0)</f>
        <v>75248</v>
      </c>
      <c r="I2413" s="8">
        <f t="shared" si="25"/>
        <v>75248</v>
      </c>
      <c r="J2413" s="9">
        <f>IFERROR(__xludf.DUMMYFUNCTION("SPLIT(I2413,""-"")"),75248.0)</f>
        <v>75248</v>
      </c>
    </row>
    <row r="2414">
      <c r="A2414" s="10" t="s">
        <v>2197</v>
      </c>
      <c r="B2414" s="11">
        <v>1000.0</v>
      </c>
      <c r="C2414" s="12" t="s">
        <v>634</v>
      </c>
      <c r="E2414" s="8" t="str">
        <f>IFERROR(__xludf.DUMMYFUNCTION("SPLIT(A2414,""TX"")"),"Korenvaes, Harlan
5423 Park Lane
Dallas, ")</f>
        <v>Korenvaes, Harlan
5423 Park Lane
Dallas, </v>
      </c>
      <c r="F2414" s="8">
        <f>IFERROR(__xludf.DUMMYFUNCTION("""COMPUTED_VALUE"""),75220.0)</f>
        <v>75220</v>
      </c>
      <c r="I2414" s="8">
        <f t="shared" si="25"/>
        <v>75220</v>
      </c>
      <c r="J2414" s="9">
        <f>IFERROR(__xludf.DUMMYFUNCTION("SPLIT(I2414,""-"")"),75220.0)</f>
        <v>75220</v>
      </c>
    </row>
    <row r="2415">
      <c r="A2415" s="10" t="s">
        <v>2198</v>
      </c>
      <c r="B2415" s="11">
        <v>1000.0</v>
      </c>
      <c r="C2415" s="12" t="s">
        <v>634</v>
      </c>
      <c r="E2415" s="8" t="str">
        <f>IFERROR(__xludf.DUMMYFUNCTION("SPLIT(A2415,""TX"")"),"Raffkind, Eliot
6527 Westgate Drive
Dallas, ")</f>
        <v>Raffkind, Eliot
6527 Westgate Drive
Dallas, </v>
      </c>
      <c r="F2415" s="8">
        <f>IFERROR(__xludf.DUMMYFUNCTION("""COMPUTED_VALUE"""),75254.0)</f>
        <v>75254</v>
      </c>
      <c r="I2415" s="8">
        <f t="shared" si="25"/>
        <v>75254</v>
      </c>
      <c r="J2415" s="9">
        <f>IFERROR(__xludf.DUMMYFUNCTION("SPLIT(I2415,""-"")"),75254.0)</f>
        <v>75254</v>
      </c>
    </row>
    <row r="2416">
      <c r="A2416" s="10" t="s">
        <v>2199</v>
      </c>
      <c r="B2416" s="11">
        <v>500.0</v>
      </c>
      <c r="C2416" s="12" t="s">
        <v>634</v>
      </c>
      <c r="E2416" s="8" t="str">
        <f>IFERROR(__xludf.DUMMYFUNCTION("SPLIT(A2416,""TX"")"),"Brown, Ike
909 Lake Carolyn Parkway
Irving, ")</f>
        <v>Brown, Ike
909 Lake Carolyn Parkway
Irving, </v>
      </c>
      <c r="F2416" s="8">
        <f>IFERROR(__xludf.DUMMYFUNCTION("""COMPUTED_VALUE"""),75039.0)</f>
        <v>75039</v>
      </c>
      <c r="I2416" s="8">
        <f t="shared" si="25"/>
        <v>75039</v>
      </c>
      <c r="J2416" s="9">
        <f>IFERROR(__xludf.DUMMYFUNCTION("SPLIT(I2416,""-"")"),75039.0)</f>
        <v>75039</v>
      </c>
    </row>
    <row r="2417">
      <c r="A2417" s="10" t="s">
        <v>2200</v>
      </c>
      <c r="B2417" s="11">
        <v>100.0</v>
      </c>
      <c r="C2417" s="12" t="s">
        <v>634</v>
      </c>
      <c r="E2417" s="8" t="str">
        <f>IFERROR(__xludf.DUMMYFUNCTION("SPLIT(A2417,""TX"")"),"Finkelstein, Bill
11711 Parwen Drive
Dallas, ")</f>
        <v>Finkelstein, Bill
11711 Parwen Drive
Dallas, </v>
      </c>
      <c r="F2417" s="8">
        <f>IFERROR(__xludf.DUMMYFUNCTION("""COMPUTED_VALUE"""),75230.0)</f>
        <v>75230</v>
      </c>
      <c r="I2417" s="8">
        <f t="shared" si="25"/>
        <v>75230</v>
      </c>
      <c r="J2417" s="9">
        <f>IFERROR(__xludf.DUMMYFUNCTION("SPLIT(I2417,""-"")"),75230.0)</f>
        <v>75230</v>
      </c>
    </row>
    <row r="2418">
      <c r="A2418" s="10" t="s">
        <v>2201</v>
      </c>
      <c r="B2418" s="11">
        <v>100.0</v>
      </c>
      <c r="C2418" s="12" t="s">
        <v>634</v>
      </c>
      <c r="E2418" s="8" t="str">
        <f>IFERROR(__xludf.DUMMYFUNCTION("SPLIT(A2418,""TX"")"),"Scofield, Paula
21 Ashton Court
Dallas, ")</f>
        <v>Scofield, Paula
21 Ashton Court
Dallas, </v>
      </c>
      <c r="F2418" s="8">
        <f>IFERROR(__xludf.DUMMYFUNCTION("""COMPUTED_VALUE"""),75230.0)</f>
        <v>75230</v>
      </c>
      <c r="I2418" s="8">
        <f t="shared" si="25"/>
        <v>75230</v>
      </c>
      <c r="J2418" s="9">
        <f>IFERROR(__xludf.DUMMYFUNCTION("SPLIT(I2418,""-"")"),75230.0)</f>
        <v>75230</v>
      </c>
    </row>
    <row r="2419">
      <c r="A2419" s="10" t="s">
        <v>905</v>
      </c>
      <c r="B2419" s="11">
        <v>100.0</v>
      </c>
      <c r="C2419" s="12" t="s">
        <v>634</v>
      </c>
      <c r="E2419" s="8" t="str">
        <f>IFERROR(__xludf.DUMMYFUNCTION("SPLIT(A2419,""TX"")"),"Willard, Carolyn
7132 Helsem Bend Circle
Dallas, ")</f>
        <v>Willard, Carolyn
7132 Helsem Bend Circle
Dallas, </v>
      </c>
      <c r="F2419" s="8">
        <f>IFERROR(__xludf.DUMMYFUNCTION("""COMPUTED_VALUE"""),75230.0)</f>
        <v>75230</v>
      </c>
      <c r="I2419" s="8">
        <f t="shared" si="25"/>
        <v>75230</v>
      </c>
      <c r="J2419" s="9">
        <f>IFERROR(__xludf.DUMMYFUNCTION("SPLIT(I2419,""-"")"),75230.0)</f>
        <v>75230</v>
      </c>
    </row>
    <row r="2420">
      <c r="A2420" s="10" t="s">
        <v>876</v>
      </c>
      <c r="B2420" s="11">
        <v>50.0</v>
      </c>
      <c r="C2420" s="12" t="s">
        <v>634</v>
      </c>
      <c r="E2420" s="8" t="str">
        <f>IFERROR(__xludf.DUMMYFUNCTION("SPLIT(A2420,""TX"")"),"Schneider, Kathy
14125 Brookridge Circle
Dallas, ")</f>
        <v>Schneider, Kathy
14125 Brookridge Circle
Dallas, </v>
      </c>
      <c r="F2420" s="8">
        <f>IFERROR(__xludf.DUMMYFUNCTION("""COMPUTED_VALUE"""),75254.0)</f>
        <v>75254</v>
      </c>
      <c r="I2420" s="8">
        <f t="shared" si="25"/>
        <v>75254</v>
      </c>
      <c r="J2420" s="9">
        <f>IFERROR(__xludf.DUMMYFUNCTION("SPLIT(I2420,""-"")"),75254.0)</f>
        <v>75254</v>
      </c>
    </row>
    <row r="2421">
      <c r="A2421" s="10" t="s">
        <v>2202</v>
      </c>
      <c r="B2421" s="11">
        <v>100.0</v>
      </c>
      <c r="C2421" s="12" t="s">
        <v>634</v>
      </c>
      <c r="E2421" s="8" t="str">
        <f>IFERROR(__xludf.DUMMYFUNCTION("SPLIT(A2421,""TX"")"),"Glazer, Barbara
5665 Arapaho Rd
Dallas, ")</f>
        <v>Glazer, Barbara
5665 Arapaho Rd
Dallas, </v>
      </c>
      <c r="F2421" s="8">
        <f>IFERROR(__xludf.DUMMYFUNCTION("""COMPUTED_VALUE"""),75248.0)</f>
        <v>75248</v>
      </c>
      <c r="I2421" s="8">
        <f t="shared" si="25"/>
        <v>75248</v>
      </c>
      <c r="J2421" s="9">
        <f>IFERROR(__xludf.DUMMYFUNCTION("SPLIT(I2421,""-"")"),75248.0)</f>
        <v>75248</v>
      </c>
    </row>
    <row r="2422">
      <c r="A2422" s="10" t="s">
        <v>2203</v>
      </c>
      <c r="B2422" s="11">
        <v>50.0</v>
      </c>
      <c r="C2422" s="12" t="s">
        <v>634</v>
      </c>
      <c r="E2422" s="8" t="str">
        <f>IFERROR(__xludf.DUMMYFUNCTION("SPLIT(A2422,""TX"")"),"Suffness, Dorit
6961 Brookshire Dr
Dallas, ")</f>
        <v>Suffness, Dorit
6961 Brookshire Dr
Dallas, </v>
      </c>
      <c r="F2422" s="8">
        <f>IFERROR(__xludf.DUMMYFUNCTION("""COMPUTED_VALUE"""),75230.0)</f>
        <v>75230</v>
      </c>
      <c r="I2422" s="8">
        <f t="shared" si="25"/>
        <v>75230</v>
      </c>
      <c r="J2422" s="9">
        <f>IFERROR(__xludf.DUMMYFUNCTION("SPLIT(I2422,""-"")"),75230.0)</f>
        <v>75230</v>
      </c>
    </row>
    <row r="2423">
      <c r="A2423" s="10" t="s">
        <v>1924</v>
      </c>
      <c r="B2423" s="11">
        <v>250.0</v>
      </c>
      <c r="C2423" s="12" t="s">
        <v>634</v>
      </c>
      <c r="E2423" s="8" t="str">
        <f>IFERROR(__xludf.DUMMYFUNCTION("SPLIT(A2423,""TX"")"),"arpley, Gloria
8378 Forest Hills Blvd
Dallas, ")</f>
        <v>arpley, Gloria
8378 Forest Hills Blvd
Dallas, </v>
      </c>
      <c r="F2423" s="8">
        <f>IFERROR(__xludf.DUMMYFUNCTION("""COMPUTED_VALUE"""),75218.0)</f>
        <v>75218</v>
      </c>
      <c r="I2423" s="8">
        <f t="shared" si="25"/>
        <v>75218</v>
      </c>
      <c r="J2423" s="9">
        <f>IFERROR(__xludf.DUMMYFUNCTION("SPLIT(I2423,""-"")"),75218.0)</f>
        <v>75218</v>
      </c>
    </row>
    <row r="2424">
      <c r="A2424" s="10" t="s">
        <v>2204</v>
      </c>
      <c r="B2424" s="11">
        <v>100.0</v>
      </c>
      <c r="C2424" s="12" t="s">
        <v>634</v>
      </c>
      <c r="E2424" s="8" t="str">
        <f>IFERROR(__xludf.DUMMYFUNCTION("SPLIT(A2424,""TX"")"),"Suttle, Karen
12526 Sunlight Drive
Dallas, ")</f>
        <v>Suttle, Karen
12526 Sunlight Drive
Dallas, </v>
      </c>
      <c r="F2424" s="8">
        <f>IFERROR(__xludf.DUMMYFUNCTION("""COMPUTED_VALUE"""),75230.0)</f>
        <v>75230</v>
      </c>
      <c r="I2424" s="8">
        <f t="shared" si="25"/>
        <v>75230</v>
      </c>
      <c r="J2424" s="9">
        <f>IFERROR(__xludf.DUMMYFUNCTION("SPLIT(I2424,""-"")"),75230.0)</f>
        <v>75230</v>
      </c>
    </row>
    <row r="2425">
      <c r="A2425" s="10" t="s">
        <v>1220</v>
      </c>
      <c r="B2425" s="11">
        <v>18.0</v>
      </c>
      <c r="C2425" s="12" t="s">
        <v>634</v>
      </c>
      <c r="E2425" s="8" t="str">
        <f>IFERROR(__xludf.DUMMYFUNCTION("SPLIT(A2425,""TX"")"),"Epstein, Bentzi
6107 Prestoncrest Ln
Dallas, ")</f>
        <v>Epstein, Bentzi
6107 Prestoncrest Ln
Dallas, </v>
      </c>
      <c r="F2425" s="8">
        <f>IFERROR(__xludf.DUMMYFUNCTION("""COMPUTED_VALUE"""),75230.0)</f>
        <v>75230</v>
      </c>
      <c r="I2425" s="8">
        <f t="shared" si="25"/>
        <v>75230</v>
      </c>
      <c r="J2425" s="9">
        <f>IFERROR(__xludf.DUMMYFUNCTION("SPLIT(I2425,""-"")"),75230.0)</f>
        <v>75230</v>
      </c>
    </row>
    <row r="2426">
      <c r="A2426" s="10" t="s">
        <v>803</v>
      </c>
      <c r="B2426" s="11">
        <v>50.0</v>
      </c>
      <c r="C2426" s="12" t="s">
        <v>634</v>
      </c>
      <c r="E2426" s="8" t="str">
        <f>IFERROR(__xludf.DUMMYFUNCTION("SPLIT(A2426,""TX"")"),"Griswold, Gail
6305 Northwood Road
Dallas, ")</f>
        <v>Griswold, Gail
6305 Northwood Road
Dallas, </v>
      </c>
      <c r="F2426" s="8">
        <f>IFERROR(__xludf.DUMMYFUNCTION("""COMPUTED_VALUE"""),75225.0)</f>
        <v>75225</v>
      </c>
      <c r="I2426" s="8">
        <f t="shared" si="25"/>
        <v>75225</v>
      </c>
      <c r="J2426" s="9">
        <f>IFERROR(__xludf.DUMMYFUNCTION("SPLIT(I2426,""-"")"),75225.0)</f>
        <v>75225</v>
      </c>
    </row>
    <row r="2427">
      <c r="A2427" s="10" t="s">
        <v>2205</v>
      </c>
      <c r="B2427" s="11">
        <v>50.0</v>
      </c>
      <c r="C2427" s="12" t="s">
        <v>634</v>
      </c>
      <c r="E2427" s="8" t="str">
        <f>IFERROR(__xludf.DUMMYFUNCTION("SPLIT(A2427,""TX"")"),"Marcum, Janet
7714 Maplecrest Drive
Dallas, ")</f>
        <v>Marcum, Janet
7714 Maplecrest Drive
Dallas, </v>
      </c>
      <c r="F2427" s="8">
        <f>IFERROR(__xludf.DUMMYFUNCTION("""COMPUTED_VALUE"""),75254.0)</f>
        <v>75254</v>
      </c>
      <c r="I2427" s="8">
        <f t="shared" si="25"/>
        <v>75254</v>
      </c>
      <c r="J2427" s="9">
        <f>IFERROR(__xludf.DUMMYFUNCTION("SPLIT(I2427,""-"")"),75254.0)</f>
        <v>75254</v>
      </c>
    </row>
    <row r="2428">
      <c r="A2428" s="10" t="s">
        <v>807</v>
      </c>
      <c r="B2428" s="11">
        <v>25.0</v>
      </c>
      <c r="C2428" s="12" t="s">
        <v>634</v>
      </c>
      <c r="E2428" s="8" t="str">
        <f>IFERROR(__xludf.DUMMYFUNCTION("SPLIT(A2428,""TX"")"),"Hebley, Sandi
12304 Shiremont Drive
Dallas, ")</f>
        <v>Hebley, Sandi
12304 Shiremont Drive
Dallas, </v>
      </c>
      <c r="F2428" s="8">
        <f>IFERROR(__xludf.DUMMYFUNCTION("""COMPUTED_VALUE"""),75230.0)</f>
        <v>75230</v>
      </c>
      <c r="I2428" s="8">
        <f t="shared" si="25"/>
        <v>75230</v>
      </c>
      <c r="J2428" s="9">
        <f>IFERROR(__xludf.DUMMYFUNCTION("SPLIT(I2428,""-"")"),75230.0)</f>
        <v>75230</v>
      </c>
    </row>
    <row r="2429">
      <c r="A2429" s="10" t="s">
        <v>2206</v>
      </c>
      <c r="B2429" s="11">
        <v>25.0</v>
      </c>
      <c r="C2429" s="12" t="s">
        <v>634</v>
      </c>
      <c r="E2429" s="8" t="str">
        <f>IFERROR(__xludf.DUMMYFUNCTION("SPLIT(A2429,""TX"")"),"Steinberg, Lindsay
6130 Preston Haven Dr
Dallas, ")</f>
        <v>Steinberg, Lindsay
6130 Preston Haven Dr
Dallas, </v>
      </c>
      <c r="F2429" s="8">
        <f>IFERROR(__xludf.DUMMYFUNCTION("""COMPUTED_VALUE"""),75230.0)</f>
        <v>75230</v>
      </c>
      <c r="I2429" s="8">
        <f t="shared" si="25"/>
        <v>75230</v>
      </c>
      <c r="J2429" s="9">
        <f>IFERROR(__xludf.DUMMYFUNCTION("SPLIT(I2429,""-"")"),75230.0)</f>
        <v>75230</v>
      </c>
    </row>
    <row r="2430">
      <c r="A2430" s="10" t="s">
        <v>2207</v>
      </c>
      <c r="B2430" s="11">
        <v>25.0</v>
      </c>
      <c r="C2430" s="12" t="s">
        <v>634</v>
      </c>
      <c r="E2430" s="8" t="str">
        <f>IFERROR(__xludf.DUMMYFUNCTION("SPLIT(A2430,""TX"")"),"Steinberg, Jeffrey
6130 Preston Haven Dr
Dallas, ")</f>
        <v>Steinberg, Jeffrey
6130 Preston Haven Dr
Dallas, </v>
      </c>
      <c r="F2430" s="8">
        <f>IFERROR(__xludf.DUMMYFUNCTION("""COMPUTED_VALUE"""),75230.0)</f>
        <v>75230</v>
      </c>
      <c r="I2430" s="8">
        <f t="shared" si="25"/>
        <v>75230</v>
      </c>
      <c r="J2430" s="9">
        <f>IFERROR(__xludf.DUMMYFUNCTION("SPLIT(I2430,""-"")"),75230.0)</f>
        <v>75230</v>
      </c>
    </row>
    <row r="2431">
      <c r="A2431" s="10" t="s">
        <v>2208</v>
      </c>
      <c r="B2431" s="11">
        <v>15.0</v>
      </c>
      <c r="C2431" s="12" t="s">
        <v>634</v>
      </c>
      <c r="E2431" s="8" t="str">
        <f>IFERROR(__xludf.DUMMYFUNCTION("SPLIT(A2431,""TX"")"),"Friedman, Colin
5200 Keller Springs Road
Dallas, ")</f>
        <v>Friedman, Colin
5200 Keller Springs Road
Dallas, </v>
      </c>
      <c r="F2431" s="8">
        <f>IFERROR(__xludf.DUMMYFUNCTION("""COMPUTED_VALUE"""),75248.0)</f>
        <v>75248</v>
      </c>
      <c r="I2431" s="8">
        <f t="shared" si="25"/>
        <v>75248</v>
      </c>
      <c r="J2431" s="9">
        <f>IFERROR(__xludf.DUMMYFUNCTION("SPLIT(I2431,""-"")"),75248.0)</f>
        <v>75248</v>
      </c>
    </row>
    <row r="2432">
      <c r="A2432" s="10" t="s">
        <v>997</v>
      </c>
      <c r="B2432" s="11">
        <v>50.0</v>
      </c>
      <c r="C2432" s="12" t="s">
        <v>634</v>
      </c>
      <c r="E2432" s="8" t="str">
        <f>IFERROR(__xludf.DUMMYFUNCTION("SPLIT(A2432,""TX"")"),"Schwope, Kristine
16230 Amberwood Road
Dallas, ")</f>
        <v>Schwope, Kristine
16230 Amberwood Road
Dallas, </v>
      </c>
      <c r="F2432" s="8">
        <f>IFERROR(__xludf.DUMMYFUNCTION("""COMPUTED_VALUE"""),75248.0)</f>
        <v>75248</v>
      </c>
      <c r="I2432" s="8">
        <f t="shared" si="25"/>
        <v>75248</v>
      </c>
      <c r="J2432" s="9">
        <f>IFERROR(__xludf.DUMMYFUNCTION("SPLIT(I2432,""-"")"),75248.0)</f>
        <v>75248</v>
      </c>
    </row>
    <row r="2433">
      <c r="A2433" s="10" t="s">
        <v>2209</v>
      </c>
      <c r="B2433" s="11">
        <v>150.0</v>
      </c>
      <c r="C2433" s="12" t="s">
        <v>634</v>
      </c>
      <c r="E2433" s="8" t="str">
        <f>IFERROR(__xludf.DUMMYFUNCTION("SPLIT(A2433,""TX"")"),"Arbetter, Fonda
4140 Rainsong
Dallas, ")</f>
        <v>Arbetter, Fonda
4140 Rainsong
Dallas, </v>
      </c>
      <c r="F2433" s="8">
        <f>IFERROR(__xludf.DUMMYFUNCTION("""COMPUTED_VALUE"""),75287.0)</f>
        <v>75287</v>
      </c>
      <c r="I2433" s="8">
        <f t="shared" si="25"/>
        <v>75287</v>
      </c>
      <c r="J2433" s="9">
        <f>IFERROR(__xludf.DUMMYFUNCTION("SPLIT(I2433,""-"")"),75287.0)</f>
        <v>75287</v>
      </c>
    </row>
    <row r="2434">
      <c r="A2434" s="10" t="s">
        <v>2210</v>
      </c>
      <c r="B2434" s="11">
        <v>250.0</v>
      </c>
      <c r="C2434" s="12" t="s">
        <v>634</v>
      </c>
      <c r="E2434" s="8" t="str">
        <f>IFERROR(__xludf.DUMMYFUNCTION("SPLIT(A2434,""TX"")"),"Pulley, ")</f>
        <v>Pulley, </v>
      </c>
      <c r="F2434" s="8" t="str">
        <f>IFERROR(__xludf.DUMMYFUNCTION("""COMPUTED_VALUE"""),"egwin
11435 Hillcrest Road
Dallas, ")</f>
        <v>egwin
11435 Hillcrest Road
Dallas, </v>
      </c>
      <c r="G2434" s="8">
        <f>IFERROR(__xludf.DUMMYFUNCTION("""COMPUTED_VALUE"""),75230.0)</f>
        <v>75230</v>
      </c>
      <c r="I2434" s="8">
        <f t="shared" si="25"/>
        <v>75230</v>
      </c>
      <c r="J2434" s="9">
        <f>IFERROR(__xludf.DUMMYFUNCTION("SPLIT(I2434,""-"")"),75230.0)</f>
        <v>75230</v>
      </c>
    </row>
    <row r="2435">
      <c r="A2435" s="10" t="s">
        <v>2211</v>
      </c>
      <c r="B2435" s="11">
        <v>250.0</v>
      </c>
      <c r="C2435" s="12" t="s">
        <v>634</v>
      </c>
      <c r="E2435" s="8" t="str">
        <f>IFERROR(__xludf.DUMMYFUNCTION("SPLIT(A2435,""TX"")"),"Wimberly, Ken
6921 Baxtershire Drive
Dallas, ")</f>
        <v>Wimberly, Ken
6921 Baxtershire Drive
Dallas, </v>
      </c>
      <c r="F2435" s="8">
        <f>IFERROR(__xludf.DUMMYFUNCTION("""COMPUTED_VALUE"""),75230.0)</f>
        <v>75230</v>
      </c>
      <c r="I2435" s="8">
        <f t="shared" si="25"/>
        <v>75230</v>
      </c>
      <c r="J2435" s="9">
        <f>IFERROR(__xludf.DUMMYFUNCTION("SPLIT(I2435,""-"")"),75230.0)</f>
        <v>75230</v>
      </c>
    </row>
    <row r="2436">
      <c r="A2436" s="10" t="s">
        <v>871</v>
      </c>
      <c r="B2436" s="11">
        <v>100.0</v>
      </c>
      <c r="C2436" s="12" t="s">
        <v>634</v>
      </c>
      <c r="E2436" s="8" t="str">
        <f>IFERROR(__xludf.DUMMYFUNCTION("SPLIT(A2436,""TX"")"),"Sample, Susan
11731 Saint Michaels Dr
Dallas, ")</f>
        <v>Sample, Susan
11731 Saint Michaels Dr
Dallas, </v>
      </c>
      <c r="F2436" s="8">
        <f>IFERROR(__xludf.DUMMYFUNCTION("""COMPUTED_VALUE"""),75230.0)</f>
        <v>75230</v>
      </c>
      <c r="I2436" s="8">
        <f t="shared" si="25"/>
        <v>75230</v>
      </c>
      <c r="J2436" s="9">
        <f>IFERROR(__xludf.DUMMYFUNCTION("SPLIT(I2436,""-"")"),75230.0)</f>
        <v>75230</v>
      </c>
    </row>
    <row r="2437">
      <c r="A2437" s="10" t="s">
        <v>2212</v>
      </c>
      <c r="B2437" s="11">
        <v>100.0</v>
      </c>
      <c r="C2437" s="12" t="s">
        <v>634</v>
      </c>
      <c r="E2437" s="8" t="str">
        <f>IFERROR(__xludf.DUMMYFUNCTION("SPLIT(A2437,""TX"")"),"Sahuc, Philip
10828 Pagewood Dr
Dallas, ")</f>
        <v>Sahuc, Philip
10828 Pagewood Dr
Dallas, </v>
      </c>
      <c r="F2437" s="8">
        <f>IFERROR(__xludf.DUMMYFUNCTION("""COMPUTED_VALUE"""),75230.0)</f>
        <v>75230</v>
      </c>
      <c r="I2437" s="8">
        <f t="shared" si="25"/>
        <v>75230</v>
      </c>
      <c r="J2437" s="9">
        <f>IFERROR(__xludf.DUMMYFUNCTION("SPLIT(I2437,""-"")"),75230.0)</f>
        <v>75230</v>
      </c>
    </row>
    <row r="2438">
      <c r="A2438" s="10" t="s">
        <v>2213</v>
      </c>
      <c r="B2438" s="11">
        <v>100.0</v>
      </c>
      <c r="C2438" s="12" t="s">
        <v>634</v>
      </c>
      <c r="E2438" s="8" t="str">
        <f>IFERROR(__xludf.DUMMYFUNCTION("SPLIT(A2438,""TX"")"),"Blum, Jonathan
4603 Bretton Bay Lane
Dallas, ")</f>
        <v>Blum, Jonathan
4603 Bretton Bay Lane
Dallas, </v>
      </c>
      <c r="F2438" s="8">
        <f>IFERROR(__xludf.DUMMYFUNCTION("""COMPUTED_VALUE"""),75287.0)</f>
        <v>75287</v>
      </c>
      <c r="I2438" s="8">
        <f t="shared" si="25"/>
        <v>75287</v>
      </c>
      <c r="J2438" s="9">
        <f>IFERROR(__xludf.DUMMYFUNCTION("SPLIT(I2438,""-"")"),75287.0)</f>
        <v>75287</v>
      </c>
    </row>
    <row r="2439">
      <c r="A2439" s="10" t="s">
        <v>2214</v>
      </c>
      <c r="B2439" s="11">
        <v>100.0</v>
      </c>
      <c r="C2439" s="12" t="s">
        <v>634</v>
      </c>
      <c r="E2439" s="8" t="str">
        <f>IFERROR(__xludf.DUMMYFUNCTION("SPLIT(A2439,""TX"")"),"Worden, Lawrence
2019 Old Orchard Dr
Dallas, ")</f>
        <v>Worden, Lawrence
2019 Old Orchard Dr
Dallas, </v>
      </c>
      <c r="F2439" s="8">
        <f>IFERROR(__xludf.DUMMYFUNCTION("""COMPUTED_VALUE"""),75208.0)</f>
        <v>75208</v>
      </c>
      <c r="I2439" s="8">
        <f t="shared" si="25"/>
        <v>75208</v>
      </c>
      <c r="J2439" s="9">
        <f>IFERROR(__xludf.DUMMYFUNCTION("SPLIT(I2439,""-"")"),75208.0)</f>
        <v>75208</v>
      </c>
    </row>
    <row r="2440">
      <c r="A2440" s="10" t="s">
        <v>859</v>
      </c>
      <c r="B2440" s="11">
        <v>50.0</v>
      </c>
      <c r="C2440" s="12" t="s">
        <v>634</v>
      </c>
      <c r="E2440" s="8" t="str">
        <f>IFERROR(__xludf.DUMMYFUNCTION("SPLIT(A2440,""TX"")"),"Redifer, Patricia
14105 Regency Place
Dallas, ")</f>
        <v>Redifer, Patricia
14105 Regency Place
Dallas, </v>
      </c>
      <c r="F2440" s="8">
        <f>IFERROR(__xludf.DUMMYFUNCTION("""COMPUTED_VALUE"""),75254.0)</f>
        <v>75254</v>
      </c>
      <c r="I2440" s="8">
        <f t="shared" si="25"/>
        <v>75254</v>
      </c>
      <c r="J2440" s="9">
        <f>IFERROR(__xludf.DUMMYFUNCTION("SPLIT(I2440,""-"")"),75254.0)</f>
        <v>75254</v>
      </c>
    </row>
    <row r="2441">
      <c r="A2441" s="10" t="s">
        <v>2215</v>
      </c>
      <c r="B2441" s="11">
        <v>100.0</v>
      </c>
      <c r="C2441" s="12" t="s">
        <v>634</v>
      </c>
      <c r="E2441" s="8" t="str">
        <f>IFERROR(__xludf.DUMMYFUNCTION("SPLIT(A2441,""TX"")"),"Kahn, Marcy
5125 Water Haven Lane
Plano, ")</f>
        <v>Kahn, Marcy
5125 Water Haven Lane
Plano, </v>
      </c>
      <c r="F2441" s="8">
        <f>IFERROR(__xludf.DUMMYFUNCTION("""COMPUTED_VALUE"""),75093.0)</f>
        <v>75093</v>
      </c>
      <c r="I2441" s="8">
        <f t="shared" si="25"/>
        <v>75093</v>
      </c>
      <c r="J2441" s="9">
        <f>IFERROR(__xludf.DUMMYFUNCTION("SPLIT(I2441,""-"")"),75093.0)</f>
        <v>75093</v>
      </c>
    </row>
    <row r="2442">
      <c r="A2442" s="10" t="s">
        <v>2216</v>
      </c>
      <c r="B2442" s="11">
        <v>100.0</v>
      </c>
      <c r="C2442" s="12" t="s">
        <v>634</v>
      </c>
      <c r="E2442" s="8" t="str">
        <f>IFERROR(__xludf.DUMMYFUNCTION("SPLIT(A2442,""TX"")"),"Magadini, ")</f>
        <v>Magadini, </v>
      </c>
      <c r="F2442" s="8" t="str">
        <f>IFERROR(__xludf.DUMMYFUNCTION("""COMPUTED_VALUE"""),"ricy
11417 Saint Michaels Drive
Dallas, ")</f>
        <v>ricy
11417 Saint Michaels Drive
Dallas, </v>
      </c>
      <c r="G2442" s="8">
        <f>IFERROR(__xludf.DUMMYFUNCTION("""COMPUTED_VALUE"""),75230.0)</f>
        <v>75230</v>
      </c>
      <c r="I2442" s="8">
        <f t="shared" si="25"/>
        <v>75230</v>
      </c>
      <c r="J2442" s="9">
        <f>IFERROR(__xludf.DUMMYFUNCTION("SPLIT(I2442,""-"")"),75230.0)</f>
        <v>75230</v>
      </c>
    </row>
    <row r="2443">
      <c r="A2443" s="10" t="s">
        <v>2217</v>
      </c>
      <c r="B2443" s="11">
        <v>100.0</v>
      </c>
      <c r="C2443" s="12" t="s">
        <v>634</v>
      </c>
      <c r="E2443" s="8" t="str">
        <f>IFERROR(__xludf.DUMMYFUNCTION("SPLIT(A2443,""TX"")"),"Cohen, Arbe
13105 Roaring Springs Lane
Dallas, ")</f>
        <v>Cohen, Arbe
13105 Roaring Springs Lane
Dallas, </v>
      </c>
      <c r="F2443" s="8">
        <f>IFERROR(__xludf.DUMMYFUNCTION("""COMPUTED_VALUE"""),75240.0)</f>
        <v>75240</v>
      </c>
      <c r="I2443" s="8">
        <f t="shared" si="25"/>
        <v>75240</v>
      </c>
      <c r="J2443" s="9">
        <f>IFERROR(__xludf.DUMMYFUNCTION("SPLIT(I2443,""-"")"),75240.0)</f>
        <v>75240</v>
      </c>
    </row>
    <row r="2444">
      <c r="A2444" s="10" t="s">
        <v>1219</v>
      </c>
      <c r="B2444" s="11">
        <v>100.0</v>
      </c>
      <c r="C2444" s="12" t="s">
        <v>634</v>
      </c>
      <c r="E2444" s="8" t="str">
        <f>IFERROR(__xludf.DUMMYFUNCTION("SPLIT(A2444,""TX"")"),"Duplantis, Kandi
5202 Harbor ")</f>
        <v>Duplantis, Kandi
5202 Harbor </v>
      </c>
      <c r="F2444" s="8" t="str">
        <f>IFERROR(__xludf.DUMMYFUNCTION("""COMPUTED_VALUE"""),"own Dr
Dallas, ")</f>
        <v>own Dr
Dallas, </v>
      </c>
      <c r="G2444" s="8">
        <f>IFERROR(__xludf.DUMMYFUNCTION("""COMPUTED_VALUE"""),75287.0)</f>
        <v>75287</v>
      </c>
      <c r="I2444" s="8">
        <f t="shared" si="25"/>
        <v>75287</v>
      </c>
      <c r="J2444" s="9">
        <f>IFERROR(__xludf.DUMMYFUNCTION("SPLIT(I2444,""-"")"),75287.0)</f>
        <v>75287</v>
      </c>
    </row>
    <row r="2445">
      <c r="A2445" s="10" t="s">
        <v>1778</v>
      </c>
      <c r="B2445" s="11">
        <v>500.0</v>
      </c>
      <c r="C2445" s="12" t="s">
        <v>634</v>
      </c>
      <c r="E2445" s="8" t="str">
        <f>IFERROR(__xludf.DUMMYFUNCTION("SPLIT(A2445,""TX"")"),"Johnson, Willis
1001 Belleview
Dallas, ")</f>
        <v>Johnson, Willis
1001 Belleview
Dallas, </v>
      </c>
      <c r="F2445" s="8">
        <f>IFERROR(__xludf.DUMMYFUNCTION("""COMPUTED_VALUE"""),75215.0)</f>
        <v>75215</v>
      </c>
      <c r="I2445" s="8">
        <f t="shared" si="25"/>
        <v>75215</v>
      </c>
      <c r="J2445" s="9">
        <f>IFERROR(__xludf.DUMMYFUNCTION("SPLIT(I2445,""-"")"),75215.0)</f>
        <v>75215</v>
      </c>
    </row>
    <row r="2446">
      <c r="A2446" s="10" t="s">
        <v>2218</v>
      </c>
      <c r="B2446" s="11">
        <v>350.0</v>
      </c>
      <c r="C2446" s="12" t="s">
        <v>634</v>
      </c>
      <c r="E2446" s="8" t="str">
        <f>IFERROR(__xludf.DUMMYFUNCTION("SPLIT(A2446,""TX"")"),"Kofoed, Peter
7122 Brookshire Circle
Dallas, ")</f>
        <v>Kofoed, Peter
7122 Brookshire Circle
Dallas, </v>
      </c>
      <c r="F2446" s="8">
        <f>IFERROR(__xludf.DUMMYFUNCTION("""COMPUTED_VALUE"""),75230.0)</f>
        <v>75230</v>
      </c>
      <c r="I2446" s="8">
        <f t="shared" si="25"/>
        <v>75230</v>
      </c>
      <c r="J2446" s="9">
        <f>IFERROR(__xludf.DUMMYFUNCTION("SPLIT(I2446,""-"")"),75230.0)</f>
        <v>75230</v>
      </c>
    </row>
    <row r="2447">
      <c r="A2447" s="10" t="s">
        <v>2219</v>
      </c>
      <c r="B2447" s="11">
        <v>1000.0</v>
      </c>
      <c r="C2447" s="12" t="s">
        <v>634</v>
      </c>
      <c r="E2447" s="8" t="str">
        <f>IFERROR(__xludf.DUMMYFUNCTION("SPLIT(A2447,""TX"")"),"onti, Michael
10310 Woodford Drive
Dallas, ")</f>
        <v>onti, Michael
10310 Woodford Drive
Dallas, </v>
      </c>
      <c r="F2447" s="8">
        <f>IFERROR(__xludf.DUMMYFUNCTION("""COMPUTED_VALUE"""),75229.0)</f>
        <v>75229</v>
      </c>
      <c r="I2447" s="8">
        <f t="shared" si="25"/>
        <v>75229</v>
      </c>
      <c r="J2447" s="9">
        <f>IFERROR(__xludf.DUMMYFUNCTION("SPLIT(I2447,""-"")"),75229.0)</f>
        <v>75229</v>
      </c>
    </row>
    <row r="2448">
      <c r="A2448" s="10" t="s">
        <v>2220</v>
      </c>
      <c r="B2448" s="11">
        <v>1000.0</v>
      </c>
      <c r="C2448" s="12" t="s">
        <v>634</v>
      </c>
      <c r="E2448" s="8" t="str">
        <f>IFERROR(__xludf.DUMMYFUNCTION("SPLIT(A2448,""TX"")"),"Zale, Donald
26 Stonecourt Drive
Dallas, ")</f>
        <v>Zale, Donald
26 Stonecourt Drive
Dallas, </v>
      </c>
      <c r="F2448" s="8">
        <f>IFERROR(__xludf.DUMMYFUNCTION("""COMPUTED_VALUE"""),75225.0)</f>
        <v>75225</v>
      </c>
      <c r="I2448" s="8">
        <f t="shared" si="25"/>
        <v>75225</v>
      </c>
      <c r="J2448" s="9">
        <f>IFERROR(__xludf.DUMMYFUNCTION("SPLIT(I2448,""-"")"),75225.0)</f>
        <v>75225</v>
      </c>
    </row>
    <row r="2449">
      <c r="A2449" s="10" t="s">
        <v>2221</v>
      </c>
      <c r="B2449" s="11">
        <v>250.0</v>
      </c>
      <c r="C2449" s="12" t="s">
        <v>634</v>
      </c>
      <c r="E2449" s="8" t="str">
        <f>IFERROR(__xludf.DUMMYFUNCTION("SPLIT(A2449,""TX"")"),"Bobbitt, Jeanne
4500 Roland Avenue
Dallas, ")</f>
        <v>Bobbitt, Jeanne
4500 Roland Avenue
Dallas, </v>
      </c>
      <c r="F2449" s="8">
        <f>IFERROR(__xludf.DUMMYFUNCTION("""COMPUTED_VALUE"""),75219.0)</f>
        <v>75219</v>
      </c>
      <c r="I2449" s="8">
        <f t="shared" si="25"/>
        <v>75219</v>
      </c>
      <c r="J2449" s="9">
        <f>IFERROR(__xludf.DUMMYFUNCTION("SPLIT(I2449,""-"")"),75219.0)</f>
        <v>75219</v>
      </c>
    </row>
    <row r="2450">
      <c r="A2450" s="10" t="s">
        <v>2222</v>
      </c>
      <c r="B2450" s="11">
        <v>250.0</v>
      </c>
      <c r="C2450" s="12" t="s">
        <v>634</v>
      </c>
      <c r="E2450" s="8" t="str">
        <f>IFERROR(__xludf.DUMMYFUNCTION("SPLIT(A2450,""TX"")"),"Rovinsky, Shirley
7023 Northaven Road
Dallas, ")</f>
        <v>Rovinsky, Shirley
7023 Northaven Road
Dallas, </v>
      </c>
      <c r="F2450" s="8">
        <f>IFERROR(__xludf.DUMMYFUNCTION("""COMPUTED_VALUE"""),75230.0)</f>
        <v>75230</v>
      </c>
      <c r="I2450" s="8">
        <f t="shared" si="25"/>
        <v>75230</v>
      </c>
      <c r="J2450" s="9">
        <f>IFERROR(__xludf.DUMMYFUNCTION("SPLIT(I2450,""-"")"),75230.0)</f>
        <v>75230</v>
      </c>
    </row>
    <row r="2451">
      <c r="A2451" s="10" t="s">
        <v>2223</v>
      </c>
      <c r="B2451" s="11">
        <v>250.0</v>
      </c>
      <c r="C2451" s="12" t="s">
        <v>634</v>
      </c>
      <c r="E2451" s="8" t="str">
        <f>IFERROR(__xludf.DUMMYFUNCTION("SPLIT(A2451,""TX"")"),"West, Chad
3606 S ")</f>
        <v>West, Chad
3606 S </v>
      </c>
      <c r="F2451" s="8" t="str">
        <f>IFERROR(__xludf.DUMMYFUNCTION("""COMPUTED_VALUE"""),"yler Street
Dallas, ")</f>
        <v>yler Street
Dallas, </v>
      </c>
      <c r="G2451" s="8">
        <f>IFERROR(__xludf.DUMMYFUNCTION("""COMPUTED_VALUE"""),75224.0)</f>
        <v>75224</v>
      </c>
      <c r="I2451" s="8">
        <f t="shared" si="25"/>
        <v>75224</v>
      </c>
      <c r="J2451" s="9">
        <f>IFERROR(__xludf.DUMMYFUNCTION("SPLIT(I2451,""-"")"),75224.0)</f>
        <v>75224</v>
      </c>
    </row>
    <row r="2452">
      <c r="A2452" s="10" t="s">
        <v>2224</v>
      </c>
      <c r="B2452" s="11">
        <v>500.0</v>
      </c>
      <c r="C2452" s="12" t="s">
        <v>634</v>
      </c>
      <c r="E2452" s="8" t="str">
        <f>IFERROR(__xludf.DUMMYFUNCTION("SPLIT(A2452,""TX"")"),"Friedland, Ellen
519 Westbourne Dr
West Hollywood, CA 90048")</f>
        <v>Friedland, Ellen
519 Westbourne Dr
West Hollywood, CA 90048</v>
      </c>
      <c r="I2452" s="8" t="str">
        <f t="shared" si="25"/>
        <v/>
      </c>
      <c r="J2452" s="9" t="str">
        <f>IFERROR(__xludf.DUMMYFUNCTION("SPLIT(I2452,""-"")"),"#VALUE!")</f>
        <v>#VALUE!</v>
      </c>
    </row>
    <row r="2453">
      <c r="A2453" s="10" t="s">
        <v>2225</v>
      </c>
      <c r="B2453" s="11">
        <v>1000.0</v>
      </c>
      <c r="C2453" s="12" t="s">
        <v>634</v>
      </c>
      <c r="E2453" s="8" t="str">
        <f>IFERROR(__xludf.DUMMYFUNCTION("SPLIT(A2453,""TX"")"),"Belofsky, Selwin
6487 Cliffbrook Dr
Dallas, ")</f>
        <v>Belofsky, Selwin
6487 Cliffbrook Dr
Dallas, </v>
      </c>
      <c r="F2453" s="8">
        <f>IFERROR(__xludf.DUMMYFUNCTION("""COMPUTED_VALUE"""),75254.0)</f>
        <v>75254</v>
      </c>
      <c r="I2453" s="8">
        <f t="shared" si="25"/>
        <v>75254</v>
      </c>
      <c r="J2453" s="9">
        <f>IFERROR(__xludf.DUMMYFUNCTION("SPLIT(I2453,""-"")"),75254.0)</f>
        <v>75254</v>
      </c>
    </row>
    <row r="2454">
      <c r="A2454" s="10" t="s">
        <v>2210</v>
      </c>
      <c r="B2454" s="11">
        <v>250.0</v>
      </c>
      <c r="C2454" s="12" t="s">
        <v>634</v>
      </c>
      <c r="E2454" s="8" t="str">
        <f>IFERROR(__xludf.DUMMYFUNCTION("SPLIT(A2454,""TX"")"),"Pulley, ")</f>
        <v>Pulley, </v>
      </c>
      <c r="F2454" s="8" t="str">
        <f>IFERROR(__xludf.DUMMYFUNCTION("""COMPUTED_VALUE"""),"egwin
11435 Hillcrest Road
Dallas, ")</f>
        <v>egwin
11435 Hillcrest Road
Dallas, </v>
      </c>
      <c r="G2454" s="8">
        <f>IFERROR(__xludf.DUMMYFUNCTION("""COMPUTED_VALUE"""),75230.0)</f>
        <v>75230</v>
      </c>
      <c r="I2454" s="8">
        <f t="shared" si="25"/>
        <v>75230</v>
      </c>
      <c r="J2454" s="9">
        <f>IFERROR(__xludf.DUMMYFUNCTION("SPLIT(I2454,""-"")"),75230.0)</f>
        <v>75230</v>
      </c>
    </row>
    <row r="2455">
      <c r="A2455" s="10" t="s">
        <v>2226</v>
      </c>
      <c r="B2455" s="11">
        <v>100.0</v>
      </c>
      <c r="C2455" s="12" t="s">
        <v>634</v>
      </c>
      <c r="E2455" s="8" t="str">
        <f>IFERROR(__xludf.DUMMYFUNCTION("SPLIT(A2455,""TX"")"),"Goldberg, Marshal
7215 S Janmar Dr
Dallas, ")</f>
        <v>Goldberg, Marshal
7215 S Janmar Dr
Dallas, </v>
      </c>
      <c r="F2455" s="8">
        <f>IFERROR(__xludf.DUMMYFUNCTION("""COMPUTED_VALUE"""),75339.0)</f>
        <v>75339</v>
      </c>
      <c r="I2455" s="8">
        <f t="shared" si="25"/>
        <v>75339</v>
      </c>
      <c r="J2455" s="9">
        <f>IFERROR(__xludf.DUMMYFUNCTION("SPLIT(I2455,""-"")"),75339.0)</f>
        <v>75339</v>
      </c>
    </row>
    <row r="2456">
      <c r="A2456" s="10" t="s">
        <v>2227</v>
      </c>
      <c r="B2456" s="11">
        <v>500.0</v>
      </c>
      <c r="C2456" s="12" t="s">
        <v>634</v>
      </c>
      <c r="E2456" s="8" t="str">
        <f>IFERROR(__xludf.DUMMYFUNCTION("SPLIT(A2456,""TX"")"),"Backes, Leon
10210 N Central Expressway
Dallas, ")</f>
        <v>Backes, Leon
10210 N Central Expressway
Dallas, </v>
      </c>
      <c r="F2456" s="8">
        <f>IFERROR(__xludf.DUMMYFUNCTION("""COMPUTED_VALUE"""),75231.0)</f>
        <v>75231</v>
      </c>
      <c r="I2456" s="8">
        <f t="shared" si="25"/>
        <v>75231</v>
      </c>
      <c r="J2456" s="9">
        <f>IFERROR(__xludf.DUMMYFUNCTION("SPLIT(I2456,""-"")"),75231.0)</f>
        <v>75231</v>
      </c>
    </row>
    <row r="2457">
      <c r="A2457" s="10" t="s">
        <v>2228</v>
      </c>
      <c r="B2457" s="11">
        <v>118.0</v>
      </c>
      <c r="C2457" s="12" t="s">
        <v>634</v>
      </c>
      <c r="E2457" s="8" t="str">
        <f>IFERROR(__xludf.DUMMYFUNCTION("SPLIT(A2457,""TX"")"),"Weiner, Harvey
6101 Ohio Drive
Plano, ")</f>
        <v>Weiner, Harvey
6101 Ohio Drive
Plano, </v>
      </c>
      <c r="F2457" s="8">
        <f>IFERROR(__xludf.DUMMYFUNCTION("""COMPUTED_VALUE"""),75024.0)</f>
        <v>75024</v>
      </c>
      <c r="I2457" s="8">
        <f t="shared" si="25"/>
        <v>75024</v>
      </c>
      <c r="J2457" s="9">
        <f>IFERROR(__xludf.DUMMYFUNCTION("SPLIT(I2457,""-"")"),75024.0)</f>
        <v>75024</v>
      </c>
    </row>
    <row r="2458">
      <c r="A2458" s="10" t="s">
        <v>2229</v>
      </c>
      <c r="B2458" s="11">
        <v>25.0</v>
      </c>
      <c r="C2458" s="12" t="s">
        <v>634</v>
      </c>
      <c r="E2458" s="8" t="str">
        <f>IFERROR(__xludf.DUMMYFUNCTION("SPLIT(A2458,""TX"")"),"Cheirif, Heidy
6027 Shetland Drive
Dallas, ")</f>
        <v>Cheirif, Heidy
6027 Shetland Drive
Dallas, </v>
      </c>
      <c r="F2458" s="8">
        <f>IFERROR(__xludf.DUMMYFUNCTION("""COMPUTED_VALUE"""),75230.0)</f>
        <v>75230</v>
      </c>
      <c r="I2458" s="8">
        <f t="shared" si="25"/>
        <v>75230</v>
      </c>
      <c r="J2458" s="9">
        <f>IFERROR(__xludf.DUMMYFUNCTION("SPLIT(I2458,""-"")"),75230.0)</f>
        <v>75230</v>
      </c>
    </row>
    <row r="2459">
      <c r="A2459" s="10" t="s">
        <v>2230</v>
      </c>
      <c r="B2459" s="11">
        <v>360.0</v>
      </c>
      <c r="C2459" s="12" t="s">
        <v>634</v>
      </c>
      <c r="E2459" s="8" t="str">
        <f>IFERROR(__xludf.DUMMYFUNCTION("SPLIT(A2459,""TX"")"),"Zweig, Louis
5220 Ambergate Ln
Dallas, ")</f>
        <v>Zweig, Louis
5220 Ambergate Ln
Dallas, </v>
      </c>
      <c r="F2459" s="8">
        <f>IFERROR(__xludf.DUMMYFUNCTION("""COMPUTED_VALUE"""),75287.0)</f>
        <v>75287</v>
      </c>
      <c r="I2459" s="8">
        <f t="shared" si="25"/>
        <v>75287</v>
      </c>
      <c r="J2459" s="9">
        <f>IFERROR(__xludf.DUMMYFUNCTION("SPLIT(I2459,""-"")"),75287.0)</f>
        <v>75287</v>
      </c>
    </row>
    <row r="2460">
      <c r="A2460" s="10" t="s">
        <v>2231</v>
      </c>
      <c r="B2460" s="11">
        <v>1000.0</v>
      </c>
      <c r="C2460" s="12" t="s">
        <v>634</v>
      </c>
      <c r="E2460" s="8" t="str">
        <f>IFERROR(__xludf.DUMMYFUNCTION("SPLIT(A2460,""TX"")"),"Steinbrecher, Janyce
7452 Malabar Lane
Dallas, ")</f>
        <v>Steinbrecher, Janyce
7452 Malabar Lane
Dallas, </v>
      </c>
      <c r="F2460" s="8">
        <f>IFERROR(__xludf.DUMMYFUNCTION("""COMPUTED_VALUE"""),75230.0)</f>
        <v>75230</v>
      </c>
      <c r="I2460" s="8">
        <f t="shared" si="25"/>
        <v>75230</v>
      </c>
      <c r="J2460" s="9">
        <f>IFERROR(__xludf.DUMMYFUNCTION("SPLIT(I2460,""-"")"),75230.0)</f>
        <v>75230</v>
      </c>
    </row>
    <row r="2461">
      <c r="A2461" s="10" t="s">
        <v>2232</v>
      </c>
      <c r="B2461" s="11">
        <v>250.0</v>
      </c>
      <c r="C2461" s="12" t="s">
        <v>634</v>
      </c>
      <c r="E2461" s="8" t="str">
        <f>IFERROR(__xludf.DUMMYFUNCTION("SPLIT(A2461,""TX"")"),"Hampton, Joanna
5408 Swiss Avenue
Dallas, ")</f>
        <v>Hampton, Joanna
5408 Swiss Avenue
Dallas, </v>
      </c>
      <c r="F2461" s="8">
        <f>IFERROR(__xludf.DUMMYFUNCTION("""COMPUTED_VALUE"""),75214.0)</f>
        <v>75214</v>
      </c>
      <c r="I2461" s="8">
        <f t="shared" si="25"/>
        <v>75214</v>
      </c>
      <c r="J2461" s="9">
        <f>IFERROR(__xludf.DUMMYFUNCTION("SPLIT(I2461,""-"")"),75214.0)</f>
        <v>75214</v>
      </c>
    </row>
    <row r="2462">
      <c r="A2462" s="10" t="s">
        <v>2233</v>
      </c>
      <c r="B2462" s="11">
        <v>100.0</v>
      </c>
      <c r="C2462" s="12" t="s">
        <v>634</v>
      </c>
      <c r="E2462" s="8" t="str">
        <f>IFERROR(__xludf.DUMMYFUNCTION("SPLIT(A2462,""TX"")"),"Zucker, Michael
12023 Browning Lane
Dallas, ")</f>
        <v>Zucker, Michael
12023 Browning Lane
Dallas, </v>
      </c>
      <c r="F2462" s="8">
        <f>IFERROR(__xludf.DUMMYFUNCTION("""COMPUTED_VALUE"""),75230.0)</f>
        <v>75230</v>
      </c>
      <c r="I2462" s="8">
        <f t="shared" si="25"/>
        <v>75230</v>
      </c>
      <c r="J2462" s="9">
        <f>IFERROR(__xludf.DUMMYFUNCTION("SPLIT(I2462,""-"")"),75230.0)</f>
        <v>75230</v>
      </c>
    </row>
    <row r="2463">
      <c r="A2463" s="10" t="s">
        <v>2234</v>
      </c>
      <c r="B2463" s="11">
        <v>100.0</v>
      </c>
      <c r="C2463" s="12" t="s">
        <v>634</v>
      </c>
      <c r="E2463" s="8" t="str">
        <f>IFERROR(__xludf.DUMMYFUNCTION("SPLIT(A2463,""TX"")"),"Seymour, Jeffrey
7806 Yamini Dr
Dallas, ")</f>
        <v>Seymour, Jeffrey
7806 Yamini Dr
Dallas, </v>
      </c>
      <c r="F2463" s="8">
        <f>IFERROR(__xludf.DUMMYFUNCTION("""COMPUTED_VALUE"""),75230.0)</f>
        <v>75230</v>
      </c>
      <c r="I2463" s="8">
        <f t="shared" si="25"/>
        <v>75230</v>
      </c>
      <c r="J2463" s="9">
        <f>IFERROR(__xludf.DUMMYFUNCTION("SPLIT(I2463,""-"")"),75230.0)</f>
        <v>75230</v>
      </c>
    </row>
    <row r="2464">
      <c r="A2464" s="10" t="s">
        <v>2235</v>
      </c>
      <c r="B2464" s="11">
        <v>100.0</v>
      </c>
      <c r="C2464" s="12" t="s">
        <v>634</v>
      </c>
      <c r="E2464" s="8" t="str">
        <f>IFERROR(__xludf.DUMMYFUNCTION("SPLIT(A2464,""TX"")"),"Chafetz, Paul
12255 Montego Plaza
Dallas, ")</f>
        <v>Chafetz, Paul
12255 Montego Plaza
Dallas, </v>
      </c>
      <c r="F2464" s="8">
        <f>IFERROR(__xludf.DUMMYFUNCTION("""COMPUTED_VALUE"""),75230.0)</f>
        <v>75230</v>
      </c>
      <c r="I2464" s="8">
        <f t="shared" si="25"/>
        <v>75230</v>
      </c>
      <c r="J2464" s="9">
        <f>IFERROR(__xludf.DUMMYFUNCTION("SPLIT(I2464,""-"")"),75230.0)</f>
        <v>75230</v>
      </c>
    </row>
    <row r="2465">
      <c r="A2465" s="10" t="s">
        <v>2236</v>
      </c>
      <c r="B2465" s="11">
        <v>200.0</v>
      </c>
      <c r="C2465" s="12" t="s">
        <v>634</v>
      </c>
      <c r="E2465" s="8" t="str">
        <f>IFERROR(__xludf.DUMMYFUNCTION("SPLIT(A2465,""TX"")"),"Kogutt, Judy
5708 Willow Lane
Dallas, ")</f>
        <v>Kogutt, Judy
5708 Willow Lane
Dallas, </v>
      </c>
      <c r="F2465" s="8">
        <f>IFERROR(__xludf.DUMMYFUNCTION("""COMPUTED_VALUE"""),75230.0)</f>
        <v>75230</v>
      </c>
      <c r="I2465" s="8">
        <f t="shared" si="25"/>
        <v>75230</v>
      </c>
      <c r="J2465" s="9">
        <f>IFERROR(__xludf.DUMMYFUNCTION("SPLIT(I2465,""-"")"),75230.0)</f>
        <v>75230</v>
      </c>
    </row>
    <row r="2466">
      <c r="A2466" s="10" t="s">
        <v>895</v>
      </c>
      <c r="B2466" s="11">
        <v>500.0</v>
      </c>
      <c r="C2466" s="12" t="s">
        <v>634</v>
      </c>
      <c r="E2466" s="8" t="str">
        <f>IFERROR(__xludf.DUMMYFUNCTION("SPLIT(A2466,""TX"")"),"Waldman, Helen
17005 Preston Bend Drive
Dallas, ")</f>
        <v>Waldman, Helen
17005 Preston Bend Drive
Dallas, </v>
      </c>
      <c r="F2466" s="8">
        <f>IFERROR(__xludf.DUMMYFUNCTION("""COMPUTED_VALUE"""),75248.0)</f>
        <v>75248</v>
      </c>
      <c r="I2466" s="8">
        <f t="shared" si="25"/>
        <v>75248</v>
      </c>
      <c r="J2466" s="9">
        <f>IFERROR(__xludf.DUMMYFUNCTION("SPLIT(I2466,""-"")"),75248.0)</f>
        <v>75248</v>
      </c>
    </row>
    <row r="2467">
      <c r="A2467" s="10" t="s">
        <v>2237</v>
      </c>
      <c r="B2467" s="11">
        <v>100.0</v>
      </c>
      <c r="C2467" s="12" t="s">
        <v>634</v>
      </c>
      <c r="E2467" s="8" t="str">
        <f>IFERROR(__xludf.DUMMYFUNCTION("SPLIT(A2467,""TX"")"),"Schwarz, Janice
12107 Prestonridge Road
Dallas, ")</f>
        <v>Schwarz, Janice
12107 Prestonridge Road
Dallas, </v>
      </c>
      <c r="F2467" s="8">
        <f>IFERROR(__xludf.DUMMYFUNCTION("""COMPUTED_VALUE"""),75230.0)</f>
        <v>75230</v>
      </c>
      <c r="I2467" s="8">
        <f t="shared" si="25"/>
        <v>75230</v>
      </c>
      <c r="J2467" s="9">
        <f>IFERROR(__xludf.DUMMYFUNCTION("SPLIT(I2467,""-"")"),75230.0)</f>
        <v>75230</v>
      </c>
    </row>
    <row r="2468">
      <c r="A2468" s="10" t="s">
        <v>2238</v>
      </c>
      <c r="B2468" s="11">
        <v>1000.0</v>
      </c>
      <c r="C2468" s="12" t="s">
        <v>634</v>
      </c>
      <c r="E2468" s="8" t="str">
        <f>IFERROR(__xludf.DUMMYFUNCTION("SPLIT(A2468,""TX"")"),"Hogue, Jim
8 Milford Place
Dallas, ")</f>
        <v>Hogue, Jim
8 Milford Place
Dallas, </v>
      </c>
      <c r="F2468" s="8">
        <f>IFERROR(__xludf.DUMMYFUNCTION("""COMPUTED_VALUE"""),75230.0)</f>
        <v>75230</v>
      </c>
      <c r="I2468" s="8">
        <f t="shared" si="25"/>
        <v>75230</v>
      </c>
      <c r="J2468" s="9">
        <f>IFERROR(__xludf.DUMMYFUNCTION("SPLIT(I2468,""-"")"),75230.0)</f>
        <v>75230</v>
      </c>
    </row>
    <row r="2469">
      <c r="A2469" s="10" t="s">
        <v>884</v>
      </c>
      <c r="B2469" s="11">
        <v>500.0</v>
      </c>
      <c r="C2469" s="12" t="s">
        <v>634</v>
      </c>
      <c r="E2469" s="8" t="str">
        <f>IFERROR(__xludf.DUMMYFUNCTION("SPLIT(A2469,""TX"")"),"Steinfield, David
11603 High Forest Drive
Dallas, ")</f>
        <v>Steinfield, David
11603 High Forest Drive
Dallas, </v>
      </c>
      <c r="F2469" s="8">
        <f>IFERROR(__xludf.DUMMYFUNCTION("""COMPUTED_VALUE"""),75230.0)</f>
        <v>75230</v>
      </c>
      <c r="I2469" s="8">
        <f t="shared" si="25"/>
        <v>75230</v>
      </c>
      <c r="J2469" s="9">
        <f>IFERROR(__xludf.DUMMYFUNCTION("SPLIT(I2469,""-"")"),75230.0)</f>
        <v>75230</v>
      </c>
    </row>
    <row r="2470">
      <c r="A2470" s="10" t="s">
        <v>2239</v>
      </c>
      <c r="B2470" s="11">
        <v>500.0</v>
      </c>
      <c r="C2470" s="12" t="s">
        <v>634</v>
      </c>
      <c r="E2470" s="8" t="str">
        <f>IFERROR(__xludf.DUMMYFUNCTION("SPLIT(A2470,""TX"")"),"Rosenberg, Steven
12036 Arbargee Cir
DALLAS, ")</f>
        <v>Rosenberg, Steven
12036 Arbargee Cir
DALLAS, </v>
      </c>
      <c r="F2470" s="8">
        <f>IFERROR(__xludf.DUMMYFUNCTION("""COMPUTED_VALUE"""),75230.0)</f>
        <v>75230</v>
      </c>
      <c r="I2470" s="8">
        <f t="shared" si="25"/>
        <v>75230</v>
      </c>
      <c r="J2470" s="9">
        <f>IFERROR(__xludf.DUMMYFUNCTION("SPLIT(I2470,""-"")"),75230.0)</f>
        <v>75230</v>
      </c>
    </row>
    <row r="2471">
      <c r="A2471" s="10" t="s">
        <v>2240</v>
      </c>
      <c r="B2471" s="11">
        <v>250.0</v>
      </c>
      <c r="C2471" s="12" t="s">
        <v>634</v>
      </c>
      <c r="E2471" s="8" t="str">
        <f>IFERROR(__xludf.DUMMYFUNCTION("SPLIT(A2471,""TX"")"),"Smith, Wayne
10455 N Central Expressway
Dallas, ")</f>
        <v>Smith, Wayne
10455 N Central Expressway
Dallas, </v>
      </c>
      <c r="F2471" s="8">
        <f>IFERROR(__xludf.DUMMYFUNCTION("""COMPUTED_VALUE"""),75231.0)</f>
        <v>75231</v>
      </c>
      <c r="I2471" s="8">
        <f t="shared" si="25"/>
        <v>75231</v>
      </c>
      <c r="J2471" s="9">
        <f>IFERROR(__xludf.DUMMYFUNCTION("SPLIT(I2471,""-"")"),75231.0)</f>
        <v>75231</v>
      </c>
    </row>
    <row r="2472">
      <c r="A2472" s="10" t="s">
        <v>2241</v>
      </c>
      <c r="B2472" s="11">
        <v>500.0</v>
      </c>
      <c r="C2472" s="12" t="s">
        <v>634</v>
      </c>
      <c r="E2472" s="8" t="str">
        <f>IFERROR(__xludf.DUMMYFUNCTION("SPLIT(A2472,""TX"")"),"Presby, Ellen
8210 Vitex Ave
Dallas, ")</f>
        <v>Presby, Ellen
8210 Vitex Ave
Dallas, </v>
      </c>
      <c r="F2472" s="8">
        <f>IFERROR(__xludf.DUMMYFUNCTION("""COMPUTED_VALUE"""),75252.0)</f>
        <v>75252</v>
      </c>
      <c r="I2472" s="8">
        <f t="shared" si="25"/>
        <v>75252</v>
      </c>
      <c r="J2472" s="9">
        <f>IFERROR(__xludf.DUMMYFUNCTION("SPLIT(I2472,""-"")"),75252.0)</f>
        <v>75252</v>
      </c>
    </row>
    <row r="2473">
      <c r="A2473" s="10" t="s">
        <v>2242</v>
      </c>
      <c r="B2473" s="11">
        <v>1000.0</v>
      </c>
      <c r="C2473" s="12" t="s">
        <v>634</v>
      </c>
      <c r="E2473" s="8" t="str">
        <f>IFERROR(__xludf.DUMMYFUNCTION("SPLIT(A2473,""TX"")"),"Cheatham, Diane
PO Box 191166
Dallas, ")</f>
        <v>Cheatham, Diane
PO Box 191166
Dallas, </v>
      </c>
      <c r="F2473" s="8">
        <f>IFERROR(__xludf.DUMMYFUNCTION("""COMPUTED_VALUE"""),75219.0)</f>
        <v>75219</v>
      </c>
      <c r="I2473" s="8">
        <f t="shared" si="25"/>
        <v>75219</v>
      </c>
      <c r="J2473" s="9">
        <f>IFERROR(__xludf.DUMMYFUNCTION("SPLIT(I2473,""-"")"),75219.0)</f>
        <v>75219</v>
      </c>
    </row>
    <row r="2474">
      <c r="A2474" s="10" t="s">
        <v>2194</v>
      </c>
      <c r="B2474" s="11">
        <v>25.0</v>
      </c>
      <c r="C2474" s="12" t="s">
        <v>634</v>
      </c>
      <c r="E2474" s="8" t="str">
        <f>IFERROR(__xludf.DUMMYFUNCTION("SPLIT(A2474,""TX"")"),"Meltzer, Hedy
13345 Peyton Drive
Dallas, ")</f>
        <v>Meltzer, Hedy
13345 Peyton Drive
Dallas, </v>
      </c>
      <c r="F2474" s="8">
        <f>IFERROR(__xludf.DUMMYFUNCTION("""COMPUTED_VALUE"""),75240.0)</f>
        <v>75240</v>
      </c>
      <c r="I2474" s="8">
        <f t="shared" si="25"/>
        <v>75240</v>
      </c>
      <c r="J2474" s="9">
        <f>IFERROR(__xludf.DUMMYFUNCTION("SPLIT(I2474,""-"")"),75240.0)</f>
        <v>75240</v>
      </c>
    </row>
    <row r="2475">
      <c r="A2475" s="10" t="s">
        <v>2243</v>
      </c>
      <c r="B2475" s="11">
        <v>1000.0</v>
      </c>
      <c r="C2475" s="12" t="s">
        <v>634</v>
      </c>
      <c r="E2475" s="8" t="str">
        <f>IFERROR(__xludf.DUMMYFUNCTION("SPLIT(A2475,""TX"")"),"Hodes, Daniel
19 North Vista De Catalina
Laguna Beach, CA 92651")</f>
        <v>Hodes, Daniel
19 North Vista De Catalina
Laguna Beach, CA 92651</v>
      </c>
      <c r="I2475" s="8" t="str">
        <f t="shared" si="25"/>
        <v/>
      </c>
      <c r="J2475" s="9" t="str">
        <f>IFERROR(__xludf.DUMMYFUNCTION("SPLIT(I2475,""-"")"),"#VALUE!")</f>
        <v>#VALUE!</v>
      </c>
    </row>
    <row r="2476">
      <c r="A2476" s="10" t="s">
        <v>2244</v>
      </c>
      <c r="B2476" s="11">
        <v>500.0</v>
      </c>
      <c r="C2476" s="12" t="s">
        <v>634</v>
      </c>
      <c r="E2476" s="8" t="str">
        <f>IFERROR(__xludf.DUMMYFUNCTION("SPLIT(A2476,""TX"")"),"Schenkel, Peter
614 North Bishop Avenue
Dallas, ")</f>
        <v>Schenkel, Peter
614 North Bishop Avenue
Dallas, </v>
      </c>
      <c r="F2476" s="8">
        <f>IFERROR(__xludf.DUMMYFUNCTION("""COMPUTED_VALUE"""),75208.0)</f>
        <v>75208</v>
      </c>
      <c r="I2476" s="8">
        <f t="shared" si="25"/>
        <v>75208</v>
      </c>
      <c r="J2476" s="9">
        <f>IFERROR(__xludf.DUMMYFUNCTION("SPLIT(I2476,""-"")"),75208.0)</f>
        <v>75208</v>
      </c>
    </row>
    <row r="2477">
      <c r="A2477" s="10" t="s">
        <v>1814</v>
      </c>
      <c r="B2477" s="11">
        <v>1000.0</v>
      </c>
      <c r="C2477" s="12" t="s">
        <v>634</v>
      </c>
      <c r="E2477" s="8" t="str">
        <f>IFERROR(__xludf.DUMMYFUNCTION("SPLIT(A2477,""TX"")"),"Kleinman, Betsy
6926 Midbury Drive
Dallas, ")</f>
        <v>Kleinman, Betsy
6926 Midbury Drive
Dallas, </v>
      </c>
      <c r="F2477" s="8">
        <f>IFERROR(__xludf.DUMMYFUNCTION("""COMPUTED_VALUE"""),75230.0)</f>
        <v>75230</v>
      </c>
      <c r="I2477" s="8">
        <f t="shared" si="25"/>
        <v>75230</v>
      </c>
      <c r="J2477" s="9">
        <f>IFERROR(__xludf.DUMMYFUNCTION("SPLIT(I2477,""-"")"),75230.0)</f>
        <v>75230</v>
      </c>
    </row>
    <row r="2478">
      <c r="A2478" s="10" t="s">
        <v>2245</v>
      </c>
      <c r="B2478" s="11">
        <v>1000.0</v>
      </c>
      <c r="C2478" s="12" t="s">
        <v>634</v>
      </c>
      <c r="E2478" s="8" t="str">
        <f>IFERROR(__xludf.DUMMYFUNCTION("SPLIT(A2478,""TX"")"),"Lyle, Bobby
34 Masland Circle
Dallas, ")</f>
        <v>Lyle, Bobby
34 Masland Circle
Dallas, </v>
      </c>
      <c r="F2478" s="8">
        <f>IFERROR(__xludf.DUMMYFUNCTION("""COMPUTED_VALUE"""),75230.0)</f>
        <v>75230</v>
      </c>
      <c r="I2478" s="8">
        <f t="shared" si="25"/>
        <v>75230</v>
      </c>
      <c r="J2478" s="9">
        <f>IFERROR(__xludf.DUMMYFUNCTION("SPLIT(I2478,""-"")"),75230.0)</f>
        <v>75230</v>
      </c>
    </row>
    <row r="2479">
      <c r="A2479" s="10" t="s">
        <v>2246</v>
      </c>
      <c r="B2479" s="11">
        <v>250.0</v>
      </c>
      <c r="C2479" s="12" t="s">
        <v>634</v>
      </c>
      <c r="E2479" s="8" t="str">
        <f>IFERROR(__xludf.DUMMYFUNCTION("SPLIT(A2479,""TX"")"),"Kleinman, Mark
6926 Midbury Dr
Dallas, ")</f>
        <v>Kleinman, Mark
6926 Midbury Dr
Dallas, </v>
      </c>
      <c r="F2479" s="8">
        <f>IFERROR(__xludf.DUMMYFUNCTION("""COMPUTED_VALUE"""),75230.0)</f>
        <v>75230</v>
      </c>
      <c r="I2479" s="8">
        <f t="shared" si="25"/>
        <v>75230</v>
      </c>
      <c r="J2479" s="9">
        <f>IFERROR(__xludf.DUMMYFUNCTION("SPLIT(I2479,""-"")"),75230.0)</f>
        <v>75230</v>
      </c>
    </row>
    <row r="2480">
      <c r="A2480" s="5" t="s">
        <v>2247</v>
      </c>
      <c r="B2480" s="6">
        <v>1000.0</v>
      </c>
      <c r="C2480" s="7" t="s">
        <v>1065</v>
      </c>
      <c r="E2480" s="8" t="str">
        <f>IFERROR(__xludf.DUMMYFUNCTION("SPLIT(A2480,""TX"")"),"Yoxall, ")</f>
        <v>Yoxall, </v>
      </c>
      <c r="F2480" s="8" t="str">
        <f>IFERROR(__xludf.DUMMYFUNCTION("""COMPUTED_VALUE"""),"homas
2519 Cambria Blvd
Dallas, ")</f>
        <v>homas
2519 Cambria Blvd
Dallas, </v>
      </c>
      <c r="G2480" s="8">
        <f>IFERROR(__xludf.DUMMYFUNCTION("""COMPUTED_VALUE"""),75214.0)</f>
        <v>75214</v>
      </c>
      <c r="I2480" s="8">
        <f t="shared" si="25"/>
        <v>75214</v>
      </c>
      <c r="J2480" s="9">
        <f>IFERROR(__xludf.DUMMYFUNCTION("SPLIT(I2480,""-"")"),75214.0)</f>
        <v>75214</v>
      </c>
    </row>
    <row r="2481">
      <c r="A2481" s="5" t="s">
        <v>2248</v>
      </c>
      <c r="B2481" s="6">
        <v>50.0</v>
      </c>
      <c r="C2481" s="7" t="s">
        <v>1065</v>
      </c>
      <c r="E2481" s="8" t="str">
        <f>IFERROR(__xludf.DUMMYFUNCTION("SPLIT(A2481,""TX"")"),"Luther, David
619 Kessler Springs Ave
Dallas, ")</f>
        <v>Luther, David
619 Kessler Springs Ave
Dallas, </v>
      </c>
      <c r="F2481" s="8">
        <f>IFERROR(__xludf.DUMMYFUNCTION("""COMPUTED_VALUE"""),75208.0)</f>
        <v>75208</v>
      </c>
      <c r="I2481" s="8">
        <f t="shared" si="25"/>
        <v>75208</v>
      </c>
      <c r="J2481" s="9">
        <f>IFERROR(__xludf.DUMMYFUNCTION("SPLIT(I2481,""-"")"),75208.0)</f>
        <v>75208</v>
      </c>
    </row>
    <row r="2482">
      <c r="A2482" s="10" t="s">
        <v>2249</v>
      </c>
      <c r="B2482" s="11">
        <v>1000.0</v>
      </c>
      <c r="C2482" s="12" t="s">
        <v>1065</v>
      </c>
      <c r="E2482" s="8" t="str">
        <f>IFERROR(__xludf.DUMMYFUNCTION("SPLIT(A2482,""TX"")"),"Best, Nancy
9762 Audubon Place
Dallas, ")</f>
        <v>Best, Nancy
9762 Audubon Place
Dallas, </v>
      </c>
      <c r="F2482" s="8">
        <f>IFERROR(__xludf.DUMMYFUNCTION("""COMPUTED_VALUE"""),75220.0)</f>
        <v>75220</v>
      </c>
      <c r="I2482" s="8">
        <f t="shared" si="25"/>
        <v>75220</v>
      </c>
      <c r="J2482" s="9">
        <f>IFERROR(__xludf.DUMMYFUNCTION("SPLIT(I2482,""-"")"),75220.0)</f>
        <v>75220</v>
      </c>
    </row>
    <row r="2483">
      <c r="A2483" s="5" t="s">
        <v>2250</v>
      </c>
      <c r="B2483" s="6">
        <v>500.0</v>
      </c>
      <c r="C2483" s="7" t="s">
        <v>1065</v>
      </c>
      <c r="E2483" s="8" t="str">
        <f>IFERROR(__xludf.DUMMYFUNCTION("SPLIT(A2483,""TX"")"),"Mann, Bruce
24 Linnaean Street
Cambridge, MA 02138")</f>
        <v>Mann, Bruce
24 Linnaean Street
Cambridge, MA 02138</v>
      </c>
      <c r="I2483" s="8" t="str">
        <f t="shared" si="25"/>
        <v/>
      </c>
      <c r="J2483" s="9" t="str">
        <f>IFERROR(__xludf.DUMMYFUNCTION("SPLIT(I2483,""-"")"),"#VALUE!")</f>
        <v>#VALUE!</v>
      </c>
    </row>
    <row r="2484">
      <c r="A2484" s="10" t="s">
        <v>2251</v>
      </c>
      <c r="B2484" s="11">
        <v>1000.0</v>
      </c>
      <c r="C2484" s="12" t="s">
        <v>1065</v>
      </c>
      <c r="E2484" s="8" t="str">
        <f>IFERROR(__xludf.DUMMYFUNCTION("SPLIT(A2484,""TX"")"),"Davis, Denise
58 Country Oaks Dr
Buda, ")</f>
        <v>Davis, Denise
58 Country Oaks Dr
Buda, </v>
      </c>
      <c r="F2484" s="8">
        <f>IFERROR(__xludf.DUMMYFUNCTION("""COMPUTED_VALUE"""),78610.0)</f>
        <v>78610</v>
      </c>
      <c r="I2484" s="8">
        <f t="shared" si="25"/>
        <v>78610</v>
      </c>
      <c r="J2484" s="9">
        <f>IFERROR(__xludf.DUMMYFUNCTION("SPLIT(I2484,""-"")"),78610.0)</f>
        <v>78610</v>
      </c>
    </row>
    <row r="2485">
      <c r="A2485" s="5" t="s">
        <v>2252</v>
      </c>
      <c r="B2485" s="6">
        <v>500.0</v>
      </c>
      <c r="C2485" s="7" t="s">
        <v>1065</v>
      </c>
      <c r="E2485" s="8" t="str">
        <f>IFERROR(__xludf.DUMMYFUNCTION("SPLIT(A2485,""TX"")"),"Lutin, Jason
3216 Princeton Ave
Dallas, ")</f>
        <v>Lutin, Jason
3216 Princeton Ave
Dallas, </v>
      </c>
      <c r="F2485" s="8">
        <f>IFERROR(__xludf.DUMMYFUNCTION("""COMPUTED_VALUE"""),75205.0)</f>
        <v>75205</v>
      </c>
      <c r="I2485" s="8">
        <f t="shared" si="25"/>
        <v>75205</v>
      </c>
      <c r="J2485" s="9">
        <f>IFERROR(__xludf.DUMMYFUNCTION("SPLIT(I2485,""-"")"),75205.0)</f>
        <v>75205</v>
      </c>
    </row>
    <row r="2486">
      <c r="A2486" s="10" t="s">
        <v>2253</v>
      </c>
      <c r="B2486" s="11">
        <v>200.0</v>
      </c>
      <c r="C2486" s="12" t="s">
        <v>1065</v>
      </c>
      <c r="E2486" s="8" t="str">
        <f>IFERROR(__xludf.DUMMYFUNCTION("SPLIT(A2486,""TX"")"),"Culbreath, Betty
630 Villa Creek Dr
Duncanville, ")</f>
        <v>Culbreath, Betty
630 Villa Creek Dr
Duncanville, </v>
      </c>
      <c r="F2486" s="8">
        <f>IFERROR(__xludf.DUMMYFUNCTION("""COMPUTED_VALUE"""),75137.0)</f>
        <v>75137</v>
      </c>
      <c r="I2486" s="8">
        <f t="shared" si="25"/>
        <v>75137</v>
      </c>
      <c r="J2486" s="9">
        <f>IFERROR(__xludf.DUMMYFUNCTION("SPLIT(I2486,""-"")"),75137.0)</f>
        <v>75137</v>
      </c>
    </row>
    <row r="2487">
      <c r="A2487" s="10" t="s">
        <v>2254</v>
      </c>
      <c r="B2487" s="11">
        <v>100.0</v>
      </c>
      <c r="C2487" s="12" t="s">
        <v>1065</v>
      </c>
      <c r="E2487" s="8" t="str">
        <f>IFERROR(__xludf.DUMMYFUNCTION("SPLIT(A2487,""TX"")"),"Parobek, Jim
7233 Brennans Dr
Dallas, ")</f>
        <v>Parobek, Jim
7233 Brennans Dr
Dallas, </v>
      </c>
      <c r="F2487" s="8">
        <f>IFERROR(__xludf.DUMMYFUNCTION("""COMPUTED_VALUE"""),75214.0)</f>
        <v>75214</v>
      </c>
      <c r="I2487" s="8">
        <f t="shared" si="25"/>
        <v>75214</v>
      </c>
      <c r="J2487" s="9">
        <f>IFERROR(__xludf.DUMMYFUNCTION("SPLIT(I2487,""-"")"),75214.0)</f>
        <v>75214</v>
      </c>
    </row>
    <row r="2488">
      <c r="A2488" s="5" t="s">
        <v>2255</v>
      </c>
      <c r="B2488" s="6">
        <v>2500.0</v>
      </c>
      <c r="C2488" s="7" t="s">
        <v>1065</v>
      </c>
      <c r="E2488" s="8" t="str">
        <f>IFERROR(__xludf.DUMMYFUNCTION("SPLIT(A2488,""TX"")"),"Olson, Lyndon
5400 Bosque Blvd
Waco, ")</f>
        <v>Olson, Lyndon
5400 Bosque Blvd
Waco, </v>
      </c>
      <c r="F2488" s="8">
        <f>IFERROR(__xludf.DUMMYFUNCTION("""COMPUTED_VALUE"""),76710.0)</f>
        <v>76710</v>
      </c>
      <c r="I2488" s="8">
        <f t="shared" si="25"/>
        <v>76710</v>
      </c>
      <c r="J2488" s="9">
        <f>IFERROR(__xludf.DUMMYFUNCTION("SPLIT(I2488,""-"")"),76710.0)</f>
        <v>76710</v>
      </c>
    </row>
    <row r="2489">
      <c r="A2489" s="10" t="s">
        <v>2256</v>
      </c>
      <c r="B2489" s="11">
        <v>500.0</v>
      </c>
      <c r="C2489" s="12" t="s">
        <v>1065</v>
      </c>
      <c r="E2489" s="8" t="str">
        <f>IFERROR(__xludf.DUMMYFUNCTION("SPLIT(A2489,""TX"")"),"Sacher, Sury and David
7225 South Janmar court
Dallas, ")</f>
        <v>Sacher, Sury and David
7225 South Janmar court
Dallas, </v>
      </c>
      <c r="F2489" s="8">
        <f>IFERROR(__xludf.DUMMYFUNCTION("""COMPUTED_VALUE"""),75230.0)</f>
        <v>75230</v>
      </c>
      <c r="I2489" s="8">
        <f t="shared" si="25"/>
        <v>75230</v>
      </c>
      <c r="J2489" s="9">
        <f>IFERROR(__xludf.DUMMYFUNCTION("SPLIT(I2489,""-"")"),75230.0)</f>
        <v>75230</v>
      </c>
    </row>
    <row r="2490">
      <c r="A2490" s="5" t="s">
        <v>1155</v>
      </c>
      <c r="B2490" s="6">
        <v>2500.0</v>
      </c>
      <c r="C2490" s="7" t="s">
        <v>1065</v>
      </c>
      <c r="E2490" s="8" t="str">
        <f>IFERROR(__xludf.DUMMYFUNCTION("SPLIT(A2490,""TX"")"),"Rose, Deedie
5 Willowood St
Dallas, ")</f>
        <v>Rose, Deedie
5 Willowood St
Dallas, </v>
      </c>
      <c r="F2490" s="8">
        <f>IFERROR(__xludf.DUMMYFUNCTION("""COMPUTED_VALUE"""),75205.0)</f>
        <v>75205</v>
      </c>
      <c r="I2490" s="8">
        <f t="shared" si="25"/>
        <v>75205</v>
      </c>
      <c r="J2490" s="9">
        <f>IFERROR(__xludf.DUMMYFUNCTION("SPLIT(I2490,""-"")"),75205.0)</f>
        <v>75205</v>
      </c>
    </row>
    <row r="2491">
      <c r="A2491" s="10" t="s">
        <v>2257</v>
      </c>
      <c r="B2491" s="11">
        <v>100.0</v>
      </c>
      <c r="C2491" s="12" t="s">
        <v>1065</v>
      </c>
      <c r="E2491" s="8" t="str">
        <f>IFERROR(__xludf.DUMMYFUNCTION("SPLIT(A2491,""TX"")"),"Renfro, Liz &amp; Mel
8211 Hunnicut Rd
Dallas, ")</f>
        <v>Renfro, Liz &amp; Mel
8211 Hunnicut Rd
Dallas, </v>
      </c>
      <c r="F2491" s="8">
        <f>IFERROR(__xludf.DUMMYFUNCTION("""COMPUTED_VALUE"""),75228.0)</f>
        <v>75228</v>
      </c>
      <c r="I2491" s="8">
        <f t="shared" si="25"/>
        <v>75228</v>
      </c>
      <c r="J2491" s="9">
        <f>IFERROR(__xludf.DUMMYFUNCTION("SPLIT(I2491,""-"")"),75228.0)</f>
        <v>75228</v>
      </c>
    </row>
    <row r="2492">
      <c r="A2492" s="5" t="s">
        <v>2258</v>
      </c>
      <c r="B2492" s="6">
        <v>100.0</v>
      </c>
      <c r="C2492" s="7" t="s">
        <v>1065</v>
      </c>
      <c r="E2492" s="8" t="str">
        <f>IFERROR(__xludf.DUMMYFUNCTION("SPLIT(A2492,""TX"")"),"Andres, Marc
2800 N Henderson Ave
Dallas, ")</f>
        <v>Andres, Marc
2800 N Henderson Ave
Dallas, </v>
      </c>
      <c r="F2492" s="8">
        <f>IFERROR(__xludf.DUMMYFUNCTION("""COMPUTED_VALUE"""),75206.0)</f>
        <v>75206</v>
      </c>
      <c r="I2492" s="8">
        <f t="shared" si="25"/>
        <v>75206</v>
      </c>
      <c r="J2492" s="9">
        <f>IFERROR(__xludf.DUMMYFUNCTION("SPLIT(I2492,""-"")"),75206.0)</f>
        <v>75206</v>
      </c>
    </row>
    <row r="2493">
      <c r="A2493" s="10" t="s">
        <v>2259</v>
      </c>
      <c r="B2493" s="11">
        <v>500.0</v>
      </c>
      <c r="C2493" s="12" t="s">
        <v>1065</v>
      </c>
      <c r="E2493" s="8" t="str">
        <f>IFERROR(__xludf.DUMMYFUNCTION("SPLIT(A2493,""TX"")"),"Vaught, Allen
6122 Palo Pinto Ave
Dallas, ")</f>
        <v>Vaught, Allen
6122 Palo Pinto Ave
Dallas, </v>
      </c>
      <c r="F2493" s="8">
        <f>IFERROR(__xludf.DUMMYFUNCTION("""COMPUTED_VALUE"""),75214.0)</f>
        <v>75214</v>
      </c>
      <c r="I2493" s="8">
        <f t="shared" si="25"/>
        <v>75214</v>
      </c>
      <c r="J2493" s="9">
        <f>IFERROR(__xludf.DUMMYFUNCTION("SPLIT(I2493,""-"")"),75214.0)</f>
        <v>75214</v>
      </c>
    </row>
    <row r="2494">
      <c r="A2494" s="5" t="s">
        <v>2260</v>
      </c>
      <c r="B2494" s="6">
        <v>500.0</v>
      </c>
      <c r="C2494" s="7" t="s">
        <v>1065</v>
      </c>
      <c r="E2494" s="8" t="str">
        <f>IFERROR(__xludf.DUMMYFUNCTION("SPLIT(A2494,""TX"")"),"Ku, Charles
148 Red Oak Lane
Flower Mound, ")</f>
        <v>Ku, Charles
148 Red Oak Lane
Flower Mound, </v>
      </c>
      <c r="F2494" s="8">
        <f>IFERROR(__xludf.DUMMYFUNCTION("""COMPUTED_VALUE"""),75028.0)</f>
        <v>75028</v>
      </c>
      <c r="I2494" s="8">
        <f t="shared" si="25"/>
        <v>75028</v>
      </c>
      <c r="J2494" s="9">
        <f>IFERROR(__xludf.DUMMYFUNCTION("SPLIT(I2494,""-"")"),75028.0)</f>
        <v>75028</v>
      </c>
    </row>
    <row r="2495">
      <c r="A2495" s="10" t="s">
        <v>2261</v>
      </c>
      <c r="B2495" s="11">
        <v>1000.0</v>
      </c>
      <c r="C2495" s="12" t="s">
        <v>1065</v>
      </c>
      <c r="E2495" s="8" t="str">
        <f>IFERROR(__xludf.DUMMYFUNCTION("SPLIT(A2495,""TX"")"),"Sampson, DeMetris
2207 Elderoaks Lane
Dallas, ")</f>
        <v>Sampson, DeMetris
2207 Elderoaks Lane
Dallas, </v>
      </c>
      <c r="F2495" s="8">
        <f>IFERROR(__xludf.DUMMYFUNCTION("""COMPUTED_VALUE"""),75232.0)</f>
        <v>75232</v>
      </c>
      <c r="I2495" s="8">
        <f t="shared" si="25"/>
        <v>75232</v>
      </c>
      <c r="J2495" s="9">
        <f>IFERROR(__xludf.DUMMYFUNCTION("SPLIT(I2495,""-"")"),75232.0)</f>
        <v>75232</v>
      </c>
    </row>
    <row r="2496">
      <c r="A2496" s="5" t="s">
        <v>2262</v>
      </c>
      <c r="B2496" s="6">
        <v>1000.0</v>
      </c>
      <c r="C2496" s="7" t="s">
        <v>1065</v>
      </c>
      <c r="E2496" s="8" t="str">
        <f>IFERROR(__xludf.DUMMYFUNCTION("SPLIT(A2496,""TX"")"),"Dominguez, Jeffrey
3112 Windsor Road
Austin, ")</f>
        <v>Dominguez, Jeffrey
3112 Windsor Road
Austin, </v>
      </c>
      <c r="F2496" s="8">
        <f>IFERROR(__xludf.DUMMYFUNCTION("""COMPUTED_VALUE"""),78703.0)</f>
        <v>78703</v>
      </c>
      <c r="I2496" s="8">
        <f t="shared" si="25"/>
        <v>78703</v>
      </c>
      <c r="J2496" s="9">
        <f>IFERROR(__xludf.DUMMYFUNCTION("SPLIT(I2496,""-"")"),78703.0)</f>
        <v>78703</v>
      </c>
    </row>
    <row r="2497">
      <c r="A2497" s="10" t="s">
        <v>1926</v>
      </c>
      <c r="B2497" s="11">
        <v>5000.0</v>
      </c>
      <c r="C2497" s="12" t="s">
        <v>1065</v>
      </c>
      <c r="E2497" s="8" t="str">
        <f>IFERROR(__xludf.DUMMYFUNCTION("SPLIT(A2497,""TX"")"),"Okon, Louis
7219 Kenny Lane
Dallas, ")</f>
        <v>Okon, Louis
7219 Kenny Lane
Dallas, </v>
      </c>
      <c r="F2497" s="8">
        <f>IFERROR(__xludf.DUMMYFUNCTION("""COMPUTED_VALUE"""),75230.0)</f>
        <v>75230</v>
      </c>
      <c r="I2497" s="8">
        <f t="shared" si="25"/>
        <v>75230</v>
      </c>
      <c r="J2497" s="9">
        <f>IFERROR(__xludf.DUMMYFUNCTION("SPLIT(I2497,""-"")"),75230.0)</f>
        <v>75230</v>
      </c>
    </row>
    <row r="2498">
      <c r="A2498" s="5" t="s">
        <v>2263</v>
      </c>
      <c r="B2498" s="6">
        <v>1000.0</v>
      </c>
      <c r="C2498" s="7" t="s">
        <v>1065</v>
      </c>
      <c r="E2498" s="8" t="str">
        <f>IFERROR(__xludf.DUMMYFUNCTION("SPLIT(A2498,""TX"")"),"Knaupe, Gregg
800 Westbrook Dr
West Lake, ")</f>
        <v>Knaupe, Gregg
800 Westbrook Dr
West Lake, </v>
      </c>
      <c r="F2498" s="8">
        <f>IFERROR(__xludf.DUMMYFUNCTION("""COMPUTED_VALUE"""),78746.0)</f>
        <v>78746</v>
      </c>
      <c r="I2498" s="8">
        <f t="shared" si="25"/>
        <v>78746</v>
      </c>
      <c r="J2498" s="9">
        <f>IFERROR(__xludf.DUMMYFUNCTION("SPLIT(I2498,""-"")"),78746.0)</f>
        <v>78746</v>
      </c>
    </row>
    <row r="2499">
      <c r="A2499" s="10" t="s">
        <v>2264</v>
      </c>
      <c r="B2499" s="11">
        <v>100.0</v>
      </c>
      <c r="C2499" s="12" t="s">
        <v>1065</v>
      </c>
      <c r="E2499" s="8" t="str">
        <f>IFERROR(__xludf.DUMMYFUNCTION("SPLIT(A2499,""TX"")"),"Christian, Jerry
8112 Fox Creek ")</f>
        <v>Christian, Jerry
8112 Fox Creek </v>
      </c>
      <c r="F2499" s="8" t="str">
        <f>IFERROR(__xludf.DUMMYFUNCTION("""COMPUTED_VALUE"""),"rail
Dallas, ")</f>
        <v>rail
Dallas, </v>
      </c>
      <c r="G2499" s="8">
        <f>IFERROR(__xludf.DUMMYFUNCTION("""COMPUTED_VALUE"""),75249.0)</f>
        <v>75249</v>
      </c>
      <c r="I2499" s="8">
        <f t="shared" si="25"/>
        <v>75249</v>
      </c>
      <c r="J2499" s="9">
        <f>IFERROR(__xludf.DUMMYFUNCTION("SPLIT(I2499,""-"")"),75249.0)</f>
        <v>75249</v>
      </c>
    </row>
    <row r="2500">
      <c r="A2500" s="5" t="s">
        <v>2265</v>
      </c>
      <c r="B2500" s="6">
        <v>100.0</v>
      </c>
      <c r="C2500" s="7" t="s">
        <v>1065</v>
      </c>
      <c r="E2500" s="8" t="str">
        <f>IFERROR(__xludf.DUMMYFUNCTION("SPLIT(A2500,""TX"")"),"Wynne, Katherine
342 N Manus Dr
Dallas, ")</f>
        <v>Wynne, Katherine
342 N Manus Dr
Dallas, </v>
      </c>
      <c r="F2500" s="8">
        <f>IFERROR(__xludf.DUMMYFUNCTION("""COMPUTED_VALUE"""),75224.0)</f>
        <v>75224</v>
      </c>
      <c r="I2500" s="8">
        <f t="shared" si="25"/>
        <v>75224</v>
      </c>
      <c r="J2500" s="9">
        <f>IFERROR(__xludf.DUMMYFUNCTION("SPLIT(I2500,""-"")"),75224.0)</f>
        <v>75224</v>
      </c>
    </row>
    <row r="2501">
      <c r="A2501" s="10" t="s">
        <v>2266</v>
      </c>
      <c r="B2501" s="11">
        <v>100.0</v>
      </c>
      <c r="C2501" s="12" t="s">
        <v>1065</v>
      </c>
      <c r="E2501" s="8" t="str">
        <f>IFERROR(__xludf.DUMMYFUNCTION("SPLIT(A2501,""TX"")"),"Gump, Richard
6015 Oakcrest Road
Dallas, ")</f>
        <v>Gump, Richard
6015 Oakcrest Road
Dallas, </v>
      </c>
      <c r="F2501" s="8">
        <f>IFERROR(__xludf.DUMMYFUNCTION("""COMPUTED_VALUE"""),75248.0)</f>
        <v>75248</v>
      </c>
      <c r="I2501" s="8">
        <f t="shared" si="25"/>
        <v>75248</v>
      </c>
      <c r="J2501" s="9">
        <f>IFERROR(__xludf.DUMMYFUNCTION("SPLIT(I2501,""-"")"),75248.0)</f>
        <v>75248</v>
      </c>
    </row>
    <row r="2502">
      <c r="A2502" s="5" t="s">
        <v>2267</v>
      </c>
      <c r="B2502" s="6">
        <v>100.0</v>
      </c>
      <c r="C2502" s="7" t="s">
        <v>1065</v>
      </c>
      <c r="E2502" s="8" t="str">
        <f>IFERROR(__xludf.DUMMYFUNCTION("SPLIT(A2502,""TX"")"),"Koch, Justin
12132 Fieldwood Lane
Dallas, ")</f>
        <v>Koch, Justin
12132 Fieldwood Lane
Dallas, </v>
      </c>
      <c r="F2502" s="8">
        <f>IFERROR(__xludf.DUMMYFUNCTION("""COMPUTED_VALUE"""),75244.0)</f>
        <v>75244</v>
      </c>
      <c r="I2502" s="8">
        <f t="shared" si="25"/>
        <v>75244</v>
      </c>
      <c r="J2502" s="9">
        <f>IFERROR(__xludf.DUMMYFUNCTION("SPLIT(I2502,""-"")"),75244.0)</f>
        <v>75244</v>
      </c>
    </row>
    <row r="2503">
      <c r="A2503" s="10" t="s">
        <v>317</v>
      </c>
      <c r="B2503" s="11">
        <v>500.0</v>
      </c>
      <c r="C2503" s="12" t="s">
        <v>1065</v>
      </c>
      <c r="E2503" s="8" t="str">
        <f>IFERROR(__xludf.DUMMYFUNCTION("SPLIT(A2503,""TX"")"),"Billingsley, Lucy
1722 Routh Street
Dallas, ")</f>
        <v>Billingsley, Lucy
1722 Routh Street
Dallas, </v>
      </c>
      <c r="F2503" s="8">
        <f>IFERROR(__xludf.DUMMYFUNCTION("""COMPUTED_VALUE"""),75201.0)</f>
        <v>75201</v>
      </c>
      <c r="I2503" s="8">
        <f t="shared" si="25"/>
        <v>75201</v>
      </c>
      <c r="J2503" s="9">
        <f>IFERROR(__xludf.DUMMYFUNCTION("SPLIT(I2503,""-"")"),75201.0)</f>
        <v>75201</v>
      </c>
    </row>
    <row r="2504">
      <c r="A2504" s="5" t="s">
        <v>2268</v>
      </c>
      <c r="B2504" s="6">
        <v>50.0</v>
      </c>
      <c r="C2504" s="7" t="s">
        <v>1065</v>
      </c>
      <c r="E2504" s="8" t="str">
        <f>IFERROR(__xludf.DUMMYFUNCTION("SPLIT(A2504,""TX"")"),"Ayala, Juan
9668 Arborhill
Dallas, ")</f>
        <v>Ayala, Juan
9668 Arborhill
Dallas, </v>
      </c>
      <c r="F2504" s="8">
        <f>IFERROR(__xludf.DUMMYFUNCTION("""COMPUTED_VALUE"""),75243.0)</f>
        <v>75243</v>
      </c>
      <c r="I2504" s="8">
        <f t="shared" si="25"/>
        <v>75243</v>
      </c>
      <c r="J2504" s="9">
        <f>IFERROR(__xludf.DUMMYFUNCTION("SPLIT(I2504,""-"")"),75243.0)</f>
        <v>75243</v>
      </c>
    </row>
    <row r="2505">
      <c r="A2505" s="10" t="s">
        <v>2269</v>
      </c>
      <c r="B2505" s="11">
        <v>1000.0</v>
      </c>
      <c r="C2505" s="12" t="s">
        <v>1065</v>
      </c>
      <c r="E2505" s="8" t="str">
        <f>IFERROR(__xludf.DUMMYFUNCTION("SPLIT(A2505,""TX"")"),"Ross, Darmetta
3107 W Camp Wisdom
Dallas, ")</f>
        <v>Ross, Darmetta
3107 W Camp Wisdom
Dallas, </v>
      </c>
      <c r="F2505" s="8">
        <f>IFERROR(__xludf.DUMMYFUNCTION("""COMPUTED_VALUE"""),75237.0)</f>
        <v>75237</v>
      </c>
      <c r="I2505" s="8">
        <f t="shared" si="25"/>
        <v>75237</v>
      </c>
      <c r="J2505" s="9">
        <f>IFERROR(__xludf.DUMMYFUNCTION("SPLIT(I2505,""-"")"),75237.0)</f>
        <v>75237</v>
      </c>
    </row>
    <row r="2506">
      <c r="A2506" s="5" t="s">
        <v>2270</v>
      </c>
      <c r="B2506" s="6">
        <v>100.0</v>
      </c>
      <c r="C2506" s="7" t="s">
        <v>1065</v>
      </c>
      <c r="E2506" s="8" t="str">
        <f>IFERROR(__xludf.DUMMYFUNCTION("SPLIT(A2506,""TX"")"),"Johnson, Lelious
1256 Payne Dr
Lancaster, ")</f>
        <v>Johnson, Lelious
1256 Payne Dr
Lancaster, </v>
      </c>
      <c r="F2506" s="8">
        <f>IFERROR(__xludf.DUMMYFUNCTION("""COMPUTED_VALUE"""),75134.0)</f>
        <v>75134</v>
      </c>
      <c r="I2506" s="8">
        <f t="shared" si="25"/>
        <v>75134</v>
      </c>
      <c r="J2506" s="9">
        <f>IFERROR(__xludf.DUMMYFUNCTION("SPLIT(I2506,""-"")"),75134.0)</f>
        <v>75134</v>
      </c>
    </row>
    <row r="2507">
      <c r="A2507" s="10" t="s">
        <v>2271</v>
      </c>
      <c r="B2507" s="11">
        <v>500.0</v>
      </c>
      <c r="C2507" s="12" t="s">
        <v>1065</v>
      </c>
      <c r="E2507" s="8" t="str">
        <f>IFERROR(__xludf.DUMMYFUNCTION("SPLIT(A2507,""TX"")"),"Brown, David
4719 Cole Ave
Dallas, ")</f>
        <v>Brown, David
4719 Cole Ave
Dallas, </v>
      </c>
      <c r="F2507" s="8">
        <f>IFERROR(__xludf.DUMMYFUNCTION("""COMPUTED_VALUE"""),75205.0)</f>
        <v>75205</v>
      </c>
      <c r="I2507" s="8">
        <f t="shared" si="25"/>
        <v>75205</v>
      </c>
      <c r="J2507" s="9">
        <f>IFERROR(__xludf.DUMMYFUNCTION("SPLIT(I2507,""-"")"),75205.0)</f>
        <v>75205</v>
      </c>
    </row>
    <row r="2508">
      <c r="A2508" s="5" t="s">
        <v>2272</v>
      </c>
      <c r="B2508" s="6">
        <v>100.0</v>
      </c>
      <c r="C2508" s="7" t="s">
        <v>1065</v>
      </c>
      <c r="E2508" s="8" t="str">
        <f>IFERROR(__xludf.DUMMYFUNCTION("SPLIT(A2508,""TX"")"),"Brock, Anthony
5915 Mesa Brook Ln
Houston, ")</f>
        <v>Brock, Anthony
5915 Mesa Brook Ln
Houston, </v>
      </c>
      <c r="F2508" s="8">
        <f>IFERROR(__xludf.DUMMYFUNCTION("""COMPUTED_VALUE"""),77041.0)</f>
        <v>77041</v>
      </c>
      <c r="I2508" s="8">
        <f t="shared" si="25"/>
        <v>77041</v>
      </c>
      <c r="J2508" s="9">
        <f>IFERROR(__xludf.DUMMYFUNCTION("SPLIT(I2508,""-"")"),77041.0)</f>
        <v>77041</v>
      </c>
    </row>
    <row r="2509">
      <c r="A2509" s="10" t="s">
        <v>448</v>
      </c>
      <c r="B2509" s="11">
        <v>100.0</v>
      </c>
      <c r="C2509" s="12" t="s">
        <v>1065</v>
      </c>
      <c r="E2509" s="8" t="str">
        <f>IFERROR(__xludf.DUMMYFUNCTION("SPLIT(A2509,""TX"")"),"Griffith, Gary
6875 Carolyncrest Drive
Dallas, ")</f>
        <v>Griffith, Gary
6875 Carolyncrest Drive
Dallas, </v>
      </c>
      <c r="F2509" s="8">
        <f>IFERROR(__xludf.DUMMYFUNCTION("""COMPUTED_VALUE"""),75214.0)</f>
        <v>75214</v>
      </c>
      <c r="I2509" s="8">
        <f t="shared" si="25"/>
        <v>75214</v>
      </c>
      <c r="J2509" s="9">
        <f>IFERROR(__xludf.DUMMYFUNCTION("SPLIT(I2509,""-"")"),75214.0)</f>
        <v>75214</v>
      </c>
    </row>
    <row r="2510">
      <c r="A2510" s="5" t="s">
        <v>2273</v>
      </c>
      <c r="B2510" s="6">
        <v>100.0</v>
      </c>
      <c r="C2510" s="7" t="s">
        <v>1065</v>
      </c>
      <c r="E2510" s="8" t="str">
        <f>IFERROR(__xludf.DUMMYFUNCTION("SPLIT(A2510,""TX"")"),"Mondell, Fonya
1918 Moser Ave
Dallas, ")</f>
        <v>Mondell, Fonya
1918 Moser Ave
Dallas, </v>
      </c>
      <c r="F2510" s="8">
        <f>IFERROR(__xludf.DUMMYFUNCTION("""COMPUTED_VALUE"""),75206.0)</f>
        <v>75206</v>
      </c>
      <c r="I2510" s="8">
        <f t="shared" si="25"/>
        <v>75206</v>
      </c>
      <c r="J2510" s="9">
        <f>IFERROR(__xludf.DUMMYFUNCTION("SPLIT(I2510,""-"")"),75206.0)</f>
        <v>75206</v>
      </c>
    </row>
    <row r="2511">
      <c r="A2511" s="10" t="s">
        <v>2274</v>
      </c>
      <c r="B2511" s="11">
        <v>100.0</v>
      </c>
      <c r="C2511" s="12" t="s">
        <v>1065</v>
      </c>
      <c r="E2511" s="8" t="str">
        <f>IFERROR(__xludf.DUMMYFUNCTION("SPLIT(A2511,""TX"")"),"Dym, Kevin
7928 Fallowmeadow Ln
Dallas, ")</f>
        <v>Dym, Kevin
7928 Fallowmeadow Ln
Dallas, </v>
      </c>
      <c r="F2511" s="8">
        <f>IFERROR(__xludf.DUMMYFUNCTION("""COMPUTED_VALUE"""),75206.0)</f>
        <v>75206</v>
      </c>
      <c r="I2511" s="8">
        <f t="shared" si="25"/>
        <v>75206</v>
      </c>
      <c r="J2511" s="9">
        <f>IFERROR(__xludf.DUMMYFUNCTION("SPLIT(I2511,""-"")"),75206.0)</f>
        <v>75206</v>
      </c>
    </row>
    <row r="2512">
      <c r="A2512" s="5" t="s">
        <v>2275</v>
      </c>
      <c r="B2512" s="6">
        <v>250.0</v>
      </c>
      <c r="C2512" s="7" t="s">
        <v>1065</v>
      </c>
      <c r="E2512" s="8" t="str">
        <f>IFERROR(__xludf.DUMMYFUNCTION("SPLIT(A2512,""TX"")"),"Scovell, ")</f>
        <v>Scovell, </v>
      </c>
      <c r="F2512" s="8" t="str">
        <f>IFERROR(__xludf.DUMMYFUNCTION("""COMPUTED_VALUE"""),"yler Dupree
7034 Alexander Dr
Dallas, ")</f>
        <v>yler Dupree
7034 Alexander Dr
Dallas, </v>
      </c>
      <c r="G2512" s="8">
        <f>IFERROR(__xludf.DUMMYFUNCTION("""COMPUTED_VALUE"""),75214.0)</f>
        <v>75214</v>
      </c>
      <c r="I2512" s="8">
        <f t="shared" si="25"/>
        <v>75214</v>
      </c>
      <c r="J2512" s="9">
        <f>IFERROR(__xludf.DUMMYFUNCTION("SPLIT(I2512,""-"")"),75214.0)</f>
        <v>75214</v>
      </c>
    </row>
    <row r="2513">
      <c r="A2513" s="10" t="s">
        <v>2276</v>
      </c>
      <c r="B2513" s="11">
        <v>50.0</v>
      </c>
      <c r="C2513" s="12" t="s">
        <v>1065</v>
      </c>
      <c r="E2513" s="8" t="str">
        <f>IFERROR(__xludf.DUMMYFUNCTION("SPLIT(A2513,""TX"")"),"Bullock, Robert and Sue
8020 Frankford Rd
Dallas, ")</f>
        <v>Bullock, Robert and Sue
8020 Frankford Rd
Dallas, </v>
      </c>
      <c r="F2513" s="8">
        <f>IFERROR(__xludf.DUMMYFUNCTION("""COMPUTED_VALUE"""),75252.0)</f>
        <v>75252</v>
      </c>
      <c r="I2513" s="8">
        <f t="shared" si="25"/>
        <v>75252</v>
      </c>
      <c r="J2513" s="9">
        <f>IFERROR(__xludf.DUMMYFUNCTION("SPLIT(I2513,""-"")"),75252.0)</f>
        <v>75252</v>
      </c>
    </row>
    <row r="2514">
      <c r="A2514" s="5" t="s">
        <v>2277</v>
      </c>
      <c r="B2514" s="6">
        <v>1000.0</v>
      </c>
      <c r="C2514" s="7" t="s">
        <v>1065</v>
      </c>
      <c r="E2514" s="8" t="str">
        <f>IFERROR(__xludf.DUMMYFUNCTION("SPLIT(A2514,""TX"")"),"Popolo, Joe
9002 Douglas Ave
Dallas, ")</f>
        <v>Popolo, Joe
9002 Douglas Ave
Dallas, </v>
      </c>
      <c r="F2514" s="8">
        <f>IFERROR(__xludf.DUMMYFUNCTION("""COMPUTED_VALUE"""),75225.0)</f>
        <v>75225</v>
      </c>
      <c r="I2514" s="8">
        <f t="shared" si="25"/>
        <v>75225</v>
      </c>
      <c r="J2514" s="9">
        <f>IFERROR(__xludf.DUMMYFUNCTION("SPLIT(I2514,""-"")"),75225.0)</f>
        <v>75225</v>
      </c>
    </row>
    <row r="2515">
      <c r="A2515" s="10" t="s">
        <v>2278</v>
      </c>
      <c r="B2515" s="11">
        <v>2500.0</v>
      </c>
      <c r="C2515" s="12" t="s">
        <v>1065</v>
      </c>
      <c r="E2515" s="8" t="str">
        <f>IFERROR(__xludf.DUMMYFUNCTION("SPLIT(A2515,""TX"")"),"Capelo, Jaime
401 W 15th St
Austin, ")</f>
        <v>Capelo, Jaime
401 W 15th St
Austin, </v>
      </c>
      <c r="F2515" s="8">
        <f>IFERROR(__xludf.DUMMYFUNCTION("""COMPUTED_VALUE"""),78701.0)</f>
        <v>78701</v>
      </c>
      <c r="I2515" s="8">
        <f t="shared" si="25"/>
        <v>78701</v>
      </c>
      <c r="J2515" s="9">
        <f>IFERROR(__xludf.DUMMYFUNCTION("SPLIT(I2515,""-"")"),78701.0)</f>
        <v>78701</v>
      </c>
    </row>
    <row r="2516">
      <c r="A2516" s="5" t="s">
        <v>2279</v>
      </c>
      <c r="B2516" s="6">
        <v>1000.0</v>
      </c>
      <c r="C2516" s="7" t="s">
        <v>1065</v>
      </c>
      <c r="E2516" s="8" t="str">
        <f>IFERROR(__xludf.DUMMYFUNCTION("SPLIT(A2516,""TX"")"),"Feinstein, Ari
7047 Currin Dr
Dallas, ")</f>
        <v>Feinstein, Ari
7047 Currin Dr
Dallas, </v>
      </c>
      <c r="F2516" s="8">
        <f>IFERROR(__xludf.DUMMYFUNCTION("""COMPUTED_VALUE"""),75230.0)</f>
        <v>75230</v>
      </c>
      <c r="I2516" s="8">
        <f t="shared" si="25"/>
        <v>75230</v>
      </c>
      <c r="J2516" s="9">
        <f>IFERROR(__xludf.DUMMYFUNCTION("SPLIT(I2516,""-"")"),75230.0)</f>
        <v>75230</v>
      </c>
    </row>
    <row r="2517">
      <c r="A2517" s="10" t="s">
        <v>2280</v>
      </c>
      <c r="B2517" s="11">
        <v>50.0</v>
      </c>
      <c r="C2517" s="12" t="s">
        <v>1065</v>
      </c>
      <c r="E2517" s="8" t="str">
        <f>IFERROR(__xludf.DUMMYFUNCTION("SPLIT(A2517,""TX"")"),"Lazof, Chenza
2555 N Pearl St
Dallas, ")</f>
        <v>Lazof, Chenza
2555 N Pearl St
Dallas, </v>
      </c>
      <c r="F2517" s="8">
        <f>IFERROR(__xludf.DUMMYFUNCTION("""COMPUTED_VALUE"""),75201.0)</f>
        <v>75201</v>
      </c>
      <c r="I2517" s="8">
        <f t="shared" si="25"/>
        <v>75201</v>
      </c>
      <c r="J2517" s="9">
        <f>IFERROR(__xludf.DUMMYFUNCTION("SPLIT(I2517,""-"")"),75201.0)</f>
        <v>75201</v>
      </c>
    </row>
    <row r="2518">
      <c r="A2518" s="5" t="s">
        <v>2281</v>
      </c>
      <c r="B2518" s="6">
        <v>50.0</v>
      </c>
      <c r="C2518" s="7" t="s">
        <v>1065</v>
      </c>
      <c r="E2518" s="8" t="str">
        <f>IFERROR(__xludf.DUMMYFUNCTION("SPLIT(A2518,""TX"")"),"Senat, Doran
1410 Iowa Ave
Dallas, ")</f>
        <v>Senat, Doran
1410 Iowa Ave
Dallas, </v>
      </c>
      <c r="F2518" s="8">
        <f>IFERROR(__xludf.DUMMYFUNCTION("""COMPUTED_VALUE"""),75216.0)</f>
        <v>75216</v>
      </c>
      <c r="I2518" s="8">
        <f t="shared" si="25"/>
        <v>75216</v>
      </c>
      <c r="J2518" s="9">
        <f>IFERROR(__xludf.DUMMYFUNCTION("SPLIT(I2518,""-"")"),75216.0)</f>
        <v>75216</v>
      </c>
    </row>
    <row r="2519">
      <c r="A2519" s="10" t="s">
        <v>2282</v>
      </c>
      <c r="B2519" s="11">
        <v>100.0</v>
      </c>
      <c r="C2519" s="12" t="s">
        <v>1065</v>
      </c>
      <c r="E2519" s="8" t="str">
        <f>IFERROR(__xludf.DUMMYFUNCTION("SPLIT(A2519,""TX"")"),"Botefuhr, John
10119 Estacado Dr
Dallas, ")</f>
        <v>Botefuhr, John
10119 Estacado Dr
Dallas, </v>
      </c>
      <c r="F2519" s="8">
        <f>IFERROR(__xludf.DUMMYFUNCTION("""COMPUTED_VALUE"""),75228.0)</f>
        <v>75228</v>
      </c>
      <c r="I2519" s="8">
        <f t="shared" si="25"/>
        <v>75228</v>
      </c>
      <c r="J2519" s="9">
        <f>IFERROR(__xludf.DUMMYFUNCTION("SPLIT(I2519,""-"")"),75228.0)</f>
        <v>75228</v>
      </c>
    </row>
    <row r="2520">
      <c r="A2520" s="5" t="s">
        <v>2283</v>
      </c>
      <c r="B2520" s="6">
        <v>500.0</v>
      </c>
      <c r="C2520" s="7" t="s">
        <v>1065</v>
      </c>
      <c r="E2520" s="8" t="str">
        <f>IFERROR(__xludf.DUMMYFUNCTION("SPLIT(A2520,""TX"")"),"Phillips, Slay
506 Sacramento Dr
Austin, ")</f>
        <v>Phillips, Slay
506 Sacramento Dr
Austin, </v>
      </c>
      <c r="F2520" s="8">
        <f>IFERROR(__xludf.DUMMYFUNCTION("""COMPUTED_VALUE"""),78704.0)</f>
        <v>78704</v>
      </c>
      <c r="I2520" s="8">
        <f t="shared" si="25"/>
        <v>78704</v>
      </c>
      <c r="J2520" s="9">
        <f>IFERROR(__xludf.DUMMYFUNCTION("SPLIT(I2520,""-"")"),78704.0)</f>
        <v>78704</v>
      </c>
    </row>
    <row r="2521">
      <c r="A2521" s="10" t="s">
        <v>2284</v>
      </c>
      <c r="B2521" s="11">
        <v>100.0</v>
      </c>
      <c r="C2521" s="12" t="s">
        <v>1065</v>
      </c>
      <c r="E2521" s="8" t="str">
        <f>IFERROR(__xludf.DUMMYFUNCTION("SPLIT(A2521,""TX"")"),"Oliver, Jesse
3812 Holliday Rd
Dallas, ")</f>
        <v>Oliver, Jesse
3812 Holliday Rd
Dallas, </v>
      </c>
      <c r="F2521" s="8">
        <f>IFERROR(__xludf.DUMMYFUNCTION("""COMPUTED_VALUE"""),75224.0)</f>
        <v>75224</v>
      </c>
      <c r="I2521" s="8">
        <f t="shared" si="25"/>
        <v>75224</v>
      </c>
      <c r="J2521" s="9">
        <f>IFERROR(__xludf.DUMMYFUNCTION("SPLIT(I2521,""-"")"),75224.0)</f>
        <v>75224</v>
      </c>
    </row>
    <row r="2522">
      <c r="A2522" s="5" t="s">
        <v>2285</v>
      </c>
      <c r="B2522" s="6">
        <v>100.0</v>
      </c>
      <c r="C2522" s="7" t="s">
        <v>1065</v>
      </c>
      <c r="E2522" s="8" t="str">
        <f>IFERROR(__xludf.DUMMYFUNCTION("SPLIT(A2522,""TX"")"),"olbert, Marah
1700 Cedar Springs Rd
Dallas, ")</f>
        <v>olbert, Marah
1700 Cedar Springs Rd
Dallas, </v>
      </c>
      <c r="F2522" s="8">
        <f>IFERROR(__xludf.DUMMYFUNCTION("""COMPUTED_VALUE"""),75202.0)</f>
        <v>75202</v>
      </c>
      <c r="I2522" s="8">
        <f t="shared" si="25"/>
        <v>75202</v>
      </c>
      <c r="J2522" s="9">
        <f>IFERROR(__xludf.DUMMYFUNCTION("SPLIT(I2522,""-"")"),75202.0)</f>
        <v>75202</v>
      </c>
    </row>
    <row r="2523">
      <c r="A2523" s="10" t="s">
        <v>2286</v>
      </c>
      <c r="B2523" s="11">
        <v>100.0</v>
      </c>
      <c r="C2523" s="12" t="s">
        <v>1065</v>
      </c>
      <c r="E2523" s="8" t="str">
        <f>IFERROR(__xludf.DUMMYFUNCTION("SPLIT(A2523,""TX"")"),"Sacher, Mervyn
12115 ")</f>
        <v>Sacher, Mervyn
12115 </v>
      </c>
      <c r="F2523" s="8" t="str">
        <f>IFERROR(__xludf.DUMMYFUNCTION("""COMPUTED_VALUE"""),"almay Dr
Dallas, ")</f>
        <v>almay Dr
Dallas, </v>
      </c>
      <c r="G2523" s="8">
        <f>IFERROR(__xludf.DUMMYFUNCTION("""COMPUTED_VALUE"""),75230.0)</f>
        <v>75230</v>
      </c>
      <c r="I2523" s="8">
        <f t="shared" si="25"/>
        <v>75230</v>
      </c>
      <c r="J2523" s="9">
        <f>IFERROR(__xludf.DUMMYFUNCTION("SPLIT(I2523,""-"")"),75230.0)</f>
        <v>75230</v>
      </c>
    </row>
    <row r="2524">
      <c r="A2524" s="5" t="s">
        <v>2287</v>
      </c>
      <c r="B2524" s="6">
        <v>100.0</v>
      </c>
      <c r="C2524" s="7" t="s">
        <v>1065</v>
      </c>
      <c r="E2524" s="8" t="str">
        <f>IFERROR(__xludf.DUMMYFUNCTION("SPLIT(A2524,""TX"")"),"Paley, Andrew
6022 Windbreak ")</f>
        <v>Paley, Andrew
6022 Windbreak </v>
      </c>
      <c r="F2524" s="8" t="str">
        <f>IFERROR(__xludf.DUMMYFUNCTION("""COMPUTED_VALUE"""),"r
Dallas, ")</f>
        <v>r
Dallas, </v>
      </c>
      <c r="G2524" s="8">
        <f>IFERROR(__xludf.DUMMYFUNCTION("""COMPUTED_VALUE"""),75252.0)</f>
        <v>75252</v>
      </c>
      <c r="I2524" s="8">
        <f t="shared" si="25"/>
        <v>75252</v>
      </c>
      <c r="J2524" s="9">
        <f>IFERROR(__xludf.DUMMYFUNCTION("SPLIT(I2524,""-"")"),75252.0)</f>
        <v>75252</v>
      </c>
    </row>
    <row r="2525">
      <c r="A2525" s="10" t="s">
        <v>2288</v>
      </c>
      <c r="B2525" s="11">
        <v>500.0</v>
      </c>
      <c r="C2525" s="12" t="s">
        <v>1065</v>
      </c>
      <c r="E2525" s="8" t="str">
        <f>IFERROR(__xludf.DUMMYFUNCTION("SPLIT(A2525,""TX"")"),"Houston, Matt
1504 Boca Chica Dr
Dallas, ")</f>
        <v>Houston, Matt
1504 Boca Chica Dr
Dallas, </v>
      </c>
      <c r="F2525" s="8">
        <f>IFERROR(__xludf.DUMMYFUNCTION("""COMPUTED_VALUE"""),75232.0)</f>
        <v>75232</v>
      </c>
      <c r="I2525" s="8">
        <f t="shared" si="25"/>
        <v>75232</v>
      </c>
      <c r="J2525" s="9">
        <f>IFERROR(__xludf.DUMMYFUNCTION("SPLIT(I2525,""-"")"),75232.0)</f>
        <v>75232</v>
      </c>
    </row>
    <row r="2526">
      <c r="A2526" s="5" t="s">
        <v>2289</v>
      </c>
      <c r="B2526" s="6">
        <v>500.0</v>
      </c>
      <c r="C2526" s="7" t="s">
        <v>1065</v>
      </c>
      <c r="E2526" s="8" t="str">
        <f>IFERROR(__xludf.DUMMYFUNCTION("SPLIT(A2526,""TX"")"),"McBee, Lynn
3925 Stonebridge Dr
Dallas, ")</f>
        <v>McBee, Lynn
3925 Stonebridge Dr
Dallas, </v>
      </c>
      <c r="F2526" s="8">
        <f>IFERROR(__xludf.DUMMYFUNCTION("""COMPUTED_VALUE"""),75204.0)</f>
        <v>75204</v>
      </c>
      <c r="I2526" s="8">
        <f t="shared" si="25"/>
        <v>75204</v>
      </c>
      <c r="J2526" s="9">
        <f>IFERROR(__xludf.DUMMYFUNCTION("SPLIT(I2526,""-"")"),75204.0)</f>
        <v>75204</v>
      </c>
    </row>
    <row r="2527">
      <c r="A2527" s="10" t="s">
        <v>2290</v>
      </c>
      <c r="B2527" s="11">
        <v>50.0</v>
      </c>
      <c r="C2527" s="12" t="s">
        <v>1065</v>
      </c>
      <c r="E2527" s="8" t="str">
        <f>IFERROR(__xludf.DUMMYFUNCTION("SPLIT(A2527,""TX"")"),"Berry, Sammie
1219 Coronado Ln
Duncanville, ")</f>
        <v>Berry, Sammie
1219 Coronado Ln
Duncanville, </v>
      </c>
      <c r="F2527" s="8">
        <f>IFERROR(__xludf.DUMMYFUNCTION("""COMPUTED_VALUE"""),75137.0)</f>
        <v>75137</v>
      </c>
      <c r="I2527" s="8">
        <f t="shared" si="25"/>
        <v>75137</v>
      </c>
      <c r="J2527" s="9">
        <f>IFERROR(__xludf.DUMMYFUNCTION("SPLIT(I2527,""-"")"),75137.0)</f>
        <v>75137</v>
      </c>
    </row>
    <row r="2528">
      <c r="A2528" s="5" t="s">
        <v>2291</v>
      </c>
      <c r="B2528" s="6">
        <v>1000.0</v>
      </c>
      <c r="C2528" s="7" t="s">
        <v>1065</v>
      </c>
      <c r="E2528" s="8" t="str">
        <f>IFERROR(__xludf.DUMMYFUNCTION("SPLIT(A2528,""TX"")"),"Fowler, Joe Bart
4720 Rockcliff Rd
Austin, ")</f>
        <v>Fowler, Joe Bart
4720 Rockcliff Rd
Austin, </v>
      </c>
      <c r="F2528" s="8">
        <f>IFERROR(__xludf.DUMMYFUNCTION("""COMPUTED_VALUE"""),78746.0)</f>
        <v>78746</v>
      </c>
      <c r="I2528" s="8">
        <f t="shared" si="25"/>
        <v>78746</v>
      </c>
      <c r="J2528" s="9">
        <f>IFERROR(__xludf.DUMMYFUNCTION("SPLIT(I2528,""-"")"),78746.0)</f>
        <v>78746</v>
      </c>
    </row>
    <row r="2529">
      <c r="A2529" s="10" t="s">
        <v>2292</v>
      </c>
      <c r="B2529" s="11">
        <v>100.0</v>
      </c>
      <c r="C2529" s="12" t="s">
        <v>1065</v>
      </c>
      <c r="E2529" s="8" t="str">
        <f>IFERROR(__xludf.DUMMYFUNCTION("SPLIT(A2529,""TX"")"),"Clark, Sandra
6029 S R L ")</f>
        <v>Clark, Sandra
6029 S R L </v>
      </c>
      <c r="F2529" s="8" t="str">
        <f>IFERROR(__xludf.DUMMYFUNCTION("""COMPUTED_VALUE"""),"hornton Fwy
Dallas, ")</f>
        <v>hornton Fwy
Dallas, </v>
      </c>
      <c r="G2529" s="8">
        <f>IFERROR(__xludf.DUMMYFUNCTION("""COMPUTED_VALUE"""),75232.0)</f>
        <v>75232</v>
      </c>
      <c r="I2529" s="8">
        <f t="shared" si="25"/>
        <v>75232</v>
      </c>
      <c r="J2529" s="9">
        <f>IFERROR(__xludf.DUMMYFUNCTION("SPLIT(I2529,""-"")"),75232.0)</f>
        <v>75232</v>
      </c>
    </row>
    <row r="2530">
      <c r="A2530" s="5" t="s">
        <v>2293</v>
      </c>
      <c r="B2530" s="6">
        <v>100.0</v>
      </c>
      <c r="C2530" s="7" t="s">
        <v>1065</v>
      </c>
      <c r="E2530" s="8" t="str">
        <f>IFERROR(__xludf.DUMMYFUNCTION("SPLIT(A2530,""TX"")"),"Hurst, Michael
2100 Ross Ave
Dallas, ")</f>
        <v>Hurst, Michael
2100 Ross Ave
Dallas, </v>
      </c>
      <c r="F2530" s="8">
        <f>IFERROR(__xludf.DUMMYFUNCTION("""COMPUTED_VALUE"""),75201.0)</f>
        <v>75201</v>
      </c>
      <c r="I2530" s="8">
        <f t="shared" si="25"/>
        <v>75201</v>
      </c>
      <c r="J2530" s="9">
        <f>IFERROR(__xludf.DUMMYFUNCTION("SPLIT(I2530,""-"")"),75201.0)</f>
        <v>75201</v>
      </c>
    </row>
    <row r="2531">
      <c r="A2531" s="10" t="s">
        <v>2294</v>
      </c>
      <c r="B2531" s="11">
        <v>50.0</v>
      </c>
      <c r="C2531" s="12" t="s">
        <v>1065</v>
      </c>
      <c r="E2531" s="8" t="str">
        <f>IFERROR(__xludf.DUMMYFUNCTION("SPLIT(A2531,""TX"")"),"ony, Bryan
1500 Pecos St
Dallas, ")</f>
        <v>ony, Bryan
1500 Pecos St
Dallas, </v>
      </c>
      <c r="F2531" s="8">
        <f>IFERROR(__xludf.DUMMYFUNCTION("""COMPUTED_VALUE"""),75204.0)</f>
        <v>75204</v>
      </c>
      <c r="I2531" s="8">
        <f t="shared" si="25"/>
        <v>75204</v>
      </c>
      <c r="J2531" s="9">
        <f>IFERROR(__xludf.DUMMYFUNCTION("SPLIT(I2531,""-"")"),75204.0)</f>
        <v>75204</v>
      </c>
    </row>
    <row r="2532">
      <c r="A2532" s="5" t="s">
        <v>2295</v>
      </c>
      <c r="B2532" s="6">
        <v>250.0</v>
      </c>
      <c r="C2532" s="7" t="s">
        <v>1065</v>
      </c>
      <c r="E2532" s="8" t="str">
        <f>IFERROR(__xludf.DUMMYFUNCTION("SPLIT(A2532,""TX"")"),"Luallen, Brian
2772 Gaston Ave
Dallas, ")</f>
        <v>Luallen, Brian
2772 Gaston Ave
Dallas, </v>
      </c>
      <c r="F2532" s="8">
        <f>IFERROR(__xludf.DUMMYFUNCTION("""COMPUTED_VALUE"""),75226.0)</f>
        <v>75226</v>
      </c>
      <c r="I2532" s="8">
        <f t="shared" si="25"/>
        <v>75226</v>
      </c>
      <c r="J2532" s="9">
        <f>IFERROR(__xludf.DUMMYFUNCTION("SPLIT(I2532,""-"")"),75226.0)</f>
        <v>75226</v>
      </c>
    </row>
    <row r="2533">
      <c r="A2533" s="10" t="s">
        <v>2296</v>
      </c>
      <c r="B2533" s="11">
        <v>10.0</v>
      </c>
      <c r="C2533" s="12" t="s">
        <v>1065</v>
      </c>
      <c r="E2533" s="8" t="str">
        <f>IFERROR(__xludf.DUMMYFUNCTION("SPLIT(A2533,""TX"")"),"Williams, Johnette
1609 Lauren Springs Court
DeSoto, ")</f>
        <v>Williams, Johnette
1609 Lauren Springs Court
DeSoto, </v>
      </c>
      <c r="F2533" s="8">
        <f>IFERROR(__xludf.DUMMYFUNCTION("""COMPUTED_VALUE"""),75115.0)</f>
        <v>75115</v>
      </c>
      <c r="I2533" s="8">
        <f t="shared" si="25"/>
        <v>75115</v>
      </c>
      <c r="J2533" s="9">
        <f>IFERROR(__xludf.DUMMYFUNCTION("SPLIT(I2533,""-"")"),75115.0)</f>
        <v>75115</v>
      </c>
    </row>
    <row r="2534">
      <c r="A2534" s="5" t="s">
        <v>2297</v>
      </c>
      <c r="B2534" s="6">
        <v>100.0</v>
      </c>
      <c r="C2534" s="7" t="s">
        <v>1065</v>
      </c>
      <c r="E2534" s="8" t="str">
        <f>IFERROR(__xludf.DUMMYFUNCTION("SPLIT(A2534,""TX"")"),"Davenport, Cheryl
7575 S Westmoreland
Dallas, ")</f>
        <v>Davenport, Cheryl
7575 S Westmoreland
Dallas, </v>
      </c>
      <c r="F2534" s="8">
        <f>IFERROR(__xludf.DUMMYFUNCTION("""COMPUTED_VALUE"""),75237.0)</f>
        <v>75237</v>
      </c>
      <c r="I2534" s="8">
        <f t="shared" si="25"/>
        <v>75237</v>
      </c>
      <c r="J2534" s="9">
        <f>IFERROR(__xludf.DUMMYFUNCTION("SPLIT(I2534,""-"")"),75237.0)</f>
        <v>75237</v>
      </c>
    </row>
    <row r="2535">
      <c r="A2535" s="10" t="s">
        <v>2298</v>
      </c>
      <c r="B2535" s="11">
        <v>50.0</v>
      </c>
      <c r="C2535" s="12" t="s">
        <v>1065</v>
      </c>
      <c r="E2535" s="8" t="str">
        <f>IFERROR(__xludf.DUMMYFUNCTION("SPLIT(A2535,""TX"")"),"Mueller, Jason
10331 Sherbrook Ln
Dallas, ")</f>
        <v>Mueller, Jason
10331 Sherbrook Ln
Dallas, </v>
      </c>
      <c r="F2535" s="8">
        <f>IFERROR(__xludf.DUMMYFUNCTION("""COMPUTED_VALUE"""),75229.0)</f>
        <v>75229</v>
      </c>
      <c r="I2535" s="8">
        <f t="shared" si="25"/>
        <v>75229</v>
      </c>
      <c r="J2535" s="9">
        <f>IFERROR(__xludf.DUMMYFUNCTION("SPLIT(I2535,""-"")"),75229.0)</f>
        <v>75229</v>
      </c>
    </row>
    <row r="2536">
      <c r="A2536" s="5" t="s">
        <v>1091</v>
      </c>
      <c r="B2536" s="6">
        <v>100.0</v>
      </c>
      <c r="C2536" s="7" t="s">
        <v>1065</v>
      </c>
      <c r="E2536" s="8" t="str">
        <f>IFERROR(__xludf.DUMMYFUNCTION("SPLIT(A2536,""TX"")"),"Shirejian, George
10404 Westlawn
Dallas, ")</f>
        <v>Shirejian, George
10404 Westlawn
Dallas, </v>
      </c>
      <c r="F2536" s="8">
        <f>IFERROR(__xludf.DUMMYFUNCTION("""COMPUTED_VALUE"""),75229.0)</f>
        <v>75229</v>
      </c>
      <c r="I2536" s="8">
        <f t="shared" si="25"/>
        <v>75229</v>
      </c>
      <c r="J2536" s="9">
        <f>IFERROR(__xludf.DUMMYFUNCTION("SPLIT(I2536,""-"")"),75229.0)</f>
        <v>75229</v>
      </c>
    </row>
    <row r="2537">
      <c r="A2537" s="10" t="s">
        <v>2299</v>
      </c>
      <c r="B2537" s="11">
        <v>250.0</v>
      </c>
      <c r="C2537" s="12" t="s">
        <v>1065</v>
      </c>
      <c r="E2537" s="8" t="str">
        <f>IFERROR(__xludf.DUMMYFUNCTION("SPLIT(A2537,""TX"")"),"oney, Keith
4619 Wedgecrest Dr
Dallas, ")</f>
        <v>oney, Keith
4619 Wedgecrest Dr
Dallas, </v>
      </c>
      <c r="F2537" s="8">
        <f>IFERROR(__xludf.DUMMYFUNCTION("""COMPUTED_VALUE"""),75232.0)</f>
        <v>75232</v>
      </c>
      <c r="I2537" s="8">
        <f t="shared" si="25"/>
        <v>75232</v>
      </c>
      <c r="J2537" s="9">
        <f>IFERROR(__xludf.DUMMYFUNCTION("SPLIT(I2537,""-"")"),75232.0)</f>
        <v>75232</v>
      </c>
    </row>
    <row r="2538">
      <c r="A2538" s="5" t="s">
        <v>2300</v>
      </c>
      <c r="B2538" s="6">
        <v>500.0</v>
      </c>
      <c r="C2538" s="7" t="s">
        <v>1065</v>
      </c>
      <c r="E2538" s="8" t="str">
        <f>IFERROR(__xludf.DUMMYFUNCTION("SPLIT(A2538,""TX"")"),"Anderson, ")</f>
        <v>Anderson, </v>
      </c>
      <c r="F2538" s="8" t="str">
        <f>IFERROR(__xludf.DUMMYFUNCTION("""COMPUTED_VALUE"""),"erri
657 Knights Way
Coppell, ")</f>
        <v>erri
657 Knights Way
Coppell, </v>
      </c>
      <c r="G2538" s="8">
        <f>IFERROR(__xludf.DUMMYFUNCTION("""COMPUTED_VALUE"""),75019.0)</f>
        <v>75019</v>
      </c>
      <c r="I2538" s="8">
        <f t="shared" si="25"/>
        <v>75019</v>
      </c>
      <c r="J2538" s="9">
        <f>IFERROR(__xludf.DUMMYFUNCTION("SPLIT(I2538,""-"")"),75019.0)</f>
        <v>75019</v>
      </c>
    </row>
    <row r="2539">
      <c r="A2539" s="10" t="s">
        <v>2301</v>
      </c>
      <c r="B2539" s="11">
        <v>10.0</v>
      </c>
      <c r="C2539" s="12" t="s">
        <v>1065</v>
      </c>
      <c r="E2539" s="8" t="str">
        <f>IFERROR(__xludf.DUMMYFUNCTION("SPLIT(A2539,""TX"")"),"Starling, Christina
8501 Old Hickory ")</f>
        <v>Starling, Christina
8501 Old Hickory </v>
      </c>
      <c r="F2539" s="8" t="str">
        <f>IFERROR(__xludf.DUMMYFUNCTION("""COMPUTED_VALUE"""),"rail
Dallas, ")</f>
        <v>rail
Dallas, </v>
      </c>
      <c r="G2539" s="8">
        <f>IFERROR(__xludf.DUMMYFUNCTION("""COMPUTED_VALUE"""),75237.0)</f>
        <v>75237</v>
      </c>
      <c r="I2539" s="8">
        <f t="shared" si="25"/>
        <v>75237</v>
      </c>
      <c r="J2539" s="9">
        <f>IFERROR(__xludf.DUMMYFUNCTION("SPLIT(I2539,""-"")"),75237.0)</f>
        <v>75237</v>
      </c>
    </row>
    <row r="2540">
      <c r="A2540" s="5" t="s">
        <v>2302</v>
      </c>
      <c r="B2540" s="6">
        <v>250.0</v>
      </c>
      <c r="C2540" s="7" t="s">
        <v>1065</v>
      </c>
      <c r="E2540" s="8" t="str">
        <f>IFERROR(__xludf.DUMMYFUNCTION("SPLIT(A2540,""TX"")"),"Childress, Anita
8366 Santa Clara Dr
Dallas, ")</f>
        <v>Childress, Anita
8366 Santa Clara Dr
Dallas, </v>
      </c>
      <c r="F2540" s="8">
        <f>IFERROR(__xludf.DUMMYFUNCTION("""COMPUTED_VALUE"""),75218.0)</f>
        <v>75218</v>
      </c>
      <c r="I2540" s="8">
        <f t="shared" si="25"/>
        <v>75218</v>
      </c>
      <c r="J2540" s="9">
        <f>IFERROR(__xludf.DUMMYFUNCTION("SPLIT(I2540,""-"")"),75218.0)</f>
        <v>75218</v>
      </c>
    </row>
    <row r="2541">
      <c r="A2541" s="10" t="s">
        <v>1084</v>
      </c>
      <c r="B2541" s="11">
        <v>1000.0</v>
      </c>
      <c r="C2541" s="12" t="s">
        <v>1065</v>
      </c>
      <c r="E2541" s="8" t="str">
        <f>IFERROR(__xludf.DUMMYFUNCTION("SPLIT(A2541,""TX"")"),"Kazora, Benedict
637 Medinah Rd
Red Oak, ")</f>
        <v>Kazora, Benedict
637 Medinah Rd
Red Oak, </v>
      </c>
      <c r="F2541" s="8">
        <f>IFERROR(__xludf.DUMMYFUNCTION("""COMPUTED_VALUE"""),75154.0)</f>
        <v>75154</v>
      </c>
      <c r="I2541" s="8">
        <f t="shared" si="25"/>
        <v>75154</v>
      </c>
      <c r="J2541" s="9">
        <f>IFERROR(__xludf.DUMMYFUNCTION("SPLIT(I2541,""-"")"),75154.0)</f>
        <v>75154</v>
      </c>
    </row>
    <row r="2542">
      <c r="A2542" s="5" t="s">
        <v>2303</v>
      </c>
      <c r="B2542" s="6">
        <v>100.0</v>
      </c>
      <c r="C2542" s="7" t="s">
        <v>1065</v>
      </c>
      <c r="E2542" s="8" t="str">
        <f>IFERROR(__xludf.DUMMYFUNCTION("SPLIT(A2542,""TX"")"),"Parker, Petey
1717 Arts Plaza
Dallas, ")</f>
        <v>Parker, Petey
1717 Arts Plaza
Dallas, </v>
      </c>
      <c r="F2542" s="8">
        <f>IFERROR(__xludf.DUMMYFUNCTION("""COMPUTED_VALUE"""),75201.0)</f>
        <v>75201</v>
      </c>
      <c r="I2542" s="8">
        <f t="shared" si="25"/>
        <v>75201</v>
      </c>
      <c r="J2542" s="9">
        <f>IFERROR(__xludf.DUMMYFUNCTION("SPLIT(I2542,""-"")"),75201.0)</f>
        <v>75201</v>
      </c>
    </row>
    <row r="2543">
      <c r="A2543" s="10" t="s">
        <v>2304</v>
      </c>
      <c r="B2543" s="11">
        <v>20.0</v>
      </c>
      <c r="C2543" s="12" t="s">
        <v>1065</v>
      </c>
      <c r="E2543" s="8" t="str">
        <f>IFERROR(__xludf.DUMMYFUNCTION("SPLIT(A2543,""TX"")"),"Cager, Rubye
5315 Rocky Ridge Rd
Dallas, ")</f>
        <v>Cager, Rubye
5315 Rocky Ridge Rd
Dallas, </v>
      </c>
      <c r="F2543" s="8">
        <f>IFERROR(__xludf.DUMMYFUNCTION("""COMPUTED_VALUE"""),75241.0)</f>
        <v>75241</v>
      </c>
      <c r="I2543" s="8">
        <f t="shared" si="25"/>
        <v>75241</v>
      </c>
      <c r="J2543" s="9">
        <f>IFERROR(__xludf.DUMMYFUNCTION("SPLIT(I2543,""-"")"),75241.0)</f>
        <v>75241</v>
      </c>
    </row>
    <row r="2544">
      <c r="A2544" s="5" t="s">
        <v>1521</v>
      </c>
      <c r="B2544" s="6">
        <v>1000.0</v>
      </c>
      <c r="C2544" s="7" t="s">
        <v>1065</v>
      </c>
      <c r="E2544" s="8" t="str">
        <f>IFERROR(__xludf.DUMMYFUNCTION("SPLIT(A2544,""TX"")"),"Johnson, Willis
1700 Pacific Ave
Dallas, ")</f>
        <v>Johnson, Willis
1700 Pacific Ave
Dallas, </v>
      </c>
      <c r="F2544" s="8">
        <f>IFERROR(__xludf.DUMMYFUNCTION("""COMPUTED_VALUE"""),75201.0)</f>
        <v>75201</v>
      </c>
      <c r="I2544" s="8">
        <f t="shared" si="25"/>
        <v>75201</v>
      </c>
      <c r="J2544" s="9">
        <f>IFERROR(__xludf.DUMMYFUNCTION("SPLIT(I2544,""-"")"),75201.0)</f>
        <v>75201</v>
      </c>
    </row>
    <row r="2545">
      <c r="A2545" s="10" t="s">
        <v>2305</v>
      </c>
      <c r="B2545" s="11">
        <v>100.0</v>
      </c>
      <c r="C2545" s="12" t="s">
        <v>1065</v>
      </c>
      <c r="E2545" s="8" t="str">
        <f>IFERROR(__xludf.DUMMYFUNCTION("SPLIT(A2545,""TX"")"),"wining, Kevin
8122 San Benito Way
Dallas, ")</f>
        <v>wining, Kevin
8122 San Benito Way
Dallas, </v>
      </c>
      <c r="F2545" s="8">
        <f>IFERROR(__xludf.DUMMYFUNCTION("""COMPUTED_VALUE"""),75218.0)</f>
        <v>75218</v>
      </c>
      <c r="I2545" s="8">
        <f t="shared" si="25"/>
        <v>75218</v>
      </c>
      <c r="J2545" s="9">
        <f>IFERROR(__xludf.DUMMYFUNCTION("SPLIT(I2545,""-"")"),75218.0)</f>
        <v>75218</v>
      </c>
    </row>
    <row r="2546">
      <c r="A2546" s="5" t="s">
        <v>2306</v>
      </c>
      <c r="B2546" s="6">
        <v>50.0</v>
      </c>
      <c r="C2546" s="7" t="s">
        <v>1065</v>
      </c>
      <c r="E2546" s="8" t="str">
        <f>IFERROR(__xludf.DUMMYFUNCTION("SPLIT(A2546,""TX"")"),"Parish, Deborah
3114 Dorrington Cir
Dallas, ")</f>
        <v>Parish, Deborah
3114 Dorrington Cir
Dallas, </v>
      </c>
      <c r="F2546" s="8">
        <f>IFERROR(__xludf.DUMMYFUNCTION("""COMPUTED_VALUE"""),75228.0)</f>
        <v>75228</v>
      </c>
      <c r="I2546" s="8">
        <f t="shared" si="25"/>
        <v>75228</v>
      </c>
      <c r="J2546" s="9">
        <f>IFERROR(__xludf.DUMMYFUNCTION("SPLIT(I2546,""-"")"),75228.0)</f>
        <v>75228</v>
      </c>
    </row>
    <row r="2547">
      <c r="A2547" s="10" t="s">
        <v>2307</v>
      </c>
      <c r="B2547" s="11">
        <v>100.0</v>
      </c>
      <c r="C2547" s="12" t="s">
        <v>1065</v>
      </c>
      <c r="E2547" s="8" t="str">
        <f>IFERROR(__xludf.DUMMYFUNCTION("SPLIT(A2547,""TX"")"),"Parish, Donald
3114 Dorrington Cir
Dallas, ")</f>
        <v>Parish, Donald
3114 Dorrington Cir
Dallas, </v>
      </c>
      <c r="F2547" s="8">
        <f>IFERROR(__xludf.DUMMYFUNCTION("""COMPUTED_VALUE"""),75228.0)</f>
        <v>75228</v>
      </c>
      <c r="I2547" s="8">
        <f t="shared" si="25"/>
        <v>75228</v>
      </c>
      <c r="J2547" s="9">
        <f>IFERROR(__xludf.DUMMYFUNCTION("SPLIT(I2547,""-"")"),75228.0)</f>
        <v>75228</v>
      </c>
    </row>
    <row r="2548">
      <c r="A2548" s="5" t="s">
        <v>2308</v>
      </c>
      <c r="B2548" s="6">
        <v>100.0</v>
      </c>
      <c r="C2548" s="7" t="s">
        <v>1065</v>
      </c>
      <c r="E2548" s="8" t="str">
        <f>IFERROR(__xludf.DUMMYFUNCTION("SPLIT(A2548,""TX"")"),"Davidson, John Mark
9010 Eustis Ave
Dallas, ")</f>
        <v>Davidson, John Mark
9010 Eustis Ave
Dallas, </v>
      </c>
      <c r="F2548" s="8">
        <f>IFERROR(__xludf.DUMMYFUNCTION("""COMPUTED_VALUE"""),75218.0)</f>
        <v>75218</v>
      </c>
      <c r="I2548" s="8">
        <f t="shared" si="25"/>
        <v>75218</v>
      </c>
      <c r="J2548" s="9">
        <f>IFERROR(__xludf.DUMMYFUNCTION("SPLIT(I2548,""-"")"),75218.0)</f>
        <v>75218</v>
      </c>
    </row>
    <row r="2549">
      <c r="A2549" s="10" t="s">
        <v>2309</v>
      </c>
      <c r="B2549" s="11">
        <v>5000.0</v>
      </c>
      <c r="C2549" s="12" t="s">
        <v>1065</v>
      </c>
      <c r="E2549" s="8" t="str">
        <f>IFERROR(__xludf.DUMMYFUNCTION("SPLIT(A2549,""TX"")"),"Vaca, Nina
10670 N Central Expy
Dallas, ")</f>
        <v>Vaca, Nina
10670 N Central Expy
Dallas, </v>
      </c>
      <c r="F2549" s="8">
        <f>IFERROR(__xludf.DUMMYFUNCTION("""COMPUTED_VALUE"""),75231.0)</f>
        <v>75231</v>
      </c>
      <c r="I2549" s="8">
        <f t="shared" si="25"/>
        <v>75231</v>
      </c>
      <c r="J2549" s="9">
        <f>IFERROR(__xludf.DUMMYFUNCTION("SPLIT(I2549,""-"")"),75231.0)</f>
        <v>75231</v>
      </c>
    </row>
    <row r="2550">
      <c r="A2550" s="5" t="s">
        <v>2310</v>
      </c>
      <c r="B2550" s="6">
        <v>100.0</v>
      </c>
      <c r="C2550" s="7" t="s">
        <v>1065</v>
      </c>
      <c r="E2550" s="8" t="str">
        <f>IFERROR(__xludf.DUMMYFUNCTION("SPLIT(A2550,""TX"")"),"Hinojosa, Gustavo
4431 Holland Ave
Dallas, ")</f>
        <v>Hinojosa, Gustavo
4431 Holland Ave
Dallas, </v>
      </c>
      <c r="F2550" s="8">
        <f>IFERROR(__xludf.DUMMYFUNCTION("""COMPUTED_VALUE"""),75219.0)</f>
        <v>75219</v>
      </c>
      <c r="I2550" s="8">
        <f t="shared" si="25"/>
        <v>75219</v>
      </c>
      <c r="J2550" s="9">
        <f>IFERROR(__xludf.DUMMYFUNCTION("SPLIT(I2550,""-"")"),75219.0)</f>
        <v>75219</v>
      </c>
    </row>
    <row r="2551">
      <c r="A2551" s="10" t="s">
        <v>2311</v>
      </c>
      <c r="B2551" s="11">
        <v>25.0</v>
      </c>
      <c r="C2551" s="12" t="s">
        <v>1065</v>
      </c>
      <c r="E2551" s="8" t="str">
        <f>IFERROR(__xludf.DUMMYFUNCTION("SPLIT(A2551,""TX"")"),"Harris, ")</f>
        <v>Harris, </v>
      </c>
      <c r="F2551" s="8" t="str">
        <f>IFERROR(__xludf.DUMMYFUNCTION("""COMPUTED_VALUE"""),"onie
1503 ")</f>
        <v>onie
1503 </v>
      </c>
      <c r="G2551" s="8" t="str">
        <f>IFERROR(__xludf.DUMMYFUNCTION("""COMPUTED_VALUE"""),"ubman Road Southeast
Washington, DC 20020")</f>
        <v>ubman Road Southeast
Washington, DC 20020</v>
      </c>
      <c r="J2551" s="9" t="str">
        <f>IFERROR(__xludf.DUMMYFUNCTION("SPLIT(I2551,""-"")"),"#VALUE!")</f>
        <v>#VALUE!</v>
      </c>
    </row>
    <row r="2552">
      <c r="A2552" s="5" t="s">
        <v>2312</v>
      </c>
      <c r="B2552" s="6">
        <v>5000.0</v>
      </c>
      <c r="C2552" s="7" t="s">
        <v>1065</v>
      </c>
      <c r="E2552" s="8" t="str">
        <f>IFERROR(__xludf.DUMMYFUNCTION("SPLIT(A2552,""TX"")"),"Meade, Nikelle
5363 Austral Loop
Austin, ")</f>
        <v>Meade, Nikelle
5363 Austral Loop
Austin, </v>
      </c>
      <c r="F2552" s="8">
        <f>IFERROR(__xludf.DUMMYFUNCTION("""COMPUTED_VALUE"""),78739.0)</f>
        <v>78739</v>
      </c>
      <c r="I2552" s="8">
        <f t="shared" ref="I2552:I2681" si="26">IF(ISBLANK(G2552),F2552,G2552)</f>
        <v>78739</v>
      </c>
      <c r="J2552" s="9">
        <f>IFERROR(__xludf.DUMMYFUNCTION("SPLIT(I2552,""-"")"),78739.0)</f>
        <v>78739</v>
      </c>
    </row>
    <row r="2553">
      <c r="A2553" s="10" t="s">
        <v>2313</v>
      </c>
      <c r="B2553" s="11">
        <v>100.0</v>
      </c>
      <c r="C2553" s="12" t="s">
        <v>1065</v>
      </c>
      <c r="E2553" s="8" t="str">
        <f>IFERROR(__xludf.DUMMYFUNCTION("SPLIT(A2553,""TX"")"),"Satterthwaite, Gwendolyn
4804 Cape Coral Dr
Dallas, ")</f>
        <v>Satterthwaite, Gwendolyn
4804 Cape Coral Dr
Dallas, </v>
      </c>
      <c r="F2553" s="8">
        <f>IFERROR(__xludf.DUMMYFUNCTION("""COMPUTED_VALUE"""),75287.0)</f>
        <v>75287</v>
      </c>
      <c r="I2553" s="8">
        <f t="shared" si="26"/>
        <v>75287</v>
      </c>
      <c r="J2553" s="9">
        <f>IFERROR(__xludf.DUMMYFUNCTION("SPLIT(I2553,""-"")"),75287.0)</f>
        <v>75287</v>
      </c>
    </row>
    <row r="2554">
      <c r="A2554" s="5" t="s">
        <v>2314</v>
      </c>
      <c r="B2554" s="6">
        <v>50.0</v>
      </c>
      <c r="C2554" s="7" t="s">
        <v>1065</v>
      </c>
      <c r="E2554" s="8" t="str">
        <f>IFERROR(__xludf.DUMMYFUNCTION("SPLIT(A2554,""TX"")"),"Jackson, Sarah
8600 ")</f>
        <v>Jackson, Sarah
8600 </v>
      </c>
      <c r="F2554" s="8" t="str">
        <f>IFERROR(__xludf.DUMMYFUNCTION("""COMPUTED_VALUE"""),"hackery St
Dallas, ")</f>
        <v>hackery St
Dallas, </v>
      </c>
      <c r="G2554" s="8">
        <f>IFERROR(__xludf.DUMMYFUNCTION("""COMPUTED_VALUE"""),75225.0)</f>
        <v>75225</v>
      </c>
      <c r="I2554" s="8">
        <f t="shared" si="26"/>
        <v>75225</v>
      </c>
      <c r="J2554" s="9">
        <f>IFERROR(__xludf.DUMMYFUNCTION("SPLIT(I2554,""-"")"),75225.0)</f>
        <v>75225</v>
      </c>
    </row>
    <row r="2555">
      <c r="A2555" s="10" t="s">
        <v>2315</v>
      </c>
      <c r="B2555" s="11">
        <v>100.0</v>
      </c>
      <c r="C2555" s="12" t="s">
        <v>1065</v>
      </c>
      <c r="E2555" s="8" t="str">
        <f>IFERROR(__xludf.DUMMYFUNCTION("SPLIT(A2555,""TX"")"),"Kutac, Gary &amp; Angela
1552 San Saba Dr
Dallas, ")</f>
        <v>Kutac, Gary &amp; Angela
1552 San Saba Dr
Dallas, </v>
      </c>
      <c r="F2555" s="8">
        <f>IFERROR(__xludf.DUMMYFUNCTION("""COMPUTED_VALUE"""),75218.0)</f>
        <v>75218</v>
      </c>
      <c r="I2555" s="8">
        <f t="shared" si="26"/>
        <v>75218</v>
      </c>
      <c r="J2555" s="9">
        <f>IFERROR(__xludf.DUMMYFUNCTION("SPLIT(I2555,""-"")"),75218.0)</f>
        <v>75218</v>
      </c>
    </row>
    <row r="2556">
      <c r="A2556" s="5" t="s">
        <v>2316</v>
      </c>
      <c r="B2556" s="6">
        <v>100.0</v>
      </c>
      <c r="C2556" s="7" t="s">
        <v>1065</v>
      </c>
      <c r="E2556" s="8" t="str">
        <f>IFERROR(__xludf.DUMMYFUNCTION("SPLIT(A2556,""TX"")"),"Sandler, Derek
6426 Woodland Dr
Dallas, ")</f>
        <v>Sandler, Derek
6426 Woodland Dr
Dallas, </v>
      </c>
      <c r="F2556" s="8">
        <f>IFERROR(__xludf.DUMMYFUNCTION("""COMPUTED_VALUE"""),75225.0)</f>
        <v>75225</v>
      </c>
      <c r="I2556" s="8">
        <f t="shared" si="26"/>
        <v>75225</v>
      </c>
      <c r="J2556" s="9">
        <f>IFERROR(__xludf.DUMMYFUNCTION("SPLIT(I2556,""-"")"),75225.0)</f>
        <v>75225</v>
      </c>
    </row>
    <row r="2557">
      <c r="A2557" s="10" t="s">
        <v>2317</v>
      </c>
      <c r="B2557" s="11">
        <v>2500.0</v>
      </c>
      <c r="C2557" s="12" t="s">
        <v>1065</v>
      </c>
      <c r="E2557" s="8" t="str">
        <f>IFERROR(__xludf.DUMMYFUNCTION("SPLIT(A2557,""TX"")"),"homas, Bart
608 Belhaven
Allen, ")</f>
        <v>homas, Bart
608 Belhaven
Allen, </v>
      </c>
      <c r="F2557" s="8">
        <f>IFERROR(__xludf.DUMMYFUNCTION("""COMPUTED_VALUE"""),75013.0)</f>
        <v>75013</v>
      </c>
      <c r="I2557" s="8">
        <f t="shared" si="26"/>
        <v>75013</v>
      </c>
      <c r="J2557" s="9">
        <f>IFERROR(__xludf.DUMMYFUNCTION("SPLIT(I2557,""-"")"),75013.0)</f>
        <v>75013</v>
      </c>
    </row>
    <row r="2558">
      <c r="A2558" s="5" t="s">
        <v>2318</v>
      </c>
      <c r="B2558" s="6">
        <v>50.0</v>
      </c>
      <c r="C2558" s="7" t="s">
        <v>1065</v>
      </c>
      <c r="E2558" s="8" t="str">
        <f>IFERROR(__xludf.DUMMYFUNCTION("SPLIT(A2558,""TX"")"),"Brown, James
16805 Deer Park Dr
Dallas, ")</f>
        <v>Brown, James
16805 Deer Park Dr
Dallas, </v>
      </c>
      <c r="F2558" s="8">
        <f>IFERROR(__xludf.DUMMYFUNCTION("""COMPUTED_VALUE"""),75248.0)</f>
        <v>75248</v>
      </c>
      <c r="I2558" s="8">
        <f t="shared" si="26"/>
        <v>75248</v>
      </c>
      <c r="J2558" s="9">
        <f>IFERROR(__xludf.DUMMYFUNCTION("SPLIT(I2558,""-"")"),75248.0)</f>
        <v>75248</v>
      </c>
    </row>
    <row r="2559">
      <c r="A2559" s="10" t="s">
        <v>2319</v>
      </c>
      <c r="B2559" s="11">
        <v>1000.0</v>
      </c>
      <c r="C2559" s="12" t="s">
        <v>1065</v>
      </c>
      <c r="E2559" s="8" t="str">
        <f>IFERROR(__xludf.DUMMYFUNCTION("SPLIT(A2559,""TX"")"),"Katz, Marc
10244 Epping Ln
Dallas, ")</f>
        <v>Katz, Marc
10244 Epping Ln
Dallas, </v>
      </c>
      <c r="F2559" s="8">
        <f>IFERROR(__xludf.DUMMYFUNCTION("""COMPUTED_VALUE"""),75229.0)</f>
        <v>75229</v>
      </c>
      <c r="I2559" s="8">
        <f t="shared" si="26"/>
        <v>75229</v>
      </c>
      <c r="J2559" s="9">
        <f>IFERROR(__xludf.DUMMYFUNCTION("SPLIT(I2559,""-"")"),75229.0)</f>
        <v>75229</v>
      </c>
    </row>
    <row r="2560">
      <c r="A2560" s="5" t="s">
        <v>2320</v>
      </c>
      <c r="B2560" s="6">
        <v>25.0</v>
      </c>
      <c r="C2560" s="7" t="s">
        <v>1065</v>
      </c>
      <c r="E2560" s="8" t="str">
        <f>IFERROR(__xludf.DUMMYFUNCTION("SPLIT(A2560,""TX"")"),"McCullough, JoAnne
7239 Lane Park Dr
Dallas, ")</f>
        <v>McCullough, JoAnne
7239 Lane Park Dr
Dallas, </v>
      </c>
      <c r="F2560" s="8">
        <f>IFERROR(__xludf.DUMMYFUNCTION("""COMPUTED_VALUE"""),75225.0)</f>
        <v>75225</v>
      </c>
      <c r="I2560" s="8">
        <f t="shared" si="26"/>
        <v>75225</v>
      </c>
      <c r="J2560" s="9">
        <f>IFERROR(__xludf.DUMMYFUNCTION("SPLIT(I2560,""-"")"),75225.0)</f>
        <v>75225</v>
      </c>
    </row>
    <row r="2561">
      <c r="A2561" s="10" t="s">
        <v>2321</v>
      </c>
      <c r="B2561" s="11">
        <v>500.0</v>
      </c>
      <c r="C2561" s="12" t="s">
        <v>1065</v>
      </c>
      <c r="E2561" s="8" t="str">
        <f>IFERROR(__xludf.DUMMYFUNCTION("SPLIT(A2561,""TX"")"),"Woodlief, Mari
3864 West Beverly
Dallas, ")</f>
        <v>Woodlief, Mari
3864 West Beverly
Dallas, </v>
      </c>
      <c r="F2561" s="8">
        <f>IFERROR(__xludf.DUMMYFUNCTION("""COMPUTED_VALUE"""),75209.0)</f>
        <v>75209</v>
      </c>
      <c r="I2561" s="8">
        <f t="shared" si="26"/>
        <v>75209</v>
      </c>
      <c r="J2561" s="9">
        <f>IFERROR(__xludf.DUMMYFUNCTION("SPLIT(I2561,""-"")"),75209.0)</f>
        <v>75209</v>
      </c>
    </row>
    <row r="2562">
      <c r="A2562" s="5" t="s">
        <v>2322</v>
      </c>
      <c r="B2562" s="6">
        <v>500.0</v>
      </c>
      <c r="C2562" s="7" t="s">
        <v>1065</v>
      </c>
      <c r="E2562" s="8" t="str">
        <f>IFERROR(__xludf.DUMMYFUNCTION("SPLIT(A2562,""TX"")"),"Kazee, Eric
517 Cedarwood St
Aubrey, ")</f>
        <v>Kazee, Eric
517 Cedarwood St
Aubrey, </v>
      </c>
      <c r="F2562" s="8">
        <f>IFERROR(__xludf.DUMMYFUNCTION("""COMPUTED_VALUE"""),76227.0)</f>
        <v>76227</v>
      </c>
      <c r="I2562" s="8">
        <f t="shared" si="26"/>
        <v>76227</v>
      </c>
      <c r="J2562" s="9">
        <f>IFERROR(__xludf.DUMMYFUNCTION("SPLIT(I2562,""-"")"),76227.0)</f>
        <v>76227</v>
      </c>
    </row>
    <row r="2563">
      <c r="A2563" s="10" t="s">
        <v>2323</v>
      </c>
      <c r="B2563" s="11">
        <v>50.0</v>
      </c>
      <c r="C2563" s="12" t="s">
        <v>1065</v>
      </c>
      <c r="E2563" s="8" t="str">
        <f>IFERROR(__xludf.DUMMYFUNCTION("SPLIT(A2563,""TX"")"),"Champion, Ocie
3629 Vilbig Road
Dallas, ")</f>
        <v>Champion, Ocie
3629 Vilbig Road
Dallas, </v>
      </c>
      <c r="F2563" s="8">
        <f>IFERROR(__xludf.DUMMYFUNCTION("""COMPUTED_VALUE"""),75212.0)</f>
        <v>75212</v>
      </c>
      <c r="I2563" s="8">
        <f t="shared" si="26"/>
        <v>75212</v>
      </c>
      <c r="J2563" s="9">
        <f>IFERROR(__xludf.DUMMYFUNCTION("SPLIT(I2563,""-"")"),75212.0)</f>
        <v>75212</v>
      </c>
    </row>
    <row r="2564">
      <c r="A2564" s="5" t="s">
        <v>2324</v>
      </c>
      <c r="B2564" s="6">
        <v>50.0</v>
      </c>
      <c r="C2564" s="7" t="s">
        <v>1065</v>
      </c>
      <c r="E2564" s="8" t="str">
        <f>IFERROR(__xludf.DUMMYFUNCTION("SPLIT(A2564,""TX"")"),"Burrell, Monica
PO Box 851991
Mesquite, ")</f>
        <v>Burrell, Monica
PO Box 851991
Mesquite, </v>
      </c>
      <c r="F2564" s="8">
        <f>IFERROR(__xludf.DUMMYFUNCTION("""COMPUTED_VALUE"""),75185.0)</f>
        <v>75185</v>
      </c>
      <c r="I2564" s="8">
        <f t="shared" si="26"/>
        <v>75185</v>
      </c>
      <c r="J2564" s="9">
        <f>IFERROR(__xludf.DUMMYFUNCTION("SPLIT(I2564,""-"")"),75185.0)</f>
        <v>75185</v>
      </c>
    </row>
    <row r="2565">
      <c r="A2565" s="10" t="s">
        <v>2325</v>
      </c>
      <c r="B2565" s="11">
        <v>500.0</v>
      </c>
      <c r="C2565" s="12" t="s">
        <v>1065</v>
      </c>
      <c r="E2565" s="8" t="str">
        <f>IFERROR(__xludf.DUMMYFUNCTION("SPLIT(A2565,""TX"")"),"Magnis, Ellen
5511 Preston Fairways Dr
Dallas, ")</f>
        <v>Magnis, Ellen
5511 Preston Fairways Dr
Dallas, </v>
      </c>
      <c r="F2565" s="8">
        <f>IFERROR(__xludf.DUMMYFUNCTION("""COMPUTED_VALUE"""),75252.0)</f>
        <v>75252</v>
      </c>
      <c r="I2565" s="8">
        <f t="shared" si="26"/>
        <v>75252</v>
      </c>
      <c r="J2565" s="9">
        <f>IFERROR(__xludf.DUMMYFUNCTION("SPLIT(I2565,""-"")"),75252.0)</f>
        <v>75252</v>
      </c>
    </row>
    <row r="2566">
      <c r="A2566" s="5" t="s">
        <v>2326</v>
      </c>
      <c r="B2566" s="6">
        <v>100.0</v>
      </c>
      <c r="C2566" s="7" t="s">
        <v>1065</v>
      </c>
      <c r="E2566" s="8" t="str">
        <f>IFERROR(__xludf.DUMMYFUNCTION("SPLIT(A2566,""TX"")"),"Lester, James
6363 W Camp Wisdom
Dallas, ")</f>
        <v>Lester, James
6363 W Camp Wisdom
Dallas, </v>
      </c>
      <c r="F2566" s="8">
        <f>IFERROR(__xludf.DUMMYFUNCTION("""COMPUTED_VALUE"""),75236.0)</f>
        <v>75236</v>
      </c>
      <c r="I2566" s="8">
        <f t="shared" si="26"/>
        <v>75236</v>
      </c>
      <c r="J2566" s="9">
        <f>IFERROR(__xludf.DUMMYFUNCTION("SPLIT(I2566,""-"")"),75236.0)</f>
        <v>75236</v>
      </c>
    </row>
    <row r="2567">
      <c r="A2567" s="10" t="s">
        <v>1523</v>
      </c>
      <c r="B2567" s="11">
        <v>50.0</v>
      </c>
      <c r="C2567" s="12" t="s">
        <v>1065</v>
      </c>
      <c r="E2567" s="8" t="str">
        <f>IFERROR(__xludf.DUMMYFUNCTION("SPLIT(A2567,""TX"")"),"ran, Jimmy
5024 Denton Dr
Dallas, ")</f>
        <v>ran, Jimmy
5024 Denton Dr
Dallas, </v>
      </c>
      <c r="F2567" s="8">
        <f>IFERROR(__xludf.DUMMYFUNCTION("""COMPUTED_VALUE"""),75235.0)</f>
        <v>75235</v>
      </c>
      <c r="I2567" s="8">
        <f t="shared" si="26"/>
        <v>75235</v>
      </c>
      <c r="J2567" s="9">
        <f>IFERROR(__xludf.DUMMYFUNCTION("SPLIT(I2567,""-"")"),75235.0)</f>
        <v>75235</v>
      </c>
    </row>
    <row r="2568">
      <c r="A2568" s="5" t="s">
        <v>2327</v>
      </c>
      <c r="B2568" s="6">
        <v>1000.0</v>
      </c>
      <c r="C2568" s="7" t="s">
        <v>1065</v>
      </c>
      <c r="E2568" s="8" t="str">
        <f>IFERROR(__xludf.DUMMYFUNCTION("SPLIT(A2568,""TX"")"),"Roberts, Whit
3600 Rosedale
Dallas, ")</f>
        <v>Roberts, Whit
3600 Rosedale
Dallas, </v>
      </c>
      <c r="F2568" s="8">
        <f>IFERROR(__xludf.DUMMYFUNCTION("""COMPUTED_VALUE"""),75205.0)</f>
        <v>75205</v>
      </c>
      <c r="I2568" s="8">
        <f t="shared" si="26"/>
        <v>75205</v>
      </c>
      <c r="J2568" s="9">
        <f>IFERROR(__xludf.DUMMYFUNCTION("SPLIT(I2568,""-"")"),75205.0)</f>
        <v>75205</v>
      </c>
    </row>
    <row r="2569">
      <c r="A2569" s="10" t="s">
        <v>2328</v>
      </c>
      <c r="B2569" s="11">
        <v>50.0</v>
      </c>
      <c r="C2569" s="12" t="s">
        <v>1065</v>
      </c>
      <c r="E2569" s="8" t="str">
        <f>IFERROR(__xludf.DUMMYFUNCTION("SPLIT(A2569,""TX"")"),"Williams, Yolanda
1012 Pindar Ave
Dallas, ")</f>
        <v>Williams, Yolanda
1012 Pindar Ave
Dallas, </v>
      </c>
      <c r="F2569" s="8">
        <f>IFERROR(__xludf.DUMMYFUNCTION("""COMPUTED_VALUE"""),75217.0)</f>
        <v>75217</v>
      </c>
      <c r="I2569" s="8">
        <f t="shared" si="26"/>
        <v>75217</v>
      </c>
      <c r="J2569" s="9">
        <f>IFERROR(__xludf.DUMMYFUNCTION("SPLIT(I2569,""-"")"),75217.0)</f>
        <v>75217</v>
      </c>
    </row>
    <row r="2570">
      <c r="A2570" s="5" t="s">
        <v>2329</v>
      </c>
      <c r="B2570" s="6">
        <v>100.0</v>
      </c>
      <c r="C2570" s="7" t="s">
        <v>1065</v>
      </c>
      <c r="E2570" s="8" t="str">
        <f>IFERROR(__xludf.DUMMYFUNCTION("SPLIT(A2570,""TX"")"),"Fleiss, Eric
3808 Miramar Ave
Dallas, ")</f>
        <v>Fleiss, Eric
3808 Miramar Ave
Dallas, </v>
      </c>
      <c r="F2570" s="8">
        <f>IFERROR(__xludf.DUMMYFUNCTION("""COMPUTED_VALUE"""),75205.0)</f>
        <v>75205</v>
      </c>
      <c r="I2570" s="8">
        <f t="shared" si="26"/>
        <v>75205</v>
      </c>
      <c r="J2570" s="9">
        <f>IFERROR(__xludf.DUMMYFUNCTION("SPLIT(I2570,""-"")"),75205.0)</f>
        <v>75205</v>
      </c>
    </row>
    <row r="2571">
      <c r="A2571" s="10" t="s">
        <v>2330</v>
      </c>
      <c r="B2571" s="11">
        <v>200.0</v>
      </c>
      <c r="C2571" s="12" t="s">
        <v>1065</v>
      </c>
      <c r="E2571" s="8" t="str">
        <f>IFERROR(__xludf.DUMMYFUNCTION("SPLIT(A2571,""TX"")"),"Jones, Kelly
1731 Eagle River ")</f>
        <v>Jones, Kelly
1731 Eagle River </v>
      </c>
      <c r="F2571" s="8" t="str">
        <f>IFERROR(__xludf.DUMMYFUNCTION("""COMPUTED_VALUE"""),"rail
Lancaster, ")</f>
        <v>rail
Lancaster, </v>
      </c>
      <c r="G2571" s="8">
        <f>IFERROR(__xludf.DUMMYFUNCTION("""COMPUTED_VALUE"""),75146.0)</f>
        <v>75146</v>
      </c>
      <c r="I2571" s="8">
        <f t="shared" si="26"/>
        <v>75146</v>
      </c>
      <c r="J2571" s="9">
        <f>IFERROR(__xludf.DUMMYFUNCTION("SPLIT(I2571,""-"")"),75146.0)</f>
        <v>75146</v>
      </c>
    </row>
    <row r="2572">
      <c r="A2572" s="5" t="s">
        <v>2331</v>
      </c>
      <c r="B2572" s="6">
        <v>2500.0</v>
      </c>
      <c r="C2572" s="7" t="s">
        <v>1065</v>
      </c>
      <c r="E2572" s="8" t="str">
        <f>IFERROR(__xludf.DUMMYFUNCTION("SPLIT(A2572,""TX"")"),"Billingsley, Lindsay
5369 Nakoma Dr
Dallas, ")</f>
        <v>Billingsley, Lindsay
5369 Nakoma Dr
Dallas, </v>
      </c>
      <c r="F2572" s="8">
        <f>IFERROR(__xludf.DUMMYFUNCTION("""COMPUTED_VALUE"""),75209.0)</f>
        <v>75209</v>
      </c>
      <c r="I2572" s="8">
        <f t="shared" si="26"/>
        <v>75209</v>
      </c>
      <c r="J2572" s="9">
        <f>IFERROR(__xludf.DUMMYFUNCTION("SPLIT(I2572,""-"")"),75209.0)</f>
        <v>75209</v>
      </c>
    </row>
    <row r="2573">
      <c r="A2573" s="10" t="s">
        <v>2332</v>
      </c>
      <c r="B2573" s="11">
        <v>50.0</v>
      </c>
      <c r="C2573" s="12" t="s">
        <v>1065</v>
      </c>
      <c r="E2573" s="8" t="str">
        <f>IFERROR(__xludf.DUMMYFUNCTION("SPLIT(A2573,""TX"")"),"aylor, Sharain
2105 Kessler Court
Dallas, ")</f>
        <v>aylor, Sharain
2105 Kessler Court
Dallas, </v>
      </c>
      <c r="F2573" s="8">
        <f>IFERROR(__xludf.DUMMYFUNCTION("""COMPUTED_VALUE"""),75208.0)</f>
        <v>75208</v>
      </c>
      <c r="I2573" s="8">
        <f t="shared" si="26"/>
        <v>75208</v>
      </c>
      <c r="J2573" s="9">
        <f>IFERROR(__xludf.DUMMYFUNCTION("SPLIT(I2573,""-"")"),75208.0)</f>
        <v>75208</v>
      </c>
    </row>
    <row r="2574">
      <c r="A2574" s="5" t="s">
        <v>2333</v>
      </c>
      <c r="B2574" s="6">
        <v>200.0</v>
      </c>
      <c r="C2574" s="7" t="s">
        <v>1065</v>
      </c>
      <c r="E2574" s="8" t="str">
        <f>IFERROR(__xludf.DUMMYFUNCTION("SPLIT(A2574,""TX"")"),"Egan, Danielle
4512 Belclaire Ave
Dallas, ")</f>
        <v>Egan, Danielle
4512 Belclaire Ave
Dallas, </v>
      </c>
      <c r="F2574" s="8">
        <f>IFERROR(__xludf.DUMMYFUNCTION("""COMPUTED_VALUE"""),75205.0)</f>
        <v>75205</v>
      </c>
      <c r="I2574" s="8">
        <f t="shared" si="26"/>
        <v>75205</v>
      </c>
      <c r="J2574" s="9">
        <f>IFERROR(__xludf.DUMMYFUNCTION("SPLIT(I2574,""-"")"),75205.0)</f>
        <v>75205</v>
      </c>
    </row>
    <row r="2575">
      <c r="A2575" s="10" t="s">
        <v>2334</v>
      </c>
      <c r="B2575" s="11">
        <v>100.0</v>
      </c>
      <c r="C2575" s="12" t="s">
        <v>1065</v>
      </c>
      <c r="E2575" s="8" t="str">
        <f>IFERROR(__xludf.DUMMYFUNCTION("SPLIT(A2575,""TX"")"),"English, Charles
PO Box 140189
Dallas, ")</f>
        <v>English, Charles
PO Box 140189
Dallas, </v>
      </c>
      <c r="F2575" s="8">
        <f>IFERROR(__xludf.DUMMYFUNCTION("""COMPUTED_VALUE"""),75214.0)</f>
        <v>75214</v>
      </c>
      <c r="I2575" s="8">
        <f t="shared" si="26"/>
        <v>75214</v>
      </c>
      <c r="J2575" s="9">
        <f>IFERROR(__xludf.DUMMYFUNCTION("SPLIT(I2575,""-"")"),75214.0)</f>
        <v>75214</v>
      </c>
    </row>
    <row r="2576">
      <c r="A2576" s="5" t="s">
        <v>2335</v>
      </c>
      <c r="B2576" s="6">
        <v>100.0</v>
      </c>
      <c r="C2576" s="7" t="s">
        <v>1065</v>
      </c>
      <c r="E2576" s="8" t="str">
        <f>IFERROR(__xludf.DUMMYFUNCTION("SPLIT(A2576,""TX"")"),"Stewart, Alecia
10616 Big ")</f>
        <v>Stewart, Alecia
10616 Big </v>
      </c>
      <c r="F2576" s="8" t="str">
        <f>IFERROR(__xludf.DUMMYFUNCTION("""COMPUTED_VALUE"""),"hicket Dr
Dallas, ")</f>
        <v>hicket Dr
Dallas, </v>
      </c>
      <c r="G2576" s="8">
        <f>IFERROR(__xludf.DUMMYFUNCTION("""COMPUTED_VALUE"""),75217.0)</f>
        <v>75217</v>
      </c>
      <c r="I2576" s="8">
        <f t="shared" si="26"/>
        <v>75217</v>
      </c>
      <c r="J2576" s="9">
        <f>IFERROR(__xludf.DUMMYFUNCTION("SPLIT(I2576,""-"")"),75217.0)</f>
        <v>75217</v>
      </c>
    </row>
    <row r="2577">
      <c r="A2577" s="10" t="s">
        <v>2336</v>
      </c>
      <c r="B2577" s="11">
        <v>2500.0</v>
      </c>
      <c r="C2577" s="12" t="s">
        <v>1065</v>
      </c>
      <c r="E2577" s="8" t="str">
        <f>IFERROR(__xludf.DUMMYFUNCTION("SPLIT(A2577,""TX"")"),"Borick, Steven
2707 Kipling St
Houston, ")</f>
        <v>Borick, Steven
2707 Kipling St
Houston, </v>
      </c>
      <c r="F2577" s="8">
        <f>IFERROR(__xludf.DUMMYFUNCTION("""COMPUTED_VALUE"""),77098.0)</f>
        <v>77098</v>
      </c>
      <c r="I2577" s="8">
        <f t="shared" si="26"/>
        <v>77098</v>
      </c>
      <c r="J2577" s="9">
        <f>IFERROR(__xludf.DUMMYFUNCTION("SPLIT(I2577,""-"")"),77098.0)</f>
        <v>77098</v>
      </c>
    </row>
    <row r="2578">
      <c r="A2578" s="5" t="s">
        <v>2337</v>
      </c>
      <c r="B2578" s="6">
        <v>50.0</v>
      </c>
      <c r="C2578" s="7" t="s">
        <v>1065</v>
      </c>
      <c r="E2578" s="8" t="str">
        <f>IFERROR(__xludf.DUMMYFUNCTION("SPLIT(A2578,""TX"")"),"Bishop LeMelle, Janice
813 Rainbow Ln
Cedar Hill, ")</f>
        <v>Bishop LeMelle, Janice
813 Rainbow Ln
Cedar Hill, </v>
      </c>
      <c r="F2578" s="8">
        <f>IFERROR(__xludf.DUMMYFUNCTION("""COMPUTED_VALUE"""),75104.0)</f>
        <v>75104</v>
      </c>
      <c r="I2578" s="8">
        <f t="shared" si="26"/>
        <v>75104</v>
      </c>
      <c r="J2578" s="9">
        <f>IFERROR(__xludf.DUMMYFUNCTION("SPLIT(I2578,""-"")"),75104.0)</f>
        <v>75104</v>
      </c>
    </row>
    <row r="2579">
      <c r="A2579" s="10" t="s">
        <v>2338</v>
      </c>
      <c r="B2579" s="11">
        <v>1000.0</v>
      </c>
      <c r="C2579" s="12" t="s">
        <v>1065</v>
      </c>
      <c r="E2579" s="8" t="str">
        <f>IFERROR(__xludf.DUMMYFUNCTION("SPLIT(A2579,""TX"")"),"Kelly, Gary
2702 Love Field Dr
Dallas, ")</f>
        <v>Kelly, Gary
2702 Love Field Dr
Dallas, </v>
      </c>
      <c r="F2579" s="8">
        <f>IFERROR(__xludf.DUMMYFUNCTION("""COMPUTED_VALUE"""),75235.0)</f>
        <v>75235</v>
      </c>
      <c r="I2579" s="8">
        <f t="shared" si="26"/>
        <v>75235</v>
      </c>
      <c r="J2579" s="9">
        <f>IFERROR(__xludf.DUMMYFUNCTION("SPLIT(I2579,""-"")"),75235.0)</f>
        <v>75235</v>
      </c>
    </row>
    <row r="2580">
      <c r="A2580" s="5" t="s">
        <v>2339</v>
      </c>
      <c r="B2580" s="6">
        <v>100.0</v>
      </c>
      <c r="C2580" s="7" t="s">
        <v>1065</v>
      </c>
      <c r="E2580" s="8" t="str">
        <f>IFERROR(__xludf.DUMMYFUNCTION("SPLIT(A2580,""TX"")"),"Johnson, Leander
3111 N Houston St
Dallas, ")</f>
        <v>Johnson, Leander
3111 N Houston St
Dallas, </v>
      </c>
      <c r="F2580" s="8">
        <f>IFERROR(__xludf.DUMMYFUNCTION("""COMPUTED_VALUE"""),75219.0)</f>
        <v>75219</v>
      </c>
      <c r="I2580" s="8">
        <f t="shared" si="26"/>
        <v>75219</v>
      </c>
      <c r="J2580" s="9">
        <f>IFERROR(__xludf.DUMMYFUNCTION("SPLIT(I2580,""-"")"),75219.0)</f>
        <v>75219</v>
      </c>
    </row>
    <row r="2581">
      <c r="A2581" s="10" t="s">
        <v>2340</v>
      </c>
      <c r="B2581" s="11">
        <v>50.0</v>
      </c>
      <c r="C2581" s="12" t="s">
        <v>1065</v>
      </c>
      <c r="E2581" s="8" t="str">
        <f>IFERROR(__xludf.DUMMYFUNCTION("SPLIT(A2581,""TX"")"),"Brown, Clara
4541 Crown Knoll Cir
Dallas, ")</f>
        <v>Brown, Clara
4541 Crown Knoll Cir
Dallas, </v>
      </c>
      <c r="F2581" s="8">
        <f>IFERROR(__xludf.DUMMYFUNCTION("""COMPUTED_VALUE"""),75232.0)</f>
        <v>75232</v>
      </c>
      <c r="I2581" s="8">
        <f t="shared" si="26"/>
        <v>75232</v>
      </c>
      <c r="J2581" s="9">
        <f>IFERROR(__xludf.DUMMYFUNCTION("SPLIT(I2581,""-"")"),75232.0)</f>
        <v>75232</v>
      </c>
    </row>
    <row r="2582">
      <c r="A2582" s="5" t="s">
        <v>2341</v>
      </c>
      <c r="B2582" s="6">
        <v>50.0</v>
      </c>
      <c r="C2582" s="7" t="s">
        <v>1065</v>
      </c>
      <c r="E2582" s="8" t="str">
        <f>IFERROR(__xludf.DUMMYFUNCTION("SPLIT(A2582,""TX"")"),"Frazier, Karen
2829 ")</f>
        <v>Frazier, Karen
2829 </v>
      </c>
      <c r="F2582" s="8" t="str">
        <f>IFERROR(__xludf.DUMMYFUNCTION("""COMPUTED_VALUE"""),"railhouse Dr
Dallas, ")</f>
        <v>railhouse Dr
Dallas, </v>
      </c>
      <c r="G2582" s="8">
        <f>IFERROR(__xludf.DUMMYFUNCTION("""COMPUTED_VALUE"""),75237.0)</f>
        <v>75237</v>
      </c>
      <c r="I2582" s="8">
        <f t="shared" si="26"/>
        <v>75237</v>
      </c>
      <c r="J2582" s="9">
        <f>IFERROR(__xludf.DUMMYFUNCTION("SPLIT(I2582,""-"")"),75237.0)</f>
        <v>75237</v>
      </c>
    </row>
    <row r="2583">
      <c r="A2583" s="10" t="s">
        <v>2342</v>
      </c>
      <c r="B2583" s="11">
        <v>500.0</v>
      </c>
      <c r="C2583" s="12" t="s">
        <v>1065</v>
      </c>
      <c r="E2583" s="8" t="str">
        <f>IFERROR(__xludf.DUMMYFUNCTION("SPLIT(A2583,""TX"")"),"Setnick, Benjamin
222 Lakeridge Dr
Dallas, ")</f>
        <v>Setnick, Benjamin
222 Lakeridge Dr
Dallas, </v>
      </c>
      <c r="F2583" s="8">
        <f>IFERROR(__xludf.DUMMYFUNCTION("""COMPUTED_VALUE"""),75218.0)</f>
        <v>75218</v>
      </c>
      <c r="I2583" s="8">
        <f t="shared" si="26"/>
        <v>75218</v>
      </c>
      <c r="J2583" s="9">
        <f>IFERROR(__xludf.DUMMYFUNCTION("SPLIT(I2583,""-"")"),75218.0)</f>
        <v>75218</v>
      </c>
    </row>
    <row r="2584">
      <c r="A2584" s="5" t="s">
        <v>2343</v>
      </c>
      <c r="B2584" s="6">
        <v>1000.0</v>
      </c>
      <c r="C2584" s="7" t="s">
        <v>1065</v>
      </c>
      <c r="E2584" s="8" t="str">
        <f>IFERROR(__xludf.DUMMYFUNCTION("SPLIT(A2584,""TX"")"),"Black, ")</f>
        <v>Black, </v>
      </c>
      <c r="F2584" s="8" t="str">
        <f>IFERROR(__xludf.DUMMYFUNCTION("""COMPUTED_VALUE"""),"re
751 Kessler Lake Dr
Dallas, ")</f>
        <v>re
751 Kessler Lake Dr
Dallas, </v>
      </c>
      <c r="G2584" s="8">
        <f>IFERROR(__xludf.DUMMYFUNCTION("""COMPUTED_VALUE"""),75208.0)</f>
        <v>75208</v>
      </c>
      <c r="I2584" s="8">
        <f t="shared" si="26"/>
        <v>75208</v>
      </c>
      <c r="J2584" s="9">
        <f>IFERROR(__xludf.DUMMYFUNCTION("SPLIT(I2584,""-"")"),75208.0)</f>
        <v>75208</v>
      </c>
    </row>
    <row r="2585">
      <c r="A2585" s="10" t="s">
        <v>2344</v>
      </c>
      <c r="B2585" s="11">
        <v>1000.0</v>
      </c>
      <c r="C2585" s="12" t="s">
        <v>1065</v>
      </c>
      <c r="E2585" s="8" t="str">
        <f>IFERROR(__xludf.DUMMYFUNCTION("SPLIT(A2585,""TX"")"),"Gates, Jennifer
4914 Keyhole Lane
Dallas, ")</f>
        <v>Gates, Jennifer
4914 Keyhole Lane
Dallas, </v>
      </c>
      <c r="F2585" s="8">
        <f>IFERROR(__xludf.DUMMYFUNCTION("""COMPUTED_VALUE"""),75229.0)</f>
        <v>75229</v>
      </c>
      <c r="I2585" s="8">
        <f t="shared" si="26"/>
        <v>75229</v>
      </c>
      <c r="J2585" s="9">
        <f>IFERROR(__xludf.DUMMYFUNCTION("SPLIT(I2585,""-"")"),75229.0)</f>
        <v>75229</v>
      </c>
    </row>
    <row r="2586">
      <c r="A2586" s="5" t="s">
        <v>2345</v>
      </c>
      <c r="B2586" s="6">
        <v>1000.0</v>
      </c>
      <c r="C2586" s="7" t="s">
        <v>1065</v>
      </c>
      <c r="E2586" s="8" t="str">
        <f>IFERROR(__xludf.DUMMYFUNCTION("SPLIT(A2586,""TX"")"),"Murchison, Maggie
10131 Gaywood Rd
Dallas, ")</f>
        <v>Murchison, Maggie
10131 Gaywood Rd
Dallas, </v>
      </c>
      <c r="F2586" s="8">
        <f>IFERROR(__xludf.DUMMYFUNCTION("""COMPUTED_VALUE"""),75229.0)</f>
        <v>75229</v>
      </c>
      <c r="I2586" s="8">
        <f t="shared" si="26"/>
        <v>75229</v>
      </c>
      <c r="J2586" s="9">
        <f>IFERROR(__xludf.DUMMYFUNCTION("SPLIT(I2586,""-"")"),75229.0)</f>
        <v>75229</v>
      </c>
    </row>
    <row r="2587">
      <c r="A2587" s="10" t="s">
        <v>2346</v>
      </c>
      <c r="B2587" s="11">
        <v>100.0</v>
      </c>
      <c r="C2587" s="12" t="s">
        <v>1065</v>
      </c>
      <c r="E2587" s="8" t="str">
        <f>IFERROR(__xludf.DUMMYFUNCTION("SPLIT(A2587,""TX"")"),"Barnes, Madge
1100 Lake Carolyn Pkwy
Irving, ")</f>
        <v>Barnes, Madge
1100 Lake Carolyn Pkwy
Irving, </v>
      </c>
      <c r="F2587" s="8">
        <f>IFERROR(__xludf.DUMMYFUNCTION("""COMPUTED_VALUE"""),75039.0)</f>
        <v>75039</v>
      </c>
      <c r="I2587" s="8">
        <f t="shared" si="26"/>
        <v>75039</v>
      </c>
      <c r="J2587" s="9">
        <f>IFERROR(__xludf.DUMMYFUNCTION("SPLIT(I2587,""-"")"),75039.0)</f>
        <v>75039</v>
      </c>
    </row>
    <row r="2588">
      <c r="A2588" s="5" t="s">
        <v>2347</v>
      </c>
      <c r="B2588" s="6">
        <v>1000.0</v>
      </c>
      <c r="C2588" s="7" t="s">
        <v>1065</v>
      </c>
      <c r="E2588" s="8" t="str">
        <f>IFERROR(__xludf.DUMMYFUNCTION("SPLIT(A2588,""TX"")"),"Jones, Dale
700 Park Regency Place
Atlanta, GA 30326")</f>
        <v>Jones, Dale
700 Park Regency Place
Atlanta, GA 30326</v>
      </c>
      <c r="I2588" s="8" t="str">
        <f t="shared" si="26"/>
        <v/>
      </c>
      <c r="J2588" s="9" t="str">
        <f>IFERROR(__xludf.DUMMYFUNCTION("SPLIT(I2588,""-"")"),"#VALUE!")</f>
        <v>#VALUE!</v>
      </c>
    </row>
    <row r="2589">
      <c r="A2589" s="10" t="s">
        <v>2348</v>
      </c>
      <c r="B2589" s="11">
        <v>150.0</v>
      </c>
      <c r="C2589" s="12" t="s">
        <v>1065</v>
      </c>
      <c r="E2589" s="8" t="str">
        <f>IFERROR(__xludf.DUMMYFUNCTION("SPLIT(A2589,""TX"")"),"ownsend, KB
PO Box 720231
Dallas, ")</f>
        <v>ownsend, KB
PO Box 720231
Dallas, </v>
      </c>
      <c r="F2589" s="8">
        <f>IFERROR(__xludf.DUMMYFUNCTION("""COMPUTED_VALUE"""),75372.0)</f>
        <v>75372</v>
      </c>
      <c r="I2589" s="8">
        <f t="shared" si="26"/>
        <v>75372</v>
      </c>
      <c r="J2589" s="9">
        <f>IFERROR(__xludf.DUMMYFUNCTION("SPLIT(I2589,""-"")"),75372.0)</f>
        <v>75372</v>
      </c>
    </row>
    <row r="2590">
      <c r="A2590" s="5" t="s">
        <v>2349</v>
      </c>
      <c r="B2590" s="6">
        <v>100.0</v>
      </c>
      <c r="C2590" s="7" t="s">
        <v>1065</v>
      </c>
      <c r="E2590" s="8" t="str">
        <f>IFERROR(__xludf.DUMMYFUNCTION("SPLIT(A2590,""TX"")"),"Haggerty, Clint
1221 Manufacturing St
Dallas, ")</f>
        <v>Haggerty, Clint
1221 Manufacturing St
Dallas, </v>
      </c>
      <c r="F2590" s="8">
        <f>IFERROR(__xludf.DUMMYFUNCTION("""COMPUTED_VALUE"""),75207.0)</f>
        <v>75207</v>
      </c>
      <c r="I2590" s="8">
        <f t="shared" si="26"/>
        <v>75207</v>
      </c>
      <c r="J2590" s="9">
        <f>IFERROR(__xludf.DUMMYFUNCTION("SPLIT(I2590,""-"")"),75207.0)</f>
        <v>75207</v>
      </c>
    </row>
    <row r="2591">
      <c r="A2591" s="10" t="s">
        <v>2350</v>
      </c>
      <c r="B2591" s="11">
        <v>100.0</v>
      </c>
      <c r="C2591" s="12" t="s">
        <v>1065</v>
      </c>
      <c r="E2591" s="8" t="str">
        <f>IFERROR(__xludf.DUMMYFUNCTION("SPLIT(A2591,""TX"")"),"Koop, Linda
15210 Leafy Ln
Dallas, ")</f>
        <v>Koop, Linda
15210 Leafy Ln
Dallas, </v>
      </c>
      <c r="F2591" s="8">
        <f>IFERROR(__xludf.DUMMYFUNCTION("""COMPUTED_VALUE"""),75248.0)</f>
        <v>75248</v>
      </c>
      <c r="I2591" s="8">
        <f t="shared" si="26"/>
        <v>75248</v>
      </c>
      <c r="J2591" s="9">
        <f>IFERROR(__xludf.DUMMYFUNCTION("SPLIT(I2591,""-"")"),75248.0)</f>
        <v>75248</v>
      </c>
    </row>
    <row r="2592">
      <c r="A2592" s="10" t="s">
        <v>2351</v>
      </c>
      <c r="B2592" s="11">
        <v>50.0</v>
      </c>
      <c r="C2592" s="12" t="s">
        <v>1065</v>
      </c>
      <c r="E2592" s="8" t="str">
        <f>IFERROR(__xludf.DUMMYFUNCTION("SPLIT(A2592,""TX"")"),"Feuer, Ian
822 Kings Canyon Court
Coppell, ")</f>
        <v>Feuer, Ian
822 Kings Canyon Court
Coppell, </v>
      </c>
      <c r="F2592" s="8">
        <f>IFERROR(__xludf.DUMMYFUNCTION("""COMPUTED_VALUE"""),75019.0)</f>
        <v>75019</v>
      </c>
      <c r="I2592" s="8">
        <f t="shared" si="26"/>
        <v>75019</v>
      </c>
      <c r="J2592" s="9">
        <f>IFERROR(__xludf.DUMMYFUNCTION("SPLIT(I2592,""-"")"),75019.0)</f>
        <v>75019</v>
      </c>
    </row>
    <row r="2593">
      <c r="A2593" s="5" t="s">
        <v>2352</v>
      </c>
      <c r="B2593" s="6">
        <v>250.0</v>
      </c>
      <c r="C2593" s="7" t="s">
        <v>1065</v>
      </c>
      <c r="E2593" s="8" t="str">
        <f>IFERROR(__xludf.DUMMYFUNCTION("SPLIT(A2593,""TX"")"),"Abtahi, Robert
1126 N Zang Blvd
Dallas, ")</f>
        <v>Abtahi, Robert
1126 N Zang Blvd
Dallas, </v>
      </c>
      <c r="F2593" s="8">
        <f>IFERROR(__xludf.DUMMYFUNCTION("""COMPUTED_VALUE"""),75203.0)</f>
        <v>75203</v>
      </c>
      <c r="I2593" s="8">
        <f t="shared" si="26"/>
        <v>75203</v>
      </c>
      <c r="J2593" s="9">
        <f>IFERROR(__xludf.DUMMYFUNCTION("SPLIT(I2593,""-"")"),75203.0)</f>
        <v>75203</v>
      </c>
    </row>
    <row r="2594">
      <c r="A2594" s="10" t="s">
        <v>2353</v>
      </c>
      <c r="B2594" s="11">
        <v>100.0</v>
      </c>
      <c r="C2594" s="12" t="s">
        <v>1065</v>
      </c>
      <c r="E2594" s="8" t="str">
        <f>IFERROR(__xludf.DUMMYFUNCTION("SPLIT(A2594,""TX"")"),"Dorantes, Alan
1908 Emilia Dr
Celina, ")</f>
        <v>Dorantes, Alan
1908 Emilia Dr
Celina, </v>
      </c>
      <c r="F2594" s="8">
        <f>IFERROR(__xludf.DUMMYFUNCTION("""COMPUTED_VALUE"""),75009.0)</f>
        <v>75009</v>
      </c>
      <c r="I2594" s="8">
        <f t="shared" si="26"/>
        <v>75009</v>
      </c>
      <c r="J2594" s="9">
        <f>IFERROR(__xludf.DUMMYFUNCTION("SPLIT(I2594,""-"")"),75009.0)</f>
        <v>75009</v>
      </c>
    </row>
    <row r="2595">
      <c r="A2595" s="5" t="s">
        <v>2354</v>
      </c>
      <c r="B2595" s="6">
        <v>1000.0</v>
      </c>
      <c r="C2595" s="7" t="s">
        <v>1065</v>
      </c>
      <c r="E2595" s="8" t="str">
        <f>IFERROR(__xludf.DUMMYFUNCTION("SPLIT(A2595,""TX"")"),"King, Delva
1243 W Pleasant Run Road
Desoto, ")</f>
        <v>King, Delva
1243 W Pleasant Run Road
Desoto, </v>
      </c>
      <c r="F2595" s="8">
        <f>IFERROR(__xludf.DUMMYFUNCTION("""COMPUTED_VALUE"""),75115.0)</f>
        <v>75115</v>
      </c>
      <c r="I2595" s="8">
        <f t="shared" si="26"/>
        <v>75115</v>
      </c>
      <c r="J2595" s="9">
        <f>IFERROR(__xludf.DUMMYFUNCTION("SPLIT(I2595,""-"")"),75115.0)</f>
        <v>75115</v>
      </c>
    </row>
    <row r="2596">
      <c r="A2596" s="10" t="s">
        <v>2355</v>
      </c>
      <c r="B2596" s="11">
        <v>15.0</v>
      </c>
      <c r="C2596" s="12" t="s">
        <v>1065</v>
      </c>
      <c r="E2596" s="8" t="str">
        <f>IFERROR(__xludf.DUMMYFUNCTION("SPLIT(A2596,""TX"")"),"Conley, Paige
10429 Yorkford Dr
Dallas, ")</f>
        <v>Conley, Paige
10429 Yorkford Dr
Dallas, </v>
      </c>
      <c r="F2596" s="8">
        <f>IFERROR(__xludf.DUMMYFUNCTION("""COMPUTED_VALUE"""),75238.0)</f>
        <v>75238</v>
      </c>
      <c r="I2596" s="8">
        <f t="shared" si="26"/>
        <v>75238</v>
      </c>
      <c r="J2596" s="9">
        <f>IFERROR(__xludf.DUMMYFUNCTION("SPLIT(I2596,""-"")"),75238.0)</f>
        <v>75238</v>
      </c>
    </row>
    <row r="2597">
      <c r="A2597" s="5" t="s">
        <v>2356</v>
      </c>
      <c r="B2597" s="6">
        <v>50.0</v>
      </c>
      <c r="C2597" s="7" t="s">
        <v>1065</v>
      </c>
      <c r="E2597" s="8" t="str">
        <f>IFERROR(__xludf.DUMMYFUNCTION("SPLIT(A2597,""TX"")"),"Hill, Kendall
3126 Ross Ave
Dallas, ")</f>
        <v>Hill, Kendall
3126 Ross Ave
Dallas, </v>
      </c>
      <c r="F2597" s="8">
        <f>IFERROR(__xludf.DUMMYFUNCTION("""COMPUTED_VALUE"""),75204.0)</f>
        <v>75204</v>
      </c>
      <c r="I2597" s="8">
        <f t="shared" si="26"/>
        <v>75204</v>
      </c>
      <c r="J2597" s="9">
        <f>IFERROR(__xludf.DUMMYFUNCTION("SPLIT(I2597,""-"")"),75204.0)</f>
        <v>75204</v>
      </c>
    </row>
    <row r="2598">
      <c r="A2598" s="10" t="s">
        <v>2357</v>
      </c>
      <c r="B2598" s="11">
        <v>100.0</v>
      </c>
      <c r="C2598" s="12" t="s">
        <v>1065</v>
      </c>
      <c r="E2598" s="8" t="str">
        <f>IFERROR(__xludf.DUMMYFUNCTION("SPLIT(A2598,""TX"")"),"Jones, Venton
1075 Griffin St W
Dallas, ")</f>
        <v>Jones, Venton
1075 Griffin St W
Dallas, </v>
      </c>
      <c r="F2598" s="8">
        <f>IFERROR(__xludf.DUMMYFUNCTION("""COMPUTED_VALUE"""),75215.0)</f>
        <v>75215</v>
      </c>
      <c r="I2598" s="8">
        <f t="shared" si="26"/>
        <v>75215</v>
      </c>
      <c r="J2598" s="9">
        <f>IFERROR(__xludf.DUMMYFUNCTION("SPLIT(I2598,""-"")"),75215.0)</f>
        <v>75215</v>
      </c>
    </row>
    <row r="2599">
      <c r="A2599" s="5" t="s">
        <v>2358</v>
      </c>
      <c r="B2599" s="6">
        <v>500.0</v>
      </c>
      <c r="C2599" s="7" t="s">
        <v>1065</v>
      </c>
      <c r="E2599" s="8" t="str">
        <f>IFERROR(__xludf.DUMMYFUNCTION("SPLIT(A2599,""TX"")"),"Larosiliere, ")</f>
        <v>Larosiliere, </v>
      </c>
      <c r="F2599" s="8" t="str">
        <f>IFERROR(__xludf.DUMMYFUNCTION("""COMPUTED_VALUE"""),"racy
6604 Briar Ridge Lane
Plano, ")</f>
        <v>racy
6604 Briar Ridge Lane
Plano, </v>
      </c>
      <c r="G2599" s="8">
        <f>IFERROR(__xludf.DUMMYFUNCTION("""COMPUTED_VALUE"""),75024.0)</f>
        <v>75024</v>
      </c>
      <c r="I2599" s="8">
        <f t="shared" si="26"/>
        <v>75024</v>
      </c>
      <c r="J2599" s="9">
        <f>IFERROR(__xludf.DUMMYFUNCTION("SPLIT(I2599,""-"")"),75024.0)</f>
        <v>75024</v>
      </c>
    </row>
    <row r="2600">
      <c r="A2600" s="10" t="s">
        <v>2359</v>
      </c>
      <c r="B2600" s="11">
        <v>1000.0</v>
      </c>
      <c r="C2600" s="12" t="s">
        <v>1065</v>
      </c>
      <c r="E2600" s="8" t="str">
        <f>IFERROR(__xludf.DUMMYFUNCTION("SPLIT(A2600,""TX"")"),"Walker, Blake
7018 Elmridge Dr
Dallas, ")</f>
        <v>Walker, Blake
7018 Elmridge Dr
Dallas, </v>
      </c>
      <c r="F2600" s="8">
        <f>IFERROR(__xludf.DUMMYFUNCTION("""COMPUTED_VALUE"""),75240.0)</f>
        <v>75240</v>
      </c>
      <c r="I2600" s="8">
        <f t="shared" si="26"/>
        <v>75240</v>
      </c>
      <c r="J2600" s="9">
        <f>IFERROR(__xludf.DUMMYFUNCTION("SPLIT(I2600,""-"")"),75240.0)</f>
        <v>75240</v>
      </c>
    </row>
    <row r="2601">
      <c r="A2601" s="5" t="s">
        <v>2360</v>
      </c>
      <c r="B2601" s="6">
        <v>100.0</v>
      </c>
      <c r="C2601" s="7" t="s">
        <v>1065</v>
      </c>
      <c r="E2601" s="8" t="str">
        <f>IFERROR(__xludf.DUMMYFUNCTION("SPLIT(A2601,""TX"")"),"Huerta, Daniel
1414 Cedar Hill
Dallas, ")</f>
        <v>Huerta, Daniel
1414 Cedar Hill
Dallas, </v>
      </c>
      <c r="F2601" s="8">
        <f>IFERROR(__xludf.DUMMYFUNCTION("""COMPUTED_VALUE"""),75208.0)</f>
        <v>75208</v>
      </c>
      <c r="I2601" s="8">
        <f t="shared" si="26"/>
        <v>75208</v>
      </c>
      <c r="J2601" s="9">
        <f>IFERROR(__xludf.DUMMYFUNCTION("SPLIT(I2601,""-"")"),75208.0)</f>
        <v>75208</v>
      </c>
    </row>
    <row r="2602">
      <c r="A2602" s="10" t="s">
        <v>2361</v>
      </c>
      <c r="B2602" s="11">
        <v>100.0</v>
      </c>
      <c r="C2602" s="12" t="s">
        <v>1065</v>
      </c>
      <c r="E2602" s="8" t="str">
        <f>IFERROR(__xludf.DUMMYFUNCTION("SPLIT(A2602,""TX"")"),"Starnes, Darrell
11937 Denton Dr
Dallas, ")</f>
        <v>Starnes, Darrell
11937 Denton Dr
Dallas, </v>
      </c>
      <c r="F2602" s="8">
        <f>IFERROR(__xludf.DUMMYFUNCTION("""COMPUTED_VALUE"""),75234.0)</f>
        <v>75234</v>
      </c>
      <c r="I2602" s="8">
        <f t="shared" si="26"/>
        <v>75234</v>
      </c>
      <c r="J2602" s="9">
        <f>IFERROR(__xludf.DUMMYFUNCTION("SPLIT(I2602,""-"")"),75234.0)</f>
        <v>75234</v>
      </c>
    </row>
    <row r="2603">
      <c r="A2603" s="5" t="s">
        <v>2362</v>
      </c>
      <c r="B2603" s="6">
        <v>500.0</v>
      </c>
      <c r="C2603" s="7" t="s">
        <v>1065</v>
      </c>
      <c r="E2603" s="8" t="str">
        <f>IFERROR(__xludf.DUMMYFUNCTION("SPLIT(A2603,""TX"")"),"Bennett, Jeffrey
3100 Commerce St
Dallas, ")</f>
        <v>Bennett, Jeffrey
3100 Commerce St
Dallas, </v>
      </c>
      <c r="F2603" s="8">
        <f>IFERROR(__xludf.DUMMYFUNCTION("""COMPUTED_VALUE"""),75226.0)</f>
        <v>75226</v>
      </c>
      <c r="I2603" s="8">
        <f t="shared" si="26"/>
        <v>75226</v>
      </c>
      <c r="J2603" s="9">
        <f>IFERROR(__xludf.DUMMYFUNCTION("SPLIT(I2603,""-"")"),75226.0)</f>
        <v>75226</v>
      </c>
    </row>
    <row r="2604">
      <c r="A2604" s="5" t="s">
        <v>2363</v>
      </c>
      <c r="B2604" s="6">
        <v>500.0</v>
      </c>
      <c r="C2604" s="7" t="s">
        <v>1065</v>
      </c>
      <c r="E2604" s="8" t="str">
        <f>IFERROR(__xludf.DUMMYFUNCTION("SPLIT(A2604,""TX"")"),"Joyner, Oscar
1512 Nelson Dr
Irving, ")</f>
        <v>Joyner, Oscar
1512 Nelson Dr
Irving, </v>
      </c>
      <c r="F2604" s="8">
        <f>IFERROR(__xludf.DUMMYFUNCTION("""COMPUTED_VALUE"""),75038.0)</f>
        <v>75038</v>
      </c>
      <c r="I2604" s="8">
        <f t="shared" si="26"/>
        <v>75038</v>
      </c>
      <c r="J2604" s="9">
        <f>IFERROR(__xludf.DUMMYFUNCTION("SPLIT(I2604,""-"")"),75038.0)</f>
        <v>75038</v>
      </c>
    </row>
    <row r="2605">
      <c r="A2605" s="10" t="s">
        <v>2364</v>
      </c>
      <c r="B2605" s="11">
        <v>25.0</v>
      </c>
      <c r="C2605" s="12" t="s">
        <v>1065</v>
      </c>
      <c r="E2605" s="8" t="str">
        <f>IFERROR(__xludf.DUMMYFUNCTION("SPLIT(A2605,""TX"")"),"Robinson, David
1720 Dartmouth Dr
Glenn Heights, ")</f>
        <v>Robinson, David
1720 Dartmouth Dr
Glenn Heights, </v>
      </c>
      <c r="F2605" s="8">
        <f>IFERROR(__xludf.DUMMYFUNCTION("""COMPUTED_VALUE"""),75154.0)</f>
        <v>75154</v>
      </c>
      <c r="I2605" s="8">
        <f t="shared" si="26"/>
        <v>75154</v>
      </c>
      <c r="J2605" s="9">
        <f>IFERROR(__xludf.DUMMYFUNCTION("SPLIT(I2605,""-"")"),75154.0)</f>
        <v>75154</v>
      </c>
    </row>
    <row r="2606">
      <c r="A2606" s="5" t="s">
        <v>2365</v>
      </c>
      <c r="B2606" s="6">
        <v>50.0</v>
      </c>
      <c r="C2606" s="7" t="s">
        <v>1065</v>
      </c>
      <c r="E2606" s="8" t="str">
        <f>IFERROR(__xludf.DUMMYFUNCTION("SPLIT(A2606,""TX"")"),"Vindas, Andrea
448 W 19th St
Houston, ")</f>
        <v>Vindas, Andrea
448 W 19th St
Houston, </v>
      </c>
      <c r="F2606" s="8">
        <f>IFERROR(__xludf.DUMMYFUNCTION("""COMPUTED_VALUE"""),77008.0)</f>
        <v>77008</v>
      </c>
      <c r="I2606" s="8">
        <f t="shared" si="26"/>
        <v>77008</v>
      </c>
      <c r="J2606" s="9">
        <f>IFERROR(__xludf.DUMMYFUNCTION("SPLIT(I2606,""-"")"),77008.0)</f>
        <v>77008</v>
      </c>
    </row>
    <row r="2607">
      <c r="A2607" s="10" t="s">
        <v>2366</v>
      </c>
      <c r="B2607" s="11">
        <v>50.0</v>
      </c>
      <c r="C2607" s="12" t="s">
        <v>1065</v>
      </c>
      <c r="E2607" s="8" t="str">
        <f>IFERROR(__xludf.DUMMYFUNCTION("SPLIT(A2607,""TX"")"),"Silva, Carlos
901 Lakeside Cir
Lewisville, ")</f>
        <v>Silva, Carlos
901 Lakeside Cir
Lewisville, </v>
      </c>
      <c r="F2607" s="8">
        <f>IFERROR(__xludf.DUMMYFUNCTION("""COMPUTED_VALUE"""),75057.0)</f>
        <v>75057</v>
      </c>
      <c r="I2607" s="8">
        <f t="shared" si="26"/>
        <v>75057</v>
      </c>
      <c r="J2607" s="9">
        <f>IFERROR(__xludf.DUMMYFUNCTION("SPLIT(I2607,""-"")"),75057.0)</f>
        <v>75057</v>
      </c>
    </row>
    <row r="2608">
      <c r="A2608" s="5" t="s">
        <v>2367</v>
      </c>
      <c r="B2608" s="6">
        <v>100.0</v>
      </c>
      <c r="C2608" s="7" t="s">
        <v>1065</v>
      </c>
      <c r="E2608" s="8" t="str">
        <f>IFERROR(__xludf.DUMMYFUNCTION("SPLIT(A2608,""TX"")"),"Syed, Sana
3838 Oak Lawn
Dallas, ")</f>
        <v>Syed, Sana
3838 Oak Lawn
Dallas, </v>
      </c>
      <c r="F2608" s="8">
        <f>IFERROR(__xludf.DUMMYFUNCTION("""COMPUTED_VALUE"""),75219.0)</f>
        <v>75219</v>
      </c>
      <c r="I2608" s="8">
        <f t="shared" si="26"/>
        <v>75219</v>
      </c>
      <c r="J2608" s="9">
        <f>IFERROR(__xludf.DUMMYFUNCTION("SPLIT(I2608,""-"")"),75219.0)</f>
        <v>75219</v>
      </c>
    </row>
    <row r="2609">
      <c r="A2609" s="10" t="s">
        <v>2368</v>
      </c>
      <c r="B2609" s="11">
        <v>50.0</v>
      </c>
      <c r="C2609" s="12" t="s">
        <v>1065</v>
      </c>
      <c r="E2609" s="8" t="str">
        <f>IFERROR(__xludf.DUMMYFUNCTION("SPLIT(A2609,""TX"")"),"Mier, Dan
8515 San Benito Way
Dallas, ")</f>
        <v>Mier, Dan
8515 San Benito Way
Dallas, </v>
      </c>
      <c r="F2609" s="8">
        <f>IFERROR(__xludf.DUMMYFUNCTION("""COMPUTED_VALUE"""),75218.0)</f>
        <v>75218</v>
      </c>
      <c r="I2609" s="8">
        <f t="shared" si="26"/>
        <v>75218</v>
      </c>
      <c r="J2609" s="9">
        <f>IFERROR(__xludf.DUMMYFUNCTION("SPLIT(I2609,""-"")"),75218.0)</f>
        <v>75218</v>
      </c>
    </row>
    <row r="2610">
      <c r="A2610" s="5" t="s">
        <v>2369</v>
      </c>
      <c r="B2610" s="6">
        <v>50.0</v>
      </c>
      <c r="C2610" s="7" t="s">
        <v>1065</v>
      </c>
      <c r="E2610" s="8" t="str">
        <f>IFERROR(__xludf.DUMMYFUNCTION("SPLIT(A2610,""TX"")"),"Mier, Brian
8515 San Benito Way
Dallas, ")</f>
        <v>Mier, Brian
8515 San Benito Way
Dallas, </v>
      </c>
      <c r="F2610" s="8">
        <f>IFERROR(__xludf.DUMMYFUNCTION("""COMPUTED_VALUE"""),75218.0)</f>
        <v>75218</v>
      </c>
      <c r="I2610" s="8">
        <f t="shared" si="26"/>
        <v>75218</v>
      </c>
      <c r="J2610" s="9">
        <f>IFERROR(__xludf.DUMMYFUNCTION("SPLIT(I2610,""-"")"),75218.0)</f>
        <v>75218</v>
      </c>
    </row>
    <row r="2611">
      <c r="A2611" s="10" t="s">
        <v>2370</v>
      </c>
      <c r="B2611" s="11">
        <v>50.0</v>
      </c>
      <c r="C2611" s="12" t="s">
        <v>1065</v>
      </c>
      <c r="E2611" s="8" t="str">
        <f>IFERROR(__xludf.DUMMYFUNCTION("SPLIT(A2611,""TX"")"),"Ford, Chris
8047 Moss Meadows Dr
Dallas, ")</f>
        <v>Ford, Chris
8047 Moss Meadows Dr
Dallas, </v>
      </c>
      <c r="F2611" s="8">
        <f>IFERROR(__xludf.DUMMYFUNCTION("""COMPUTED_VALUE"""),75231.0)</f>
        <v>75231</v>
      </c>
      <c r="I2611" s="8">
        <f t="shared" si="26"/>
        <v>75231</v>
      </c>
      <c r="J2611" s="9">
        <f>IFERROR(__xludf.DUMMYFUNCTION("SPLIT(I2611,""-"")"),75231.0)</f>
        <v>75231</v>
      </c>
    </row>
    <row r="2612">
      <c r="A2612" s="5" t="s">
        <v>2371</v>
      </c>
      <c r="B2612" s="6">
        <v>1000.0</v>
      </c>
      <c r="C2612" s="7" t="s">
        <v>1065</v>
      </c>
      <c r="E2612" s="8" t="str">
        <f>IFERROR(__xludf.DUMMYFUNCTION("SPLIT(A2612,""TX"")"),"Warner, Michael
4727 Arvilla Lane
Houston, ")</f>
        <v>Warner, Michael
4727 Arvilla Lane
Houston, </v>
      </c>
      <c r="F2612" s="8">
        <f>IFERROR(__xludf.DUMMYFUNCTION("""COMPUTED_VALUE"""),77021.0)</f>
        <v>77021</v>
      </c>
      <c r="I2612" s="8">
        <f t="shared" si="26"/>
        <v>77021</v>
      </c>
      <c r="J2612" s="9">
        <f>IFERROR(__xludf.DUMMYFUNCTION("SPLIT(I2612,""-"")"),77021.0)</f>
        <v>77021</v>
      </c>
    </row>
    <row r="2613">
      <c r="A2613" s="10" t="s">
        <v>2372</v>
      </c>
      <c r="B2613" s="11">
        <v>100.0</v>
      </c>
      <c r="C2613" s="12" t="s">
        <v>1065</v>
      </c>
      <c r="E2613" s="8" t="str">
        <f>IFERROR(__xludf.DUMMYFUNCTION("SPLIT(A2613,""TX"")"),"Moore, Matt
5807 Still Forest Dr
Dallas, ")</f>
        <v>Moore, Matt
5807 Still Forest Dr
Dallas, </v>
      </c>
      <c r="F2613" s="8">
        <f>IFERROR(__xludf.DUMMYFUNCTION("""COMPUTED_VALUE"""),75252.0)</f>
        <v>75252</v>
      </c>
      <c r="I2613" s="8">
        <f t="shared" si="26"/>
        <v>75252</v>
      </c>
      <c r="J2613" s="9">
        <f>IFERROR(__xludf.DUMMYFUNCTION("SPLIT(I2613,""-"")"),75252.0)</f>
        <v>75252</v>
      </c>
    </row>
    <row r="2614">
      <c r="A2614" s="5" t="s">
        <v>2373</v>
      </c>
      <c r="B2614" s="6">
        <v>100.0</v>
      </c>
      <c r="C2614" s="7" t="s">
        <v>1065</v>
      </c>
      <c r="E2614" s="8" t="str">
        <f>IFERROR(__xludf.DUMMYFUNCTION("SPLIT(A2614,""TX"")"),"Anderson, Annette
3706 Pallos Verdas Dr
Dallas, ")</f>
        <v>Anderson, Annette
3706 Pallos Verdas Dr
Dallas, </v>
      </c>
      <c r="F2614" s="8">
        <f>IFERROR(__xludf.DUMMYFUNCTION("""COMPUTED_VALUE"""),75229.0)</f>
        <v>75229</v>
      </c>
      <c r="I2614" s="8">
        <f t="shared" si="26"/>
        <v>75229</v>
      </c>
      <c r="J2614" s="9">
        <f>IFERROR(__xludf.DUMMYFUNCTION("SPLIT(I2614,""-"")"),75229.0)</f>
        <v>75229</v>
      </c>
    </row>
    <row r="2615">
      <c r="A2615" s="10" t="s">
        <v>2374</v>
      </c>
      <c r="B2615" s="11">
        <v>250.0</v>
      </c>
      <c r="C2615" s="12" t="s">
        <v>1065</v>
      </c>
      <c r="E2615" s="8" t="str">
        <f>IFERROR(__xludf.DUMMYFUNCTION("SPLIT(A2615,""TX"")"),"Garfield, Ray
6306 Stonehill Dr
Dallas, ")</f>
        <v>Garfield, Ray
6306 Stonehill Dr
Dallas, </v>
      </c>
      <c r="F2615" s="8">
        <f>IFERROR(__xludf.DUMMYFUNCTION("""COMPUTED_VALUE"""),75254.0)</f>
        <v>75254</v>
      </c>
      <c r="I2615" s="8">
        <f t="shared" si="26"/>
        <v>75254</v>
      </c>
      <c r="J2615" s="9">
        <f>IFERROR(__xludf.DUMMYFUNCTION("SPLIT(I2615,""-"")"),75254.0)</f>
        <v>75254</v>
      </c>
    </row>
    <row r="2616">
      <c r="A2616" s="5" t="s">
        <v>2375</v>
      </c>
      <c r="B2616" s="6">
        <v>100.0</v>
      </c>
      <c r="C2616" s="7" t="s">
        <v>1065</v>
      </c>
      <c r="E2616" s="8" t="str">
        <f>IFERROR(__xludf.DUMMYFUNCTION("SPLIT(A2616,""TX"")"),"Price, Mandy
6303 Revere Place
Dallas, ")</f>
        <v>Price, Mandy
6303 Revere Place
Dallas, </v>
      </c>
      <c r="F2616" s="8">
        <f>IFERROR(__xludf.DUMMYFUNCTION("""COMPUTED_VALUE"""),75214.0)</f>
        <v>75214</v>
      </c>
      <c r="I2616" s="8">
        <f t="shared" si="26"/>
        <v>75214</v>
      </c>
      <c r="J2616" s="9">
        <f>IFERROR(__xludf.DUMMYFUNCTION("SPLIT(I2616,""-"")"),75214.0)</f>
        <v>75214</v>
      </c>
    </row>
    <row r="2617">
      <c r="A2617" s="10" t="s">
        <v>2376</v>
      </c>
      <c r="B2617" s="11">
        <v>50.0</v>
      </c>
      <c r="C2617" s="12" t="s">
        <v>1065</v>
      </c>
      <c r="E2617" s="8" t="str">
        <f>IFERROR(__xludf.DUMMYFUNCTION("SPLIT(A2617,""TX"")"),"Kelly, Patrick
6544 Winton Street
Dallas, ")</f>
        <v>Kelly, Patrick
6544 Winton Street
Dallas, </v>
      </c>
      <c r="F2617" s="8">
        <f>IFERROR(__xludf.DUMMYFUNCTION("""COMPUTED_VALUE"""),75214.0)</f>
        <v>75214</v>
      </c>
      <c r="I2617" s="8">
        <f t="shared" si="26"/>
        <v>75214</v>
      </c>
      <c r="J2617" s="9">
        <f>IFERROR(__xludf.DUMMYFUNCTION("SPLIT(I2617,""-"")"),75214.0)</f>
        <v>75214</v>
      </c>
    </row>
    <row r="2618">
      <c r="A2618" s="5" t="s">
        <v>2377</v>
      </c>
      <c r="B2618" s="6">
        <v>100.0</v>
      </c>
      <c r="C2618" s="7" t="s">
        <v>1065</v>
      </c>
      <c r="E2618" s="8" t="str">
        <f>IFERROR(__xludf.DUMMYFUNCTION("SPLIT(A2618,""TX"")"),"Coleman, William
6643 Prairie Flower ")</f>
        <v>Coleman, William
6643 Prairie Flower </v>
      </c>
      <c r="F2618" s="8" t="str">
        <f>IFERROR(__xludf.DUMMYFUNCTION("""COMPUTED_VALUE"""),"rail
Dallas, ")</f>
        <v>rail
Dallas, </v>
      </c>
      <c r="G2618" s="8">
        <f>IFERROR(__xludf.DUMMYFUNCTION("""COMPUTED_VALUE"""),75227.0)</f>
        <v>75227</v>
      </c>
      <c r="I2618" s="8">
        <f t="shared" si="26"/>
        <v>75227</v>
      </c>
      <c r="J2618" s="9">
        <f>IFERROR(__xludf.DUMMYFUNCTION("SPLIT(I2618,""-"")"),75227.0)</f>
        <v>75227</v>
      </c>
    </row>
    <row r="2619">
      <c r="A2619" s="10" t="s">
        <v>2378</v>
      </c>
      <c r="B2619" s="11">
        <v>100.0</v>
      </c>
      <c r="C2619" s="12" t="s">
        <v>1065</v>
      </c>
      <c r="E2619" s="8" t="str">
        <f>IFERROR(__xludf.DUMMYFUNCTION("SPLIT(A2619,""TX"")"),"Perryman, Sally
6138 Woodland Dri
Dallas, ")</f>
        <v>Perryman, Sally
6138 Woodland Dri
Dallas, </v>
      </c>
      <c r="F2619" s="8">
        <f>IFERROR(__xludf.DUMMYFUNCTION("""COMPUTED_VALUE"""),75225.0)</f>
        <v>75225</v>
      </c>
      <c r="I2619" s="8">
        <f t="shared" si="26"/>
        <v>75225</v>
      </c>
      <c r="J2619" s="9">
        <f>IFERROR(__xludf.DUMMYFUNCTION("SPLIT(I2619,""-"")"),75225.0)</f>
        <v>75225</v>
      </c>
    </row>
    <row r="2620">
      <c r="A2620" s="5" t="s">
        <v>2379</v>
      </c>
      <c r="B2620" s="6">
        <v>100.0</v>
      </c>
      <c r="C2620" s="7" t="s">
        <v>1065</v>
      </c>
      <c r="E2620" s="8" t="str">
        <f>IFERROR(__xludf.DUMMYFUNCTION("SPLIT(A2620,""TX"")"),"Perryman, ")</f>
        <v>Perryman, </v>
      </c>
      <c r="F2620" s="8" t="str">
        <f>IFERROR(__xludf.DUMMYFUNCTION("""COMPUTED_VALUE"""),"homas
6138 Woodland Dr
Dallas, ")</f>
        <v>homas
6138 Woodland Dr
Dallas, </v>
      </c>
      <c r="G2620" s="8">
        <f>IFERROR(__xludf.DUMMYFUNCTION("""COMPUTED_VALUE"""),75225.0)</f>
        <v>75225</v>
      </c>
      <c r="I2620" s="8">
        <f t="shared" si="26"/>
        <v>75225</v>
      </c>
      <c r="J2620" s="9">
        <f>IFERROR(__xludf.DUMMYFUNCTION("SPLIT(I2620,""-"")"),75225.0)</f>
        <v>75225</v>
      </c>
    </row>
    <row r="2621">
      <c r="A2621" s="10" t="s">
        <v>2380</v>
      </c>
      <c r="B2621" s="11">
        <v>500.0</v>
      </c>
      <c r="C2621" s="12" t="s">
        <v>1065</v>
      </c>
      <c r="E2621" s="8" t="str">
        <f>IFERROR(__xludf.DUMMYFUNCTION("SPLIT(A2621,""TX"")"),"Benton, Levi
3417 Milam St
Houston, ")</f>
        <v>Benton, Levi
3417 Milam St
Houston, </v>
      </c>
      <c r="F2621" s="8">
        <f>IFERROR(__xludf.DUMMYFUNCTION("""COMPUTED_VALUE"""),77002.0)</f>
        <v>77002</v>
      </c>
      <c r="I2621" s="8">
        <f t="shared" si="26"/>
        <v>77002</v>
      </c>
      <c r="J2621" s="9">
        <f>IFERROR(__xludf.DUMMYFUNCTION("SPLIT(I2621,""-"")"),77002.0)</f>
        <v>77002</v>
      </c>
    </row>
    <row r="2622">
      <c r="A2622" s="5" t="s">
        <v>2381</v>
      </c>
      <c r="B2622" s="6">
        <v>50.0</v>
      </c>
      <c r="C2622" s="7" t="s">
        <v>1065</v>
      </c>
      <c r="E2622" s="8" t="str">
        <f>IFERROR(__xludf.DUMMYFUNCTION("SPLIT(A2622,""TX"")"),"Segura, Rodolfo
9706 Maplehill Dr
Dallas, ")</f>
        <v>Segura, Rodolfo
9706 Maplehill Dr
Dallas, </v>
      </c>
      <c r="F2622" s="8">
        <f>IFERROR(__xludf.DUMMYFUNCTION("""COMPUTED_VALUE"""),75238.0)</f>
        <v>75238</v>
      </c>
      <c r="I2622" s="8">
        <f t="shared" si="26"/>
        <v>75238</v>
      </c>
      <c r="J2622" s="9">
        <f>IFERROR(__xludf.DUMMYFUNCTION("SPLIT(I2622,""-"")"),75238.0)</f>
        <v>75238</v>
      </c>
    </row>
    <row r="2623">
      <c r="A2623" s="10" t="s">
        <v>2382</v>
      </c>
      <c r="B2623" s="11">
        <v>50.0</v>
      </c>
      <c r="C2623" s="12" t="s">
        <v>1065</v>
      </c>
      <c r="E2623" s="8" t="str">
        <f>IFERROR(__xludf.DUMMYFUNCTION("SPLIT(A2623,""TX"")"),"Hubbard, Michael
1510 Redbird Dr
Garland, ")</f>
        <v>Hubbard, Michael
1510 Redbird Dr
Garland, </v>
      </c>
      <c r="F2623" s="8">
        <f>IFERROR(__xludf.DUMMYFUNCTION("""COMPUTED_VALUE"""),75043.0)</f>
        <v>75043</v>
      </c>
      <c r="I2623" s="8">
        <f t="shared" si="26"/>
        <v>75043</v>
      </c>
      <c r="J2623" s="9">
        <f>IFERROR(__xludf.DUMMYFUNCTION("SPLIT(I2623,""-"")"),75043.0)</f>
        <v>75043</v>
      </c>
    </row>
    <row r="2624">
      <c r="A2624" s="5" t="s">
        <v>2383</v>
      </c>
      <c r="B2624" s="6">
        <v>500.0</v>
      </c>
      <c r="C2624" s="7" t="s">
        <v>1065</v>
      </c>
      <c r="E2624" s="8" t="str">
        <f>IFERROR(__xludf.DUMMYFUNCTION("SPLIT(A2624,""TX"")"),"Webb, Crayton
5505 W University Blvd
Dallas, ")</f>
        <v>Webb, Crayton
5505 W University Blvd
Dallas, </v>
      </c>
      <c r="F2624" s="8">
        <f>IFERROR(__xludf.DUMMYFUNCTION("""COMPUTED_VALUE"""),75209.0)</f>
        <v>75209</v>
      </c>
      <c r="I2624" s="8">
        <f t="shared" si="26"/>
        <v>75209</v>
      </c>
      <c r="J2624" s="9">
        <f>IFERROR(__xludf.DUMMYFUNCTION("SPLIT(I2624,""-"")"),75209.0)</f>
        <v>75209</v>
      </c>
    </row>
    <row r="2625">
      <c r="A2625" s="10" t="s">
        <v>2384</v>
      </c>
      <c r="B2625" s="11">
        <v>10000.0</v>
      </c>
      <c r="C2625" s="12" t="s">
        <v>1065</v>
      </c>
      <c r="E2625" s="8" t="str">
        <f>IFERROR(__xludf.DUMMYFUNCTION("SPLIT(A2625,""TX"")"),"Dunning, ")</f>
        <v>Dunning, </v>
      </c>
      <c r="F2625" s="8" t="str">
        <f>IFERROR(__xludf.DUMMYFUNCTION("""COMPUTED_VALUE"""),"om &amp; Sally
9239 Hathaway St
Dallas, ")</f>
        <v>om &amp; Sally
9239 Hathaway St
Dallas, </v>
      </c>
      <c r="G2625" s="8">
        <f>IFERROR(__xludf.DUMMYFUNCTION("""COMPUTED_VALUE"""),75220.0)</f>
        <v>75220</v>
      </c>
      <c r="I2625" s="8">
        <f t="shared" si="26"/>
        <v>75220</v>
      </c>
      <c r="J2625" s="9">
        <f>IFERROR(__xludf.DUMMYFUNCTION("SPLIT(I2625,""-"")"),75220.0)</f>
        <v>75220</v>
      </c>
    </row>
    <row r="2626">
      <c r="A2626" s="5" t="s">
        <v>2385</v>
      </c>
      <c r="B2626" s="6">
        <v>500.0</v>
      </c>
      <c r="C2626" s="7" t="s">
        <v>1065</v>
      </c>
      <c r="E2626" s="8" t="str">
        <f>IFERROR(__xludf.DUMMYFUNCTION("SPLIT(A2626,""TX"")"),"Henry, Justin
7012 Lindsley Ave
Dallas, ")</f>
        <v>Henry, Justin
7012 Lindsley Ave
Dallas, </v>
      </c>
      <c r="F2626" s="8">
        <f>IFERROR(__xludf.DUMMYFUNCTION("""COMPUTED_VALUE"""),75223.0)</f>
        <v>75223</v>
      </c>
      <c r="I2626" s="8">
        <f t="shared" si="26"/>
        <v>75223</v>
      </c>
      <c r="J2626" s="9">
        <f>IFERROR(__xludf.DUMMYFUNCTION("SPLIT(I2626,""-"")"),75223.0)</f>
        <v>75223</v>
      </c>
    </row>
    <row r="2627">
      <c r="A2627" s="10" t="s">
        <v>2386</v>
      </c>
      <c r="B2627" s="11">
        <v>50.0</v>
      </c>
      <c r="C2627" s="12" t="s">
        <v>1065</v>
      </c>
      <c r="E2627" s="8" t="str">
        <f>IFERROR(__xludf.DUMMYFUNCTION("SPLIT(A2627,""TX"")"),"Sadler, ")</f>
        <v>Sadler, </v>
      </c>
      <c r="F2627" s="8" t="str">
        <f>IFERROR(__xludf.DUMMYFUNCTION("""COMPUTED_VALUE"""),"amara
1113 Bordeaux
DeSoto, ")</f>
        <v>amara
1113 Bordeaux
DeSoto, </v>
      </c>
      <c r="G2627" s="8">
        <f>IFERROR(__xludf.DUMMYFUNCTION("""COMPUTED_VALUE"""),75115.0)</f>
        <v>75115</v>
      </c>
      <c r="I2627" s="8">
        <f t="shared" si="26"/>
        <v>75115</v>
      </c>
      <c r="J2627" s="9">
        <f>IFERROR(__xludf.DUMMYFUNCTION("SPLIT(I2627,""-"")"),75115.0)</f>
        <v>75115</v>
      </c>
    </row>
    <row r="2628">
      <c r="A2628" s="5" t="s">
        <v>2387</v>
      </c>
      <c r="B2628" s="6">
        <v>1000.0</v>
      </c>
      <c r="C2628" s="7" t="s">
        <v>1065</v>
      </c>
      <c r="E2628" s="8" t="str">
        <f>IFERROR(__xludf.DUMMYFUNCTION("SPLIT(A2628,""TX"")"),"Walters, Robert
2001 Ross Ave
Dallas, ")</f>
        <v>Walters, Robert
2001 Ross Ave
Dallas, </v>
      </c>
      <c r="F2628" s="8">
        <f>IFERROR(__xludf.DUMMYFUNCTION("""COMPUTED_VALUE"""),75201.0)</f>
        <v>75201</v>
      </c>
      <c r="I2628" s="8">
        <f t="shared" si="26"/>
        <v>75201</v>
      </c>
      <c r="J2628" s="9">
        <f>IFERROR(__xludf.DUMMYFUNCTION("SPLIT(I2628,""-"")"),75201.0)</f>
        <v>75201</v>
      </c>
    </row>
    <row r="2629">
      <c r="A2629" s="10" t="s">
        <v>328</v>
      </c>
      <c r="B2629" s="11">
        <v>5000.0</v>
      </c>
      <c r="C2629" s="12" t="s">
        <v>1065</v>
      </c>
      <c r="E2629" s="8" t="str">
        <f>IFERROR(__xludf.DUMMYFUNCTION("SPLIT(A2629,""TX"")"),"Malveaux, Mark
6138 Desco Dr
Dallas, ")</f>
        <v>Malveaux, Mark
6138 Desco Dr
Dallas, </v>
      </c>
      <c r="F2629" s="8">
        <f>IFERROR(__xludf.DUMMYFUNCTION("""COMPUTED_VALUE"""),75225.0)</f>
        <v>75225</v>
      </c>
      <c r="I2629" s="8">
        <f t="shared" si="26"/>
        <v>75225</v>
      </c>
      <c r="J2629" s="9">
        <f>IFERROR(__xludf.DUMMYFUNCTION("SPLIT(I2629,""-"")"),75225.0)</f>
        <v>75225</v>
      </c>
    </row>
    <row r="2630">
      <c r="A2630" s="5" t="s">
        <v>2388</v>
      </c>
      <c r="B2630" s="6">
        <v>100.0</v>
      </c>
      <c r="C2630" s="7" t="s">
        <v>1065</v>
      </c>
      <c r="E2630" s="8" t="str">
        <f>IFERROR(__xludf.DUMMYFUNCTION("SPLIT(A2630,""TX"")"),"Enobakhare, Jesuorobo
305 W Commerce St
Dallas, ")</f>
        <v>Enobakhare, Jesuorobo
305 W Commerce St
Dallas, </v>
      </c>
      <c r="F2630" s="8">
        <f>IFERROR(__xludf.DUMMYFUNCTION("""COMPUTED_VALUE"""),75208.0)</f>
        <v>75208</v>
      </c>
      <c r="I2630" s="8">
        <f t="shared" si="26"/>
        <v>75208</v>
      </c>
      <c r="J2630" s="9">
        <f>IFERROR(__xludf.DUMMYFUNCTION("SPLIT(I2630,""-"")"),75208.0)</f>
        <v>75208</v>
      </c>
    </row>
    <row r="2631">
      <c r="A2631" s="10" t="s">
        <v>2389</v>
      </c>
      <c r="B2631" s="11">
        <v>100.0</v>
      </c>
      <c r="C2631" s="12" t="s">
        <v>1065</v>
      </c>
      <c r="E2631" s="8" t="str">
        <f>IFERROR(__xludf.DUMMYFUNCTION("SPLIT(A2631,""TX"")"),"McDougal, Matthew
4001 Ross Ave
Dallas, ")</f>
        <v>McDougal, Matthew
4001 Ross Ave
Dallas, </v>
      </c>
      <c r="F2631" s="8">
        <f>IFERROR(__xludf.DUMMYFUNCTION("""COMPUTED_VALUE"""),75205.0)</f>
        <v>75205</v>
      </c>
      <c r="I2631" s="8">
        <f t="shared" si="26"/>
        <v>75205</v>
      </c>
      <c r="J2631" s="9">
        <f>IFERROR(__xludf.DUMMYFUNCTION("SPLIT(I2631,""-"")"),75205.0)</f>
        <v>75205</v>
      </c>
    </row>
    <row r="2632">
      <c r="A2632" s="5" t="s">
        <v>2390</v>
      </c>
      <c r="B2632" s="6">
        <v>5000.0</v>
      </c>
      <c r="C2632" s="7" t="s">
        <v>1065</v>
      </c>
      <c r="E2632" s="8" t="str">
        <f>IFERROR(__xludf.DUMMYFUNCTION("SPLIT(A2632,""TX"")"),"Matthews, Jack
120 Winding Creek Way
Argyle, ")</f>
        <v>Matthews, Jack
120 Winding Creek Way
Argyle, </v>
      </c>
      <c r="F2632" s="8">
        <f>IFERROR(__xludf.DUMMYFUNCTION("""COMPUTED_VALUE"""),76226.0)</f>
        <v>76226</v>
      </c>
      <c r="I2632" s="8">
        <f t="shared" si="26"/>
        <v>76226</v>
      </c>
      <c r="J2632" s="9">
        <f>IFERROR(__xludf.DUMMYFUNCTION("SPLIT(I2632,""-"")"),76226.0)</f>
        <v>76226</v>
      </c>
    </row>
    <row r="2633">
      <c r="A2633" s="10" t="s">
        <v>2391</v>
      </c>
      <c r="B2633" s="11">
        <v>500.0</v>
      </c>
      <c r="C2633" s="12" t="s">
        <v>1065</v>
      </c>
      <c r="E2633" s="8" t="str">
        <f>IFERROR(__xludf.DUMMYFUNCTION("SPLIT(A2633,""TX"")"),"Lashlee, Rhett
3500 Villanova St
Dallas, ")</f>
        <v>Lashlee, Rhett
3500 Villanova St
Dallas, </v>
      </c>
      <c r="F2633" s="8">
        <f>IFERROR(__xludf.DUMMYFUNCTION("""COMPUTED_VALUE"""),75225.0)</f>
        <v>75225</v>
      </c>
      <c r="I2633" s="8">
        <f t="shared" si="26"/>
        <v>75225</v>
      </c>
      <c r="J2633" s="9">
        <f>IFERROR(__xludf.DUMMYFUNCTION("SPLIT(I2633,""-"")"),75225.0)</f>
        <v>75225</v>
      </c>
    </row>
    <row r="2634">
      <c r="A2634" s="5" t="s">
        <v>2392</v>
      </c>
      <c r="B2634" s="6">
        <v>50.0</v>
      </c>
      <c r="C2634" s="7" t="s">
        <v>1065</v>
      </c>
      <c r="E2634" s="8" t="str">
        <f>IFERROR(__xludf.DUMMYFUNCTION("SPLIT(A2634,""TX"")"),"Christian, Doretha
8112 Fox Creek ")</f>
        <v>Christian, Doretha
8112 Fox Creek </v>
      </c>
      <c r="F2634" s="8" t="str">
        <f>IFERROR(__xludf.DUMMYFUNCTION("""COMPUTED_VALUE"""),"rail
Dallas, ")</f>
        <v>rail
Dallas, </v>
      </c>
      <c r="G2634" s="8">
        <f>IFERROR(__xludf.DUMMYFUNCTION("""COMPUTED_VALUE"""),75249.0)</f>
        <v>75249</v>
      </c>
      <c r="I2634" s="8">
        <f t="shared" si="26"/>
        <v>75249</v>
      </c>
      <c r="J2634" s="9">
        <f>IFERROR(__xludf.DUMMYFUNCTION("SPLIT(I2634,""-"")"),75249.0)</f>
        <v>75249</v>
      </c>
    </row>
    <row r="2635">
      <c r="A2635" s="10" t="s">
        <v>2393</v>
      </c>
      <c r="B2635" s="11">
        <v>250.0</v>
      </c>
      <c r="C2635" s="12" t="s">
        <v>1065</v>
      </c>
      <c r="E2635" s="8" t="str">
        <f>IFERROR(__xludf.DUMMYFUNCTION("SPLIT(A2635,""TX"")"),"Cabrales, David
2021 McKinney Ave
Dallas, ")</f>
        <v>Cabrales, David
2021 McKinney Ave
Dallas, </v>
      </c>
      <c r="F2635" s="8">
        <f>IFERROR(__xludf.DUMMYFUNCTION("""COMPUTED_VALUE"""),75201.0)</f>
        <v>75201</v>
      </c>
      <c r="I2635" s="8">
        <f t="shared" si="26"/>
        <v>75201</v>
      </c>
      <c r="J2635" s="9">
        <f>IFERROR(__xludf.DUMMYFUNCTION("SPLIT(I2635,""-"")"),75201.0)</f>
        <v>75201</v>
      </c>
    </row>
    <row r="2636">
      <c r="A2636" s="5" t="s">
        <v>2394</v>
      </c>
      <c r="B2636" s="6">
        <v>1500.0</v>
      </c>
      <c r="C2636" s="7" t="s">
        <v>1065</v>
      </c>
      <c r="E2636" s="8" t="str">
        <f>IFERROR(__xludf.DUMMYFUNCTION("SPLIT(A2636,""TX"")"),"sao, William
6435 Riverview Lane
Dallas, ")</f>
        <v>sao, William
6435 Riverview Lane
Dallas, </v>
      </c>
      <c r="F2636" s="8">
        <f>IFERROR(__xludf.DUMMYFUNCTION("""COMPUTED_VALUE"""),75252.0)</f>
        <v>75252</v>
      </c>
      <c r="I2636" s="8">
        <f t="shared" si="26"/>
        <v>75252</v>
      </c>
      <c r="J2636" s="9">
        <f>IFERROR(__xludf.DUMMYFUNCTION("SPLIT(I2636,""-"")"),75252.0)</f>
        <v>75252</v>
      </c>
    </row>
    <row r="2637">
      <c r="A2637" s="10" t="s">
        <v>2361</v>
      </c>
      <c r="B2637" s="11">
        <v>500.0</v>
      </c>
      <c r="C2637" s="12" t="s">
        <v>1065</v>
      </c>
      <c r="E2637" s="8" t="str">
        <f>IFERROR(__xludf.DUMMYFUNCTION("SPLIT(A2637,""TX"")"),"Starnes, Darrell
11937 Denton Dr
Dallas, ")</f>
        <v>Starnes, Darrell
11937 Denton Dr
Dallas, </v>
      </c>
      <c r="F2637" s="8">
        <f>IFERROR(__xludf.DUMMYFUNCTION("""COMPUTED_VALUE"""),75234.0)</f>
        <v>75234</v>
      </c>
      <c r="I2637" s="8">
        <f t="shared" si="26"/>
        <v>75234</v>
      </c>
      <c r="J2637" s="9">
        <f>IFERROR(__xludf.DUMMYFUNCTION("SPLIT(I2637,""-"")"),75234.0)</f>
        <v>75234</v>
      </c>
    </row>
    <row r="2638">
      <c r="A2638" s="5" t="s">
        <v>2395</v>
      </c>
      <c r="B2638" s="6">
        <v>5000.0</v>
      </c>
      <c r="C2638" s="7" t="s">
        <v>1065</v>
      </c>
      <c r="E2638" s="8" t="str">
        <f>IFERROR(__xludf.DUMMYFUNCTION("SPLIT(A2638,""TX"")"),"Agarwal, Arun
123 Oak Lawn Ave
Dallas, ")</f>
        <v>Agarwal, Arun
123 Oak Lawn Ave
Dallas, </v>
      </c>
      <c r="F2638" s="8">
        <f>IFERROR(__xludf.DUMMYFUNCTION("""COMPUTED_VALUE"""),75207.0)</f>
        <v>75207</v>
      </c>
      <c r="I2638" s="8">
        <f t="shared" si="26"/>
        <v>75207</v>
      </c>
      <c r="J2638" s="9">
        <f>IFERROR(__xludf.DUMMYFUNCTION("SPLIT(I2638,""-"")"),75207.0)</f>
        <v>75207</v>
      </c>
    </row>
    <row r="2639">
      <c r="A2639" s="10" t="s">
        <v>2396</v>
      </c>
      <c r="B2639" s="11">
        <v>100.0</v>
      </c>
      <c r="C2639" s="12" t="s">
        <v>1065</v>
      </c>
      <c r="E2639" s="8" t="str">
        <f>IFERROR(__xludf.DUMMYFUNCTION("SPLIT(A2639,""TX"")"),"Odom, Anita
1708 Richlen
Dallas, ")</f>
        <v>Odom, Anita
1708 Richlen
Dallas, </v>
      </c>
      <c r="F2639" s="8">
        <f>IFERROR(__xludf.DUMMYFUNCTION("""COMPUTED_VALUE"""),75115.0)</f>
        <v>75115</v>
      </c>
      <c r="I2639" s="8">
        <f t="shared" si="26"/>
        <v>75115</v>
      </c>
      <c r="J2639" s="9">
        <f>IFERROR(__xludf.DUMMYFUNCTION("SPLIT(I2639,""-"")"),75115.0)</f>
        <v>75115</v>
      </c>
    </row>
    <row r="2640">
      <c r="A2640" s="5" t="s">
        <v>2397</v>
      </c>
      <c r="B2640" s="6">
        <v>50.0</v>
      </c>
      <c r="C2640" s="7" t="s">
        <v>1065</v>
      </c>
      <c r="E2640" s="8" t="str">
        <f>IFERROR(__xludf.DUMMYFUNCTION("SPLIT(A2640,""TX"")"),"Garcia, Matthew
500 N Akard St
Dallas, ")</f>
        <v>Garcia, Matthew
500 N Akard St
Dallas, </v>
      </c>
      <c r="F2640" s="8">
        <f>IFERROR(__xludf.DUMMYFUNCTION("""COMPUTED_VALUE"""),75201.0)</f>
        <v>75201</v>
      </c>
      <c r="I2640" s="8">
        <f t="shared" si="26"/>
        <v>75201</v>
      </c>
      <c r="J2640" s="9">
        <f>IFERROR(__xludf.DUMMYFUNCTION("SPLIT(I2640,""-"")"),75201.0)</f>
        <v>75201</v>
      </c>
    </row>
    <row r="2641">
      <c r="A2641" s="10" t="s">
        <v>2398</v>
      </c>
      <c r="B2641" s="11">
        <v>100.0</v>
      </c>
      <c r="C2641" s="12" t="s">
        <v>1065</v>
      </c>
      <c r="E2641" s="8" t="str">
        <f>IFERROR(__xludf.DUMMYFUNCTION("SPLIT(A2641,""TX"")"),"Garcia, Matthew
7415 Chattington Dr
Dallas, ")</f>
        <v>Garcia, Matthew
7415 Chattington Dr
Dallas, </v>
      </c>
      <c r="F2641" s="8">
        <f>IFERROR(__xludf.DUMMYFUNCTION("""COMPUTED_VALUE"""),75248.0)</f>
        <v>75248</v>
      </c>
      <c r="I2641" s="8">
        <f t="shared" si="26"/>
        <v>75248</v>
      </c>
      <c r="J2641" s="9">
        <f>IFERROR(__xludf.DUMMYFUNCTION("SPLIT(I2641,""-"")"),75248.0)</f>
        <v>75248</v>
      </c>
    </row>
    <row r="2642">
      <c r="A2642" s="5" t="s">
        <v>2399</v>
      </c>
      <c r="B2642" s="6">
        <v>100.0</v>
      </c>
      <c r="C2642" s="7" t="s">
        <v>1065</v>
      </c>
      <c r="E2642" s="8" t="str">
        <f>IFERROR(__xludf.DUMMYFUNCTION("SPLIT(A2642,""TX"")"),"Brunson, Albert
8328 Mountainview Dr
Dallas, ")</f>
        <v>Brunson, Albert
8328 Mountainview Dr
Dallas, </v>
      </c>
      <c r="F2642" s="8">
        <f>IFERROR(__xludf.DUMMYFUNCTION("""COMPUTED_VALUE"""),75249.0)</f>
        <v>75249</v>
      </c>
      <c r="I2642" s="8">
        <f t="shared" si="26"/>
        <v>75249</v>
      </c>
      <c r="J2642" s="9">
        <f>IFERROR(__xludf.DUMMYFUNCTION("SPLIT(I2642,""-"")"),75249.0)</f>
        <v>75249</v>
      </c>
    </row>
    <row r="2643">
      <c r="A2643" s="10" t="s">
        <v>2400</v>
      </c>
      <c r="B2643" s="11">
        <v>100.0</v>
      </c>
      <c r="C2643" s="12" t="s">
        <v>1065</v>
      </c>
      <c r="E2643" s="8" t="str">
        <f>IFERROR(__xludf.DUMMYFUNCTION("SPLIT(A2643,""TX"")"),"Flournoy, La")</f>
        <v>Flournoy, La</v>
      </c>
      <c r="F2643" s="8" t="str">
        <f>IFERROR(__xludf.DUMMYFUNCTION("""COMPUTED_VALUE"""),"onya
2303 Ave H
Grand Prairie, ")</f>
        <v>onya
2303 Ave H
Grand Prairie, </v>
      </c>
      <c r="G2643" s="8">
        <f>IFERROR(__xludf.DUMMYFUNCTION("""COMPUTED_VALUE"""),75050.0)</f>
        <v>75050</v>
      </c>
      <c r="I2643" s="8">
        <f t="shared" si="26"/>
        <v>75050</v>
      </c>
      <c r="J2643" s="9">
        <f>IFERROR(__xludf.DUMMYFUNCTION("SPLIT(I2643,""-"")"),75050.0)</f>
        <v>75050</v>
      </c>
    </row>
    <row r="2644">
      <c r="A2644" s="5" t="s">
        <v>2401</v>
      </c>
      <c r="B2644" s="6">
        <v>1000.0</v>
      </c>
      <c r="C2644" s="7" t="s">
        <v>1238</v>
      </c>
      <c r="E2644" s="8" t="str">
        <f>IFERROR(__xludf.DUMMYFUNCTION("SPLIT(A2644,""TX"")"),"Bellew, Jill
9406 Crestedge
Dallas, ")</f>
        <v>Bellew, Jill
9406 Crestedge
Dallas, </v>
      </c>
      <c r="F2644" s="8">
        <f>IFERROR(__xludf.DUMMYFUNCTION("""COMPUTED_VALUE"""),75238.0)</f>
        <v>75238</v>
      </c>
      <c r="I2644" s="8">
        <f t="shared" si="26"/>
        <v>75238</v>
      </c>
      <c r="J2644" s="9">
        <f>IFERROR(__xludf.DUMMYFUNCTION("SPLIT(I2644,""-"")"),75238.0)</f>
        <v>75238</v>
      </c>
    </row>
    <row r="2645">
      <c r="A2645" s="10" t="s">
        <v>2402</v>
      </c>
      <c r="B2645" s="11">
        <v>500.0</v>
      </c>
      <c r="C2645" s="12" t="s">
        <v>1238</v>
      </c>
      <c r="E2645" s="8" t="str">
        <f>IFERROR(__xludf.DUMMYFUNCTION("SPLIT(A2645,""TX"")"),"Adams, Jim
9927 Capridge
Dallas, ")</f>
        <v>Adams, Jim
9927 Capridge
Dallas, </v>
      </c>
      <c r="F2645" s="8">
        <f>IFERROR(__xludf.DUMMYFUNCTION("""COMPUTED_VALUE"""),75238.0)</f>
        <v>75238</v>
      </c>
      <c r="I2645" s="8">
        <f t="shared" si="26"/>
        <v>75238</v>
      </c>
      <c r="J2645" s="9">
        <f>IFERROR(__xludf.DUMMYFUNCTION("SPLIT(I2645,""-"")"),75238.0)</f>
        <v>75238</v>
      </c>
    </row>
    <row r="2646">
      <c r="A2646" s="5" t="s">
        <v>1620</v>
      </c>
      <c r="B2646" s="6">
        <v>100.0</v>
      </c>
      <c r="C2646" s="7" t="s">
        <v>1238</v>
      </c>
      <c r="E2646" s="8" t="str">
        <f>IFERROR(__xludf.DUMMYFUNCTION("SPLIT(A2646,""TX"")"),"Klemme, Kelly
9525 Milltrail
Dallas, ")</f>
        <v>Klemme, Kelly
9525 Milltrail
Dallas, </v>
      </c>
      <c r="F2646" s="8">
        <f>IFERROR(__xludf.DUMMYFUNCTION("""COMPUTED_VALUE"""),75238.0)</f>
        <v>75238</v>
      </c>
      <c r="I2646" s="8">
        <f t="shared" si="26"/>
        <v>75238</v>
      </c>
      <c r="J2646" s="9">
        <f>IFERROR(__xludf.DUMMYFUNCTION("SPLIT(I2646,""-"")"),75238.0)</f>
        <v>75238</v>
      </c>
    </row>
    <row r="2647">
      <c r="A2647" s="10" t="s">
        <v>2403</v>
      </c>
      <c r="B2647" s="11">
        <v>500.0</v>
      </c>
      <c r="C2647" s="12" t="s">
        <v>1238</v>
      </c>
      <c r="E2647" s="8" t="str">
        <f>IFERROR(__xludf.DUMMYFUNCTION("SPLIT(A2647,""TX"")"),"Briggs, Lisa
9759 Edgepine
Dallas, ")</f>
        <v>Briggs, Lisa
9759 Edgepine
Dallas, </v>
      </c>
      <c r="F2647" s="8">
        <f>IFERROR(__xludf.DUMMYFUNCTION("""COMPUTED_VALUE"""),75238.0)</f>
        <v>75238</v>
      </c>
      <c r="I2647" s="8">
        <f t="shared" si="26"/>
        <v>75238</v>
      </c>
      <c r="J2647" s="9">
        <f>IFERROR(__xludf.DUMMYFUNCTION("SPLIT(I2647,""-"")"),75238.0)</f>
        <v>75238</v>
      </c>
    </row>
    <row r="2648">
      <c r="A2648" s="5" t="s">
        <v>2404</v>
      </c>
      <c r="B2648" s="6">
        <v>1000.0</v>
      </c>
      <c r="C2648" s="7" t="s">
        <v>1238</v>
      </c>
      <c r="E2648" s="8" t="str">
        <f>IFERROR(__xludf.DUMMYFUNCTION("SPLIT(A2648,""TX"")"),"Hedrick, Steve
11310 Goddard Ct.
Dallas, ")</f>
        <v>Hedrick, Steve
11310 Goddard Ct.
Dallas, </v>
      </c>
      <c r="F2648" s="8">
        <f>IFERROR(__xludf.DUMMYFUNCTION("""COMPUTED_VALUE"""),75218.0)</f>
        <v>75218</v>
      </c>
      <c r="I2648" s="8">
        <f t="shared" si="26"/>
        <v>75218</v>
      </c>
      <c r="J2648" s="9">
        <f>IFERROR(__xludf.DUMMYFUNCTION("SPLIT(I2648,""-"")"),75218.0)</f>
        <v>75218</v>
      </c>
    </row>
    <row r="2649">
      <c r="A2649" s="10" t="s">
        <v>2405</v>
      </c>
      <c r="B2649" s="11">
        <v>500.0</v>
      </c>
      <c r="C2649" s="12" t="s">
        <v>1238</v>
      </c>
      <c r="E2649" s="8" t="str">
        <f>IFERROR(__xludf.DUMMYFUNCTION("SPLIT(A2649,""TX"")"),"Coutant, Kenneth
9318 Clearhurst
Dallas, ")</f>
        <v>Coutant, Kenneth
9318 Clearhurst
Dallas, </v>
      </c>
      <c r="F2649" s="8">
        <f>IFERROR(__xludf.DUMMYFUNCTION("""COMPUTED_VALUE"""),75238.0)</f>
        <v>75238</v>
      </c>
      <c r="I2649" s="8">
        <f t="shared" si="26"/>
        <v>75238</v>
      </c>
      <c r="J2649" s="9">
        <f>IFERROR(__xludf.DUMMYFUNCTION("SPLIT(I2649,""-"")"),75238.0)</f>
        <v>75238</v>
      </c>
    </row>
    <row r="2650">
      <c r="A2650" s="5" t="s">
        <v>2406</v>
      </c>
      <c r="B2650" s="6">
        <v>500.0</v>
      </c>
      <c r="C2650" s="7" t="s">
        <v>1238</v>
      </c>
      <c r="E2650" s="8" t="str">
        <f>IFERROR(__xludf.DUMMYFUNCTION("SPLIT(A2650,""TX"")"),"Jones, Kathryn
6920 Midcrest Dr.
Dallas, ")</f>
        <v>Jones, Kathryn
6920 Midcrest Dr.
Dallas, </v>
      </c>
      <c r="F2650" s="8">
        <f>IFERROR(__xludf.DUMMYFUNCTION("""COMPUTED_VALUE"""),75254.0)</f>
        <v>75254</v>
      </c>
      <c r="I2650" s="8">
        <f t="shared" si="26"/>
        <v>75254</v>
      </c>
      <c r="J2650" s="9">
        <f>IFERROR(__xludf.DUMMYFUNCTION("SPLIT(I2650,""-"")"),75254.0)</f>
        <v>75254</v>
      </c>
    </row>
    <row r="2651">
      <c r="A2651" s="10" t="s">
        <v>2407</v>
      </c>
      <c r="B2651" s="11">
        <v>250.0</v>
      </c>
      <c r="C2651" s="12" t="s">
        <v>1238</v>
      </c>
      <c r="E2651" s="8" t="str">
        <f>IFERROR(__xludf.DUMMYFUNCTION("SPLIT(A2651,""TX"")"),"Stein, Mitchell
11210 Bellafonte Dr.
Dallas, ")</f>
        <v>Stein, Mitchell
11210 Bellafonte Dr.
Dallas, </v>
      </c>
      <c r="F2651" s="8">
        <f>IFERROR(__xludf.DUMMYFUNCTION("""COMPUTED_VALUE"""),75243.0)</f>
        <v>75243</v>
      </c>
      <c r="I2651" s="8">
        <f t="shared" si="26"/>
        <v>75243</v>
      </c>
      <c r="J2651" s="9">
        <f>IFERROR(__xludf.DUMMYFUNCTION("SPLIT(I2651,""-"")"),75243.0)</f>
        <v>75243</v>
      </c>
    </row>
    <row r="2652">
      <c r="A2652" s="5" t="s">
        <v>2408</v>
      </c>
      <c r="B2652" s="6">
        <v>1000.0</v>
      </c>
      <c r="C2652" s="7" t="s">
        <v>1238</v>
      </c>
      <c r="E2652" s="8" t="str">
        <f>IFERROR(__xludf.DUMMYFUNCTION("SPLIT(A2652,""TX"")"),"Stewart, Elizabeth
6801 Valburn Dr.
Austin, ")</f>
        <v>Stewart, Elizabeth
6801 Valburn Dr.
Austin, </v>
      </c>
      <c r="F2652" s="8">
        <f>IFERROR(__xludf.DUMMYFUNCTION("""COMPUTED_VALUE"""),78731.0)</f>
        <v>78731</v>
      </c>
      <c r="I2652" s="8">
        <f t="shared" si="26"/>
        <v>78731</v>
      </c>
      <c r="J2652" s="9">
        <f>IFERROR(__xludf.DUMMYFUNCTION("SPLIT(I2652,""-"")"),78731.0)</f>
        <v>78731</v>
      </c>
    </row>
    <row r="2653">
      <c r="A2653" s="10" t="s">
        <v>2409</v>
      </c>
      <c r="B2653" s="11">
        <v>1000.0</v>
      </c>
      <c r="C2653" s="12" t="s">
        <v>1238</v>
      </c>
      <c r="E2653" s="8" t="str">
        <f>IFERROR(__xludf.DUMMYFUNCTION("SPLIT(A2653,""TX"")"),"Badgett, Charles
8602 Middle Downs Dr.
Dallas, ")</f>
        <v>Badgett, Charles
8602 Middle Downs Dr.
Dallas, </v>
      </c>
      <c r="F2653" s="8">
        <f>IFERROR(__xludf.DUMMYFUNCTION("""COMPUTED_VALUE"""),75243.0)</f>
        <v>75243</v>
      </c>
      <c r="I2653" s="8">
        <f t="shared" si="26"/>
        <v>75243</v>
      </c>
      <c r="J2653" s="9">
        <f>IFERROR(__xludf.DUMMYFUNCTION("SPLIT(I2653,""-"")"),75243.0)</f>
        <v>75243</v>
      </c>
    </row>
    <row r="2654">
      <c r="A2654" s="5" t="s">
        <v>2410</v>
      </c>
      <c r="B2654" s="6">
        <v>1000.0</v>
      </c>
      <c r="C2654" s="7" t="s">
        <v>1238</v>
      </c>
      <c r="E2654" s="8" t="str">
        <f>IFERROR(__xludf.DUMMYFUNCTION("SPLIT(A2654,""TX"")"),"Glendenning, Don
2200 Ross Avenue
Dallas, ")</f>
        <v>Glendenning, Don
2200 Ross Avenue
Dallas, </v>
      </c>
      <c r="F2654" s="8">
        <f>IFERROR(__xludf.DUMMYFUNCTION("""COMPUTED_VALUE"""),75201.0)</f>
        <v>75201</v>
      </c>
      <c r="I2654" s="8">
        <f t="shared" si="26"/>
        <v>75201</v>
      </c>
      <c r="J2654" s="9">
        <f>IFERROR(__xludf.DUMMYFUNCTION("SPLIT(I2654,""-"")"),75201.0)</f>
        <v>75201</v>
      </c>
    </row>
    <row r="2655">
      <c r="A2655" s="10" t="s">
        <v>2411</v>
      </c>
      <c r="B2655" s="11">
        <v>1000.0</v>
      </c>
      <c r="C2655" s="12" t="s">
        <v>1238</v>
      </c>
      <c r="E2655" s="8" t="str">
        <f>IFERROR(__xludf.DUMMYFUNCTION("SPLIT(A2655,""TX"")"),"Siegers, Rolf
9432 Brentgate
Dallas, ")</f>
        <v>Siegers, Rolf
9432 Brentgate
Dallas, </v>
      </c>
      <c r="F2655" s="8">
        <f>IFERROR(__xludf.DUMMYFUNCTION("""COMPUTED_VALUE"""),75238.0)</f>
        <v>75238</v>
      </c>
      <c r="I2655" s="8">
        <f t="shared" si="26"/>
        <v>75238</v>
      </c>
      <c r="J2655" s="9">
        <f>IFERROR(__xludf.DUMMYFUNCTION("SPLIT(I2655,""-"")"),75238.0)</f>
        <v>75238</v>
      </c>
    </row>
    <row r="2656">
      <c r="A2656" s="5" t="s">
        <v>2412</v>
      </c>
      <c r="B2656" s="6">
        <v>1000.0</v>
      </c>
      <c r="C2656" s="7" t="s">
        <v>1238</v>
      </c>
      <c r="E2656" s="8" t="str">
        <f>IFERROR(__xludf.DUMMYFUNCTION("SPLIT(A2656,""TX"")"),"Siegers, Anita
9432 Brentgate
Dallas, ")</f>
        <v>Siegers, Anita
9432 Brentgate
Dallas, </v>
      </c>
      <c r="F2656" s="8">
        <f>IFERROR(__xludf.DUMMYFUNCTION("""COMPUTED_VALUE"""),75238.0)</f>
        <v>75238</v>
      </c>
      <c r="I2656" s="8">
        <f t="shared" si="26"/>
        <v>75238</v>
      </c>
      <c r="J2656" s="9">
        <f>IFERROR(__xludf.DUMMYFUNCTION("SPLIT(I2656,""-"")"),75238.0)</f>
        <v>75238</v>
      </c>
    </row>
    <row r="2657">
      <c r="A2657" s="10" t="s">
        <v>2413</v>
      </c>
      <c r="B2657" s="11">
        <v>250.0</v>
      </c>
      <c r="C2657" s="12" t="s">
        <v>1238</v>
      </c>
      <c r="E2657" s="8" t="str">
        <f>IFERROR(__xludf.DUMMYFUNCTION("SPLIT(A2657,""TX"")"),"Barab, Stuart
9132 Branch Hollow
Dallas, ")</f>
        <v>Barab, Stuart
9132 Branch Hollow
Dallas, </v>
      </c>
      <c r="F2657" s="8">
        <f>IFERROR(__xludf.DUMMYFUNCTION("""COMPUTED_VALUE"""),75243.0)</f>
        <v>75243</v>
      </c>
      <c r="I2657" s="8">
        <f t="shared" si="26"/>
        <v>75243</v>
      </c>
      <c r="J2657" s="9">
        <f>IFERROR(__xludf.DUMMYFUNCTION("SPLIT(I2657,""-"")"),75243.0)</f>
        <v>75243</v>
      </c>
    </row>
    <row r="2658">
      <c r="A2658" s="5" t="s">
        <v>2414</v>
      </c>
      <c r="B2658" s="6">
        <v>500.0</v>
      </c>
      <c r="C2658" s="7" t="s">
        <v>1238</v>
      </c>
      <c r="E2658" s="8" t="str">
        <f>IFERROR(__xludf.DUMMYFUNCTION("SPLIT(A2658,""TX"")"),"Boyd, Bill
10140 Ferndale
Dallas, ")</f>
        <v>Boyd, Bill
10140 Ferndale
Dallas, </v>
      </c>
      <c r="F2658" s="8">
        <f>IFERROR(__xludf.DUMMYFUNCTION("""COMPUTED_VALUE"""),75238.0)</f>
        <v>75238</v>
      </c>
      <c r="I2658" s="8">
        <f t="shared" si="26"/>
        <v>75238</v>
      </c>
      <c r="J2658" s="9">
        <f>IFERROR(__xludf.DUMMYFUNCTION("SPLIT(I2658,""-"")"),75238.0)</f>
        <v>75238</v>
      </c>
    </row>
    <row r="2659">
      <c r="A2659" s="10" t="s">
        <v>2415</v>
      </c>
      <c r="B2659" s="11">
        <v>300.0</v>
      </c>
      <c r="C2659" s="12" t="s">
        <v>1238</v>
      </c>
      <c r="E2659" s="8" t="str">
        <f>IFERROR(__xludf.DUMMYFUNCTION("SPLIT(A2659,""TX"")"),"King, Jenny
9206 Canter Dr.
Dallas, ")</f>
        <v>King, Jenny
9206 Canter Dr.
Dallas, </v>
      </c>
      <c r="F2659" s="8">
        <f>IFERROR(__xludf.DUMMYFUNCTION("""COMPUTED_VALUE"""),75231.0)</f>
        <v>75231</v>
      </c>
      <c r="I2659" s="8">
        <f t="shared" si="26"/>
        <v>75231</v>
      </c>
      <c r="J2659" s="9">
        <f>IFERROR(__xludf.DUMMYFUNCTION("SPLIT(I2659,""-"")"),75231.0)</f>
        <v>75231</v>
      </c>
    </row>
    <row r="2660">
      <c r="A2660" s="5" t="s">
        <v>2416</v>
      </c>
      <c r="B2660" s="6">
        <v>250.0</v>
      </c>
      <c r="C2660" s="7" t="s">
        <v>1238</v>
      </c>
      <c r="E2660" s="8" t="str">
        <f>IFERROR(__xludf.DUMMYFUNCTION("SPLIT(A2660,""TX"")"),"Baker, Jerry
10416 Church Road
Dallas, ")</f>
        <v>Baker, Jerry
10416 Church Road
Dallas, </v>
      </c>
      <c r="F2660" s="8">
        <f>IFERROR(__xludf.DUMMYFUNCTION("""COMPUTED_VALUE"""),75238.0)</f>
        <v>75238</v>
      </c>
      <c r="I2660" s="8">
        <f t="shared" si="26"/>
        <v>75238</v>
      </c>
      <c r="J2660" s="9">
        <f>IFERROR(__xludf.DUMMYFUNCTION("SPLIT(I2660,""-"")"),75238.0)</f>
        <v>75238</v>
      </c>
    </row>
    <row r="2661">
      <c r="A2661" s="10" t="s">
        <v>2417</v>
      </c>
      <c r="B2661" s="11">
        <v>100.0</v>
      </c>
      <c r="C2661" s="12" t="s">
        <v>1238</v>
      </c>
      <c r="E2661" s="8" t="str">
        <f>IFERROR(__xludf.DUMMYFUNCTION("SPLIT(A2661,""TX"")"),"Bonahoom, Julie
9114 Arborside
Dallas, ")</f>
        <v>Bonahoom, Julie
9114 Arborside
Dallas, </v>
      </c>
      <c r="F2661" s="8">
        <f>IFERROR(__xludf.DUMMYFUNCTION("""COMPUTED_VALUE"""),75243.0)</f>
        <v>75243</v>
      </c>
      <c r="I2661" s="8">
        <f t="shared" si="26"/>
        <v>75243</v>
      </c>
      <c r="J2661" s="9">
        <f>IFERROR(__xludf.DUMMYFUNCTION("SPLIT(I2661,""-"")"),75243.0)</f>
        <v>75243</v>
      </c>
    </row>
    <row r="2662">
      <c r="A2662" s="5" t="s">
        <v>2418</v>
      </c>
      <c r="B2662" s="6">
        <v>250.0</v>
      </c>
      <c r="C2662" s="7" t="s">
        <v>1238</v>
      </c>
      <c r="E2662" s="8" t="str">
        <f>IFERROR(__xludf.DUMMYFUNCTION("SPLIT(A2662,""TX"")"),"Lauck, Larry
10529 Estate Lane
Dallas, ")</f>
        <v>Lauck, Larry
10529 Estate Lane
Dallas, </v>
      </c>
      <c r="F2662" s="8">
        <f>IFERROR(__xludf.DUMMYFUNCTION("""COMPUTED_VALUE"""),75238.0)</f>
        <v>75238</v>
      </c>
      <c r="I2662" s="8">
        <f t="shared" si="26"/>
        <v>75238</v>
      </c>
      <c r="J2662" s="9">
        <f>IFERROR(__xludf.DUMMYFUNCTION("SPLIT(I2662,""-"")"),75238.0)</f>
        <v>75238</v>
      </c>
    </row>
    <row r="2663">
      <c r="A2663" s="10" t="s">
        <v>2419</v>
      </c>
      <c r="B2663" s="11">
        <v>100.0</v>
      </c>
      <c r="C2663" s="12" t="s">
        <v>1238</v>
      </c>
      <c r="E2663" s="8" t="str">
        <f>IFERROR(__xludf.DUMMYFUNCTION("SPLIT(A2663,""TX"")"),"immerman, Amy
9924 Edgecove
Dallas, ")</f>
        <v>immerman, Amy
9924 Edgecove
Dallas, </v>
      </c>
      <c r="F2663" s="8">
        <f>IFERROR(__xludf.DUMMYFUNCTION("""COMPUTED_VALUE"""),75238.0)</f>
        <v>75238</v>
      </c>
      <c r="I2663" s="8">
        <f t="shared" si="26"/>
        <v>75238</v>
      </c>
      <c r="J2663" s="9">
        <f>IFERROR(__xludf.DUMMYFUNCTION("SPLIT(I2663,""-"")"),75238.0)</f>
        <v>75238</v>
      </c>
    </row>
    <row r="2664">
      <c r="A2664" s="5" t="s">
        <v>2420</v>
      </c>
      <c r="B2664" s="6">
        <v>200.0</v>
      </c>
      <c r="C2664" s="7" t="s">
        <v>1238</v>
      </c>
      <c r="E2664" s="8" t="str">
        <f>IFERROR(__xludf.DUMMYFUNCTION("SPLIT(A2664,""TX"")"),"Lewis, Gale
6829 Blackwood
Dallas, ")</f>
        <v>Lewis, Gale
6829 Blackwood
Dallas, </v>
      </c>
      <c r="F2664" s="8">
        <f>IFERROR(__xludf.DUMMYFUNCTION("""COMPUTED_VALUE"""),75231.0)</f>
        <v>75231</v>
      </c>
      <c r="I2664" s="8">
        <f t="shared" si="26"/>
        <v>75231</v>
      </c>
      <c r="J2664" s="9">
        <f>IFERROR(__xludf.DUMMYFUNCTION("SPLIT(I2664,""-"")"),75231.0)</f>
        <v>75231</v>
      </c>
    </row>
    <row r="2665">
      <c r="A2665" s="10" t="s">
        <v>2421</v>
      </c>
      <c r="B2665" s="11">
        <v>50.0</v>
      </c>
      <c r="C2665" s="12" t="s">
        <v>1238</v>
      </c>
      <c r="E2665" s="8" t="str">
        <f>IFERROR(__xludf.DUMMYFUNCTION("SPLIT(A2665,""TX"")"),"Aldredge, Chris
7014 Preston Grove
Dallas, ")</f>
        <v>Aldredge, Chris
7014 Preston Grove
Dallas, </v>
      </c>
      <c r="F2665" s="8">
        <f>IFERROR(__xludf.DUMMYFUNCTION("""COMPUTED_VALUE"""),75230.0)</f>
        <v>75230</v>
      </c>
      <c r="I2665" s="8">
        <f t="shared" si="26"/>
        <v>75230</v>
      </c>
      <c r="J2665" s="9">
        <f>IFERROR(__xludf.DUMMYFUNCTION("SPLIT(I2665,""-"")"),75230.0)</f>
        <v>75230</v>
      </c>
    </row>
    <row r="2666">
      <c r="A2666" s="5" t="s">
        <v>2422</v>
      </c>
      <c r="B2666" s="6">
        <v>50.0</v>
      </c>
      <c r="C2666" s="7" t="s">
        <v>1238</v>
      </c>
      <c r="E2666" s="8" t="str">
        <f>IFERROR(__xludf.DUMMYFUNCTION("SPLIT(A2666,""TX"")"),"Aldredge, Cindy
7014 Preston Grove
Dallas, ")</f>
        <v>Aldredge, Cindy
7014 Preston Grove
Dallas, </v>
      </c>
      <c r="F2666" s="8">
        <f>IFERROR(__xludf.DUMMYFUNCTION("""COMPUTED_VALUE"""),75230.0)</f>
        <v>75230</v>
      </c>
      <c r="I2666" s="8">
        <f t="shared" si="26"/>
        <v>75230</v>
      </c>
      <c r="J2666" s="9">
        <f>IFERROR(__xludf.DUMMYFUNCTION("SPLIT(I2666,""-"")"),75230.0)</f>
        <v>75230</v>
      </c>
    </row>
    <row r="2667">
      <c r="A2667" s="10" t="s">
        <v>2423</v>
      </c>
      <c r="B2667" s="11">
        <v>100.0</v>
      </c>
      <c r="C2667" s="12" t="s">
        <v>1238</v>
      </c>
      <c r="E2667" s="8" t="str">
        <f>IFERROR(__xludf.DUMMYFUNCTION("SPLIT(A2667,""TX"")"),"Bubel, Laurie
9624 Spring Branch
Dallas, ")</f>
        <v>Bubel, Laurie
9624 Spring Branch
Dallas, </v>
      </c>
      <c r="F2667" s="8">
        <f>IFERROR(__xludf.DUMMYFUNCTION("""COMPUTED_VALUE"""),75238.0)</f>
        <v>75238</v>
      </c>
      <c r="I2667" s="8">
        <f t="shared" si="26"/>
        <v>75238</v>
      </c>
      <c r="J2667" s="9">
        <f>IFERROR(__xludf.DUMMYFUNCTION("SPLIT(I2667,""-"")"),75238.0)</f>
        <v>75238</v>
      </c>
    </row>
    <row r="2668">
      <c r="A2668" s="5" t="s">
        <v>2424</v>
      </c>
      <c r="B2668" s="6">
        <v>100.0</v>
      </c>
      <c r="C2668" s="7" t="s">
        <v>1238</v>
      </c>
      <c r="E2668" s="8" t="str">
        <f>IFERROR(__xludf.DUMMYFUNCTION("SPLIT(A2668,""TX"")"),"Carrick, Julie
3221 Clubview Dr
Argyle, ")</f>
        <v>Carrick, Julie
3221 Clubview Dr
Argyle, </v>
      </c>
      <c r="F2668" s="8">
        <f>IFERROR(__xludf.DUMMYFUNCTION("""COMPUTED_VALUE"""),76226.0)</f>
        <v>76226</v>
      </c>
      <c r="I2668" s="8">
        <f t="shared" si="26"/>
        <v>76226</v>
      </c>
      <c r="J2668" s="9">
        <f>IFERROR(__xludf.DUMMYFUNCTION("SPLIT(I2668,""-"")"),76226.0)</f>
        <v>76226</v>
      </c>
    </row>
    <row r="2669">
      <c r="A2669" s="10" t="s">
        <v>2425</v>
      </c>
      <c r="B2669" s="11">
        <v>50.0</v>
      </c>
      <c r="C2669" s="12" t="s">
        <v>1238</v>
      </c>
      <c r="E2669" s="8" t="str">
        <f>IFERROR(__xludf.DUMMYFUNCTION("SPLIT(A2669,""TX"")"),"Fenimore, Elizabeth
9728 Windledge
Dallas, ")</f>
        <v>Fenimore, Elizabeth
9728 Windledge
Dallas, </v>
      </c>
      <c r="F2669" s="8">
        <f>IFERROR(__xludf.DUMMYFUNCTION("""COMPUTED_VALUE"""),75238.0)</f>
        <v>75238</v>
      </c>
      <c r="I2669" s="8">
        <f t="shared" si="26"/>
        <v>75238</v>
      </c>
      <c r="J2669" s="9">
        <f>IFERROR(__xludf.DUMMYFUNCTION("SPLIT(I2669,""-"")"),75238.0)</f>
        <v>75238</v>
      </c>
    </row>
    <row r="2670">
      <c r="A2670" s="5" t="s">
        <v>2426</v>
      </c>
      <c r="B2670" s="6">
        <v>500.0</v>
      </c>
      <c r="C2670" s="7" t="s">
        <v>1238</v>
      </c>
      <c r="E2670" s="8" t="str">
        <f>IFERROR(__xludf.DUMMYFUNCTION("SPLIT(A2670,""TX"")"),"Stewart, Molly
8750 Westminister ")</f>
        <v>Stewart, Molly
8750 Westminister </v>
      </c>
      <c r="F2670" s="8" t="str">
        <f>IFERROR(__xludf.DUMMYFUNCTION("""COMPUTED_VALUE"""),"errace
Dallas, ")</f>
        <v>errace
Dallas, </v>
      </c>
      <c r="G2670" s="8">
        <f>IFERROR(__xludf.DUMMYFUNCTION("""COMPUTED_VALUE"""),75243.0)</f>
        <v>75243</v>
      </c>
      <c r="I2670" s="8">
        <f t="shared" si="26"/>
        <v>75243</v>
      </c>
      <c r="J2670" s="9">
        <f>IFERROR(__xludf.DUMMYFUNCTION("SPLIT(I2670,""-"")"),75243.0)</f>
        <v>75243</v>
      </c>
    </row>
    <row r="2671">
      <c r="A2671" s="10" t="s">
        <v>2427</v>
      </c>
      <c r="B2671" s="11">
        <v>100.0</v>
      </c>
      <c r="C2671" s="12" t="s">
        <v>1238</v>
      </c>
      <c r="E2671" s="8" t="str">
        <f>IFERROR(__xludf.DUMMYFUNCTION("SPLIT(A2671,""TX"")"),"Brunkenhoefer, Carolyn
9077 Fairglen Dr.
Dallas, ")</f>
        <v>Brunkenhoefer, Carolyn
9077 Fairglen Dr.
Dallas, </v>
      </c>
      <c r="F2671" s="8">
        <f>IFERROR(__xludf.DUMMYFUNCTION("""COMPUTED_VALUE"""),75231.0)</f>
        <v>75231</v>
      </c>
      <c r="I2671" s="8">
        <f t="shared" si="26"/>
        <v>75231</v>
      </c>
      <c r="J2671" s="9">
        <f>IFERROR(__xludf.DUMMYFUNCTION("SPLIT(I2671,""-"")"),75231.0)</f>
        <v>75231</v>
      </c>
    </row>
    <row r="2672">
      <c r="A2672" s="5" t="s">
        <v>2428</v>
      </c>
      <c r="B2672" s="6">
        <v>100.0</v>
      </c>
      <c r="C2672" s="7" t="s">
        <v>1238</v>
      </c>
      <c r="E2672" s="8" t="str">
        <f>IFERROR(__xludf.DUMMYFUNCTION("SPLIT(A2672,""TX"")"),"Jodie, Julie
9617 Windy Hill
Dallas, ")</f>
        <v>Jodie, Julie
9617 Windy Hill
Dallas, </v>
      </c>
      <c r="F2672" s="8">
        <f>IFERROR(__xludf.DUMMYFUNCTION("""COMPUTED_VALUE"""),75238.0)</f>
        <v>75238</v>
      </c>
      <c r="I2672" s="8">
        <f t="shared" si="26"/>
        <v>75238</v>
      </c>
      <c r="J2672" s="9">
        <f>IFERROR(__xludf.DUMMYFUNCTION("SPLIT(I2672,""-"")"),75238.0)</f>
        <v>75238</v>
      </c>
    </row>
    <row r="2673">
      <c r="A2673" s="10" t="s">
        <v>2429</v>
      </c>
      <c r="B2673" s="11">
        <v>100.0</v>
      </c>
      <c r="C2673" s="12" t="s">
        <v>1238</v>
      </c>
      <c r="E2673" s="8" t="str">
        <f>IFERROR(__xludf.DUMMYFUNCTION("SPLIT(A2673,""TX"")"),"Goocher, Jennifer
3202 Winged Elm Dr
Cedar Park, ")</f>
        <v>Goocher, Jennifer
3202 Winged Elm Dr
Cedar Park, </v>
      </c>
      <c r="F2673" s="8">
        <f>IFERROR(__xludf.DUMMYFUNCTION("""COMPUTED_VALUE"""),78616.0)</f>
        <v>78616</v>
      </c>
      <c r="I2673" s="8">
        <f t="shared" si="26"/>
        <v>78616</v>
      </c>
      <c r="J2673" s="9">
        <f>IFERROR(__xludf.DUMMYFUNCTION("SPLIT(I2673,""-"")"),78616.0)</f>
        <v>78616</v>
      </c>
    </row>
    <row r="2674">
      <c r="A2674" s="5" t="s">
        <v>2430</v>
      </c>
      <c r="B2674" s="6">
        <v>500.0</v>
      </c>
      <c r="C2674" s="7" t="s">
        <v>1238</v>
      </c>
      <c r="E2674" s="8" t="str">
        <f>IFERROR(__xludf.DUMMYFUNCTION("SPLIT(A2674,""TX"")"),"Lee, Larry
7302 Danashire
Dallas, ")</f>
        <v>Lee, Larry
7302 Danashire
Dallas, </v>
      </c>
      <c r="F2674" s="8">
        <f>IFERROR(__xludf.DUMMYFUNCTION("""COMPUTED_VALUE"""),75231.0)</f>
        <v>75231</v>
      </c>
      <c r="I2674" s="8">
        <f t="shared" si="26"/>
        <v>75231</v>
      </c>
      <c r="J2674" s="9">
        <f>IFERROR(__xludf.DUMMYFUNCTION("SPLIT(I2674,""-"")"),75231.0)</f>
        <v>75231</v>
      </c>
    </row>
    <row r="2675">
      <c r="A2675" s="10" t="s">
        <v>2431</v>
      </c>
      <c r="B2675" s="11">
        <v>500.0</v>
      </c>
      <c r="C2675" s="12" t="s">
        <v>1238</v>
      </c>
      <c r="E2675" s="8" t="str">
        <f>IFERROR(__xludf.DUMMYFUNCTION("SPLIT(A2675,""TX"")"),"Lee, Alison
7302 Danashire
Dallas, ")</f>
        <v>Lee, Alison
7302 Danashire
Dallas, </v>
      </c>
      <c r="F2675" s="8">
        <f>IFERROR(__xludf.DUMMYFUNCTION("""COMPUTED_VALUE"""),75231.0)</f>
        <v>75231</v>
      </c>
      <c r="I2675" s="8">
        <f t="shared" si="26"/>
        <v>75231</v>
      </c>
      <c r="J2675" s="9">
        <f>IFERROR(__xludf.DUMMYFUNCTION("SPLIT(I2675,""-"")"),75231.0)</f>
        <v>75231</v>
      </c>
    </row>
    <row r="2676">
      <c r="A2676" s="5" t="s">
        <v>2432</v>
      </c>
      <c r="B2676" s="6">
        <v>100.0</v>
      </c>
      <c r="C2676" s="7" t="s">
        <v>1238</v>
      </c>
      <c r="E2676" s="8" t="str">
        <f>IFERROR(__xludf.DUMMYFUNCTION("SPLIT(A2676,""TX"")"),"Reeder, Chuck
4515 Belfort Pl
Dallas, ")</f>
        <v>Reeder, Chuck
4515 Belfort Pl
Dallas, </v>
      </c>
      <c r="F2676" s="8">
        <f>IFERROR(__xludf.DUMMYFUNCTION("""COMPUTED_VALUE"""),75205.0)</f>
        <v>75205</v>
      </c>
      <c r="I2676" s="8">
        <f t="shared" si="26"/>
        <v>75205</v>
      </c>
      <c r="J2676" s="9">
        <f>IFERROR(__xludf.DUMMYFUNCTION("SPLIT(I2676,""-"")"),75205.0)</f>
        <v>75205</v>
      </c>
    </row>
    <row r="2677">
      <c r="A2677" s="10" t="s">
        <v>2433</v>
      </c>
      <c r="B2677" s="11">
        <v>100.0</v>
      </c>
      <c r="C2677" s="12" t="s">
        <v>1238</v>
      </c>
      <c r="E2677" s="8" t="str">
        <f>IFERROR(__xludf.DUMMYFUNCTION("SPLIT(A2677,""TX"")"),"Lonergan, Kim
10050 Caribou ")</f>
        <v>Lonergan, Kim
10050 Caribou </v>
      </c>
      <c r="F2677" s="8" t="str">
        <f>IFERROR(__xludf.DUMMYFUNCTION("""COMPUTED_VALUE"""),"rail
Dallas, ")</f>
        <v>rail
Dallas, </v>
      </c>
      <c r="G2677" s="8">
        <f>IFERROR(__xludf.DUMMYFUNCTION("""COMPUTED_VALUE"""),75238.0)</f>
        <v>75238</v>
      </c>
      <c r="I2677" s="8">
        <f t="shared" si="26"/>
        <v>75238</v>
      </c>
      <c r="J2677" s="9">
        <f>IFERROR(__xludf.DUMMYFUNCTION("SPLIT(I2677,""-"")"),75238.0)</f>
        <v>75238</v>
      </c>
    </row>
    <row r="2678">
      <c r="A2678" s="5" t="s">
        <v>2434</v>
      </c>
      <c r="B2678" s="6">
        <v>100.0</v>
      </c>
      <c r="C2678" s="7" t="s">
        <v>1238</v>
      </c>
      <c r="E2678" s="8" t="str">
        <f>IFERROR(__xludf.DUMMYFUNCTION("SPLIT(A2678,""TX"")"),"Griffith, Gary
6875 Carolyncrest Dr
Dallas, ")</f>
        <v>Griffith, Gary
6875 Carolyncrest Dr
Dallas, </v>
      </c>
      <c r="F2678" s="8">
        <f>IFERROR(__xludf.DUMMYFUNCTION("""COMPUTED_VALUE"""),75214.0)</f>
        <v>75214</v>
      </c>
      <c r="I2678" s="8">
        <f t="shared" si="26"/>
        <v>75214</v>
      </c>
      <c r="J2678" s="9">
        <f>IFERROR(__xludf.DUMMYFUNCTION("SPLIT(I2678,""-"")"),75214.0)</f>
        <v>75214</v>
      </c>
    </row>
    <row r="2679">
      <c r="A2679" s="10" t="s">
        <v>2435</v>
      </c>
      <c r="B2679" s="11">
        <v>200.0</v>
      </c>
      <c r="C2679" s="12" t="s">
        <v>1238</v>
      </c>
      <c r="E2679" s="8" t="str">
        <f>IFERROR(__xludf.DUMMYFUNCTION("SPLIT(A2679,""TX"")"),"Morgan, Susan
9227 Dove Meadow
Dallas, ")</f>
        <v>Morgan, Susan
9227 Dove Meadow
Dallas, </v>
      </c>
      <c r="F2679" s="8">
        <f>IFERROR(__xludf.DUMMYFUNCTION("""COMPUTED_VALUE"""),75243.0)</f>
        <v>75243</v>
      </c>
      <c r="I2679" s="8">
        <f t="shared" si="26"/>
        <v>75243</v>
      </c>
      <c r="J2679" s="9">
        <f>IFERROR(__xludf.DUMMYFUNCTION("SPLIT(I2679,""-"")"),75243.0)</f>
        <v>75243</v>
      </c>
    </row>
    <row r="2680">
      <c r="A2680" s="5" t="s">
        <v>2436</v>
      </c>
      <c r="B2680" s="6">
        <v>50.0</v>
      </c>
      <c r="C2680" s="7" t="s">
        <v>1238</v>
      </c>
      <c r="E2680" s="8" t="str">
        <f>IFERROR(__xludf.DUMMYFUNCTION("SPLIT(A2680,""TX"")"),"McIlwain, Mike
9109 Clearhurst
Dallas, ")</f>
        <v>McIlwain, Mike
9109 Clearhurst
Dallas, </v>
      </c>
      <c r="F2680" s="8">
        <f>IFERROR(__xludf.DUMMYFUNCTION("""COMPUTED_VALUE"""),75238.0)</f>
        <v>75238</v>
      </c>
      <c r="I2680" s="8">
        <f t="shared" si="26"/>
        <v>75238</v>
      </c>
      <c r="J2680" s="9">
        <f>IFERROR(__xludf.DUMMYFUNCTION("SPLIT(I2680,""-"")"),75238.0)</f>
        <v>75238</v>
      </c>
    </row>
    <row r="2681">
      <c r="A2681" s="10" t="s">
        <v>2437</v>
      </c>
      <c r="B2681" s="11">
        <v>50.0</v>
      </c>
      <c r="C2681" s="12" t="s">
        <v>1238</v>
      </c>
      <c r="E2681" s="8" t="str">
        <f>IFERROR(__xludf.DUMMYFUNCTION("SPLIT(A2681,""TX"")"),"McIlwain, Judy
9109 Clearhurst
Dallas, ")</f>
        <v>McIlwain, Judy
9109 Clearhurst
Dallas, </v>
      </c>
      <c r="F2681" s="8">
        <f>IFERROR(__xludf.DUMMYFUNCTION("""COMPUTED_VALUE"""),75238.0)</f>
        <v>75238</v>
      </c>
      <c r="I2681" s="8">
        <f t="shared" si="26"/>
        <v>75238</v>
      </c>
      <c r="J2681" s="9">
        <f>IFERROR(__xludf.DUMMYFUNCTION("SPLIT(I2681,""-"")"),75238.0)</f>
        <v>75238</v>
      </c>
    </row>
    <row r="2682">
      <c r="A2682" s="5" t="s">
        <v>2438</v>
      </c>
      <c r="B2682" s="6">
        <v>125.0</v>
      </c>
      <c r="C2682" s="7" t="s">
        <v>1238</v>
      </c>
      <c r="E2682" s="8" t="str">
        <f>IFERROR(__xludf.DUMMYFUNCTION("SPLIT(A2682,""TX"")"),"Harris, ")</f>
        <v>Harris, </v>
      </c>
      <c r="F2682" s="8" t="str">
        <f>IFERROR(__xludf.DUMMYFUNCTION("""COMPUTED_VALUE"""),"om
10011 Caribou ")</f>
        <v>om
10011 Caribou </v>
      </c>
      <c r="G2682" s="8" t="str">
        <f>IFERROR(__xludf.DUMMYFUNCTION("""COMPUTED_VALUE"""),"rail
Dallas, ")</f>
        <v>rail
Dallas, </v>
      </c>
      <c r="H2682" s="8">
        <f>IFERROR(__xludf.DUMMYFUNCTION("""COMPUTED_VALUE"""),75238.0)</f>
        <v>75238</v>
      </c>
      <c r="I2682" s="13">
        <v>75238.0</v>
      </c>
      <c r="J2682" s="9">
        <f>IFERROR(__xludf.DUMMYFUNCTION("SPLIT(I2682,""-"")"),75238.0)</f>
        <v>75238</v>
      </c>
    </row>
    <row r="2683">
      <c r="A2683" s="10" t="s">
        <v>2439</v>
      </c>
      <c r="B2683" s="11">
        <v>125.0</v>
      </c>
      <c r="C2683" s="12" t="s">
        <v>1238</v>
      </c>
      <c r="E2683" s="8" t="str">
        <f>IFERROR(__xludf.DUMMYFUNCTION("SPLIT(A2683,""TX"")"),"Harris, Michelle
10011 Caribou ")</f>
        <v>Harris, Michelle
10011 Caribou </v>
      </c>
      <c r="F2683" s="8" t="str">
        <f>IFERROR(__xludf.DUMMYFUNCTION("""COMPUTED_VALUE"""),"rail
Dallas, ")</f>
        <v>rail
Dallas, </v>
      </c>
      <c r="G2683" s="8">
        <f>IFERROR(__xludf.DUMMYFUNCTION("""COMPUTED_VALUE"""),75238.0)</f>
        <v>75238</v>
      </c>
      <c r="I2683" s="8">
        <f t="shared" ref="I2683:I2703" si="27">IF(ISBLANK(G2683),F2683,G2683)</f>
        <v>75238</v>
      </c>
      <c r="J2683" s="9">
        <f>IFERROR(__xludf.DUMMYFUNCTION("SPLIT(I2683,""-"")"),75238.0)</f>
        <v>75238</v>
      </c>
    </row>
    <row r="2684">
      <c r="A2684" s="5" t="s">
        <v>2440</v>
      </c>
      <c r="B2684" s="6">
        <v>250.0</v>
      </c>
      <c r="C2684" s="7" t="s">
        <v>1238</v>
      </c>
      <c r="E2684" s="8" t="str">
        <f>IFERROR(__xludf.DUMMYFUNCTION("SPLIT(A2684,""TX"")"),"Woolley, Cindy
9215 Meadowglen
Dallas, ")</f>
        <v>Woolley, Cindy
9215 Meadowglen
Dallas, </v>
      </c>
      <c r="F2684" s="8">
        <f>IFERROR(__xludf.DUMMYFUNCTION("""COMPUTED_VALUE"""),75238.0)</f>
        <v>75238</v>
      </c>
      <c r="I2684" s="8">
        <f t="shared" si="27"/>
        <v>75238</v>
      </c>
      <c r="J2684" s="9">
        <f>IFERROR(__xludf.DUMMYFUNCTION("SPLIT(I2684,""-"")"),75238.0)</f>
        <v>75238</v>
      </c>
    </row>
    <row r="2685">
      <c r="A2685" s="10" t="s">
        <v>2441</v>
      </c>
      <c r="B2685" s="11">
        <v>250.0</v>
      </c>
      <c r="C2685" s="12" t="s">
        <v>1238</v>
      </c>
      <c r="E2685" s="8" t="str">
        <f>IFERROR(__xludf.DUMMYFUNCTION("SPLIT(A2685,""TX"")"),"Woolley, Byron
9215 Meadowglen
Dallas, ")</f>
        <v>Woolley, Byron
9215 Meadowglen
Dallas, </v>
      </c>
      <c r="F2685" s="8">
        <f>IFERROR(__xludf.DUMMYFUNCTION("""COMPUTED_VALUE"""),75238.0)</f>
        <v>75238</v>
      </c>
      <c r="I2685" s="8">
        <f t="shared" si="27"/>
        <v>75238</v>
      </c>
      <c r="J2685" s="9">
        <f>IFERROR(__xludf.DUMMYFUNCTION("SPLIT(I2685,""-"")"),75238.0)</f>
        <v>75238</v>
      </c>
    </row>
    <row r="2686">
      <c r="A2686" s="5" t="s">
        <v>2442</v>
      </c>
      <c r="B2686" s="6">
        <v>750.0</v>
      </c>
      <c r="C2686" s="7" t="s">
        <v>1238</v>
      </c>
      <c r="E2686" s="8" t="str">
        <f>IFERROR(__xludf.DUMMYFUNCTION("SPLIT(A2686,""TX"")"),"Rabe, Doug
7746 Eagle ")</f>
        <v>Rabe, Doug
7746 Eagle </v>
      </c>
      <c r="F2686" s="8" t="str">
        <f>IFERROR(__xludf.DUMMYFUNCTION("""COMPUTED_VALUE"""),"rail
Dallas, ")</f>
        <v>rail
Dallas, </v>
      </c>
      <c r="G2686" s="8">
        <f>IFERROR(__xludf.DUMMYFUNCTION("""COMPUTED_VALUE"""),75238.0)</f>
        <v>75238</v>
      </c>
      <c r="I2686" s="8">
        <f t="shared" si="27"/>
        <v>75238</v>
      </c>
      <c r="J2686" s="9">
        <f>IFERROR(__xludf.DUMMYFUNCTION("SPLIT(I2686,""-"")"),75238.0)</f>
        <v>75238</v>
      </c>
    </row>
    <row r="2687">
      <c r="A2687" s="10" t="s">
        <v>2443</v>
      </c>
      <c r="B2687" s="11">
        <v>750.0</v>
      </c>
      <c r="C2687" s="12" t="s">
        <v>1238</v>
      </c>
      <c r="E2687" s="8" t="str">
        <f>IFERROR(__xludf.DUMMYFUNCTION("SPLIT(A2687,""TX"")"),"Rabe, Nancy
7746 Eagle ")</f>
        <v>Rabe, Nancy
7746 Eagle </v>
      </c>
      <c r="F2687" s="8" t="str">
        <f>IFERROR(__xludf.DUMMYFUNCTION("""COMPUTED_VALUE"""),"rail
Dallas, ")</f>
        <v>rail
Dallas, </v>
      </c>
      <c r="G2687" s="8">
        <f>IFERROR(__xludf.DUMMYFUNCTION("""COMPUTED_VALUE"""),75238.0)</f>
        <v>75238</v>
      </c>
      <c r="I2687" s="8">
        <f t="shared" si="27"/>
        <v>75238</v>
      </c>
      <c r="J2687" s="9">
        <f>IFERROR(__xludf.DUMMYFUNCTION("SPLIT(I2687,""-"")"),75238.0)</f>
        <v>75238</v>
      </c>
    </row>
    <row r="2688">
      <c r="A2688" s="5" t="s">
        <v>2444</v>
      </c>
      <c r="B2688" s="6">
        <v>250.0</v>
      </c>
      <c r="C2688" s="7" t="s">
        <v>1238</v>
      </c>
      <c r="E2688" s="8" t="str">
        <f>IFERROR(__xludf.DUMMYFUNCTION("SPLIT(A2688,""TX"")"),"Cowlishaw, Melanie
9531 Windy Hill Road
Dallas, ")</f>
        <v>Cowlishaw, Melanie
9531 Windy Hill Road
Dallas, </v>
      </c>
      <c r="F2688" s="8">
        <f>IFERROR(__xludf.DUMMYFUNCTION("""COMPUTED_VALUE"""),75238.0)</f>
        <v>75238</v>
      </c>
      <c r="I2688" s="8">
        <f t="shared" si="27"/>
        <v>75238</v>
      </c>
      <c r="J2688" s="9">
        <f>IFERROR(__xludf.DUMMYFUNCTION("SPLIT(I2688,""-"")"),75238.0)</f>
        <v>75238</v>
      </c>
    </row>
    <row r="2689">
      <c r="A2689" s="10" t="s">
        <v>2445</v>
      </c>
      <c r="B2689" s="11">
        <v>100.0</v>
      </c>
      <c r="C2689" s="12" t="s">
        <v>1238</v>
      </c>
      <c r="E2689" s="8" t="str">
        <f>IFERROR(__xludf.DUMMYFUNCTION("SPLIT(A2689,""TX"")"),"Henneberger, Cynthia
8928 Fairglen
Dallas, ")</f>
        <v>Henneberger, Cynthia
8928 Fairglen
Dallas, </v>
      </c>
      <c r="F2689" s="8">
        <f>IFERROR(__xludf.DUMMYFUNCTION("""COMPUTED_VALUE"""),75231.0)</f>
        <v>75231</v>
      </c>
      <c r="I2689" s="8">
        <f t="shared" si="27"/>
        <v>75231</v>
      </c>
      <c r="J2689" s="9">
        <f>IFERROR(__xludf.DUMMYFUNCTION("SPLIT(I2689,""-"")"),75231.0)</f>
        <v>75231</v>
      </c>
    </row>
    <row r="2690">
      <c r="A2690" s="5" t="s">
        <v>2446</v>
      </c>
      <c r="B2690" s="6">
        <v>100.0</v>
      </c>
      <c r="C2690" s="7" t="s">
        <v>1238</v>
      </c>
      <c r="E2690" s="8" t="str">
        <f>IFERROR(__xludf.DUMMYFUNCTION("SPLIT(A2690,""TX"")"),"Sides, Lisa
9949 Caribou ")</f>
        <v>Sides, Lisa
9949 Caribou </v>
      </c>
      <c r="F2690" s="8" t="str">
        <f>IFERROR(__xludf.DUMMYFUNCTION("""COMPUTED_VALUE"""),"rail
Dallas, ")</f>
        <v>rail
Dallas, </v>
      </c>
      <c r="G2690" s="8">
        <f>IFERROR(__xludf.DUMMYFUNCTION("""COMPUTED_VALUE"""),75238.0)</f>
        <v>75238</v>
      </c>
      <c r="I2690" s="8">
        <f t="shared" si="27"/>
        <v>75238</v>
      </c>
      <c r="J2690" s="9">
        <f>IFERROR(__xludf.DUMMYFUNCTION("SPLIT(I2690,""-"")"),75238.0)</f>
        <v>75238</v>
      </c>
    </row>
    <row r="2691">
      <c r="A2691" s="10" t="s">
        <v>2447</v>
      </c>
      <c r="B2691" s="11">
        <v>500.0</v>
      </c>
      <c r="C2691" s="12" t="s">
        <v>1238</v>
      </c>
      <c r="E2691" s="8" t="str">
        <f>IFERROR(__xludf.DUMMYFUNCTION("SPLIT(A2691,""TX"")"),"Morgan, Murray
9931 Wood Forest Dr
Dallas, ")</f>
        <v>Morgan, Murray
9931 Wood Forest Dr
Dallas, </v>
      </c>
      <c r="F2691" s="8">
        <f>IFERROR(__xludf.DUMMYFUNCTION("""COMPUTED_VALUE"""),75243.0)</f>
        <v>75243</v>
      </c>
      <c r="I2691" s="8">
        <f t="shared" si="27"/>
        <v>75243</v>
      </c>
      <c r="J2691" s="9">
        <f>IFERROR(__xludf.DUMMYFUNCTION("SPLIT(I2691,""-"")"),75243.0)</f>
        <v>75243</v>
      </c>
    </row>
    <row r="2692">
      <c r="A2692" s="5" t="s">
        <v>2448</v>
      </c>
      <c r="B2692" s="6">
        <v>500.0</v>
      </c>
      <c r="C2692" s="7" t="s">
        <v>1238</v>
      </c>
      <c r="E2692" s="8" t="str">
        <f>IFERROR(__xludf.DUMMYFUNCTION("SPLIT(A2692,""TX"")"),"Rafkin, William
3601 ")</f>
        <v>Rafkin, William
3601 </v>
      </c>
      <c r="F2692" s="8" t="str">
        <f>IFERROR(__xludf.DUMMYFUNCTION("""COMPUTED_VALUE"""),"urtle Creek Blvd
Dallas, ")</f>
        <v>urtle Creek Blvd
Dallas, </v>
      </c>
      <c r="G2692" s="8">
        <f>IFERROR(__xludf.DUMMYFUNCTION("""COMPUTED_VALUE"""),75219.0)</f>
        <v>75219</v>
      </c>
      <c r="I2692" s="8">
        <f t="shared" si="27"/>
        <v>75219</v>
      </c>
      <c r="J2692" s="9">
        <f>IFERROR(__xludf.DUMMYFUNCTION("SPLIT(I2692,""-"")"),75219.0)</f>
        <v>75219</v>
      </c>
    </row>
    <row r="2693">
      <c r="A2693" s="10" t="s">
        <v>2449</v>
      </c>
      <c r="B2693" s="11">
        <v>100.0</v>
      </c>
      <c r="C2693" s="12" t="s">
        <v>1238</v>
      </c>
      <c r="E2693" s="8" t="str">
        <f>IFERROR(__xludf.DUMMYFUNCTION("SPLIT(A2693,""TX"")"),"Duval, Greg
9218 Loma Vista
Dallas, ")</f>
        <v>Duval, Greg
9218 Loma Vista
Dallas, </v>
      </c>
      <c r="F2693" s="8">
        <f>IFERROR(__xludf.DUMMYFUNCTION("""COMPUTED_VALUE"""),75243.0)</f>
        <v>75243</v>
      </c>
      <c r="I2693" s="8">
        <f t="shared" si="27"/>
        <v>75243</v>
      </c>
      <c r="J2693" s="9">
        <f>IFERROR(__xludf.DUMMYFUNCTION("SPLIT(I2693,""-"")"),75243.0)</f>
        <v>75243</v>
      </c>
    </row>
    <row r="2694">
      <c r="A2694" s="5" t="s">
        <v>2450</v>
      </c>
      <c r="B2694" s="6">
        <v>1000.0</v>
      </c>
      <c r="C2694" s="7" t="s">
        <v>1238</v>
      </c>
      <c r="E2694" s="8" t="str">
        <f>IFERROR(__xludf.DUMMYFUNCTION("SPLIT(A2694,""TX"")"),"Adam McGough for Dallas Election Committee
5931 Greenville Ave
Dallas, ")</f>
        <v>Adam McGough for Dallas Election Committee
5931 Greenville Ave
Dallas, </v>
      </c>
      <c r="F2694" s="8">
        <f>IFERROR(__xludf.DUMMYFUNCTION("""COMPUTED_VALUE"""),75206.0)</f>
        <v>75206</v>
      </c>
      <c r="I2694" s="8">
        <f t="shared" si="27"/>
        <v>75206</v>
      </c>
      <c r="J2694" s="9">
        <f>IFERROR(__xludf.DUMMYFUNCTION("SPLIT(I2694,""-"")"),75206.0)</f>
        <v>75206</v>
      </c>
    </row>
    <row r="2695">
      <c r="A2695" s="10" t="s">
        <v>2451</v>
      </c>
      <c r="B2695" s="11">
        <v>100.0</v>
      </c>
      <c r="C2695" s="12" t="s">
        <v>1238</v>
      </c>
      <c r="E2695" s="8" t="str">
        <f>IFERROR(__xludf.DUMMYFUNCTION("SPLIT(A2695,""TX"")"),"Burns, Sherman
9205 Clover Valley
Dallas, ")</f>
        <v>Burns, Sherman
9205 Clover Valley
Dallas, </v>
      </c>
      <c r="F2695" s="8">
        <f>IFERROR(__xludf.DUMMYFUNCTION("""COMPUTED_VALUE"""),75243.0)</f>
        <v>75243</v>
      </c>
      <c r="I2695" s="8">
        <f t="shared" si="27"/>
        <v>75243</v>
      </c>
      <c r="J2695" s="9">
        <f>IFERROR(__xludf.DUMMYFUNCTION("SPLIT(I2695,""-"")"),75243.0)</f>
        <v>75243</v>
      </c>
    </row>
    <row r="2696">
      <c r="A2696" s="5" t="s">
        <v>2452</v>
      </c>
      <c r="B2696" s="6">
        <v>500.0</v>
      </c>
      <c r="C2696" s="7" t="s">
        <v>1238</v>
      </c>
      <c r="E2696" s="8" t="str">
        <f>IFERROR(__xludf.DUMMYFUNCTION("SPLIT(A2696,""TX"")"),"Hughes, Paula
8046 Nimrod ")</f>
        <v>Hughes, Paula
8046 Nimrod </v>
      </c>
      <c r="F2696" s="8" t="str">
        <f>IFERROR(__xludf.DUMMYFUNCTION("""COMPUTED_VALUE"""),"rail
Dallas, ")</f>
        <v>rail
Dallas, </v>
      </c>
      <c r="G2696" s="8">
        <f>IFERROR(__xludf.DUMMYFUNCTION("""COMPUTED_VALUE"""),75238.0)</f>
        <v>75238</v>
      </c>
      <c r="I2696" s="8">
        <f t="shared" si="27"/>
        <v>75238</v>
      </c>
      <c r="J2696" s="9">
        <f>IFERROR(__xludf.DUMMYFUNCTION("SPLIT(I2696,""-"")"),75238.0)</f>
        <v>75238</v>
      </c>
    </row>
    <row r="2697">
      <c r="A2697" s="10" t="s">
        <v>2453</v>
      </c>
      <c r="B2697" s="11">
        <v>250.0</v>
      </c>
      <c r="C2697" s="12" t="s">
        <v>1238</v>
      </c>
      <c r="E2697" s="8" t="str">
        <f>IFERROR(__xludf.DUMMYFUNCTION("SPLIT(A2697,""TX"")"),"Zreet, Cheryl
9617 Windy ")</f>
        <v>Zreet, Cheryl
9617 Windy </v>
      </c>
      <c r="F2697" s="8" t="str">
        <f>IFERROR(__xludf.DUMMYFUNCTION("""COMPUTED_VALUE"""),"errace
Dallas, ")</f>
        <v>errace
Dallas, </v>
      </c>
      <c r="G2697" s="8">
        <f>IFERROR(__xludf.DUMMYFUNCTION("""COMPUTED_VALUE"""),75231.0)</f>
        <v>75231</v>
      </c>
      <c r="I2697" s="8">
        <f t="shared" si="27"/>
        <v>75231</v>
      </c>
      <c r="J2697" s="9">
        <f>IFERROR(__xludf.DUMMYFUNCTION("SPLIT(I2697,""-"")"),75231.0)</f>
        <v>75231</v>
      </c>
    </row>
    <row r="2698">
      <c r="A2698" s="5" t="s">
        <v>2454</v>
      </c>
      <c r="B2698" s="6">
        <v>50.0</v>
      </c>
      <c r="C2698" s="7" t="s">
        <v>1238</v>
      </c>
      <c r="E2698" s="8" t="str">
        <f>IFERROR(__xludf.DUMMYFUNCTION("SPLIT(A2698,""TX"")"),"Woods, Brenda
9474 Dartridge
Dallas, ")</f>
        <v>Woods, Brenda
9474 Dartridge
Dallas, </v>
      </c>
      <c r="F2698" s="8">
        <f>IFERROR(__xludf.DUMMYFUNCTION("""COMPUTED_VALUE"""),75238.0)</f>
        <v>75238</v>
      </c>
      <c r="I2698" s="8">
        <f t="shared" si="27"/>
        <v>75238</v>
      </c>
      <c r="J2698" s="9">
        <f>IFERROR(__xludf.DUMMYFUNCTION("SPLIT(I2698,""-"")"),75238.0)</f>
        <v>75238</v>
      </c>
    </row>
    <row r="2699">
      <c r="A2699" s="10" t="s">
        <v>2455</v>
      </c>
      <c r="B2699" s="11">
        <v>250.0</v>
      </c>
      <c r="C2699" s="12" t="s">
        <v>1238</v>
      </c>
      <c r="E2699" s="8" t="str">
        <f>IFERROR(__xludf.DUMMYFUNCTION("SPLIT(A2699,""TX"")"),"Holmes, Mark
9225 Royalpine Dr,
Dallas, ")</f>
        <v>Holmes, Mark
9225 Royalpine Dr,
Dallas, </v>
      </c>
      <c r="F2699" s="8">
        <f>IFERROR(__xludf.DUMMYFUNCTION("""COMPUTED_VALUE"""),75238.0)</f>
        <v>75238</v>
      </c>
      <c r="I2699" s="8">
        <f t="shared" si="27"/>
        <v>75238</v>
      </c>
      <c r="J2699" s="9">
        <f>IFERROR(__xludf.DUMMYFUNCTION("SPLIT(I2699,""-"")"),75238.0)</f>
        <v>75238</v>
      </c>
    </row>
    <row r="2700">
      <c r="A2700" s="5" t="s">
        <v>2456</v>
      </c>
      <c r="B2700" s="6">
        <v>1000.0</v>
      </c>
      <c r="C2700" s="7" t="s">
        <v>1238</v>
      </c>
      <c r="E2700" s="8" t="str">
        <f>IFERROR(__xludf.DUMMYFUNCTION("SPLIT(A2700,""TX"")"),"Stell, Jan
PO Box 38298
Dallas, ")</f>
        <v>Stell, Jan
PO Box 38298
Dallas, </v>
      </c>
      <c r="F2700" s="8">
        <f>IFERROR(__xludf.DUMMYFUNCTION("""COMPUTED_VALUE"""),75238.0)</f>
        <v>75238</v>
      </c>
      <c r="I2700" s="8">
        <f t="shared" si="27"/>
        <v>75238</v>
      </c>
      <c r="J2700" s="9">
        <f>IFERROR(__xludf.DUMMYFUNCTION("SPLIT(I2700,""-"")"),75238.0)</f>
        <v>75238</v>
      </c>
    </row>
    <row r="2701">
      <c r="A2701" s="10" t="s">
        <v>2457</v>
      </c>
      <c r="B2701" s="11">
        <v>1000.0</v>
      </c>
      <c r="C2701" s="12" t="s">
        <v>1151</v>
      </c>
      <c r="E2701" s="8" t="str">
        <f>IFERROR(__xludf.DUMMYFUNCTION("SPLIT(A2701,""TX"")"),"Iyriad Roofing &amp; Construction LLC
6060 Chevelia Dr
Dallas, ")</f>
        <v>Iyriad Roofing &amp; Construction LLC
6060 Chevelia Dr
Dallas, </v>
      </c>
      <c r="F2701" s="8" t="str">
        <f>IFERROR(__xludf.DUMMYFUNCTION("""COMPUTED_VALUE""")," 75232-4159")</f>
        <v> 75232-4159</v>
      </c>
      <c r="I2701" s="8" t="str">
        <f t="shared" si="27"/>
        <v> 75232-4159</v>
      </c>
      <c r="J2701" s="9">
        <f>IFERROR(__xludf.DUMMYFUNCTION("SPLIT(I2701,""-"")"),75232.0)</f>
        <v>75232</v>
      </c>
      <c r="K2701" s="8">
        <f>IFERROR(__xludf.DUMMYFUNCTION("""COMPUTED_VALUE"""),4159.0)</f>
        <v>4159</v>
      </c>
    </row>
    <row r="2702">
      <c r="A2702" s="10" t="s">
        <v>2458</v>
      </c>
      <c r="B2702" s="11">
        <v>500.0</v>
      </c>
      <c r="C2702" s="12" t="s">
        <v>1151</v>
      </c>
      <c r="E2702" s="8" t="str">
        <f>IFERROR(__xludf.DUMMYFUNCTION("SPLIT(A2702,""TX"")"),"Graves, Annette
1017 Water Street
Carrollton, ")</f>
        <v>Graves, Annette
1017 Water Street
Carrollton, </v>
      </c>
      <c r="F2702" s="8" t="str">
        <f>IFERROR(__xludf.DUMMYFUNCTION("""COMPUTED_VALUE""")," 75007-2905")</f>
        <v> 75007-2905</v>
      </c>
      <c r="I2702" s="8" t="str">
        <f t="shared" si="27"/>
        <v> 75007-2905</v>
      </c>
      <c r="J2702" s="9">
        <f>IFERROR(__xludf.DUMMYFUNCTION("SPLIT(I2702,""-"")"),75007.0)</f>
        <v>75007</v>
      </c>
      <c r="K2702" s="8">
        <f>IFERROR(__xludf.DUMMYFUNCTION("""COMPUTED_VALUE"""),2905.0)</f>
        <v>2905</v>
      </c>
    </row>
    <row r="2703">
      <c r="A2703" s="10" t="s">
        <v>2459</v>
      </c>
      <c r="B2703" s="11">
        <v>1000.0</v>
      </c>
      <c r="C2703" s="12" t="s">
        <v>1151</v>
      </c>
      <c r="E2703" s="8" t="str">
        <f>IFERROR(__xludf.DUMMYFUNCTION("SPLIT(A2703,""TX"")"),"Chopp, Stephony
2448 Club Manor Dr
Dallas, ")</f>
        <v>Chopp, Stephony
2448 Club Manor Dr
Dallas, </v>
      </c>
      <c r="F2703" s="8" t="str">
        <f>IFERROR(__xludf.DUMMYFUNCTION("""COMPUTED_VALUE""")," 75237-2702")</f>
        <v> 75237-2702</v>
      </c>
      <c r="I2703" s="8" t="str">
        <f t="shared" si="27"/>
        <v> 75237-2702</v>
      </c>
      <c r="J2703" s="9">
        <f>IFERROR(__xludf.DUMMYFUNCTION("SPLIT(I2703,""-"")"),75237.0)</f>
        <v>75237</v>
      </c>
      <c r="K2703" s="8">
        <f>IFERROR(__xludf.DUMMYFUNCTION("""COMPUTED_VALUE"""),2702.0)</f>
        <v>2702</v>
      </c>
    </row>
    <row r="2704">
      <c r="A2704" s="10" t="s">
        <v>2460</v>
      </c>
      <c r="B2704" s="11">
        <v>1000.0</v>
      </c>
      <c r="C2704" s="12" t="s">
        <v>1151</v>
      </c>
      <c r="E2704" s="8" t="str">
        <f>IFERROR(__xludf.DUMMYFUNCTION("SPLIT(A2704,""TX"")"),"SOU")</f>
        <v>SOU</v>
      </c>
      <c r="F2704" s="8" t="str">
        <f>IFERROR(__xludf.DUMMYFUNCTION("""COMPUTED_VALUE"""),"HWES")</f>
        <v>HWES</v>
      </c>
      <c r="G2704" s="8" t="str">
        <f>IFERROR(__xludf.DUMMYFUNCTION("""COMPUTED_VALUE""")," AIRLINES CO FREEDOM FUND
PO Box 36611
Dallas, ")</f>
        <v> AIRLINES CO FREEDOM FUND
PO Box 36611
Dallas, </v>
      </c>
      <c r="H2704" s="8">
        <f>IFERROR(__xludf.DUMMYFUNCTION("""COMPUTED_VALUE"""),75235.0)</f>
        <v>75235</v>
      </c>
      <c r="I2704" s="13">
        <v>75235.0</v>
      </c>
      <c r="J2704" s="9">
        <f>IFERROR(__xludf.DUMMYFUNCTION("SPLIT(I2704,""-"")"),75235.0)</f>
        <v>75235</v>
      </c>
    </row>
    <row r="2705">
      <c r="A2705" s="10" t="s">
        <v>2460</v>
      </c>
      <c r="B2705" s="11">
        <v>1000.0</v>
      </c>
      <c r="C2705" s="12" t="s">
        <v>1151</v>
      </c>
      <c r="E2705" s="8" t="str">
        <f>IFERROR(__xludf.DUMMYFUNCTION("SPLIT(A2705,""TX"")"),"SOU")</f>
        <v>SOU</v>
      </c>
      <c r="F2705" s="8" t="str">
        <f>IFERROR(__xludf.DUMMYFUNCTION("""COMPUTED_VALUE"""),"HWES")</f>
        <v>HWES</v>
      </c>
      <c r="G2705" s="8" t="str">
        <f>IFERROR(__xludf.DUMMYFUNCTION("""COMPUTED_VALUE""")," AIRLINES CO FREEDOM FUND
PO Box 36611
Dallas, ")</f>
        <v> AIRLINES CO FREEDOM FUND
PO Box 36611
Dallas, </v>
      </c>
      <c r="H2705" s="8">
        <f>IFERROR(__xludf.DUMMYFUNCTION("""COMPUTED_VALUE"""),75235.0)</f>
        <v>75235</v>
      </c>
      <c r="I2705" s="13">
        <v>75235.0</v>
      </c>
      <c r="J2705" s="9">
        <f>IFERROR(__xludf.DUMMYFUNCTION("SPLIT(I2705,""-"")"),75235.0)</f>
        <v>75235</v>
      </c>
    </row>
    <row r="2706">
      <c r="A2706" s="10" t="s">
        <v>2461</v>
      </c>
      <c r="B2706" s="11">
        <v>250.0</v>
      </c>
      <c r="C2706" s="12" t="s">
        <v>1151</v>
      </c>
      <c r="E2706" s="8" t="str">
        <f>IFERROR(__xludf.DUMMYFUNCTION("SPLIT(A2706,""TX"")"),"Sampson, Demetris
PO Box 763837
Dallas, ")</f>
        <v>Sampson, Demetris
PO Box 763837
Dallas, </v>
      </c>
      <c r="F2706" s="8">
        <f>IFERROR(__xludf.DUMMYFUNCTION("""COMPUTED_VALUE"""),75376.0)</f>
        <v>75376</v>
      </c>
      <c r="I2706" s="8">
        <f>IF(ISBLANK(G2706),F2706,G2706)</f>
        <v>75376</v>
      </c>
      <c r="J2706" s="9">
        <f>IFERROR(__xludf.DUMMYFUNCTION("SPLIT(I2706,""-"")"),75376.0)</f>
        <v>75376</v>
      </c>
    </row>
    <row r="2707">
      <c r="A2707" s="10" t="s">
        <v>2462</v>
      </c>
      <c r="B2707" s="11">
        <v>1000.0</v>
      </c>
      <c r="C2707" s="12" t="s">
        <v>1151</v>
      </c>
      <c r="E2707" s="8" t="str">
        <f>IFERROR(__xludf.DUMMYFUNCTION("SPLIT(A2707,""TX"")"),"OLABIM")</f>
        <v>OLABIM</v>
      </c>
      <c r="F2707" s="8" t="str">
        <f>IFERROR(__xludf.DUMMYFUNCTION("""COMPUTED_VALUE"""),"AN, AFISU
74 BUCK ")</f>
        <v>AN, AFISU
74 BUCK </v>
      </c>
      <c r="G2707" s="8" t="str">
        <f>IFERROR(__xludf.DUMMYFUNCTION("""COMPUTED_VALUE"""),"RAIL
SADLER, ")</f>
        <v>RAIL
SADLER, </v>
      </c>
      <c r="H2707" s="8">
        <f>IFERROR(__xludf.DUMMYFUNCTION("""COMPUTED_VALUE"""),76264.0)</f>
        <v>76264</v>
      </c>
      <c r="I2707" s="13">
        <v>76264.0</v>
      </c>
      <c r="J2707" s="9">
        <f>IFERROR(__xludf.DUMMYFUNCTION("SPLIT(I2707,""-"")"),76264.0)</f>
        <v>76264</v>
      </c>
    </row>
    <row r="2708">
      <c r="A2708" s="10" t="s">
        <v>2463</v>
      </c>
      <c r="B2708" s="11">
        <v>500.0</v>
      </c>
      <c r="C2708" s="12" t="s">
        <v>1151</v>
      </c>
      <c r="E2708" s="8" t="str">
        <f>IFERROR(__xludf.DUMMYFUNCTION("SPLIT(A2708,""TX"")"),"Russell, Michael
1065 Peachtree St NE
Atlanta, GA 30309")</f>
        <v>Russell, Michael
1065 Peachtree St NE
Atlanta, GA 30309</v>
      </c>
      <c r="I2708" s="8" t="str">
        <f>IF(ISBLANK(G2708),F2708,G2708)</f>
        <v/>
      </c>
      <c r="J2708" s="9" t="str">
        <f>IFERROR(__xludf.DUMMYFUNCTION("SPLIT(I2708,""-"")"),"#VALUE!")</f>
        <v>#VALUE!</v>
      </c>
    </row>
    <row r="2709">
      <c r="A2709" s="10" t="s">
        <v>2464</v>
      </c>
      <c r="B2709" s="11">
        <v>750.0</v>
      </c>
      <c r="C2709" s="12" t="s">
        <v>1151</v>
      </c>
      <c r="E2709" s="8" t="str">
        <f>IFERROR(__xludf.DUMMYFUNCTION("SPLIT(A2709,""TX"")"),"Mapp, ")</f>
        <v>Mapp, </v>
      </c>
      <c r="F2709" s="8" t="str">
        <f>IFERROR(__xludf.DUMMYFUNCTION("""COMPUTED_VALUE"""),"relaine
12612 Beech ")</f>
        <v>relaine
12612 Beech </v>
      </c>
      <c r="G2709" s="8" t="str">
        <f>IFERROR(__xludf.DUMMYFUNCTION("""COMPUTED_VALUE"""),"ree Lane
Euless, ")</f>
        <v>ree Lane
Euless, </v>
      </c>
      <c r="H2709" s="8">
        <f>IFERROR(__xludf.DUMMYFUNCTION("""COMPUTED_VALUE"""),76040.0)</f>
        <v>76040</v>
      </c>
      <c r="I2709" s="13">
        <v>76040.0</v>
      </c>
      <c r="J2709" s="9">
        <f>IFERROR(__xludf.DUMMYFUNCTION("SPLIT(I2709,""-"")"),76040.0)</f>
        <v>76040</v>
      </c>
    </row>
    <row r="2710">
      <c r="A2710" s="10" t="s">
        <v>2465</v>
      </c>
      <c r="B2710" s="11">
        <v>1000.0</v>
      </c>
      <c r="C2710" s="12" t="s">
        <v>1151</v>
      </c>
      <c r="E2710" s="8" t="str">
        <f>IFERROR(__xludf.DUMMYFUNCTION("SPLIT(A2710,""TX"")"),"Warren, Wayne
7 Equestrian ")</f>
        <v>Warren, Wayne
7 Equestrian </v>
      </c>
      <c r="F2710" s="8" t="str">
        <f>IFERROR(__xludf.DUMMYFUNCTION("""COMPUTED_VALUE"""),"rail
Duncanville, ")</f>
        <v>rail
Duncanville, </v>
      </c>
      <c r="G2710" s="8">
        <f>IFERROR(__xludf.DUMMYFUNCTION("""COMPUTED_VALUE"""),75116.0)</f>
        <v>75116</v>
      </c>
      <c r="I2710" s="8">
        <f t="shared" ref="I2710:I2714" si="28">IF(ISBLANK(G2710),F2710,G2710)</f>
        <v>75116</v>
      </c>
      <c r="J2710" s="9">
        <f>IFERROR(__xludf.DUMMYFUNCTION("SPLIT(I2710,""-"")"),75116.0)</f>
        <v>75116</v>
      </c>
    </row>
    <row r="2711">
      <c r="A2711" s="10" t="s">
        <v>2466</v>
      </c>
      <c r="B2711" s="11">
        <v>500.0</v>
      </c>
      <c r="C2711" s="12" t="s">
        <v>1151</v>
      </c>
      <c r="E2711" s="8" t="str">
        <f>IFERROR(__xludf.DUMMYFUNCTION("SPLIT(A2711,""TX"")"),"Russell Glenn Company
1722 Routh St
Dallas, ")</f>
        <v>Russell Glenn Company
1722 Routh St
Dallas, </v>
      </c>
      <c r="F2711" s="8">
        <f>IFERROR(__xludf.DUMMYFUNCTION("""COMPUTED_VALUE"""),75201.0)</f>
        <v>75201</v>
      </c>
      <c r="I2711" s="8">
        <f t="shared" si="28"/>
        <v>75201</v>
      </c>
      <c r="J2711" s="9">
        <f>IFERROR(__xludf.DUMMYFUNCTION("SPLIT(I2711,""-"")"),75201.0)</f>
        <v>75201</v>
      </c>
    </row>
    <row r="2712">
      <c r="A2712" s="10" t="s">
        <v>2467</v>
      </c>
      <c r="B2712" s="11">
        <v>1000.0</v>
      </c>
      <c r="C2712" s="12" t="s">
        <v>1151</v>
      </c>
      <c r="E2712" s="8" t="str">
        <f>IFERROR(__xludf.DUMMYFUNCTION("SPLIT(A2712,""TX"")"),"Levis Consulting Group LLC
600 Six Flags Dr
Arlington, ")</f>
        <v>Levis Consulting Group LLC
600 Six Flags Dr
Arlington, </v>
      </c>
      <c r="F2712" s="8">
        <f>IFERROR(__xludf.DUMMYFUNCTION("""COMPUTED_VALUE"""),76011.0)</f>
        <v>76011</v>
      </c>
      <c r="I2712" s="8">
        <f t="shared" si="28"/>
        <v>76011</v>
      </c>
      <c r="J2712" s="9">
        <f>IFERROR(__xludf.DUMMYFUNCTION("SPLIT(I2712,""-"")"),76011.0)</f>
        <v>76011</v>
      </c>
    </row>
    <row r="2713">
      <c r="A2713" s="10" t="s">
        <v>2468</v>
      </c>
      <c r="B2713" s="11">
        <v>100.0</v>
      </c>
      <c r="C2713" s="12" t="s">
        <v>1151</v>
      </c>
      <c r="E2713" s="8" t="str">
        <f>IFERROR(__xludf.DUMMYFUNCTION("SPLIT(A2713,""TX"")"),"Hixson, Chuck
1030 Harvest Hill
Prosper, ")</f>
        <v>Hixson, Chuck
1030 Harvest Hill
Prosper, </v>
      </c>
      <c r="F2713" s="8">
        <f>IFERROR(__xludf.DUMMYFUNCTION("""COMPUTED_VALUE"""),75078.0)</f>
        <v>75078</v>
      </c>
      <c r="I2713" s="8">
        <f t="shared" si="28"/>
        <v>75078</v>
      </c>
      <c r="J2713" s="9">
        <f>IFERROR(__xludf.DUMMYFUNCTION("SPLIT(I2713,""-"")"),75078.0)</f>
        <v>75078</v>
      </c>
    </row>
    <row r="2714">
      <c r="A2714" s="10" t="s">
        <v>2469</v>
      </c>
      <c r="B2714" s="11">
        <v>1000.0</v>
      </c>
      <c r="C2714" s="12" t="s">
        <v>1151</v>
      </c>
      <c r="E2714" s="8" t="str">
        <f>IFERROR(__xludf.DUMMYFUNCTION("SPLIT(A2714,""TX"")"),"Okon, Steven
5844 Preston Haven Dr
Dallas, ")</f>
        <v>Okon, Steven
5844 Preston Haven Dr
Dallas, </v>
      </c>
      <c r="F2714" s="8">
        <f>IFERROR(__xludf.DUMMYFUNCTION("""COMPUTED_VALUE"""),75230.0)</f>
        <v>75230</v>
      </c>
      <c r="I2714" s="8">
        <f t="shared" si="28"/>
        <v>75230</v>
      </c>
      <c r="J2714" s="9">
        <f>IFERROR(__xludf.DUMMYFUNCTION("SPLIT(I2714,""-"")"),75230.0)</f>
        <v>75230</v>
      </c>
    </row>
    <row r="2715">
      <c r="A2715" s="10" t="s">
        <v>2470</v>
      </c>
      <c r="B2715" s="11">
        <v>1000.0</v>
      </c>
      <c r="C2715" s="12" t="s">
        <v>1151</v>
      </c>
      <c r="E2715" s="8" t="str">
        <f>IFERROR(__xludf.DUMMYFUNCTION("SPLIT(A2715,""TX"")"),"Beth Freundlich ")</f>
        <v>Beth Freundlich </v>
      </c>
      <c r="F2715" s="8" t="str">
        <f>IFERROR(__xludf.DUMMYFUNCTION("""COMPUTED_VALUE"""),"rustee
4283 NW 64th St
Boca Raton, FL 33496")</f>
        <v>rustee
4283 NW 64th St
Boca Raton, FL 33496</v>
      </c>
      <c r="J2715" s="9" t="str">
        <f>IFERROR(__xludf.DUMMYFUNCTION("SPLIT(I2715,""-"")"),"#VALUE!")</f>
        <v>#VALUE!</v>
      </c>
    </row>
    <row r="2716">
      <c r="A2716" s="10" t="s">
        <v>1874</v>
      </c>
      <c r="B2716" s="11">
        <v>1000.0</v>
      </c>
      <c r="C2716" s="12" t="s">
        <v>1151</v>
      </c>
      <c r="E2716" s="8" t="str">
        <f>IFERROR(__xludf.DUMMYFUNCTION("SPLIT(A2716,""TX"")"),"Hunt, Ray
1900 North Akard St
Dallas, ")</f>
        <v>Hunt, Ray
1900 North Akard St
Dallas, </v>
      </c>
      <c r="F2716" s="8">
        <f>IFERROR(__xludf.DUMMYFUNCTION("""COMPUTED_VALUE"""),75201.0)</f>
        <v>75201</v>
      </c>
      <c r="I2716" s="8">
        <f t="shared" ref="I2716:I2744" si="29">IF(ISBLANK(G2716),F2716,G2716)</f>
        <v>75201</v>
      </c>
      <c r="J2716" s="9">
        <f>IFERROR(__xludf.DUMMYFUNCTION("SPLIT(I2716,""-"")"),75201.0)</f>
        <v>75201</v>
      </c>
    </row>
    <row r="2717">
      <c r="A2717" s="10" t="s">
        <v>2471</v>
      </c>
      <c r="B2717" s="11">
        <v>250.0</v>
      </c>
      <c r="C2717" s="12" t="s">
        <v>1151</v>
      </c>
      <c r="E2717" s="8" t="str">
        <f>IFERROR(__xludf.DUMMYFUNCTION("SPLIT(A2717,""TX"")"),"MARGOLIN, FRED
2828 HOOD S")</f>
        <v>MARGOLIN, FRED
2828 HOOD S</v>
      </c>
      <c r="F2717" s="8" t="str">
        <f>IFERROR(__xludf.DUMMYFUNCTION("""COMPUTED_VALUE"""),"
DALLAS, ")</f>
        <v>
DALLAS, </v>
      </c>
      <c r="G2717" s="8">
        <f>IFERROR(__xludf.DUMMYFUNCTION("""COMPUTED_VALUE"""),75219.0)</f>
        <v>75219</v>
      </c>
      <c r="I2717" s="8">
        <f t="shared" si="29"/>
        <v>75219</v>
      </c>
      <c r="J2717" s="9">
        <f>IFERROR(__xludf.DUMMYFUNCTION("SPLIT(I2717,""-"")"),75219.0)</f>
        <v>75219</v>
      </c>
    </row>
    <row r="2718">
      <c r="A2718" s="10" t="s">
        <v>2472</v>
      </c>
      <c r="B2718" s="11">
        <v>300.0</v>
      </c>
      <c r="C2718" s="12" t="s">
        <v>1238</v>
      </c>
      <c r="E2718" s="8" t="str">
        <f>IFERROR(__xludf.DUMMYFUNCTION("SPLIT(A2718,""TX"")"),"Clardy, Karen
9314 Bill Browne Lane
Dallas, ")</f>
        <v>Clardy, Karen
9314 Bill Browne Lane
Dallas, </v>
      </c>
      <c r="F2718" s="8">
        <f>IFERROR(__xludf.DUMMYFUNCTION("""COMPUTED_VALUE"""),75243.0)</f>
        <v>75243</v>
      </c>
      <c r="I2718" s="8">
        <f t="shared" si="29"/>
        <v>75243</v>
      </c>
      <c r="J2718" s="9">
        <f>IFERROR(__xludf.DUMMYFUNCTION("SPLIT(I2718,""-"")"),75243.0)</f>
        <v>75243</v>
      </c>
    </row>
    <row r="2719">
      <c r="A2719" s="5" t="s">
        <v>2473</v>
      </c>
      <c r="B2719" s="6">
        <v>1000.0</v>
      </c>
      <c r="C2719" s="7" t="s">
        <v>1238</v>
      </c>
      <c r="E2719" s="8" t="str">
        <f>IFERROR(__xludf.DUMMYFUNCTION("SPLIT(A2719,""TX"")"),"Housewright, ")</f>
        <v>Housewright, </v>
      </c>
      <c r="F2719" s="8" t="str">
        <f>IFERROR(__xludf.DUMMYFUNCTION("""COMPUTED_VALUE"""),"ipton
10102 Candlebrook Dr.
Dallas, ")</f>
        <v>ipton
10102 Candlebrook Dr.
Dallas, </v>
      </c>
      <c r="G2719" s="8">
        <f>IFERROR(__xludf.DUMMYFUNCTION("""COMPUTED_VALUE"""),75243.0)</f>
        <v>75243</v>
      </c>
      <c r="I2719" s="8">
        <f t="shared" si="29"/>
        <v>75243</v>
      </c>
      <c r="J2719" s="9">
        <f>IFERROR(__xludf.DUMMYFUNCTION("SPLIT(I2719,""-"")"),75243.0)</f>
        <v>75243</v>
      </c>
    </row>
    <row r="2720">
      <c r="A2720" s="10" t="s">
        <v>2474</v>
      </c>
      <c r="B2720" s="11">
        <v>1000.0</v>
      </c>
      <c r="C2720" s="12" t="s">
        <v>1238</v>
      </c>
      <c r="E2720" s="8" t="str">
        <f>IFERROR(__xludf.DUMMYFUNCTION("SPLIT(A2720,""TX"")"),"Stewart, Robb
9509 Shady Valley Dr.
Dallas, ")</f>
        <v>Stewart, Robb
9509 Shady Valley Dr.
Dallas, </v>
      </c>
      <c r="F2720" s="8">
        <f>IFERROR(__xludf.DUMMYFUNCTION("""COMPUTED_VALUE"""),75238.0)</f>
        <v>75238</v>
      </c>
      <c r="I2720" s="8">
        <f t="shared" si="29"/>
        <v>75238</v>
      </c>
      <c r="J2720" s="9">
        <f>IFERROR(__xludf.DUMMYFUNCTION("SPLIT(I2720,""-"")"),75238.0)</f>
        <v>75238</v>
      </c>
    </row>
    <row r="2721">
      <c r="A2721" s="5" t="s">
        <v>2475</v>
      </c>
      <c r="B2721" s="6">
        <v>500.0</v>
      </c>
      <c r="C2721" s="7" t="s">
        <v>1238</v>
      </c>
      <c r="E2721" s="8" t="str">
        <f>IFERROR(__xludf.DUMMYFUNCTION("SPLIT(A2721,""TX"")"),"Mellinger, Jill
9210 Westview Cr
Dallas, ")</f>
        <v>Mellinger, Jill
9210 Westview Cr
Dallas, </v>
      </c>
      <c r="F2721" s="8">
        <f>IFERROR(__xludf.DUMMYFUNCTION("""COMPUTED_VALUE"""),75231.0)</f>
        <v>75231</v>
      </c>
      <c r="I2721" s="8">
        <f t="shared" si="29"/>
        <v>75231</v>
      </c>
      <c r="J2721" s="9">
        <f>IFERROR(__xludf.DUMMYFUNCTION("SPLIT(I2721,""-"")"),75231.0)</f>
        <v>75231</v>
      </c>
    </row>
    <row r="2722">
      <c r="A2722" s="10" t="s">
        <v>2476</v>
      </c>
      <c r="B2722" s="11">
        <v>250.0</v>
      </c>
      <c r="C2722" s="12" t="s">
        <v>1238</v>
      </c>
      <c r="E2722" s="8" t="str">
        <f>IFERROR(__xludf.DUMMYFUNCTION("SPLIT(A2722,""TX"")"),"Rabe, Doug
77 Eagle ")</f>
        <v>Rabe, Doug
77 Eagle </v>
      </c>
      <c r="F2722" s="8" t="str">
        <f>IFERROR(__xludf.DUMMYFUNCTION("""COMPUTED_VALUE"""),"rail
Dallas, ")</f>
        <v>rail
Dallas, </v>
      </c>
      <c r="G2722" s="8">
        <f>IFERROR(__xludf.DUMMYFUNCTION("""COMPUTED_VALUE"""),75238.0)</f>
        <v>75238</v>
      </c>
      <c r="I2722" s="8">
        <f t="shared" si="29"/>
        <v>75238</v>
      </c>
      <c r="J2722" s="9">
        <f>IFERROR(__xludf.DUMMYFUNCTION("SPLIT(I2722,""-"")"),75238.0)</f>
        <v>75238</v>
      </c>
    </row>
    <row r="2723">
      <c r="A2723" s="5" t="s">
        <v>2477</v>
      </c>
      <c r="B2723" s="6">
        <v>1000.0</v>
      </c>
      <c r="C2723" s="7" t="s">
        <v>1238</v>
      </c>
      <c r="E2723" s="8" t="str">
        <f>IFERROR(__xludf.DUMMYFUNCTION("SPLIT(A2723,""TX"")"),"Bell, Mitchell
3362 Blackburn St.
Dallas, ")</f>
        <v>Bell, Mitchell
3362 Blackburn St.
Dallas, </v>
      </c>
      <c r="F2723" s="8">
        <f>IFERROR(__xludf.DUMMYFUNCTION("""COMPUTED_VALUE"""),75204.0)</f>
        <v>75204</v>
      </c>
      <c r="I2723" s="8">
        <f t="shared" si="29"/>
        <v>75204</v>
      </c>
      <c r="J2723" s="9">
        <f>IFERROR(__xludf.DUMMYFUNCTION("SPLIT(I2723,""-"")"),75204.0)</f>
        <v>75204</v>
      </c>
    </row>
    <row r="2724">
      <c r="A2724" s="10" t="s">
        <v>2478</v>
      </c>
      <c r="B2724" s="11">
        <v>100.0</v>
      </c>
      <c r="C2724" s="12" t="s">
        <v>1238</v>
      </c>
      <c r="E2724" s="8" t="str">
        <f>IFERROR(__xludf.DUMMYFUNCTION("SPLIT(A2724,""TX"")"),"Bell, Celia
8804 Mariscal Canyon Dr.
Austin, ")</f>
        <v>Bell, Celia
8804 Mariscal Canyon Dr.
Austin, </v>
      </c>
      <c r="F2724" s="8">
        <f>IFERROR(__xludf.DUMMYFUNCTION("""COMPUTED_VALUE"""),78759.0)</f>
        <v>78759</v>
      </c>
      <c r="I2724" s="8">
        <f t="shared" si="29"/>
        <v>78759</v>
      </c>
      <c r="J2724" s="9">
        <f>IFERROR(__xludf.DUMMYFUNCTION("SPLIT(I2724,""-"")"),78759.0)</f>
        <v>78759</v>
      </c>
    </row>
    <row r="2725">
      <c r="A2725" s="5" t="s">
        <v>2479</v>
      </c>
      <c r="B2725" s="6">
        <v>400.0</v>
      </c>
      <c r="C2725" s="7" t="s">
        <v>1238</v>
      </c>
      <c r="E2725" s="8" t="str">
        <f>IFERROR(__xludf.DUMMYFUNCTION("SPLIT(A2725,""TX"")"),"Connell, Fran
9736 Broken Bow
Dallas, ")</f>
        <v>Connell, Fran
9736 Broken Bow
Dallas, </v>
      </c>
      <c r="F2725" s="8">
        <f>IFERROR(__xludf.DUMMYFUNCTION("""COMPUTED_VALUE"""),75238.0)</f>
        <v>75238</v>
      </c>
      <c r="I2725" s="8">
        <f t="shared" si="29"/>
        <v>75238</v>
      </c>
      <c r="J2725" s="9">
        <f>IFERROR(__xludf.DUMMYFUNCTION("SPLIT(I2725,""-"")"),75238.0)</f>
        <v>75238</v>
      </c>
    </row>
    <row r="2726">
      <c r="A2726" s="10" t="s">
        <v>2480</v>
      </c>
      <c r="B2726" s="11">
        <v>100.0</v>
      </c>
      <c r="C2726" s="12" t="s">
        <v>1238</v>
      </c>
      <c r="E2726" s="8" t="str">
        <f>IFERROR(__xludf.DUMMYFUNCTION("SPLIT(A2726,""TX"")"),"hompson, Alyson
12323 Creekspan
Dallas, ")</f>
        <v>hompson, Alyson
12323 Creekspan
Dallas, </v>
      </c>
      <c r="F2726" s="8">
        <f>IFERROR(__xludf.DUMMYFUNCTION("""COMPUTED_VALUE"""),75243.0)</f>
        <v>75243</v>
      </c>
      <c r="I2726" s="8">
        <f t="shared" si="29"/>
        <v>75243</v>
      </c>
      <c r="J2726" s="9">
        <f>IFERROR(__xludf.DUMMYFUNCTION("SPLIT(I2726,""-"")"),75243.0)</f>
        <v>75243</v>
      </c>
    </row>
    <row r="2727">
      <c r="A2727" s="5" t="s">
        <v>2443</v>
      </c>
      <c r="B2727" s="6">
        <v>250.0</v>
      </c>
      <c r="C2727" s="7" t="s">
        <v>1238</v>
      </c>
      <c r="E2727" s="8" t="str">
        <f>IFERROR(__xludf.DUMMYFUNCTION("SPLIT(A2727,""TX"")"),"Rabe, Nancy
7746 Eagle ")</f>
        <v>Rabe, Nancy
7746 Eagle </v>
      </c>
      <c r="F2727" s="8" t="str">
        <f>IFERROR(__xludf.DUMMYFUNCTION("""COMPUTED_VALUE"""),"rail
Dallas, ")</f>
        <v>rail
Dallas, </v>
      </c>
      <c r="G2727" s="8">
        <f>IFERROR(__xludf.DUMMYFUNCTION("""COMPUTED_VALUE"""),75238.0)</f>
        <v>75238</v>
      </c>
      <c r="I2727" s="8">
        <f t="shared" si="29"/>
        <v>75238</v>
      </c>
      <c r="J2727" s="9">
        <f>IFERROR(__xludf.DUMMYFUNCTION("SPLIT(I2727,""-"")"),75238.0)</f>
        <v>75238</v>
      </c>
    </row>
    <row r="2728">
      <c r="A2728" s="10" t="s">
        <v>2481</v>
      </c>
      <c r="B2728" s="11">
        <v>5000.0</v>
      </c>
      <c r="C2728" s="12" t="s">
        <v>1065</v>
      </c>
      <c r="E2728" s="8" t="str">
        <f>IFERROR(__xludf.DUMMYFUNCTION("SPLIT(A2728,""TX"")"),"Hunt, Clark
5956 Sherry Lane
Dallas, ")</f>
        <v>Hunt, Clark
5956 Sherry Lane
Dallas, </v>
      </c>
      <c r="F2728" s="8">
        <f>IFERROR(__xludf.DUMMYFUNCTION("""COMPUTED_VALUE"""),75225.0)</f>
        <v>75225</v>
      </c>
      <c r="I2728" s="8">
        <f t="shared" si="29"/>
        <v>75225</v>
      </c>
      <c r="J2728" s="9">
        <f>IFERROR(__xludf.DUMMYFUNCTION("SPLIT(I2728,""-"")"),75225.0)</f>
        <v>75225</v>
      </c>
    </row>
    <row r="2729">
      <c r="A2729" s="5" t="s">
        <v>2482</v>
      </c>
      <c r="B2729" s="6">
        <v>5000.0</v>
      </c>
      <c r="C2729" s="7" t="s">
        <v>1065</v>
      </c>
      <c r="E2729" s="8" t="str">
        <f>IFERROR(__xludf.DUMMYFUNCTION("SPLIT(A2729,""TX"")"),"McIntyre, William
4815 Shadywood Lane
Dallas, ")</f>
        <v>McIntyre, William
4815 Shadywood Lane
Dallas, </v>
      </c>
      <c r="F2729" s="8">
        <f>IFERROR(__xludf.DUMMYFUNCTION("""COMPUTED_VALUE"""),75209.0)</f>
        <v>75209</v>
      </c>
      <c r="I2729" s="8">
        <f t="shared" si="29"/>
        <v>75209</v>
      </c>
      <c r="J2729" s="9">
        <f>IFERROR(__xludf.DUMMYFUNCTION("SPLIT(I2729,""-"")"),75209.0)</f>
        <v>75209</v>
      </c>
    </row>
    <row r="2730">
      <c r="A2730" s="10" t="s">
        <v>2483</v>
      </c>
      <c r="B2730" s="11">
        <v>2500.0</v>
      </c>
      <c r="C2730" s="12" t="s">
        <v>1065</v>
      </c>
      <c r="E2730" s="8" t="str">
        <f>IFERROR(__xludf.DUMMYFUNCTION("SPLIT(A2730,""TX"")"),"Adams, John
4011 Miramar Avenue
Dallas, ")</f>
        <v>Adams, John
4011 Miramar Avenue
Dallas, </v>
      </c>
      <c r="F2730" s="8">
        <f>IFERROR(__xludf.DUMMYFUNCTION("""COMPUTED_VALUE"""),75205.0)</f>
        <v>75205</v>
      </c>
      <c r="I2730" s="8">
        <f t="shared" si="29"/>
        <v>75205</v>
      </c>
      <c r="J2730" s="9">
        <f>IFERROR(__xludf.DUMMYFUNCTION("SPLIT(I2730,""-"")"),75205.0)</f>
        <v>75205</v>
      </c>
    </row>
    <row r="2731">
      <c r="A2731" s="5" t="s">
        <v>2484</v>
      </c>
      <c r="B2731" s="6">
        <v>2500.0</v>
      </c>
      <c r="C2731" s="7" t="s">
        <v>1065</v>
      </c>
      <c r="E2731" s="8" t="str">
        <f>IFERROR(__xludf.DUMMYFUNCTION("SPLIT(A2731,""TX"")"),"Barnett, Billy Bob
310 Calvary Dr
Euless, ")</f>
        <v>Barnett, Billy Bob
310 Calvary Dr
Euless, </v>
      </c>
      <c r="F2731" s="8">
        <f>IFERROR(__xludf.DUMMYFUNCTION("""COMPUTED_VALUE"""),76040.0)</f>
        <v>76040</v>
      </c>
      <c r="I2731" s="8">
        <f t="shared" si="29"/>
        <v>76040</v>
      </c>
      <c r="J2731" s="9">
        <f>IFERROR(__xludf.DUMMYFUNCTION("SPLIT(I2731,""-"")"),76040.0)</f>
        <v>76040</v>
      </c>
    </row>
    <row r="2732">
      <c r="A2732" s="10" t="s">
        <v>2485</v>
      </c>
      <c r="B2732" s="11">
        <v>500.0</v>
      </c>
      <c r="C2732" s="12" t="s">
        <v>1065</v>
      </c>
      <c r="E2732" s="8" t="str">
        <f>IFERROR(__xludf.DUMMYFUNCTION("SPLIT(A2732,""TX"")"),"Cook, Robby
PO Box 716
Eagle Lake, ")</f>
        <v>Cook, Robby
PO Box 716
Eagle Lake, </v>
      </c>
      <c r="F2732" s="8">
        <f>IFERROR(__xludf.DUMMYFUNCTION("""COMPUTED_VALUE"""),77434.0)</f>
        <v>77434</v>
      </c>
      <c r="I2732" s="8">
        <f t="shared" si="29"/>
        <v>77434</v>
      </c>
      <c r="J2732" s="9">
        <f>IFERROR(__xludf.DUMMYFUNCTION("SPLIT(I2732,""-"")"),77434.0)</f>
        <v>77434</v>
      </c>
    </row>
    <row r="2733">
      <c r="A2733" s="5" t="s">
        <v>2486</v>
      </c>
      <c r="B2733" s="6">
        <v>2500.0</v>
      </c>
      <c r="C2733" s="7" t="s">
        <v>1065</v>
      </c>
      <c r="E2733" s="8" t="str">
        <f>IFERROR(__xludf.DUMMYFUNCTION("SPLIT(A2733,""TX"")"),"Glendenning, Don
2200 Ross Ave
Dallas, ")</f>
        <v>Glendenning, Don
2200 Ross Ave
Dallas, </v>
      </c>
      <c r="F2733" s="8">
        <f>IFERROR(__xludf.DUMMYFUNCTION("""COMPUTED_VALUE"""),75201.0)</f>
        <v>75201</v>
      </c>
      <c r="I2733" s="8">
        <f t="shared" si="29"/>
        <v>75201</v>
      </c>
      <c r="J2733" s="9">
        <f>IFERROR(__xludf.DUMMYFUNCTION("SPLIT(I2733,""-"")"),75201.0)</f>
        <v>75201</v>
      </c>
    </row>
    <row r="2734">
      <c r="A2734" s="10" t="s">
        <v>2487</v>
      </c>
      <c r="B2734" s="11">
        <v>5000.0</v>
      </c>
      <c r="C2734" s="12" t="s">
        <v>1065</v>
      </c>
      <c r="E2734" s="8" t="str">
        <f>IFERROR(__xludf.DUMMYFUNCTION("SPLIT(A2734,""TX"")"),"McAtee, David
6824 Lupton Drive
Dallas, ")</f>
        <v>McAtee, David
6824 Lupton Drive
Dallas, </v>
      </c>
      <c r="F2734" s="8">
        <f>IFERROR(__xludf.DUMMYFUNCTION("""COMPUTED_VALUE"""),75225.0)</f>
        <v>75225</v>
      </c>
      <c r="I2734" s="8">
        <f t="shared" si="29"/>
        <v>75225</v>
      </c>
      <c r="J2734" s="9">
        <f>IFERROR(__xludf.DUMMYFUNCTION("SPLIT(I2734,""-"")"),75225.0)</f>
        <v>75225</v>
      </c>
    </row>
    <row r="2735">
      <c r="A2735" s="5" t="s">
        <v>2488</v>
      </c>
      <c r="B2735" s="6">
        <v>5000.0</v>
      </c>
      <c r="C2735" s="7" t="s">
        <v>1065</v>
      </c>
      <c r="E2735" s="8" t="str">
        <f>IFERROR(__xludf.DUMMYFUNCTION("SPLIT(A2735,""TX"")"),"McDade, Jim
10956 Audelia Rd
Dallas, ")</f>
        <v>McDade, Jim
10956 Audelia Rd
Dallas, </v>
      </c>
      <c r="F2735" s="8">
        <f>IFERROR(__xludf.DUMMYFUNCTION("""COMPUTED_VALUE"""),75243.0)</f>
        <v>75243</v>
      </c>
      <c r="I2735" s="8">
        <f t="shared" si="29"/>
        <v>75243</v>
      </c>
      <c r="J2735" s="9">
        <f>IFERROR(__xludf.DUMMYFUNCTION("SPLIT(I2735,""-"")"),75243.0)</f>
        <v>75243</v>
      </c>
    </row>
    <row r="2736">
      <c r="A2736" s="10" t="s">
        <v>2489</v>
      </c>
      <c r="B2736" s="11">
        <v>1000.0</v>
      </c>
      <c r="C2736" s="12" t="s">
        <v>1065</v>
      </c>
      <c r="E2736" s="8" t="str">
        <f>IFERROR(__xludf.DUMMYFUNCTION("SPLIT(A2736,""TX"")"),"Mihalopoulos, Frank
4645 N Central Exp
Dallas, ")</f>
        <v>Mihalopoulos, Frank
4645 N Central Exp
Dallas, </v>
      </c>
      <c r="F2736" s="8">
        <f>IFERROR(__xludf.DUMMYFUNCTION("""COMPUTED_VALUE"""),75205.0)</f>
        <v>75205</v>
      </c>
      <c r="I2736" s="8">
        <f t="shared" si="29"/>
        <v>75205</v>
      </c>
      <c r="J2736" s="9">
        <f>IFERROR(__xludf.DUMMYFUNCTION("SPLIT(I2736,""-"")"),75205.0)</f>
        <v>75205</v>
      </c>
    </row>
    <row r="2737">
      <c r="A2737" s="5" t="s">
        <v>2490</v>
      </c>
      <c r="B2737" s="6">
        <v>10000.0</v>
      </c>
      <c r="C2737" s="7" t="s">
        <v>1065</v>
      </c>
      <c r="E2737" s="8" t="str">
        <f>IFERROR(__xludf.DUMMYFUNCTION("SPLIT(A2737,""TX"")"),"Nash, Susan and Ron
3505 ")</f>
        <v>Nash, Susan and Ron
3505 </v>
      </c>
      <c r="F2737" s="8" t="str">
        <f>IFERROR(__xludf.DUMMYFUNCTION("""COMPUTED_VALUE"""),"urtle Creek Blvd
Dallas, ")</f>
        <v>urtle Creek Blvd
Dallas, </v>
      </c>
      <c r="G2737" s="8">
        <f>IFERROR(__xludf.DUMMYFUNCTION("""COMPUTED_VALUE"""),75219.0)</f>
        <v>75219</v>
      </c>
      <c r="I2737" s="8">
        <f t="shared" si="29"/>
        <v>75219</v>
      </c>
      <c r="J2737" s="9">
        <f>IFERROR(__xludf.DUMMYFUNCTION("SPLIT(I2737,""-"")"),75219.0)</f>
        <v>75219</v>
      </c>
    </row>
    <row r="2738">
      <c r="A2738" s="10" t="s">
        <v>2491</v>
      </c>
      <c r="B2738" s="11">
        <v>750.0</v>
      </c>
      <c r="C2738" s="12" t="s">
        <v>1065</v>
      </c>
      <c r="E2738" s="8" t="str">
        <f>IFERROR(__xludf.DUMMYFUNCTION("SPLIT(A2738,""TX"")"),"Pitts, John
3652 Chevy Chase
Houston, ")</f>
        <v>Pitts, John
3652 Chevy Chase
Houston, </v>
      </c>
      <c r="F2738" s="8">
        <f>IFERROR(__xludf.DUMMYFUNCTION("""COMPUTED_VALUE"""),77019.0)</f>
        <v>77019</v>
      </c>
      <c r="I2738" s="8">
        <f t="shared" si="29"/>
        <v>77019</v>
      </c>
      <c r="J2738" s="9">
        <f>IFERROR(__xludf.DUMMYFUNCTION("SPLIT(I2738,""-"")"),77019.0)</f>
        <v>77019</v>
      </c>
    </row>
    <row r="2739">
      <c r="A2739" s="5" t="s">
        <v>2492</v>
      </c>
      <c r="B2739" s="6">
        <v>2500.0</v>
      </c>
      <c r="C2739" s="7" t="s">
        <v>1065</v>
      </c>
      <c r="E2739" s="8" t="str">
        <f>IFERROR(__xludf.DUMMYFUNCTION("SPLIT(A2739,""TX"")"),"Polumbo, C.D.
210 Lavaca St.
Austin, ")</f>
        <v>Polumbo, C.D.
210 Lavaca St.
Austin, </v>
      </c>
      <c r="F2739" s="8">
        <f>IFERROR(__xludf.DUMMYFUNCTION("""COMPUTED_VALUE"""),78701.0)</f>
        <v>78701</v>
      </c>
      <c r="I2739" s="8">
        <f t="shared" si="29"/>
        <v>78701</v>
      </c>
      <c r="J2739" s="9">
        <f>IFERROR(__xludf.DUMMYFUNCTION("SPLIT(I2739,""-"")"),78701.0)</f>
        <v>78701</v>
      </c>
    </row>
    <row r="2740">
      <c r="A2740" s="10" t="s">
        <v>2493</v>
      </c>
      <c r="B2740" s="11">
        <v>2500.0</v>
      </c>
      <c r="C2740" s="12" t="s">
        <v>1065</v>
      </c>
      <c r="E2740" s="8" t="str">
        <f>IFERROR(__xludf.DUMMYFUNCTION("SPLIT(A2740,""TX"")"),"Rupani, Amir
19555 Preston ")</f>
        <v>Rupani, Amir
19555 Preston </v>
      </c>
      <c r="F2740" s="8" t="str">
        <f>IFERROR(__xludf.DUMMYFUNCTION("""COMPUTED_VALUE"""),"rail Dr
Dallas, ")</f>
        <v>rail Dr
Dallas, </v>
      </c>
      <c r="G2740" s="8">
        <f>IFERROR(__xludf.DUMMYFUNCTION("""COMPUTED_VALUE"""),75248.0)</f>
        <v>75248</v>
      </c>
      <c r="I2740" s="8">
        <f t="shared" si="29"/>
        <v>75248</v>
      </c>
      <c r="J2740" s="9">
        <f>IFERROR(__xludf.DUMMYFUNCTION("SPLIT(I2740,""-"")"),75248.0)</f>
        <v>75248</v>
      </c>
    </row>
    <row r="2741">
      <c r="A2741" s="5" t="s">
        <v>1517</v>
      </c>
      <c r="B2741" s="6">
        <v>2500.0</v>
      </c>
      <c r="C2741" s="7" t="s">
        <v>1065</v>
      </c>
      <c r="E2741" s="8" t="str">
        <f>IFERROR(__xludf.DUMMYFUNCTION("SPLIT(A2741,""TX"")"),"Schenkel, Pete
614 N Bishop
Dallas, ")</f>
        <v>Schenkel, Pete
614 N Bishop
Dallas, </v>
      </c>
      <c r="F2741" s="8">
        <f>IFERROR(__xludf.DUMMYFUNCTION("""COMPUTED_VALUE"""),75208.0)</f>
        <v>75208</v>
      </c>
      <c r="I2741" s="8">
        <f t="shared" si="29"/>
        <v>75208</v>
      </c>
      <c r="J2741" s="9">
        <f>IFERROR(__xludf.DUMMYFUNCTION("SPLIT(I2741,""-"")"),75208.0)</f>
        <v>75208</v>
      </c>
    </row>
    <row r="2742">
      <c r="A2742" s="10" t="s">
        <v>2494</v>
      </c>
      <c r="B2742" s="11">
        <v>500.0</v>
      </c>
      <c r="C2742" s="12" t="s">
        <v>1065</v>
      </c>
      <c r="E2742" s="8" t="str">
        <f>IFERROR(__xludf.DUMMYFUNCTION("SPLIT(A2742,""TX"")"),"Schulz, Amanda
5943 Palo Pinto Ave
Dallas, ")</f>
        <v>Schulz, Amanda
5943 Palo Pinto Ave
Dallas, </v>
      </c>
      <c r="F2742" s="8">
        <f>IFERROR(__xludf.DUMMYFUNCTION("""COMPUTED_VALUE"""),75206.0)</f>
        <v>75206</v>
      </c>
      <c r="I2742" s="8">
        <f t="shared" si="29"/>
        <v>75206</v>
      </c>
      <c r="J2742" s="9">
        <f>IFERROR(__xludf.DUMMYFUNCTION("SPLIT(I2742,""-"")"),75206.0)</f>
        <v>75206</v>
      </c>
    </row>
    <row r="2743">
      <c r="A2743" s="5" t="s">
        <v>2495</v>
      </c>
      <c r="B2743" s="6">
        <v>10000.0</v>
      </c>
      <c r="C2743" s="7" t="s">
        <v>1065</v>
      </c>
      <c r="E2743" s="8" t="str">
        <f>IFERROR(__xludf.DUMMYFUNCTION("SPLIT(A2743,""TX"")"),"Sewell, Carl &amp; Peggy
3860 W Northwest Hwy
Dallas, ")</f>
        <v>Sewell, Carl &amp; Peggy
3860 W Northwest Hwy
Dallas, </v>
      </c>
      <c r="F2743" s="8">
        <f>IFERROR(__xludf.DUMMYFUNCTION("""COMPUTED_VALUE"""),75220.0)</f>
        <v>75220</v>
      </c>
      <c r="I2743" s="8">
        <f t="shared" si="29"/>
        <v>75220</v>
      </c>
      <c r="J2743" s="9">
        <f>IFERROR(__xludf.DUMMYFUNCTION("SPLIT(I2743,""-"")"),75220.0)</f>
        <v>75220</v>
      </c>
    </row>
    <row r="2744">
      <c r="A2744" s="10" t="s">
        <v>1071</v>
      </c>
      <c r="B2744" s="11">
        <v>1500.0</v>
      </c>
      <c r="C2744" s="12" t="s">
        <v>1065</v>
      </c>
      <c r="E2744" s="8" t="str">
        <f>IFERROR(__xludf.DUMMYFUNCTION("SPLIT(A2744,""TX"")"),"White, Carlos
733 Mulberry Lane
Desoto, ")</f>
        <v>White, Carlos
733 Mulberry Lane
Desoto, </v>
      </c>
      <c r="F2744" s="8">
        <f>IFERROR(__xludf.DUMMYFUNCTION("""COMPUTED_VALUE"""),75115.0)</f>
        <v>75115</v>
      </c>
      <c r="I2744" s="8">
        <f t="shared" si="29"/>
        <v>75115</v>
      </c>
      <c r="J2744" s="9">
        <f>IFERROR(__xludf.DUMMYFUNCTION("SPLIT(I2744,""-"")"),75115.0)</f>
        <v>75115</v>
      </c>
    </row>
    <row r="2745">
      <c r="A2745" s="5" t="s">
        <v>2496</v>
      </c>
      <c r="B2745" s="6">
        <v>5000.0</v>
      </c>
      <c r="C2745" s="7" t="s">
        <v>1065</v>
      </c>
      <c r="E2745" s="8" t="str">
        <f>IFERROR(__xludf.DUMMYFUNCTION("SPLIT(A2745,""TX"")"),"A")</f>
        <v>A</v>
      </c>
      <c r="F2745" s="8" t="str">
        <f>IFERROR(__xludf.DUMMYFUNCTION("""COMPUTED_VALUE"""),"&amp;")</f>
        <v>&amp;</v>
      </c>
      <c r="G2745" s="8" t="str">
        <f>IFERROR(__xludf.DUMMYFUNCTION("""COMPUTED_VALUE""")," PAC
816 Congress Ave.
Austin, ")</f>
        <v> PAC
816 Congress Ave.
Austin, </v>
      </c>
      <c r="H2745" s="8">
        <f>IFERROR(__xludf.DUMMYFUNCTION("""COMPUTED_VALUE"""),78701.0)</f>
        <v>78701</v>
      </c>
      <c r="I2745" s="13">
        <v>787701.0</v>
      </c>
      <c r="J2745" s="9">
        <f>IFERROR(__xludf.DUMMYFUNCTION("SPLIT(I2745,""-"")"),787701.0)</f>
        <v>787701</v>
      </c>
    </row>
    <row r="2746">
      <c r="A2746" s="10" t="s">
        <v>2497</v>
      </c>
      <c r="B2746" s="11">
        <v>5000.0</v>
      </c>
      <c r="C2746" s="12" t="s">
        <v>1065</v>
      </c>
      <c r="E2746" s="8" t="str">
        <f>IFERROR(__xludf.DUMMYFUNCTION("SPLIT(A2746,""TX"")"),"Charter ")</f>
        <v>Charter </v>
      </c>
      <c r="F2746" s="8" t="str">
        <f>IFERROR(__xludf.DUMMYFUNCTION("""COMPUTED_VALUE"""),"exas PAC
1001 Congress Ave
Austin, ")</f>
        <v>exas PAC
1001 Congress Ave
Austin, </v>
      </c>
      <c r="G2746" s="8">
        <f>IFERROR(__xludf.DUMMYFUNCTION("""COMPUTED_VALUE"""),78701.0)</f>
        <v>78701</v>
      </c>
      <c r="I2746" s="8">
        <f t="shared" ref="I2746:I2765" si="30">IF(ISBLANK(G2746),F2746,G2746)</f>
        <v>78701</v>
      </c>
      <c r="J2746" s="9">
        <f>IFERROR(__xludf.DUMMYFUNCTION("SPLIT(I2746,""-"")"),78701.0)</f>
        <v>78701</v>
      </c>
    </row>
    <row r="2747">
      <c r="A2747" s="5" t="s">
        <v>2498</v>
      </c>
      <c r="B2747" s="6">
        <v>2500.0</v>
      </c>
      <c r="C2747" s="7" t="s">
        <v>1065</v>
      </c>
      <c r="E2747" s="8" t="str">
        <f>IFERROR(__xludf.DUMMYFUNCTION("SPLIT(A2747,""TX"")"),"American Airlines PAC
1200 17th Street NW
Washington, DC 20036")</f>
        <v>American Airlines PAC
1200 17th Street NW
Washington, DC 20036</v>
      </c>
      <c r="I2747" s="8" t="str">
        <f t="shared" si="30"/>
        <v/>
      </c>
      <c r="J2747" s="9" t="str">
        <f>IFERROR(__xludf.DUMMYFUNCTION("SPLIT(I2747,""-"")"),"#VALUE!")</f>
        <v>#VALUE!</v>
      </c>
    </row>
    <row r="2748">
      <c r="A2748" s="10" t="s">
        <v>2499</v>
      </c>
      <c r="B2748" s="11">
        <v>2500.0</v>
      </c>
      <c r="C2748" s="12" t="s">
        <v>1065</v>
      </c>
      <c r="E2748" s="8" t="str">
        <f>IFERROR(__xludf.DUMMYFUNCTION("SPLIT(A2748,""TX"")"),"Apartment Association of Greater Dallas
5728 LBJ Fwy.
Dallas, ")</f>
        <v>Apartment Association of Greater Dallas
5728 LBJ Fwy.
Dallas, </v>
      </c>
      <c r="F2748" s="8">
        <f>IFERROR(__xludf.DUMMYFUNCTION("""COMPUTED_VALUE"""),75240.0)</f>
        <v>75240</v>
      </c>
      <c r="I2748" s="8">
        <f t="shared" si="30"/>
        <v>75240</v>
      </c>
      <c r="J2748" s="9">
        <f>IFERROR(__xludf.DUMMYFUNCTION("SPLIT(I2748,""-"")"),75240.0)</f>
        <v>75240</v>
      </c>
    </row>
    <row r="2749">
      <c r="A2749" s="5" t="s">
        <v>2500</v>
      </c>
      <c r="B2749" s="6">
        <v>2500.0</v>
      </c>
      <c r="C2749" s="7" t="s">
        <v>1065</v>
      </c>
      <c r="E2749" s="8" t="str">
        <f>IFERROR(__xludf.DUMMYFUNCTION("SPLIT(A2749,""TX"")"),"Norton Rose Fulbright LLP ")</f>
        <v>Norton Rose Fulbright LLP </v>
      </c>
      <c r="F2749" s="8" t="str">
        <f>IFERROR(__xludf.DUMMYFUNCTION("""COMPUTED_VALUE"""),"exas Cmte
1301 McKinney
Houston, ")</f>
        <v>exas Cmte
1301 McKinney
Houston, </v>
      </c>
      <c r="G2749" s="8">
        <f>IFERROR(__xludf.DUMMYFUNCTION("""COMPUTED_VALUE"""),77010.0)</f>
        <v>77010</v>
      </c>
      <c r="I2749" s="8">
        <f t="shared" si="30"/>
        <v>77010</v>
      </c>
      <c r="J2749" s="9">
        <f>IFERROR(__xludf.DUMMYFUNCTION("SPLIT(I2749,""-"")"),77010.0)</f>
        <v>77010</v>
      </c>
    </row>
    <row r="2750">
      <c r="A2750" s="10" t="s">
        <v>2501</v>
      </c>
      <c r="B2750" s="11">
        <v>1000.0</v>
      </c>
      <c r="C2750" s="12" t="s">
        <v>1065</v>
      </c>
      <c r="E2750" s="8" t="str">
        <f>IFERROR(__xludf.DUMMYFUNCTION("SPLIT(A2750,""TX"")"),"Dallas Police Officers PAC
1412 Griffin St E
Dallas, ")</f>
        <v>Dallas Police Officers PAC
1412 Griffin St E
Dallas, </v>
      </c>
      <c r="F2750" s="8">
        <f>IFERROR(__xludf.DUMMYFUNCTION("""COMPUTED_VALUE"""),75215.0)</f>
        <v>75215</v>
      </c>
      <c r="I2750" s="8">
        <f t="shared" si="30"/>
        <v>75215</v>
      </c>
      <c r="J2750" s="9">
        <f>IFERROR(__xludf.DUMMYFUNCTION("SPLIT(I2750,""-"")"),75215.0)</f>
        <v>75215</v>
      </c>
    </row>
    <row r="2751">
      <c r="A2751" s="5" t="s">
        <v>2502</v>
      </c>
      <c r="B2751" s="6">
        <v>1000.0</v>
      </c>
      <c r="C2751" s="7" t="s">
        <v>1065</v>
      </c>
      <c r="E2751" s="8" t="str">
        <f>IFERROR(__xludf.DUMMYFUNCTION("SPLIT(A2751,""TX"")"),"Southwest Airlines CO Freedom Fund PAC
PO Box 36611
Dallas, ")</f>
        <v>Southwest Airlines CO Freedom Fund PAC
PO Box 36611
Dallas, </v>
      </c>
      <c r="F2751" s="8">
        <f>IFERROR(__xludf.DUMMYFUNCTION("""COMPUTED_VALUE"""),75235.0)</f>
        <v>75235</v>
      </c>
      <c r="I2751" s="8">
        <f t="shared" si="30"/>
        <v>75235</v>
      </c>
      <c r="J2751" s="9">
        <f>IFERROR(__xludf.DUMMYFUNCTION("SPLIT(I2751,""-"")"),75235.0)</f>
        <v>75235</v>
      </c>
    </row>
    <row r="2752">
      <c r="A2752" s="10" t="s">
        <v>2503</v>
      </c>
      <c r="B2752" s="11">
        <v>1000.0</v>
      </c>
      <c r="C2752" s="12" t="s">
        <v>1065</v>
      </c>
      <c r="E2752" s="8" t="str">
        <f>IFERROR(__xludf.DUMMYFUNCTION("SPLIT(A2752,""TX"")"),"exas Automobile Dealers Association PAC
1108 Lavaca St
Austin, ")</f>
        <v>exas Automobile Dealers Association PAC
1108 Lavaca St
Austin, </v>
      </c>
      <c r="F2752" s="8">
        <f>IFERROR(__xludf.DUMMYFUNCTION("""COMPUTED_VALUE"""),78701.0)</f>
        <v>78701</v>
      </c>
      <c r="I2752" s="8">
        <f t="shared" si="30"/>
        <v>78701</v>
      </c>
      <c r="J2752" s="9">
        <f>IFERROR(__xludf.DUMMYFUNCTION("SPLIT(I2752,""-"")"),78701.0)</f>
        <v>78701</v>
      </c>
    </row>
    <row r="2753">
      <c r="A2753" s="5" t="s">
        <v>2504</v>
      </c>
      <c r="B2753" s="6">
        <v>1000.0</v>
      </c>
      <c r="C2753" s="7" t="s">
        <v>1065</v>
      </c>
      <c r="E2753" s="8" t="str">
        <f>IFERROR(__xludf.DUMMYFUNCTION("SPLIT(A2753,""TX"")"),"WSP USA PAC
1 Penn Plaza
New York, NY 10119")</f>
        <v>WSP USA PAC
1 Penn Plaza
New York, NY 10119</v>
      </c>
      <c r="I2753" s="8" t="str">
        <f t="shared" si="30"/>
        <v/>
      </c>
      <c r="J2753" s="9" t="str">
        <f>IFERROR(__xludf.DUMMYFUNCTION("SPLIT(I2753,""-"")"),"#VALUE!")</f>
        <v>#VALUE!</v>
      </c>
    </row>
    <row r="2754">
      <c r="A2754" s="10" t="s">
        <v>2505</v>
      </c>
      <c r="B2754" s="11">
        <v>5000.0</v>
      </c>
      <c r="C2754" s="12" t="s">
        <v>1065</v>
      </c>
      <c r="E2754" s="8" t="str">
        <f>IFERROR(__xludf.DUMMYFUNCTION("SPLIT(A2754,""TX"")"),"Byrne, ")</f>
        <v>Byrne, </v>
      </c>
      <c r="F2754" s="8" t="str">
        <f>IFERROR(__xludf.DUMMYFUNCTION("""COMPUTED_VALUE"""),"im
3720 Miramar Ave
Dallas, ")</f>
        <v>im
3720 Miramar Ave
Dallas, </v>
      </c>
      <c r="G2754" s="8">
        <f>IFERROR(__xludf.DUMMYFUNCTION("""COMPUTED_VALUE"""),75205.0)</f>
        <v>75205</v>
      </c>
      <c r="I2754" s="8">
        <f t="shared" si="30"/>
        <v>75205</v>
      </c>
      <c r="J2754" s="9">
        <f>IFERROR(__xludf.DUMMYFUNCTION("SPLIT(I2754,""-"")"),75205.0)</f>
        <v>75205</v>
      </c>
    </row>
    <row r="2755">
      <c r="A2755" s="5" t="s">
        <v>1564</v>
      </c>
      <c r="B2755" s="6">
        <v>5000.0</v>
      </c>
      <c r="C2755" s="7" t="s">
        <v>1065</v>
      </c>
      <c r="E2755" s="8" t="str">
        <f>IFERROR(__xludf.DUMMYFUNCTION("SPLIT(A2755,""TX"")"),"Crow, ")</f>
        <v>Crow, </v>
      </c>
      <c r="F2755" s="8" t="str">
        <f>IFERROR(__xludf.DUMMYFUNCTION("""COMPUTED_VALUE"""),"rammell
4000 Rock Creek Dr
Dallas, ")</f>
        <v>rammell
4000 Rock Creek Dr
Dallas, </v>
      </c>
      <c r="G2755" s="8">
        <f>IFERROR(__xludf.DUMMYFUNCTION("""COMPUTED_VALUE"""),75204.0)</f>
        <v>75204</v>
      </c>
      <c r="I2755" s="8">
        <f t="shared" si="30"/>
        <v>75204</v>
      </c>
      <c r="J2755" s="9">
        <f>IFERROR(__xludf.DUMMYFUNCTION("SPLIT(I2755,""-"")"),75204.0)</f>
        <v>75204</v>
      </c>
    </row>
    <row r="2756">
      <c r="A2756" s="10" t="s">
        <v>2506</v>
      </c>
      <c r="B2756" s="11">
        <v>5000.0</v>
      </c>
      <c r="C2756" s="12" t="s">
        <v>1065</v>
      </c>
      <c r="E2756" s="8" t="str">
        <f>IFERROR(__xludf.DUMMYFUNCTION("SPLIT(A2756,""TX"")"),"Crow, Harlan
4700 Preston Rd
Dallas, ")</f>
        <v>Crow, Harlan
4700 Preston Rd
Dallas, </v>
      </c>
      <c r="F2756" s="8">
        <f>IFERROR(__xludf.DUMMYFUNCTION("""COMPUTED_VALUE"""),75205.0)</f>
        <v>75205</v>
      </c>
      <c r="I2756" s="8">
        <f t="shared" si="30"/>
        <v>75205</v>
      </c>
      <c r="J2756" s="9">
        <f>IFERROR(__xludf.DUMMYFUNCTION("SPLIT(I2756,""-"")"),75205.0)</f>
        <v>75205</v>
      </c>
    </row>
    <row r="2757">
      <c r="A2757" s="5" t="s">
        <v>2507</v>
      </c>
      <c r="B2757" s="6">
        <v>5000.0</v>
      </c>
      <c r="C2757" s="7" t="s">
        <v>1065</v>
      </c>
      <c r="E2757" s="8" t="str">
        <f>IFERROR(__xludf.DUMMYFUNCTION("SPLIT(A2757,""TX"")"),"Crow, Kathy
4700 Preston Rd
Dallas, ")</f>
        <v>Crow, Kathy
4700 Preston Rd
Dallas, </v>
      </c>
      <c r="F2757" s="8">
        <f>IFERROR(__xludf.DUMMYFUNCTION("""COMPUTED_VALUE"""),75205.0)</f>
        <v>75205</v>
      </c>
      <c r="I2757" s="8">
        <f t="shared" si="30"/>
        <v>75205</v>
      </c>
      <c r="J2757" s="9">
        <f>IFERROR(__xludf.DUMMYFUNCTION("SPLIT(I2757,""-"")"),75205.0)</f>
        <v>75205</v>
      </c>
    </row>
    <row r="2758">
      <c r="A2758" s="10" t="s">
        <v>2508</v>
      </c>
      <c r="B2758" s="11">
        <v>10000.0</v>
      </c>
      <c r="C2758" s="12" t="s">
        <v>1065</v>
      </c>
      <c r="E2758" s="8" t="str">
        <f>IFERROR(__xludf.DUMMYFUNCTION("SPLIT(A2758,""TX"")"),"Deason, Kimberly &amp; Darwin
3953 Maple Ave
Dallas, ")</f>
        <v>Deason, Kimberly &amp; Darwin
3953 Maple Ave
Dallas, </v>
      </c>
      <c r="F2758" s="8">
        <f>IFERROR(__xludf.DUMMYFUNCTION("""COMPUTED_VALUE"""),75219.0)</f>
        <v>75219</v>
      </c>
      <c r="I2758" s="8">
        <f t="shared" si="30"/>
        <v>75219</v>
      </c>
      <c r="J2758" s="9">
        <f>IFERROR(__xludf.DUMMYFUNCTION("SPLIT(I2758,""-"")"),75219.0)</f>
        <v>75219</v>
      </c>
    </row>
    <row r="2759">
      <c r="A2759" s="5" t="s">
        <v>2509</v>
      </c>
      <c r="B2759" s="6">
        <v>1000.0</v>
      </c>
      <c r="C2759" s="7" t="s">
        <v>1065</v>
      </c>
      <c r="E2759" s="8" t="str">
        <f>IFERROR(__xludf.DUMMYFUNCTION("SPLIT(A2759,""TX"")"),"Enzler, Matthew
6027 Goliad Ave
Dallas, ")</f>
        <v>Enzler, Matthew
6027 Goliad Ave
Dallas, </v>
      </c>
      <c r="F2759" s="8">
        <f>IFERROR(__xludf.DUMMYFUNCTION("""COMPUTED_VALUE"""),75206.0)</f>
        <v>75206</v>
      </c>
      <c r="I2759" s="8">
        <f t="shared" si="30"/>
        <v>75206</v>
      </c>
      <c r="J2759" s="9">
        <f>IFERROR(__xludf.DUMMYFUNCTION("SPLIT(I2759,""-"")"),75206.0)</f>
        <v>75206</v>
      </c>
    </row>
    <row r="2760">
      <c r="A2760" s="10" t="s">
        <v>2510</v>
      </c>
      <c r="B2760" s="11">
        <v>1000.0</v>
      </c>
      <c r="C2760" s="12" t="s">
        <v>1065</v>
      </c>
      <c r="E2760" s="8" t="str">
        <f>IFERROR(__xludf.DUMMYFUNCTION("SPLIT(A2760,""TX"")"),"Farmer, Curt
6307 Prestonshire Lane
Dallas, ")</f>
        <v>Farmer, Curt
6307 Prestonshire Lane
Dallas, </v>
      </c>
      <c r="F2760" s="8">
        <f>IFERROR(__xludf.DUMMYFUNCTION("""COMPUTED_VALUE"""),75225.0)</f>
        <v>75225</v>
      </c>
      <c r="I2760" s="8">
        <f t="shared" si="30"/>
        <v>75225</v>
      </c>
      <c r="J2760" s="9">
        <f>IFERROR(__xludf.DUMMYFUNCTION("SPLIT(I2760,""-"")"),75225.0)</f>
        <v>75225</v>
      </c>
    </row>
    <row r="2761">
      <c r="A2761" s="5" t="s">
        <v>2511</v>
      </c>
      <c r="B2761" s="6">
        <v>1000.0</v>
      </c>
      <c r="C2761" s="7" t="s">
        <v>1065</v>
      </c>
      <c r="E2761" s="8" t="str">
        <f>IFERROR(__xludf.DUMMYFUNCTION("SPLIT(A2761,""TX"")"),"Fertitta, ")</f>
        <v>Fertitta, </v>
      </c>
      <c r="F2761" s="8" t="str">
        <f>IFERROR(__xludf.DUMMYFUNCTION("""COMPUTED_VALUE"""),"ilman
1510 West Loop South
Houston, ")</f>
        <v>ilman
1510 West Loop South
Houston, </v>
      </c>
      <c r="G2761" s="8">
        <f>IFERROR(__xludf.DUMMYFUNCTION("""COMPUTED_VALUE"""),77027.0)</f>
        <v>77027</v>
      </c>
      <c r="I2761" s="8">
        <f t="shared" si="30"/>
        <v>77027</v>
      </c>
      <c r="J2761" s="9">
        <f>IFERROR(__xludf.DUMMYFUNCTION("SPLIT(I2761,""-"")"),77027.0)</f>
        <v>77027</v>
      </c>
    </row>
    <row r="2762">
      <c r="A2762" s="10" t="s">
        <v>2512</v>
      </c>
      <c r="B2762" s="11">
        <v>5000.0</v>
      </c>
      <c r="C2762" s="12" t="s">
        <v>1065</v>
      </c>
      <c r="E2762" s="8" t="str">
        <f>IFERROR(__xludf.DUMMYFUNCTION("SPLIT(A2762,""TX"")"),"Hunt, Ray
1900 N Akard St
Dallas, ")</f>
        <v>Hunt, Ray
1900 N Akard St
Dallas, </v>
      </c>
      <c r="F2762" s="8">
        <f>IFERROR(__xludf.DUMMYFUNCTION("""COMPUTED_VALUE"""),75201.0)</f>
        <v>75201</v>
      </c>
      <c r="I2762" s="8">
        <f t="shared" si="30"/>
        <v>75201</v>
      </c>
      <c r="J2762" s="9">
        <f>IFERROR(__xludf.DUMMYFUNCTION("SPLIT(I2762,""-"")"),75201.0)</f>
        <v>75201</v>
      </c>
    </row>
    <row r="2763">
      <c r="A2763" s="5" t="s">
        <v>2513</v>
      </c>
      <c r="B2763" s="6">
        <v>5000.0</v>
      </c>
      <c r="C2763" s="7" t="s">
        <v>1065</v>
      </c>
      <c r="E2763" s="8" t="str">
        <f>IFERROR(__xludf.DUMMYFUNCTION("SPLIT(A2763,""TX"")"),"Hunt, Hunter
1900 N Akard St
Dallas, ")</f>
        <v>Hunt, Hunter
1900 N Akard St
Dallas, </v>
      </c>
      <c r="F2763" s="8">
        <f>IFERROR(__xludf.DUMMYFUNCTION("""COMPUTED_VALUE"""),75201.0)</f>
        <v>75201</v>
      </c>
      <c r="I2763" s="8">
        <f t="shared" si="30"/>
        <v>75201</v>
      </c>
      <c r="J2763" s="9">
        <f>IFERROR(__xludf.DUMMYFUNCTION("SPLIT(I2763,""-"")"),75201.0)</f>
        <v>75201</v>
      </c>
    </row>
    <row r="2764">
      <c r="A2764" s="10" t="s">
        <v>2514</v>
      </c>
      <c r="B2764" s="11">
        <v>5000.0</v>
      </c>
      <c r="C2764" s="12" t="s">
        <v>1065</v>
      </c>
      <c r="E2764" s="8" t="str">
        <f>IFERROR(__xludf.DUMMYFUNCTION("SPLIT(A2764,""TX"")"),"Hunt, Nancy Ann
1900 N Akard St
Dallas, ")</f>
        <v>Hunt, Nancy Ann
1900 N Akard St
Dallas, </v>
      </c>
      <c r="F2764" s="8">
        <f>IFERROR(__xludf.DUMMYFUNCTION("""COMPUTED_VALUE"""),75201.0)</f>
        <v>75201</v>
      </c>
      <c r="I2764" s="8">
        <f t="shared" si="30"/>
        <v>75201</v>
      </c>
      <c r="J2764" s="9">
        <f>IFERROR(__xludf.DUMMYFUNCTION("SPLIT(I2764,""-"")"),75201.0)</f>
        <v>75201</v>
      </c>
    </row>
    <row r="2765">
      <c r="A2765" s="5" t="s">
        <v>2515</v>
      </c>
      <c r="B2765" s="6">
        <v>5000.0</v>
      </c>
      <c r="C2765" s="7" t="s">
        <v>1065</v>
      </c>
      <c r="E2765" s="8" t="str">
        <f>IFERROR(__xludf.DUMMYFUNCTION("SPLIT(A2765,""TX"")"),"Kleinert, Chris
1900 N Akard St
Dallas, ")</f>
        <v>Kleinert, Chris
1900 N Akard St
Dallas, </v>
      </c>
      <c r="F2765" s="8">
        <f>IFERROR(__xludf.DUMMYFUNCTION("""COMPUTED_VALUE"""),75201.0)</f>
        <v>75201</v>
      </c>
      <c r="I2765" s="8">
        <f t="shared" si="30"/>
        <v>75201</v>
      </c>
      <c r="J2765" s="9">
        <f>IFERROR(__xludf.DUMMYFUNCTION("SPLIT(I2765,""-"")"),75201.0)</f>
        <v>75201</v>
      </c>
    </row>
    <row r="2766">
      <c r="A2766" s="10" t="s">
        <v>2516</v>
      </c>
      <c r="B2766" s="11">
        <v>5000.0</v>
      </c>
      <c r="C2766" s="12" t="s">
        <v>1065</v>
      </c>
      <c r="E2766" s="8" t="str">
        <f>IFERROR(__xludf.DUMMYFUNCTION("SPLIT(A2766,""TX"")"),"Meurer, ")</f>
        <v>Meurer, </v>
      </c>
      <c r="F2766" s="8" t="str">
        <f>IFERROR(__xludf.DUMMYFUNCTION("""COMPUTED_VALUE"""),"om
5818 Bent ")</f>
        <v>om
5818 Bent </v>
      </c>
      <c r="G2766" s="8" t="str">
        <f>IFERROR(__xludf.DUMMYFUNCTION("""COMPUTED_VALUE"""),"rail
Dallas, ")</f>
        <v>rail
Dallas, </v>
      </c>
      <c r="H2766" s="8">
        <f>IFERROR(__xludf.DUMMYFUNCTION("""COMPUTED_VALUE"""),75248.0)</f>
        <v>75248</v>
      </c>
      <c r="I2766" s="13">
        <v>75248.0</v>
      </c>
      <c r="J2766" s="9">
        <f>IFERROR(__xludf.DUMMYFUNCTION("SPLIT(I2766,""-"")"),75248.0)</f>
        <v>75248</v>
      </c>
    </row>
    <row r="2767">
      <c r="A2767" s="5" t="s">
        <v>2517</v>
      </c>
      <c r="B2767" s="6">
        <v>4000.0</v>
      </c>
      <c r="C2767" s="7" t="s">
        <v>1065</v>
      </c>
      <c r="E2767" s="8" t="str">
        <f>IFERROR(__xludf.DUMMYFUNCTION("SPLIT(A2767,""TX"")"),"Myers, Mike
4009 Miramar Ave
Dallas, ")</f>
        <v>Myers, Mike
4009 Miramar Ave
Dallas, </v>
      </c>
      <c r="F2767" s="8">
        <f>IFERROR(__xludf.DUMMYFUNCTION("""COMPUTED_VALUE"""),75205.0)</f>
        <v>75205</v>
      </c>
      <c r="I2767" s="8">
        <f t="shared" ref="I2767:I2794" si="31">IF(ISBLANK(G2767),F2767,G2767)</f>
        <v>75205</v>
      </c>
      <c r="J2767" s="9">
        <f>IFERROR(__xludf.DUMMYFUNCTION("SPLIT(I2767,""-"")"),75205.0)</f>
        <v>75205</v>
      </c>
    </row>
    <row r="2768">
      <c r="A2768" s="10" t="s">
        <v>1155</v>
      </c>
      <c r="B2768" s="11">
        <v>2500.0</v>
      </c>
      <c r="C2768" s="12" t="s">
        <v>1065</v>
      </c>
      <c r="E2768" s="8" t="str">
        <f>IFERROR(__xludf.DUMMYFUNCTION("SPLIT(A2768,""TX"")"),"Rose, Deedie
5 Willowood St
Dallas, ")</f>
        <v>Rose, Deedie
5 Willowood St
Dallas, </v>
      </c>
      <c r="F2768" s="8">
        <f>IFERROR(__xludf.DUMMYFUNCTION("""COMPUTED_VALUE"""),75205.0)</f>
        <v>75205</v>
      </c>
      <c r="I2768" s="8">
        <f t="shared" si="31"/>
        <v>75205</v>
      </c>
      <c r="J2768" s="9">
        <f>IFERROR(__xludf.DUMMYFUNCTION("SPLIT(I2768,""-"")"),75205.0)</f>
        <v>75205</v>
      </c>
    </row>
    <row r="2769">
      <c r="A2769" s="5" t="s">
        <v>2518</v>
      </c>
      <c r="B2769" s="6">
        <v>5000.0</v>
      </c>
      <c r="C2769" s="7" t="s">
        <v>1065</v>
      </c>
      <c r="E2769" s="8" t="str">
        <f>IFERROR(__xludf.DUMMYFUNCTION("SPLIT(A2769,""TX"")"),"Rowling, Bob
4001 Maple Ave
Dallas, ")</f>
        <v>Rowling, Bob
4001 Maple Ave
Dallas, </v>
      </c>
      <c r="F2769" s="8">
        <f>IFERROR(__xludf.DUMMYFUNCTION("""COMPUTED_VALUE"""),75219.0)</f>
        <v>75219</v>
      </c>
      <c r="I2769" s="8">
        <f t="shared" si="31"/>
        <v>75219</v>
      </c>
      <c r="J2769" s="9">
        <f>IFERROR(__xludf.DUMMYFUNCTION("SPLIT(I2769,""-"")"),75219.0)</f>
        <v>75219</v>
      </c>
    </row>
    <row r="2770">
      <c r="A2770" s="10" t="s">
        <v>2519</v>
      </c>
      <c r="B2770" s="11">
        <v>10000.0</v>
      </c>
      <c r="C2770" s="12" t="s">
        <v>1065</v>
      </c>
      <c r="E2770" s="8" t="str">
        <f>IFERROR(__xludf.DUMMYFUNCTION("SPLIT(A2770,""TX"")"),"Sewell III, Carl &amp; Josie
3911 Gillon Ave
Dallas, ")</f>
        <v>Sewell III, Carl &amp; Josie
3911 Gillon Ave
Dallas, </v>
      </c>
      <c r="F2770" s="8">
        <f>IFERROR(__xludf.DUMMYFUNCTION("""COMPUTED_VALUE"""),75205.0)</f>
        <v>75205</v>
      </c>
      <c r="I2770" s="8">
        <f t="shared" si="31"/>
        <v>75205</v>
      </c>
      <c r="J2770" s="9">
        <f>IFERROR(__xludf.DUMMYFUNCTION("SPLIT(I2770,""-"")"),75205.0)</f>
        <v>75205</v>
      </c>
    </row>
    <row r="2771">
      <c r="A2771" s="5" t="s">
        <v>2520</v>
      </c>
      <c r="B2771" s="6">
        <v>2500.0</v>
      </c>
      <c r="C2771" s="7" t="s">
        <v>1065</v>
      </c>
      <c r="E2771" s="8" t="str">
        <f>IFERROR(__xludf.DUMMYFUNCTION("SPLIT(A2771,""TX"")"),"Walker, Brenda
310 Calvary Dr
Euless, ")</f>
        <v>Walker, Brenda
310 Calvary Dr
Euless, </v>
      </c>
      <c r="F2771" s="8">
        <f>IFERROR(__xludf.DUMMYFUNCTION("""COMPUTED_VALUE"""),76040.0)</f>
        <v>76040</v>
      </c>
      <c r="I2771" s="8">
        <f t="shared" si="31"/>
        <v>76040</v>
      </c>
      <c r="J2771" s="9">
        <f>IFERROR(__xludf.DUMMYFUNCTION("SPLIT(I2771,""-"")"),76040.0)</f>
        <v>76040</v>
      </c>
    </row>
    <row r="2772">
      <c r="A2772" s="10" t="s">
        <v>2521</v>
      </c>
      <c r="B2772" s="11">
        <v>5000.0</v>
      </c>
      <c r="C2772" s="12" t="s">
        <v>1065</v>
      </c>
      <c r="E2772" s="8" t="str">
        <f>IFERROR(__xludf.DUMMYFUNCTION("SPLIT(A2772,""TX"")"),"Zulejkic, David
PO Box 2590
Wylie, ")</f>
        <v>Zulejkic, David
PO Box 2590
Wylie, </v>
      </c>
      <c r="F2772" s="8">
        <f>IFERROR(__xludf.DUMMYFUNCTION("""COMPUTED_VALUE"""),75098.0)</f>
        <v>75098</v>
      </c>
      <c r="I2772" s="8">
        <f t="shared" si="31"/>
        <v>75098</v>
      </c>
      <c r="J2772" s="9">
        <f>IFERROR(__xludf.DUMMYFUNCTION("SPLIT(I2772,""-"")"),75098.0)</f>
        <v>75098</v>
      </c>
    </row>
    <row r="2773">
      <c r="A2773" s="5" t="s">
        <v>2522</v>
      </c>
      <c r="B2773" s="6">
        <v>1000.0</v>
      </c>
      <c r="C2773" s="7" t="s">
        <v>1065</v>
      </c>
      <c r="E2773" s="8" t="str">
        <f>IFERROR(__xludf.DUMMYFUNCTION("SPLIT(A2773,""TX"")"),"Agarwal, Durga
2921 University Blvd
Houston, ")</f>
        <v>Agarwal, Durga
2921 University Blvd
Houston, </v>
      </c>
      <c r="F2773" s="8">
        <f>IFERROR(__xludf.DUMMYFUNCTION("""COMPUTED_VALUE"""),77005.0)</f>
        <v>77005</v>
      </c>
      <c r="I2773" s="8">
        <f t="shared" si="31"/>
        <v>77005</v>
      </c>
      <c r="J2773" s="9">
        <f>IFERROR(__xludf.DUMMYFUNCTION("SPLIT(I2773,""-"")"),77005.0)</f>
        <v>77005</v>
      </c>
    </row>
    <row r="2774">
      <c r="A2774" s="10" t="s">
        <v>2523</v>
      </c>
      <c r="B2774" s="11">
        <v>1000.0</v>
      </c>
      <c r="C2774" s="12" t="s">
        <v>1065</v>
      </c>
      <c r="E2774" s="8" t="str">
        <f>IFERROR(__xludf.DUMMYFUNCTION("SPLIT(A2774,""TX"")"),"Eisenberg, Phil
3215 Plumb Street
Houston, ")</f>
        <v>Eisenberg, Phil
3215 Plumb Street
Houston, </v>
      </c>
      <c r="F2774" s="8">
        <f>IFERROR(__xludf.DUMMYFUNCTION("""COMPUTED_VALUE"""),77005.0)</f>
        <v>77005</v>
      </c>
      <c r="I2774" s="8">
        <f t="shared" si="31"/>
        <v>77005</v>
      </c>
      <c r="J2774" s="9">
        <f>IFERROR(__xludf.DUMMYFUNCTION("SPLIT(I2774,""-"")"),77005.0)</f>
        <v>77005</v>
      </c>
    </row>
    <row r="2775">
      <c r="A2775" s="5" t="s">
        <v>2524</v>
      </c>
      <c r="B2775" s="6">
        <v>1000.0</v>
      </c>
      <c r="C2775" s="7" t="s">
        <v>1065</v>
      </c>
      <c r="E2775" s="8" t="str">
        <f>IFERROR(__xludf.DUMMYFUNCTION("SPLIT(A2775,""TX"")"),"Grace, Jim
1305 Guadalupe St
Austin, ")</f>
        <v>Grace, Jim
1305 Guadalupe St
Austin, </v>
      </c>
      <c r="F2775" s="8">
        <f>IFERROR(__xludf.DUMMYFUNCTION("""COMPUTED_VALUE"""),78701.0)</f>
        <v>78701</v>
      </c>
      <c r="I2775" s="8">
        <f t="shared" si="31"/>
        <v>78701</v>
      </c>
      <c r="J2775" s="9">
        <f>IFERROR(__xludf.DUMMYFUNCTION("SPLIT(I2775,""-"")"),78701.0)</f>
        <v>78701</v>
      </c>
    </row>
    <row r="2776">
      <c r="A2776" s="10" t="s">
        <v>2525</v>
      </c>
      <c r="B2776" s="11">
        <v>500.0</v>
      </c>
      <c r="C2776" s="12" t="s">
        <v>1065</v>
      </c>
      <c r="E2776" s="8" t="str">
        <f>IFERROR(__xludf.DUMMYFUNCTION("SPLIT(A2776,""TX"")"),"Gutierrez, Hugo
10322 Sugar Hill
Houston, ")</f>
        <v>Gutierrez, Hugo
10322 Sugar Hill
Houston, </v>
      </c>
      <c r="F2776" s="8">
        <f>IFERROR(__xludf.DUMMYFUNCTION("""COMPUTED_VALUE"""),77042.0)</f>
        <v>77042</v>
      </c>
      <c r="I2776" s="8">
        <f t="shared" si="31"/>
        <v>77042</v>
      </c>
      <c r="J2776" s="9">
        <f>IFERROR(__xludf.DUMMYFUNCTION("SPLIT(I2776,""-"")"),77042.0)</f>
        <v>77042</v>
      </c>
    </row>
    <row r="2777">
      <c r="A2777" s="5" t="s">
        <v>2526</v>
      </c>
      <c r="B2777" s="6">
        <v>100.0</v>
      </c>
      <c r="C2777" s="7" t="s">
        <v>1065</v>
      </c>
      <c r="E2777" s="8" t="str">
        <f>IFERROR(__xludf.DUMMYFUNCTION("SPLIT(A2777,""TX"")"),"Hooey, Betty
2621 Exline Street
Dallas, ")</f>
        <v>Hooey, Betty
2621 Exline Street
Dallas, </v>
      </c>
      <c r="F2777" s="8">
        <f>IFERROR(__xludf.DUMMYFUNCTION("""COMPUTED_VALUE"""),75215.0)</f>
        <v>75215</v>
      </c>
      <c r="I2777" s="8">
        <f t="shared" si="31"/>
        <v>75215</v>
      </c>
      <c r="J2777" s="9">
        <f>IFERROR(__xludf.DUMMYFUNCTION("SPLIT(I2777,""-"")"),75215.0)</f>
        <v>75215</v>
      </c>
    </row>
    <row r="2778">
      <c r="A2778" s="10" t="s">
        <v>2527</v>
      </c>
      <c r="B2778" s="11">
        <v>2500.0</v>
      </c>
      <c r="C2778" s="12" t="s">
        <v>1065</v>
      </c>
      <c r="E2778" s="8" t="str">
        <f>IFERROR(__xludf.DUMMYFUNCTION("SPLIT(A2778,""TX"")"),"Love, Jeff
3744 Inwood
Houston, ")</f>
        <v>Love, Jeff
3744 Inwood
Houston, </v>
      </c>
      <c r="F2778" s="8">
        <f>IFERROR(__xludf.DUMMYFUNCTION("""COMPUTED_VALUE"""),77019.0)</f>
        <v>77019</v>
      </c>
      <c r="I2778" s="8">
        <f t="shared" si="31"/>
        <v>77019</v>
      </c>
      <c r="J2778" s="9">
        <f>IFERROR(__xludf.DUMMYFUNCTION("SPLIT(I2778,""-"")"),77019.0)</f>
        <v>77019</v>
      </c>
    </row>
    <row r="2779">
      <c r="A2779" s="5" t="s">
        <v>2528</v>
      </c>
      <c r="B2779" s="6">
        <v>250.0</v>
      </c>
      <c r="C2779" s="7" t="s">
        <v>1065</v>
      </c>
      <c r="E2779" s="8" t="str">
        <f>IFERROR(__xludf.DUMMYFUNCTION("SPLIT(A2779,""TX"")"),"Peters, Mike
11007 Hunters Park Dr
Houston, ")</f>
        <v>Peters, Mike
11007 Hunters Park Dr
Houston, </v>
      </c>
      <c r="F2779" s="8">
        <f>IFERROR(__xludf.DUMMYFUNCTION("""COMPUTED_VALUE"""),77024.0)</f>
        <v>77024</v>
      </c>
      <c r="I2779" s="8">
        <f t="shared" si="31"/>
        <v>77024</v>
      </c>
      <c r="J2779" s="9">
        <f>IFERROR(__xludf.DUMMYFUNCTION("SPLIT(I2779,""-"")"),77024.0)</f>
        <v>77024</v>
      </c>
    </row>
    <row r="2780">
      <c r="A2780" s="10" t="s">
        <v>2529</v>
      </c>
      <c r="B2780" s="11">
        <v>1000.0</v>
      </c>
      <c r="C2780" s="12" t="s">
        <v>1065</v>
      </c>
      <c r="E2780" s="8" t="str">
        <f>IFERROR(__xludf.DUMMYFUNCTION("SPLIT(A2780,""TX"")"),"Anderson, Dick
3700 N Capital of ")</f>
        <v>Anderson, Dick
3700 N Capital of </v>
      </c>
      <c r="F2780" s="8" t="str">
        <f>IFERROR(__xludf.DUMMYFUNCTION("""COMPUTED_VALUE""")," Hwy
Austin, ")</f>
        <v> Hwy
Austin, </v>
      </c>
      <c r="G2780" s="8">
        <f>IFERROR(__xludf.DUMMYFUNCTION("""COMPUTED_VALUE"""),78746.0)</f>
        <v>78746</v>
      </c>
      <c r="I2780" s="8">
        <f t="shared" si="31"/>
        <v>78746</v>
      </c>
      <c r="J2780" s="9">
        <f>IFERROR(__xludf.DUMMYFUNCTION("SPLIT(I2780,""-"")"),78746.0)</f>
        <v>78746</v>
      </c>
    </row>
    <row r="2781">
      <c r="A2781" s="5" t="s">
        <v>2530</v>
      </c>
      <c r="B2781" s="6">
        <v>1000.0</v>
      </c>
      <c r="C2781" s="7" t="s">
        <v>1065</v>
      </c>
      <c r="E2781" s="8" t="str">
        <f>IFERROR(__xludf.DUMMYFUNCTION("SPLIT(A2781,""TX"")"),"Cammack, Kerry
919 Congress Ave
Austin, ")</f>
        <v>Cammack, Kerry
919 Congress Ave
Austin, </v>
      </c>
      <c r="F2781" s="8">
        <f>IFERROR(__xludf.DUMMYFUNCTION("""COMPUTED_VALUE"""),78701.0)</f>
        <v>78701</v>
      </c>
      <c r="I2781" s="8">
        <f t="shared" si="31"/>
        <v>78701</v>
      </c>
      <c r="J2781" s="9">
        <f>IFERROR(__xludf.DUMMYFUNCTION("SPLIT(I2781,""-"")"),78701.0)</f>
        <v>78701</v>
      </c>
    </row>
    <row r="2782">
      <c r="A2782" s="10" t="s">
        <v>2531</v>
      </c>
      <c r="B2782" s="11">
        <v>1000.0</v>
      </c>
      <c r="C2782" s="12" t="s">
        <v>1065</v>
      </c>
      <c r="E2782" s="8" t="str">
        <f>IFERROR(__xludf.DUMMYFUNCTION("SPLIT(A2782,""TX"")"),"Glenn, Eric
3916 Coopers Hawk Cove
Austin, ")</f>
        <v>Glenn, Eric
3916 Coopers Hawk Cove
Austin, </v>
      </c>
      <c r="F2782" s="8">
        <f>IFERROR(__xludf.DUMMYFUNCTION("""COMPUTED_VALUE"""),78738.0)</f>
        <v>78738</v>
      </c>
      <c r="I2782" s="8">
        <f t="shared" si="31"/>
        <v>78738</v>
      </c>
      <c r="J2782" s="9">
        <f>IFERROR(__xludf.DUMMYFUNCTION("SPLIT(I2782,""-"")"),78738.0)</f>
        <v>78738</v>
      </c>
    </row>
    <row r="2783">
      <c r="A2783" s="5" t="s">
        <v>2532</v>
      </c>
      <c r="B2783" s="6">
        <v>1000.0</v>
      </c>
      <c r="C2783" s="7" t="s">
        <v>1065</v>
      </c>
      <c r="E2783" s="8" t="str">
        <f>IFERROR(__xludf.DUMMYFUNCTION("SPLIT(A2783,""TX"")"),"Hawley, Brad
600 Congress Ave
Austin, ")</f>
        <v>Hawley, Brad
600 Congress Ave
Austin, </v>
      </c>
      <c r="F2783" s="8">
        <f>IFERROR(__xludf.DUMMYFUNCTION("""COMPUTED_VALUE"""),78738.0)</f>
        <v>78738</v>
      </c>
      <c r="I2783" s="8">
        <f t="shared" si="31"/>
        <v>78738</v>
      </c>
      <c r="J2783" s="9">
        <f>IFERROR(__xludf.DUMMYFUNCTION("SPLIT(I2783,""-"")"),78738.0)</f>
        <v>78738</v>
      </c>
    </row>
    <row r="2784">
      <c r="A2784" s="10" t="s">
        <v>2533</v>
      </c>
      <c r="B2784" s="11">
        <v>1000.0</v>
      </c>
      <c r="C2784" s="12" t="s">
        <v>1065</v>
      </c>
      <c r="E2784" s="8" t="str">
        <f>IFERROR(__xludf.DUMMYFUNCTION("SPLIT(A2784,""TX"")"),"Hodge, Daniel
405 W 14th St
Austin, ")</f>
        <v>Hodge, Daniel
405 W 14th St
Austin, </v>
      </c>
      <c r="F2784" s="8">
        <f>IFERROR(__xludf.DUMMYFUNCTION("""COMPUTED_VALUE"""),78701.0)</f>
        <v>78701</v>
      </c>
      <c r="I2784" s="8">
        <f t="shared" si="31"/>
        <v>78701</v>
      </c>
      <c r="J2784" s="9">
        <f>IFERROR(__xludf.DUMMYFUNCTION("SPLIT(I2784,""-"")"),78701.0)</f>
        <v>78701</v>
      </c>
    </row>
    <row r="2785">
      <c r="A2785" s="5" t="s">
        <v>2534</v>
      </c>
      <c r="B2785" s="6">
        <v>1000.0</v>
      </c>
      <c r="C2785" s="7" t="s">
        <v>1065</v>
      </c>
      <c r="E2785" s="8" t="str">
        <f>IFERROR(__xludf.DUMMYFUNCTION("SPLIT(A2785,""TX"")"),"Jones, Buddy
823 Congress Ave
Austin, ")</f>
        <v>Jones, Buddy
823 Congress Ave
Austin, </v>
      </c>
      <c r="F2785" s="8">
        <f>IFERROR(__xludf.DUMMYFUNCTION("""COMPUTED_VALUE"""),78701.0)</f>
        <v>78701</v>
      </c>
      <c r="I2785" s="8">
        <f t="shared" si="31"/>
        <v>78701</v>
      </c>
      <c r="J2785" s="9">
        <f>IFERROR(__xludf.DUMMYFUNCTION("SPLIT(I2785,""-"")"),78701.0)</f>
        <v>78701</v>
      </c>
    </row>
    <row r="2786">
      <c r="A2786" s="10" t="s">
        <v>2535</v>
      </c>
      <c r="B2786" s="11">
        <v>1500.0</v>
      </c>
      <c r="C2786" s="12" t="s">
        <v>1065</v>
      </c>
      <c r="E2786" s="8" t="str">
        <f>IFERROR(__xludf.DUMMYFUNCTION("SPLIT(A2786,""TX"")"),"Keffer, James
1105 S Seaman St
Eastland, ")</f>
        <v>Keffer, James
1105 S Seaman St
Eastland, </v>
      </c>
      <c r="F2786" s="8">
        <f>IFERROR(__xludf.DUMMYFUNCTION("""COMPUTED_VALUE"""),76448.0)</f>
        <v>76448</v>
      </c>
      <c r="I2786" s="8">
        <f t="shared" si="31"/>
        <v>76448</v>
      </c>
      <c r="J2786" s="9">
        <f>IFERROR(__xludf.DUMMYFUNCTION("SPLIT(I2786,""-"")"),76448.0)</f>
        <v>76448</v>
      </c>
    </row>
    <row r="2787">
      <c r="A2787" s="5" t="s">
        <v>2536</v>
      </c>
      <c r="B2787" s="6">
        <v>2500.0</v>
      </c>
      <c r="C2787" s="7" t="s">
        <v>1065</v>
      </c>
      <c r="E2787" s="8" t="str">
        <f>IFERROR(__xludf.DUMMYFUNCTION("SPLIT(A2787,""TX"")"),"Bracewell PAC
711 Louisiana St
Houston, ")</f>
        <v>Bracewell PAC
711 Louisiana St
Houston, </v>
      </c>
      <c r="F2787" s="8">
        <f>IFERROR(__xludf.DUMMYFUNCTION("""COMPUTED_VALUE"""),77002.0)</f>
        <v>77002</v>
      </c>
      <c r="I2787" s="8">
        <f t="shared" si="31"/>
        <v>77002</v>
      </c>
      <c r="J2787" s="9">
        <f>IFERROR(__xludf.DUMMYFUNCTION("SPLIT(I2787,""-"")"),77002.0)</f>
        <v>77002</v>
      </c>
    </row>
    <row r="2788">
      <c r="A2788" s="10" t="s">
        <v>2537</v>
      </c>
      <c r="B2788" s="11">
        <v>1000.0</v>
      </c>
      <c r="C2788" s="12" t="s">
        <v>1065</v>
      </c>
      <c r="E2788" s="8" t="str">
        <f>IFERROR(__xludf.DUMMYFUNCTION("SPLIT(A2788,""TX"")"),"Gulf States ")</f>
        <v>Gulf States </v>
      </c>
      <c r="F2788" s="8" t="str">
        <f>IFERROR(__xludf.DUMMYFUNCTION("""COMPUTED_VALUE"""),"oyota State PAC
1375 Enclave Parkway
Houston, ")</f>
        <v>oyota State PAC
1375 Enclave Parkway
Houston, </v>
      </c>
      <c r="G2788" s="8">
        <f>IFERROR(__xludf.DUMMYFUNCTION("""COMPUTED_VALUE"""),77077.0)</f>
        <v>77077</v>
      </c>
      <c r="I2788" s="8">
        <f t="shared" si="31"/>
        <v>77077</v>
      </c>
      <c r="J2788" s="9">
        <f>IFERROR(__xludf.DUMMYFUNCTION("SPLIT(I2788,""-"")"),77077.0)</f>
        <v>77077</v>
      </c>
    </row>
    <row r="2789">
      <c r="A2789" s="5" t="s">
        <v>1083</v>
      </c>
      <c r="B2789" s="6">
        <v>5000.0</v>
      </c>
      <c r="C2789" s="7" t="s">
        <v>1065</v>
      </c>
      <c r="E2789" s="8" t="str">
        <f>IFERROR(__xludf.DUMMYFUNCTION("SPLIT(A2789,""TX"")"),"Kelley, Rusty
919 Congress Ave
Austin, ")</f>
        <v>Kelley, Rusty
919 Congress Ave
Austin, </v>
      </c>
      <c r="F2789" s="8">
        <f>IFERROR(__xludf.DUMMYFUNCTION("""COMPUTED_VALUE"""),78701.0)</f>
        <v>78701</v>
      </c>
      <c r="I2789" s="8">
        <f t="shared" si="31"/>
        <v>78701</v>
      </c>
      <c r="J2789" s="9">
        <f>IFERROR(__xludf.DUMMYFUNCTION("SPLIT(I2789,""-"")"),78701.0)</f>
        <v>78701</v>
      </c>
    </row>
    <row r="2790">
      <c r="A2790" s="10" t="s">
        <v>2538</v>
      </c>
      <c r="B2790" s="11">
        <v>1000.0</v>
      </c>
      <c r="C2790" s="12" t="s">
        <v>1065</v>
      </c>
      <c r="E2790" s="8" t="str">
        <f>IFERROR(__xludf.DUMMYFUNCTION("SPLIT(A2790,""TX"")"),"Long, Wade
2004 Stamford Ln
Austin, ")</f>
        <v>Long, Wade
2004 Stamford Ln
Austin, </v>
      </c>
      <c r="F2790" s="8">
        <f>IFERROR(__xludf.DUMMYFUNCTION("""COMPUTED_VALUE"""),78703.0)</f>
        <v>78703</v>
      </c>
      <c r="I2790" s="8">
        <f t="shared" si="31"/>
        <v>78703</v>
      </c>
      <c r="J2790" s="9">
        <f>IFERROR(__xludf.DUMMYFUNCTION("SPLIT(I2790,""-"")"),78703.0)</f>
        <v>78703</v>
      </c>
    </row>
    <row r="2791">
      <c r="A2791" s="5" t="s">
        <v>2102</v>
      </c>
      <c r="B2791" s="6">
        <v>1000.0</v>
      </c>
      <c r="C2791" s="7" t="s">
        <v>1065</v>
      </c>
      <c r="E2791" s="8" t="str">
        <f>IFERROR(__xludf.DUMMYFUNCTION("SPLIT(A2791,""TX"")"),"Becker, Will
304 ")</f>
        <v>Becker, Will
304 </v>
      </c>
      <c r="F2791" s="8" t="str">
        <f>IFERROR(__xludf.DUMMYFUNCTION("""COMPUTED_VALUE"""),"own East Blvd
Sunnyvale, ")</f>
        <v>own East Blvd
Sunnyvale, </v>
      </c>
      <c r="G2791" s="8">
        <f>IFERROR(__xludf.DUMMYFUNCTION("""COMPUTED_VALUE"""),75182.0)</f>
        <v>75182</v>
      </c>
      <c r="I2791" s="8">
        <f t="shared" si="31"/>
        <v>75182</v>
      </c>
      <c r="J2791" s="9">
        <f>IFERROR(__xludf.DUMMYFUNCTION("SPLIT(I2791,""-"")"),75182.0)</f>
        <v>75182</v>
      </c>
    </row>
    <row r="2792">
      <c r="A2792" s="10" t="s">
        <v>2539</v>
      </c>
      <c r="B2792" s="11">
        <v>2100.0</v>
      </c>
      <c r="C2792" s="12" t="s">
        <v>1065</v>
      </c>
      <c r="E2792" s="8" t="str">
        <f>IFERROR(__xludf.DUMMYFUNCTION("SPLIT(A2792,""TX"")"),"Nosek, Nicole
6 Basin Ledge East
West Lake Hills, ")</f>
        <v>Nosek, Nicole
6 Basin Ledge East
West Lake Hills, </v>
      </c>
      <c r="F2792" s="8">
        <f>IFERROR(__xludf.DUMMYFUNCTION("""COMPUTED_VALUE"""),78746.0)</f>
        <v>78746</v>
      </c>
      <c r="I2792" s="8">
        <f t="shared" si="31"/>
        <v>78746</v>
      </c>
      <c r="J2792" s="9">
        <f>IFERROR(__xludf.DUMMYFUNCTION("SPLIT(I2792,""-"")"),78746.0)</f>
        <v>78746</v>
      </c>
    </row>
    <row r="2793">
      <c r="A2793" s="5" t="s">
        <v>2540</v>
      </c>
      <c r="B2793" s="6">
        <v>10000.0</v>
      </c>
      <c r="C2793" s="7" t="s">
        <v>1065</v>
      </c>
      <c r="E2793" s="8" t="str">
        <f>IFERROR(__xludf.DUMMYFUNCTION("SPLIT(A2793,""TX"")"),"exas Association of Realtors Metro")</f>
        <v>exas Association of Realtors Metro</v>
      </c>
      <c r="F2793" s="8" t="str">
        <f>IFERROR(__xludf.DUMMYFUNCTION("""COMPUTED_VALUE"""),"ex PAC
PO Box 2246
Austin, ")</f>
        <v>ex PAC
PO Box 2246
Austin, </v>
      </c>
      <c r="G2793" s="8">
        <f>IFERROR(__xludf.DUMMYFUNCTION("""COMPUTED_VALUE"""),78768.0)</f>
        <v>78768</v>
      </c>
      <c r="I2793" s="8">
        <f t="shared" si="31"/>
        <v>78768</v>
      </c>
      <c r="J2793" s="9">
        <f>IFERROR(__xludf.DUMMYFUNCTION("SPLIT(I2793,""-"")"),78768.0)</f>
        <v>78768</v>
      </c>
    </row>
    <row r="2794">
      <c r="A2794" s="10" t="s">
        <v>2541</v>
      </c>
      <c r="B2794" s="11">
        <v>7500.0</v>
      </c>
      <c r="C2794" s="12" t="s">
        <v>1065</v>
      </c>
      <c r="E2794" s="8" t="str">
        <f>IFERROR(__xludf.DUMMYFUNCTION("SPLIT(A2794,""TX"")"),"Apartment Association of Greater Dallas
5728 LBJ Fwy
Dallas, ")</f>
        <v>Apartment Association of Greater Dallas
5728 LBJ Fwy
Dallas, </v>
      </c>
      <c r="F2794" s="8">
        <f>IFERROR(__xludf.DUMMYFUNCTION("""COMPUTED_VALUE"""),75240.0)</f>
        <v>75240</v>
      </c>
      <c r="I2794" s="8">
        <f t="shared" si="31"/>
        <v>75240</v>
      </c>
      <c r="J2794" s="9">
        <f>IFERROR(__xludf.DUMMYFUNCTION("SPLIT(I2794,""-"")"),75240.0)</f>
        <v>75240</v>
      </c>
    </row>
    <row r="2795">
      <c r="A2795" s="5" t="s">
        <v>2542</v>
      </c>
      <c r="B2795" s="6">
        <v>5000.0</v>
      </c>
      <c r="C2795" s="7" t="s">
        <v>1065</v>
      </c>
      <c r="E2795" s="8" t="str">
        <f>IFERROR(__xludf.DUMMYFUNCTION("SPLIT(A2795,""TX"")"),"A")</f>
        <v>A</v>
      </c>
      <c r="F2795" s="8" t="str">
        <f>IFERROR(__xludf.DUMMYFUNCTION("""COMPUTED_VALUE"""),"&amp;")</f>
        <v>&amp;</v>
      </c>
      <c r="G2795" s="8" t="str">
        <f>IFERROR(__xludf.DUMMYFUNCTION("""COMPUTED_VALUE""")," PAC
816 Congress Ave
Austin, ")</f>
        <v> PAC
816 Congress Ave
Austin, </v>
      </c>
      <c r="H2795" s="8">
        <f>IFERROR(__xludf.DUMMYFUNCTION("""COMPUTED_VALUE"""),78701.0)</f>
        <v>78701</v>
      </c>
      <c r="I2795" s="13">
        <v>78701.0</v>
      </c>
      <c r="J2795" s="9">
        <f>IFERROR(__xludf.DUMMYFUNCTION("SPLIT(I2795,""-"")"),78701.0)</f>
        <v>78701</v>
      </c>
    </row>
    <row r="2796">
      <c r="A2796" s="10" t="s">
        <v>2543</v>
      </c>
      <c r="B2796" s="11">
        <v>500.0</v>
      </c>
      <c r="C2796" s="12" t="s">
        <v>1065</v>
      </c>
      <c r="E2796" s="8" t="str">
        <f>IFERROR(__xludf.DUMMYFUNCTION("SPLIT(A2796,""TX"")"),"Health Care Service Corp. PAC
300 East Randolph St
Chicago, IL 60601")</f>
        <v>Health Care Service Corp. PAC
300 East Randolph St
Chicago, IL 60601</v>
      </c>
      <c r="I2796" s="8" t="str">
        <f t="shared" ref="I2796:I3002" si="32">IF(ISBLANK(G2796),F2796,G2796)</f>
        <v/>
      </c>
      <c r="J2796" s="9" t="str">
        <f>IFERROR(__xludf.DUMMYFUNCTION("SPLIT(I2796,""-"")"),"#VALUE!")</f>
        <v>#VALUE!</v>
      </c>
    </row>
    <row r="2797">
      <c r="A2797" s="5" t="s">
        <v>2544</v>
      </c>
      <c r="B2797" s="6">
        <v>500.0</v>
      </c>
      <c r="C2797" s="7" t="s">
        <v>1065</v>
      </c>
      <c r="E2797" s="8" t="str">
        <f>IFERROR(__xludf.DUMMYFUNCTION("SPLIT(A2797,""TX"")"),"Lee, Sheila Jackson
4412 Almeda Rd
Houston, ")</f>
        <v>Lee, Sheila Jackson
4412 Almeda Rd
Houston, </v>
      </c>
      <c r="F2797" s="8">
        <f>IFERROR(__xludf.DUMMYFUNCTION("""COMPUTED_VALUE"""),77004.0)</f>
        <v>77004</v>
      </c>
      <c r="I2797" s="8">
        <f t="shared" si="32"/>
        <v>77004</v>
      </c>
      <c r="J2797" s="9">
        <f>IFERROR(__xludf.DUMMYFUNCTION("SPLIT(I2797,""-"")"),77004.0)</f>
        <v>77004</v>
      </c>
    </row>
    <row r="2798">
      <c r="A2798" s="10" t="s">
        <v>2545</v>
      </c>
      <c r="B2798" s="11">
        <v>1000.0</v>
      </c>
      <c r="C2798" s="12" t="s">
        <v>1065</v>
      </c>
      <c r="E2798" s="8" t="str">
        <f>IFERROR(__xludf.DUMMYFUNCTION("SPLIT(A2798,""TX"")"),"Hardwick, Herbert
2405 Grand Boulevard
Kansas City, MO 64108")</f>
        <v>Hardwick, Herbert
2405 Grand Boulevard
Kansas City, MO 64108</v>
      </c>
      <c r="I2798" s="8" t="str">
        <f t="shared" si="32"/>
        <v/>
      </c>
      <c r="J2798" s="9" t="str">
        <f>IFERROR(__xludf.DUMMYFUNCTION("SPLIT(I2798,""-"")"),"#VALUE!")</f>
        <v>#VALUE!</v>
      </c>
    </row>
    <row r="2799">
      <c r="A2799" s="5" t="s">
        <v>2546</v>
      </c>
      <c r="B2799" s="6">
        <v>10000.0</v>
      </c>
      <c r="C2799" s="7" t="s">
        <v>1065</v>
      </c>
      <c r="E2799" s="8" t="str">
        <f>IFERROR(__xludf.DUMMYFUNCTION("SPLIT(A2799,""TX"")"),"Locke Lord LLP PAC
2200 Ross Ave
Dallas, ")</f>
        <v>Locke Lord LLP PAC
2200 Ross Ave
Dallas, </v>
      </c>
      <c r="F2799" s="8">
        <f>IFERROR(__xludf.DUMMYFUNCTION("""COMPUTED_VALUE"""),75201.0)</f>
        <v>75201</v>
      </c>
      <c r="I2799" s="8">
        <f t="shared" si="32"/>
        <v>75201</v>
      </c>
      <c r="J2799" s="9">
        <f>IFERROR(__xludf.DUMMYFUNCTION("SPLIT(I2799,""-"")"),75201.0)</f>
        <v>75201</v>
      </c>
    </row>
    <row r="2800">
      <c r="A2800" s="10" t="s">
        <v>2547</v>
      </c>
      <c r="B2800" s="11">
        <v>2500.0</v>
      </c>
      <c r="C2800" s="12" t="s">
        <v>1065</v>
      </c>
      <c r="E2800" s="8" t="str">
        <f>IFERROR(__xludf.DUMMYFUNCTION("SPLIT(A2800,""TX"")"),"American Airlines PAC
1200 17th St NW
Washington, DC 20036")</f>
        <v>American Airlines PAC
1200 17th St NW
Washington, DC 20036</v>
      </c>
      <c r="I2800" s="8" t="str">
        <f t="shared" si="32"/>
        <v/>
      </c>
      <c r="J2800" s="9" t="str">
        <f>IFERROR(__xludf.DUMMYFUNCTION("SPLIT(I2800,""-"")"),"#VALUE!")</f>
        <v>#VALUE!</v>
      </c>
    </row>
    <row r="2801">
      <c r="A2801" s="5" t="s">
        <v>2548</v>
      </c>
      <c r="B2801" s="6">
        <v>10000.0</v>
      </c>
      <c r="C2801" s="7" t="s">
        <v>1065</v>
      </c>
      <c r="E2801" s="8" t="str">
        <f>IFERROR(__xludf.DUMMYFUNCTION("SPLIT(A2801,""TX"")"),"Hunton Andrews Kurth PAC
600 ")</f>
        <v>Hunton Andrews Kurth PAC
600 </v>
      </c>
      <c r="F2801" s="8" t="str">
        <f>IFERROR(__xludf.DUMMYFUNCTION("""COMPUTED_VALUE"""),"ravis
Houston, ")</f>
        <v>ravis
Houston, </v>
      </c>
      <c r="G2801" s="8">
        <f>IFERROR(__xludf.DUMMYFUNCTION("""COMPUTED_VALUE"""),77002.0)</f>
        <v>77002</v>
      </c>
      <c r="I2801" s="8">
        <f t="shared" si="32"/>
        <v>77002</v>
      </c>
      <c r="J2801" s="9">
        <f>IFERROR(__xludf.DUMMYFUNCTION("SPLIT(I2801,""-"")"),77002.0)</f>
        <v>77002</v>
      </c>
    </row>
    <row r="2802">
      <c r="A2802" s="10" t="s">
        <v>2549</v>
      </c>
      <c r="B2802" s="11">
        <v>350.0</v>
      </c>
      <c r="C2802" s="12" t="s">
        <v>1065</v>
      </c>
      <c r="E2802" s="8" t="str">
        <f>IFERROR(__xludf.DUMMYFUNCTION("SPLIT(A2802,""TX"")"),"Madden, John
8080 N Central Expy
Dallas, ")</f>
        <v>Madden, John
8080 N Central Expy
Dallas, </v>
      </c>
      <c r="F2802" s="8">
        <f>IFERROR(__xludf.DUMMYFUNCTION("""COMPUTED_VALUE"""),75206.0)</f>
        <v>75206</v>
      </c>
      <c r="I2802" s="8">
        <f t="shared" si="32"/>
        <v>75206</v>
      </c>
      <c r="J2802" s="9">
        <f>IFERROR(__xludf.DUMMYFUNCTION("SPLIT(I2802,""-"")"),75206.0)</f>
        <v>75206</v>
      </c>
    </row>
    <row r="2803">
      <c r="A2803" s="5" t="s">
        <v>2550</v>
      </c>
      <c r="B2803" s="6">
        <v>100.0</v>
      </c>
      <c r="C2803" s="7" t="s">
        <v>1065</v>
      </c>
      <c r="E2803" s="8" t="str">
        <f>IFERROR(__xludf.DUMMYFUNCTION("SPLIT(A2803,""TX"")"),"Garraway, Selwyn
106 Greenwich St
New York, NY 10006")</f>
        <v>Garraway, Selwyn
106 Greenwich St
New York, NY 10006</v>
      </c>
      <c r="I2803" s="8" t="str">
        <f t="shared" si="32"/>
        <v/>
      </c>
      <c r="J2803" s="9" t="str">
        <f>IFERROR(__xludf.DUMMYFUNCTION("SPLIT(I2803,""-"")"),"#VALUE!")</f>
        <v>#VALUE!</v>
      </c>
    </row>
    <row r="2804">
      <c r="A2804" s="10" t="s">
        <v>2551</v>
      </c>
      <c r="B2804" s="11">
        <v>4000.0</v>
      </c>
      <c r="C2804" s="12" t="s">
        <v>1065</v>
      </c>
      <c r="E2804" s="8" t="str">
        <f>IFERROR(__xludf.DUMMYFUNCTION("SPLIT(A2804,""TX"")"),"Mani, Chithrai
4005 Dawn Dr
Flower Mound, ")</f>
        <v>Mani, Chithrai
4005 Dawn Dr
Flower Mound, </v>
      </c>
      <c r="F2804" s="8">
        <f>IFERROR(__xludf.DUMMYFUNCTION("""COMPUTED_VALUE"""),75022.0)</f>
        <v>75022</v>
      </c>
      <c r="I2804" s="8">
        <f t="shared" si="32"/>
        <v>75022</v>
      </c>
      <c r="J2804" s="9">
        <f>IFERROR(__xludf.DUMMYFUNCTION("SPLIT(I2804,""-"")"),75022.0)</f>
        <v>75022</v>
      </c>
    </row>
    <row r="2805">
      <c r="A2805" s="5" t="s">
        <v>2552</v>
      </c>
      <c r="B2805" s="6">
        <v>5000.0</v>
      </c>
      <c r="C2805" s="7" t="s">
        <v>1065</v>
      </c>
      <c r="E2805" s="8" t="str">
        <f>IFERROR(__xludf.DUMMYFUNCTION("SPLIT(A2805,""TX"")"),"Jakes, ")</f>
        <v>Jakes, </v>
      </c>
      <c r="F2805" s="8" t="str">
        <f>IFERROR(__xludf.DUMMYFUNCTION("""COMPUTED_VALUE"""),".D.
3703 Patience Blvd
Dallas, ")</f>
        <v>.D.
3703 Patience Blvd
Dallas, </v>
      </c>
      <c r="G2805" s="8">
        <f>IFERROR(__xludf.DUMMYFUNCTION("""COMPUTED_VALUE"""),75236.0)</f>
        <v>75236</v>
      </c>
      <c r="I2805" s="8">
        <f t="shared" si="32"/>
        <v>75236</v>
      </c>
      <c r="J2805" s="9">
        <f>IFERROR(__xludf.DUMMYFUNCTION("SPLIT(I2805,""-"")"),75236.0)</f>
        <v>75236</v>
      </c>
    </row>
    <row r="2806">
      <c r="A2806" s="10" t="s">
        <v>2553</v>
      </c>
      <c r="B2806" s="11">
        <v>25.0</v>
      </c>
      <c r="C2806" s="12" t="s">
        <v>1065</v>
      </c>
      <c r="E2806" s="8" t="str">
        <f>IFERROR(__xludf.DUMMYFUNCTION("SPLIT(A2806,""TX"")"),"Iwasko, Ava
4420 Cedarbrush Dr
Dallas, ")</f>
        <v>Iwasko, Ava
4420 Cedarbrush Dr
Dallas, </v>
      </c>
      <c r="F2806" s="8">
        <f>IFERROR(__xludf.DUMMYFUNCTION("""COMPUTED_VALUE"""),75287.0)</f>
        <v>75287</v>
      </c>
      <c r="I2806" s="8">
        <f t="shared" si="32"/>
        <v>75287</v>
      </c>
      <c r="J2806" s="9">
        <f>IFERROR(__xludf.DUMMYFUNCTION("SPLIT(I2806,""-"")"),75287.0)</f>
        <v>75287</v>
      </c>
    </row>
    <row r="2807">
      <c r="A2807" s="5" t="s">
        <v>2554</v>
      </c>
      <c r="B2807" s="6">
        <v>50.0</v>
      </c>
      <c r="C2807" s="7" t="s">
        <v>1065</v>
      </c>
      <c r="E2807" s="8" t="str">
        <f>IFERROR(__xludf.DUMMYFUNCTION("SPLIT(A2807,""TX"")"),"Rothenberger, Reagan
4315 Brooktree Ln
Dallas, ")</f>
        <v>Rothenberger, Reagan
4315 Brooktree Ln
Dallas, </v>
      </c>
      <c r="F2807" s="8">
        <f>IFERROR(__xludf.DUMMYFUNCTION("""COMPUTED_VALUE"""),75287.0)</f>
        <v>75287</v>
      </c>
      <c r="I2807" s="8">
        <f t="shared" si="32"/>
        <v>75287</v>
      </c>
      <c r="J2807" s="9">
        <f>IFERROR(__xludf.DUMMYFUNCTION("SPLIT(I2807,""-"")"),75287.0)</f>
        <v>75287</v>
      </c>
    </row>
    <row r="2808">
      <c r="A2808" s="10" t="s">
        <v>2555</v>
      </c>
      <c r="B2808" s="11">
        <v>1000.0</v>
      </c>
      <c r="C2808" s="12" t="s">
        <v>1065</v>
      </c>
      <c r="E2808" s="8" t="str">
        <f>IFERROR(__xludf.DUMMYFUNCTION("SPLIT(A2808,""TX"")"),"Rubin, Brent
7103 Coronado Ave
Dallas, ")</f>
        <v>Rubin, Brent
7103 Coronado Ave
Dallas, </v>
      </c>
      <c r="F2808" s="8">
        <f>IFERROR(__xludf.DUMMYFUNCTION("""COMPUTED_VALUE"""),75214.0)</f>
        <v>75214</v>
      </c>
      <c r="I2808" s="8">
        <f t="shared" si="32"/>
        <v>75214</v>
      </c>
      <c r="J2808" s="9">
        <f>IFERROR(__xludf.DUMMYFUNCTION("SPLIT(I2808,""-"")"),75214.0)</f>
        <v>75214</v>
      </c>
    </row>
    <row r="2809">
      <c r="A2809" s="5" t="s">
        <v>2556</v>
      </c>
      <c r="B2809" s="6">
        <v>50.0</v>
      </c>
      <c r="C2809" s="7" t="s">
        <v>1065</v>
      </c>
      <c r="E2809" s="8" t="str">
        <f>IFERROR(__xludf.DUMMYFUNCTION("SPLIT(A2809,""TX"")"),"Velvin, Elaine
12418 Montego Plaza
Dallas, ")</f>
        <v>Velvin, Elaine
12418 Montego Plaza
Dallas, </v>
      </c>
      <c r="F2809" s="8">
        <f>IFERROR(__xludf.DUMMYFUNCTION("""COMPUTED_VALUE"""),75230.0)</f>
        <v>75230</v>
      </c>
      <c r="I2809" s="8">
        <f t="shared" si="32"/>
        <v>75230</v>
      </c>
      <c r="J2809" s="9">
        <f>IFERROR(__xludf.DUMMYFUNCTION("SPLIT(I2809,""-"")"),75230.0)</f>
        <v>75230</v>
      </c>
    </row>
    <row r="2810">
      <c r="A2810" s="10" t="s">
        <v>1924</v>
      </c>
      <c r="B2810" s="11">
        <v>500.0</v>
      </c>
      <c r="C2810" s="12" t="s">
        <v>1065</v>
      </c>
      <c r="E2810" s="8" t="str">
        <f>IFERROR(__xludf.DUMMYFUNCTION("SPLIT(A2810,""TX"")"),"arpley, Gloria
8378 Forest Hills Blvd
Dallas, ")</f>
        <v>arpley, Gloria
8378 Forest Hills Blvd
Dallas, </v>
      </c>
      <c r="F2810" s="8">
        <f>IFERROR(__xludf.DUMMYFUNCTION("""COMPUTED_VALUE"""),75218.0)</f>
        <v>75218</v>
      </c>
      <c r="I2810" s="8">
        <f t="shared" si="32"/>
        <v>75218</v>
      </c>
      <c r="J2810" s="9">
        <f>IFERROR(__xludf.DUMMYFUNCTION("SPLIT(I2810,""-"")"),75218.0)</f>
        <v>75218</v>
      </c>
    </row>
    <row r="2811">
      <c r="A2811" s="5" t="s">
        <v>2557</v>
      </c>
      <c r="B2811" s="6">
        <v>100.0</v>
      </c>
      <c r="C2811" s="7" t="s">
        <v>1065</v>
      </c>
      <c r="E2811" s="8" t="str">
        <f>IFERROR(__xludf.DUMMYFUNCTION("SPLIT(A2811,""TX"")"),"Page, Marcia
330 Las Colinas Blvd E
Irving, ")</f>
        <v>Page, Marcia
330 Las Colinas Blvd E
Irving, </v>
      </c>
      <c r="F2811" s="8">
        <f>IFERROR(__xludf.DUMMYFUNCTION("""COMPUTED_VALUE"""),75039.0)</f>
        <v>75039</v>
      </c>
      <c r="I2811" s="8">
        <f t="shared" si="32"/>
        <v>75039</v>
      </c>
      <c r="J2811" s="9">
        <f>IFERROR(__xludf.DUMMYFUNCTION("SPLIT(I2811,""-"")"),75039.0)</f>
        <v>75039</v>
      </c>
    </row>
    <row r="2812">
      <c r="A2812" s="10" t="s">
        <v>2558</v>
      </c>
      <c r="B2812" s="11">
        <v>100.0</v>
      </c>
      <c r="C2812" s="12" t="s">
        <v>1065</v>
      </c>
      <c r="E2812" s="8" t="str">
        <f>IFERROR(__xludf.DUMMYFUNCTION("SPLIT(A2812,""TX"")"),"Neumann, Dave
6318 ")</f>
        <v>Neumann, Dave
6318 </v>
      </c>
      <c r="F2812" s="8" t="str">
        <f>IFERROR(__xludf.DUMMYFUNCTION("""COMPUTED_VALUE"""),"urner Way
Dallas, ")</f>
        <v>urner Way
Dallas, </v>
      </c>
      <c r="G2812" s="8">
        <f>IFERROR(__xludf.DUMMYFUNCTION("""COMPUTED_VALUE"""),75039.0)</f>
        <v>75039</v>
      </c>
      <c r="I2812" s="8">
        <f t="shared" si="32"/>
        <v>75039</v>
      </c>
      <c r="J2812" s="9">
        <f>IFERROR(__xludf.DUMMYFUNCTION("SPLIT(I2812,""-"")"),75039.0)</f>
        <v>75039</v>
      </c>
    </row>
    <row r="2813">
      <c r="A2813" s="5" t="s">
        <v>2559</v>
      </c>
      <c r="B2813" s="6">
        <v>1000.0</v>
      </c>
      <c r="C2813" s="7" t="s">
        <v>1065</v>
      </c>
      <c r="E2813" s="8" t="str">
        <f>IFERROR(__xludf.DUMMYFUNCTION("SPLIT(A2813,""TX"")"),"aylor, Catherine
5600 West Lovers Lane
Dallas, ")</f>
        <v>aylor, Catherine
5600 West Lovers Lane
Dallas, </v>
      </c>
      <c r="F2813" s="8">
        <f>IFERROR(__xludf.DUMMYFUNCTION("""COMPUTED_VALUE"""),75209.0)</f>
        <v>75209</v>
      </c>
      <c r="I2813" s="8">
        <f t="shared" si="32"/>
        <v>75209</v>
      </c>
      <c r="J2813" s="9">
        <f>IFERROR(__xludf.DUMMYFUNCTION("SPLIT(I2813,""-"")"),75209.0)</f>
        <v>75209</v>
      </c>
    </row>
    <row r="2814">
      <c r="A2814" s="10" t="s">
        <v>2314</v>
      </c>
      <c r="B2814" s="11">
        <v>50.0</v>
      </c>
      <c r="C2814" s="12" t="s">
        <v>1065</v>
      </c>
      <c r="E2814" s="8" t="str">
        <f>IFERROR(__xludf.DUMMYFUNCTION("SPLIT(A2814,""TX"")"),"Jackson, Sarah
8600 ")</f>
        <v>Jackson, Sarah
8600 </v>
      </c>
      <c r="F2814" s="8" t="str">
        <f>IFERROR(__xludf.DUMMYFUNCTION("""COMPUTED_VALUE"""),"hackery St
Dallas, ")</f>
        <v>hackery St
Dallas, </v>
      </c>
      <c r="G2814" s="8">
        <f>IFERROR(__xludf.DUMMYFUNCTION("""COMPUTED_VALUE"""),75225.0)</f>
        <v>75225</v>
      </c>
      <c r="I2814" s="8">
        <f t="shared" si="32"/>
        <v>75225</v>
      </c>
      <c r="J2814" s="9">
        <f>IFERROR(__xludf.DUMMYFUNCTION("SPLIT(I2814,""-"")"),75225.0)</f>
        <v>75225</v>
      </c>
    </row>
    <row r="2815">
      <c r="A2815" s="5" t="s">
        <v>2560</v>
      </c>
      <c r="B2815" s="6">
        <v>1000.0</v>
      </c>
      <c r="C2815" s="7" t="s">
        <v>1065</v>
      </c>
      <c r="E2815" s="8" t="str">
        <f>IFERROR(__xludf.DUMMYFUNCTION("SPLIT(A2815,""TX"")"),"Carter, Margot
3913 Amherst Ave
Dallas, ")</f>
        <v>Carter, Margot
3913 Amherst Ave
Dallas, </v>
      </c>
      <c r="F2815" s="8">
        <f>IFERROR(__xludf.DUMMYFUNCTION("""COMPUTED_VALUE"""),75225.0)</f>
        <v>75225</v>
      </c>
      <c r="I2815" s="8">
        <f t="shared" si="32"/>
        <v>75225</v>
      </c>
      <c r="J2815" s="9">
        <f>IFERROR(__xludf.DUMMYFUNCTION("SPLIT(I2815,""-"")"),75225.0)</f>
        <v>75225</v>
      </c>
    </row>
    <row r="2816">
      <c r="A2816" s="5" t="s">
        <v>2561</v>
      </c>
      <c r="B2816" s="6">
        <v>500.0</v>
      </c>
      <c r="C2816" s="7" t="s">
        <v>1005</v>
      </c>
      <c r="E2816" s="8" t="str">
        <f>IFERROR(__xludf.DUMMYFUNCTION("SPLIT(A2816,""TX"")"),"Baker, ")</f>
        <v>Baker, </v>
      </c>
      <c r="F2816" s="8" t="str">
        <f>IFERROR(__xludf.DUMMYFUNCTION("""COMPUTED_VALUE"""),"had
4011 Commerce
Dallas, ")</f>
        <v>had
4011 Commerce
Dallas, </v>
      </c>
      <c r="G2816" s="8">
        <f>IFERROR(__xludf.DUMMYFUNCTION("""COMPUTED_VALUE"""),75226.0)</f>
        <v>75226</v>
      </c>
      <c r="I2816" s="8">
        <f t="shared" si="32"/>
        <v>75226</v>
      </c>
      <c r="J2816" s="9">
        <f>IFERROR(__xludf.DUMMYFUNCTION("SPLIT(I2816,""-"")"),75226.0)</f>
        <v>75226</v>
      </c>
    </row>
    <row r="2817">
      <c r="A2817" s="10" t="s">
        <v>2562</v>
      </c>
      <c r="B2817" s="11">
        <v>100.0</v>
      </c>
      <c r="C2817" s="12" t="s">
        <v>1005</v>
      </c>
      <c r="E2817" s="8" t="str">
        <f>IFERROR(__xludf.DUMMYFUNCTION("SPLIT(A2817,""TX"")"),"Russo, Garth
8543 ALta Mira Dr
Dallas, ")</f>
        <v>Russo, Garth
8543 ALta Mira Dr
Dallas, </v>
      </c>
      <c r="F2817" s="8">
        <f>IFERROR(__xludf.DUMMYFUNCTION("""COMPUTED_VALUE"""),75218.0)</f>
        <v>75218</v>
      </c>
      <c r="I2817" s="8">
        <f t="shared" si="32"/>
        <v>75218</v>
      </c>
      <c r="J2817" s="9">
        <f>IFERROR(__xludf.DUMMYFUNCTION("SPLIT(I2817,""-"")"),75218.0)</f>
        <v>75218</v>
      </c>
    </row>
    <row r="2818">
      <c r="A2818" s="5" t="s">
        <v>2563</v>
      </c>
      <c r="B2818" s="6">
        <v>500.0</v>
      </c>
      <c r="C2818" s="7" t="s">
        <v>1005</v>
      </c>
      <c r="E2818" s="8" t="str">
        <f>IFERROR(__xludf.DUMMYFUNCTION("SPLIT(A2818,""TX"")"),"Shapiro, Mary Beth
6656 Lakewood Blvd
Dallas, ")</f>
        <v>Shapiro, Mary Beth
6656 Lakewood Blvd
Dallas, </v>
      </c>
      <c r="F2818" s="8">
        <f>IFERROR(__xludf.DUMMYFUNCTION("""COMPUTED_VALUE"""),75214.0)</f>
        <v>75214</v>
      </c>
      <c r="I2818" s="8">
        <f t="shared" si="32"/>
        <v>75214</v>
      </c>
      <c r="J2818" s="9">
        <f>IFERROR(__xludf.DUMMYFUNCTION("SPLIT(I2818,""-"")"),75214.0)</f>
        <v>75214</v>
      </c>
    </row>
    <row r="2819">
      <c r="A2819" s="10" t="s">
        <v>2564</v>
      </c>
      <c r="B2819" s="11">
        <v>500.0</v>
      </c>
      <c r="C2819" s="12" t="s">
        <v>1005</v>
      </c>
      <c r="E2819" s="8" t="str">
        <f>IFERROR(__xludf.DUMMYFUNCTION("SPLIT(A2819,""TX"")"),"Williams, Keith
6615 Lange Circle
Dallas, ")</f>
        <v>Williams, Keith
6615 Lange Circle
Dallas, </v>
      </c>
      <c r="F2819" s="8">
        <f>IFERROR(__xludf.DUMMYFUNCTION("""COMPUTED_VALUE"""),75214.0)</f>
        <v>75214</v>
      </c>
      <c r="I2819" s="8">
        <f t="shared" si="32"/>
        <v>75214</v>
      </c>
      <c r="J2819" s="9">
        <f>IFERROR(__xludf.DUMMYFUNCTION("SPLIT(I2819,""-"")"),75214.0)</f>
        <v>75214</v>
      </c>
    </row>
    <row r="2820">
      <c r="A2820" s="5" t="s">
        <v>2565</v>
      </c>
      <c r="B2820" s="6">
        <v>1000.0</v>
      </c>
      <c r="C2820" s="7" t="s">
        <v>1005</v>
      </c>
      <c r="E2820" s="8" t="str">
        <f>IFERROR(__xludf.DUMMYFUNCTION("SPLIT(A2820,""TX"")"),"Conner, ")</f>
        <v>Conner, </v>
      </c>
      <c r="F2820" s="8" t="str">
        <f>IFERROR(__xludf.DUMMYFUNCTION("""COMPUTED_VALUE"""),"erry
7110 Lakewood Blvd
Dallas, ")</f>
        <v>erry
7110 Lakewood Blvd
Dallas, </v>
      </c>
      <c r="G2820" s="8">
        <f>IFERROR(__xludf.DUMMYFUNCTION("""COMPUTED_VALUE"""),75214.0)</f>
        <v>75214</v>
      </c>
      <c r="I2820" s="8">
        <f t="shared" si="32"/>
        <v>75214</v>
      </c>
      <c r="J2820" s="9">
        <f>IFERROR(__xludf.DUMMYFUNCTION("SPLIT(I2820,""-"")"),75214.0)</f>
        <v>75214</v>
      </c>
    </row>
    <row r="2821">
      <c r="A2821" s="10" t="s">
        <v>2566</v>
      </c>
      <c r="B2821" s="11">
        <v>250.0</v>
      </c>
      <c r="C2821" s="12" t="s">
        <v>1005</v>
      </c>
      <c r="E2821" s="8" t="str">
        <f>IFERROR(__xludf.DUMMYFUNCTION("SPLIT(A2821,""TX"")"),"Howard, ")</f>
        <v>Howard, </v>
      </c>
      <c r="F2821" s="8" t="str">
        <f>IFERROR(__xludf.DUMMYFUNCTION("""COMPUTED_VALUE"""),"odd
9623 Athelone
Dallas, ")</f>
        <v>odd
9623 Athelone
Dallas, </v>
      </c>
      <c r="G2821" s="8">
        <f>IFERROR(__xludf.DUMMYFUNCTION("""COMPUTED_VALUE"""),75218.0)</f>
        <v>75218</v>
      </c>
      <c r="I2821" s="8">
        <f t="shared" si="32"/>
        <v>75218</v>
      </c>
      <c r="J2821" s="9">
        <f>IFERROR(__xludf.DUMMYFUNCTION("SPLIT(I2821,""-"")"),75218.0)</f>
        <v>75218</v>
      </c>
    </row>
    <row r="2822">
      <c r="A2822" s="5" t="s">
        <v>2567</v>
      </c>
      <c r="B2822" s="6">
        <v>1000.0</v>
      </c>
      <c r="C2822" s="7" t="s">
        <v>1005</v>
      </c>
      <c r="E2822" s="8" t="str">
        <f>IFERROR(__xludf.DUMMYFUNCTION("SPLIT(A2822,""TX"")"),"Karol, Jennifer
5370 Medors Lane
Dallas, ")</f>
        <v>Karol, Jennifer
5370 Medors Lane
Dallas, </v>
      </c>
      <c r="F2822" s="8">
        <f>IFERROR(__xludf.DUMMYFUNCTION("""COMPUTED_VALUE"""),75229.0)</f>
        <v>75229</v>
      </c>
      <c r="I2822" s="8">
        <f t="shared" si="32"/>
        <v>75229</v>
      </c>
      <c r="J2822" s="9">
        <f>IFERROR(__xludf.DUMMYFUNCTION("SPLIT(I2822,""-"")"),75229.0)</f>
        <v>75229</v>
      </c>
    </row>
    <row r="2823">
      <c r="A2823" s="10" t="s">
        <v>2568</v>
      </c>
      <c r="B2823" s="11">
        <v>100.0</v>
      </c>
      <c r="C2823" s="12" t="s">
        <v>1005</v>
      </c>
      <c r="E2823" s="8" t="str">
        <f>IFERROR(__xludf.DUMMYFUNCTION("SPLIT(A2823,""TX"")"),"Key, Ben
7100 Bennington Dr
Dallas, ")</f>
        <v>Key, Ben
7100 Bennington Dr
Dallas, </v>
      </c>
      <c r="F2823" s="8">
        <f>IFERROR(__xludf.DUMMYFUNCTION("""COMPUTED_VALUE"""),75214.0)</f>
        <v>75214</v>
      </c>
      <c r="I2823" s="8">
        <f t="shared" si="32"/>
        <v>75214</v>
      </c>
      <c r="J2823" s="9">
        <f>IFERROR(__xludf.DUMMYFUNCTION("SPLIT(I2823,""-"")"),75214.0)</f>
        <v>75214</v>
      </c>
    </row>
    <row r="2824">
      <c r="A2824" s="5" t="s">
        <v>2569</v>
      </c>
      <c r="B2824" s="6">
        <v>250.0</v>
      </c>
      <c r="C2824" s="7" t="s">
        <v>1005</v>
      </c>
      <c r="E2824" s="8" t="str">
        <f>IFERROR(__xludf.DUMMYFUNCTION("SPLIT(A2824,""TX"")"),"Offut, Larry
6038 Bryan Pkwy
Dallas, ")</f>
        <v>Offut, Larry
6038 Bryan Pkwy
Dallas, </v>
      </c>
      <c r="F2824" s="8">
        <f>IFERROR(__xludf.DUMMYFUNCTION("""COMPUTED_VALUE"""),75206.0)</f>
        <v>75206</v>
      </c>
      <c r="I2824" s="8">
        <f t="shared" si="32"/>
        <v>75206</v>
      </c>
      <c r="J2824" s="9">
        <f>IFERROR(__xludf.DUMMYFUNCTION("SPLIT(I2824,""-"")"),75206.0)</f>
        <v>75206</v>
      </c>
    </row>
    <row r="2825">
      <c r="A2825" s="10" t="s">
        <v>1539</v>
      </c>
      <c r="B2825" s="11">
        <v>100.0</v>
      </c>
      <c r="C2825" s="12" t="s">
        <v>1005</v>
      </c>
      <c r="E2825" s="8" t="str">
        <f>IFERROR(__xludf.DUMMYFUNCTION("SPLIT(A2825,""TX"")"),"Smith, Suzanne
3210 Carlisle
Dallas, ")</f>
        <v>Smith, Suzanne
3210 Carlisle
Dallas, </v>
      </c>
      <c r="F2825" s="8">
        <f>IFERROR(__xludf.DUMMYFUNCTION("""COMPUTED_VALUE"""),75204.0)</f>
        <v>75204</v>
      </c>
      <c r="I2825" s="8">
        <f t="shared" si="32"/>
        <v>75204</v>
      </c>
      <c r="J2825" s="9">
        <f>IFERROR(__xludf.DUMMYFUNCTION("SPLIT(I2825,""-"")"),75204.0)</f>
        <v>75204</v>
      </c>
    </row>
    <row r="2826">
      <c r="A2826" s="5" t="s">
        <v>2570</v>
      </c>
      <c r="B2826" s="6">
        <v>250.0</v>
      </c>
      <c r="C2826" s="7" t="s">
        <v>1005</v>
      </c>
      <c r="E2826" s="8" t="str">
        <f>IFERROR(__xludf.DUMMYFUNCTION("SPLIT(A2826,""TX"")"),"Syler, ")</f>
        <v>Syler, </v>
      </c>
      <c r="F2826" s="8" t="str">
        <f>IFERROR(__xludf.DUMMYFUNCTION("""COMPUTED_VALUE"""),"erry
6661 Lakewood Blvd
Dallas, ")</f>
        <v>erry
6661 Lakewood Blvd
Dallas, </v>
      </c>
      <c r="G2826" s="8">
        <f>IFERROR(__xludf.DUMMYFUNCTION("""COMPUTED_VALUE"""),75214.0)</f>
        <v>75214</v>
      </c>
      <c r="I2826" s="8">
        <f t="shared" si="32"/>
        <v>75214</v>
      </c>
      <c r="J2826" s="9">
        <f>IFERROR(__xludf.DUMMYFUNCTION("SPLIT(I2826,""-"")"),75214.0)</f>
        <v>75214</v>
      </c>
    </row>
    <row r="2827">
      <c r="A2827" s="10" t="s">
        <v>2571</v>
      </c>
      <c r="B2827" s="11">
        <v>150.0</v>
      </c>
      <c r="C2827" s="12" t="s">
        <v>1005</v>
      </c>
      <c r="E2827" s="8" t="str">
        <f>IFERROR(__xludf.DUMMYFUNCTION("SPLIT(A2827,""TX"")"),"Vallot, Collette
4333 Gilbert Ave
Dallas, ")</f>
        <v>Vallot, Collette
4333 Gilbert Ave
Dallas, </v>
      </c>
      <c r="F2827" s="8">
        <f>IFERROR(__xludf.DUMMYFUNCTION("""COMPUTED_VALUE"""),75219.0)</f>
        <v>75219</v>
      </c>
      <c r="I2827" s="8">
        <f t="shared" si="32"/>
        <v>75219</v>
      </c>
      <c r="J2827" s="9">
        <f>IFERROR(__xludf.DUMMYFUNCTION("SPLIT(I2827,""-"")"),75219.0)</f>
        <v>75219</v>
      </c>
    </row>
    <row r="2828">
      <c r="A2828" s="5" t="s">
        <v>2572</v>
      </c>
      <c r="B2828" s="6">
        <v>250.0</v>
      </c>
      <c r="C2828" s="7" t="s">
        <v>1005</v>
      </c>
      <c r="E2828" s="8" t="str">
        <f>IFERROR(__xludf.DUMMYFUNCTION("SPLIT(A2828,""TX"")"),"Greef, Holly
6665 Lakewood Blvd.
Dallas, ")</f>
        <v>Greef, Holly
6665 Lakewood Blvd.
Dallas, </v>
      </c>
      <c r="F2828" s="8">
        <f>IFERROR(__xludf.DUMMYFUNCTION("""COMPUTED_VALUE"""),75214.0)</f>
        <v>75214</v>
      </c>
      <c r="I2828" s="8">
        <f t="shared" si="32"/>
        <v>75214</v>
      </c>
      <c r="J2828" s="9">
        <f>IFERROR(__xludf.DUMMYFUNCTION("SPLIT(I2828,""-"")"),75214.0)</f>
        <v>75214</v>
      </c>
    </row>
    <row r="2829">
      <c r="A2829" s="10" t="s">
        <v>2573</v>
      </c>
      <c r="B2829" s="11">
        <v>250.0</v>
      </c>
      <c r="C2829" s="12" t="s">
        <v>1005</v>
      </c>
      <c r="E2829" s="8" t="str">
        <f>IFERROR(__xludf.DUMMYFUNCTION("SPLIT(A2829,""TX"")"),"Greef, Holly
6665 Lakewood Blvd
Dallas, ")</f>
        <v>Greef, Holly
6665 Lakewood Blvd
Dallas, </v>
      </c>
      <c r="F2829" s="8">
        <f>IFERROR(__xludf.DUMMYFUNCTION("""COMPUTED_VALUE"""),75214.0)</f>
        <v>75214</v>
      </c>
      <c r="I2829" s="8">
        <f t="shared" si="32"/>
        <v>75214</v>
      </c>
      <c r="J2829" s="9">
        <f>IFERROR(__xludf.DUMMYFUNCTION("SPLIT(I2829,""-"")"),75214.0)</f>
        <v>75214</v>
      </c>
    </row>
    <row r="2830">
      <c r="A2830" s="5" t="s">
        <v>2574</v>
      </c>
      <c r="B2830" s="6">
        <v>100.0</v>
      </c>
      <c r="C2830" s="7" t="s">
        <v>1005</v>
      </c>
      <c r="E2830" s="8" t="str">
        <f>IFERROR(__xludf.DUMMYFUNCTION("SPLIT(A2830,""TX"")"),"Mason, George
6821 Carolyncrest
Dallas, ")</f>
        <v>Mason, George
6821 Carolyncrest
Dallas, </v>
      </c>
      <c r="F2830" s="8">
        <f>IFERROR(__xludf.DUMMYFUNCTION("""COMPUTED_VALUE"""),75214.0)</f>
        <v>75214</v>
      </c>
      <c r="I2830" s="8">
        <f t="shared" si="32"/>
        <v>75214</v>
      </c>
      <c r="J2830" s="9">
        <f>IFERROR(__xludf.DUMMYFUNCTION("SPLIT(I2830,""-"")"),75214.0)</f>
        <v>75214</v>
      </c>
    </row>
    <row r="2831">
      <c r="A2831" s="10" t="s">
        <v>2575</v>
      </c>
      <c r="B2831" s="11">
        <v>250.0</v>
      </c>
      <c r="C2831" s="12" t="s">
        <v>1005</v>
      </c>
      <c r="E2831" s="8" t="str">
        <f>IFERROR(__xludf.DUMMYFUNCTION("SPLIT(A2831,""TX"")"),"Schossler, Rodney
6336 ")</f>
        <v>Schossler, Rodney
6336 </v>
      </c>
      <c r="F2831" s="8" t="str">
        <f>IFERROR(__xludf.DUMMYFUNCTION("""COMPUTED_VALUE"""),"ulip
Dallas, ")</f>
        <v>ulip
Dallas, </v>
      </c>
      <c r="G2831" s="8">
        <f>IFERROR(__xludf.DUMMYFUNCTION("""COMPUTED_VALUE"""),75230.0)</f>
        <v>75230</v>
      </c>
      <c r="I2831" s="8">
        <f t="shared" si="32"/>
        <v>75230</v>
      </c>
      <c r="J2831" s="9">
        <f>IFERROR(__xludf.DUMMYFUNCTION("SPLIT(I2831,""-"")"),75230.0)</f>
        <v>75230</v>
      </c>
    </row>
    <row r="2832">
      <c r="A2832" s="5" t="s">
        <v>2576</v>
      </c>
      <c r="B2832" s="6">
        <v>250.0</v>
      </c>
      <c r="C2832" s="7" t="s">
        <v>1005</v>
      </c>
      <c r="E2832" s="8" t="str">
        <f>IFERROR(__xludf.DUMMYFUNCTION("SPLIT(A2832,""TX"")"),"Wilson, Nancy
6739 Avalon Ave
Dallas, ")</f>
        <v>Wilson, Nancy
6739 Avalon Ave
Dallas, </v>
      </c>
      <c r="F2832" s="8">
        <f>IFERROR(__xludf.DUMMYFUNCTION("""COMPUTED_VALUE"""),75214.0)</f>
        <v>75214</v>
      </c>
      <c r="I2832" s="8">
        <f t="shared" si="32"/>
        <v>75214</v>
      </c>
      <c r="J2832" s="9">
        <f>IFERROR(__xludf.DUMMYFUNCTION("SPLIT(I2832,""-"")"),75214.0)</f>
        <v>75214</v>
      </c>
    </row>
    <row r="2833">
      <c r="A2833" s="10" t="s">
        <v>2577</v>
      </c>
      <c r="B2833" s="11">
        <v>1000.0</v>
      </c>
      <c r="C2833" s="12" t="s">
        <v>1005</v>
      </c>
      <c r="E2833" s="8" t="str">
        <f>IFERROR(__xludf.DUMMYFUNCTION("SPLIT(A2833,""TX"")"),"Wendel, Diane
6913 Lakewood Blvd
Dallas, ")</f>
        <v>Wendel, Diane
6913 Lakewood Blvd
Dallas, </v>
      </c>
      <c r="F2833" s="8">
        <f>IFERROR(__xludf.DUMMYFUNCTION("""COMPUTED_VALUE"""),75214.0)</f>
        <v>75214</v>
      </c>
      <c r="I2833" s="8">
        <f t="shared" si="32"/>
        <v>75214</v>
      </c>
      <c r="J2833" s="9">
        <f>IFERROR(__xludf.DUMMYFUNCTION("SPLIT(I2833,""-"")"),75214.0)</f>
        <v>75214</v>
      </c>
    </row>
    <row r="2834">
      <c r="A2834" s="5" t="s">
        <v>2578</v>
      </c>
      <c r="B2834" s="6">
        <v>1000.0</v>
      </c>
      <c r="C2834" s="7" t="s">
        <v>1005</v>
      </c>
      <c r="E2834" s="8" t="str">
        <f>IFERROR(__xludf.DUMMYFUNCTION("SPLIT(A2834,""TX"")"),"Davis, Macey
8322 Ridgelea St.
Dallas, ")</f>
        <v>Davis, Macey
8322 Ridgelea St.
Dallas, </v>
      </c>
      <c r="F2834" s="8">
        <f>IFERROR(__xludf.DUMMYFUNCTION("""COMPUTED_VALUE"""),75209.0)</f>
        <v>75209</v>
      </c>
      <c r="I2834" s="8">
        <f t="shared" si="32"/>
        <v>75209</v>
      </c>
      <c r="J2834" s="9">
        <f>IFERROR(__xludf.DUMMYFUNCTION("SPLIT(I2834,""-"")"),75209.0)</f>
        <v>75209</v>
      </c>
    </row>
    <row r="2835">
      <c r="A2835" s="10" t="s">
        <v>2579</v>
      </c>
      <c r="B2835" s="11">
        <v>500.0</v>
      </c>
      <c r="C2835" s="12" t="s">
        <v>1005</v>
      </c>
      <c r="E2835" s="8" t="str">
        <f>IFERROR(__xludf.DUMMYFUNCTION("SPLIT(A2835,""TX"")"),"readway, Brandy
7520 Yamani
Dallas, ")</f>
        <v>readway, Brandy
7520 Yamani
Dallas, </v>
      </c>
      <c r="F2835" s="8">
        <f>IFERROR(__xludf.DUMMYFUNCTION("""COMPUTED_VALUE"""),75230.0)</f>
        <v>75230</v>
      </c>
      <c r="I2835" s="8">
        <f t="shared" si="32"/>
        <v>75230</v>
      </c>
      <c r="J2835" s="9">
        <f>IFERROR(__xludf.DUMMYFUNCTION("SPLIT(I2835,""-"")"),75230.0)</f>
        <v>75230</v>
      </c>
    </row>
    <row r="2836">
      <c r="A2836" s="5" t="s">
        <v>1030</v>
      </c>
      <c r="B2836" s="6">
        <v>100.0</v>
      </c>
      <c r="C2836" s="7" t="s">
        <v>1005</v>
      </c>
      <c r="E2836" s="8" t="str">
        <f>IFERROR(__xludf.DUMMYFUNCTION("SPLIT(A2836,""TX"")"),"Rybczyk, Madelyn
1507 ")</f>
        <v>Rybczyk, Madelyn
1507 </v>
      </c>
      <c r="F2836" s="8" t="str">
        <f>IFERROR(__xludf.DUMMYFUNCTION("""COMPUTED_VALUE"""),"ranquilla Dr
Dallas, ")</f>
        <v>ranquilla Dr
Dallas, </v>
      </c>
      <c r="G2836" s="8">
        <f>IFERROR(__xludf.DUMMYFUNCTION("""COMPUTED_VALUE"""),75218.0)</f>
        <v>75218</v>
      </c>
      <c r="I2836" s="8">
        <f t="shared" si="32"/>
        <v>75218</v>
      </c>
      <c r="J2836" s="9">
        <f>IFERROR(__xludf.DUMMYFUNCTION("SPLIT(I2836,""-"")"),75218.0)</f>
        <v>75218</v>
      </c>
    </row>
    <row r="2837">
      <c r="A2837" s="10" t="s">
        <v>2580</v>
      </c>
      <c r="B2837" s="11">
        <v>100.0</v>
      </c>
      <c r="C2837" s="12" t="s">
        <v>1005</v>
      </c>
      <c r="E2837" s="8" t="str">
        <f>IFERROR(__xludf.DUMMYFUNCTION("SPLIT(A2837,""TX"")"),"Owen, Jennifer
6541 Arborist
Dallas, ")</f>
        <v>Owen, Jennifer
6541 Arborist
Dallas, </v>
      </c>
      <c r="F2837" s="8">
        <f>IFERROR(__xludf.DUMMYFUNCTION("""COMPUTED_VALUE"""),75214.0)</f>
        <v>75214</v>
      </c>
      <c r="I2837" s="8">
        <f t="shared" si="32"/>
        <v>75214</v>
      </c>
      <c r="J2837" s="9">
        <f>IFERROR(__xludf.DUMMYFUNCTION("SPLIT(I2837,""-"")"),75214.0)</f>
        <v>75214</v>
      </c>
    </row>
    <row r="2838">
      <c r="A2838" s="5" t="s">
        <v>517</v>
      </c>
      <c r="B2838" s="6">
        <v>100.0</v>
      </c>
      <c r="C2838" s="7" t="s">
        <v>1005</v>
      </c>
      <c r="E2838" s="8" t="str">
        <f>IFERROR(__xludf.DUMMYFUNCTION("SPLIT(A2838,""TX"")"),"Faz, Isaac
101 N. Clinton Ave
Dallas, ")</f>
        <v>Faz, Isaac
101 N. Clinton Ave
Dallas, </v>
      </c>
      <c r="F2838" s="8">
        <f>IFERROR(__xludf.DUMMYFUNCTION("""COMPUTED_VALUE"""),75208.0)</f>
        <v>75208</v>
      </c>
      <c r="I2838" s="8">
        <f t="shared" si="32"/>
        <v>75208</v>
      </c>
      <c r="J2838" s="9">
        <f>IFERROR(__xludf.DUMMYFUNCTION("SPLIT(I2838,""-"")"),75208.0)</f>
        <v>75208</v>
      </c>
    </row>
    <row r="2839">
      <c r="A2839" s="10" t="s">
        <v>2581</v>
      </c>
      <c r="B2839" s="11">
        <v>250.0</v>
      </c>
      <c r="C2839" s="12" t="s">
        <v>1005</v>
      </c>
      <c r="E2839" s="8" t="str">
        <f>IFERROR(__xludf.DUMMYFUNCTION("SPLIT(A2839,""TX"")"),"Forsyth Lill, Veletta
622 Blair Blvd
Dallas, ")</f>
        <v>Forsyth Lill, Veletta
622 Blair Blvd
Dallas, </v>
      </c>
      <c r="F2839" s="8">
        <f>IFERROR(__xludf.DUMMYFUNCTION("""COMPUTED_VALUE"""),75223.0)</f>
        <v>75223</v>
      </c>
      <c r="I2839" s="8">
        <f t="shared" si="32"/>
        <v>75223</v>
      </c>
      <c r="J2839" s="9">
        <f>IFERROR(__xludf.DUMMYFUNCTION("SPLIT(I2839,""-"")"),75223.0)</f>
        <v>75223</v>
      </c>
    </row>
    <row r="2840">
      <c r="A2840" s="5" t="s">
        <v>2344</v>
      </c>
      <c r="B2840" s="6">
        <v>1000.0</v>
      </c>
      <c r="C2840" s="7" t="s">
        <v>1005</v>
      </c>
      <c r="E2840" s="8" t="str">
        <f>IFERROR(__xludf.DUMMYFUNCTION("SPLIT(A2840,""TX"")"),"Gates, Jennifer
4914 Keyhole Lane
Dallas, ")</f>
        <v>Gates, Jennifer
4914 Keyhole Lane
Dallas, </v>
      </c>
      <c r="F2840" s="8">
        <f>IFERROR(__xludf.DUMMYFUNCTION("""COMPUTED_VALUE"""),75229.0)</f>
        <v>75229</v>
      </c>
      <c r="I2840" s="8">
        <f t="shared" si="32"/>
        <v>75229</v>
      </c>
      <c r="J2840" s="9">
        <f>IFERROR(__xludf.DUMMYFUNCTION("SPLIT(I2840,""-"")"),75229.0)</f>
        <v>75229</v>
      </c>
    </row>
    <row r="2841">
      <c r="A2841" s="10" t="s">
        <v>2582</v>
      </c>
      <c r="B2841" s="11">
        <v>500.0</v>
      </c>
      <c r="C2841" s="12" t="s">
        <v>1005</v>
      </c>
      <c r="E2841" s="8" t="str">
        <f>IFERROR(__xludf.DUMMYFUNCTION("SPLIT(A2841,""TX"")"),"Hardtner, Karen
415 Janie Lane
Shreveport, LA 71106")</f>
        <v>Hardtner, Karen
415 Janie Lane
Shreveport, LA 71106</v>
      </c>
      <c r="I2841" s="8" t="str">
        <f t="shared" si="32"/>
        <v/>
      </c>
      <c r="J2841" s="9" t="str">
        <f>IFERROR(__xludf.DUMMYFUNCTION("SPLIT(I2841,""-"")"),"#VALUE!")</f>
        <v>#VALUE!</v>
      </c>
    </row>
    <row r="2842">
      <c r="A2842" s="5" t="s">
        <v>2583</v>
      </c>
      <c r="B2842" s="6">
        <v>250.0</v>
      </c>
      <c r="C2842" s="7" t="s">
        <v>1005</v>
      </c>
      <c r="E2842" s="8" t="str">
        <f>IFERROR(__xludf.DUMMYFUNCTION("SPLIT(A2842,""TX"")"),"Hoseterey, Jennifer
1409 Bella Vista
Dallas, ")</f>
        <v>Hoseterey, Jennifer
1409 Bella Vista
Dallas, </v>
      </c>
      <c r="F2842" s="8">
        <f>IFERROR(__xludf.DUMMYFUNCTION("""COMPUTED_VALUE"""),75218.0)</f>
        <v>75218</v>
      </c>
      <c r="I2842" s="8">
        <f t="shared" si="32"/>
        <v>75218</v>
      </c>
      <c r="J2842" s="9">
        <f>IFERROR(__xludf.DUMMYFUNCTION("SPLIT(I2842,""-"")"),75218.0)</f>
        <v>75218</v>
      </c>
    </row>
    <row r="2843">
      <c r="A2843" s="10" t="s">
        <v>2584</v>
      </c>
      <c r="B2843" s="11">
        <v>500.0</v>
      </c>
      <c r="C2843" s="12" t="s">
        <v>1005</v>
      </c>
      <c r="E2843" s="8" t="str">
        <f>IFERROR(__xludf.DUMMYFUNCTION("SPLIT(A2843,""TX"")"),"Hong, Sunhee
4315 Melissa Ln
Dallas, ")</f>
        <v>Hong, Sunhee
4315 Melissa Ln
Dallas, </v>
      </c>
      <c r="F2843" s="8">
        <f>IFERROR(__xludf.DUMMYFUNCTION("""COMPUTED_VALUE"""),75229.0)</f>
        <v>75229</v>
      </c>
      <c r="I2843" s="8">
        <f t="shared" si="32"/>
        <v>75229</v>
      </c>
      <c r="J2843" s="9">
        <f>IFERROR(__xludf.DUMMYFUNCTION("SPLIT(I2843,""-"")"),75229.0)</f>
        <v>75229</v>
      </c>
    </row>
    <row r="2844">
      <c r="A2844" s="5" t="s">
        <v>2585</v>
      </c>
      <c r="B2844" s="6">
        <v>500.0</v>
      </c>
      <c r="C2844" s="7" t="s">
        <v>1005</v>
      </c>
      <c r="E2844" s="8" t="str">
        <f>IFERROR(__xludf.DUMMYFUNCTION("SPLIT(A2844,""TX"")"),"Irvin, Kathleen
6620 Ridgemont Dr
Dallas, ")</f>
        <v>Irvin, Kathleen
6620 Ridgemont Dr
Dallas, </v>
      </c>
      <c r="F2844" s="8">
        <f>IFERROR(__xludf.DUMMYFUNCTION("""COMPUTED_VALUE"""),75214.0)</f>
        <v>75214</v>
      </c>
      <c r="I2844" s="8">
        <f t="shared" si="32"/>
        <v>75214</v>
      </c>
      <c r="J2844" s="9">
        <f>IFERROR(__xludf.DUMMYFUNCTION("SPLIT(I2844,""-"")"),75214.0)</f>
        <v>75214</v>
      </c>
    </row>
    <row r="2845">
      <c r="A2845" s="10" t="s">
        <v>2586</v>
      </c>
      <c r="B2845" s="11">
        <v>100.0</v>
      </c>
      <c r="C2845" s="12" t="s">
        <v>1005</v>
      </c>
      <c r="E2845" s="8" t="str">
        <f>IFERROR(__xludf.DUMMYFUNCTION("SPLIT(A2845,""TX"")"),"Kirby, Deborah
7027 Merilee Ln
Dallas, ")</f>
        <v>Kirby, Deborah
7027 Merilee Ln
Dallas, </v>
      </c>
      <c r="F2845" s="8">
        <f>IFERROR(__xludf.DUMMYFUNCTION("""COMPUTED_VALUE"""),75214.0)</f>
        <v>75214</v>
      </c>
      <c r="I2845" s="8">
        <f t="shared" si="32"/>
        <v>75214</v>
      </c>
      <c r="J2845" s="9">
        <f>IFERROR(__xludf.DUMMYFUNCTION("SPLIT(I2845,""-"")"),75214.0)</f>
        <v>75214</v>
      </c>
    </row>
    <row r="2846">
      <c r="A2846" s="5" t="s">
        <v>2587</v>
      </c>
      <c r="B2846" s="6">
        <v>250.0</v>
      </c>
      <c r="C2846" s="7" t="s">
        <v>1005</v>
      </c>
      <c r="E2846" s="8" t="str">
        <f>IFERROR(__xludf.DUMMYFUNCTION("SPLIT(A2846,""TX"")"),"Oakley, Ed
3824 Cedar Springs
Dallas, ")</f>
        <v>Oakley, Ed
3824 Cedar Springs
Dallas, </v>
      </c>
      <c r="F2846" s="8">
        <f>IFERROR(__xludf.DUMMYFUNCTION("""COMPUTED_VALUE"""),75219.0)</f>
        <v>75219</v>
      </c>
      <c r="I2846" s="8">
        <f t="shared" si="32"/>
        <v>75219</v>
      </c>
      <c r="J2846" s="9">
        <f>IFERROR(__xludf.DUMMYFUNCTION("SPLIT(I2846,""-"")"),75219.0)</f>
        <v>75219</v>
      </c>
    </row>
    <row r="2847">
      <c r="A2847" s="10" t="s">
        <v>2588</v>
      </c>
      <c r="B2847" s="11">
        <v>250.0</v>
      </c>
      <c r="C2847" s="12" t="s">
        <v>1005</v>
      </c>
      <c r="E2847" s="8" t="str">
        <f>IFERROR(__xludf.DUMMYFUNCTION("SPLIT(A2847,""TX"")"),"arpley, Gloria
8378 Forest Hills
Dallas, ")</f>
        <v>arpley, Gloria
8378 Forest Hills
Dallas, </v>
      </c>
      <c r="F2847" s="8">
        <f>IFERROR(__xludf.DUMMYFUNCTION("""COMPUTED_VALUE"""),75218.0)</f>
        <v>75218</v>
      </c>
      <c r="I2847" s="8">
        <f t="shared" si="32"/>
        <v>75218</v>
      </c>
      <c r="J2847" s="9">
        <f>IFERROR(__xludf.DUMMYFUNCTION("SPLIT(I2847,""-"")"),75218.0)</f>
        <v>75218</v>
      </c>
    </row>
    <row r="2848">
      <c r="A2848" s="5" t="s">
        <v>82</v>
      </c>
      <c r="B2848" s="6">
        <v>100.0</v>
      </c>
      <c r="C2848" s="7" t="s">
        <v>1005</v>
      </c>
      <c r="E2848" s="8" t="str">
        <f>IFERROR(__xludf.DUMMYFUNCTION("SPLIT(A2848,""TX"")"),"Chase, Scott
1700 Pacific
Dallas, ")</f>
        <v>Chase, Scott
1700 Pacific
Dallas, </v>
      </c>
      <c r="F2848" s="8">
        <f>IFERROR(__xludf.DUMMYFUNCTION("""COMPUTED_VALUE"""),75201.0)</f>
        <v>75201</v>
      </c>
      <c r="I2848" s="8">
        <f t="shared" si="32"/>
        <v>75201</v>
      </c>
      <c r="J2848" s="9">
        <f>IFERROR(__xludf.DUMMYFUNCTION("SPLIT(I2848,""-"")"),75201.0)</f>
        <v>75201</v>
      </c>
    </row>
    <row r="2849">
      <c r="A2849" s="10" t="s">
        <v>1300</v>
      </c>
      <c r="B2849" s="11">
        <v>100.0</v>
      </c>
      <c r="C2849" s="12" t="s">
        <v>1005</v>
      </c>
      <c r="E2849" s="8" t="str">
        <f>IFERROR(__xludf.DUMMYFUNCTION("SPLIT(A2849,""TX"")"),"Ehrhardt, Harryette
3525 ")</f>
        <v>Ehrhardt, Harryette
3525 </v>
      </c>
      <c r="F2849" s="8" t="str">
        <f>IFERROR(__xludf.DUMMYFUNCTION("""COMPUTED_VALUE"""),"urtle Creek
Dallas, ")</f>
        <v>urtle Creek
Dallas, </v>
      </c>
      <c r="G2849" s="8">
        <f>IFERROR(__xludf.DUMMYFUNCTION("""COMPUTED_VALUE"""),75219.0)</f>
        <v>75219</v>
      </c>
      <c r="I2849" s="8">
        <f t="shared" si="32"/>
        <v>75219</v>
      </c>
      <c r="J2849" s="9">
        <f>IFERROR(__xludf.DUMMYFUNCTION("SPLIT(I2849,""-"")"),75219.0)</f>
        <v>75219</v>
      </c>
    </row>
    <row r="2850">
      <c r="A2850" s="5" t="s">
        <v>2589</v>
      </c>
      <c r="B2850" s="6">
        <v>100.0</v>
      </c>
      <c r="C2850" s="7" t="s">
        <v>1005</v>
      </c>
      <c r="E2850" s="8" t="str">
        <f>IFERROR(__xludf.DUMMYFUNCTION("SPLIT(A2850,""TX"")"),"Miller, Shirley
5701 ")</f>
        <v>Miller, Shirley
5701 </v>
      </c>
      <c r="F2850" s="8" t="str">
        <f>IFERROR(__xludf.DUMMYFUNCTION("""COMPUTED_VALUE"""),"rail Meadow Dr.
Dallas, ")</f>
        <v>rail Meadow Dr.
Dallas, </v>
      </c>
      <c r="G2850" s="8">
        <f>IFERROR(__xludf.DUMMYFUNCTION("""COMPUTED_VALUE"""),75230.0)</f>
        <v>75230</v>
      </c>
      <c r="I2850" s="8">
        <f t="shared" si="32"/>
        <v>75230</v>
      </c>
      <c r="J2850" s="9">
        <f>IFERROR(__xludf.DUMMYFUNCTION("SPLIT(I2850,""-"")"),75230.0)</f>
        <v>75230</v>
      </c>
    </row>
    <row r="2851">
      <c r="A2851" s="10" t="s">
        <v>2590</v>
      </c>
      <c r="B2851" s="11">
        <v>250.0</v>
      </c>
      <c r="C2851" s="12" t="s">
        <v>1005</v>
      </c>
      <c r="E2851" s="8" t="str">
        <f>IFERROR(__xludf.DUMMYFUNCTION("SPLIT(A2851,""TX"")"),"Ramos, Steven
6711 Dalhart
Dallas, ")</f>
        <v>Ramos, Steven
6711 Dalhart
Dallas, </v>
      </c>
      <c r="F2851" s="8">
        <f>IFERROR(__xludf.DUMMYFUNCTION("""COMPUTED_VALUE"""),75214.0)</f>
        <v>75214</v>
      </c>
      <c r="I2851" s="8">
        <f t="shared" si="32"/>
        <v>75214</v>
      </c>
      <c r="J2851" s="9">
        <f>IFERROR(__xludf.DUMMYFUNCTION("SPLIT(I2851,""-"")"),75214.0)</f>
        <v>75214</v>
      </c>
    </row>
    <row r="2852">
      <c r="A2852" s="5" t="s">
        <v>2591</v>
      </c>
      <c r="B2852" s="6">
        <v>100.0</v>
      </c>
      <c r="C2852" s="7" t="s">
        <v>1005</v>
      </c>
      <c r="E2852" s="8" t="str">
        <f>IFERROR(__xludf.DUMMYFUNCTION("SPLIT(A2852,""TX"")"),"Saucedo, Felix
6729 Santa Maria Ln
Dallas, ")</f>
        <v>Saucedo, Felix
6729 Santa Maria Ln
Dallas, </v>
      </c>
      <c r="F2852" s="8">
        <f>IFERROR(__xludf.DUMMYFUNCTION("""COMPUTED_VALUE"""),75214.0)</f>
        <v>75214</v>
      </c>
      <c r="I2852" s="8">
        <f t="shared" si="32"/>
        <v>75214</v>
      </c>
      <c r="J2852" s="9">
        <f>IFERROR(__xludf.DUMMYFUNCTION("SPLIT(I2852,""-"")"),75214.0)</f>
        <v>75214</v>
      </c>
    </row>
    <row r="2853">
      <c r="A2853" s="10" t="s">
        <v>2592</v>
      </c>
      <c r="B2853" s="11">
        <v>500.0</v>
      </c>
      <c r="C2853" s="12" t="s">
        <v>1005</v>
      </c>
      <c r="E2853" s="8" t="str">
        <f>IFERROR(__xludf.DUMMYFUNCTION("SPLIT(A2853,""TX"")"),"Johnson, Willis
1001 Belleview
Dallas, ")</f>
        <v>Johnson, Willis
1001 Belleview
Dallas, </v>
      </c>
      <c r="F2853" s="8">
        <f>IFERROR(__xludf.DUMMYFUNCTION("""COMPUTED_VALUE"""),75210.0)</f>
        <v>75210</v>
      </c>
      <c r="I2853" s="8">
        <f t="shared" si="32"/>
        <v>75210</v>
      </c>
      <c r="J2853" s="9">
        <f>IFERROR(__xludf.DUMMYFUNCTION("SPLIT(I2853,""-"")"),75210.0)</f>
        <v>75210</v>
      </c>
    </row>
    <row r="2854">
      <c r="A2854" s="5" t="s">
        <v>2593</v>
      </c>
      <c r="B2854" s="6">
        <v>100.0</v>
      </c>
      <c r="C2854" s="7" t="s">
        <v>1005</v>
      </c>
      <c r="E2854" s="8" t="str">
        <f>IFERROR(__xludf.DUMMYFUNCTION("SPLIT(A2854,""TX"")"),"McBee, Lynn
1722 Routh St
Dallas, ")</f>
        <v>McBee, Lynn
1722 Routh St
Dallas, </v>
      </c>
      <c r="F2854" s="8">
        <f>IFERROR(__xludf.DUMMYFUNCTION("""COMPUTED_VALUE"""),75204.0)</f>
        <v>75204</v>
      </c>
      <c r="I2854" s="8">
        <f t="shared" si="32"/>
        <v>75204</v>
      </c>
      <c r="J2854" s="9">
        <f>IFERROR(__xludf.DUMMYFUNCTION("SPLIT(I2854,""-"")"),75204.0)</f>
        <v>75204</v>
      </c>
    </row>
    <row r="2855">
      <c r="A2855" s="10" t="s">
        <v>2594</v>
      </c>
      <c r="B2855" s="11">
        <v>250.0</v>
      </c>
      <c r="C2855" s="12" t="s">
        <v>1005</v>
      </c>
      <c r="E2855" s="8" t="str">
        <f>IFERROR(__xludf.DUMMYFUNCTION("SPLIT(A2855,""TX"")"),"Vandiver, Carol
6705 Bob O Link
Dallas, ")</f>
        <v>Vandiver, Carol
6705 Bob O Link
Dallas, </v>
      </c>
      <c r="F2855" s="8">
        <f>IFERROR(__xludf.DUMMYFUNCTION("""COMPUTED_VALUE"""),75214.0)</f>
        <v>75214</v>
      </c>
      <c r="I2855" s="8">
        <f t="shared" si="32"/>
        <v>75214</v>
      </c>
      <c r="J2855" s="9">
        <f>IFERROR(__xludf.DUMMYFUNCTION("SPLIT(I2855,""-"")"),75214.0)</f>
        <v>75214</v>
      </c>
    </row>
    <row r="2856">
      <c r="A2856" s="5" t="s">
        <v>2595</v>
      </c>
      <c r="B2856" s="6">
        <v>50.0</v>
      </c>
      <c r="C2856" s="7" t="s">
        <v>1005</v>
      </c>
      <c r="E2856" s="8" t="str">
        <f>IFERROR(__xludf.DUMMYFUNCTION("SPLIT(A2856,""TX"")"),"Ellis, ")</f>
        <v>Ellis, </v>
      </c>
      <c r="F2856" s="8" t="str">
        <f>IFERROR(__xludf.DUMMYFUNCTION("""COMPUTED_VALUE"""),"om
6872 Burwood
Dallas, ")</f>
        <v>om
6872 Burwood
Dallas, </v>
      </c>
      <c r="G2856" s="8">
        <f>IFERROR(__xludf.DUMMYFUNCTION("""COMPUTED_VALUE"""),75214.0)</f>
        <v>75214</v>
      </c>
      <c r="I2856" s="8">
        <f t="shared" si="32"/>
        <v>75214</v>
      </c>
      <c r="J2856" s="9">
        <f>IFERROR(__xludf.DUMMYFUNCTION("SPLIT(I2856,""-"")"),75214.0)</f>
        <v>75214</v>
      </c>
    </row>
    <row r="2857">
      <c r="A2857" s="10" t="s">
        <v>2596</v>
      </c>
      <c r="B2857" s="11">
        <v>100.0</v>
      </c>
      <c r="C2857" s="12" t="s">
        <v>1005</v>
      </c>
      <c r="E2857" s="8" t="str">
        <f>IFERROR(__xludf.DUMMYFUNCTION("SPLIT(A2857,""TX"")"),"Forester, Jay
6465 Ravendale
Dallas, ")</f>
        <v>Forester, Jay
6465 Ravendale
Dallas, </v>
      </c>
      <c r="F2857" s="8">
        <f>IFERROR(__xludf.DUMMYFUNCTION("""COMPUTED_VALUE"""),75214.0)</f>
        <v>75214</v>
      </c>
      <c r="I2857" s="8">
        <f t="shared" si="32"/>
        <v>75214</v>
      </c>
      <c r="J2857" s="9">
        <f>IFERROR(__xludf.DUMMYFUNCTION("SPLIT(I2857,""-"")"),75214.0)</f>
        <v>75214</v>
      </c>
    </row>
    <row r="2858">
      <c r="A2858" s="5" t="s">
        <v>1930</v>
      </c>
      <c r="B2858" s="6">
        <v>250.0</v>
      </c>
      <c r="C2858" s="7" t="s">
        <v>1005</v>
      </c>
      <c r="E2858" s="8" t="str">
        <f>IFERROR(__xludf.DUMMYFUNCTION("SPLIT(A2858,""TX"")"),"Margolin, Ann
2828 Hood Street
Dallas, ")</f>
        <v>Margolin, Ann
2828 Hood Street
Dallas, </v>
      </c>
      <c r="F2858" s="8">
        <f>IFERROR(__xludf.DUMMYFUNCTION("""COMPUTED_VALUE"""),75219.0)</f>
        <v>75219</v>
      </c>
      <c r="I2858" s="8">
        <f t="shared" si="32"/>
        <v>75219</v>
      </c>
      <c r="J2858" s="9">
        <f>IFERROR(__xludf.DUMMYFUNCTION("SPLIT(I2858,""-"")"),75219.0)</f>
        <v>75219</v>
      </c>
    </row>
    <row r="2859">
      <c r="A2859" s="10" t="s">
        <v>2597</v>
      </c>
      <c r="B2859" s="11">
        <v>50.0</v>
      </c>
      <c r="C2859" s="12" t="s">
        <v>1005</v>
      </c>
      <c r="E2859" s="8" t="str">
        <f>IFERROR(__xludf.DUMMYFUNCTION("SPLIT(A2859,""TX"")"),"Newton, Karen
10415 Fern St
Dallas, ")</f>
        <v>Newton, Karen
10415 Fern St
Dallas, </v>
      </c>
      <c r="F2859" s="8">
        <f>IFERROR(__xludf.DUMMYFUNCTION("""COMPUTED_VALUE"""),75228.0)</f>
        <v>75228</v>
      </c>
      <c r="I2859" s="8">
        <f t="shared" si="32"/>
        <v>75228</v>
      </c>
      <c r="J2859" s="9">
        <f>IFERROR(__xludf.DUMMYFUNCTION("SPLIT(I2859,""-"")"),75228.0)</f>
        <v>75228</v>
      </c>
    </row>
    <row r="2860">
      <c r="A2860" s="5" t="s">
        <v>2598</v>
      </c>
      <c r="B2860" s="6">
        <v>100.0</v>
      </c>
      <c r="C2860" s="7" t="s">
        <v>1005</v>
      </c>
      <c r="E2860" s="8" t="str">
        <f>IFERROR(__xludf.DUMMYFUNCTION("SPLIT(A2860,""TX"")"),"Pearce, Jennifer
5826 Mercedes
Dallas, ")</f>
        <v>Pearce, Jennifer
5826 Mercedes
Dallas, </v>
      </c>
      <c r="F2860" s="8">
        <f>IFERROR(__xludf.DUMMYFUNCTION("""COMPUTED_VALUE"""),75206.0)</f>
        <v>75206</v>
      </c>
      <c r="I2860" s="8">
        <f t="shared" si="32"/>
        <v>75206</v>
      </c>
      <c r="J2860" s="9">
        <f>IFERROR(__xludf.DUMMYFUNCTION("SPLIT(I2860,""-"")"),75206.0)</f>
        <v>75206</v>
      </c>
    </row>
    <row r="2861">
      <c r="A2861" s="10" t="s">
        <v>2599</v>
      </c>
      <c r="B2861" s="11">
        <v>100.0</v>
      </c>
      <c r="C2861" s="12" t="s">
        <v>1005</v>
      </c>
      <c r="E2861" s="8" t="str">
        <f>IFERROR(__xludf.DUMMYFUNCTION("SPLIT(A2861,""TX"")"),"Shadid, ")</f>
        <v>Shadid, </v>
      </c>
      <c r="F2861" s="8" t="str">
        <f>IFERROR(__xludf.DUMMYFUNCTION("""COMPUTED_VALUE"""),"ony
6208 Copperhill Dr
Dallas, ")</f>
        <v>ony
6208 Copperhill Dr
Dallas, </v>
      </c>
      <c r="G2861" s="8">
        <f>IFERROR(__xludf.DUMMYFUNCTION("""COMPUTED_VALUE"""),75248.0)</f>
        <v>75248</v>
      </c>
      <c r="I2861" s="8">
        <f t="shared" si="32"/>
        <v>75248</v>
      </c>
      <c r="J2861" s="9">
        <f>IFERROR(__xludf.DUMMYFUNCTION("SPLIT(I2861,""-"")"),75248.0)</f>
        <v>75248</v>
      </c>
    </row>
    <row r="2862">
      <c r="A2862" s="5" t="s">
        <v>1972</v>
      </c>
      <c r="B2862" s="6">
        <v>70.0</v>
      </c>
      <c r="C2862" s="7" t="s">
        <v>1005</v>
      </c>
      <c r="E2862" s="8" t="str">
        <f>IFERROR(__xludf.DUMMYFUNCTION("SPLIT(A2862,""TX"")"),"Suhm, Mary
12703 Nutty Brown Rd
Austin, ")</f>
        <v>Suhm, Mary
12703 Nutty Brown Rd
Austin, </v>
      </c>
      <c r="F2862" s="8">
        <f>IFERROR(__xludf.DUMMYFUNCTION("""COMPUTED_VALUE"""),78737.0)</f>
        <v>78737</v>
      </c>
      <c r="I2862" s="8">
        <f t="shared" si="32"/>
        <v>78737</v>
      </c>
      <c r="J2862" s="9">
        <f>IFERROR(__xludf.DUMMYFUNCTION("SPLIT(I2862,""-"")"),78737.0)</f>
        <v>78737</v>
      </c>
    </row>
    <row r="2863">
      <c r="A2863" s="10" t="s">
        <v>2600</v>
      </c>
      <c r="B2863" s="11">
        <v>100.0</v>
      </c>
      <c r="C2863" s="12" t="s">
        <v>1005</v>
      </c>
      <c r="E2863" s="8" t="str">
        <f>IFERROR(__xludf.DUMMYFUNCTION("SPLIT(A2863,""TX"")"),"Bazan, Kathryn
10456 Vinemont
Dallas, ")</f>
        <v>Bazan, Kathryn
10456 Vinemont
Dallas, </v>
      </c>
      <c r="F2863" s="8">
        <f>IFERROR(__xludf.DUMMYFUNCTION("""COMPUTED_VALUE"""),75218.0)</f>
        <v>75218</v>
      </c>
      <c r="I2863" s="8">
        <f t="shared" si="32"/>
        <v>75218</v>
      </c>
      <c r="J2863" s="9">
        <f>IFERROR(__xludf.DUMMYFUNCTION("SPLIT(I2863,""-"")"),75218.0)</f>
        <v>75218</v>
      </c>
    </row>
    <row r="2864">
      <c r="A2864" s="5" t="s">
        <v>2601</v>
      </c>
      <c r="B2864" s="6">
        <v>250.0</v>
      </c>
      <c r="C2864" s="7" t="s">
        <v>1005</v>
      </c>
      <c r="E2864" s="8" t="str">
        <f>IFERROR(__xludf.DUMMYFUNCTION("SPLIT(A2864,""TX"")"),"Corcoran, Anna
7140 Westlake
Dallas, ")</f>
        <v>Corcoran, Anna
7140 Westlake
Dallas, </v>
      </c>
      <c r="F2864" s="8">
        <f>IFERROR(__xludf.DUMMYFUNCTION("""COMPUTED_VALUE"""),75214.0)</f>
        <v>75214</v>
      </c>
      <c r="I2864" s="8">
        <f t="shared" si="32"/>
        <v>75214</v>
      </c>
      <c r="J2864" s="9">
        <f>IFERROR(__xludf.DUMMYFUNCTION("SPLIT(I2864,""-"")"),75214.0)</f>
        <v>75214</v>
      </c>
    </row>
    <row r="2865">
      <c r="A2865" s="10" t="s">
        <v>2602</v>
      </c>
      <c r="B2865" s="11">
        <v>100.0</v>
      </c>
      <c r="C2865" s="12" t="s">
        <v>1005</v>
      </c>
      <c r="E2865" s="8" t="str">
        <f>IFERROR(__xludf.DUMMYFUNCTION("SPLIT(A2865,""TX"")"),"Hoffman, Alan
7324 Gaston
Dallas, ")</f>
        <v>Hoffman, Alan
7324 Gaston
Dallas, </v>
      </c>
      <c r="F2865" s="8">
        <f>IFERROR(__xludf.DUMMYFUNCTION("""COMPUTED_VALUE"""),75214.0)</f>
        <v>75214</v>
      </c>
      <c r="I2865" s="8">
        <f t="shared" si="32"/>
        <v>75214</v>
      </c>
      <c r="J2865" s="9">
        <f>IFERROR(__xludf.DUMMYFUNCTION("SPLIT(I2865,""-"")"),75214.0)</f>
        <v>75214</v>
      </c>
    </row>
    <row r="2866">
      <c r="A2866" s="5" t="s">
        <v>2603</v>
      </c>
      <c r="B2866" s="6">
        <v>100.0</v>
      </c>
      <c r="C2866" s="7" t="s">
        <v>1005</v>
      </c>
      <c r="E2866" s="8" t="str">
        <f>IFERROR(__xludf.DUMMYFUNCTION("SPLIT(A2866,""TX"")"),"Hoffman, Pamela
9010 Groveland Dr
Dallas, ")</f>
        <v>Hoffman, Pamela
9010 Groveland Dr
Dallas, </v>
      </c>
      <c r="F2866" s="8">
        <f>IFERROR(__xludf.DUMMYFUNCTION("""COMPUTED_VALUE"""),75218.0)</f>
        <v>75218</v>
      </c>
      <c r="I2866" s="8">
        <f t="shared" si="32"/>
        <v>75218</v>
      </c>
      <c r="J2866" s="9">
        <f>IFERROR(__xludf.DUMMYFUNCTION("SPLIT(I2866,""-"")"),75218.0)</f>
        <v>75218</v>
      </c>
    </row>
    <row r="2867">
      <c r="A2867" s="10" t="s">
        <v>2604</v>
      </c>
      <c r="B2867" s="11">
        <v>500.0</v>
      </c>
      <c r="C2867" s="12" t="s">
        <v>1005</v>
      </c>
      <c r="E2867" s="8" t="str">
        <f>IFERROR(__xludf.DUMMYFUNCTION("SPLIT(A2867,""TX"")"),"Reed, Holly
7123 LaVista Dr.
Dallas, ")</f>
        <v>Reed, Holly
7123 LaVista Dr.
Dallas, </v>
      </c>
      <c r="F2867" s="8">
        <f>IFERROR(__xludf.DUMMYFUNCTION("""COMPUTED_VALUE"""),75214.0)</f>
        <v>75214</v>
      </c>
      <c r="I2867" s="8">
        <f t="shared" si="32"/>
        <v>75214</v>
      </c>
      <c r="J2867" s="9">
        <f>IFERROR(__xludf.DUMMYFUNCTION("SPLIT(I2867,""-"")"),75214.0)</f>
        <v>75214</v>
      </c>
    </row>
    <row r="2868">
      <c r="A2868" s="5" t="s">
        <v>2605</v>
      </c>
      <c r="B2868" s="6">
        <v>1000.0</v>
      </c>
      <c r="C2868" s="7" t="s">
        <v>1005</v>
      </c>
      <c r="E2868" s="8" t="str">
        <f>IFERROR(__xludf.DUMMYFUNCTION("SPLIT(A2868,""TX"")"),"Byrne, ")</f>
        <v>Byrne, </v>
      </c>
      <c r="F2868" s="8" t="str">
        <f>IFERROR(__xludf.DUMMYFUNCTION("""COMPUTED_VALUE"""),"im
2000 McKinney Ave
Dallas, ")</f>
        <v>im
2000 McKinney Ave
Dallas, </v>
      </c>
      <c r="G2868" s="8">
        <f>IFERROR(__xludf.DUMMYFUNCTION("""COMPUTED_VALUE"""),75201.0)</f>
        <v>75201</v>
      </c>
      <c r="I2868" s="8">
        <f t="shared" si="32"/>
        <v>75201</v>
      </c>
      <c r="J2868" s="9">
        <f>IFERROR(__xludf.DUMMYFUNCTION("SPLIT(I2868,""-"")"),75201.0)</f>
        <v>75201</v>
      </c>
    </row>
    <row r="2869">
      <c r="A2869" s="10" t="s">
        <v>2606</v>
      </c>
      <c r="B2869" s="11">
        <v>250.0</v>
      </c>
      <c r="C2869" s="12" t="s">
        <v>1005</v>
      </c>
      <c r="E2869" s="8" t="str">
        <f>IFERROR(__xludf.DUMMYFUNCTION("SPLIT(A2869,""TX"")"),"Maggard, Lauren
6601 Lake Circle Dr.
Dallas, ")</f>
        <v>Maggard, Lauren
6601 Lake Circle Dr.
Dallas, </v>
      </c>
      <c r="F2869" s="8">
        <f>IFERROR(__xludf.DUMMYFUNCTION("""COMPUTED_VALUE"""),75214.0)</f>
        <v>75214</v>
      </c>
      <c r="I2869" s="8">
        <f t="shared" si="32"/>
        <v>75214</v>
      </c>
      <c r="J2869" s="9">
        <f>IFERROR(__xludf.DUMMYFUNCTION("SPLIT(I2869,""-"")"),75214.0)</f>
        <v>75214</v>
      </c>
    </row>
    <row r="2870">
      <c r="A2870" s="5" t="s">
        <v>2607</v>
      </c>
      <c r="B2870" s="6">
        <v>100.0</v>
      </c>
      <c r="C2870" s="7" t="s">
        <v>1005</v>
      </c>
      <c r="E2870" s="8" t="str">
        <f>IFERROR(__xludf.DUMMYFUNCTION("SPLIT(A2870,""TX"")"),"Gonzalez, Alex
16226 Amberwood Rd
Dallas, ")</f>
        <v>Gonzalez, Alex
16226 Amberwood Rd
Dallas, </v>
      </c>
      <c r="F2870" s="8">
        <f>IFERROR(__xludf.DUMMYFUNCTION("""COMPUTED_VALUE"""),75248.0)</f>
        <v>75248</v>
      </c>
      <c r="I2870" s="8">
        <f t="shared" si="32"/>
        <v>75248</v>
      </c>
      <c r="J2870" s="9">
        <f>IFERROR(__xludf.DUMMYFUNCTION("SPLIT(I2870,""-"")"),75248.0)</f>
        <v>75248</v>
      </c>
    </row>
    <row r="2871">
      <c r="A2871" s="10" t="s">
        <v>2608</v>
      </c>
      <c r="B2871" s="11">
        <v>100.0</v>
      </c>
      <c r="C2871" s="12" t="s">
        <v>1005</v>
      </c>
      <c r="E2871" s="8" t="str">
        <f>IFERROR(__xludf.DUMMYFUNCTION("SPLIT(A2871,""TX"")"),"Weaver, Sylvia
6920 Clemson Dr
Dallas, ")</f>
        <v>Weaver, Sylvia
6920 Clemson Dr
Dallas, </v>
      </c>
      <c r="F2871" s="8">
        <f>IFERROR(__xludf.DUMMYFUNCTION("""COMPUTED_VALUE"""),75214.0)</f>
        <v>75214</v>
      </c>
      <c r="I2871" s="8">
        <f t="shared" si="32"/>
        <v>75214</v>
      </c>
      <c r="J2871" s="9">
        <f>IFERROR(__xludf.DUMMYFUNCTION("SPLIT(I2871,""-"")"),75214.0)</f>
        <v>75214</v>
      </c>
    </row>
    <row r="2872">
      <c r="A2872" s="5" t="s">
        <v>2609</v>
      </c>
      <c r="B2872" s="6">
        <v>1000.0</v>
      </c>
      <c r="C2872" s="7" t="s">
        <v>1005</v>
      </c>
      <c r="E2872" s="8" t="str">
        <f>IFERROR(__xludf.DUMMYFUNCTION("SPLIT(A2872,""TX"")"),"Bird, Brandi
9710 Blanco dr
Lantana, ")</f>
        <v>Bird, Brandi
9710 Blanco dr
Lantana, </v>
      </c>
      <c r="F2872" s="8">
        <f>IFERROR(__xludf.DUMMYFUNCTION("""COMPUTED_VALUE"""),76226.0)</f>
        <v>76226</v>
      </c>
      <c r="I2872" s="8">
        <f t="shared" si="32"/>
        <v>76226</v>
      </c>
      <c r="J2872" s="9">
        <f>IFERROR(__xludf.DUMMYFUNCTION("SPLIT(I2872,""-"")"),76226.0)</f>
        <v>76226</v>
      </c>
    </row>
    <row r="2873">
      <c r="A2873" s="10" t="s">
        <v>2610</v>
      </c>
      <c r="B2873" s="11">
        <v>250.0</v>
      </c>
      <c r="C2873" s="12" t="s">
        <v>1005</v>
      </c>
      <c r="E2873" s="8" t="str">
        <f>IFERROR(__xludf.DUMMYFUNCTION("SPLIT(A2873,""TX"")"),"Wallace, Chris
4235 Castle Rock Ct.
IRVING, ")</f>
        <v>Wallace, Chris
4235 Castle Rock Ct.
IRVING, </v>
      </c>
      <c r="F2873" s="8">
        <f>IFERROR(__xludf.DUMMYFUNCTION("""COMPUTED_VALUE"""),75038.0)</f>
        <v>75038</v>
      </c>
      <c r="I2873" s="8">
        <f t="shared" si="32"/>
        <v>75038</v>
      </c>
      <c r="J2873" s="9">
        <f>IFERROR(__xludf.DUMMYFUNCTION("SPLIT(I2873,""-"")"),75038.0)</f>
        <v>75038</v>
      </c>
    </row>
    <row r="2874">
      <c r="A2874" s="5" t="s">
        <v>2611</v>
      </c>
      <c r="B2874" s="6">
        <v>1000.0</v>
      </c>
      <c r="C2874" s="7" t="s">
        <v>1005</v>
      </c>
      <c r="E2874" s="8" t="str">
        <f>IFERROR(__xludf.DUMMYFUNCTION("SPLIT(A2874,""TX"")"),"Linebarger, Goggan, Blair &amp; Simpson
PO Box 17426
Austin, ")</f>
        <v>Linebarger, Goggan, Blair &amp; Simpson
PO Box 17426
Austin, </v>
      </c>
      <c r="F2874" s="8">
        <f>IFERROR(__xludf.DUMMYFUNCTION("""COMPUTED_VALUE"""),78760.0)</f>
        <v>78760</v>
      </c>
      <c r="I2874" s="8">
        <f t="shared" si="32"/>
        <v>78760</v>
      </c>
      <c r="J2874" s="9">
        <f>IFERROR(__xludf.DUMMYFUNCTION("SPLIT(I2874,""-"")"),78760.0)</f>
        <v>78760</v>
      </c>
    </row>
    <row r="2875">
      <c r="A2875" s="10" t="s">
        <v>2612</v>
      </c>
      <c r="B2875" s="11">
        <v>50.0</v>
      </c>
      <c r="C2875" s="12" t="s">
        <v>1005</v>
      </c>
      <c r="E2875" s="8" t="str">
        <f>IFERROR(__xludf.DUMMYFUNCTION("SPLIT(A2875,""TX"")"),"Fergason, Jane
4130 Santa Barbara Dr.
Dallas, ")</f>
        <v>Fergason, Jane
4130 Santa Barbara Dr.
Dallas, </v>
      </c>
      <c r="F2875" s="8">
        <f>IFERROR(__xludf.DUMMYFUNCTION("""COMPUTED_VALUE"""),75214.0)</f>
        <v>75214</v>
      </c>
      <c r="I2875" s="8">
        <f t="shared" si="32"/>
        <v>75214</v>
      </c>
      <c r="J2875" s="9">
        <f>IFERROR(__xludf.DUMMYFUNCTION("SPLIT(I2875,""-"")"),75214.0)</f>
        <v>75214</v>
      </c>
    </row>
    <row r="2876">
      <c r="A2876" s="5" t="s">
        <v>2613</v>
      </c>
      <c r="B2876" s="6">
        <v>50.0</v>
      </c>
      <c r="C2876" s="7" t="s">
        <v>1005</v>
      </c>
      <c r="E2876" s="8" t="str">
        <f>IFERROR(__xludf.DUMMYFUNCTION("SPLIT(A2876,""TX"")"),"Grantham, Jennifer
4101 Commerce St.
Dallas, ")</f>
        <v>Grantham, Jennifer
4101 Commerce St.
Dallas, </v>
      </c>
      <c r="F2876" s="8">
        <f>IFERROR(__xludf.DUMMYFUNCTION("""COMPUTED_VALUE"""),75226.0)</f>
        <v>75226</v>
      </c>
      <c r="I2876" s="8">
        <f t="shared" si="32"/>
        <v>75226</v>
      </c>
      <c r="J2876" s="9">
        <f>IFERROR(__xludf.DUMMYFUNCTION("SPLIT(I2876,""-"")"),75226.0)</f>
        <v>75226</v>
      </c>
    </row>
    <row r="2877">
      <c r="A2877" s="10" t="s">
        <v>2614</v>
      </c>
      <c r="B2877" s="11">
        <v>100.0</v>
      </c>
      <c r="C2877" s="12" t="s">
        <v>1005</v>
      </c>
      <c r="E2877" s="8" t="str">
        <f>IFERROR(__xludf.DUMMYFUNCTION("SPLIT(A2877,""TX"")"),"Hoffland, Scott
7278 Williamson Cir
Dallas, ")</f>
        <v>Hoffland, Scott
7278 Williamson Cir
Dallas, </v>
      </c>
      <c r="F2877" s="8">
        <f>IFERROR(__xludf.DUMMYFUNCTION("""COMPUTED_VALUE"""),75214.0)</f>
        <v>75214</v>
      </c>
      <c r="I2877" s="8">
        <f t="shared" si="32"/>
        <v>75214</v>
      </c>
      <c r="J2877" s="9">
        <f>IFERROR(__xludf.DUMMYFUNCTION("SPLIT(I2877,""-"")"),75214.0)</f>
        <v>75214</v>
      </c>
    </row>
    <row r="2878">
      <c r="A2878" s="5" t="s">
        <v>2615</v>
      </c>
      <c r="B2878" s="6">
        <v>1000.0</v>
      </c>
      <c r="C2878" s="7" t="s">
        <v>1005</v>
      </c>
      <c r="E2878" s="8" t="str">
        <f>IFERROR(__xludf.DUMMYFUNCTION("SPLIT(A2878,""TX"")"),"Krywucki, Michael
500 N. Akard
Dallas, ")</f>
        <v>Krywucki, Michael
500 N. Akard
Dallas, </v>
      </c>
      <c r="F2878" s="8">
        <f>IFERROR(__xludf.DUMMYFUNCTION("""COMPUTED_VALUE"""),75201.0)</f>
        <v>75201</v>
      </c>
      <c r="I2878" s="8">
        <f t="shared" si="32"/>
        <v>75201</v>
      </c>
      <c r="J2878" s="9">
        <f>IFERROR(__xludf.DUMMYFUNCTION("SPLIT(I2878,""-"")"),75201.0)</f>
        <v>75201</v>
      </c>
    </row>
    <row r="2879">
      <c r="A2879" s="10" t="s">
        <v>2616</v>
      </c>
      <c r="B2879" s="11">
        <v>50.0</v>
      </c>
      <c r="C2879" s="12" t="s">
        <v>1005</v>
      </c>
      <c r="E2879" s="8" t="str">
        <f>IFERROR(__xludf.DUMMYFUNCTION("SPLIT(A2879,""TX"")"),"Lane, Lawrence
4101 Commerce
Dallas, ")</f>
        <v>Lane, Lawrence
4101 Commerce
Dallas, </v>
      </c>
      <c r="F2879" s="8">
        <f>IFERROR(__xludf.DUMMYFUNCTION("""COMPUTED_VALUE"""),75226.0)</f>
        <v>75226</v>
      </c>
      <c r="I2879" s="8">
        <f t="shared" si="32"/>
        <v>75226</v>
      </c>
      <c r="J2879" s="9">
        <f>IFERROR(__xludf.DUMMYFUNCTION("SPLIT(I2879,""-"")"),75226.0)</f>
        <v>75226</v>
      </c>
    </row>
    <row r="2880">
      <c r="A2880" s="5" t="s">
        <v>2617</v>
      </c>
      <c r="B2880" s="6">
        <v>100.0</v>
      </c>
      <c r="C2880" s="7" t="s">
        <v>1005</v>
      </c>
      <c r="E2880" s="8" t="str">
        <f>IFERROR(__xludf.DUMMYFUNCTION("SPLIT(A2880,""TX"")"),"Veale, Michael
1717 Arts Place
Dallas, ")</f>
        <v>Veale, Michael
1717 Arts Place
Dallas, </v>
      </c>
      <c r="F2880" s="8">
        <f>IFERROR(__xludf.DUMMYFUNCTION("""COMPUTED_VALUE"""),75201.0)</f>
        <v>75201</v>
      </c>
      <c r="I2880" s="8">
        <f t="shared" si="32"/>
        <v>75201</v>
      </c>
      <c r="J2880" s="9">
        <f>IFERROR(__xludf.DUMMYFUNCTION("SPLIT(I2880,""-"")"),75201.0)</f>
        <v>75201</v>
      </c>
    </row>
    <row r="2881">
      <c r="A2881" s="10" t="s">
        <v>2618</v>
      </c>
      <c r="B2881" s="11">
        <v>250.0</v>
      </c>
      <c r="C2881" s="12" t="s">
        <v>1005</v>
      </c>
      <c r="E2881" s="8" t="str">
        <f>IFERROR(__xludf.DUMMYFUNCTION("SPLIT(A2881,""TX"")"),"Coates, Sam
26 Rydington Pl
Dallas, ")</f>
        <v>Coates, Sam
26 Rydington Pl
Dallas, </v>
      </c>
      <c r="F2881" s="8">
        <f>IFERROR(__xludf.DUMMYFUNCTION("""COMPUTED_VALUE"""),75230.0)</f>
        <v>75230</v>
      </c>
      <c r="I2881" s="8">
        <f t="shared" si="32"/>
        <v>75230</v>
      </c>
      <c r="J2881" s="9">
        <f>IFERROR(__xludf.DUMMYFUNCTION("SPLIT(I2881,""-"")"),75230.0)</f>
        <v>75230</v>
      </c>
    </row>
    <row r="2882">
      <c r="A2882" s="5" t="s">
        <v>1536</v>
      </c>
      <c r="B2882" s="6">
        <v>100.0</v>
      </c>
      <c r="C2882" s="7" t="s">
        <v>1005</v>
      </c>
      <c r="E2882" s="8" t="str">
        <f>IFERROR(__xludf.DUMMYFUNCTION("SPLIT(A2882,""TX"")"),"Heinbaugh, Chris
1801 Annex Ave
Dallas, ")</f>
        <v>Heinbaugh, Chris
1801 Annex Ave
Dallas, </v>
      </c>
      <c r="F2882" s="8">
        <f>IFERROR(__xludf.DUMMYFUNCTION("""COMPUTED_VALUE"""),75204.0)</f>
        <v>75204</v>
      </c>
      <c r="I2882" s="8">
        <f t="shared" si="32"/>
        <v>75204</v>
      </c>
      <c r="J2882" s="9">
        <f>IFERROR(__xludf.DUMMYFUNCTION("SPLIT(I2882,""-"")"),75204.0)</f>
        <v>75204</v>
      </c>
    </row>
    <row r="2883">
      <c r="A2883" s="10" t="s">
        <v>2619</v>
      </c>
      <c r="B2883" s="11">
        <v>100.0</v>
      </c>
      <c r="C2883" s="12" t="s">
        <v>1005</v>
      </c>
      <c r="E2883" s="8" t="str">
        <f>IFERROR(__xludf.DUMMYFUNCTION("SPLIT(A2883,""TX"")"),"McDonough, Sally
5847 Montecello Ave
Dallas, ")</f>
        <v>McDonough, Sally
5847 Montecello Ave
Dallas, </v>
      </c>
      <c r="F2883" s="8">
        <f>IFERROR(__xludf.DUMMYFUNCTION("""COMPUTED_VALUE"""),75206.0)</f>
        <v>75206</v>
      </c>
      <c r="I2883" s="8">
        <f t="shared" si="32"/>
        <v>75206</v>
      </c>
      <c r="J2883" s="9">
        <f>IFERROR(__xludf.DUMMYFUNCTION("SPLIT(I2883,""-"")"),75206.0)</f>
        <v>75206</v>
      </c>
    </row>
    <row r="2884">
      <c r="A2884" s="5" t="s">
        <v>2620</v>
      </c>
      <c r="B2884" s="6">
        <v>50.0</v>
      </c>
      <c r="C2884" s="7" t="s">
        <v>1005</v>
      </c>
      <c r="E2884" s="8" t="str">
        <f>IFERROR(__xludf.DUMMYFUNCTION("SPLIT(A2884,""TX"")"),"Bedford, Calen
1512 Commerce St.
Dallas, ")</f>
        <v>Bedford, Calen
1512 Commerce St.
Dallas, </v>
      </c>
      <c r="F2884" s="8">
        <f>IFERROR(__xludf.DUMMYFUNCTION("""COMPUTED_VALUE"""),75201.0)</f>
        <v>75201</v>
      </c>
      <c r="I2884" s="8">
        <f t="shared" si="32"/>
        <v>75201</v>
      </c>
      <c r="J2884" s="9">
        <f>IFERROR(__xludf.DUMMYFUNCTION("SPLIT(I2884,""-"")"),75201.0)</f>
        <v>75201</v>
      </c>
    </row>
    <row r="2885">
      <c r="A2885" s="10" t="s">
        <v>2621</v>
      </c>
      <c r="B2885" s="11">
        <v>100.0</v>
      </c>
      <c r="C2885" s="12" t="s">
        <v>1005</v>
      </c>
      <c r="E2885" s="8" t="str">
        <f>IFERROR(__xludf.DUMMYFUNCTION("SPLIT(A2885,""TX"")"),"Bryant, Shawn
321 Overdale Ct.
Sunnyvale, ")</f>
        <v>Bryant, Shawn
321 Overdale Ct.
Sunnyvale, </v>
      </c>
      <c r="F2885" s="8">
        <f>IFERROR(__xludf.DUMMYFUNCTION("""COMPUTED_VALUE"""),75182.0)</f>
        <v>75182</v>
      </c>
      <c r="I2885" s="8">
        <f t="shared" si="32"/>
        <v>75182</v>
      </c>
      <c r="J2885" s="9">
        <f>IFERROR(__xludf.DUMMYFUNCTION("SPLIT(I2885,""-"")"),75182.0)</f>
        <v>75182</v>
      </c>
    </row>
    <row r="2886">
      <c r="A2886" s="5" t="s">
        <v>2622</v>
      </c>
      <c r="B2886" s="6">
        <v>2500.0</v>
      </c>
      <c r="C2886" s="7" t="s">
        <v>1005</v>
      </c>
      <c r="E2886" s="8" t="str">
        <f>IFERROR(__xludf.DUMMYFUNCTION("SPLIT(A2886,""TX"")"),"REPAC
PO Box 2246
Austin, ")</f>
        <v>REPAC
PO Box 2246
Austin, </v>
      </c>
      <c r="F2886" s="8" t="str">
        <f>IFERROR(__xludf.DUMMYFUNCTION("""COMPUTED_VALUE""")," 78768-2246")</f>
        <v> 78768-2246</v>
      </c>
      <c r="I2886" s="8" t="str">
        <f t="shared" si="32"/>
        <v> 78768-2246</v>
      </c>
      <c r="J2886" s="9">
        <f>IFERROR(__xludf.DUMMYFUNCTION("SPLIT(I2886,""-"")"),78768.0)</f>
        <v>78768</v>
      </c>
      <c r="K2886" s="8">
        <f>IFERROR(__xludf.DUMMYFUNCTION("""COMPUTED_VALUE"""),2246.0)</f>
        <v>2246</v>
      </c>
    </row>
    <row r="2887">
      <c r="A2887" s="10" t="s">
        <v>2623</v>
      </c>
      <c r="B2887" s="11">
        <v>50.0</v>
      </c>
      <c r="C2887" s="12" t="s">
        <v>1005</v>
      </c>
      <c r="E2887" s="8" t="str">
        <f>IFERROR(__xludf.DUMMYFUNCTION("SPLIT(A2887,""TX"")"),"Rybczyk, Mark
1507 ")</f>
        <v>Rybczyk, Mark
1507 </v>
      </c>
      <c r="F2887" s="8" t="str">
        <f>IFERROR(__xludf.DUMMYFUNCTION("""COMPUTED_VALUE"""),"ranquilla Dr.
Dallas, ")</f>
        <v>ranquilla Dr.
Dallas, </v>
      </c>
      <c r="G2887" s="8">
        <f>IFERROR(__xludf.DUMMYFUNCTION("""COMPUTED_VALUE"""),75218.0)</f>
        <v>75218</v>
      </c>
      <c r="I2887" s="8">
        <f t="shared" si="32"/>
        <v>75218</v>
      </c>
      <c r="J2887" s="9">
        <f>IFERROR(__xludf.DUMMYFUNCTION("SPLIT(I2887,""-"")"),75218.0)</f>
        <v>75218</v>
      </c>
    </row>
    <row r="2888">
      <c r="A2888" s="5" t="s">
        <v>2624</v>
      </c>
      <c r="B2888" s="6">
        <v>100.0</v>
      </c>
      <c r="C2888" s="7" t="s">
        <v>1005</v>
      </c>
      <c r="E2888" s="8" t="str">
        <f>IFERROR(__xludf.DUMMYFUNCTION("SPLIT(A2888,""TX"")"),"Rybczyk, Madelyn
1507 ")</f>
        <v>Rybczyk, Madelyn
1507 </v>
      </c>
      <c r="F2888" s="8" t="str">
        <f>IFERROR(__xludf.DUMMYFUNCTION("""COMPUTED_VALUE"""),"ranquilla
Dallas, ")</f>
        <v>ranquilla
Dallas, </v>
      </c>
      <c r="G2888" s="8">
        <f>IFERROR(__xludf.DUMMYFUNCTION("""COMPUTED_VALUE"""),75218.0)</f>
        <v>75218</v>
      </c>
      <c r="I2888" s="8">
        <f t="shared" si="32"/>
        <v>75218</v>
      </c>
      <c r="J2888" s="9">
        <f>IFERROR(__xludf.DUMMYFUNCTION("SPLIT(I2888,""-"")"),75218.0)</f>
        <v>75218</v>
      </c>
    </row>
    <row r="2889">
      <c r="A2889" s="10" t="s">
        <v>2625</v>
      </c>
      <c r="B2889" s="11">
        <v>1000.0</v>
      </c>
      <c r="C2889" s="12" t="s">
        <v>1005</v>
      </c>
      <c r="E2889" s="8" t="str">
        <f>IFERROR(__xludf.DUMMYFUNCTION("SPLIT(A2889,""TX"")"),"Applequist, Chris
17440 Dallas Pkwy
Dallas, ")</f>
        <v>Applequist, Chris
17440 Dallas Pkwy
Dallas, </v>
      </c>
      <c r="F2889" s="8">
        <f>IFERROR(__xludf.DUMMYFUNCTION("""COMPUTED_VALUE"""),75287.0)</f>
        <v>75287</v>
      </c>
      <c r="I2889" s="8">
        <f t="shared" si="32"/>
        <v>75287</v>
      </c>
      <c r="J2889" s="9">
        <f>IFERROR(__xludf.DUMMYFUNCTION("SPLIT(I2889,""-"")"),75287.0)</f>
        <v>75287</v>
      </c>
    </row>
    <row r="2890">
      <c r="A2890" s="5" t="s">
        <v>2626</v>
      </c>
      <c r="B2890" s="6">
        <v>50.0</v>
      </c>
      <c r="C2890" s="7" t="s">
        <v>1005</v>
      </c>
      <c r="E2890" s="8" t="str">
        <f>IFERROR(__xludf.DUMMYFUNCTION("SPLIT(A2890,""TX"")"),"Fossey, Graham
9360 Creel Creek
Dallas, ")</f>
        <v>Fossey, Graham
9360 Creel Creek
Dallas, </v>
      </c>
      <c r="F2890" s="8">
        <f>IFERROR(__xludf.DUMMYFUNCTION("""COMPUTED_VALUE"""),75228.0)</f>
        <v>75228</v>
      </c>
      <c r="I2890" s="8">
        <f t="shared" si="32"/>
        <v>75228</v>
      </c>
      <c r="J2890" s="9">
        <f>IFERROR(__xludf.DUMMYFUNCTION("SPLIT(I2890,""-"")"),75228.0)</f>
        <v>75228</v>
      </c>
    </row>
    <row r="2891">
      <c r="A2891" s="5" t="s">
        <v>2627</v>
      </c>
      <c r="B2891" s="6">
        <v>100.0</v>
      </c>
      <c r="C2891" s="7" t="s">
        <v>1005</v>
      </c>
      <c r="E2891" s="8" t="str">
        <f>IFERROR(__xludf.DUMMYFUNCTION("SPLIT(A2891,""TX"")"),"Sandoval, Stephanie
2307 Wilma Rodolph Rd.
Austin, ")</f>
        <v>Sandoval, Stephanie
2307 Wilma Rodolph Rd.
Austin, </v>
      </c>
      <c r="F2891" s="8">
        <f>IFERROR(__xludf.DUMMYFUNCTION("""COMPUTED_VALUE"""),78748.0)</f>
        <v>78748</v>
      </c>
      <c r="I2891" s="8">
        <f t="shared" si="32"/>
        <v>78748</v>
      </c>
      <c r="J2891" s="9">
        <f>IFERROR(__xludf.DUMMYFUNCTION("SPLIT(I2891,""-"")"),78748.0)</f>
        <v>78748</v>
      </c>
    </row>
    <row r="2892">
      <c r="A2892" s="10" t="s">
        <v>2628</v>
      </c>
      <c r="B2892" s="11">
        <v>100.0</v>
      </c>
      <c r="C2892" s="12" t="s">
        <v>1005</v>
      </c>
      <c r="E2892" s="8" t="str">
        <f>IFERROR(__xludf.DUMMYFUNCTION("SPLIT(A2892,""TX"")"),"Beane, Alan
12596 Montego Plaza
Dallas, ")</f>
        <v>Beane, Alan
12596 Montego Plaza
Dallas, </v>
      </c>
      <c r="F2892" s="8">
        <f>IFERROR(__xludf.DUMMYFUNCTION("""COMPUTED_VALUE"""),75230.0)</f>
        <v>75230</v>
      </c>
      <c r="I2892" s="8">
        <f t="shared" si="32"/>
        <v>75230</v>
      </c>
      <c r="J2892" s="9">
        <f>IFERROR(__xludf.DUMMYFUNCTION("SPLIT(I2892,""-"")"),75230.0)</f>
        <v>75230</v>
      </c>
    </row>
    <row r="2893">
      <c r="A2893" s="5" t="s">
        <v>2629</v>
      </c>
      <c r="B2893" s="6">
        <v>100.0</v>
      </c>
      <c r="C2893" s="7" t="s">
        <v>1005</v>
      </c>
      <c r="E2893" s="8" t="str">
        <f>IFERROR(__xludf.DUMMYFUNCTION("SPLIT(A2893,""TX"")"),"Hawkins, Marquis
123 E. Woodin Blvd
Dallas, ")</f>
        <v>Hawkins, Marquis
123 E. Woodin Blvd
Dallas, </v>
      </c>
      <c r="F2893" s="8">
        <f>IFERROR(__xludf.DUMMYFUNCTION("""COMPUTED_VALUE"""),75216.0)</f>
        <v>75216</v>
      </c>
      <c r="I2893" s="8">
        <f t="shared" si="32"/>
        <v>75216</v>
      </c>
      <c r="J2893" s="9">
        <f>IFERROR(__xludf.DUMMYFUNCTION("SPLIT(I2893,""-"")"),75216.0)</f>
        <v>75216</v>
      </c>
    </row>
    <row r="2894">
      <c r="A2894" s="10" t="s">
        <v>2630</v>
      </c>
      <c r="B2894" s="11">
        <v>250.0</v>
      </c>
      <c r="C2894" s="12" t="s">
        <v>1005</v>
      </c>
      <c r="E2894" s="8" t="str">
        <f>IFERROR(__xludf.DUMMYFUNCTION("SPLIT(A2894,""TX"")"),"Kirk, Ronald
6342 Mercedes Ave
Dallas, ")</f>
        <v>Kirk, Ronald
6342 Mercedes Ave
Dallas, </v>
      </c>
      <c r="F2894" s="8">
        <f>IFERROR(__xludf.DUMMYFUNCTION("""COMPUTED_VALUE"""),75214.0)</f>
        <v>75214</v>
      </c>
      <c r="I2894" s="8">
        <f t="shared" si="32"/>
        <v>75214</v>
      </c>
      <c r="J2894" s="9">
        <f>IFERROR(__xludf.DUMMYFUNCTION("SPLIT(I2894,""-"")"),75214.0)</f>
        <v>75214</v>
      </c>
    </row>
    <row r="2895">
      <c r="A2895" s="5" t="s">
        <v>2631</v>
      </c>
      <c r="B2895" s="6">
        <v>100.0</v>
      </c>
      <c r="C2895" s="7" t="s">
        <v>1005</v>
      </c>
      <c r="E2895" s="8" t="str">
        <f>IFERROR(__xludf.DUMMYFUNCTION("SPLIT(A2895,""TX"")"),"Montgomery, Ken
6951 Wakefield St.
Dallas, ")</f>
        <v>Montgomery, Ken
6951 Wakefield St.
Dallas, </v>
      </c>
      <c r="F2895" s="8">
        <f>IFERROR(__xludf.DUMMYFUNCTION("""COMPUTED_VALUE"""),75231.0)</f>
        <v>75231</v>
      </c>
      <c r="I2895" s="8">
        <f t="shared" si="32"/>
        <v>75231</v>
      </c>
      <c r="J2895" s="9">
        <f>IFERROR(__xludf.DUMMYFUNCTION("SPLIT(I2895,""-"")"),75231.0)</f>
        <v>75231</v>
      </c>
    </row>
    <row r="2896">
      <c r="A2896" s="10" t="s">
        <v>2632</v>
      </c>
      <c r="B2896" s="11">
        <v>1000.0</v>
      </c>
      <c r="C2896" s="12" t="s">
        <v>1005</v>
      </c>
      <c r="E2896" s="8" t="str">
        <f>IFERROR(__xludf.DUMMYFUNCTION("SPLIT(A2896,""TX"")"),"Snoyer, Jeff
3639 Overbrook Dr.
Dallas, ")</f>
        <v>Snoyer, Jeff
3639 Overbrook Dr.
Dallas, </v>
      </c>
      <c r="F2896" s="8">
        <f>IFERROR(__xludf.DUMMYFUNCTION("""COMPUTED_VALUE"""),75205.0)</f>
        <v>75205</v>
      </c>
      <c r="I2896" s="8">
        <f t="shared" si="32"/>
        <v>75205</v>
      </c>
      <c r="J2896" s="9">
        <f>IFERROR(__xludf.DUMMYFUNCTION("SPLIT(I2896,""-"")"),75205.0)</f>
        <v>75205</v>
      </c>
    </row>
    <row r="2897">
      <c r="A2897" s="5" t="s">
        <v>2633</v>
      </c>
      <c r="B2897" s="6">
        <v>250.0</v>
      </c>
      <c r="C2897" s="7" t="s">
        <v>1005</v>
      </c>
      <c r="E2897" s="8" t="str">
        <f>IFERROR(__xludf.DUMMYFUNCTION("SPLIT(A2897,""TX"")"),"Sampson, DeMetris
PO Box 76383
Dallas, ")</f>
        <v>Sampson, DeMetris
PO Box 76383
Dallas, </v>
      </c>
      <c r="F2897" s="8" t="str">
        <f>IFERROR(__xludf.DUMMYFUNCTION("""COMPUTED_VALUE""")," 75376-3834")</f>
        <v> 75376-3834</v>
      </c>
      <c r="I2897" s="8" t="str">
        <f t="shared" si="32"/>
        <v> 75376-3834</v>
      </c>
      <c r="J2897" s="9">
        <f>IFERROR(__xludf.DUMMYFUNCTION("SPLIT(I2897,""-"")"),75376.0)</f>
        <v>75376</v>
      </c>
      <c r="K2897" s="8">
        <f>IFERROR(__xludf.DUMMYFUNCTION("""COMPUTED_VALUE"""),3834.0)</f>
        <v>3834</v>
      </c>
    </row>
    <row r="2898">
      <c r="A2898" s="10" t="s">
        <v>2634</v>
      </c>
      <c r="B2898" s="11">
        <v>100.0</v>
      </c>
      <c r="C2898" s="12" t="s">
        <v>1005</v>
      </c>
      <c r="E2898" s="8" t="str">
        <f>IFERROR(__xludf.DUMMYFUNCTION("SPLIT(A2898,""TX"")"),"Bryant, Randall
1910 Pacific Ave
Dallas, ")</f>
        <v>Bryant, Randall
1910 Pacific Ave
Dallas, </v>
      </c>
      <c r="F2898" s="8">
        <f>IFERROR(__xludf.DUMMYFUNCTION("""COMPUTED_VALUE"""),75201.0)</f>
        <v>75201</v>
      </c>
      <c r="I2898" s="8">
        <f t="shared" si="32"/>
        <v>75201</v>
      </c>
      <c r="J2898" s="9">
        <f>IFERROR(__xludf.DUMMYFUNCTION("SPLIT(I2898,""-"")"),75201.0)</f>
        <v>75201</v>
      </c>
    </row>
    <row r="2899">
      <c r="A2899" s="5" t="s">
        <v>2635</v>
      </c>
      <c r="B2899" s="6">
        <v>50.0</v>
      </c>
      <c r="C2899" s="7" t="s">
        <v>1005</v>
      </c>
      <c r="E2899" s="8" t="str">
        <f>IFERROR(__xludf.DUMMYFUNCTION("SPLIT(A2899,""TX"")"),"Casey, Karen
6100 ")</f>
        <v>Casey, Karen
6100 </v>
      </c>
      <c r="F2899" s="8" t="str">
        <f>IFERROR(__xludf.DUMMYFUNCTION("""COMPUTED_VALUE"""),"remont St.
Dallas, ")</f>
        <v>remont St.
Dallas, </v>
      </c>
      <c r="G2899" s="8">
        <f>IFERROR(__xludf.DUMMYFUNCTION("""COMPUTED_VALUE"""),75214.0)</f>
        <v>75214</v>
      </c>
      <c r="I2899" s="8">
        <f t="shared" si="32"/>
        <v>75214</v>
      </c>
      <c r="J2899" s="9">
        <f>IFERROR(__xludf.DUMMYFUNCTION("SPLIT(I2899,""-"")"),75214.0)</f>
        <v>75214</v>
      </c>
    </row>
    <row r="2900">
      <c r="A2900" s="10" t="s">
        <v>2636</v>
      </c>
      <c r="B2900" s="11">
        <v>1000.0</v>
      </c>
      <c r="C2900" s="12" t="s">
        <v>1005</v>
      </c>
      <c r="E2900" s="8" t="str">
        <f>IFERROR(__xludf.DUMMYFUNCTION("SPLIT(A2900,""TX"")"),"Crone, Phil
6518 ")</f>
        <v>Crone, Phil
6518 </v>
      </c>
      <c r="F2900" s="8" t="str">
        <f>IFERROR(__xludf.DUMMYFUNCTION("""COMPUTED_VALUE"""),"rammel Dr.
Dallas, ")</f>
        <v>rammel Dr.
Dallas, </v>
      </c>
      <c r="G2900" s="8">
        <f>IFERROR(__xludf.DUMMYFUNCTION("""COMPUTED_VALUE"""),75214.0)</f>
        <v>75214</v>
      </c>
      <c r="I2900" s="8">
        <f t="shared" si="32"/>
        <v>75214</v>
      </c>
      <c r="J2900" s="9">
        <f>IFERROR(__xludf.DUMMYFUNCTION("SPLIT(I2900,""-"")"),75214.0)</f>
        <v>75214</v>
      </c>
    </row>
    <row r="2901">
      <c r="A2901" s="5" t="s">
        <v>2637</v>
      </c>
      <c r="B2901" s="6">
        <v>50.0</v>
      </c>
      <c r="C2901" s="7" t="s">
        <v>1005</v>
      </c>
      <c r="E2901" s="8" t="str">
        <f>IFERROR(__xludf.DUMMYFUNCTION("SPLIT(A2901,""TX"")"),"Garcia, Ryan
3901 ")</f>
        <v>Garcia, Ryan
3901 </v>
      </c>
      <c r="F2901" s="8" t="str">
        <f>IFERROR(__xludf.DUMMYFUNCTION("""COMPUTED_VALUE"""),"ravis St.
Dallas, ")</f>
        <v>ravis St.
Dallas, </v>
      </c>
      <c r="G2901" s="8">
        <f>IFERROR(__xludf.DUMMYFUNCTION("""COMPUTED_VALUE"""),75204.0)</f>
        <v>75204</v>
      </c>
      <c r="I2901" s="8">
        <f t="shared" si="32"/>
        <v>75204</v>
      </c>
      <c r="J2901" s="9">
        <f>IFERROR(__xludf.DUMMYFUNCTION("SPLIT(I2901,""-"")"),75204.0)</f>
        <v>75204</v>
      </c>
    </row>
    <row r="2902">
      <c r="A2902" s="10" t="s">
        <v>2638</v>
      </c>
      <c r="B2902" s="11">
        <v>50.0</v>
      </c>
      <c r="C2902" s="12" t="s">
        <v>1005</v>
      </c>
      <c r="E2902" s="8" t="str">
        <f>IFERROR(__xludf.DUMMYFUNCTION("SPLIT(A2902,""TX"")"),"Griggs, David
13214 Glad Acres
Dallas, ")</f>
        <v>Griggs, David
13214 Glad Acres
Dallas, </v>
      </c>
      <c r="F2902" s="8">
        <f>IFERROR(__xludf.DUMMYFUNCTION("""COMPUTED_VALUE"""),75234.0)</f>
        <v>75234</v>
      </c>
      <c r="I2902" s="8">
        <f t="shared" si="32"/>
        <v>75234</v>
      </c>
      <c r="J2902" s="9">
        <f>IFERROR(__xludf.DUMMYFUNCTION("SPLIT(I2902,""-"")"),75234.0)</f>
        <v>75234</v>
      </c>
    </row>
    <row r="2903">
      <c r="A2903" s="5" t="s">
        <v>2639</v>
      </c>
      <c r="B2903" s="6">
        <v>200.0</v>
      </c>
      <c r="C2903" s="7" t="s">
        <v>1005</v>
      </c>
      <c r="E2903" s="8" t="str">
        <f>IFERROR(__xludf.DUMMYFUNCTION("SPLIT(A2903,""TX"")"),"Kemp, Eric
8380 San Leandro Dr.
Dallas, ")</f>
        <v>Kemp, Eric
8380 San Leandro Dr.
Dallas, </v>
      </c>
      <c r="F2903" s="8">
        <f>IFERROR(__xludf.DUMMYFUNCTION("""COMPUTED_VALUE"""),75218.0)</f>
        <v>75218</v>
      </c>
      <c r="I2903" s="8">
        <f t="shared" si="32"/>
        <v>75218</v>
      </c>
      <c r="J2903" s="9">
        <f>IFERROR(__xludf.DUMMYFUNCTION("SPLIT(I2903,""-"")"),75218.0)</f>
        <v>75218</v>
      </c>
    </row>
    <row r="2904">
      <c r="A2904" s="10" t="s">
        <v>2640</v>
      </c>
      <c r="B2904" s="11">
        <v>100.0</v>
      </c>
      <c r="C2904" s="12" t="s">
        <v>1005</v>
      </c>
      <c r="E2904" s="8" t="str">
        <f>IFERROR(__xludf.DUMMYFUNCTION("SPLIT(A2904,""TX"")"),"Rice, Betty
2611 Millmar Dr.
Dallas, ")</f>
        <v>Rice, Betty
2611 Millmar Dr.
Dallas, </v>
      </c>
      <c r="F2904" s="8">
        <f>IFERROR(__xludf.DUMMYFUNCTION("""COMPUTED_VALUE"""),75228.0)</f>
        <v>75228</v>
      </c>
      <c r="I2904" s="8">
        <f t="shared" si="32"/>
        <v>75228</v>
      </c>
      <c r="J2904" s="9">
        <f>IFERROR(__xludf.DUMMYFUNCTION("SPLIT(I2904,""-"")"),75228.0)</f>
        <v>75228</v>
      </c>
    </row>
    <row r="2905">
      <c r="A2905" s="5" t="s">
        <v>2641</v>
      </c>
      <c r="B2905" s="6">
        <v>1000.0</v>
      </c>
      <c r="C2905" s="7" t="s">
        <v>1005</v>
      </c>
      <c r="E2905" s="8" t="str">
        <f>IFERROR(__xludf.DUMMYFUNCTION("SPLIT(A2905,""TX"")"),"Argarwal, Arun
123 Oak Lawn Ave
Dallas, ")</f>
        <v>Argarwal, Arun
123 Oak Lawn Ave
Dallas, </v>
      </c>
      <c r="F2905" s="8">
        <f>IFERROR(__xludf.DUMMYFUNCTION("""COMPUTED_VALUE"""),75207.0)</f>
        <v>75207</v>
      </c>
      <c r="I2905" s="8">
        <f t="shared" si="32"/>
        <v>75207</v>
      </c>
      <c r="J2905" s="9">
        <f>IFERROR(__xludf.DUMMYFUNCTION("SPLIT(I2905,""-"")"),75207.0)</f>
        <v>75207</v>
      </c>
    </row>
    <row r="2906">
      <c r="A2906" s="10" t="s">
        <v>2642</v>
      </c>
      <c r="B2906" s="11">
        <v>500.0</v>
      </c>
      <c r="C2906" s="12" t="s">
        <v>1005</v>
      </c>
      <c r="E2906" s="8" t="str">
        <f>IFERROR(__xludf.DUMMYFUNCTION("SPLIT(A2906,""TX"")"),"Alcantar, Joe
7304 Lane Park Ct.
Dallas, ")</f>
        <v>Alcantar, Joe
7304 Lane Park Ct.
Dallas, </v>
      </c>
      <c r="F2906" s="8">
        <f>IFERROR(__xludf.DUMMYFUNCTION("""COMPUTED_VALUE"""),75225.0)</f>
        <v>75225</v>
      </c>
      <c r="I2906" s="8">
        <f t="shared" si="32"/>
        <v>75225</v>
      </c>
      <c r="J2906" s="9">
        <f>IFERROR(__xludf.DUMMYFUNCTION("SPLIT(I2906,""-"")"),75225.0)</f>
        <v>75225</v>
      </c>
    </row>
    <row r="2907">
      <c r="A2907" s="5" t="s">
        <v>2162</v>
      </c>
      <c r="B2907" s="6">
        <v>100.0</v>
      </c>
      <c r="C2907" s="7" t="s">
        <v>1005</v>
      </c>
      <c r="E2907" s="8" t="str">
        <f>IFERROR(__xludf.DUMMYFUNCTION("SPLIT(A2907,""TX"")"),"Bazaldua, Adam
6926 Belteau Lane
Dallas, ")</f>
        <v>Bazaldua, Adam
6926 Belteau Lane
Dallas, </v>
      </c>
      <c r="F2907" s="8">
        <f>IFERROR(__xludf.DUMMYFUNCTION("""COMPUTED_VALUE"""),75227.0)</f>
        <v>75227</v>
      </c>
      <c r="I2907" s="8">
        <f t="shared" si="32"/>
        <v>75227</v>
      </c>
      <c r="J2907" s="9">
        <f>IFERROR(__xludf.DUMMYFUNCTION("SPLIT(I2907,""-"")"),75227.0)</f>
        <v>75227</v>
      </c>
    </row>
    <row r="2908">
      <c r="A2908" s="10" t="s">
        <v>2643</v>
      </c>
      <c r="B2908" s="11">
        <v>500.0</v>
      </c>
      <c r="C2908" s="12" t="s">
        <v>1005</v>
      </c>
      <c r="E2908" s="8" t="str">
        <f>IFERROR(__xludf.DUMMYFUNCTION("SPLIT(A2908,""TX"")"),"Benson, Kenneth
1527 Waterside Ct.
Dallas, ")</f>
        <v>Benson, Kenneth
1527 Waterside Ct.
Dallas, </v>
      </c>
      <c r="F2908" s="8">
        <f>IFERROR(__xludf.DUMMYFUNCTION("""COMPUTED_VALUE"""),75218.0)</f>
        <v>75218</v>
      </c>
      <c r="I2908" s="8">
        <f t="shared" si="32"/>
        <v>75218</v>
      </c>
      <c r="J2908" s="9">
        <f>IFERROR(__xludf.DUMMYFUNCTION("SPLIT(I2908,""-"")"),75218.0)</f>
        <v>75218</v>
      </c>
    </row>
    <row r="2909">
      <c r="A2909" s="5" t="s">
        <v>2644</v>
      </c>
      <c r="B2909" s="6">
        <v>500.0</v>
      </c>
      <c r="C2909" s="7" t="s">
        <v>1005</v>
      </c>
      <c r="E2909" s="8" t="str">
        <f>IFERROR(__xludf.DUMMYFUNCTION("SPLIT(A2909,""TX"")"),"Bobosky, Shelby
6823 La Vista Dr.
Dallas, ")</f>
        <v>Bobosky, Shelby
6823 La Vista Dr.
Dallas, </v>
      </c>
      <c r="F2909" s="8">
        <f>IFERROR(__xludf.DUMMYFUNCTION("""COMPUTED_VALUE"""),75214.0)</f>
        <v>75214</v>
      </c>
      <c r="I2909" s="8">
        <f t="shared" si="32"/>
        <v>75214</v>
      </c>
      <c r="J2909" s="9">
        <f>IFERROR(__xludf.DUMMYFUNCTION("SPLIT(I2909,""-"")"),75214.0)</f>
        <v>75214</v>
      </c>
    </row>
    <row r="2910">
      <c r="A2910" s="10" t="s">
        <v>2645</v>
      </c>
      <c r="B2910" s="11">
        <v>200.0</v>
      </c>
      <c r="C2910" s="12" t="s">
        <v>1005</v>
      </c>
      <c r="E2910" s="8" t="str">
        <f>IFERROR(__xludf.DUMMYFUNCTION("SPLIT(A2910,""TX"")"),"Cain, David
6307 Club Lake Ct.
Dallas, ")</f>
        <v>Cain, David
6307 Club Lake Ct.
Dallas, </v>
      </c>
      <c r="F2910" s="8">
        <f>IFERROR(__xludf.DUMMYFUNCTION("""COMPUTED_VALUE"""),75214.0)</f>
        <v>75214</v>
      </c>
      <c r="I2910" s="8">
        <f t="shared" si="32"/>
        <v>75214</v>
      </c>
      <c r="J2910" s="9">
        <f>IFERROR(__xludf.DUMMYFUNCTION("SPLIT(I2910,""-"")"),75214.0)</f>
        <v>75214</v>
      </c>
    </row>
    <row r="2911">
      <c r="A2911" s="5" t="s">
        <v>2646</v>
      </c>
      <c r="B2911" s="6">
        <v>500.0</v>
      </c>
      <c r="C2911" s="7" t="s">
        <v>1005</v>
      </c>
      <c r="E2911" s="8" t="str">
        <f>IFERROR(__xludf.DUMMYFUNCTION("SPLIT(A2911,""TX"")"),"Creuzot, John
8185 San Leandro
Dallas, ")</f>
        <v>Creuzot, John
8185 San Leandro
Dallas, </v>
      </c>
      <c r="F2911" s="8">
        <f>IFERROR(__xludf.DUMMYFUNCTION("""COMPUTED_VALUE"""),75218.0)</f>
        <v>75218</v>
      </c>
      <c r="I2911" s="8">
        <f t="shared" si="32"/>
        <v>75218</v>
      </c>
      <c r="J2911" s="9">
        <f>IFERROR(__xludf.DUMMYFUNCTION("SPLIT(I2911,""-"")"),75218.0)</f>
        <v>75218</v>
      </c>
    </row>
    <row r="2912">
      <c r="A2912" s="10" t="s">
        <v>2647</v>
      </c>
      <c r="B2912" s="11">
        <v>100.0</v>
      </c>
      <c r="C2912" s="12" t="s">
        <v>1005</v>
      </c>
      <c r="E2912" s="8" t="str">
        <f>IFERROR(__xludf.DUMMYFUNCTION("SPLIT(A2912,""TX"")"),"Gearing, Charles
9322 Mercer Dr.
Dallas, ")</f>
        <v>Gearing, Charles
9322 Mercer Dr.
Dallas, </v>
      </c>
      <c r="F2912" s="8">
        <f>IFERROR(__xludf.DUMMYFUNCTION("""COMPUTED_VALUE"""),75228.0)</f>
        <v>75228</v>
      </c>
      <c r="I2912" s="8">
        <f t="shared" si="32"/>
        <v>75228</v>
      </c>
      <c r="J2912" s="9">
        <f>IFERROR(__xludf.DUMMYFUNCTION("SPLIT(I2912,""-"")"),75228.0)</f>
        <v>75228</v>
      </c>
    </row>
    <row r="2913">
      <c r="A2913" s="5" t="s">
        <v>2648</v>
      </c>
      <c r="B2913" s="6">
        <v>100.0</v>
      </c>
      <c r="C2913" s="7" t="s">
        <v>1005</v>
      </c>
      <c r="E2913" s="8" t="str">
        <f>IFERROR(__xludf.DUMMYFUNCTION("SPLIT(A2913,""TX"")"),"Givens, Rod
6200 Los Robles Ln
MEsquite, ")</f>
        <v>Givens, Rod
6200 Los Robles Ln
MEsquite, </v>
      </c>
      <c r="F2913" s="8">
        <f>IFERROR(__xludf.DUMMYFUNCTION("""COMPUTED_VALUE"""),75215.0)</f>
        <v>75215</v>
      </c>
      <c r="I2913" s="8">
        <f t="shared" si="32"/>
        <v>75215</v>
      </c>
      <c r="J2913" s="9">
        <f>IFERROR(__xludf.DUMMYFUNCTION("SPLIT(I2913,""-"")"),75215.0)</f>
        <v>75215</v>
      </c>
    </row>
    <row r="2914">
      <c r="A2914" s="10" t="s">
        <v>2649</v>
      </c>
      <c r="B2914" s="11">
        <v>100.0</v>
      </c>
      <c r="C2914" s="12" t="s">
        <v>1005</v>
      </c>
      <c r="E2914" s="8" t="str">
        <f>IFERROR(__xludf.DUMMYFUNCTION("SPLIT(A2914,""TX"")"),"Givens, Rod
6200 Los Robles Drive
Mesquite, ")</f>
        <v>Givens, Rod
6200 Los Robles Drive
Mesquite, </v>
      </c>
      <c r="F2914" s="8">
        <f>IFERROR(__xludf.DUMMYFUNCTION("""COMPUTED_VALUE"""),75215.0)</f>
        <v>75215</v>
      </c>
      <c r="I2914" s="8">
        <f t="shared" si="32"/>
        <v>75215</v>
      </c>
      <c r="J2914" s="9">
        <f>IFERROR(__xludf.DUMMYFUNCTION("SPLIT(I2914,""-"")"),75215.0)</f>
        <v>75215</v>
      </c>
    </row>
    <row r="2915">
      <c r="A2915" s="5" t="s">
        <v>2650</v>
      </c>
      <c r="B2915" s="6">
        <v>100.0</v>
      </c>
      <c r="C2915" s="7" t="s">
        <v>1005</v>
      </c>
      <c r="E2915" s="8" t="str">
        <f>IFERROR(__xludf.DUMMYFUNCTION("SPLIT(A2915,""TX"")"),"Jasso, Juan
821 Haines Ave.
Dallas, ")</f>
        <v>Jasso, Juan
821 Haines Ave.
Dallas, </v>
      </c>
      <c r="F2915" s="8">
        <f>IFERROR(__xludf.DUMMYFUNCTION("""COMPUTED_VALUE"""),75208.0)</f>
        <v>75208</v>
      </c>
      <c r="I2915" s="8">
        <f t="shared" si="32"/>
        <v>75208</v>
      </c>
      <c r="J2915" s="9">
        <f>IFERROR(__xludf.DUMMYFUNCTION("SPLIT(I2915,""-"")"),75208.0)</f>
        <v>75208</v>
      </c>
    </row>
    <row r="2916">
      <c r="A2916" s="10" t="s">
        <v>2651</v>
      </c>
      <c r="B2916" s="11">
        <v>500.0</v>
      </c>
      <c r="C2916" s="12" t="s">
        <v>1005</v>
      </c>
      <c r="E2916" s="8" t="str">
        <f>IFERROR(__xludf.DUMMYFUNCTION("SPLIT(A2916,""TX"")"),"Malone, Kimberly
8824 Diceman Dr.
Dallas, ")</f>
        <v>Malone, Kimberly
8824 Diceman Dr.
Dallas, </v>
      </c>
      <c r="F2916" s="8">
        <f>IFERROR(__xludf.DUMMYFUNCTION("""COMPUTED_VALUE"""),75218.0)</f>
        <v>75218</v>
      </c>
      <c r="I2916" s="8">
        <f t="shared" si="32"/>
        <v>75218</v>
      </c>
      <c r="J2916" s="9">
        <f>IFERROR(__xludf.DUMMYFUNCTION("SPLIT(I2916,""-"")"),75218.0)</f>
        <v>75218</v>
      </c>
    </row>
    <row r="2917">
      <c r="A2917" s="5" t="s">
        <v>2652</v>
      </c>
      <c r="B2917" s="6">
        <v>50.0</v>
      </c>
      <c r="C2917" s="7" t="s">
        <v>1005</v>
      </c>
      <c r="E2917" s="8" t="str">
        <f>IFERROR(__xludf.DUMMYFUNCTION("SPLIT(A2917,""TX"")"),"Melton, WJ
613 Mount Auburn Ave.
Dallas, ")</f>
        <v>Melton, WJ
613 Mount Auburn Ave.
Dallas, </v>
      </c>
      <c r="F2917" s="8">
        <f>IFERROR(__xludf.DUMMYFUNCTION("""COMPUTED_VALUE"""),75223.0)</f>
        <v>75223</v>
      </c>
      <c r="I2917" s="8">
        <f t="shared" si="32"/>
        <v>75223</v>
      </c>
      <c r="J2917" s="9">
        <f>IFERROR(__xludf.DUMMYFUNCTION("SPLIT(I2917,""-"")"),75223.0)</f>
        <v>75223</v>
      </c>
    </row>
    <row r="2918">
      <c r="A2918" s="10" t="s">
        <v>2653</v>
      </c>
      <c r="B2918" s="11">
        <v>100.0</v>
      </c>
      <c r="C2918" s="12" t="s">
        <v>1005</v>
      </c>
      <c r="E2918" s="8" t="str">
        <f>IFERROR(__xludf.DUMMYFUNCTION("SPLIT(A2918,""TX"")"),"Paluso, Angela
6535 Bob O Link
Dallas, ")</f>
        <v>Paluso, Angela
6535 Bob O Link
Dallas, </v>
      </c>
      <c r="F2918" s="8">
        <f>IFERROR(__xludf.DUMMYFUNCTION("""COMPUTED_VALUE"""),75214.0)</f>
        <v>75214</v>
      </c>
      <c r="I2918" s="8">
        <f t="shared" si="32"/>
        <v>75214</v>
      </c>
      <c r="J2918" s="9">
        <f>IFERROR(__xludf.DUMMYFUNCTION("SPLIT(I2918,""-"")"),75214.0)</f>
        <v>75214</v>
      </c>
    </row>
    <row r="2919">
      <c r="A2919" s="5" t="s">
        <v>2654</v>
      </c>
      <c r="B2919" s="6">
        <v>100.0</v>
      </c>
      <c r="C2919" s="7" t="s">
        <v>1005</v>
      </c>
      <c r="E2919" s="8" t="str">
        <f>IFERROR(__xludf.DUMMYFUNCTION("SPLIT(A2919,""TX"")"),"Rivas, Jose
6145 Park Dale Dr
Dallas, ")</f>
        <v>Rivas, Jose
6145 Park Dale Dr
Dallas, </v>
      </c>
      <c r="F2919" s="8">
        <f>IFERROR(__xludf.DUMMYFUNCTION("""COMPUTED_VALUE"""),75227.0)</f>
        <v>75227</v>
      </c>
      <c r="I2919" s="8">
        <f t="shared" si="32"/>
        <v>75227</v>
      </c>
      <c r="J2919" s="9">
        <f>IFERROR(__xludf.DUMMYFUNCTION("SPLIT(I2919,""-"")"),75227.0)</f>
        <v>75227</v>
      </c>
    </row>
    <row r="2920">
      <c r="A2920" s="10" t="s">
        <v>2655</v>
      </c>
      <c r="B2920" s="11">
        <v>250.0</v>
      </c>
      <c r="C2920" s="12" t="s">
        <v>1005</v>
      </c>
      <c r="E2920" s="8" t="str">
        <f>IFERROR(__xludf.DUMMYFUNCTION("SPLIT(A2920,""TX"")"),"Simon, Jason
1917 Valley Oaks Ct
Irving, ")</f>
        <v>Simon, Jason
1917 Valley Oaks Ct
Irving, </v>
      </c>
      <c r="F2920" s="8">
        <f>IFERROR(__xludf.DUMMYFUNCTION("""COMPUTED_VALUE"""),75016.0)</f>
        <v>75016</v>
      </c>
      <c r="I2920" s="8">
        <f t="shared" si="32"/>
        <v>75016</v>
      </c>
      <c r="J2920" s="9">
        <f>IFERROR(__xludf.DUMMYFUNCTION("SPLIT(I2920,""-"")"),75016.0)</f>
        <v>75016</v>
      </c>
    </row>
    <row r="2921">
      <c r="A2921" s="5" t="s">
        <v>2656</v>
      </c>
      <c r="B2921" s="6">
        <v>500.0</v>
      </c>
      <c r="C2921" s="7" t="s">
        <v>1005</v>
      </c>
      <c r="E2921" s="8" t="str">
        <f>IFERROR(__xludf.DUMMYFUNCTION("SPLIT(A2921,""TX"")"),"Sleeper, Neal
3374 Blackburn
Dallas, ")</f>
        <v>Sleeper, Neal
3374 Blackburn
Dallas, </v>
      </c>
      <c r="F2921" s="8">
        <f>IFERROR(__xludf.DUMMYFUNCTION("""COMPUTED_VALUE"""),75204.0)</f>
        <v>75204</v>
      </c>
      <c r="I2921" s="8">
        <f t="shared" si="32"/>
        <v>75204</v>
      </c>
      <c r="J2921" s="9">
        <f>IFERROR(__xludf.DUMMYFUNCTION("SPLIT(I2921,""-"")"),75204.0)</f>
        <v>75204</v>
      </c>
    </row>
    <row r="2922">
      <c r="A2922" s="10" t="s">
        <v>2657</v>
      </c>
      <c r="B2922" s="11">
        <v>50.0</v>
      </c>
      <c r="C2922" s="12" t="s">
        <v>1005</v>
      </c>
      <c r="E2922" s="8" t="str">
        <f>IFERROR(__xludf.DUMMYFUNCTION("SPLIT(A2922,""TX"")"),"iller, Martha
5909 Luther Lake
Dallas, ")</f>
        <v>iller, Martha
5909 Luther Lake
Dallas, </v>
      </c>
      <c r="F2922" s="8">
        <f>IFERROR(__xludf.DUMMYFUNCTION("""COMPUTED_VALUE"""),75225.0)</f>
        <v>75225</v>
      </c>
      <c r="I2922" s="8">
        <f t="shared" si="32"/>
        <v>75225</v>
      </c>
      <c r="J2922" s="9">
        <f>IFERROR(__xludf.DUMMYFUNCTION("SPLIT(I2922,""-"")"),75225.0)</f>
        <v>75225</v>
      </c>
    </row>
    <row r="2923">
      <c r="A2923" s="5" t="s">
        <v>2658</v>
      </c>
      <c r="B2923" s="6">
        <v>1000.0</v>
      </c>
      <c r="C2923" s="7" t="s">
        <v>1005</v>
      </c>
      <c r="E2923" s="8" t="str">
        <f>IFERROR(__xludf.DUMMYFUNCTION("SPLIT(A2923,""TX"")"),"Bragalone, Mickie
4105 W. Lanther Drive
Dallas, ")</f>
        <v>Bragalone, Mickie
4105 W. Lanther Drive
Dallas, </v>
      </c>
      <c r="F2923" s="8">
        <f>IFERROR(__xludf.DUMMYFUNCTION("""COMPUTED_VALUE"""),75214.0)</f>
        <v>75214</v>
      </c>
      <c r="I2923" s="8">
        <f t="shared" si="32"/>
        <v>75214</v>
      </c>
      <c r="J2923" s="9">
        <f>IFERROR(__xludf.DUMMYFUNCTION("SPLIT(I2923,""-"")"),75214.0)</f>
        <v>75214</v>
      </c>
    </row>
    <row r="2924">
      <c r="A2924" s="10" t="s">
        <v>2659</v>
      </c>
      <c r="B2924" s="11">
        <v>50.0</v>
      </c>
      <c r="C2924" s="12" t="s">
        <v>1005</v>
      </c>
      <c r="E2924" s="8" t="str">
        <f>IFERROR(__xludf.DUMMYFUNCTION("SPLIT(A2924,""TX"")"),"Fuentes, Mark
10811 Fernald Ave
Dallas, ")</f>
        <v>Fuentes, Mark
10811 Fernald Ave
Dallas, </v>
      </c>
      <c r="F2924" s="8">
        <f>IFERROR(__xludf.DUMMYFUNCTION("""COMPUTED_VALUE"""),75218.0)</f>
        <v>75218</v>
      </c>
      <c r="I2924" s="8">
        <f t="shared" si="32"/>
        <v>75218</v>
      </c>
      <c r="J2924" s="9">
        <f>IFERROR(__xludf.DUMMYFUNCTION("SPLIT(I2924,""-"")"),75218.0)</f>
        <v>75218</v>
      </c>
    </row>
    <row r="2925">
      <c r="A2925" s="5" t="s">
        <v>2660</v>
      </c>
      <c r="B2925" s="6">
        <v>250.0</v>
      </c>
      <c r="C2925" s="7" t="s">
        <v>1005</v>
      </c>
      <c r="E2925" s="8" t="str">
        <f>IFERROR(__xludf.DUMMYFUNCTION("SPLIT(A2925,""TX"")"),"Platt, Mark
6956 Dalhart Ln
Dallas, ")</f>
        <v>Platt, Mark
6956 Dalhart Ln
Dallas, </v>
      </c>
      <c r="F2925" s="8">
        <f>IFERROR(__xludf.DUMMYFUNCTION("""COMPUTED_VALUE"""),75214.0)</f>
        <v>75214</v>
      </c>
      <c r="I2925" s="8">
        <f t="shared" si="32"/>
        <v>75214</v>
      </c>
      <c r="J2925" s="9">
        <f>IFERROR(__xludf.DUMMYFUNCTION("SPLIT(I2925,""-"")"),75214.0)</f>
        <v>75214</v>
      </c>
    </row>
    <row r="2926">
      <c r="A2926" s="10" t="s">
        <v>2661</v>
      </c>
      <c r="B2926" s="11">
        <v>250.0</v>
      </c>
      <c r="C2926" s="12" t="s">
        <v>1005</v>
      </c>
      <c r="E2926" s="8" t="str">
        <f>IFERROR(__xludf.DUMMYFUNCTION("SPLIT(A2926,""TX"")"),"Starr, Heidi
6713 Avalon Ave
Dallas, ")</f>
        <v>Starr, Heidi
6713 Avalon Ave
Dallas, </v>
      </c>
      <c r="F2926" s="8">
        <f>IFERROR(__xludf.DUMMYFUNCTION("""COMPUTED_VALUE"""),75214.0)</f>
        <v>75214</v>
      </c>
      <c r="I2926" s="8">
        <f t="shared" si="32"/>
        <v>75214</v>
      </c>
      <c r="J2926" s="9">
        <f>IFERROR(__xludf.DUMMYFUNCTION("SPLIT(I2926,""-"")"),75214.0)</f>
        <v>75214</v>
      </c>
    </row>
    <row r="2927">
      <c r="A2927" s="5" t="s">
        <v>1046</v>
      </c>
      <c r="B2927" s="6">
        <v>500.0</v>
      </c>
      <c r="C2927" s="7" t="s">
        <v>1005</v>
      </c>
      <c r="E2927" s="8" t="str">
        <f>IFERROR(__xludf.DUMMYFUNCTION("SPLIT(A2927,""TX"")"),"Kotvis, Jill
6620 Yosemite
Dallas, ")</f>
        <v>Kotvis, Jill
6620 Yosemite
Dallas, </v>
      </c>
      <c r="F2927" s="8">
        <f>IFERROR(__xludf.DUMMYFUNCTION("""COMPUTED_VALUE"""),75214.0)</f>
        <v>75214</v>
      </c>
      <c r="I2927" s="8">
        <f t="shared" si="32"/>
        <v>75214</v>
      </c>
      <c r="J2927" s="9">
        <f>IFERROR(__xludf.DUMMYFUNCTION("SPLIT(I2927,""-"")"),75214.0)</f>
        <v>75214</v>
      </c>
    </row>
    <row r="2928">
      <c r="A2928" s="10" t="s">
        <v>2662</v>
      </c>
      <c r="B2928" s="11">
        <v>1000.0</v>
      </c>
      <c r="C2928" s="12" t="s">
        <v>1005</v>
      </c>
      <c r="E2928" s="8" t="str">
        <f>IFERROR(__xludf.DUMMYFUNCTION("SPLIT(A2928,""TX"")"),"Rawlings, Margaret
10434 Lennox Lane
Dallas, ")</f>
        <v>Rawlings, Margaret
10434 Lennox Lane
Dallas, </v>
      </c>
      <c r="F2928" s="8">
        <f>IFERROR(__xludf.DUMMYFUNCTION("""COMPUTED_VALUE"""),75229.0)</f>
        <v>75229</v>
      </c>
      <c r="I2928" s="8">
        <f t="shared" si="32"/>
        <v>75229</v>
      </c>
      <c r="J2928" s="9">
        <f>IFERROR(__xludf.DUMMYFUNCTION("SPLIT(I2928,""-"")"),75229.0)</f>
        <v>75229</v>
      </c>
    </row>
    <row r="2929">
      <c r="A2929" s="5" t="s">
        <v>2663</v>
      </c>
      <c r="B2929" s="6">
        <v>500.0</v>
      </c>
      <c r="C2929" s="7" t="s">
        <v>1005</v>
      </c>
      <c r="E2929" s="8" t="str">
        <f>IFERROR(__xludf.DUMMYFUNCTION("SPLIT(A2929,""TX"")"),"Scovell, ")</f>
        <v>Scovell, </v>
      </c>
      <c r="F2929" s="8" t="str">
        <f>IFERROR(__xludf.DUMMYFUNCTION("""COMPUTED_VALUE"""),". Dupree
7034 Alexander Dr.
Dallas, ")</f>
        <v>. Dupree
7034 Alexander Dr.
Dallas, </v>
      </c>
      <c r="G2929" s="8">
        <f>IFERROR(__xludf.DUMMYFUNCTION("""COMPUTED_VALUE"""),75214.0)</f>
        <v>75214</v>
      </c>
      <c r="I2929" s="8">
        <f t="shared" si="32"/>
        <v>75214</v>
      </c>
      <c r="J2929" s="9">
        <f>IFERROR(__xludf.DUMMYFUNCTION("SPLIT(I2929,""-"")"),75214.0)</f>
        <v>75214</v>
      </c>
    </row>
    <row r="2930">
      <c r="A2930" s="10" t="s">
        <v>2664</v>
      </c>
      <c r="B2930" s="11">
        <v>100.0</v>
      </c>
      <c r="C2930" s="12" t="s">
        <v>1005</v>
      </c>
      <c r="E2930" s="8" t="str">
        <f>IFERROR(__xludf.DUMMYFUNCTION("SPLIT(A2930,""TX"")"),"Brewer, Hilda
6429 McCommas Blvd
Dallas, ")</f>
        <v>Brewer, Hilda
6429 McCommas Blvd
Dallas, </v>
      </c>
      <c r="F2930" s="8">
        <f>IFERROR(__xludf.DUMMYFUNCTION("""COMPUTED_VALUE"""),75214.0)</f>
        <v>75214</v>
      </c>
      <c r="I2930" s="8">
        <f t="shared" si="32"/>
        <v>75214</v>
      </c>
      <c r="J2930" s="9">
        <f>IFERROR(__xludf.DUMMYFUNCTION("SPLIT(I2930,""-"")"),75214.0)</f>
        <v>75214</v>
      </c>
    </row>
    <row r="2931">
      <c r="A2931" s="5" t="s">
        <v>2665</v>
      </c>
      <c r="B2931" s="6">
        <v>500.0</v>
      </c>
      <c r="C2931" s="7" t="s">
        <v>1005</v>
      </c>
      <c r="E2931" s="8" t="str">
        <f>IFERROR(__xludf.DUMMYFUNCTION("SPLIT(A2931,""TX"")"),"GERBER, PAM
4435 HOLLAND AVE
DALLAS, ")</f>
        <v>GERBER, PAM
4435 HOLLAND AVE
DALLAS, </v>
      </c>
      <c r="F2931" s="8">
        <f>IFERROR(__xludf.DUMMYFUNCTION("""COMPUTED_VALUE"""),75219.0)</f>
        <v>75219</v>
      </c>
      <c r="I2931" s="8">
        <f t="shared" si="32"/>
        <v>75219</v>
      </c>
      <c r="J2931" s="9">
        <f>IFERROR(__xludf.DUMMYFUNCTION("SPLIT(I2931,""-"")"),75219.0)</f>
        <v>75219</v>
      </c>
    </row>
    <row r="2932">
      <c r="A2932" s="10" t="s">
        <v>2666</v>
      </c>
      <c r="B2932" s="11">
        <v>250.0</v>
      </c>
      <c r="C2932" s="12" t="s">
        <v>1005</v>
      </c>
      <c r="E2932" s="8" t="str">
        <f>IFERROR(__xludf.DUMMYFUNCTION("SPLIT(A2932,""TX"")"),"Hansbany, Maria
3509 Hillbrook St
Dallas, ")</f>
        <v>Hansbany, Maria
3509 Hillbrook St
Dallas, </v>
      </c>
      <c r="F2932" s="8">
        <f>IFERROR(__xludf.DUMMYFUNCTION("""COMPUTED_VALUE"""),75214.0)</f>
        <v>75214</v>
      </c>
      <c r="I2932" s="8">
        <f t="shared" si="32"/>
        <v>75214</v>
      </c>
      <c r="J2932" s="9">
        <f>IFERROR(__xludf.DUMMYFUNCTION("SPLIT(I2932,""-"")"),75214.0)</f>
        <v>75214</v>
      </c>
    </row>
    <row r="2933">
      <c r="A2933" s="5" t="s">
        <v>2667</v>
      </c>
      <c r="B2933" s="6">
        <v>150.0</v>
      </c>
      <c r="C2933" s="7" t="s">
        <v>1005</v>
      </c>
      <c r="E2933" s="8" t="str">
        <f>IFERROR(__xludf.DUMMYFUNCTION("SPLIT(A2933,""TX"")"),"Hoffland, Amy
7278 Williamson Cir
Dallas, ")</f>
        <v>Hoffland, Amy
7278 Williamson Cir
Dallas, </v>
      </c>
      <c r="F2933" s="8">
        <f>IFERROR(__xludf.DUMMYFUNCTION("""COMPUTED_VALUE"""),75214.0)</f>
        <v>75214</v>
      </c>
      <c r="I2933" s="8">
        <f t="shared" si="32"/>
        <v>75214</v>
      </c>
      <c r="J2933" s="9">
        <f>IFERROR(__xludf.DUMMYFUNCTION("SPLIT(I2933,""-"")"),75214.0)</f>
        <v>75214</v>
      </c>
    </row>
    <row r="2934">
      <c r="A2934" s="10" t="s">
        <v>2668</v>
      </c>
      <c r="B2934" s="11">
        <v>250.0</v>
      </c>
      <c r="C2934" s="12" t="s">
        <v>1005</v>
      </c>
      <c r="E2934" s="8" t="str">
        <f>IFERROR(__xludf.DUMMYFUNCTION("SPLIT(A2934,""TX"")"),"Hunt, Melissa
8231 San Fernando
Dallas, ")</f>
        <v>Hunt, Melissa
8231 San Fernando
Dallas, </v>
      </c>
      <c r="F2934" s="8">
        <f>IFERROR(__xludf.DUMMYFUNCTION("""COMPUTED_VALUE"""),75218.0)</f>
        <v>75218</v>
      </c>
      <c r="I2934" s="8">
        <f t="shared" si="32"/>
        <v>75218</v>
      </c>
      <c r="J2934" s="9">
        <f>IFERROR(__xludf.DUMMYFUNCTION("SPLIT(I2934,""-"")"),75218.0)</f>
        <v>75218</v>
      </c>
    </row>
    <row r="2935">
      <c r="A2935" s="5" t="s">
        <v>2669</v>
      </c>
      <c r="B2935" s="6">
        <v>250.0</v>
      </c>
      <c r="C2935" s="7" t="s">
        <v>1005</v>
      </c>
      <c r="E2935" s="8" t="str">
        <f>IFERROR(__xludf.DUMMYFUNCTION("SPLIT(A2935,""TX"")"),"Johnston, Erin
6604 Northridge
Dallas, ")</f>
        <v>Johnston, Erin
6604 Northridge
Dallas, </v>
      </c>
      <c r="F2935" s="8">
        <f>IFERROR(__xludf.DUMMYFUNCTION("""COMPUTED_VALUE"""),75214.0)</f>
        <v>75214</v>
      </c>
      <c r="I2935" s="8">
        <f t="shared" si="32"/>
        <v>75214</v>
      </c>
      <c r="J2935" s="9">
        <f>IFERROR(__xludf.DUMMYFUNCTION("SPLIT(I2935,""-"")"),75214.0)</f>
        <v>75214</v>
      </c>
    </row>
    <row r="2936">
      <c r="A2936" s="10" t="s">
        <v>2670</v>
      </c>
      <c r="B2936" s="11">
        <v>250.0</v>
      </c>
      <c r="C2936" s="12" t="s">
        <v>1005</v>
      </c>
      <c r="E2936" s="8" t="str">
        <f>IFERROR(__xludf.DUMMYFUNCTION("SPLIT(A2936,""TX"")"),"Page, Anthony
3210 Carlisle
Dallas, ")</f>
        <v>Page, Anthony
3210 Carlisle
Dallas, </v>
      </c>
      <c r="F2936" s="8">
        <f>IFERROR(__xludf.DUMMYFUNCTION("""COMPUTED_VALUE"""),75204.0)</f>
        <v>75204</v>
      </c>
      <c r="I2936" s="8">
        <f t="shared" si="32"/>
        <v>75204</v>
      </c>
      <c r="J2936" s="9">
        <f>IFERROR(__xludf.DUMMYFUNCTION("SPLIT(I2936,""-"")"),75204.0)</f>
        <v>75204</v>
      </c>
    </row>
    <row r="2937">
      <c r="A2937" s="5" t="s">
        <v>2671</v>
      </c>
      <c r="B2937" s="6">
        <v>100.0</v>
      </c>
      <c r="C2937" s="7" t="s">
        <v>1005</v>
      </c>
      <c r="E2937" s="8" t="str">
        <f>IFERROR(__xludf.DUMMYFUNCTION("SPLIT(A2937,""TX"")"),"Paradise, Mitch
8335 San Fernando Way
Dallas, ")</f>
        <v>Paradise, Mitch
8335 San Fernando Way
Dallas, </v>
      </c>
      <c r="F2937" s="8">
        <f>IFERROR(__xludf.DUMMYFUNCTION("""COMPUTED_VALUE"""),75218.0)</f>
        <v>75218</v>
      </c>
      <c r="I2937" s="8">
        <f t="shared" si="32"/>
        <v>75218</v>
      </c>
      <c r="J2937" s="9">
        <f>IFERROR(__xludf.DUMMYFUNCTION("SPLIT(I2937,""-"")"),75218.0)</f>
        <v>75218</v>
      </c>
    </row>
    <row r="2938">
      <c r="A2938" s="10" t="s">
        <v>2672</v>
      </c>
      <c r="B2938" s="11">
        <v>1000.0</v>
      </c>
      <c r="C2938" s="12" t="s">
        <v>1005</v>
      </c>
      <c r="E2938" s="8" t="str">
        <f>IFERROR(__xludf.DUMMYFUNCTION("SPLIT(A2938,""TX"")"),"Perdue, Rick
7712 Southwestern Blvd
Dallas, ")</f>
        <v>Perdue, Rick
7712 Southwestern Blvd
Dallas, </v>
      </c>
      <c r="F2938" s="8">
        <f>IFERROR(__xludf.DUMMYFUNCTION("""COMPUTED_VALUE"""),75225.0)</f>
        <v>75225</v>
      </c>
      <c r="I2938" s="8">
        <f t="shared" si="32"/>
        <v>75225</v>
      </c>
      <c r="J2938" s="9">
        <f>IFERROR(__xludf.DUMMYFUNCTION("SPLIT(I2938,""-"")"),75225.0)</f>
        <v>75225</v>
      </c>
    </row>
    <row r="2939">
      <c r="A2939" s="5" t="s">
        <v>2673</v>
      </c>
      <c r="B2939" s="6">
        <v>100.0</v>
      </c>
      <c r="C2939" s="7" t="s">
        <v>1005</v>
      </c>
      <c r="E2939" s="8" t="str">
        <f>IFERROR(__xludf.DUMMYFUNCTION("SPLIT(A2939,""TX"")"),"Pittman, David
6232 Highgate Ln
Dallas, ")</f>
        <v>Pittman, David
6232 Highgate Ln
Dallas, </v>
      </c>
      <c r="F2939" s="8">
        <f>IFERROR(__xludf.DUMMYFUNCTION("""COMPUTED_VALUE"""),75214.0)</f>
        <v>75214</v>
      </c>
      <c r="I2939" s="8">
        <f t="shared" si="32"/>
        <v>75214</v>
      </c>
      <c r="J2939" s="9">
        <f>IFERROR(__xludf.DUMMYFUNCTION("SPLIT(I2939,""-"")"),75214.0)</f>
        <v>75214</v>
      </c>
    </row>
    <row r="2940">
      <c r="A2940" s="10" t="s">
        <v>2674</v>
      </c>
      <c r="B2940" s="11">
        <v>100.0</v>
      </c>
      <c r="C2940" s="12" t="s">
        <v>1005</v>
      </c>
      <c r="E2940" s="8" t="str">
        <f>IFERROR(__xludf.DUMMYFUNCTION("SPLIT(A2940,""TX"")"),"Spellicy, Courtney
7117 Wake Forest Dr
Dallas, ")</f>
        <v>Spellicy, Courtney
7117 Wake Forest Dr
Dallas, </v>
      </c>
      <c r="F2940" s="8">
        <f>IFERROR(__xludf.DUMMYFUNCTION("""COMPUTED_VALUE"""),75214.0)</f>
        <v>75214</v>
      </c>
      <c r="I2940" s="8">
        <f t="shared" si="32"/>
        <v>75214</v>
      </c>
      <c r="J2940" s="9">
        <f>IFERROR(__xludf.DUMMYFUNCTION("SPLIT(I2940,""-"")"),75214.0)</f>
        <v>75214</v>
      </c>
    </row>
    <row r="2941">
      <c r="A2941" s="5" t="s">
        <v>2675</v>
      </c>
      <c r="B2941" s="6">
        <v>100.0</v>
      </c>
      <c r="C2941" s="7" t="s">
        <v>1005</v>
      </c>
      <c r="E2941" s="8" t="str">
        <f>IFERROR(__xludf.DUMMYFUNCTION("SPLIT(A2941,""TX"")"),"Sullivan, Joseph
6759 Avalon
Dallas, ")</f>
        <v>Sullivan, Joseph
6759 Avalon
Dallas, </v>
      </c>
      <c r="F2941" s="8">
        <f>IFERROR(__xludf.DUMMYFUNCTION("""COMPUTED_VALUE"""),75214.0)</f>
        <v>75214</v>
      </c>
      <c r="I2941" s="8">
        <f t="shared" si="32"/>
        <v>75214</v>
      </c>
      <c r="J2941" s="9">
        <f>IFERROR(__xludf.DUMMYFUNCTION("SPLIT(I2941,""-"")"),75214.0)</f>
        <v>75214</v>
      </c>
    </row>
    <row r="2942">
      <c r="A2942" s="10" t="s">
        <v>1924</v>
      </c>
      <c r="B2942" s="11">
        <v>250.0</v>
      </c>
      <c r="C2942" s="12" t="s">
        <v>1005</v>
      </c>
      <c r="E2942" s="8" t="str">
        <f>IFERROR(__xludf.DUMMYFUNCTION("SPLIT(A2942,""TX"")"),"arpley, Gloria
8378 Forest Hills Blvd
Dallas, ")</f>
        <v>arpley, Gloria
8378 Forest Hills Blvd
Dallas, </v>
      </c>
      <c r="F2942" s="8">
        <f>IFERROR(__xludf.DUMMYFUNCTION("""COMPUTED_VALUE"""),75218.0)</f>
        <v>75218</v>
      </c>
      <c r="I2942" s="8">
        <f t="shared" si="32"/>
        <v>75218</v>
      </c>
      <c r="J2942" s="9">
        <f>IFERROR(__xludf.DUMMYFUNCTION("SPLIT(I2942,""-"")"),75218.0)</f>
        <v>75218</v>
      </c>
    </row>
    <row r="2943">
      <c r="A2943" s="5" t="s">
        <v>1012</v>
      </c>
      <c r="B2943" s="6">
        <v>250.0</v>
      </c>
      <c r="C2943" s="7" t="s">
        <v>1005</v>
      </c>
      <c r="E2943" s="8" t="str">
        <f>IFERROR(__xludf.DUMMYFUNCTION("SPLIT(A2943,""TX"")"),"Wells, Chris
7238 Mimosa
Dallas, ")</f>
        <v>Wells, Chris
7238 Mimosa
Dallas, </v>
      </c>
      <c r="F2943" s="8">
        <f>IFERROR(__xludf.DUMMYFUNCTION("""COMPUTED_VALUE"""),75230.0)</f>
        <v>75230</v>
      </c>
      <c r="I2943" s="8">
        <f t="shared" si="32"/>
        <v>75230</v>
      </c>
      <c r="J2943" s="9">
        <f>IFERROR(__xludf.DUMMYFUNCTION("SPLIT(I2943,""-"")"),75230.0)</f>
        <v>75230</v>
      </c>
    </row>
    <row r="2944">
      <c r="A2944" s="10" t="s">
        <v>2676</v>
      </c>
      <c r="B2944" s="11">
        <v>1000.0</v>
      </c>
      <c r="C2944" s="12" t="s">
        <v>1005</v>
      </c>
      <c r="E2944" s="8" t="str">
        <f>IFERROR(__xludf.DUMMYFUNCTION("SPLIT(A2944,""TX"")"),"Wendel, George
6913 Lakewood Blvd
Dallas, ")</f>
        <v>Wendel, George
6913 Lakewood Blvd
Dallas, </v>
      </c>
      <c r="F2944" s="8">
        <f>IFERROR(__xludf.DUMMYFUNCTION("""COMPUTED_VALUE"""),75214.0)</f>
        <v>75214</v>
      </c>
      <c r="I2944" s="8">
        <f t="shared" si="32"/>
        <v>75214</v>
      </c>
      <c r="J2944" s="9">
        <f>IFERROR(__xludf.DUMMYFUNCTION("SPLIT(I2944,""-"")"),75214.0)</f>
        <v>75214</v>
      </c>
    </row>
    <row r="2945">
      <c r="A2945" s="5" t="s">
        <v>2677</v>
      </c>
      <c r="B2945" s="6">
        <v>1000.0</v>
      </c>
      <c r="C2945" s="7" t="s">
        <v>1005</v>
      </c>
      <c r="E2945" s="8" t="str">
        <f>IFERROR(__xludf.DUMMYFUNCTION("SPLIT(A2945,""TX"")"),"Wise, Phillip Johnston
3444 University Blvd
Dallas, ")</f>
        <v>Wise, Phillip Johnston
3444 University Blvd
Dallas, </v>
      </c>
      <c r="F2945" s="8">
        <f>IFERROR(__xludf.DUMMYFUNCTION("""COMPUTED_VALUE"""),75205.0)</f>
        <v>75205</v>
      </c>
      <c r="I2945" s="8">
        <f t="shared" si="32"/>
        <v>75205</v>
      </c>
      <c r="J2945" s="9">
        <f>IFERROR(__xludf.DUMMYFUNCTION("SPLIT(I2945,""-"")"),75205.0)</f>
        <v>75205</v>
      </c>
    </row>
    <row r="2946">
      <c r="A2946" s="10" t="s">
        <v>2678</v>
      </c>
      <c r="B2946" s="11">
        <v>500.0</v>
      </c>
      <c r="C2946" s="12" t="s">
        <v>1005</v>
      </c>
      <c r="E2946" s="8" t="str">
        <f>IFERROR(__xludf.DUMMYFUNCTION("SPLIT(A2946,""TX"")"),"Wynne, Shannon
3601 Normandy Ave
Dallas, ")</f>
        <v>Wynne, Shannon
3601 Normandy Ave
Dallas, </v>
      </c>
      <c r="F2946" s="8">
        <f>IFERROR(__xludf.DUMMYFUNCTION("""COMPUTED_VALUE"""),75205.0)</f>
        <v>75205</v>
      </c>
      <c r="I2946" s="8">
        <f t="shared" si="32"/>
        <v>75205</v>
      </c>
      <c r="J2946" s="9">
        <f>IFERROR(__xludf.DUMMYFUNCTION("SPLIT(I2946,""-"")"),75205.0)</f>
        <v>75205</v>
      </c>
    </row>
    <row r="2947">
      <c r="A2947" s="5" t="s">
        <v>2679</v>
      </c>
      <c r="B2947" s="6">
        <v>250.0</v>
      </c>
      <c r="C2947" s="7" t="s">
        <v>1005</v>
      </c>
      <c r="E2947" s="8" t="str">
        <f>IFERROR(__xludf.DUMMYFUNCTION("SPLIT(A2947,""TX"")"),"Davidson, Larry
6451 Patrick
Dallas, ")</f>
        <v>Davidson, Larry
6451 Patrick
Dallas, </v>
      </c>
      <c r="F2947" s="8">
        <f>IFERROR(__xludf.DUMMYFUNCTION("""COMPUTED_VALUE"""),75214.0)</f>
        <v>75214</v>
      </c>
      <c r="I2947" s="8">
        <f t="shared" si="32"/>
        <v>75214</v>
      </c>
      <c r="J2947" s="9">
        <f>IFERROR(__xludf.DUMMYFUNCTION("SPLIT(I2947,""-"")"),75214.0)</f>
        <v>75214</v>
      </c>
    </row>
    <row r="2948">
      <c r="A2948" s="10" t="s">
        <v>2680</v>
      </c>
      <c r="B2948" s="11">
        <v>500.0</v>
      </c>
      <c r="C2948" s="12" t="s">
        <v>1005</v>
      </c>
      <c r="E2948" s="8" t="str">
        <f>IFERROR(__xludf.DUMMYFUNCTION("SPLIT(A2948,""TX"")"),"Frank, Jerome
5514 Montrose
Dallas, ")</f>
        <v>Frank, Jerome
5514 Montrose
Dallas, </v>
      </c>
      <c r="F2948" s="8">
        <f>IFERROR(__xludf.DUMMYFUNCTION("""COMPUTED_VALUE"""),75209.0)</f>
        <v>75209</v>
      </c>
      <c r="I2948" s="8">
        <f t="shared" si="32"/>
        <v>75209</v>
      </c>
      <c r="J2948" s="9">
        <f>IFERROR(__xludf.DUMMYFUNCTION("SPLIT(I2948,""-"")"),75209.0)</f>
        <v>75209</v>
      </c>
    </row>
    <row r="2949">
      <c r="A2949" s="5" t="s">
        <v>2681</v>
      </c>
      <c r="B2949" s="6">
        <v>1000.0</v>
      </c>
      <c r="C2949" s="7" t="s">
        <v>1005</v>
      </c>
      <c r="E2949" s="8" t="str">
        <f>IFERROR(__xludf.DUMMYFUNCTION("SPLIT(A2949,""TX"")"),"Acosta, Arcillia
1341 W. Mockingbird Ln
Dallas, ")</f>
        <v>Acosta, Arcillia
1341 W. Mockingbird Ln
Dallas, </v>
      </c>
      <c r="F2949" s="8">
        <f>IFERROR(__xludf.DUMMYFUNCTION("""COMPUTED_VALUE"""),75247.0)</f>
        <v>75247</v>
      </c>
      <c r="I2949" s="8">
        <f t="shared" si="32"/>
        <v>75247</v>
      </c>
      <c r="J2949" s="9">
        <f>IFERROR(__xludf.DUMMYFUNCTION("SPLIT(I2949,""-"")"),75247.0)</f>
        <v>75247</v>
      </c>
    </row>
    <row r="2950">
      <c r="A2950" s="10" t="s">
        <v>2682</v>
      </c>
      <c r="B2950" s="11">
        <v>250.0</v>
      </c>
      <c r="C2950" s="12" t="s">
        <v>1005</v>
      </c>
      <c r="E2950" s="8" t="str">
        <f>IFERROR(__xludf.DUMMYFUNCTION("SPLIT(A2950,""TX"")"),"Brown, Dave
2500 Houston
Dallas, ")</f>
        <v>Brown, Dave
2500 Houston
Dallas, </v>
      </c>
      <c r="F2950" s="8">
        <f>IFERROR(__xludf.DUMMYFUNCTION("""COMPUTED_VALUE"""),75219.0)</f>
        <v>75219</v>
      </c>
      <c r="I2950" s="8">
        <f t="shared" si="32"/>
        <v>75219</v>
      </c>
      <c r="J2950" s="9">
        <f>IFERROR(__xludf.DUMMYFUNCTION("SPLIT(I2950,""-"")"),75219.0)</f>
        <v>75219</v>
      </c>
    </row>
    <row r="2951">
      <c r="A2951" s="5" t="s">
        <v>2683</v>
      </c>
      <c r="B2951" s="6">
        <v>60.0</v>
      </c>
      <c r="C2951" s="7" t="s">
        <v>1005</v>
      </c>
      <c r="E2951" s="8" t="str">
        <f>IFERROR(__xludf.DUMMYFUNCTION("SPLIT(A2951,""TX"")"),"Cline, Michael
3925 Carnegie Ln
Raleigh, NC 27612")</f>
        <v>Cline, Michael
3925 Carnegie Ln
Raleigh, NC 27612</v>
      </c>
      <c r="I2951" s="8" t="str">
        <f t="shared" si="32"/>
        <v/>
      </c>
      <c r="J2951" s="9" t="str">
        <f>IFERROR(__xludf.DUMMYFUNCTION("SPLIT(I2951,""-"")"),"#VALUE!")</f>
        <v>#VALUE!</v>
      </c>
    </row>
    <row r="2952">
      <c r="A2952" s="10" t="s">
        <v>2684</v>
      </c>
      <c r="B2952" s="11">
        <v>1000.0</v>
      </c>
      <c r="C2952" s="12" t="s">
        <v>1005</v>
      </c>
      <c r="E2952" s="8" t="str">
        <f>IFERROR(__xludf.DUMMYFUNCTION("SPLIT(A2952,""TX"")"),"erry, Mike
1224 Inwood Rd
Dallas, NC 75244")</f>
        <v>erry, Mike
1224 Inwood Rd
Dallas, NC 75244</v>
      </c>
      <c r="I2952" s="8" t="str">
        <f t="shared" si="32"/>
        <v/>
      </c>
      <c r="J2952" s="9" t="str">
        <f>IFERROR(__xludf.DUMMYFUNCTION("SPLIT(I2952,""-"")"),"#VALUE!")</f>
        <v>#VALUE!</v>
      </c>
    </row>
    <row r="2953">
      <c r="A2953" s="5" t="s">
        <v>2685</v>
      </c>
      <c r="B2953" s="6">
        <v>1000.0</v>
      </c>
      <c r="C2953" s="7" t="s">
        <v>2055</v>
      </c>
      <c r="E2953" s="8" t="str">
        <f>IFERROR(__xludf.DUMMYFUNCTION("SPLIT(A2953,""TX"")"),"Hunt, Ray
1900 North Akard
Dallas, ")</f>
        <v>Hunt, Ray
1900 North Akard
Dallas, </v>
      </c>
      <c r="F2953" s="8">
        <f>IFERROR(__xludf.DUMMYFUNCTION("""COMPUTED_VALUE"""),75201.0)</f>
        <v>75201</v>
      </c>
      <c r="I2953" s="8">
        <f t="shared" si="32"/>
        <v>75201</v>
      </c>
      <c r="J2953" s="9">
        <f>IFERROR(__xludf.DUMMYFUNCTION("SPLIT(I2953,""-"")"),75201.0)</f>
        <v>75201</v>
      </c>
    </row>
    <row r="2954">
      <c r="A2954" s="10" t="s">
        <v>2505</v>
      </c>
      <c r="B2954" s="11">
        <v>1000.0</v>
      </c>
      <c r="C2954" s="12" t="s">
        <v>2055</v>
      </c>
      <c r="E2954" s="8" t="str">
        <f>IFERROR(__xludf.DUMMYFUNCTION("SPLIT(A2954,""TX"")"),"Byrne, ")</f>
        <v>Byrne, </v>
      </c>
      <c r="F2954" s="8" t="str">
        <f>IFERROR(__xludf.DUMMYFUNCTION("""COMPUTED_VALUE"""),"im
3720 Miramar Ave
Dallas, ")</f>
        <v>im
3720 Miramar Ave
Dallas, </v>
      </c>
      <c r="G2954" s="8">
        <f>IFERROR(__xludf.DUMMYFUNCTION("""COMPUTED_VALUE"""),75205.0)</f>
        <v>75205</v>
      </c>
      <c r="I2954" s="8">
        <f t="shared" si="32"/>
        <v>75205</v>
      </c>
      <c r="J2954" s="9">
        <f>IFERROR(__xludf.DUMMYFUNCTION("SPLIT(I2954,""-"")"),75205.0)</f>
        <v>75205</v>
      </c>
    </row>
    <row r="2955">
      <c r="A2955" s="5" t="s">
        <v>2686</v>
      </c>
      <c r="B2955" s="6">
        <v>1000.0</v>
      </c>
      <c r="C2955" s="7" t="s">
        <v>35</v>
      </c>
      <c r="E2955" s="8" t="str">
        <f>IFERROR(__xludf.DUMMYFUNCTION("SPLIT(A2955,""TX"")"),"Linebarger LLP
PO Box 17423
Austin, ")</f>
        <v>Linebarger LLP
PO Box 17423
Austin, </v>
      </c>
      <c r="F2955" s="8">
        <f>IFERROR(__xludf.DUMMYFUNCTION("""COMPUTED_VALUE"""),78760.0)</f>
        <v>78760</v>
      </c>
      <c r="I2955" s="8">
        <f t="shared" si="32"/>
        <v>78760</v>
      </c>
      <c r="J2955" s="9">
        <f>IFERROR(__xludf.DUMMYFUNCTION("SPLIT(I2955,""-"")"),78760.0)</f>
        <v>78760</v>
      </c>
    </row>
    <row r="2956">
      <c r="A2956" s="5" t="s">
        <v>2687</v>
      </c>
      <c r="B2956" s="6">
        <v>1000.0</v>
      </c>
      <c r="C2956" s="7" t="s">
        <v>35</v>
      </c>
      <c r="E2956" s="8" t="str">
        <f>IFERROR(__xludf.DUMMYFUNCTION("SPLIT(A2956,""TX"")"),"Ragan, ")</f>
        <v>Ragan, </v>
      </c>
      <c r="F2956" s="8" t="str">
        <f>IFERROR(__xludf.DUMMYFUNCTION("""COMPUTED_VALUE"""),"anya
630 S Pearl
Dallas, ")</f>
        <v>anya
630 S Pearl
Dallas, </v>
      </c>
      <c r="G2956" s="8">
        <f>IFERROR(__xludf.DUMMYFUNCTION("""COMPUTED_VALUE"""),75201.0)</f>
        <v>75201</v>
      </c>
      <c r="I2956" s="8">
        <f t="shared" si="32"/>
        <v>75201</v>
      </c>
      <c r="J2956" s="9">
        <f>IFERROR(__xludf.DUMMYFUNCTION("SPLIT(I2956,""-"")"),75201.0)</f>
        <v>75201</v>
      </c>
    </row>
    <row r="2957">
      <c r="A2957" s="5" t="s">
        <v>2688</v>
      </c>
      <c r="B2957" s="6">
        <v>500.0</v>
      </c>
      <c r="C2957" s="7" t="s">
        <v>35</v>
      </c>
      <c r="E2957" s="8" t="str">
        <f>IFERROR(__xludf.DUMMYFUNCTION("SPLIT(A2957,""TX"")"),"Raspberry, Shoncy
1900 Mckinney
Dallas, ")</f>
        <v>Raspberry, Shoncy
1900 Mckinney
Dallas, </v>
      </c>
      <c r="F2957" s="8">
        <f>IFERROR(__xludf.DUMMYFUNCTION("""COMPUTED_VALUE"""),75201.0)</f>
        <v>75201</v>
      </c>
      <c r="I2957" s="8">
        <f t="shared" si="32"/>
        <v>75201</v>
      </c>
      <c r="J2957" s="9">
        <f>IFERROR(__xludf.DUMMYFUNCTION("SPLIT(I2957,""-"")"),75201.0)</f>
        <v>75201</v>
      </c>
    </row>
    <row r="2958">
      <c r="A2958" s="5" t="s">
        <v>2689</v>
      </c>
      <c r="B2958" s="6">
        <v>250.0</v>
      </c>
      <c r="C2958" s="7" t="s">
        <v>35</v>
      </c>
      <c r="E2958" s="8" t="str">
        <f>IFERROR(__xludf.DUMMYFUNCTION("SPLIT(A2958,""TX"")"),"Minnis, Norma
PO Box 75214
Dallas, ")</f>
        <v>Minnis, Norma
PO Box 75214
Dallas, </v>
      </c>
      <c r="F2958" s="8">
        <f>IFERROR(__xludf.DUMMYFUNCTION("""COMPUTED_VALUE"""),75214.0)</f>
        <v>75214</v>
      </c>
      <c r="I2958" s="8">
        <f t="shared" si="32"/>
        <v>75214</v>
      </c>
      <c r="J2958" s="9">
        <f>IFERROR(__xludf.DUMMYFUNCTION("SPLIT(I2958,""-"")"),75214.0)</f>
        <v>75214</v>
      </c>
    </row>
    <row r="2959">
      <c r="A2959" s="5" t="s">
        <v>2690</v>
      </c>
      <c r="B2959" s="6">
        <v>500.0</v>
      </c>
      <c r="C2959" s="7" t="s">
        <v>35</v>
      </c>
      <c r="E2959" s="8" t="str">
        <f>IFERROR(__xludf.DUMMYFUNCTION("SPLIT(A2959,""TX"")"),"Cadena, Elsa
6815 American Way
Dallas, ")</f>
        <v>Cadena, Elsa
6815 American Way
Dallas, </v>
      </c>
      <c r="F2959" s="8">
        <f>IFERROR(__xludf.DUMMYFUNCTION("""COMPUTED_VALUE"""),75237.0)</f>
        <v>75237</v>
      </c>
      <c r="I2959" s="8">
        <f t="shared" si="32"/>
        <v>75237</v>
      </c>
      <c r="J2959" s="9">
        <f>IFERROR(__xludf.DUMMYFUNCTION("SPLIT(I2959,""-"")"),75237.0)</f>
        <v>75237</v>
      </c>
    </row>
    <row r="2960">
      <c r="A2960" s="5" t="s">
        <v>2691</v>
      </c>
      <c r="B2960" s="6">
        <v>50.0</v>
      </c>
      <c r="C2960" s="7" t="s">
        <v>35</v>
      </c>
      <c r="E2960" s="8" t="str">
        <f>IFERROR(__xludf.DUMMYFUNCTION("SPLIT(A2960,""TX"")"),"Dominguez, Yolonda
2321 Knight
Dallas, ")</f>
        <v>Dominguez, Yolonda
2321 Knight
Dallas, </v>
      </c>
      <c r="F2960" s="8">
        <f>IFERROR(__xludf.DUMMYFUNCTION("""COMPUTED_VALUE"""),75219.0)</f>
        <v>75219</v>
      </c>
      <c r="I2960" s="8">
        <f t="shared" si="32"/>
        <v>75219</v>
      </c>
      <c r="J2960" s="9">
        <f>IFERROR(__xludf.DUMMYFUNCTION("SPLIT(I2960,""-"")"),75219.0)</f>
        <v>75219</v>
      </c>
    </row>
    <row r="2961">
      <c r="A2961" s="5" t="s">
        <v>195</v>
      </c>
      <c r="B2961" s="6">
        <v>125.0</v>
      </c>
      <c r="C2961" s="7" t="s">
        <v>35</v>
      </c>
      <c r="E2961" s="8" t="str">
        <f>IFERROR(__xludf.DUMMYFUNCTION("SPLIT(A2961,""TX"")"),"Reznik, Staci
4007 Lively
Dallas, ")</f>
        <v>Reznik, Staci
4007 Lively
Dallas, </v>
      </c>
      <c r="F2961" s="8">
        <f>IFERROR(__xludf.DUMMYFUNCTION("""COMPUTED_VALUE"""),75220.0)</f>
        <v>75220</v>
      </c>
      <c r="I2961" s="8">
        <f t="shared" si="32"/>
        <v>75220</v>
      </c>
      <c r="J2961" s="9">
        <f>IFERROR(__xludf.DUMMYFUNCTION("SPLIT(I2961,""-"")"),75220.0)</f>
        <v>75220</v>
      </c>
    </row>
    <row r="2962">
      <c r="A2962" s="5" t="s">
        <v>396</v>
      </c>
      <c r="B2962" s="6">
        <v>250.0</v>
      </c>
      <c r="C2962" s="7" t="s">
        <v>35</v>
      </c>
      <c r="E2962" s="8" t="str">
        <f>IFERROR(__xludf.DUMMYFUNCTION("SPLIT(A2962,""TX"")"),"Hill, ")</f>
        <v>Hill, </v>
      </c>
      <c r="F2962" s="8" t="str">
        <f>IFERROR(__xludf.DUMMYFUNCTION("""COMPUTED_VALUE"""),"odd
604 Fort Worth Ave
Dallas, ")</f>
        <v>odd
604 Fort Worth Ave
Dallas, </v>
      </c>
      <c r="G2962" s="8">
        <f>IFERROR(__xludf.DUMMYFUNCTION("""COMPUTED_VALUE"""),75208.0)</f>
        <v>75208</v>
      </c>
      <c r="I2962" s="8">
        <f t="shared" si="32"/>
        <v>75208</v>
      </c>
      <c r="J2962" s="9">
        <f>IFERROR(__xludf.DUMMYFUNCTION("SPLIT(I2962,""-"")"),75208.0)</f>
        <v>75208</v>
      </c>
    </row>
    <row r="2963">
      <c r="A2963" s="5" t="s">
        <v>40</v>
      </c>
      <c r="B2963" s="6">
        <v>250.0</v>
      </c>
      <c r="C2963" s="7" t="s">
        <v>35</v>
      </c>
      <c r="E2963" s="8" t="str">
        <f>IFERROR(__xludf.DUMMYFUNCTION("SPLIT(A2963,""TX"")"),"Stonewall Democrats of Dallas
PO Box 192305
Dallas, ")</f>
        <v>Stonewall Democrats of Dallas
PO Box 192305
Dallas, </v>
      </c>
      <c r="F2963" s="8">
        <f>IFERROR(__xludf.DUMMYFUNCTION("""COMPUTED_VALUE"""),75219.0)</f>
        <v>75219</v>
      </c>
      <c r="I2963" s="8">
        <f t="shared" si="32"/>
        <v>75219</v>
      </c>
      <c r="J2963" s="9">
        <f>IFERROR(__xludf.DUMMYFUNCTION("SPLIT(I2963,""-"")"),75219.0)</f>
        <v>75219</v>
      </c>
    </row>
    <row r="2964">
      <c r="A2964" s="5" t="s">
        <v>2692</v>
      </c>
      <c r="B2964" s="6">
        <v>50.0</v>
      </c>
      <c r="C2964" s="7" t="s">
        <v>35</v>
      </c>
      <c r="E2964" s="8" t="str">
        <f>IFERROR(__xludf.DUMMYFUNCTION("SPLIT(A2964,""TX"")"),"Pegram, Derric
2642 Bahama
Dallas, ")</f>
        <v>Pegram, Derric
2642 Bahama
Dallas, </v>
      </c>
      <c r="F2964" s="8">
        <f>IFERROR(__xludf.DUMMYFUNCTION("""COMPUTED_VALUE"""),75211.0)</f>
        <v>75211</v>
      </c>
      <c r="I2964" s="8">
        <f t="shared" si="32"/>
        <v>75211</v>
      </c>
      <c r="J2964" s="9">
        <f>IFERROR(__xludf.DUMMYFUNCTION("SPLIT(I2964,""-"")"),75211.0)</f>
        <v>75211</v>
      </c>
    </row>
    <row r="2965">
      <c r="A2965" s="5" t="s">
        <v>2693</v>
      </c>
      <c r="B2965" s="6">
        <v>100.0</v>
      </c>
      <c r="C2965" s="7" t="s">
        <v>35</v>
      </c>
      <c r="E2965" s="8" t="str">
        <f>IFERROR(__xludf.DUMMYFUNCTION("SPLIT(A2965,""TX"")"),"Patterson, Brandi
3405 Bellcrest
Celina, ")</f>
        <v>Patterson, Brandi
3405 Bellcrest
Celina, </v>
      </c>
      <c r="F2965" s="8">
        <f>IFERROR(__xludf.DUMMYFUNCTION("""COMPUTED_VALUE"""),75009.0)</f>
        <v>75009</v>
      </c>
      <c r="I2965" s="8">
        <f t="shared" si="32"/>
        <v>75009</v>
      </c>
      <c r="J2965" s="9">
        <f>IFERROR(__xludf.DUMMYFUNCTION("SPLIT(I2965,""-"")"),75009.0)</f>
        <v>75009</v>
      </c>
    </row>
    <row r="2966">
      <c r="A2966" s="5" t="s">
        <v>2694</v>
      </c>
      <c r="B2966" s="6">
        <v>150.0</v>
      </c>
      <c r="C2966" s="7" t="s">
        <v>35</v>
      </c>
      <c r="E2966" s="8" t="str">
        <f>IFERROR(__xludf.DUMMYFUNCTION("SPLIT(A2966,""TX"")"),"Warren, John
4311 Hampton Circle
Grand Prairie, ")</f>
        <v>Warren, John
4311 Hampton Circle
Grand Prairie, </v>
      </c>
      <c r="F2966" s="8">
        <f>IFERROR(__xludf.DUMMYFUNCTION("""COMPUTED_VALUE"""),75052.0)</f>
        <v>75052</v>
      </c>
      <c r="I2966" s="8">
        <f t="shared" si="32"/>
        <v>75052</v>
      </c>
      <c r="J2966" s="9">
        <f>IFERROR(__xludf.DUMMYFUNCTION("SPLIT(I2966,""-"")"),75052.0)</f>
        <v>75052</v>
      </c>
    </row>
    <row r="2967">
      <c r="A2967" s="5" t="s">
        <v>2695</v>
      </c>
      <c r="B2967" s="6">
        <v>500.0</v>
      </c>
      <c r="C2967" s="7" t="s">
        <v>35</v>
      </c>
      <c r="E2967" s="8" t="str">
        <f>IFERROR(__xludf.DUMMYFUNCTION("SPLIT(A2967,""TX"")"),"Agarwal, Arun
123 Oak Lawn
Dallas, ")</f>
        <v>Agarwal, Arun
123 Oak Lawn
Dallas, </v>
      </c>
      <c r="F2967" s="8">
        <f>IFERROR(__xludf.DUMMYFUNCTION("""COMPUTED_VALUE"""),75207.0)</f>
        <v>75207</v>
      </c>
      <c r="I2967" s="8">
        <f t="shared" si="32"/>
        <v>75207</v>
      </c>
      <c r="J2967" s="9">
        <f>IFERROR(__xludf.DUMMYFUNCTION("SPLIT(I2967,""-"")"),75207.0)</f>
        <v>75207</v>
      </c>
    </row>
    <row r="2968">
      <c r="A2968" s="5" t="s">
        <v>1525</v>
      </c>
      <c r="B2968" s="6">
        <v>100.0</v>
      </c>
      <c r="C2968" s="7" t="s">
        <v>35</v>
      </c>
      <c r="E2968" s="8" t="str">
        <f>IFERROR(__xludf.DUMMYFUNCTION("SPLIT(A2968,""TX"")"),"Leal, Chris
1777 N Record St
Dallas, ")</f>
        <v>Leal, Chris
1777 N Record St
Dallas, </v>
      </c>
      <c r="F2968" s="8">
        <f>IFERROR(__xludf.DUMMYFUNCTION("""COMPUTED_VALUE"""),75202.0)</f>
        <v>75202</v>
      </c>
      <c r="I2968" s="8">
        <f t="shared" si="32"/>
        <v>75202</v>
      </c>
      <c r="J2968" s="9">
        <f>IFERROR(__xludf.DUMMYFUNCTION("SPLIT(I2968,""-"")"),75202.0)</f>
        <v>75202</v>
      </c>
    </row>
    <row r="2969">
      <c r="A2969" s="5" t="s">
        <v>2696</v>
      </c>
      <c r="B2969" s="6">
        <v>250.0</v>
      </c>
      <c r="C2969" s="7" t="s">
        <v>35</v>
      </c>
      <c r="E2969" s="8" t="str">
        <f>IFERROR(__xludf.DUMMYFUNCTION("SPLIT(A2969,""TX"")"),"Gerber, Pam
4435 Hollond
Dallas, ")</f>
        <v>Gerber, Pam
4435 Hollond
Dallas, </v>
      </c>
      <c r="F2969" s="8">
        <f>IFERROR(__xludf.DUMMYFUNCTION("""COMPUTED_VALUE"""),75219.0)</f>
        <v>75219</v>
      </c>
      <c r="I2969" s="8">
        <f t="shared" si="32"/>
        <v>75219</v>
      </c>
      <c r="J2969" s="9">
        <f>IFERROR(__xludf.DUMMYFUNCTION("SPLIT(I2969,""-"")"),75219.0)</f>
        <v>75219</v>
      </c>
    </row>
    <row r="2970">
      <c r="A2970" s="5" t="s">
        <v>2697</v>
      </c>
      <c r="B2970" s="6">
        <v>1000.0</v>
      </c>
      <c r="C2970" s="7" t="s">
        <v>35</v>
      </c>
      <c r="E2970" s="8" t="str">
        <f>IFERROR(__xludf.DUMMYFUNCTION("SPLIT(A2970,""TX"")"),"Hernandez, Flora
6042 Prestonshire
Dallas, ")</f>
        <v>Hernandez, Flora
6042 Prestonshire
Dallas, </v>
      </c>
      <c r="F2970" s="8">
        <f>IFERROR(__xludf.DUMMYFUNCTION("""COMPUTED_VALUE"""),76225.0)</f>
        <v>76225</v>
      </c>
      <c r="I2970" s="8">
        <f t="shared" si="32"/>
        <v>76225</v>
      </c>
      <c r="J2970" s="9">
        <f>IFERROR(__xludf.DUMMYFUNCTION("SPLIT(I2970,""-"")"),76225.0)</f>
        <v>76225</v>
      </c>
    </row>
    <row r="2971">
      <c r="A2971" s="5" t="s">
        <v>2698</v>
      </c>
      <c r="B2971" s="6">
        <v>2000.0</v>
      </c>
      <c r="C2971" s="7" t="s">
        <v>241</v>
      </c>
      <c r="E2971" s="8" t="str">
        <f>IFERROR(__xludf.DUMMYFUNCTION("SPLIT(A2971,""TX"")"),"Marston, Alando
4861 Sunnyvale Street
Dallas, ")</f>
        <v>Marston, Alando
4861 Sunnyvale Street
Dallas, </v>
      </c>
      <c r="F2971" s="8">
        <f>IFERROR(__xludf.DUMMYFUNCTION("""COMPUTED_VALUE"""),75214.0)</f>
        <v>75214</v>
      </c>
      <c r="I2971" s="8">
        <f t="shared" si="32"/>
        <v>75214</v>
      </c>
      <c r="J2971" s="9">
        <f>IFERROR(__xludf.DUMMYFUNCTION("SPLIT(I2971,""-"")"),75214.0)</f>
        <v>75214</v>
      </c>
    </row>
    <row r="2972">
      <c r="A2972" s="10" t="s">
        <v>2698</v>
      </c>
      <c r="B2972" s="11">
        <v>2000.0</v>
      </c>
      <c r="C2972" s="12" t="s">
        <v>241</v>
      </c>
      <c r="E2972" s="8" t="str">
        <f>IFERROR(__xludf.DUMMYFUNCTION("SPLIT(A2972,""TX"")"),"Marston, Alando
4861 Sunnyvale Street
Dallas, ")</f>
        <v>Marston, Alando
4861 Sunnyvale Street
Dallas, </v>
      </c>
      <c r="F2972" s="8">
        <f>IFERROR(__xludf.DUMMYFUNCTION("""COMPUTED_VALUE"""),75214.0)</f>
        <v>75214</v>
      </c>
      <c r="I2972" s="8">
        <f t="shared" si="32"/>
        <v>75214</v>
      </c>
      <c r="J2972" s="9">
        <f>IFERROR(__xludf.DUMMYFUNCTION("SPLIT(I2972,""-"")"),75214.0)</f>
        <v>75214</v>
      </c>
    </row>
    <row r="2973">
      <c r="A2973" s="5" t="s">
        <v>1162</v>
      </c>
      <c r="B2973" s="6">
        <v>300.0</v>
      </c>
      <c r="C2973" s="7" t="s">
        <v>627</v>
      </c>
      <c r="E2973" s="8" t="str">
        <f>IFERROR(__xludf.DUMMYFUNCTION("SPLIT(A2973,""TX"")"),"Offutt, Larry
6038 Bryan Pkwy
Dallas, ")</f>
        <v>Offutt, Larry
6038 Bryan Pkwy
Dallas, </v>
      </c>
      <c r="F2973" s="8">
        <f>IFERROR(__xludf.DUMMYFUNCTION("""COMPUTED_VALUE"""),75206.0)</f>
        <v>75206</v>
      </c>
      <c r="I2973" s="8">
        <f t="shared" si="32"/>
        <v>75206</v>
      </c>
      <c r="J2973" s="9">
        <f>IFERROR(__xludf.DUMMYFUNCTION("SPLIT(I2973,""-"")"),75206.0)</f>
        <v>75206</v>
      </c>
    </row>
    <row r="2974">
      <c r="A2974" s="5" t="s">
        <v>2699</v>
      </c>
      <c r="B2974" s="6">
        <v>100.0</v>
      </c>
      <c r="C2974" s="7" t="s">
        <v>627</v>
      </c>
      <c r="E2974" s="8" t="str">
        <f>IFERROR(__xludf.DUMMYFUNCTION("SPLIT(A2974,""TX"")"),"Ramos, Steven
1234 n/a
Dallas, ")</f>
        <v>Ramos, Steven
1234 n/a
Dallas, </v>
      </c>
      <c r="F2974" s="8">
        <f>IFERROR(__xludf.DUMMYFUNCTION("""COMPUTED_VALUE"""),12345.0)</f>
        <v>12345</v>
      </c>
      <c r="I2974" s="8">
        <f t="shared" si="32"/>
        <v>12345</v>
      </c>
      <c r="J2974" s="9">
        <f>IFERROR(__xludf.DUMMYFUNCTION("SPLIT(I2974,""-"")"),12345.0)</f>
        <v>12345</v>
      </c>
    </row>
    <row r="2975">
      <c r="A2975" s="5" t="s">
        <v>2700</v>
      </c>
      <c r="B2975" s="6">
        <v>150.0</v>
      </c>
      <c r="C2975" s="7" t="s">
        <v>50</v>
      </c>
      <c r="E2975" s="8" t="str">
        <f>IFERROR(__xludf.DUMMYFUNCTION("SPLIT(A2975,""TX"")"),"Offutt, Larry
6038 
Dallas, ")</f>
        <v>Offutt, Larry
6038 
Dallas, </v>
      </c>
      <c r="F2975" s="8">
        <f>IFERROR(__xludf.DUMMYFUNCTION("""COMPUTED_VALUE"""),75206.0)</f>
        <v>75206</v>
      </c>
      <c r="I2975" s="8">
        <f t="shared" si="32"/>
        <v>75206</v>
      </c>
      <c r="J2975" s="9">
        <f>IFERROR(__xludf.DUMMYFUNCTION("SPLIT(I2975,""-"")"),75206.0)</f>
        <v>75206</v>
      </c>
    </row>
    <row r="2976">
      <c r="A2976" s="5" t="s">
        <v>2700</v>
      </c>
      <c r="B2976" s="6">
        <v>100.0</v>
      </c>
      <c r="C2976" s="7" t="s">
        <v>50</v>
      </c>
      <c r="E2976" s="8" t="str">
        <f>IFERROR(__xludf.DUMMYFUNCTION("SPLIT(A2976,""TX"")"),"Offutt, Larry
6038 
Dallas, ")</f>
        <v>Offutt, Larry
6038 
Dallas, </v>
      </c>
      <c r="F2976" s="8">
        <f>IFERROR(__xludf.DUMMYFUNCTION("""COMPUTED_VALUE"""),75206.0)</f>
        <v>75206</v>
      </c>
      <c r="I2976" s="8">
        <f t="shared" si="32"/>
        <v>75206</v>
      </c>
      <c r="J2976" s="9">
        <f>IFERROR(__xludf.DUMMYFUNCTION("SPLIT(I2976,""-"")"),75206.0)</f>
        <v>75206</v>
      </c>
    </row>
    <row r="2977">
      <c r="A2977" s="5" t="s">
        <v>2701</v>
      </c>
      <c r="B2977" s="6">
        <v>500.0</v>
      </c>
      <c r="C2977" s="7" t="s">
        <v>50</v>
      </c>
      <c r="E2977" s="8" t="str">
        <f>IFERROR(__xludf.DUMMYFUNCTION("SPLIT(A2977,""TX"")"),"Schenkel, Pete
4231 
Dallas, ")</f>
        <v>Schenkel, Pete
4231 
Dallas, </v>
      </c>
      <c r="F2977" s="8">
        <f>IFERROR(__xludf.DUMMYFUNCTION("""COMPUTED_VALUE"""),75205.0)</f>
        <v>75205</v>
      </c>
      <c r="I2977" s="8">
        <f t="shared" si="32"/>
        <v>75205</v>
      </c>
      <c r="J2977" s="9">
        <f>IFERROR(__xludf.DUMMYFUNCTION("SPLIT(I2977,""-"")"),75205.0)</f>
        <v>75205</v>
      </c>
    </row>
    <row r="2978">
      <c r="A2978" s="5" t="s">
        <v>2702</v>
      </c>
      <c r="B2978" s="6">
        <v>1000.0</v>
      </c>
      <c r="C2978" s="7" t="s">
        <v>50</v>
      </c>
      <c r="E2978" s="8" t="str">
        <f>IFERROR(__xludf.DUMMYFUNCTION("SPLIT(A2978,""TX"")"),"Carey, Jeff
300 
Dallas, ")</f>
        <v>Carey, Jeff
300 
Dallas, </v>
      </c>
      <c r="F2978" s="8">
        <f>IFERROR(__xludf.DUMMYFUNCTION("""COMPUTED_VALUE"""),75067.0)</f>
        <v>75067</v>
      </c>
      <c r="I2978" s="8">
        <f t="shared" si="32"/>
        <v>75067</v>
      </c>
      <c r="J2978" s="9">
        <f>IFERROR(__xludf.DUMMYFUNCTION("SPLIT(I2978,""-"")"),75067.0)</f>
        <v>75067</v>
      </c>
    </row>
    <row r="2979">
      <c r="A2979" s="5" t="s">
        <v>2703</v>
      </c>
      <c r="B2979" s="6">
        <v>1000.0</v>
      </c>
      <c r="C2979" s="7" t="s">
        <v>50</v>
      </c>
      <c r="E2979" s="8" t="str">
        <f>IFERROR(__xludf.DUMMYFUNCTION("SPLIT(A2979,""TX"")"),"Hunt, Ray
1900 
Dallas, ")</f>
        <v>Hunt, Ray
1900 
Dallas, </v>
      </c>
      <c r="F2979" s="8">
        <f>IFERROR(__xludf.DUMMYFUNCTION("""COMPUTED_VALUE"""),75201.0)</f>
        <v>75201</v>
      </c>
      <c r="I2979" s="8">
        <f t="shared" si="32"/>
        <v>75201</v>
      </c>
      <c r="J2979" s="9">
        <f>IFERROR(__xludf.DUMMYFUNCTION("SPLIT(I2979,""-"")"),75201.0)</f>
        <v>75201</v>
      </c>
    </row>
    <row r="2980">
      <c r="A2980" s="5" t="s">
        <v>2704</v>
      </c>
      <c r="B2980" s="6">
        <v>500.0</v>
      </c>
      <c r="C2980" s="7" t="s">
        <v>1238</v>
      </c>
      <c r="E2980" s="8" t="str">
        <f>IFERROR(__xludf.DUMMYFUNCTION("SPLIT(A2980,""TX"")"),"Stewart, Kathy
9509 Shady Valley Dr.
Dallas, ")</f>
        <v>Stewart, Kathy
9509 Shady Valley Dr.
Dallas, </v>
      </c>
      <c r="F2980" s="8">
        <f>IFERROR(__xludf.DUMMYFUNCTION("""COMPUTED_VALUE"""),75238.0)</f>
        <v>75238</v>
      </c>
      <c r="I2980" s="8">
        <f t="shared" si="32"/>
        <v>75238</v>
      </c>
      <c r="J2980" s="9">
        <f>IFERROR(__xludf.DUMMYFUNCTION("SPLIT(I2980,""-"")"),75238.0)</f>
        <v>75238</v>
      </c>
    </row>
    <row r="2981">
      <c r="A2981" s="10" t="s">
        <v>1344</v>
      </c>
      <c r="B2981" s="11">
        <v>50.0</v>
      </c>
      <c r="C2981" s="12" t="s">
        <v>1238</v>
      </c>
      <c r="E2981" s="8" t="str">
        <f>IFERROR(__xludf.DUMMYFUNCTION("SPLIT(A2981,""TX"")"),"Henry, Clayton
9322 Moss ")</f>
        <v>Henry, Clayton
9322 Moss </v>
      </c>
      <c r="F2981" s="8" t="str">
        <f>IFERROR(__xludf.DUMMYFUNCTION("""COMPUTED_VALUE"""),"rail
Dallas, ")</f>
        <v>rail
Dallas, </v>
      </c>
      <c r="G2981" s="8">
        <f>IFERROR(__xludf.DUMMYFUNCTION("""COMPUTED_VALUE"""),75231.0)</f>
        <v>75231</v>
      </c>
      <c r="I2981" s="8">
        <f t="shared" si="32"/>
        <v>75231</v>
      </c>
      <c r="J2981" s="9">
        <f>IFERROR(__xludf.DUMMYFUNCTION("SPLIT(I2981,""-"")"),75231.0)</f>
        <v>75231</v>
      </c>
    </row>
    <row r="2982">
      <c r="A2982" s="5" t="s">
        <v>2705</v>
      </c>
      <c r="B2982" s="6">
        <v>1000.0</v>
      </c>
      <c r="C2982" s="7" t="s">
        <v>1238</v>
      </c>
      <c r="E2982" s="8" t="str">
        <f>IFERROR(__xludf.DUMMYFUNCTION("SPLIT(A2982,""TX"")"),"Cox, Cecelia
5112 Woodview Ave.
Austin, ")</f>
        <v>Cox, Cecelia
5112 Woodview Ave.
Austin, </v>
      </c>
      <c r="F2982" s="8">
        <f>IFERROR(__xludf.DUMMYFUNCTION("""COMPUTED_VALUE"""),78756.0)</f>
        <v>78756</v>
      </c>
      <c r="I2982" s="8">
        <f t="shared" si="32"/>
        <v>78756</v>
      </c>
      <c r="J2982" s="9">
        <f>IFERROR(__xludf.DUMMYFUNCTION("SPLIT(I2982,""-"")"),78756.0)</f>
        <v>78756</v>
      </c>
    </row>
    <row r="2983">
      <c r="A2983" s="10" t="s">
        <v>2706</v>
      </c>
      <c r="B2983" s="11">
        <v>50.0</v>
      </c>
      <c r="C2983" s="12" t="s">
        <v>1238</v>
      </c>
      <c r="E2983" s="8" t="str">
        <f>IFERROR(__xludf.DUMMYFUNCTION("SPLIT(A2983,""TX"")"),"Afkhami, Kambiz
2308 Blackberry Dr.
Richardson, ")</f>
        <v>Afkhami, Kambiz
2308 Blackberry Dr.
Richardson, </v>
      </c>
      <c r="F2983" s="8">
        <f>IFERROR(__xludf.DUMMYFUNCTION("""COMPUTED_VALUE"""),75082.0)</f>
        <v>75082</v>
      </c>
      <c r="I2983" s="8">
        <f t="shared" si="32"/>
        <v>75082</v>
      </c>
      <c r="J2983" s="9">
        <f>IFERROR(__xludf.DUMMYFUNCTION("SPLIT(I2983,""-"")"),75082.0)</f>
        <v>75082</v>
      </c>
    </row>
    <row r="2984">
      <c r="A2984" s="5" t="s">
        <v>2707</v>
      </c>
      <c r="B2984" s="6">
        <v>50.0</v>
      </c>
      <c r="C2984" s="7" t="s">
        <v>1238</v>
      </c>
      <c r="E2984" s="8" t="str">
        <f>IFERROR(__xludf.DUMMYFUNCTION("SPLIT(A2984,""TX"")"),"Afkhami, Andrea
2308 Blackberry Dr.
Richardson, ")</f>
        <v>Afkhami, Andrea
2308 Blackberry Dr.
Richardson, </v>
      </c>
      <c r="F2984" s="8">
        <f>IFERROR(__xludf.DUMMYFUNCTION("""COMPUTED_VALUE"""),75082.0)</f>
        <v>75082</v>
      </c>
      <c r="I2984" s="8">
        <f t="shared" si="32"/>
        <v>75082</v>
      </c>
      <c r="J2984" s="9">
        <f>IFERROR(__xludf.DUMMYFUNCTION("SPLIT(I2984,""-"")"),75082.0)</f>
        <v>75082</v>
      </c>
    </row>
    <row r="2985">
      <c r="A2985" s="10" t="s">
        <v>2708</v>
      </c>
      <c r="B2985" s="11">
        <v>1000.0</v>
      </c>
      <c r="C2985" s="12" t="s">
        <v>1238</v>
      </c>
      <c r="E2985" s="8" t="str">
        <f>IFERROR(__xludf.DUMMYFUNCTION("SPLIT(A2985,""TX"")"),"Bellew, Chris
9406 Crestedge Dr.
Dallas, ")</f>
        <v>Bellew, Chris
9406 Crestedge Dr.
Dallas, </v>
      </c>
      <c r="F2985" s="8">
        <f>IFERROR(__xludf.DUMMYFUNCTION("""COMPUTED_VALUE"""),75238.0)</f>
        <v>75238</v>
      </c>
      <c r="I2985" s="8">
        <f t="shared" si="32"/>
        <v>75238</v>
      </c>
      <c r="J2985" s="9">
        <f>IFERROR(__xludf.DUMMYFUNCTION("SPLIT(I2985,""-"")"),75238.0)</f>
        <v>75238</v>
      </c>
    </row>
    <row r="2986">
      <c r="A2986" s="5" t="s">
        <v>233</v>
      </c>
      <c r="B2986" s="6">
        <v>1000.0</v>
      </c>
      <c r="C2986" s="7" t="s">
        <v>1065</v>
      </c>
      <c r="E2986" s="8" t="str">
        <f>IFERROR(__xludf.DUMMYFUNCTION("SPLIT(A2986,""TX"")"),"Davis, Macey
8322 Ridgelea St
Dallas, ")</f>
        <v>Davis, Macey
8322 Ridgelea St
Dallas, </v>
      </c>
      <c r="F2986" s="8">
        <f>IFERROR(__xludf.DUMMYFUNCTION("""COMPUTED_VALUE"""),75209.0)</f>
        <v>75209</v>
      </c>
      <c r="I2986" s="8">
        <f t="shared" si="32"/>
        <v>75209</v>
      </c>
      <c r="J2986" s="9">
        <f>IFERROR(__xludf.DUMMYFUNCTION("SPLIT(I2986,""-"")"),75209.0)</f>
        <v>75209</v>
      </c>
    </row>
    <row r="2987">
      <c r="A2987" s="5" t="s">
        <v>2709</v>
      </c>
      <c r="B2987" s="6">
        <v>1000.0</v>
      </c>
      <c r="C2987" s="7" t="s">
        <v>1065</v>
      </c>
      <c r="E2987" s="8" t="str">
        <f>IFERROR(__xludf.DUMMYFUNCTION("SPLIT(A2987,""TX"")"),"Gates, Jennifer &amp; John
4915 Keyhole Ln
Dallas, ")</f>
        <v>Gates, Jennifer &amp; John
4915 Keyhole Ln
Dallas, </v>
      </c>
      <c r="F2987" s="8">
        <f>IFERROR(__xludf.DUMMYFUNCTION("""COMPUTED_VALUE"""),75229.0)</f>
        <v>75229</v>
      </c>
      <c r="I2987" s="8">
        <f t="shared" si="32"/>
        <v>75229</v>
      </c>
      <c r="J2987" s="9">
        <f>IFERROR(__xludf.DUMMYFUNCTION("SPLIT(I2987,""-"")"),75229.0)</f>
        <v>75229</v>
      </c>
    </row>
    <row r="2988">
      <c r="A2988" s="5" t="s">
        <v>2710</v>
      </c>
      <c r="B2988" s="6">
        <v>2500.0</v>
      </c>
      <c r="C2988" s="7" t="s">
        <v>1065</v>
      </c>
      <c r="E2988" s="8" t="str">
        <f>IFERROR(__xludf.DUMMYFUNCTION("SPLIT(A2988,""TX"")"),"Wani, Rajen
3606 Greenville Ave
Dallas, ")</f>
        <v>Wani, Rajen
3606 Greenville Ave
Dallas, </v>
      </c>
      <c r="F2988" s="8">
        <f>IFERROR(__xludf.DUMMYFUNCTION("""COMPUTED_VALUE"""),75206.0)</f>
        <v>75206</v>
      </c>
      <c r="I2988" s="8">
        <f t="shared" si="32"/>
        <v>75206</v>
      </c>
      <c r="J2988" s="9">
        <f>IFERROR(__xludf.DUMMYFUNCTION("SPLIT(I2988,""-"")"),75206.0)</f>
        <v>75206</v>
      </c>
    </row>
    <row r="2989">
      <c r="A2989" s="5" t="s">
        <v>2711</v>
      </c>
      <c r="B2989" s="6">
        <v>250.0</v>
      </c>
      <c r="C2989" s="7" t="s">
        <v>1065</v>
      </c>
      <c r="E2989" s="8" t="str">
        <f>IFERROR(__xludf.DUMMYFUNCTION("SPLIT(A2989,""TX"")"),"Lonon, Justin
9767 Shell Ridge Dr
Frisco, ")</f>
        <v>Lonon, Justin
9767 Shell Ridge Dr
Frisco, </v>
      </c>
      <c r="F2989" s="8">
        <f>IFERROR(__xludf.DUMMYFUNCTION("""COMPUTED_VALUE"""),75033.0)</f>
        <v>75033</v>
      </c>
      <c r="I2989" s="8">
        <f t="shared" si="32"/>
        <v>75033</v>
      </c>
      <c r="J2989" s="9">
        <f>IFERROR(__xludf.DUMMYFUNCTION("SPLIT(I2989,""-"")"),75033.0)</f>
        <v>75033</v>
      </c>
    </row>
    <row r="2990">
      <c r="A2990" s="5" t="s">
        <v>2712</v>
      </c>
      <c r="B2990" s="6">
        <v>2500.0</v>
      </c>
      <c r="C2990" s="7" t="s">
        <v>1065</v>
      </c>
      <c r="E2990" s="8" t="str">
        <f>IFERROR(__xludf.DUMMYFUNCTION("SPLIT(A2990,""TX"")"),"Malik, Rajeev
1159 Cottonwood Ln
Irving, ")</f>
        <v>Malik, Rajeev
1159 Cottonwood Ln
Irving, </v>
      </c>
      <c r="F2990" s="8">
        <f>IFERROR(__xludf.DUMMYFUNCTION("""COMPUTED_VALUE"""),75038.0)</f>
        <v>75038</v>
      </c>
      <c r="I2990" s="8">
        <f t="shared" si="32"/>
        <v>75038</v>
      </c>
      <c r="J2990" s="9">
        <f>IFERROR(__xludf.DUMMYFUNCTION("SPLIT(I2990,""-"")"),75038.0)</f>
        <v>75038</v>
      </c>
    </row>
    <row r="2991">
      <c r="A2991" s="5" t="s">
        <v>2713</v>
      </c>
      <c r="B2991" s="6">
        <v>250.0</v>
      </c>
      <c r="C2991" s="7" t="s">
        <v>1065</v>
      </c>
      <c r="E2991" s="8" t="str">
        <f>IFERROR(__xludf.DUMMYFUNCTION("SPLIT(A2991,""TX"")"),"Miller, MacKenzie
400 Oak Ridge Dr
Fairview, ")</f>
        <v>Miller, MacKenzie
400 Oak Ridge Dr
Fairview, </v>
      </c>
      <c r="F2991" s="8">
        <f>IFERROR(__xludf.DUMMYFUNCTION("""COMPUTED_VALUE"""),75069.0)</f>
        <v>75069</v>
      </c>
      <c r="I2991" s="8">
        <f t="shared" si="32"/>
        <v>75069</v>
      </c>
      <c r="J2991" s="9">
        <f>IFERROR(__xludf.DUMMYFUNCTION("SPLIT(I2991,""-"")"),75069.0)</f>
        <v>75069</v>
      </c>
    </row>
    <row r="2992">
      <c r="A2992" s="5" t="s">
        <v>2714</v>
      </c>
      <c r="B2992" s="6">
        <v>250.0</v>
      </c>
      <c r="C2992" s="7" t="s">
        <v>1065</v>
      </c>
      <c r="E2992" s="8" t="str">
        <f>IFERROR(__xludf.DUMMYFUNCTION("SPLIT(A2992,""TX"")"),"Netzer, Jeffrey
5025 Strathmore ")</f>
        <v>Netzer, Jeffrey
5025 Strathmore </v>
      </c>
      <c r="F2992" s="8" t="str">
        <f>IFERROR(__xludf.DUMMYFUNCTION("""COMPUTED_VALUE"""),"errace
Colleyville, ")</f>
        <v>errace
Colleyville, </v>
      </c>
      <c r="G2992" s="8">
        <f>IFERROR(__xludf.DUMMYFUNCTION("""COMPUTED_VALUE"""),76034.0)</f>
        <v>76034</v>
      </c>
      <c r="I2992" s="8">
        <f t="shared" si="32"/>
        <v>76034</v>
      </c>
      <c r="J2992" s="9">
        <f>IFERROR(__xludf.DUMMYFUNCTION("SPLIT(I2992,""-"")"),76034.0)</f>
        <v>76034</v>
      </c>
    </row>
    <row r="2993">
      <c r="A2993" s="5" t="s">
        <v>2715</v>
      </c>
      <c r="B2993" s="6">
        <v>250.0</v>
      </c>
      <c r="C2993" s="7" t="s">
        <v>1065</v>
      </c>
      <c r="E2993" s="8" t="str">
        <f>IFERROR(__xludf.DUMMYFUNCTION("SPLIT(A2993,""TX"")"),"Ayala, Juan
9668 Arborhill Dr
Dallas, ")</f>
        <v>Ayala, Juan
9668 Arborhill Dr
Dallas, </v>
      </c>
      <c r="F2993" s="8">
        <f>IFERROR(__xludf.DUMMYFUNCTION("""COMPUTED_VALUE"""),75243.0)</f>
        <v>75243</v>
      </c>
      <c r="I2993" s="8">
        <f t="shared" si="32"/>
        <v>75243</v>
      </c>
      <c r="J2993" s="9">
        <f>IFERROR(__xludf.DUMMYFUNCTION("SPLIT(I2993,""-"")"),75243.0)</f>
        <v>75243</v>
      </c>
    </row>
    <row r="2994">
      <c r="A2994" s="5" t="s">
        <v>2716</v>
      </c>
      <c r="B2994" s="6">
        <v>2500.0</v>
      </c>
      <c r="C2994" s="7" t="s">
        <v>1065</v>
      </c>
      <c r="E2994" s="8" t="str">
        <f>IFERROR(__xludf.DUMMYFUNCTION("SPLIT(A2994,""TX"")"),"Lovell, Robert
1633 Prince William Ln
Frisco, ")</f>
        <v>Lovell, Robert
1633 Prince William Ln
Frisco, </v>
      </c>
      <c r="F2994" s="8">
        <f>IFERROR(__xludf.DUMMYFUNCTION("""COMPUTED_VALUE"""),75034.0)</f>
        <v>75034</v>
      </c>
      <c r="I2994" s="8">
        <f t="shared" si="32"/>
        <v>75034</v>
      </c>
      <c r="J2994" s="9">
        <f>IFERROR(__xludf.DUMMYFUNCTION("SPLIT(I2994,""-"")"),75034.0)</f>
        <v>75034</v>
      </c>
    </row>
    <row r="2995">
      <c r="A2995" s="5" t="s">
        <v>2634</v>
      </c>
      <c r="B2995" s="6">
        <v>250.0</v>
      </c>
      <c r="C2995" s="7" t="s">
        <v>1065</v>
      </c>
      <c r="E2995" s="8" t="str">
        <f>IFERROR(__xludf.DUMMYFUNCTION("SPLIT(A2995,""TX"")"),"Bryant, Randall
1910 Pacific Ave
Dallas, ")</f>
        <v>Bryant, Randall
1910 Pacific Ave
Dallas, </v>
      </c>
      <c r="F2995" s="8">
        <f>IFERROR(__xludf.DUMMYFUNCTION("""COMPUTED_VALUE"""),75201.0)</f>
        <v>75201</v>
      </c>
      <c r="I2995" s="8">
        <f t="shared" si="32"/>
        <v>75201</v>
      </c>
      <c r="J2995" s="9">
        <f>IFERROR(__xludf.DUMMYFUNCTION("SPLIT(I2995,""-"")"),75201.0)</f>
        <v>75201</v>
      </c>
    </row>
    <row r="2996">
      <c r="A2996" s="5" t="s">
        <v>2717</v>
      </c>
      <c r="B2996" s="6">
        <v>250.0</v>
      </c>
      <c r="C2996" s="7" t="s">
        <v>1065</v>
      </c>
      <c r="E2996" s="8" t="str">
        <f>IFERROR(__xludf.DUMMYFUNCTION("SPLIT(A2996,""TX"")"),"Russell, ")</f>
        <v>Russell, </v>
      </c>
      <c r="F2996" s="8" t="str">
        <f>IFERROR(__xludf.DUMMYFUNCTION("""COMPUTED_VALUE"""),"homas
4425 San Carlos Dr
Dallas, ")</f>
        <v>homas
4425 San Carlos Dr
Dallas, </v>
      </c>
      <c r="G2996" s="8">
        <f>IFERROR(__xludf.DUMMYFUNCTION("""COMPUTED_VALUE"""),75205.0)</f>
        <v>75205</v>
      </c>
      <c r="I2996" s="8">
        <f t="shared" si="32"/>
        <v>75205</v>
      </c>
      <c r="J2996" s="9">
        <f>IFERROR(__xludf.DUMMYFUNCTION("SPLIT(I2996,""-"")"),75205.0)</f>
        <v>75205</v>
      </c>
    </row>
    <row r="2997">
      <c r="A2997" s="5" t="s">
        <v>2718</v>
      </c>
      <c r="B2997" s="6">
        <v>250.0</v>
      </c>
      <c r="C2997" s="7" t="s">
        <v>1065</v>
      </c>
      <c r="E2997" s="8" t="str">
        <f>IFERROR(__xludf.DUMMYFUNCTION("SPLIT(A2997,""TX"")"),"Dym, Kevin
7928 Fallmeadow Ln
Dallas, ")</f>
        <v>Dym, Kevin
7928 Fallmeadow Ln
Dallas, </v>
      </c>
      <c r="F2997" s="8">
        <f>IFERROR(__xludf.DUMMYFUNCTION("""COMPUTED_VALUE"""),75248.0)</f>
        <v>75248</v>
      </c>
      <c r="I2997" s="8">
        <f t="shared" si="32"/>
        <v>75248</v>
      </c>
      <c r="J2997" s="9">
        <f>IFERROR(__xludf.DUMMYFUNCTION("SPLIT(I2997,""-"")"),75248.0)</f>
        <v>75248</v>
      </c>
    </row>
    <row r="2998">
      <c r="A2998" s="5" t="s">
        <v>2719</v>
      </c>
      <c r="B2998" s="6">
        <v>1000.0</v>
      </c>
      <c r="C2998" s="7" t="s">
        <v>1065</v>
      </c>
      <c r="E2998" s="8" t="str">
        <f>IFERROR(__xludf.DUMMYFUNCTION("SPLIT(A2998,""TX"")"),"Han, Peter
5957 Northaven Rd
Dallas, ")</f>
        <v>Han, Peter
5957 Northaven Rd
Dallas, </v>
      </c>
      <c r="F2998" s="8">
        <f>IFERROR(__xludf.DUMMYFUNCTION("""COMPUTED_VALUE"""),75230.0)</f>
        <v>75230</v>
      </c>
      <c r="I2998" s="8">
        <f t="shared" si="32"/>
        <v>75230</v>
      </c>
      <c r="J2998" s="9">
        <f>IFERROR(__xludf.DUMMYFUNCTION("SPLIT(I2998,""-"")"),75230.0)</f>
        <v>75230</v>
      </c>
    </row>
    <row r="2999">
      <c r="A2999" s="5" t="s">
        <v>2720</v>
      </c>
      <c r="B2999" s="6">
        <v>250.0</v>
      </c>
      <c r="C2999" s="7" t="s">
        <v>1065</v>
      </c>
      <c r="E2999" s="8" t="str">
        <f>IFERROR(__xludf.DUMMYFUNCTION("SPLIT(A2999,""TX"")"),"Stauffer, Brett
2920 State Street
Dallas, ")</f>
        <v>Stauffer, Brett
2920 State Street
Dallas, </v>
      </c>
      <c r="F2999" s="8">
        <f>IFERROR(__xludf.DUMMYFUNCTION("""COMPUTED_VALUE"""),75204.0)</f>
        <v>75204</v>
      </c>
      <c r="I2999" s="8">
        <f t="shared" si="32"/>
        <v>75204</v>
      </c>
      <c r="J2999" s="9">
        <f>IFERROR(__xludf.DUMMYFUNCTION("SPLIT(I2999,""-"")"),75204.0)</f>
        <v>75204</v>
      </c>
    </row>
    <row r="3000">
      <c r="A3000" s="5" t="s">
        <v>2251</v>
      </c>
      <c r="B3000" s="6">
        <v>800.0</v>
      </c>
      <c r="C3000" s="7" t="s">
        <v>1065</v>
      </c>
      <c r="E3000" s="8" t="str">
        <f>IFERROR(__xludf.DUMMYFUNCTION("SPLIT(A3000,""TX"")"),"Davis, Denise
58 Country Oaks Dr
Buda, ")</f>
        <v>Davis, Denise
58 Country Oaks Dr
Buda, </v>
      </c>
      <c r="F3000" s="8">
        <f>IFERROR(__xludf.DUMMYFUNCTION("""COMPUTED_VALUE"""),78610.0)</f>
        <v>78610</v>
      </c>
      <c r="I3000" s="8">
        <f t="shared" si="32"/>
        <v>78610</v>
      </c>
      <c r="J3000" s="9">
        <f>IFERROR(__xludf.DUMMYFUNCTION("SPLIT(I3000,""-"")"),78610.0)</f>
        <v>78610</v>
      </c>
    </row>
    <row r="3001">
      <c r="A3001" s="5" t="s">
        <v>2721</v>
      </c>
      <c r="B3001" s="6">
        <v>250.0</v>
      </c>
      <c r="C3001" s="7" t="s">
        <v>1065</v>
      </c>
      <c r="E3001" s="8" t="str">
        <f>IFERROR(__xludf.DUMMYFUNCTION("SPLIT(A3001,""TX"")"),"Johnson, Leander
3111 North Houston St
Dallas, ")</f>
        <v>Johnson, Leander
3111 North Houston St
Dallas, </v>
      </c>
      <c r="F3001" s="8">
        <f>IFERROR(__xludf.DUMMYFUNCTION("""COMPUTED_VALUE"""),75219.0)</f>
        <v>75219</v>
      </c>
      <c r="I3001" s="8">
        <f t="shared" si="32"/>
        <v>75219</v>
      </c>
      <c r="J3001" s="9">
        <f>IFERROR(__xludf.DUMMYFUNCTION("SPLIT(I3001,""-"")"),75219.0)</f>
        <v>75219</v>
      </c>
    </row>
    <row r="3002">
      <c r="A3002" s="5" t="s">
        <v>2302</v>
      </c>
      <c r="B3002" s="6">
        <v>350.0</v>
      </c>
      <c r="C3002" s="7" t="s">
        <v>1065</v>
      </c>
      <c r="E3002" s="8" t="str">
        <f>IFERROR(__xludf.DUMMYFUNCTION("SPLIT(A3002,""TX"")"),"Childress, Anita
8366 Santa Clara Dr
Dallas, ")</f>
        <v>Childress, Anita
8366 Santa Clara Dr
Dallas, </v>
      </c>
      <c r="F3002" s="8">
        <f>IFERROR(__xludf.DUMMYFUNCTION("""COMPUTED_VALUE"""),75218.0)</f>
        <v>75218</v>
      </c>
      <c r="I3002" s="8">
        <f t="shared" si="32"/>
        <v>75218</v>
      </c>
      <c r="J3002" s="9">
        <f>IFERROR(__xludf.DUMMYFUNCTION("SPLIT(I3002,""-"")"),75218.0)</f>
        <v>75218</v>
      </c>
    </row>
    <row r="3003">
      <c r="A3003" s="5" t="s">
        <v>2722</v>
      </c>
      <c r="B3003" s="6">
        <v>500.0</v>
      </c>
      <c r="C3003" s="7" t="s">
        <v>1065</v>
      </c>
      <c r="E3003" s="8" t="str">
        <f>IFERROR(__xludf.DUMMYFUNCTION("SPLIT(A3003,""TX"")"),"Evans, ")</f>
        <v>Evans, </v>
      </c>
      <c r="F3003" s="8" t="str">
        <f>IFERROR(__xludf.DUMMYFUNCTION("""COMPUTED_VALUE"""),"imothy
682 W Alamosa Dr
Chandler, AZ 85248")</f>
        <v>imothy
682 W Alamosa Dr
Chandler, AZ 85248</v>
      </c>
      <c r="J3003" s="9" t="str">
        <f>IFERROR(__xludf.DUMMYFUNCTION("SPLIT(I3003,""-"")"),"#VALUE!")</f>
        <v>#VALUE!</v>
      </c>
    </row>
    <row r="3004">
      <c r="A3004" s="5" t="s">
        <v>2110</v>
      </c>
      <c r="B3004" s="6">
        <v>5000.0</v>
      </c>
      <c r="C3004" s="7" t="s">
        <v>1065</v>
      </c>
      <c r="E3004" s="8" t="str">
        <f>IFERROR(__xludf.DUMMYFUNCTION("SPLIT(A3004,""TX"")"),"Martin, Jack
100 Crescent Court
Dallas, ")</f>
        <v>Martin, Jack
100 Crescent Court
Dallas, </v>
      </c>
      <c r="F3004" s="8">
        <f>IFERROR(__xludf.DUMMYFUNCTION("""COMPUTED_VALUE"""),75201.0)</f>
        <v>75201</v>
      </c>
      <c r="I3004" s="8">
        <f t="shared" ref="I3004:I3026" si="33">IF(ISBLANK(G3004),F3004,G3004)</f>
        <v>75201</v>
      </c>
      <c r="J3004" s="9">
        <f>IFERROR(__xludf.DUMMYFUNCTION("SPLIT(I3004,""-"")"),75201.0)</f>
        <v>75201</v>
      </c>
    </row>
    <row r="3005">
      <c r="A3005" s="5" t="s">
        <v>2723</v>
      </c>
      <c r="B3005" s="6">
        <v>250.0</v>
      </c>
      <c r="C3005" s="7" t="s">
        <v>1065</v>
      </c>
      <c r="E3005" s="8" t="str">
        <f>IFERROR(__xludf.DUMMYFUNCTION("SPLIT(A3005,""TX"")"),"Gibson, Michael
512 Cool Meadow Ct
DeSoto, ")</f>
        <v>Gibson, Michael
512 Cool Meadow Ct
DeSoto, </v>
      </c>
      <c r="F3005" s="8">
        <f>IFERROR(__xludf.DUMMYFUNCTION("""COMPUTED_VALUE"""),75115.0)</f>
        <v>75115</v>
      </c>
      <c r="I3005" s="8">
        <f t="shared" si="33"/>
        <v>75115</v>
      </c>
      <c r="J3005" s="9">
        <f>IFERROR(__xludf.DUMMYFUNCTION("SPLIT(I3005,""-"")"),75115.0)</f>
        <v>75115</v>
      </c>
    </row>
    <row r="3006">
      <c r="A3006" s="5" t="s">
        <v>2724</v>
      </c>
      <c r="B3006" s="6">
        <v>2500.0</v>
      </c>
      <c r="C3006" s="7" t="s">
        <v>1065</v>
      </c>
      <c r="E3006" s="8" t="str">
        <f>IFERROR(__xludf.DUMMYFUNCTION("SPLIT(A3006,""TX"")"),"Stein, Sheldon
14911 Quorum Dr
Dallas, ")</f>
        <v>Stein, Sheldon
14911 Quorum Dr
Dallas, </v>
      </c>
      <c r="F3006" s="8">
        <f>IFERROR(__xludf.DUMMYFUNCTION("""COMPUTED_VALUE"""),75254.0)</f>
        <v>75254</v>
      </c>
      <c r="I3006" s="8">
        <f t="shared" si="33"/>
        <v>75254</v>
      </c>
      <c r="J3006" s="9">
        <f>IFERROR(__xludf.DUMMYFUNCTION("SPLIT(I3006,""-"")"),75254.0)</f>
        <v>75254</v>
      </c>
    </row>
    <row r="3007">
      <c r="A3007" s="5" t="s">
        <v>2725</v>
      </c>
      <c r="B3007" s="6">
        <v>250.0</v>
      </c>
      <c r="C3007" s="7" t="s">
        <v>1065</v>
      </c>
      <c r="E3007" s="8" t="str">
        <f>IFERROR(__xludf.DUMMYFUNCTION("SPLIT(A3007,""TX"")"),"Allgeier, Daniel
3903 Frontier Ln
Dallas, ")</f>
        <v>Allgeier, Daniel
3903 Frontier Ln
Dallas, </v>
      </c>
      <c r="F3007" s="8">
        <f>IFERROR(__xludf.DUMMYFUNCTION("""COMPUTED_VALUE"""),75214.0)</f>
        <v>75214</v>
      </c>
      <c r="I3007" s="8">
        <f t="shared" si="33"/>
        <v>75214</v>
      </c>
      <c r="J3007" s="9">
        <f>IFERROR(__xludf.DUMMYFUNCTION("SPLIT(I3007,""-"")"),75214.0)</f>
        <v>75214</v>
      </c>
    </row>
    <row r="3008">
      <c r="A3008" s="5" t="s">
        <v>2319</v>
      </c>
      <c r="B3008" s="6">
        <v>1000.0</v>
      </c>
      <c r="C3008" s="7" t="s">
        <v>1065</v>
      </c>
      <c r="E3008" s="8" t="str">
        <f>IFERROR(__xludf.DUMMYFUNCTION("SPLIT(A3008,""TX"")"),"Katz, Marc
10244 Epping Ln
Dallas, ")</f>
        <v>Katz, Marc
10244 Epping Ln
Dallas, </v>
      </c>
      <c r="F3008" s="8">
        <f>IFERROR(__xludf.DUMMYFUNCTION("""COMPUTED_VALUE"""),75229.0)</f>
        <v>75229</v>
      </c>
      <c r="I3008" s="8">
        <f t="shared" si="33"/>
        <v>75229</v>
      </c>
      <c r="J3008" s="9">
        <f>IFERROR(__xludf.DUMMYFUNCTION("SPLIT(I3008,""-"")"),75229.0)</f>
        <v>75229</v>
      </c>
    </row>
    <row r="3009">
      <c r="A3009" s="5" t="s">
        <v>2726</v>
      </c>
      <c r="B3009" s="6">
        <v>500.0</v>
      </c>
      <c r="C3009" s="7" t="s">
        <v>1065</v>
      </c>
      <c r="E3009" s="8" t="str">
        <f>IFERROR(__xludf.DUMMYFUNCTION("SPLIT(A3009,""TX"")"),"Scovell, Dupree
7034 Alexander Dr
Dallas, ")</f>
        <v>Scovell, Dupree
7034 Alexander Dr
Dallas, </v>
      </c>
      <c r="F3009" s="8">
        <f>IFERROR(__xludf.DUMMYFUNCTION("""COMPUTED_VALUE"""),75214.0)</f>
        <v>75214</v>
      </c>
      <c r="I3009" s="8">
        <f t="shared" si="33"/>
        <v>75214</v>
      </c>
      <c r="J3009" s="9">
        <f>IFERROR(__xludf.DUMMYFUNCTION("SPLIT(I3009,""-"")"),75214.0)</f>
        <v>75214</v>
      </c>
    </row>
    <row r="3010">
      <c r="A3010" s="5" t="s">
        <v>2727</v>
      </c>
      <c r="B3010" s="6">
        <v>100.0</v>
      </c>
      <c r="C3010" s="7" t="s">
        <v>1065</v>
      </c>
      <c r="E3010" s="8" t="str">
        <f>IFERROR(__xludf.DUMMYFUNCTION("SPLIT(A3010,""TX"")"),"Rubin, Susie &amp; Alan
7455 Malabar Ln
Dallas, ")</f>
        <v>Rubin, Susie &amp; Alan
7455 Malabar Ln
Dallas, </v>
      </c>
      <c r="F3010" s="8">
        <f>IFERROR(__xludf.DUMMYFUNCTION("""COMPUTED_VALUE"""),75230.0)</f>
        <v>75230</v>
      </c>
      <c r="I3010" s="8">
        <f t="shared" si="33"/>
        <v>75230</v>
      </c>
      <c r="J3010" s="9">
        <f>IFERROR(__xludf.DUMMYFUNCTION("SPLIT(I3010,""-"")"),75230.0)</f>
        <v>75230</v>
      </c>
    </row>
    <row r="3011">
      <c r="A3011" s="5" t="s">
        <v>2728</v>
      </c>
      <c r="B3011" s="6">
        <v>50.0</v>
      </c>
      <c r="C3011" s="7" t="s">
        <v>1065</v>
      </c>
      <c r="E3011" s="8" t="str">
        <f>IFERROR(__xludf.DUMMYFUNCTION("SPLIT(A3011,""TX"")"),"Marshall, Carrie
12601 Natalie Dr
Balch Springs, ")</f>
        <v>Marshall, Carrie
12601 Natalie Dr
Balch Springs, </v>
      </c>
      <c r="F3011" s="8">
        <f>IFERROR(__xludf.DUMMYFUNCTION("""COMPUTED_VALUE"""),75180.0)</f>
        <v>75180</v>
      </c>
      <c r="I3011" s="8">
        <f t="shared" si="33"/>
        <v>75180</v>
      </c>
      <c r="J3011" s="9">
        <f>IFERROR(__xludf.DUMMYFUNCTION("SPLIT(I3011,""-"")"),75180.0)</f>
        <v>75180</v>
      </c>
    </row>
    <row r="3012">
      <c r="A3012" s="5" t="s">
        <v>2729</v>
      </c>
      <c r="B3012" s="6">
        <v>250.0</v>
      </c>
      <c r="C3012" s="7" t="s">
        <v>1065</v>
      </c>
      <c r="E3012" s="8" t="str">
        <f>IFERROR(__xludf.DUMMYFUNCTION("SPLIT(A3012,""TX"")"),"Quezada, Michael
2739 Vela
Grand Prairie, ")</f>
        <v>Quezada, Michael
2739 Vela
Grand Prairie, </v>
      </c>
      <c r="F3012" s="8">
        <f>IFERROR(__xludf.DUMMYFUNCTION("""COMPUTED_VALUE"""),75054.0)</f>
        <v>75054</v>
      </c>
      <c r="I3012" s="8">
        <f t="shared" si="33"/>
        <v>75054</v>
      </c>
      <c r="J3012" s="9">
        <f>IFERROR(__xludf.DUMMYFUNCTION("SPLIT(I3012,""-"")"),75054.0)</f>
        <v>75054</v>
      </c>
    </row>
    <row r="3013">
      <c r="A3013" s="5" t="s">
        <v>2730</v>
      </c>
      <c r="B3013" s="6">
        <v>250.0</v>
      </c>
      <c r="C3013" s="7" t="s">
        <v>1065</v>
      </c>
      <c r="E3013" s="8" t="str">
        <f>IFERROR(__xludf.DUMMYFUNCTION("SPLIT(A3013,""TX"")"),"Waldrip, Jack
6252 Mercedes Ave
Dallas, ")</f>
        <v>Waldrip, Jack
6252 Mercedes Ave
Dallas, </v>
      </c>
      <c r="F3013" s="8">
        <f>IFERROR(__xludf.DUMMYFUNCTION("""COMPUTED_VALUE"""),75214.0)</f>
        <v>75214</v>
      </c>
      <c r="I3013" s="8">
        <f t="shared" si="33"/>
        <v>75214</v>
      </c>
      <c r="J3013" s="9">
        <f>IFERROR(__xludf.DUMMYFUNCTION("SPLIT(I3013,""-"")"),75214.0)</f>
        <v>75214</v>
      </c>
    </row>
    <row r="3014">
      <c r="A3014" s="5" t="s">
        <v>2731</v>
      </c>
      <c r="B3014" s="6">
        <v>500.0</v>
      </c>
      <c r="C3014" s="7" t="s">
        <v>1065</v>
      </c>
      <c r="E3014" s="8" t="str">
        <f>IFERROR(__xludf.DUMMYFUNCTION("SPLIT(A3014,""TX"")"),"Walsh, Patrick
6502 Deloache Ave
Dallas, ")</f>
        <v>Walsh, Patrick
6502 Deloache Ave
Dallas, </v>
      </c>
      <c r="F3014" s="8">
        <f>IFERROR(__xludf.DUMMYFUNCTION("""COMPUTED_VALUE"""),75225.0)</f>
        <v>75225</v>
      </c>
      <c r="I3014" s="8">
        <f t="shared" si="33"/>
        <v>75225</v>
      </c>
      <c r="J3014" s="9">
        <f>IFERROR(__xludf.DUMMYFUNCTION("SPLIT(I3014,""-"")"),75225.0)</f>
        <v>75225</v>
      </c>
    </row>
    <row r="3015">
      <c r="A3015" s="5" t="s">
        <v>2732</v>
      </c>
      <c r="B3015" s="6">
        <v>1000.0</v>
      </c>
      <c r="C3015" s="7" t="s">
        <v>1065</v>
      </c>
      <c r="E3015" s="8" t="str">
        <f>IFERROR(__xludf.DUMMYFUNCTION("SPLIT(A3015,""TX"")"),"Agarwal, Jiten
13710 Slate Creek Lane
Houston, ")</f>
        <v>Agarwal, Jiten
13710 Slate Creek Lane
Houston, </v>
      </c>
      <c r="F3015" s="8">
        <f>IFERROR(__xludf.DUMMYFUNCTION("""COMPUTED_VALUE"""),77077.0)</f>
        <v>77077</v>
      </c>
      <c r="I3015" s="8">
        <f t="shared" si="33"/>
        <v>77077</v>
      </c>
      <c r="J3015" s="9">
        <f>IFERROR(__xludf.DUMMYFUNCTION("SPLIT(I3015,""-"")"),77077.0)</f>
        <v>77077</v>
      </c>
    </row>
    <row r="3016">
      <c r="A3016" s="5" t="s">
        <v>2259</v>
      </c>
      <c r="B3016" s="6">
        <v>250.0</v>
      </c>
      <c r="C3016" s="7" t="s">
        <v>1065</v>
      </c>
      <c r="E3016" s="8" t="str">
        <f>IFERROR(__xludf.DUMMYFUNCTION("SPLIT(A3016,""TX"")"),"Vaught, Allen
6122 Palo Pinto Ave
Dallas, ")</f>
        <v>Vaught, Allen
6122 Palo Pinto Ave
Dallas, </v>
      </c>
      <c r="F3016" s="8">
        <f>IFERROR(__xludf.DUMMYFUNCTION("""COMPUTED_VALUE"""),75214.0)</f>
        <v>75214</v>
      </c>
      <c r="I3016" s="8">
        <f t="shared" si="33"/>
        <v>75214</v>
      </c>
      <c r="J3016" s="9">
        <f>IFERROR(__xludf.DUMMYFUNCTION("SPLIT(I3016,""-"")"),75214.0)</f>
        <v>75214</v>
      </c>
    </row>
    <row r="3017">
      <c r="A3017" s="5" t="s">
        <v>2733</v>
      </c>
      <c r="B3017" s="6">
        <v>250.0</v>
      </c>
      <c r="C3017" s="7" t="s">
        <v>1065</v>
      </c>
      <c r="E3017" s="8" t="str">
        <f>IFERROR(__xludf.DUMMYFUNCTION("SPLIT(A3017,""TX"")"),"Shidid, ")</f>
        <v>Shidid, </v>
      </c>
      <c r="F3017" s="8" t="str">
        <f>IFERROR(__xludf.DUMMYFUNCTION("""COMPUTED_VALUE"""),"ony
6208 Copperhill Dr
Dallas, ")</f>
        <v>ony
6208 Copperhill Dr
Dallas, </v>
      </c>
      <c r="G3017" s="8">
        <f>IFERROR(__xludf.DUMMYFUNCTION("""COMPUTED_VALUE"""),75248.0)</f>
        <v>75248</v>
      </c>
      <c r="I3017" s="8">
        <f t="shared" si="33"/>
        <v>75248</v>
      </c>
      <c r="J3017" s="9">
        <f>IFERROR(__xludf.DUMMYFUNCTION("SPLIT(I3017,""-"")"),75248.0)</f>
        <v>75248</v>
      </c>
    </row>
    <row r="3018">
      <c r="A3018" s="5" t="s">
        <v>2734</v>
      </c>
      <c r="B3018" s="6">
        <v>500.0</v>
      </c>
      <c r="C3018" s="7" t="s">
        <v>1065</v>
      </c>
      <c r="E3018" s="8" t="str">
        <f>IFERROR(__xludf.DUMMYFUNCTION("SPLIT(A3018,""TX"")"),"Sanford, Christa
8249 Forest Hills Blvd
Dallas, ")</f>
        <v>Sanford, Christa
8249 Forest Hills Blvd
Dallas, </v>
      </c>
      <c r="F3018" s="8">
        <f>IFERROR(__xludf.DUMMYFUNCTION("""COMPUTED_VALUE"""),75218.0)</f>
        <v>75218</v>
      </c>
      <c r="I3018" s="8">
        <f t="shared" si="33"/>
        <v>75218</v>
      </c>
      <c r="J3018" s="9">
        <f>IFERROR(__xludf.DUMMYFUNCTION("SPLIT(I3018,""-"")"),75218.0)</f>
        <v>75218</v>
      </c>
    </row>
    <row r="3019">
      <c r="A3019" s="5" t="s">
        <v>2735</v>
      </c>
      <c r="B3019" s="6">
        <v>1000.0</v>
      </c>
      <c r="C3019" s="7" t="s">
        <v>1065</v>
      </c>
      <c r="E3019" s="8" t="str">
        <f>IFERROR(__xludf.DUMMYFUNCTION("SPLIT(A3019,""TX"")"),"Langdale, Mark
3899 Maple Ave
Dallas, ")</f>
        <v>Langdale, Mark
3899 Maple Ave
Dallas, </v>
      </c>
      <c r="F3019" s="8">
        <f>IFERROR(__xludf.DUMMYFUNCTION("""COMPUTED_VALUE"""),75219.0)</f>
        <v>75219</v>
      </c>
      <c r="I3019" s="8">
        <f t="shared" si="33"/>
        <v>75219</v>
      </c>
      <c r="J3019" s="9">
        <f>IFERROR(__xludf.DUMMYFUNCTION("SPLIT(I3019,""-"")"),75219.0)</f>
        <v>75219</v>
      </c>
    </row>
    <row r="3020">
      <c r="A3020" s="5" t="s">
        <v>2736</v>
      </c>
      <c r="B3020" s="6">
        <v>250.0</v>
      </c>
      <c r="C3020" s="7" t="s">
        <v>1065</v>
      </c>
      <c r="E3020" s="8" t="str">
        <f>IFERROR(__xludf.DUMMYFUNCTION("SPLIT(A3020,""TX"")"),"Leal, Ben
6949 Clay Academy Blvd
Dallas, ")</f>
        <v>Leal, Ben
6949 Clay Academy Blvd
Dallas, </v>
      </c>
      <c r="F3020" s="8">
        <f>IFERROR(__xludf.DUMMYFUNCTION("""COMPUTED_VALUE"""),75236.0)</f>
        <v>75236</v>
      </c>
      <c r="I3020" s="8">
        <f t="shared" si="33"/>
        <v>75236</v>
      </c>
      <c r="J3020" s="9">
        <f>IFERROR(__xludf.DUMMYFUNCTION("SPLIT(I3020,""-"")"),75236.0)</f>
        <v>75236</v>
      </c>
    </row>
    <row r="3021">
      <c r="A3021" s="5" t="s">
        <v>2737</v>
      </c>
      <c r="B3021" s="6">
        <v>1000.0</v>
      </c>
      <c r="C3021" s="7" t="s">
        <v>1065</v>
      </c>
      <c r="E3021" s="8" t="str">
        <f>IFERROR(__xludf.DUMMYFUNCTION("SPLIT(A3021,""TX"")"),"Johnson, Jacob
3107 West Camp Wisdom Rd
Dallas, ")</f>
        <v>Johnson, Jacob
3107 West Camp Wisdom Rd
Dallas, </v>
      </c>
      <c r="F3021" s="8">
        <f>IFERROR(__xludf.DUMMYFUNCTION("""COMPUTED_VALUE"""),75237.0)</f>
        <v>75237</v>
      </c>
      <c r="I3021" s="8">
        <f t="shared" si="33"/>
        <v>75237</v>
      </c>
      <c r="J3021" s="9">
        <f>IFERROR(__xludf.DUMMYFUNCTION("SPLIT(I3021,""-"")"),75237.0)</f>
        <v>75237</v>
      </c>
    </row>
    <row r="3022">
      <c r="A3022" s="5" t="s">
        <v>2738</v>
      </c>
      <c r="B3022" s="6">
        <v>250.0</v>
      </c>
      <c r="C3022" s="7" t="s">
        <v>1065</v>
      </c>
      <c r="E3022" s="8" t="str">
        <f>IFERROR(__xludf.DUMMYFUNCTION("SPLIT(A3022,""TX"")"),"Holmes, Rob
3404 Wentwood Dr
Dallas, ")</f>
        <v>Holmes, Rob
3404 Wentwood Dr
Dallas, </v>
      </c>
      <c r="F3022" s="8">
        <f>IFERROR(__xludf.DUMMYFUNCTION("""COMPUTED_VALUE"""),75225.0)</f>
        <v>75225</v>
      </c>
      <c r="I3022" s="8">
        <f t="shared" si="33"/>
        <v>75225</v>
      </c>
      <c r="J3022" s="9">
        <f>IFERROR(__xludf.DUMMYFUNCTION("SPLIT(I3022,""-"")"),75225.0)</f>
        <v>75225</v>
      </c>
    </row>
    <row r="3023">
      <c r="A3023" s="5" t="s">
        <v>2576</v>
      </c>
      <c r="B3023" s="6">
        <v>250.0</v>
      </c>
      <c r="C3023" s="7" t="s">
        <v>1065</v>
      </c>
      <c r="E3023" s="8" t="str">
        <f>IFERROR(__xludf.DUMMYFUNCTION("SPLIT(A3023,""TX"")"),"Wilson, Nancy
6739 Avalon Ave
Dallas, ")</f>
        <v>Wilson, Nancy
6739 Avalon Ave
Dallas, </v>
      </c>
      <c r="F3023" s="8">
        <f>IFERROR(__xludf.DUMMYFUNCTION("""COMPUTED_VALUE"""),75214.0)</f>
        <v>75214</v>
      </c>
      <c r="I3023" s="8">
        <f t="shared" si="33"/>
        <v>75214</v>
      </c>
      <c r="J3023" s="9">
        <f>IFERROR(__xludf.DUMMYFUNCTION("SPLIT(I3023,""-"")"),75214.0)</f>
        <v>75214</v>
      </c>
    </row>
    <row r="3024">
      <c r="A3024" s="5" t="s">
        <v>2739</v>
      </c>
      <c r="B3024" s="6">
        <v>500.0</v>
      </c>
      <c r="C3024" s="7" t="s">
        <v>1065</v>
      </c>
      <c r="E3024" s="8" t="str">
        <f>IFERROR(__xludf.DUMMYFUNCTION("SPLIT(A3024,""TX"")"),"Green, Ronald
811 Main Street
Houston, ")</f>
        <v>Green, Ronald
811 Main Street
Houston, </v>
      </c>
      <c r="F3024" s="8">
        <f>IFERROR(__xludf.DUMMYFUNCTION("""COMPUTED_VALUE"""),77002.0)</f>
        <v>77002</v>
      </c>
      <c r="I3024" s="8">
        <f t="shared" si="33"/>
        <v>77002</v>
      </c>
      <c r="J3024" s="9">
        <f>IFERROR(__xludf.DUMMYFUNCTION("SPLIT(I3024,""-"")"),77002.0)</f>
        <v>77002</v>
      </c>
    </row>
    <row r="3025">
      <c r="A3025" s="5" t="s">
        <v>2740</v>
      </c>
      <c r="B3025" s="6">
        <v>10000.0</v>
      </c>
      <c r="C3025" s="7" t="s">
        <v>1065</v>
      </c>
      <c r="E3025" s="8" t="str">
        <f>IFERROR(__xludf.DUMMYFUNCTION("SPLIT(A3025,""TX"")"),"McAtee, David
6824 Lupton Dr
Dallas, ")</f>
        <v>McAtee, David
6824 Lupton Dr
Dallas, </v>
      </c>
      <c r="F3025" s="8">
        <f>IFERROR(__xludf.DUMMYFUNCTION("""COMPUTED_VALUE"""),75225.0)</f>
        <v>75225</v>
      </c>
      <c r="I3025" s="8">
        <f t="shared" si="33"/>
        <v>75225</v>
      </c>
      <c r="J3025" s="9">
        <f>IFERROR(__xludf.DUMMYFUNCTION("SPLIT(I3025,""-"")"),75225.0)</f>
        <v>75225</v>
      </c>
    </row>
    <row r="3026">
      <c r="A3026" s="5" t="s">
        <v>2741</v>
      </c>
      <c r="B3026" s="6">
        <v>250.0</v>
      </c>
      <c r="C3026" s="7" t="s">
        <v>1065</v>
      </c>
      <c r="E3026" s="8" t="str">
        <f>IFERROR(__xludf.DUMMYFUNCTION("SPLIT(A3026,""TX"")"),"Ley, Georgia
6522 Orchid Lane
Dallas, ")</f>
        <v>Ley, Georgia
6522 Orchid Lane
Dallas, </v>
      </c>
      <c r="F3026" s="8">
        <f>IFERROR(__xludf.DUMMYFUNCTION("""COMPUTED_VALUE"""),75230.0)</f>
        <v>75230</v>
      </c>
      <c r="I3026" s="8">
        <f t="shared" si="33"/>
        <v>75230</v>
      </c>
      <c r="J3026" s="9">
        <f>IFERROR(__xludf.DUMMYFUNCTION("SPLIT(I3026,""-"")"),75230.0)</f>
        <v>75230</v>
      </c>
    </row>
    <row r="3027">
      <c r="A3027" s="5" t="s">
        <v>2742</v>
      </c>
      <c r="B3027" s="6">
        <v>1000.0</v>
      </c>
      <c r="C3027" s="7" t="s">
        <v>1065</v>
      </c>
      <c r="E3027" s="8" t="str">
        <f>IFERROR(__xludf.DUMMYFUNCTION("SPLIT(A3027,""TX"")"),"Smith, Dee Anna
1721 Woodsong Dr
Brentwood, ")</f>
        <v>Smith, Dee Anna
1721 Woodsong Dr
Brentwood, </v>
      </c>
      <c r="F3027" s="8" t="str">
        <f>IFERROR(__xludf.DUMMYFUNCTION("""COMPUTED_VALUE"""),"N 37027")</f>
        <v>N 37027</v>
      </c>
      <c r="J3027" s="9" t="str">
        <f>IFERROR(__xludf.DUMMYFUNCTION("SPLIT(I3027,""-"")"),"#VALUE!")</f>
        <v>#VALUE!</v>
      </c>
    </row>
    <row r="3028">
      <c r="A3028" s="5" t="s">
        <v>2743</v>
      </c>
      <c r="B3028" s="6">
        <v>500.0</v>
      </c>
      <c r="C3028" s="7" t="s">
        <v>1065</v>
      </c>
      <c r="E3028" s="8" t="str">
        <f>IFERROR(__xludf.DUMMYFUNCTION("SPLIT(A3028,""TX"")"),"Lewis, Glenn
5600 Rockhill Rd
Fort Worth, ")</f>
        <v>Lewis, Glenn
5600 Rockhill Rd
Fort Worth, </v>
      </c>
      <c r="F3028" s="8">
        <f>IFERROR(__xludf.DUMMYFUNCTION("""COMPUTED_VALUE"""),76112.0)</f>
        <v>76112</v>
      </c>
      <c r="I3028" s="8">
        <f t="shared" ref="I3028:I3057" si="34">IF(ISBLANK(G3028),F3028,G3028)</f>
        <v>76112</v>
      </c>
      <c r="J3028" s="9">
        <f>IFERROR(__xludf.DUMMYFUNCTION("SPLIT(I3028,""-"")"),76112.0)</f>
        <v>76112</v>
      </c>
    </row>
    <row r="3029">
      <c r="A3029" s="5" t="s">
        <v>2264</v>
      </c>
      <c r="B3029" s="6">
        <v>250.0</v>
      </c>
      <c r="C3029" s="7" t="s">
        <v>1065</v>
      </c>
      <c r="E3029" s="8" t="str">
        <f>IFERROR(__xludf.DUMMYFUNCTION("SPLIT(A3029,""TX"")"),"Christian, Jerry
8112 Fox Creek ")</f>
        <v>Christian, Jerry
8112 Fox Creek </v>
      </c>
      <c r="F3029" s="8" t="str">
        <f>IFERROR(__xludf.DUMMYFUNCTION("""COMPUTED_VALUE"""),"rail
Dallas, ")</f>
        <v>rail
Dallas, </v>
      </c>
      <c r="G3029" s="8">
        <f>IFERROR(__xludf.DUMMYFUNCTION("""COMPUTED_VALUE"""),75249.0)</f>
        <v>75249</v>
      </c>
      <c r="I3029" s="8">
        <f t="shared" si="34"/>
        <v>75249</v>
      </c>
      <c r="J3029" s="9">
        <f>IFERROR(__xludf.DUMMYFUNCTION("SPLIT(I3029,""-"")"),75249.0)</f>
        <v>75249</v>
      </c>
    </row>
    <row r="3030">
      <c r="A3030" s="5" t="s">
        <v>2744</v>
      </c>
      <c r="B3030" s="6">
        <v>250.0</v>
      </c>
      <c r="C3030" s="7" t="s">
        <v>1065</v>
      </c>
      <c r="E3030" s="8" t="str">
        <f>IFERROR(__xludf.DUMMYFUNCTION("SPLIT(A3030,""TX"")"),"Pittman, Aubrey Nick
100 Crescent Court
Dallas, ")</f>
        <v>Pittman, Aubrey Nick
100 Crescent Court
Dallas, </v>
      </c>
      <c r="F3030" s="8">
        <f>IFERROR(__xludf.DUMMYFUNCTION("""COMPUTED_VALUE"""),75201.0)</f>
        <v>75201</v>
      </c>
      <c r="I3030" s="8">
        <f t="shared" si="34"/>
        <v>75201</v>
      </c>
      <c r="J3030" s="9">
        <f>IFERROR(__xludf.DUMMYFUNCTION("SPLIT(I3030,""-"")"),75201.0)</f>
        <v>75201</v>
      </c>
    </row>
    <row r="3031">
      <c r="A3031" s="5" t="s">
        <v>2555</v>
      </c>
      <c r="B3031" s="6">
        <v>250.0</v>
      </c>
      <c r="C3031" s="7" t="s">
        <v>1065</v>
      </c>
      <c r="E3031" s="8" t="str">
        <f>IFERROR(__xludf.DUMMYFUNCTION("SPLIT(A3031,""TX"")"),"Rubin, Brent
7103 Coronado Ave
Dallas, ")</f>
        <v>Rubin, Brent
7103 Coronado Ave
Dallas, </v>
      </c>
      <c r="F3031" s="8">
        <f>IFERROR(__xludf.DUMMYFUNCTION("""COMPUTED_VALUE"""),75214.0)</f>
        <v>75214</v>
      </c>
      <c r="I3031" s="8">
        <f t="shared" si="34"/>
        <v>75214</v>
      </c>
      <c r="J3031" s="9">
        <f>IFERROR(__xludf.DUMMYFUNCTION("SPLIT(I3031,""-"")"),75214.0)</f>
        <v>75214</v>
      </c>
    </row>
    <row r="3032">
      <c r="A3032" s="5" t="s">
        <v>2745</v>
      </c>
      <c r="B3032" s="6">
        <v>500.0</v>
      </c>
      <c r="C3032" s="7" t="s">
        <v>1065</v>
      </c>
      <c r="E3032" s="8" t="str">
        <f>IFERROR(__xludf.DUMMYFUNCTION("SPLIT(A3032,""TX"")"),"Yxall, ")</f>
        <v>Yxall, </v>
      </c>
      <c r="F3032" s="8" t="str">
        <f>IFERROR(__xludf.DUMMYFUNCTION("""COMPUTED_VALUE"""),"homas
2519 Cambria Blvd
Dallas, ")</f>
        <v>homas
2519 Cambria Blvd
Dallas, </v>
      </c>
      <c r="G3032" s="8">
        <f>IFERROR(__xludf.DUMMYFUNCTION("""COMPUTED_VALUE"""),75214.0)</f>
        <v>75214</v>
      </c>
      <c r="I3032" s="8">
        <f t="shared" si="34"/>
        <v>75214</v>
      </c>
      <c r="J3032" s="9">
        <f>IFERROR(__xludf.DUMMYFUNCTION("SPLIT(I3032,""-"")"),75214.0)</f>
        <v>75214</v>
      </c>
    </row>
    <row r="3033">
      <c r="A3033" s="5" t="s">
        <v>2334</v>
      </c>
      <c r="B3033" s="6">
        <v>250.0</v>
      </c>
      <c r="C3033" s="7" t="s">
        <v>1065</v>
      </c>
      <c r="E3033" s="8" t="str">
        <f>IFERROR(__xludf.DUMMYFUNCTION("SPLIT(A3033,""TX"")"),"English, Charles
PO Box 140189
Dallas, ")</f>
        <v>English, Charles
PO Box 140189
Dallas, </v>
      </c>
      <c r="F3033" s="8">
        <f>IFERROR(__xludf.DUMMYFUNCTION("""COMPUTED_VALUE"""),75214.0)</f>
        <v>75214</v>
      </c>
      <c r="I3033" s="8">
        <f t="shared" si="34"/>
        <v>75214</v>
      </c>
      <c r="J3033" s="9">
        <f>IFERROR(__xludf.DUMMYFUNCTION("SPLIT(I3033,""-"")"),75214.0)</f>
        <v>75214</v>
      </c>
    </row>
    <row r="3034">
      <c r="A3034" s="5" t="s">
        <v>2746</v>
      </c>
      <c r="B3034" s="6">
        <v>250.0</v>
      </c>
      <c r="C3034" s="7" t="s">
        <v>1065</v>
      </c>
      <c r="E3034" s="8" t="str">
        <f>IFERROR(__xludf.DUMMYFUNCTION("SPLIT(A3034,""TX"")"),"Pippins-Poole, Antoinette
6735 Chapelridge Dr
Dallas, ")</f>
        <v>Pippins-Poole, Antoinette
6735 Chapelridge Dr
Dallas, </v>
      </c>
      <c r="F3034" s="8">
        <f>IFERROR(__xludf.DUMMYFUNCTION("""COMPUTED_VALUE"""),75249.0)</f>
        <v>75249</v>
      </c>
      <c r="I3034" s="8">
        <f t="shared" si="34"/>
        <v>75249</v>
      </c>
      <c r="J3034" s="9">
        <f>IFERROR(__xludf.DUMMYFUNCTION("SPLIT(I3034,""-"")"),75249.0)</f>
        <v>75249</v>
      </c>
    </row>
    <row r="3035">
      <c r="A3035" s="5" t="s">
        <v>2747</v>
      </c>
      <c r="B3035" s="6">
        <v>500.0</v>
      </c>
      <c r="C3035" s="7" t="s">
        <v>1065</v>
      </c>
      <c r="E3035" s="8" t="str">
        <f>IFERROR(__xludf.DUMMYFUNCTION("SPLIT(A3035,""TX"")"),"Johansen, Mark
2501 N Harwood
Dallas, ")</f>
        <v>Johansen, Mark
2501 N Harwood
Dallas, </v>
      </c>
      <c r="F3035" s="8">
        <f>IFERROR(__xludf.DUMMYFUNCTION("""COMPUTED_VALUE"""),75201.0)</f>
        <v>75201</v>
      </c>
      <c r="I3035" s="8">
        <f t="shared" si="34"/>
        <v>75201</v>
      </c>
      <c r="J3035" s="9">
        <f>IFERROR(__xludf.DUMMYFUNCTION("SPLIT(I3035,""-"")"),75201.0)</f>
        <v>75201</v>
      </c>
    </row>
    <row r="3036">
      <c r="A3036" s="5" t="s">
        <v>2748</v>
      </c>
      <c r="B3036" s="6">
        <v>1000.0</v>
      </c>
      <c r="C3036" s="7" t="s">
        <v>1065</v>
      </c>
      <c r="E3036" s="8" t="str">
        <f>IFERROR(__xludf.DUMMYFUNCTION("SPLIT(A3036,""TX"")"),"Santa-Maria, Arthur
785 Huntingdon Street
Coppell, ")</f>
        <v>Santa-Maria, Arthur
785 Huntingdon Street
Coppell, </v>
      </c>
      <c r="F3036" s="8">
        <f>IFERROR(__xludf.DUMMYFUNCTION("""COMPUTED_VALUE"""),75019.0)</f>
        <v>75019</v>
      </c>
      <c r="I3036" s="8">
        <f t="shared" si="34"/>
        <v>75019</v>
      </c>
      <c r="J3036" s="9">
        <f>IFERROR(__xludf.DUMMYFUNCTION("SPLIT(I3036,""-"")"),75019.0)</f>
        <v>75019</v>
      </c>
    </row>
    <row r="3037">
      <c r="A3037" s="5" t="s">
        <v>2749</v>
      </c>
      <c r="B3037" s="6">
        <v>250.0</v>
      </c>
      <c r="C3037" s="7" t="s">
        <v>1065</v>
      </c>
      <c r="E3037" s="8" t="str">
        <f>IFERROR(__xludf.DUMMYFUNCTION("SPLIT(A3037,""TX"")"),"Burleson, ")</f>
        <v>Burleson, </v>
      </c>
      <c r="F3037" s="8" t="str">
        <f>IFERROR(__xludf.DUMMYFUNCTION("""COMPUTED_VALUE"""),"iffany
5859 Foxglove Ln
Dallas, ")</f>
        <v>iffany
5859 Foxglove Ln
Dallas, </v>
      </c>
      <c r="G3037" s="8">
        <f>IFERROR(__xludf.DUMMYFUNCTION("""COMPUTED_VALUE"""),75249.0)</f>
        <v>75249</v>
      </c>
      <c r="I3037" s="8">
        <f t="shared" si="34"/>
        <v>75249</v>
      </c>
      <c r="J3037" s="9">
        <f>IFERROR(__xludf.DUMMYFUNCTION("SPLIT(I3037,""-"")"),75249.0)</f>
        <v>75249</v>
      </c>
    </row>
    <row r="3038">
      <c r="A3038" s="5" t="s">
        <v>2329</v>
      </c>
      <c r="B3038" s="6">
        <v>250.0</v>
      </c>
      <c r="C3038" s="7" t="s">
        <v>1065</v>
      </c>
      <c r="E3038" s="8" t="str">
        <f>IFERROR(__xludf.DUMMYFUNCTION("SPLIT(A3038,""TX"")"),"Fleiss, Eric
3808 Miramar Ave
Dallas, ")</f>
        <v>Fleiss, Eric
3808 Miramar Ave
Dallas, </v>
      </c>
      <c r="F3038" s="8">
        <f>IFERROR(__xludf.DUMMYFUNCTION("""COMPUTED_VALUE"""),75205.0)</f>
        <v>75205</v>
      </c>
      <c r="I3038" s="8">
        <f t="shared" si="34"/>
        <v>75205</v>
      </c>
      <c r="J3038" s="9">
        <f>IFERROR(__xludf.DUMMYFUNCTION("SPLIT(I3038,""-"")"),75205.0)</f>
        <v>75205</v>
      </c>
    </row>
    <row r="3039">
      <c r="A3039" s="5" t="s">
        <v>2750</v>
      </c>
      <c r="B3039" s="6">
        <v>1000.0</v>
      </c>
      <c r="C3039" s="7" t="s">
        <v>1065</v>
      </c>
      <c r="E3039" s="8" t="str">
        <f>IFERROR(__xludf.DUMMYFUNCTION("SPLIT(A3039,""TX"")"),"Heckler, Alexander
4555 North Bay Rd
Miami Beach, FL 33140")</f>
        <v>Heckler, Alexander
4555 North Bay Rd
Miami Beach, FL 33140</v>
      </c>
      <c r="I3039" s="8" t="str">
        <f t="shared" si="34"/>
        <v/>
      </c>
      <c r="J3039" s="9" t="str">
        <f>IFERROR(__xludf.DUMMYFUNCTION("SPLIT(I3039,""-"")"),"#VALUE!")</f>
        <v>#VALUE!</v>
      </c>
    </row>
    <row r="3040">
      <c r="A3040" s="5" t="s">
        <v>2252</v>
      </c>
      <c r="B3040" s="6">
        <v>1000.0</v>
      </c>
      <c r="C3040" s="7" t="s">
        <v>1065</v>
      </c>
      <c r="E3040" s="8" t="str">
        <f>IFERROR(__xludf.DUMMYFUNCTION("SPLIT(A3040,""TX"")"),"Lutin, Jason
3216 Princeton Ave
Dallas, ")</f>
        <v>Lutin, Jason
3216 Princeton Ave
Dallas, </v>
      </c>
      <c r="F3040" s="8">
        <f>IFERROR(__xludf.DUMMYFUNCTION("""COMPUTED_VALUE"""),75205.0)</f>
        <v>75205</v>
      </c>
      <c r="I3040" s="8">
        <f t="shared" si="34"/>
        <v>75205</v>
      </c>
      <c r="J3040" s="9">
        <f>IFERROR(__xludf.DUMMYFUNCTION("SPLIT(I3040,""-"")"),75205.0)</f>
        <v>75205</v>
      </c>
    </row>
    <row r="3041">
      <c r="A3041" s="5" t="s">
        <v>2751</v>
      </c>
      <c r="B3041" s="6">
        <v>2500.0</v>
      </c>
      <c r="C3041" s="7" t="s">
        <v>1065</v>
      </c>
      <c r="E3041" s="8" t="str">
        <f>IFERROR(__xludf.DUMMYFUNCTION("SPLIT(A3041,""TX"")"),"Huffines, James
4012 Gillon Ave
Dallas, ")</f>
        <v>Huffines, James
4012 Gillon Ave
Dallas, </v>
      </c>
      <c r="F3041" s="8">
        <f>IFERROR(__xludf.DUMMYFUNCTION("""COMPUTED_VALUE"""),75205.0)</f>
        <v>75205</v>
      </c>
      <c r="I3041" s="8">
        <f t="shared" si="34"/>
        <v>75205</v>
      </c>
      <c r="J3041" s="9">
        <f>IFERROR(__xludf.DUMMYFUNCTION("SPLIT(I3041,""-"")"),75205.0)</f>
        <v>75205</v>
      </c>
    </row>
    <row r="3042">
      <c r="A3042" s="5" t="s">
        <v>2752</v>
      </c>
      <c r="B3042" s="6">
        <v>250.0</v>
      </c>
      <c r="C3042" s="7" t="s">
        <v>1065</v>
      </c>
      <c r="E3042" s="8" t="str">
        <f>IFERROR(__xludf.DUMMYFUNCTION("SPLIT(A3042,""TX"")"),"James, Derrick
2419 Amber Leaf Court
Cedar Hill, ")</f>
        <v>James, Derrick
2419 Amber Leaf Court
Cedar Hill, </v>
      </c>
      <c r="F3042" s="8">
        <f>IFERROR(__xludf.DUMMYFUNCTION("""COMPUTED_VALUE"""),75104.0)</f>
        <v>75104</v>
      </c>
      <c r="I3042" s="8">
        <f t="shared" si="34"/>
        <v>75104</v>
      </c>
      <c r="J3042" s="9">
        <f>IFERROR(__xludf.DUMMYFUNCTION("SPLIT(I3042,""-"")"),75104.0)</f>
        <v>75104</v>
      </c>
    </row>
    <row r="3043">
      <c r="A3043" s="5" t="s">
        <v>2373</v>
      </c>
      <c r="B3043" s="6">
        <v>500.0</v>
      </c>
      <c r="C3043" s="7" t="s">
        <v>1065</v>
      </c>
      <c r="E3043" s="8" t="str">
        <f>IFERROR(__xludf.DUMMYFUNCTION("SPLIT(A3043,""TX"")"),"Anderson, Annette
3706 Pallos Verdas Dr
Dallas, ")</f>
        <v>Anderson, Annette
3706 Pallos Verdas Dr
Dallas, </v>
      </c>
      <c r="F3043" s="8">
        <f>IFERROR(__xludf.DUMMYFUNCTION("""COMPUTED_VALUE"""),75229.0)</f>
        <v>75229</v>
      </c>
      <c r="I3043" s="8">
        <f t="shared" si="34"/>
        <v>75229</v>
      </c>
      <c r="J3043" s="9">
        <f>IFERROR(__xludf.DUMMYFUNCTION("SPLIT(I3043,""-"")"),75229.0)</f>
        <v>75229</v>
      </c>
    </row>
    <row r="3044">
      <c r="A3044" s="5" t="s">
        <v>2753</v>
      </c>
      <c r="B3044" s="6">
        <v>250.0</v>
      </c>
      <c r="C3044" s="7" t="s">
        <v>1065</v>
      </c>
      <c r="E3044" s="8" t="str">
        <f>IFERROR(__xludf.DUMMYFUNCTION("SPLIT(A3044,""TX"")"),"Matthews, Charles
4235 Bobbitt Dr
Dallas, ")</f>
        <v>Matthews, Charles
4235 Bobbitt Dr
Dallas, </v>
      </c>
      <c r="F3044" s="8">
        <f>IFERROR(__xludf.DUMMYFUNCTION("""COMPUTED_VALUE"""),75229.0)</f>
        <v>75229</v>
      </c>
      <c r="I3044" s="8">
        <f t="shared" si="34"/>
        <v>75229</v>
      </c>
      <c r="J3044" s="9">
        <f>IFERROR(__xludf.DUMMYFUNCTION("SPLIT(I3044,""-"")"),75229.0)</f>
        <v>75229</v>
      </c>
    </row>
    <row r="3045">
      <c r="A3045" s="5" t="s">
        <v>2359</v>
      </c>
      <c r="B3045" s="6">
        <v>1000.0</v>
      </c>
      <c r="C3045" s="7" t="s">
        <v>1065</v>
      </c>
      <c r="E3045" s="8" t="str">
        <f>IFERROR(__xludf.DUMMYFUNCTION("SPLIT(A3045,""TX"")"),"Walker, Blake
7018 Elmridge Dr
Dallas, ")</f>
        <v>Walker, Blake
7018 Elmridge Dr
Dallas, </v>
      </c>
      <c r="F3045" s="8">
        <f>IFERROR(__xludf.DUMMYFUNCTION("""COMPUTED_VALUE"""),75240.0)</f>
        <v>75240</v>
      </c>
      <c r="I3045" s="8">
        <f t="shared" si="34"/>
        <v>75240</v>
      </c>
      <c r="J3045" s="9">
        <f>IFERROR(__xludf.DUMMYFUNCTION("SPLIT(I3045,""-"")"),75240.0)</f>
        <v>75240</v>
      </c>
    </row>
    <row r="3046">
      <c r="A3046" s="5" t="s">
        <v>2630</v>
      </c>
      <c r="B3046" s="6">
        <v>1000.0</v>
      </c>
      <c r="C3046" s="7" t="s">
        <v>1065</v>
      </c>
      <c r="E3046" s="8" t="str">
        <f>IFERROR(__xludf.DUMMYFUNCTION("SPLIT(A3046,""TX"")"),"Kirk, Ronald
6342 Mercedes Ave
Dallas, ")</f>
        <v>Kirk, Ronald
6342 Mercedes Ave
Dallas, </v>
      </c>
      <c r="F3046" s="8">
        <f>IFERROR(__xludf.DUMMYFUNCTION("""COMPUTED_VALUE"""),75214.0)</f>
        <v>75214</v>
      </c>
      <c r="I3046" s="8">
        <f t="shared" si="34"/>
        <v>75214</v>
      </c>
      <c r="J3046" s="9">
        <f>IFERROR(__xludf.DUMMYFUNCTION("SPLIT(I3046,""-"")"),75214.0)</f>
        <v>75214</v>
      </c>
    </row>
    <row r="3047">
      <c r="A3047" s="5" t="s">
        <v>2754</v>
      </c>
      <c r="B3047" s="6">
        <v>350.0</v>
      </c>
      <c r="C3047" s="7" t="s">
        <v>1065</v>
      </c>
      <c r="E3047" s="8" t="str">
        <f>IFERROR(__xludf.DUMMYFUNCTION("SPLIT(A3047,""TX"")"),"Chandler, Jennifer
7609 Southwestern Blvd
Dallas, ")</f>
        <v>Chandler, Jennifer
7609 Southwestern Blvd
Dallas, </v>
      </c>
      <c r="F3047" s="8">
        <f>IFERROR(__xludf.DUMMYFUNCTION("""COMPUTED_VALUE"""),75225.0)</f>
        <v>75225</v>
      </c>
      <c r="I3047" s="8">
        <f t="shared" si="34"/>
        <v>75225</v>
      </c>
      <c r="J3047" s="9">
        <f>IFERROR(__xludf.DUMMYFUNCTION("SPLIT(I3047,""-"")"),75225.0)</f>
        <v>75225</v>
      </c>
    </row>
    <row r="3048">
      <c r="A3048" s="5" t="s">
        <v>2289</v>
      </c>
      <c r="B3048" s="6">
        <v>500.0</v>
      </c>
      <c r="C3048" s="7" t="s">
        <v>1065</v>
      </c>
      <c r="E3048" s="8" t="str">
        <f>IFERROR(__xludf.DUMMYFUNCTION("SPLIT(A3048,""TX"")"),"McBee, Lynn
3925 Stonebridge Dr
Dallas, ")</f>
        <v>McBee, Lynn
3925 Stonebridge Dr
Dallas, </v>
      </c>
      <c r="F3048" s="8">
        <f>IFERROR(__xludf.DUMMYFUNCTION("""COMPUTED_VALUE"""),75204.0)</f>
        <v>75204</v>
      </c>
      <c r="I3048" s="8">
        <f t="shared" si="34"/>
        <v>75204</v>
      </c>
      <c r="J3048" s="9">
        <f>IFERROR(__xludf.DUMMYFUNCTION("SPLIT(I3048,""-"")"),75204.0)</f>
        <v>75204</v>
      </c>
    </row>
    <row r="3049">
      <c r="A3049" s="5" t="s">
        <v>2755</v>
      </c>
      <c r="B3049" s="6">
        <v>100.0</v>
      </c>
      <c r="C3049" s="7" t="s">
        <v>1065</v>
      </c>
      <c r="E3049" s="8" t="str">
        <f>IFERROR(__xludf.DUMMYFUNCTION("SPLIT(A3049,""TX"")"),"Bernstein, Elizabeth
3005 70th Ave SE
Mercer Island, WA 98040")</f>
        <v>Bernstein, Elizabeth
3005 70th Ave SE
Mercer Island, WA 98040</v>
      </c>
      <c r="I3049" s="8" t="str">
        <f t="shared" si="34"/>
        <v/>
      </c>
      <c r="J3049" s="9" t="str">
        <f>IFERROR(__xludf.DUMMYFUNCTION("SPLIT(I3049,""-"")"),"#VALUE!")</f>
        <v>#VALUE!</v>
      </c>
    </row>
    <row r="3050">
      <c r="A3050" s="5" t="s">
        <v>2756</v>
      </c>
      <c r="B3050" s="6">
        <v>250.0</v>
      </c>
      <c r="C3050" s="7" t="s">
        <v>1065</v>
      </c>
      <c r="E3050" s="8" t="str">
        <f>IFERROR(__xludf.DUMMYFUNCTION("SPLIT(A3050,""TX"")"),"Genender, Paul
200 Crescent Court
Dallas, ")</f>
        <v>Genender, Paul
200 Crescent Court
Dallas, </v>
      </c>
      <c r="F3050" s="8">
        <f>IFERROR(__xludf.DUMMYFUNCTION("""COMPUTED_VALUE"""),75201.0)</f>
        <v>75201</v>
      </c>
      <c r="I3050" s="8">
        <f t="shared" si="34"/>
        <v>75201</v>
      </c>
      <c r="J3050" s="9">
        <f>IFERROR(__xludf.DUMMYFUNCTION("SPLIT(I3050,""-"")"),75201.0)</f>
        <v>75201</v>
      </c>
    </row>
    <row r="3051">
      <c r="A3051" s="5" t="s">
        <v>2757</v>
      </c>
      <c r="B3051" s="6">
        <v>10.0</v>
      </c>
      <c r="C3051" s="7" t="s">
        <v>1065</v>
      </c>
      <c r="E3051" s="8" t="str">
        <f>IFERROR(__xludf.DUMMYFUNCTION("SPLIT(A3051,""TX"")"),"Booker, Sherese
PO Box 210641
Dallas, ")</f>
        <v>Booker, Sherese
PO Box 210641
Dallas, </v>
      </c>
      <c r="F3051" s="8">
        <f>IFERROR(__xludf.DUMMYFUNCTION("""COMPUTED_VALUE"""),75211.0)</f>
        <v>75211</v>
      </c>
      <c r="I3051" s="8">
        <f t="shared" si="34"/>
        <v>75211</v>
      </c>
      <c r="J3051" s="9">
        <f>IFERROR(__xludf.DUMMYFUNCTION("SPLIT(I3051,""-"")"),75211.0)</f>
        <v>75211</v>
      </c>
    </row>
    <row r="3052">
      <c r="A3052" s="5" t="s">
        <v>2758</v>
      </c>
      <c r="B3052" s="6">
        <v>500.0</v>
      </c>
      <c r="C3052" s="7" t="s">
        <v>1065</v>
      </c>
      <c r="E3052" s="8" t="str">
        <f>IFERROR(__xludf.DUMMYFUNCTION("SPLIT(A3052,""TX"")"),"Burruss, John
4716 Stonehearth Place
Dallas, ")</f>
        <v>Burruss, John
4716 Stonehearth Place
Dallas, </v>
      </c>
      <c r="F3052" s="8">
        <f>IFERROR(__xludf.DUMMYFUNCTION("""COMPUTED_VALUE"""),75287.0)</f>
        <v>75287</v>
      </c>
      <c r="I3052" s="8">
        <f t="shared" si="34"/>
        <v>75287</v>
      </c>
      <c r="J3052" s="9">
        <f>IFERROR(__xludf.DUMMYFUNCTION("SPLIT(I3052,""-"")"),75287.0)</f>
        <v>75287</v>
      </c>
    </row>
    <row r="3053">
      <c r="A3053" s="5" t="s">
        <v>2759</v>
      </c>
      <c r="B3053" s="6">
        <v>50.0</v>
      </c>
      <c r="C3053" s="7" t="s">
        <v>1065</v>
      </c>
      <c r="E3053" s="8" t="str">
        <f>IFERROR(__xludf.DUMMYFUNCTION("SPLIT(A3053,""TX"")"),"McClinton, Marguerite
354 Matlock Road
Mansfield, ")</f>
        <v>McClinton, Marguerite
354 Matlock Road
Mansfield, </v>
      </c>
      <c r="F3053" s="8">
        <f>IFERROR(__xludf.DUMMYFUNCTION("""COMPUTED_VALUE"""),76063.0)</f>
        <v>76063</v>
      </c>
      <c r="I3053" s="8">
        <f t="shared" si="34"/>
        <v>76063</v>
      </c>
      <c r="J3053" s="9">
        <f>IFERROR(__xludf.DUMMYFUNCTION("SPLIT(I3053,""-"")"),76063.0)</f>
        <v>76063</v>
      </c>
    </row>
    <row r="3054">
      <c r="A3054" s="5" t="s">
        <v>2760</v>
      </c>
      <c r="B3054" s="6">
        <v>500.0</v>
      </c>
      <c r="C3054" s="7" t="s">
        <v>1065</v>
      </c>
      <c r="E3054" s="8" t="str">
        <f>IFERROR(__xludf.DUMMYFUNCTION("SPLIT(A3054,""TX"")"),"Heiskell, Michael
5601 Bridge Street
Fort Worth, ")</f>
        <v>Heiskell, Michael
5601 Bridge Street
Fort Worth, </v>
      </c>
      <c r="F3054" s="8">
        <f>IFERROR(__xludf.DUMMYFUNCTION("""COMPUTED_VALUE"""),76112.0)</f>
        <v>76112</v>
      </c>
      <c r="I3054" s="8">
        <f t="shared" si="34"/>
        <v>76112</v>
      </c>
      <c r="J3054" s="9">
        <f>IFERROR(__xludf.DUMMYFUNCTION("SPLIT(I3054,""-"")"),76112.0)</f>
        <v>76112</v>
      </c>
    </row>
    <row r="3055">
      <c r="A3055" s="5" t="s">
        <v>2761</v>
      </c>
      <c r="B3055" s="6">
        <v>10000.0</v>
      </c>
      <c r="C3055" s="7" t="s">
        <v>1065</v>
      </c>
      <c r="E3055" s="8" t="str">
        <f>IFERROR(__xludf.DUMMYFUNCTION("SPLIT(A3055,""TX"")"),"Ryan, George
10430 Strait Lane
Dallas, ")</f>
        <v>Ryan, George
10430 Strait Lane
Dallas, </v>
      </c>
      <c r="F3055" s="8">
        <f>IFERROR(__xludf.DUMMYFUNCTION("""COMPUTED_VALUE"""),75229.0)</f>
        <v>75229</v>
      </c>
      <c r="I3055" s="8">
        <f t="shared" si="34"/>
        <v>75229</v>
      </c>
      <c r="J3055" s="9">
        <f>IFERROR(__xludf.DUMMYFUNCTION("SPLIT(I3055,""-"")"),75229.0)</f>
        <v>75229</v>
      </c>
    </row>
    <row r="3056">
      <c r="A3056" s="5" t="s">
        <v>2762</v>
      </c>
      <c r="B3056" s="6">
        <v>250.0</v>
      </c>
      <c r="C3056" s="7" t="s">
        <v>1065</v>
      </c>
      <c r="E3056" s="8" t="str">
        <f>IFERROR(__xludf.DUMMYFUNCTION("SPLIT(A3056,""TX"")"),"Patterson, Bennie
8850 Fair Oaks ")</f>
        <v>Patterson, Bennie
8850 Fair Oaks </v>
      </c>
      <c r="F3056" s="8" t="str">
        <f>IFERROR(__xludf.DUMMYFUNCTION("""COMPUTED_VALUE"""),"ing
Dallas, ")</f>
        <v>ing
Dallas, </v>
      </c>
      <c r="G3056" s="8">
        <f>IFERROR(__xludf.DUMMYFUNCTION("""COMPUTED_VALUE"""),75243.0)</f>
        <v>75243</v>
      </c>
      <c r="I3056" s="8">
        <f t="shared" si="34"/>
        <v>75243</v>
      </c>
      <c r="J3056" s="9">
        <f>IFERROR(__xludf.DUMMYFUNCTION("SPLIT(I3056,""-"")"),75243.0)</f>
        <v>75243</v>
      </c>
    </row>
    <row r="3057">
      <c r="A3057" s="5" t="s">
        <v>2763</v>
      </c>
      <c r="B3057" s="6">
        <v>100.0</v>
      </c>
      <c r="C3057" s="7" t="s">
        <v>1065</v>
      </c>
      <c r="E3057" s="8" t="str">
        <f>IFERROR(__xludf.DUMMYFUNCTION("SPLIT(A3057,""TX"")"),"Lazof, Chenza
2555 North Pearl St
Dallas, ")</f>
        <v>Lazof, Chenza
2555 North Pearl St
Dallas, </v>
      </c>
      <c r="F3057" s="8">
        <f>IFERROR(__xludf.DUMMYFUNCTION("""COMPUTED_VALUE"""),75201.0)</f>
        <v>75201</v>
      </c>
      <c r="I3057" s="8">
        <f t="shared" si="34"/>
        <v>75201</v>
      </c>
      <c r="J3057" s="9">
        <f>IFERROR(__xludf.DUMMYFUNCTION("SPLIT(I3057,""-"")"),75201.0)</f>
        <v>75201</v>
      </c>
    </row>
    <row r="3058">
      <c r="A3058" s="5" t="s">
        <v>2764</v>
      </c>
      <c r="B3058" s="6">
        <v>1000.0</v>
      </c>
      <c r="C3058" s="7" t="s">
        <v>1065</v>
      </c>
      <c r="E3058" s="8" t="str">
        <f>IFERROR(__xludf.DUMMYFUNCTION("SPLIT(A3058,""TX"")"),"Powers, ")</f>
        <v>Powers, </v>
      </c>
      <c r="F3058" s="8" t="str">
        <f>IFERROR(__xludf.DUMMYFUNCTION("""COMPUTED_VALUE"""),"im
2355 ")</f>
        <v>im
2355 </v>
      </c>
      <c r="G3058" s="8" t="str">
        <f>IFERROR(__xludf.DUMMYFUNCTION("""COMPUTED_VALUE"""),"homas Ave
Dallas, ")</f>
        <v>homas Ave
Dallas, </v>
      </c>
      <c r="H3058" s="8">
        <f>IFERROR(__xludf.DUMMYFUNCTION("""COMPUTED_VALUE"""),75201.0)</f>
        <v>75201</v>
      </c>
      <c r="I3058" s="13">
        <v>75201.0</v>
      </c>
      <c r="J3058" s="9">
        <f>IFERROR(__xludf.DUMMYFUNCTION("SPLIT(I3058,""-"")"),75201.0)</f>
        <v>75201</v>
      </c>
    </row>
    <row r="3059">
      <c r="A3059" s="5" t="s">
        <v>2765</v>
      </c>
      <c r="B3059" s="6">
        <v>1000.0</v>
      </c>
      <c r="C3059" s="7" t="s">
        <v>1065</v>
      </c>
      <c r="E3059" s="8" t="str">
        <f>IFERROR(__xludf.DUMMYFUNCTION("SPLIT(A3059,""TX"")"),"Walne, Joni &amp; Alan
10020 Caribou ")</f>
        <v>Walne, Joni &amp; Alan
10020 Caribou </v>
      </c>
      <c r="F3059" s="8" t="str">
        <f>IFERROR(__xludf.DUMMYFUNCTION("""COMPUTED_VALUE"""),"rail
Dallas, ")</f>
        <v>rail
Dallas, </v>
      </c>
      <c r="G3059" s="8">
        <f>IFERROR(__xludf.DUMMYFUNCTION("""COMPUTED_VALUE"""),75238.0)</f>
        <v>75238</v>
      </c>
      <c r="I3059" s="8">
        <f t="shared" ref="I3059:I3216" si="35">IF(ISBLANK(G3059),F3059,G3059)</f>
        <v>75238</v>
      </c>
      <c r="J3059" s="9">
        <f>IFERROR(__xludf.DUMMYFUNCTION("SPLIT(I3059,""-"")"),75238.0)</f>
        <v>75238</v>
      </c>
    </row>
    <row r="3060">
      <c r="A3060" s="5" t="s">
        <v>2766</v>
      </c>
      <c r="B3060" s="6">
        <v>500.0</v>
      </c>
      <c r="C3060" s="7" t="s">
        <v>1065</v>
      </c>
      <c r="E3060" s="8" t="str">
        <f>IFERROR(__xludf.DUMMYFUNCTION("SPLIT(A3060,""TX"")"),"ODwyer, ")</f>
        <v>ODwyer, </v>
      </c>
      <c r="F3060" s="8" t="str">
        <f>IFERROR(__xludf.DUMMYFUNCTION("""COMPUTED_VALUE"""),"om
9615 Airline Road
Dallas, ")</f>
        <v>om
9615 Airline Road
Dallas, </v>
      </c>
      <c r="G3060" s="8">
        <f>IFERROR(__xludf.DUMMYFUNCTION("""COMPUTED_VALUE"""),75225.0)</f>
        <v>75225</v>
      </c>
      <c r="I3060" s="8">
        <f t="shared" si="35"/>
        <v>75225</v>
      </c>
      <c r="J3060" s="9">
        <f>IFERROR(__xludf.DUMMYFUNCTION("SPLIT(I3060,""-"")"),75225.0)</f>
        <v>75225</v>
      </c>
    </row>
    <row r="3061">
      <c r="A3061" s="5" t="s">
        <v>2767</v>
      </c>
      <c r="B3061" s="6">
        <v>100.0</v>
      </c>
      <c r="C3061" s="7" t="s">
        <v>1065</v>
      </c>
      <c r="E3061" s="8" t="str">
        <f>IFERROR(__xludf.DUMMYFUNCTION("SPLIT(A3061,""TX"")"),"Birnbaum, Marc
4305 W Lovers Lane
Dallas, ")</f>
        <v>Birnbaum, Marc
4305 W Lovers Lane
Dallas, </v>
      </c>
      <c r="F3061" s="8">
        <f>IFERROR(__xludf.DUMMYFUNCTION("""COMPUTED_VALUE"""),75209.0)</f>
        <v>75209</v>
      </c>
      <c r="I3061" s="8">
        <f t="shared" si="35"/>
        <v>75209</v>
      </c>
      <c r="J3061" s="9">
        <f>IFERROR(__xludf.DUMMYFUNCTION("SPLIT(I3061,""-"")"),75209.0)</f>
        <v>75209</v>
      </c>
    </row>
    <row r="3062">
      <c r="A3062" s="5" t="s">
        <v>2768</v>
      </c>
      <c r="B3062" s="6">
        <v>5000.0</v>
      </c>
      <c r="C3062" s="7" t="s">
        <v>1065</v>
      </c>
      <c r="E3062" s="8" t="str">
        <f>IFERROR(__xludf.DUMMYFUNCTION("SPLIT(A3062,""TX"")"),"Marshall, E Pierce
6425 Belmead Dr
Dallas, ")</f>
        <v>Marshall, E Pierce
6425 Belmead Dr
Dallas, </v>
      </c>
      <c r="F3062" s="8">
        <f>IFERROR(__xludf.DUMMYFUNCTION("""COMPUTED_VALUE"""),75230.0)</f>
        <v>75230</v>
      </c>
      <c r="I3062" s="8">
        <f t="shared" si="35"/>
        <v>75230</v>
      </c>
      <c r="J3062" s="9">
        <f>IFERROR(__xludf.DUMMYFUNCTION("SPLIT(I3062,""-"")"),75230.0)</f>
        <v>75230</v>
      </c>
    </row>
    <row r="3063">
      <c r="A3063" s="5" t="s">
        <v>2769</v>
      </c>
      <c r="B3063" s="6">
        <v>250.0</v>
      </c>
      <c r="C3063" s="7" t="s">
        <v>1065</v>
      </c>
      <c r="E3063" s="8" t="str">
        <f>IFERROR(__xludf.DUMMYFUNCTION("SPLIT(A3063,""TX"")"),"Mitchell, Sarah
7008 Merrilee Ln
Dallas, ")</f>
        <v>Mitchell, Sarah
7008 Merrilee Ln
Dallas, </v>
      </c>
      <c r="F3063" s="8">
        <f>IFERROR(__xludf.DUMMYFUNCTION("""COMPUTED_VALUE"""),75214.0)</f>
        <v>75214</v>
      </c>
      <c r="I3063" s="8">
        <f t="shared" si="35"/>
        <v>75214</v>
      </c>
      <c r="J3063" s="9">
        <f>IFERROR(__xludf.DUMMYFUNCTION("SPLIT(I3063,""-"")"),75214.0)</f>
        <v>75214</v>
      </c>
    </row>
    <row r="3064">
      <c r="A3064" s="5" t="s">
        <v>2770</v>
      </c>
      <c r="B3064" s="6">
        <v>5000.0</v>
      </c>
      <c r="C3064" s="7" t="s">
        <v>1065</v>
      </c>
      <c r="E3064" s="8" t="str">
        <f>IFERROR(__xludf.DUMMYFUNCTION("SPLIT(A3064,""TX"")"),"Wilson, Kirk
10739 Bridge Hollow Court
Dallas, ")</f>
        <v>Wilson, Kirk
10739 Bridge Hollow Court
Dallas, </v>
      </c>
      <c r="F3064" s="8">
        <f>IFERROR(__xludf.DUMMYFUNCTION("""COMPUTED_VALUE"""),75229.0)</f>
        <v>75229</v>
      </c>
      <c r="I3064" s="8">
        <f t="shared" si="35"/>
        <v>75229</v>
      </c>
      <c r="J3064" s="9">
        <f>IFERROR(__xludf.DUMMYFUNCTION("SPLIT(I3064,""-"")"),75229.0)</f>
        <v>75229</v>
      </c>
    </row>
    <row r="3065">
      <c r="A3065" s="5" t="s">
        <v>2771</v>
      </c>
      <c r="B3065" s="6">
        <v>1000.0</v>
      </c>
      <c r="C3065" s="7" t="s">
        <v>1065</v>
      </c>
      <c r="E3065" s="8" t="str">
        <f>IFERROR(__xludf.DUMMYFUNCTION("SPLIT(A3065,""TX"")"),"Welch, ")</f>
        <v>Welch, </v>
      </c>
      <c r="F3065" s="8" t="str">
        <f>IFERROR(__xludf.DUMMYFUNCTION("""COMPUTED_VALUE"""),"errence
4 Ryddington Pl
Dallas, ")</f>
        <v>errence
4 Ryddington Pl
Dallas, </v>
      </c>
      <c r="G3065" s="8">
        <f>IFERROR(__xludf.DUMMYFUNCTION("""COMPUTED_VALUE"""),75230.0)</f>
        <v>75230</v>
      </c>
      <c r="I3065" s="8">
        <f t="shared" si="35"/>
        <v>75230</v>
      </c>
      <c r="J3065" s="9">
        <f>IFERROR(__xludf.DUMMYFUNCTION("SPLIT(I3065,""-"")"),75230.0)</f>
        <v>75230</v>
      </c>
    </row>
    <row r="3066">
      <c r="A3066" s="5" t="s">
        <v>1153</v>
      </c>
      <c r="B3066" s="6">
        <v>1000.0</v>
      </c>
      <c r="C3066" s="7" t="s">
        <v>1065</v>
      </c>
      <c r="E3066" s="8" t="str">
        <f>IFERROR(__xludf.DUMMYFUNCTION("SPLIT(A3066,""TX"")"),"Steinhart, Ronald
25 Robledo Dr
Dallas, ")</f>
        <v>Steinhart, Ronald
25 Robledo Dr
Dallas, </v>
      </c>
      <c r="F3066" s="8">
        <f>IFERROR(__xludf.DUMMYFUNCTION("""COMPUTED_VALUE"""),75230.0)</f>
        <v>75230</v>
      </c>
      <c r="I3066" s="8">
        <f t="shared" si="35"/>
        <v>75230</v>
      </c>
      <c r="J3066" s="9">
        <f>IFERROR(__xludf.DUMMYFUNCTION("SPLIT(I3066,""-"")"),75230.0)</f>
        <v>75230</v>
      </c>
    </row>
    <row r="3067">
      <c r="A3067" s="5" t="s">
        <v>2772</v>
      </c>
      <c r="B3067" s="6">
        <v>250.0</v>
      </c>
      <c r="C3067" s="7" t="s">
        <v>1065</v>
      </c>
      <c r="E3067" s="8" t="str">
        <f>IFERROR(__xludf.DUMMYFUNCTION("SPLIT(A3067,""TX"")"),"Paley, Andrew
6022 Windbreak ")</f>
        <v>Paley, Andrew
6022 Windbreak </v>
      </c>
      <c r="F3067" s="8" t="str">
        <f>IFERROR(__xludf.DUMMYFUNCTION("""COMPUTED_VALUE"""),"rail
Dallas, ")</f>
        <v>rail
Dallas, </v>
      </c>
      <c r="G3067" s="8">
        <f>IFERROR(__xludf.DUMMYFUNCTION("""COMPUTED_VALUE"""),75252.0)</f>
        <v>75252</v>
      </c>
      <c r="I3067" s="8">
        <f t="shared" si="35"/>
        <v>75252</v>
      </c>
      <c r="J3067" s="9">
        <f>IFERROR(__xludf.DUMMYFUNCTION("SPLIT(I3067,""-"")"),75252.0)</f>
        <v>75252</v>
      </c>
    </row>
    <row r="3068">
      <c r="A3068" s="5" t="s">
        <v>2773</v>
      </c>
      <c r="B3068" s="6">
        <v>5000.0</v>
      </c>
      <c r="C3068" s="7" t="s">
        <v>1065</v>
      </c>
      <c r="E3068" s="8" t="str">
        <f>IFERROR(__xludf.DUMMYFUNCTION("SPLIT(A3068,""TX"")"),"Murchison, Robert
10131 Gaywood Road
Dallas, ")</f>
        <v>Murchison, Robert
10131 Gaywood Road
Dallas, </v>
      </c>
      <c r="F3068" s="8">
        <f>IFERROR(__xludf.DUMMYFUNCTION("""COMPUTED_VALUE"""),75229.0)</f>
        <v>75229</v>
      </c>
      <c r="I3068" s="8">
        <f t="shared" si="35"/>
        <v>75229</v>
      </c>
      <c r="J3068" s="9">
        <f>IFERROR(__xludf.DUMMYFUNCTION("SPLIT(I3068,""-"")"),75229.0)</f>
        <v>75229</v>
      </c>
    </row>
    <row r="3069">
      <c r="A3069" s="5" t="s">
        <v>2774</v>
      </c>
      <c r="B3069" s="6">
        <v>1000.0</v>
      </c>
      <c r="C3069" s="7" t="s">
        <v>1065</v>
      </c>
      <c r="E3069" s="8" t="str">
        <f>IFERROR(__xludf.DUMMYFUNCTION("SPLIT(A3069,""TX"")"),"Jordan, Robert
6515 Northaven Road
Dallas, ")</f>
        <v>Jordan, Robert
6515 Northaven Road
Dallas, </v>
      </c>
      <c r="F3069" s="8">
        <f>IFERROR(__xludf.DUMMYFUNCTION("""COMPUTED_VALUE"""),75230.0)</f>
        <v>75230</v>
      </c>
      <c r="I3069" s="8">
        <f t="shared" si="35"/>
        <v>75230</v>
      </c>
      <c r="J3069" s="9">
        <f>IFERROR(__xludf.DUMMYFUNCTION("SPLIT(I3069,""-"")"),75230.0)</f>
        <v>75230</v>
      </c>
    </row>
    <row r="3070">
      <c r="A3070" s="5" t="s">
        <v>2775</v>
      </c>
      <c r="B3070" s="6">
        <v>500.0</v>
      </c>
      <c r="C3070" s="7" t="s">
        <v>1065</v>
      </c>
      <c r="E3070" s="8" t="str">
        <f>IFERROR(__xludf.DUMMYFUNCTION("SPLIT(A3070,""TX"")"),"Jones, Fallyn
552 Bizerte Ave
Dallas, ")</f>
        <v>Jones, Fallyn
552 Bizerte Ave
Dallas, </v>
      </c>
      <c r="F3070" s="8">
        <f>IFERROR(__xludf.DUMMYFUNCTION("""COMPUTED_VALUE"""),75224.0)</f>
        <v>75224</v>
      </c>
      <c r="I3070" s="8">
        <f t="shared" si="35"/>
        <v>75224</v>
      </c>
      <c r="J3070" s="9">
        <f>IFERROR(__xludf.DUMMYFUNCTION("SPLIT(I3070,""-"")"),75224.0)</f>
        <v>75224</v>
      </c>
    </row>
    <row r="3071">
      <c r="A3071" s="5" t="s">
        <v>2776</v>
      </c>
      <c r="B3071" s="6">
        <v>2500.0</v>
      </c>
      <c r="C3071" s="7" t="s">
        <v>1065</v>
      </c>
      <c r="E3071" s="8" t="str">
        <f>IFERROR(__xludf.DUMMYFUNCTION("SPLIT(A3071,""TX"")"),"Gunnin, Mark
6027 Desco Drive
Dallas, ")</f>
        <v>Gunnin, Mark
6027 Desco Drive
Dallas, </v>
      </c>
      <c r="F3071" s="8">
        <f>IFERROR(__xludf.DUMMYFUNCTION("""COMPUTED_VALUE"""),75225.0)</f>
        <v>75225</v>
      </c>
      <c r="I3071" s="8">
        <f t="shared" si="35"/>
        <v>75225</v>
      </c>
      <c r="J3071" s="9">
        <f>IFERROR(__xludf.DUMMYFUNCTION("SPLIT(I3071,""-"")"),75225.0)</f>
        <v>75225</v>
      </c>
    </row>
    <row r="3072">
      <c r="A3072" s="5" t="s">
        <v>1074</v>
      </c>
      <c r="B3072" s="6">
        <v>500.0</v>
      </c>
      <c r="C3072" s="7" t="s">
        <v>1065</v>
      </c>
      <c r="E3072" s="8" t="str">
        <f>IFERROR(__xludf.DUMMYFUNCTION("SPLIT(A3072,""TX"")"),"Folsom, Steve
16475 Dallas Parkway
Addison, ")</f>
        <v>Folsom, Steve
16475 Dallas Parkway
Addison, </v>
      </c>
      <c r="F3072" s="8">
        <f>IFERROR(__xludf.DUMMYFUNCTION("""COMPUTED_VALUE"""),75001.0)</f>
        <v>75001</v>
      </c>
      <c r="I3072" s="8">
        <f t="shared" si="35"/>
        <v>75001</v>
      </c>
      <c r="J3072" s="9">
        <f>IFERROR(__xludf.DUMMYFUNCTION("SPLIT(I3072,""-"")"),75001.0)</f>
        <v>75001</v>
      </c>
    </row>
    <row r="3073">
      <c r="A3073" s="5" t="s">
        <v>2777</v>
      </c>
      <c r="B3073" s="6">
        <v>2500.0</v>
      </c>
      <c r="C3073" s="7" t="s">
        <v>1065</v>
      </c>
      <c r="E3073" s="8" t="str">
        <f>IFERROR(__xludf.DUMMYFUNCTION("SPLIT(A3073,""TX"")"),"rimble, Robert
8333 Douglas Ave
Dallas, ")</f>
        <v>rimble, Robert
8333 Douglas Ave
Dallas, </v>
      </c>
      <c r="F3073" s="8">
        <f>IFERROR(__xludf.DUMMYFUNCTION("""COMPUTED_VALUE"""),75225.0)</f>
        <v>75225</v>
      </c>
      <c r="I3073" s="8">
        <f t="shared" si="35"/>
        <v>75225</v>
      </c>
      <c r="J3073" s="9">
        <f>IFERROR(__xludf.DUMMYFUNCTION("SPLIT(I3073,""-"")"),75225.0)</f>
        <v>75225</v>
      </c>
    </row>
    <row r="3074">
      <c r="A3074" s="5" t="s">
        <v>1536</v>
      </c>
      <c r="B3074" s="6">
        <v>100.0</v>
      </c>
      <c r="C3074" s="7" t="s">
        <v>1065</v>
      </c>
      <c r="E3074" s="8" t="str">
        <f>IFERROR(__xludf.DUMMYFUNCTION("SPLIT(A3074,""TX"")"),"Heinbaugh, Chris
1801 Annex Ave
Dallas, ")</f>
        <v>Heinbaugh, Chris
1801 Annex Ave
Dallas, </v>
      </c>
      <c r="F3074" s="8">
        <f>IFERROR(__xludf.DUMMYFUNCTION("""COMPUTED_VALUE"""),75204.0)</f>
        <v>75204</v>
      </c>
      <c r="I3074" s="8">
        <f t="shared" si="35"/>
        <v>75204</v>
      </c>
      <c r="J3074" s="9">
        <f>IFERROR(__xludf.DUMMYFUNCTION("SPLIT(I3074,""-"")"),75204.0)</f>
        <v>75204</v>
      </c>
    </row>
    <row r="3075">
      <c r="A3075" s="5" t="s">
        <v>2778</v>
      </c>
      <c r="B3075" s="6">
        <v>1000.0</v>
      </c>
      <c r="C3075" s="7" t="s">
        <v>1065</v>
      </c>
      <c r="E3075" s="8" t="str">
        <f>IFERROR(__xludf.DUMMYFUNCTION("SPLIT(A3075,""TX"")"),"Kang, Julia
PO Box 631153
Irving, ")</f>
        <v>Kang, Julia
PO Box 631153
Irving, </v>
      </c>
      <c r="F3075" s="8">
        <f>IFERROR(__xludf.DUMMYFUNCTION("""COMPUTED_VALUE"""),75063.0)</f>
        <v>75063</v>
      </c>
      <c r="I3075" s="8">
        <f t="shared" si="35"/>
        <v>75063</v>
      </c>
      <c r="J3075" s="9">
        <f>IFERROR(__xludf.DUMMYFUNCTION("SPLIT(I3075,""-"")"),75063.0)</f>
        <v>75063</v>
      </c>
    </row>
    <row r="3076">
      <c r="A3076" s="5" t="s">
        <v>2371</v>
      </c>
      <c r="B3076" s="6">
        <v>10000.0</v>
      </c>
      <c r="C3076" s="7" t="s">
        <v>1065</v>
      </c>
      <c r="E3076" s="8" t="str">
        <f>IFERROR(__xludf.DUMMYFUNCTION("SPLIT(A3076,""TX"")"),"Warner, Michael
4727 Arvilla Lane
Houston, ")</f>
        <v>Warner, Michael
4727 Arvilla Lane
Houston, </v>
      </c>
      <c r="F3076" s="8">
        <f>IFERROR(__xludf.DUMMYFUNCTION("""COMPUTED_VALUE"""),77021.0)</f>
        <v>77021</v>
      </c>
      <c r="I3076" s="8">
        <f t="shared" si="35"/>
        <v>77021</v>
      </c>
      <c r="J3076" s="9">
        <f>IFERROR(__xludf.DUMMYFUNCTION("SPLIT(I3076,""-"")"),77021.0)</f>
        <v>77021</v>
      </c>
    </row>
    <row r="3077">
      <c r="A3077" s="5" t="s">
        <v>2779</v>
      </c>
      <c r="B3077" s="6">
        <v>1000.0</v>
      </c>
      <c r="C3077" s="7" t="s">
        <v>1065</v>
      </c>
      <c r="E3077" s="8" t="str">
        <f>IFERROR(__xludf.DUMMYFUNCTION("SPLIT(A3077,""TX"")"),"Poss, Mary
6405 Mercedes Ave
Dallas, ")</f>
        <v>Poss, Mary
6405 Mercedes Ave
Dallas, </v>
      </c>
      <c r="F3077" s="8">
        <f>IFERROR(__xludf.DUMMYFUNCTION("""COMPUTED_VALUE"""),75214.0)</f>
        <v>75214</v>
      </c>
      <c r="I3077" s="8">
        <f t="shared" si="35"/>
        <v>75214</v>
      </c>
      <c r="J3077" s="9">
        <f>IFERROR(__xludf.DUMMYFUNCTION("SPLIT(I3077,""-"")"),75214.0)</f>
        <v>75214</v>
      </c>
    </row>
    <row r="3078">
      <c r="A3078" s="5" t="s">
        <v>2093</v>
      </c>
      <c r="B3078" s="6">
        <v>1000.0</v>
      </c>
      <c r="C3078" s="7" t="s">
        <v>1065</v>
      </c>
      <c r="E3078" s="8" t="str">
        <f>IFERROR(__xludf.DUMMYFUNCTION("SPLIT(A3078,""TX"")"),"Bailey, Mary
3817 Normandy Ave
Dallas, ")</f>
        <v>Bailey, Mary
3817 Normandy Ave
Dallas, </v>
      </c>
      <c r="F3078" s="8">
        <f>IFERROR(__xludf.DUMMYFUNCTION("""COMPUTED_VALUE"""),75205.0)</f>
        <v>75205</v>
      </c>
      <c r="I3078" s="8">
        <f t="shared" si="35"/>
        <v>75205</v>
      </c>
      <c r="J3078" s="9">
        <f>IFERROR(__xludf.DUMMYFUNCTION("SPLIT(I3078,""-"")"),75205.0)</f>
        <v>75205</v>
      </c>
    </row>
    <row r="3079">
      <c r="A3079" s="5" t="s">
        <v>2780</v>
      </c>
      <c r="B3079" s="6">
        <v>1000.0</v>
      </c>
      <c r="C3079" s="7" t="s">
        <v>1065</v>
      </c>
      <c r="E3079" s="8" t="str">
        <f>IFERROR(__xludf.DUMMYFUNCTION("SPLIT(A3079,""TX"")"),"Newby, Douglas
4912 ")</f>
        <v>Newby, Douglas
4912 </v>
      </c>
      <c r="F3079" s="8" t="str">
        <f>IFERROR(__xludf.DUMMYFUNCTION("""COMPUTED_VALUE"""),"remont Street
Dallas, ")</f>
        <v>remont Street
Dallas, </v>
      </c>
      <c r="G3079" s="8">
        <f>IFERROR(__xludf.DUMMYFUNCTION("""COMPUTED_VALUE"""),75214.0)</f>
        <v>75214</v>
      </c>
      <c r="I3079" s="8">
        <f t="shared" si="35"/>
        <v>75214</v>
      </c>
      <c r="J3079" s="9">
        <f>IFERROR(__xludf.DUMMYFUNCTION("SPLIT(I3079,""-"")"),75214.0)</f>
        <v>75214</v>
      </c>
    </row>
    <row r="3080">
      <c r="A3080" s="5" t="s">
        <v>2781</v>
      </c>
      <c r="B3080" s="6">
        <v>500.0</v>
      </c>
      <c r="C3080" s="7" t="s">
        <v>1065</v>
      </c>
      <c r="E3080" s="8" t="str">
        <f>IFERROR(__xludf.DUMMYFUNCTION("SPLIT(A3080,""TX"")"),"Lawry, Aletheia
10462 North Nicklaus Dr
Fountain Hill, AZ 85268")</f>
        <v>Lawry, Aletheia
10462 North Nicklaus Dr
Fountain Hill, AZ 85268</v>
      </c>
      <c r="I3080" s="8" t="str">
        <f t="shared" si="35"/>
        <v/>
      </c>
      <c r="J3080" s="9" t="str">
        <f>IFERROR(__xludf.DUMMYFUNCTION("SPLIT(I3080,""-"")"),"#VALUE!")</f>
        <v>#VALUE!</v>
      </c>
    </row>
    <row r="3081">
      <c r="A3081" s="5" t="s">
        <v>2782</v>
      </c>
      <c r="B3081" s="6">
        <v>500.0</v>
      </c>
      <c r="C3081" s="7" t="s">
        <v>1065</v>
      </c>
      <c r="E3081" s="8" t="str">
        <f>IFERROR(__xludf.DUMMYFUNCTION("SPLIT(A3081,""TX"")"),"Lanier, Robert
345 Glen Iris Drive NE
Atlanta, GA 30312")</f>
        <v>Lanier, Robert
345 Glen Iris Drive NE
Atlanta, GA 30312</v>
      </c>
      <c r="I3081" s="8" t="str">
        <f t="shared" si="35"/>
        <v/>
      </c>
      <c r="J3081" s="9" t="str">
        <f>IFERROR(__xludf.DUMMYFUNCTION("SPLIT(I3081,""-"")"),"#VALUE!")</f>
        <v>#VALUE!</v>
      </c>
    </row>
    <row r="3082">
      <c r="A3082" s="5" t="s">
        <v>2783</v>
      </c>
      <c r="B3082" s="6">
        <v>250.0</v>
      </c>
      <c r="C3082" s="7" t="s">
        <v>1065</v>
      </c>
      <c r="E3082" s="8" t="str">
        <f>IFERROR(__xludf.DUMMYFUNCTION("SPLIT(A3082,""TX"")"),"Jackson, Sarah
8600 ")</f>
        <v>Jackson, Sarah
8600 </v>
      </c>
      <c r="F3082" s="8" t="str">
        <f>IFERROR(__xludf.DUMMYFUNCTION("""COMPUTED_VALUE"""),"hackery Street
Dallas, ")</f>
        <v>hackery Street
Dallas, </v>
      </c>
      <c r="G3082" s="8">
        <f>IFERROR(__xludf.DUMMYFUNCTION("""COMPUTED_VALUE"""),75225.0)</f>
        <v>75225</v>
      </c>
      <c r="I3082" s="8">
        <f t="shared" si="35"/>
        <v>75225</v>
      </c>
      <c r="J3082" s="9">
        <f>IFERROR(__xludf.DUMMYFUNCTION("SPLIT(I3082,""-"")"),75225.0)</f>
        <v>75225</v>
      </c>
    </row>
    <row r="3083">
      <c r="A3083" s="5" t="s">
        <v>2784</v>
      </c>
      <c r="B3083" s="6">
        <v>500.0</v>
      </c>
      <c r="C3083" s="7" t="s">
        <v>1065</v>
      </c>
      <c r="E3083" s="8" t="str">
        <f>IFERROR(__xludf.DUMMYFUNCTION("SPLIT(A3083,""TX"")"),"Bumpas, Diane
5306 Surrey Circle
Dallas, ")</f>
        <v>Bumpas, Diane
5306 Surrey Circle
Dallas, </v>
      </c>
      <c r="F3083" s="8">
        <f>IFERROR(__xludf.DUMMYFUNCTION("""COMPUTED_VALUE"""),75209.0)</f>
        <v>75209</v>
      </c>
      <c r="I3083" s="8">
        <f t="shared" si="35"/>
        <v>75209</v>
      </c>
      <c r="J3083" s="9">
        <f>IFERROR(__xludf.DUMMYFUNCTION("SPLIT(I3083,""-"")"),75209.0)</f>
        <v>75209</v>
      </c>
    </row>
    <row r="3084">
      <c r="A3084" s="5" t="s">
        <v>2785</v>
      </c>
      <c r="B3084" s="6">
        <v>5000.0</v>
      </c>
      <c r="C3084" s="7" t="s">
        <v>1065</v>
      </c>
      <c r="E3084" s="8" t="str">
        <f>IFERROR(__xludf.DUMMYFUNCTION("SPLIT(A3084,""TX"")"),"Gruber, Mike
300 Crescent Court
Dallas, ")</f>
        <v>Gruber, Mike
300 Crescent Court
Dallas, </v>
      </c>
      <c r="F3084" s="8">
        <f>IFERROR(__xludf.DUMMYFUNCTION("""COMPUTED_VALUE"""),75201.0)</f>
        <v>75201</v>
      </c>
      <c r="I3084" s="8">
        <f t="shared" si="35"/>
        <v>75201</v>
      </c>
      <c r="J3084" s="9">
        <f>IFERROR(__xludf.DUMMYFUNCTION("SPLIT(I3084,""-"")"),75201.0)</f>
        <v>75201</v>
      </c>
    </row>
    <row r="3085">
      <c r="A3085" s="5" t="s">
        <v>642</v>
      </c>
      <c r="B3085" s="6">
        <v>500.0</v>
      </c>
      <c r="C3085" s="7" t="s">
        <v>1065</v>
      </c>
      <c r="E3085" s="8" t="str">
        <f>IFERROR(__xludf.DUMMYFUNCTION("SPLIT(A3085,""TX"")"),"Williams, Yolanda
PO Box 170384
Dallas, ")</f>
        <v>Williams, Yolanda
PO Box 170384
Dallas, </v>
      </c>
      <c r="F3085" s="8">
        <f>IFERROR(__xludf.DUMMYFUNCTION("""COMPUTED_VALUE"""),75217.0)</f>
        <v>75217</v>
      </c>
      <c r="I3085" s="8">
        <f t="shared" si="35"/>
        <v>75217</v>
      </c>
      <c r="J3085" s="9">
        <f>IFERROR(__xludf.DUMMYFUNCTION("SPLIT(I3085,""-"")"),75217.0)</f>
        <v>75217</v>
      </c>
    </row>
    <row r="3086">
      <c r="A3086" s="5" t="s">
        <v>2786</v>
      </c>
      <c r="B3086" s="6">
        <v>250.0</v>
      </c>
      <c r="C3086" s="7" t="s">
        <v>1065</v>
      </c>
      <c r="E3086" s="8" t="str">
        <f>IFERROR(__xludf.DUMMYFUNCTION("SPLIT(A3086,""TX"")"),"Higgins, Mary Pat
9216 Heatherdale rive
Dallas, ")</f>
        <v>Higgins, Mary Pat
9216 Heatherdale rive
Dallas, </v>
      </c>
      <c r="F3086" s="8">
        <f>IFERROR(__xludf.DUMMYFUNCTION("""COMPUTED_VALUE"""),75243.0)</f>
        <v>75243</v>
      </c>
      <c r="I3086" s="8">
        <f t="shared" si="35"/>
        <v>75243</v>
      </c>
      <c r="J3086" s="9">
        <f>IFERROR(__xludf.DUMMYFUNCTION("SPLIT(I3086,""-"")"),75243.0)</f>
        <v>75243</v>
      </c>
    </row>
    <row r="3087">
      <c r="A3087" s="5" t="s">
        <v>2325</v>
      </c>
      <c r="B3087" s="6">
        <v>500.0</v>
      </c>
      <c r="C3087" s="7" t="s">
        <v>1065</v>
      </c>
      <c r="E3087" s="8" t="str">
        <f>IFERROR(__xludf.DUMMYFUNCTION("SPLIT(A3087,""TX"")"),"Magnis, Ellen
5511 Preston Fairways Dr
Dallas, ")</f>
        <v>Magnis, Ellen
5511 Preston Fairways Dr
Dallas, </v>
      </c>
      <c r="F3087" s="8">
        <f>IFERROR(__xludf.DUMMYFUNCTION("""COMPUTED_VALUE"""),75252.0)</f>
        <v>75252</v>
      </c>
      <c r="I3087" s="8">
        <f t="shared" si="35"/>
        <v>75252</v>
      </c>
      <c r="J3087" s="9">
        <f>IFERROR(__xludf.DUMMYFUNCTION("SPLIT(I3087,""-"")"),75252.0)</f>
        <v>75252</v>
      </c>
    </row>
    <row r="3088">
      <c r="A3088" s="5" t="s">
        <v>2787</v>
      </c>
      <c r="B3088" s="6">
        <v>500.0</v>
      </c>
      <c r="C3088" s="7" t="s">
        <v>1065</v>
      </c>
      <c r="E3088" s="8" t="str">
        <f>IFERROR(__xludf.DUMMYFUNCTION("SPLIT(A3088,""TX"")"),"Kaplan, Robert
1918 N Olive St
Dallas, ")</f>
        <v>Kaplan, Robert
1918 N Olive St
Dallas, </v>
      </c>
      <c r="F3088" s="8">
        <f>IFERROR(__xludf.DUMMYFUNCTION("""COMPUTED_VALUE"""),75201.0)</f>
        <v>75201</v>
      </c>
      <c r="I3088" s="8">
        <f t="shared" si="35"/>
        <v>75201</v>
      </c>
      <c r="J3088" s="9">
        <f>IFERROR(__xludf.DUMMYFUNCTION("SPLIT(I3088,""-"")"),75201.0)</f>
        <v>75201</v>
      </c>
    </row>
    <row r="3089">
      <c r="A3089" s="5" t="s">
        <v>2788</v>
      </c>
      <c r="B3089" s="6">
        <v>250.0</v>
      </c>
      <c r="C3089" s="7" t="s">
        <v>1065</v>
      </c>
      <c r="E3089" s="8" t="str">
        <f>IFERROR(__xludf.DUMMYFUNCTION("SPLIT(A3089,""TX"")"),"Chaisson, Avis
2828 Woodside Street
Dallas, ")</f>
        <v>Chaisson, Avis
2828 Woodside Street
Dallas, </v>
      </c>
      <c r="F3089" s="8">
        <f>IFERROR(__xludf.DUMMYFUNCTION("""COMPUTED_VALUE"""),75204.0)</f>
        <v>75204</v>
      </c>
      <c r="I3089" s="8">
        <f t="shared" si="35"/>
        <v>75204</v>
      </c>
      <c r="J3089" s="9">
        <f>IFERROR(__xludf.DUMMYFUNCTION("SPLIT(I3089,""-"")"),75204.0)</f>
        <v>75204</v>
      </c>
    </row>
    <row r="3090">
      <c r="A3090" s="5" t="s">
        <v>2789</v>
      </c>
      <c r="B3090" s="6">
        <v>250.0</v>
      </c>
      <c r="C3090" s="7" t="s">
        <v>1065</v>
      </c>
      <c r="E3090" s="8" t="str">
        <f>IFERROR(__xludf.DUMMYFUNCTION("SPLIT(A3090,""TX"")"),"Huth, ")</f>
        <v>Huth, </v>
      </c>
      <c r="F3090" s="8" t="str">
        <f>IFERROR(__xludf.DUMMYFUNCTION("""COMPUTED_VALUE"""),"om
13455 Noel Rd
Dallas, ")</f>
        <v>om
13455 Noel Rd
Dallas, </v>
      </c>
      <c r="G3090" s="8">
        <f>IFERROR(__xludf.DUMMYFUNCTION("""COMPUTED_VALUE"""),75240.0)</f>
        <v>75240</v>
      </c>
      <c r="I3090" s="8">
        <f t="shared" si="35"/>
        <v>75240</v>
      </c>
      <c r="J3090" s="9">
        <f>IFERROR(__xludf.DUMMYFUNCTION("SPLIT(I3090,""-"")"),75240.0)</f>
        <v>75240</v>
      </c>
    </row>
    <row r="3091">
      <c r="A3091" s="5" t="s">
        <v>2790</v>
      </c>
      <c r="B3091" s="6">
        <v>250.0</v>
      </c>
      <c r="C3091" s="7" t="s">
        <v>1065</v>
      </c>
      <c r="E3091" s="8" t="str">
        <f>IFERROR(__xludf.DUMMYFUNCTION("SPLIT(A3091,""TX"")"),"Parker, Kim
13330 Noel Rd
Dallas, ")</f>
        <v>Parker, Kim
13330 Noel Rd
Dallas, </v>
      </c>
      <c r="F3091" s="8">
        <f>IFERROR(__xludf.DUMMYFUNCTION("""COMPUTED_VALUE"""),75240.0)</f>
        <v>75240</v>
      </c>
      <c r="I3091" s="8">
        <f t="shared" si="35"/>
        <v>75240</v>
      </c>
      <c r="J3091" s="9">
        <f>IFERROR(__xludf.DUMMYFUNCTION("SPLIT(I3091,""-"")"),75240.0)</f>
        <v>75240</v>
      </c>
    </row>
    <row r="3092">
      <c r="A3092" s="5" t="s">
        <v>2791</v>
      </c>
      <c r="B3092" s="6">
        <v>500.0</v>
      </c>
      <c r="C3092" s="7" t="s">
        <v>1065</v>
      </c>
      <c r="E3092" s="8" t="str">
        <f>IFERROR(__xludf.DUMMYFUNCTION("SPLIT(A3092,""TX"")"),"Falvo, Susan
2507 Auburn Ave
Dallas, ")</f>
        <v>Falvo, Susan
2507 Auburn Ave
Dallas, </v>
      </c>
      <c r="F3092" s="8">
        <f>IFERROR(__xludf.DUMMYFUNCTION("""COMPUTED_VALUE"""),75214.0)</f>
        <v>75214</v>
      </c>
      <c r="I3092" s="8">
        <f t="shared" si="35"/>
        <v>75214</v>
      </c>
      <c r="J3092" s="9">
        <f>IFERROR(__xludf.DUMMYFUNCTION("SPLIT(I3092,""-"")"),75214.0)</f>
        <v>75214</v>
      </c>
    </row>
    <row r="3093">
      <c r="A3093" s="5" t="s">
        <v>2792</v>
      </c>
      <c r="B3093" s="6">
        <v>35.0</v>
      </c>
      <c r="C3093" s="7" t="s">
        <v>1065</v>
      </c>
      <c r="E3093" s="8" t="str">
        <f>IFERROR(__xludf.DUMMYFUNCTION("SPLIT(A3093,""TX"")"),"Bullock, Sue &amp; Robert
8020 Frankford Road
Dallas, ")</f>
        <v>Bullock, Sue &amp; Robert
8020 Frankford Road
Dallas, </v>
      </c>
      <c r="F3093" s="8">
        <f>IFERROR(__xludf.DUMMYFUNCTION("""COMPUTED_VALUE"""),75252.0)</f>
        <v>75252</v>
      </c>
      <c r="I3093" s="8">
        <f t="shared" si="35"/>
        <v>75252</v>
      </c>
      <c r="J3093" s="9">
        <f>IFERROR(__xludf.DUMMYFUNCTION("SPLIT(I3093,""-"")"),75252.0)</f>
        <v>75252</v>
      </c>
    </row>
    <row r="3094">
      <c r="A3094" s="5" t="s">
        <v>2260</v>
      </c>
      <c r="B3094" s="6">
        <v>500.0</v>
      </c>
      <c r="C3094" s="7" t="s">
        <v>1065</v>
      </c>
      <c r="E3094" s="8" t="str">
        <f>IFERROR(__xludf.DUMMYFUNCTION("SPLIT(A3094,""TX"")"),"Ku, Charles
148 Red Oak Lane
Flower Mound, ")</f>
        <v>Ku, Charles
148 Red Oak Lane
Flower Mound, </v>
      </c>
      <c r="F3094" s="8">
        <f>IFERROR(__xludf.DUMMYFUNCTION("""COMPUTED_VALUE"""),75028.0)</f>
        <v>75028</v>
      </c>
      <c r="I3094" s="8">
        <f t="shared" si="35"/>
        <v>75028</v>
      </c>
      <c r="J3094" s="9">
        <f>IFERROR(__xludf.DUMMYFUNCTION("SPLIT(I3094,""-"")"),75028.0)</f>
        <v>75028</v>
      </c>
    </row>
    <row r="3095">
      <c r="A3095" s="5" t="s">
        <v>2793</v>
      </c>
      <c r="B3095" s="6">
        <v>500.0</v>
      </c>
      <c r="C3095" s="7" t="s">
        <v>1065</v>
      </c>
      <c r="E3095" s="8" t="str">
        <f>IFERROR(__xludf.DUMMYFUNCTION("SPLIT(A3095,""TX"")"),"Nash-Huntley, ")</f>
        <v>Nash-Huntley, </v>
      </c>
      <c r="F3095" s="8" t="str">
        <f>IFERROR(__xludf.DUMMYFUNCTION("""COMPUTED_VALUE"""),"racey
6607 Orchid Lane
Dallas, ")</f>
        <v>racey
6607 Orchid Lane
Dallas, </v>
      </c>
      <c r="G3095" s="8">
        <f>IFERROR(__xludf.DUMMYFUNCTION("""COMPUTED_VALUE"""),75230.0)</f>
        <v>75230</v>
      </c>
      <c r="I3095" s="8">
        <f t="shared" si="35"/>
        <v>75230</v>
      </c>
      <c r="J3095" s="9">
        <f>IFERROR(__xludf.DUMMYFUNCTION("SPLIT(I3095,""-"")"),75230.0)</f>
        <v>75230</v>
      </c>
    </row>
    <row r="3096">
      <c r="A3096" s="5" t="s">
        <v>2254</v>
      </c>
      <c r="B3096" s="6">
        <v>250.0</v>
      </c>
      <c r="C3096" s="7" t="s">
        <v>1065</v>
      </c>
      <c r="E3096" s="8" t="str">
        <f>IFERROR(__xludf.DUMMYFUNCTION("SPLIT(A3096,""TX"")"),"Parobek, Jim
7233 Brennans Dr
Dallas, ")</f>
        <v>Parobek, Jim
7233 Brennans Dr
Dallas, </v>
      </c>
      <c r="F3096" s="8">
        <f>IFERROR(__xludf.DUMMYFUNCTION("""COMPUTED_VALUE"""),75214.0)</f>
        <v>75214</v>
      </c>
      <c r="I3096" s="8">
        <f t="shared" si="35"/>
        <v>75214</v>
      </c>
      <c r="J3096" s="9">
        <f>IFERROR(__xludf.DUMMYFUNCTION("SPLIT(I3096,""-"")"),75214.0)</f>
        <v>75214</v>
      </c>
    </row>
    <row r="3097">
      <c r="A3097" s="5" t="s">
        <v>2794</v>
      </c>
      <c r="B3097" s="6">
        <v>250.0</v>
      </c>
      <c r="C3097" s="7" t="s">
        <v>1065</v>
      </c>
      <c r="E3097" s="8" t="str">
        <f>IFERROR(__xludf.DUMMYFUNCTION("SPLIT(A3097,""TX"")"),"Andres, Marc
2800 North Henderson Ave
Dallas, ")</f>
        <v>Andres, Marc
2800 North Henderson Ave
Dallas, </v>
      </c>
      <c r="F3097" s="8">
        <f>IFERROR(__xludf.DUMMYFUNCTION("""COMPUTED_VALUE"""),75206.0)</f>
        <v>75206</v>
      </c>
      <c r="I3097" s="8">
        <f t="shared" si="35"/>
        <v>75206</v>
      </c>
      <c r="J3097" s="9">
        <f>IFERROR(__xludf.DUMMYFUNCTION("SPLIT(I3097,""-"")"),75206.0)</f>
        <v>75206</v>
      </c>
    </row>
    <row r="3098">
      <c r="A3098" s="5" t="s">
        <v>1930</v>
      </c>
      <c r="B3098" s="6">
        <v>1000.0</v>
      </c>
      <c r="C3098" s="7" t="s">
        <v>1065</v>
      </c>
      <c r="E3098" s="8" t="str">
        <f>IFERROR(__xludf.DUMMYFUNCTION("SPLIT(A3098,""TX"")"),"Margolin, Ann
2828 Hood Street
Dallas, ")</f>
        <v>Margolin, Ann
2828 Hood Street
Dallas, </v>
      </c>
      <c r="F3098" s="8">
        <f>IFERROR(__xludf.DUMMYFUNCTION("""COMPUTED_VALUE"""),75219.0)</f>
        <v>75219</v>
      </c>
      <c r="I3098" s="8">
        <f t="shared" si="35"/>
        <v>75219</v>
      </c>
      <c r="J3098" s="9">
        <f>IFERROR(__xludf.DUMMYFUNCTION("SPLIT(I3098,""-"")"),75219.0)</f>
        <v>75219</v>
      </c>
    </row>
    <row r="3099">
      <c r="A3099" s="5" t="s">
        <v>317</v>
      </c>
      <c r="B3099" s="6">
        <v>1000.0</v>
      </c>
      <c r="C3099" s="7" t="s">
        <v>1065</v>
      </c>
      <c r="E3099" s="8" t="str">
        <f>IFERROR(__xludf.DUMMYFUNCTION("SPLIT(A3099,""TX"")"),"Billingsley, Lucy
1722 Routh Street
Dallas, ")</f>
        <v>Billingsley, Lucy
1722 Routh Street
Dallas, </v>
      </c>
      <c r="F3099" s="8">
        <f>IFERROR(__xludf.DUMMYFUNCTION("""COMPUTED_VALUE"""),75201.0)</f>
        <v>75201</v>
      </c>
      <c r="I3099" s="8">
        <f t="shared" si="35"/>
        <v>75201</v>
      </c>
      <c r="J3099" s="9">
        <f>IFERROR(__xludf.DUMMYFUNCTION("SPLIT(I3099,""-"")"),75201.0)</f>
        <v>75201</v>
      </c>
    </row>
    <row r="3100">
      <c r="A3100" s="5" t="s">
        <v>2795</v>
      </c>
      <c r="B3100" s="6">
        <v>1000.0</v>
      </c>
      <c r="C3100" s="7" t="s">
        <v>1065</v>
      </c>
      <c r="E3100" s="8" t="str">
        <f>IFERROR(__xludf.DUMMYFUNCTION("SPLIT(A3100,""TX"")"),"Plaskoff, Bart
4310 Sexton Lane
Dallas, ")</f>
        <v>Plaskoff, Bart
4310 Sexton Lane
Dallas, </v>
      </c>
      <c r="F3100" s="8">
        <f>IFERROR(__xludf.DUMMYFUNCTION("""COMPUTED_VALUE"""),75229.0)</f>
        <v>75229</v>
      </c>
      <c r="I3100" s="8">
        <f t="shared" si="35"/>
        <v>75229</v>
      </c>
      <c r="J3100" s="9">
        <f>IFERROR(__xludf.DUMMYFUNCTION("SPLIT(I3100,""-"")"),75229.0)</f>
        <v>75229</v>
      </c>
    </row>
    <row r="3101">
      <c r="A3101" s="5" t="s">
        <v>2796</v>
      </c>
      <c r="B3101" s="6">
        <v>100.0</v>
      </c>
      <c r="C3101" s="7" t="s">
        <v>1065</v>
      </c>
      <c r="E3101" s="8" t="str">
        <f>IFERROR(__xludf.DUMMYFUNCTION("SPLIT(A3101,""TX"")"),"Payne, Kendric
8304 Marble Dale Court
Alexandria, VA 22308")</f>
        <v>Payne, Kendric
8304 Marble Dale Court
Alexandria, VA 22308</v>
      </c>
      <c r="I3101" s="8" t="str">
        <f t="shared" si="35"/>
        <v/>
      </c>
      <c r="J3101" s="9" t="str">
        <f>IFERROR(__xludf.DUMMYFUNCTION("SPLIT(I3101,""-"")"),"#VALUE!")</f>
        <v>#VALUE!</v>
      </c>
    </row>
    <row r="3102">
      <c r="A3102" s="5" t="s">
        <v>2797</v>
      </c>
      <c r="B3102" s="6">
        <v>1000.0</v>
      </c>
      <c r="C3102" s="7" t="s">
        <v>1065</v>
      </c>
      <c r="E3102" s="8" t="str">
        <f>IFERROR(__xludf.DUMMYFUNCTION("SPLIT(A3102,""TX"")"),"Fleiss, Eric
2100 Ross Ave
Dallas, ")</f>
        <v>Fleiss, Eric
2100 Ross Ave
Dallas, </v>
      </c>
      <c r="F3102" s="8">
        <f>IFERROR(__xludf.DUMMYFUNCTION("""COMPUTED_VALUE"""),75201.0)</f>
        <v>75201</v>
      </c>
      <c r="I3102" s="8">
        <f t="shared" si="35"/>
        <v>75201</v>
      </c>
      <c r="J3102" s="9">
        <f>IFERROR(__xludf.DUMMYFUNCTION("SPLIT(I3102,""-"")"),75201.0)</f>
        <v>75201</v>
      </c>
    </row>
    <row r="3103">
      <c r="A3103" s="5" t="s">
        <v>2798</v>
      </c>
      <c r="B3103" s="6">
        <v>100.0</v>
      </c>
      <c r="C3103" s="7" t="s">
        <v>1065</v>
      </c>
      <c r="E3103" s="8" t="str">
        <f>IFERROR(__xludf.DUMMYFUNCTION("SPLIT(A3103,""TX"")"),"Walling, Samantha
9457 Waterview Road
Dallas, ")</f>
        <v>Walling, Samantha
9457 Waterview Road
Dallas, </v>
      </c>
      <c r="F3103" s="8">
        <f>IFERROR(__xludf.DUMMYFUNCTION("""COMPUTED_VALUE"""),75218.0)</f>
        <v>75218</v>
      </c>
      <c r="I3103" s="8">
        <f t="shared" si="35"/>
        <v>75218</v>
      </c>
      <c r="J3103" s="9">
        <f>IFERROR(__xludf.DUMMYFUNCTION("SPLIT(I3103,""-"")"),75218.0)</f>
        <v>75218</v>
      </c>
    </row>
    <row r="3104">
      <c r="A3104" s="5" t="s">
        <v>2799</v>
      </c>
      <c r="B3104" s="6">
        <v>100.0</v>
      </c>
      <c r="C3104" s="7" t="s">
        <v>1065</v>
      </c>
      <c r="E3104" s="8" t="str">
        <f>IFERROR(__xludf.DUMMYFUNCTION("SPLIT(A3104,""TX"")"),"Petree, Davana
5999 Lindenshire Lane
Dallas, ")</f>
        <v>Petree, Davana
5999 Lindenshire Lane
Dallas, </v>
      </c>
      <c r="F3104" s="8">
        <f>IFERROR(__xludf.DUMMYFUNCTION("""COMPUTED_VALUE"""),75230.0)</f>
        <v>75230</v>
      </c>
      <c r="I3104" s="8">
        <f t="shared" si="35"/>
        <v>75230</v>
      </c>
      <c r="J3104" s="9">
        <f>IFERROR(__xludf.DUMMYFUNCTION("SPLIT(I3104,""-"")"),75230.0)</f>
        <v>75230</v>
      </c>
    </row>
    <row r="3105">
      <c r="A3105" s="5" t="s">
        <v>2800</v>
      </c>
      <c r="B3105" s="6">
        <v>2500.0</v>
      </c>
      <c r="C3105" s="7" t="s">
        <v>1065</v>
      </c>
      <c r="E3105" s="8" t="str">
        <f>IFERROR(__xludf.DUMMYFUNCTION("SPLIT(A3105,""TX"")"),"Reis, James
4327 ")</f>
        <v>Reis, James
4327 </v>
      </c>
      <c r="F3105" s="8" t="str">
        <f>IFERROR(__xludf.DUMMYFUNCTION("""COMPUTED_VALUE"""),"ravis Street
Dallas, ")</f>
        <v>ravis Street
Dallas, </v>
      </c>
      <c r="G3105" s="8">
        <f>IFERROR(__xludf.DUMMYFUNCTION("""COMPUTED_VALUE"""),75205.0)</f>
        <v>75205</v>
      </c>
      <c r="I3105" s="8">
        <f t="shared" si="35"/>
        <v>75205</v>
      </c>
      <c r="J3105" s="9">
        <f>IFERROR(__xludf.DUMMYFUNCTION("SPLIT(I3105,""-"")"),75205.0)</f>
        <v>75205</v>
      </c>
    </row>
    <row r="3106">
      <c r="A3106" s="5" t="s">
        <v>2801</v>
      </c>
      <c r="B3106" s="6">
        <v>2500.0</v>
      </c>
      <c r="C3106" s="7" t="s">
        <v>1065</v>
      </c>
      <c r="E3106" s="8" t="str">
        <f>IFERROR(__xludf.DUMMYFUNCTION("SPLIT(A3106,""TX"")"),"Bisor, Robert
4327 ")</f>
        <v>Bisor, Robert
4327 </v>
      </c>
      <c r="F3106" s="8" t="str">
        <f>IFERROR(__xludf.DUMMYFUNCTION("""COMPUTED_VALUE"""),"ravis Street
Dallas, ")</f>
        <v>ravis Street
Dallas, </v>
      </c>
      <c r="G3106" s="8">
        <f>IFERROR(__xludf.DUMMYFUNCTION("""COMPUTED_VALUE"""),75205.0)</f>
        <v>75205</v>
      </c>
      <c r="I3106" s="8">
        <f t="shared" si="35"/>
        <v>75205</v>
      </c>
      <c r="J3106" s="9">
        <f>IFERROR(__xludf.DUMMYFUNCTION("SPLIT(I3106,""-"")"),75205.0)</f>
        <v>75205</v>
      </c>
    </row>
    <row r="3107">
      <c r="A3107" s="5" t="s">
        <v>2605</v>
      </c>
      <c r="B3107" s="6">
        <v>5000.0</v>
      </c>
      <c r="C3107" s="7" t="s">
        <v>649</v>
      </c>
      <c r="E3107" s="8" t="str">
        <f>IFERROR(__xludf.DUMMYFUNCTION("SPLIT(A3107,""TX"")"),"Byrne, ")</f>
        <v>Byrne, </v>
      </c>
      <c r="F3107" s="8" t="str">
        <f>IFERROR(__xludf.DUMMYFUNCTION("""COMPUTED_VALUE"""),"im
2000 McKinney Ave
Dallas, ")</f>
        <v>im
2000 McKinney Ave
Dallas, </v>
      </c>
      <c r="G3107" s="8">
        <f>IFERROR(__xludf.DUMMYFUNCTION("""COMPUTED_VALUE"""),75201.0)</f>
        <v>75201</v>
      </c>
      <c r="I3107" s="8">
        <f t="shared" si="35"/>
        <v>75201</v>
      </c>
      <c r="J3107" s="9">
        <f>IFERROR(__xludf.DUMMYFUNCTION("SPLIT(I3107,""-"")"),75201.0)</f>
        <v>75201</v>
      </c>
    </row>
    <row r="3108">
      <c r="A3108" s="10" t="s">
        <v>2802</v>
      </c>
      <c r="B3108" s="11">
        <v>5000.0</v>
      </c>
      <c r="C3108" s="12" t="s">
        <v>649</v>
      </c>
      <c r="E3108" s="8" t="str">
        <f>IFERROR(__xludf.DUMMYFUNCTION("SPLIT(A3108,""TX"")"),"Headington, ")</f>
        <v>Headington, </v>
      </c>
      <c r="F3108" s="8" t="str">
        <f>IFERROR(__xludf.DUMMYFUNCTION("""COMPUTED_VALUE"""),"im
1608 Main Street
Dallas, ")</f>
        <v>im
1608 Main Street
Dallas, </v>
      </c>
      <c r="G3108" s="8">
        <f>IFERROR(__xludf.DUMMYFUNCTION("""COMPUTED_VALUE"""),75201.0)</f>
        <v>75201</v>
      </c>
      <c r="I3108" s="8">
        <f t="shared" si="35"/>
        <v>75201</v>
      </c>
      <c r="J3108" s="9">
        <f>IFERROR(__xludf.DUMMYFUNCTION("SPLIT(I3108,""-"")"),75201.0)</f>
        <v>75201</v>
      </c>
    </row>
    <row r="3109">
      <c r="A3109" s="5" t="s">
        <v>2803</v>
      </c>
      <c r="B3109" s="6">
        <v>1000.0</v>
      </c>
      <c r="C3109" s="7" t="s">
        <v>649</v>
      </c>
      <c r="E3109" s="8" t="str">
        <f>IFERROR(__xludf.DUMMYFUNCTION("SPLIT(A3109,""TX"")"),"Hancock, Barry
4514 ")</f>
        <v>Hancock, Barry
4514 </v>
      </c>
      <c r="F3109" s="8" t="str">
        <f>IFERROR(__xludf.DUMMYFUNCTION("""COMPUTED_VALUE"""),"ravis Street
Dallas, ")</f>
        <v>ravis Street
Dallas, </v>
      </c>
      <c r="G3109" s="8">
        <f>IFERROR(__xludf.DUMMYFUNCTION("""COMPUTED_VALUE"""),75205.0)</f>
        <v>75205</v>
      </c>
      <c r="I3109" s="8">
        <f t="shared" si="35"/>
        <v>75205</v>
      </c>
      <c r="J3109" s="9">
        <f>IFERROR(__xludf.DUMMYFUNCTION("SPLIT(I3109,""-"")"),75205.0)</f>
        <v>75205</v>
      </c>
    </row>
    <row r="3110">
      <c r="A3110" s="10" t="s">
        <v>2804</v>
      </c>
      <c r="B3110" s="11">
        <v>250.0</v>
      </c>
      <c r="C3110" s="12" t="s">
        <v>649</v>
      </c>
      <c r="E3110" s="8" t="str">
        <f>IFERROR(__xludf.DUMMYFUNCTION("SPLIT(A3110,""TX"")"),"Hunt, Angela
8811 Antrim Drive
Dallas, ")</f>
        <v>Hunt, Angela
8811 Antrim Drive
Dallas, </v>
      </c>
      <c r="F3110" s="8">
        <f>IFERROR(__xludf.DUMMYFUNCTION("""COMPUTED_VALUE"""),75218.0)</f>
        <v>75218</v>
      </c>
      <c r="I3110" s="8">
        <f t="shared" si="35"/>
        <v>75218</v>
      </c>
      <c r="J3110" s="9">
        <f>IFERROR(__xludf.DUMMYFUNCTION("SPLIT(I3110,""-"")"),75218.0)</f>
        <v>75218</v>
      </c>
    </row>
    <row r="3111">
      <c r="A3111" s="5" t="s">
        <v>2805</v>
      </c>
      <c r="B3111" s="6">
        <v>100.0</v>
      </c>
      <c r="C3111" s="7" t="s">
        <v>5</v>
      </c>
      <c r="E3111" s="8" t="str">
        <f>IFERROR(__xludf.DUMMYFUNCTION("SPLIT(A3111,""TX"")"),"Panipinto, Jim
6146 Lupton Drive
Dallas, ")</f>
        <v>Panipinto, Jim
6146 Lupton Drive
Dallas, </v>
      </c>
      <c r="F3111" s="8">
        <f>IFERROR(__xludf.DUMMYFUNCTION("""COMPUTED_VALUE"""),75225.0)</f>
        <v>75225</v>
      </c>
      <c r="I3111" s="8">
        <f t="shared" si="35"/>
        <v>75225</v>
      </c>
      <c r="J3111" s="9">
        <f>IFERROR(__xludf.DUMMYFUNCTION("SPLIT(I3111,""-"")"),75225.0)</f>
        <v>75225</v>
      </c>
    </row>
    <row r="3112">
      <c r="A3112" s="10" t="s">
        <v>2806</v>
      </c>
      <c r="B3112" s="11">
        <v>500.0</v>
      </c>
      <c r="C3112" s="12" t="s">
        <v>5</v>
      </c>
      <c r="E3112" s="8" t="str">
        <f>IFERROR(__xludf.DUMMYFUNCTION("SPLIT(A3112,""TX"")"),"Howell, Kristen
3408 Purdue
Dallas, ")</f>
        <v>Howell, Kristen
3408 Purdue
Dallas, </v>
      </c>
      <c r="F3112" s="8">
        <f>IFERROR(__xludf.DUMMYFUNCTION("""COMPUTED_VALUE"""),75225.0)</f>
        <v>75225</v>
      </c>
      <c r="I3112" s="8">
        <f t="shared" si="35"/>
        <v>75225</v>
      </c>
      <c r="J3112" s="9">
        <f>IFERROR(__xludf.DUMMYFUNCTION("SPLIT(I3112,""-"")"),75225.0)</f>
        <v>75225</v>
      </c>
    </row>
    <row r="3113">
      <c r="A3113" s="5" t="s">
        <v>1838</v>
      </c>
      <c r="B3113" s="6">
        <v>360.0</v>
      </c>
      <c r="C3113" s="7" t="s">
        <v>5</v>
      </c>
      <c r="E3113" s="8" t="str">
        <f>IFERROR(__xludf.DUMMYFUNCTION("SPLIT(A3113,""TX"")"),"Perkins, Mark
8911 Guernsey Ln
Dallas, ")</f>
        <v>Perkins, Mark
8911 Guernsey Ln
Dallas, </v>
      </c>
      <c r="F3113" s="8">
        <f>IFERROR(__xludf.DUMMYFUNCTION("""COMPUTED_VALUE"""),75220.0)</f>
        <v>75220</v>
      </c>
      <c r="I3113" s="8">
        <f t="shared" si="35"/>
        <v>75220</v>
      </c>
      <c r="J3113" s="9">
        <f>IFERROR(__xludf.DUMMYFUNCTION("SPLIT(I3113,""-"")"),75220.0)</f>
        <v>75220</v>
      </c>
    </row>
    <row r="3114">
      <c r="A3114" s="10" t="s">
        <v>12</v>
      </c>
      <c r="B3114" s="11">
        <v>100.0</v>
      </c>
      <c r="C3114" s="12" t="s">
        <v>5</v>
      </c>
      <c r="E3114" s="8" t="str">
        <f>IFERROR(__xludf.DUMMYFUNCTION("SPLIT(A3114,""TX"")"),"Crumpecker, Brad
4630 Gulfstream Drive
Dallas, ")</f>
        <v>Crumpecker, Brad
4630 Gulfstream Drive
Dallas, </v>
      </c>
      <c r="F3114" s="8">
        <f>IFERROR(__xludf.DUMMYFUNCTION("""COMPUTED_VALUE"""),75244.0)</f>
        <v>75244</v>
      </c>
      <c r="I3114" s="8">
        <f t="shared" si="35"/>
        <v>75244</v>
      </c>
      <c r="J3114" s="9">
        <f>IFERROR(__xludf.DUMMYFUNCTION("SPLIT(I3114,""-"")"),75244.0)</f>
        <v>75244</v>
      </c>
    </row>
    <row r="3115">
      <c r="A3115" s="5" t="s">
        <v>2807</v>
      </c>
      <c r="B3115" s="6">
        <v>100.0</v>
      </c>
      <c r="C3115" s="7" t="s">
        <v>5</v>
      </c>
      <c r="E3115" s="8" t="str">
        <f>IFERROR(__xludf.DUMMYFUNCTION("SPLIT(A3115,""TX"")"),"Cowger, Walter
6414 Mimosa Ln.
Dallas, ")</f>
        <v>Cowger, Walter
6414 Mimosa Ln.
Dallas, </v>
      </c>
      <c r="F3115" s="8">
        <f>IFERROR(__xludf.DUMMYFUNCTION("""COMPUTED_VALUE"""),75230.0)</f>
        <v>75230</v>
      </c>
      <c r="I3115" s="8">
        <f t="shared" si="35"/>
        <v>75230</v>
      </c>
      <c r="J3115" s="9">
        <f>IFERROR(__xludf.DUMMYFUNCTION("SPLIT(I3115,""-"")"),75230.0)</f>
        <v>75230</v>
      </c>
    </row>
    <row r="3116">
      <c r="A3116" s="10" t="s">
        <v>2808</v>
      </c>
      <c r="B3116" s="11">
        <v>300.0</v>
      </c>
      <c r="C3116" s="12" t="s">
        <v>5</v>
      </c>
      <c r="E3116" s="8" t="str">
        <f>IFERROR(__xludf.DUMMYFUNCTION("SPLIT(A3116,""TX"")"),"Frank, Jerome
6310 Lemmon Ave
Dallas, ")</f>
        <v>Frank, Jerome
6310 Lemmon Ave
Dallas, </v>
      </c>
      <c r="F3116" s="8">
        <f>IFERROR(__xludf.DUMMYFUNCTION("""COMPUTED_VALUE"""),75209.0)</f>
        <v>75209</v>
      </c>
      <c r="I3116" s="8">
        <f t="shared" si="35"/>
        <v>75209</v>
      </c>
      <c r="J3116" s="9">
        <f>IFERROR(__xludf.DUMMYFUNCTION("SPLIT(I3116,""-"")"),75209.0)</f>
        <v>75209</v>
      </c>
    </row>
    <row r="3117">
      <c r="A3117" s="5" t="s">
        <v>2809</v>
      </c>
      <c r="B3117" s="6">
        <v>200.0</v>
      </c>
      <c r="C3117" s="7" t="s">
        <v>5</v>
      </c>
      <c r="E3117" s="8" t="str">
        <f>IFERROR(__xludf.DUMMYFUNCTION("SPLIT(A3117,""TX"")"),"Music, Josh and Jodi
4526 Forest Bend Road
Dallas, ")</f>
        <v>Music, Josh and Jodi
4526 Forest Bend Road
Dallas, </v>
      </c>
      <c r="F3117" s="8">
        <f>IFERROR(__xludf.DUMMYFUNCTION("""COMPUTED_VALUE"""),75244.0)</f>
        <v>75244</v>
      </c>
      <c r="I3117" s="8">
        <f t="shared" si="35"/>
        <v>75244</v>
      </c>
      <c r="J3117" s="9">
        <f>IFERROR(__xludf.DUMMYFUNCTION("SPLIT(I3117,""-"")"),75244.0)</f>
        <v>75244</v>
      </c>
    </row>
    <row r="3118">
      <c r="A3118" s="10" t="s">
        <v>2810</v>
      </c>
      <c r="B3118" s="11">
        <v>500.0</v>
      </c>
      <c r="C3118" s="12" t="s">
        <v>5</v>
      </c>
      <c r="E3118" s="8" t="str">
        <f>IFERROR(__xludf.DUMMYFUNCTION("SPLIT(A3118,""TX"")"),"Bloom, Brian
6330 Northwood Road
Dallas, ")</f>
        <v>Bloom, Brian
6330 Northwood Road
Dallas, </v>
      </c>
      <c r="F3118" s="8">
        <f>IFERROR(__xludf.DUMMYFUNCTION("""COMPUTED_VALUE"""),75225.0)</f>
        <v>75225</v>
      </c>
      <c r="I3118" s="8">
        <f t="shared" si="35"/>
        <v>75225</v>
      </c>
      <c r="J3118" s="9">
        <f>IFERROR(__xludf.DUMMYFUNCTION("SPLIT(I3118,""-"")"),75225.0)</f>
        <v>75225</v>
      </c>
    </row>
    <row r="3119">
      <c r="A3119" s="5" t="s">
        <v>1811</v>
      </c>
      <c r="B3119" s="6">
        <v>150.0</v>
      </c>
      <c r="C3119" s="7" t="s">
        <v>5</v>
      </c>
      <c r="E3119" s="8" t="str">
        <f>IFERROR(__xludf.DUMMYFUNCTION("SPLIT(A3119,""TX"")"),"Lunceford, Kay
4411 Williamsburg Road
Dallas, ")</f>
        <v>Lunceford, Kay
4411 Williamsburg Road
Dallas, </v>
      </c>
      <c r="F3119" s="8">
        <f>IFERROR(__xludf.DUMMYFUNCTION("""COMPUTED_VALUE"""),75220.0)</f>
        <v>75220</v>
      </c>
      <c r="I3119" s="8">
        <f t="shared" si="35"/>
        <v>75220</v>
      </c>
      <c r="J3119" s="9">
        <f>IFERROR(__xludf.DUMMYFUNCTION("SPLIT(I3119,""-"")"),75220.0)</f>
        <v>75220</v>
      </c>
    </row>
    <row r="3120">
      <c r="A3120" s="10" t="s">
        <v>2811</v>
      </c>
      <c r="B3120" s="11">
        <v>100.0</v>
      </c>
      <c r="C3120" s="12" t="s">
        <v>5</v>
      </c>
      <c r="E3120" s="8" t="str">
        <f>IFERROR(__xludf.DUMMYFUNCTION("SPLIT(A3120,""TX"")"),"Henry, Rue
4803 Shadywood Lane
Dallas, ")</f>
        <v>Henry, Rue
4803 Shadywood Lane
Dallas, </v>
      </c>
      <c r="F3120" s="8">
        <f>IFERROR(__xludf.DUMMYFUNCTION("""COMPUTED_VALUE"""),75209.0)</f>
        <v>75209</v>
      </c>
      <c r="I3120" s="8">
        <f t="shared" si="35"/>
        <v>75209</v>
      </c>
      <c r="J3120" s="9">
        <f>IFERROR(__xludf.DUMMYFUNCTION("SPLIT(I3120,""-"")"),75209.0)</f>
        <v>75209</v>
      </c>
    </row>
    <row r="3121">
      <c r="A3121" s="5" t="s">
        <v>2812</v>
      </c>
      <c r="B3121" s="6">
        <v>100.0</v>
      </c>
      <c r="C3121" s="7" t="s">
        <v>5</v>
      </c>
      <c r="E3121" s="8" t="str">
        <f>IFERROR(__xludf.DUMMYFUNCTION("SPLIT(A3121,""TX"")"),"Murchison, Suellen
6346 Northwood Rd.
Dallas, ")</f>
        <v>Murchison, Suellen
6346 Northwood Rd.
Dallas, </v>
      </c>
      <c r="F3121" s="8">
        <f>IFERROR(__xludf.DUMMYFUNCTION("""COMPUTED_VALUE"""),75225.0)</f>
        <v>75225</v>
      </c>
      <c r="I3121" s="8">
        <f t="shared" si="35"/>
        <v>75225</v>
      </c>
      <c r="J3121" s="9">
        <f>IFERROR(__xludf.DUMMYFUNCTION("SPLIT(I3121,""-"")"),75225.0)</f>
        <v>75225</v>
      </c>
    </row>
    <row r="3122">
      <c r="A3122" s="10" t="s">
        <v>1344</v>
      </c>
      <c r="B3122" s="11">
        <v>500.0</v>
      </c>
      <c r="C3122" s="12" t="s">
        <v>5</v>
      </c>
      <c r="E3122" s="8" t="str">
        <f>IFERROR(__xludf.DUMMYFUNCTION("SPLIT(A3122,""TX"")"),"Henry, Clayton
9322 Moss ")</f>
        <v>Henry, Clayton
9322 Moss </v>
      </c>
      <c r="F3122" s="8" t="str">
        <f>IFERROR(__xludf.DUMMYFUNCTION("""COMPUTED_VALUE"""),"rail
Dallas, ")</f>
        <v>rail
Dallas, </v>
      </c>
      <c r="G3122" s="8">
        <f>IFERROR(__xludf.DUMMYFUNCTION("""COMPUTED_VALUE"""),75231.0)</f>
        <v>75231</v>
      </c>
      <c r="I3122" s="8">
        <f t="shared" si="35"/>
        <v>75231</v>
      </c>
      <c r="J3122" s="9">
        <f>IFERROR(__xludf.DUMMYFUNCTION("SPLIT(I3122,""-"")"),75231.0)</f>
        <v>75231</v>
      </c>
    </row>
    <row r="3123">
      <c r="A3123" s="5" t="s">
        <v>2813</v>
      </c>
      <c r="B3123" s="6">
        <v>10.0</v>
      </c>
      <c r="C3123" s="7" t="s">
        <v>5</v>
      </c>
      <c r="E3123" s="8" t="str">
        <f>IFERROR(__xludf.DUMMYFUNCTION("SPLIT(A3123,""TX"")"),"Minic, Bo
9322 Summer Creek Circle
Dallas, ")</f>
        <v>Minic, Bo
9322 Summer Creek Circle
Dallas, </v>
      </c>
      <c r="F3123" s="8">
        <f>IFERROR(__xludf.DUMMYFUNCTION("""COMPUTED_VALUE"""),75231.0)</f>
        <v>75231</v>
      </c>
      <c r="I3123" s="8">
        <f t="shared" si="35"/>
        <v>75231</v>
      </c>
      <c r="J3123" s="9">
        <f>IFERROR(__xludf.DUMMYFUNCTION("SPLIT(I3123,""-"")"),75231.0)</f>
        <v>75231</v>
      </c>
    </row>
    <row r="3124">
      <c r="A3124" s="10" t="s">
        <v>2814</v>
      </c>
      <c r="B3124" s="11">
        <v>100.0</v>
      </c>
      <c r="C3124" s="12" t="s">
        <v>5</v>
      </c>
      <c r="E3124" s="8" t="str">
        <f>IFERROR(__xludf.DUMMYFUNCTION("SPLIT(A3124,""TX"")"),"Smith, Ray A.
12395 Crestline Avenue
Dallas, ")</f>
        <v>Smith, Ray A.
12395 Crestline Avenue
Dallas, </v>
      </c>
      <c r="F3124" s="8">
        <f>IFERROR(__xludf.DUMMYFUNCTION("""COMPUTED_VALUE"""),75244.0)</f>
        <v>75244</v>
      </c>
      <c r="I3124" s="8">
        <f t="shared" si="35"/>
        <v>75244</v>
      </c>
      <c r="J3124" s="9">
        <f>IFERROR(__xludf.DUMMYFUNCTION("SPLIT(I3124,""-"")"),75244.0)</f>
        <v>75244</v>
      </c>
    </row>
    <row r="3125">
      <c r="A3125" s="5" t="s">
        <v>2815</v>
      </c>
      <c r="B3125" s="6">
        <v>100.0</v>
      </c>
      <c r="C3125" s="7" t="s">
        <v>5</v>
      </c>
      <c r="E3125" s="8" t="str">
        <f>IFERROR(__xludf.DUMMYFUNCTION("SPLIT(A3125,""TX"")"),"Worsham, Raguet
5453 Surrey Circle
Dallas, ")</f>
        <v>Worsham, Raguet
5453 Surrey Circle
Dallas, </v>
      </c>
      <c r="F3125" s="8">
        <f>IFERROR(__xludf.DUMMYFUNCTION("""COMPUTED_VALUE"""),75209.0)</f>
        <v>75209</v>
      </c>
      <c r="I3125" s="8">
        <f t="shared" si="35"/>
        <v>75209</v>
      </c>
      <c r="J3125" s="9">
        <f>IFERROR(__xludf.DUMMYFUNCTION("SPLIT(I3125,""-"")"),75209.0)</f>
        <v>75209</v>
      </c>
    </row>
    <row r="3126">
      <c r="A3126" s="10" t="s">
        <v>2816</v>
      </c>
      <c r="B3126" s="11">
        <v>300.0</v>
      </c>
      <c r="C3126" s="12" t="s">
        <v>5</v>
      </c>
      <c r="E3126" s="8" t="str">
        <f>IFERROR(__xludf.DUMMYFUNCTION("SPLIT(A3126,""TX"")"),"Gonzales, Pete
10755 Morning Glory Drive
Dallas, ")</f>
        <v>Gonzales, Pete
10755 Morning Glory Drive
Dallas, </v>
      </c>
      <c r="F3126" s="8">
        <f>IFERROR(__xludf.DUMMYFUNCTION("""COMPUTED_VALUE"""),75229.0)</f>
        <v>75229</v>
      </c>
      <c r="I3126" s="8">
        <f t="shared" si="35"/>
        <v>75229</v>
      </c>
      <c r="J3126" s="9">
        <f>IFERROR(__xludf.DUMMYFUNCTION("SPLIT(I3126,""-"")"),75229.0)</f>
        <v>75229</v>
      </c>
    </row>
    <row r="3127">
      <c r="A3127" s="5" t="s">
        <v>2817</v>
      </c>
      <c r="B3127" s="6">
        <v>1000.0</v>
      </c>
      <c r="C3127" s="7" t="s">
        <v>5</v>
      </c>
      <c r="E3127" s="8" t="str">
        <f>IFERROR(__xludf.DUMMYFUNCTION("SPLIT(A3127,""TX"")"),"Perdue, Rick
7712 Southwestern Blvd.
Dallas, ")</f>
        <v>Perdue, Rick
7712 Southwestern Blvd.
Dallas, </v>
      </c>
      <c r="F3127" s="8">
        <f>IFERROR(__xludf.DUMMYFUNCTION("""COMPUTED_VALUE"""),75225.0)</f>
        <v>75225</v>
      </c>
      <c r="I3127" s="8">
        <f t="shared" si="35"/>
        <v>75225</v>
      </c>
      <c r="J3127" s="9">
        <f>IFERROR(__xludf.DUMMYFUNCTION("SPLIT(I3127,""-"")"),75225.0)</f>
        <v>75225</v>
      </c>
    </row>
    <row r="3128">
      <c r="A3128" s="10" t="s">
        <v>2818</v>
      </c>
      <c r="B3128" s="11">
        <v>500.0</v>
      </c>
      <c r="C3128" s="12" t="s">
        <v>5</v>
      </c>
      <c r="E3128" s="8" t="str">
        <f>IFERROR(__xludf.DUMMYFUNCTION("SPLIT(A3128,""TX"")"),"Reisenbichler, Lori
5505 Montrose Dr
Dallas, ")</f>
        <v>Reisenbichler, Lori
5505 Montrose Dr
Dallas, </v>
      </c>
      <c r="F3128" s="8">
        <f>IFERROR(__xludf.DUMMYFUNCTION("""COMPUTED_VALUE"""),75209.0)</f>
        <v>75209</v>
      </c>
      <c r="I3128" s="8">
        <f t="shared" si="35"/>
        <v>75209</v>
      </c>
      <c r="J3128" s="9">
        <f>IFERROR(__xludf.DUMMYFUNCTION("SPLIT(I3128,""-"")"),75209.0)</f>
        <v>75209</v>
      </c>
    </row>
    <row r="3129">
      <c r="A3129" s="5" t="s">
        <v>2819</v>
      </c>
      <c r="B3129" s="6">
        <v>100.0</v>
      </c>
      <c r="C3129" s="7" t="s">
        <v>5</v>
      </c>
      <c r="E3129" s="8" t="str">
        <f>IFERROR(__xludf.DUMMYFUNCTION("SPLIT(A3129,""TX"")"),"Corman, Annette
8240 Manderville Lane
Dallas, ")</f>
        <v>Corman, Annette
8240 Manderville Lane
Dallas, </v>
      </c>
      <c r="F3129" s="8">
        <f>IFERROR(__xludf.DUMMYFUNCTION("""COMPUTED_VALUE"""),75231.0)</f>
        <v>75231</v>
      </c>
      <c r="I3129" s="8">
        <f t="shared" si="35"/>
        <v>75231</v>
      </c>
      <c r="J3129" s="9">
        <f>IFERROR(__xludf.DUMMYFUNCTION("SPLIT(I3129,""-"")"),75231.0)</f>
        <v>75231</v>
      </c>
    </row>
    <row r="3130">
      <c r="A3130" s="10" t="s">
        <v>1841</v>
      </c>
      <c r="B3130" s="11">
        <v>1000.0</v>
      </c>
      <c r="C3130" s="12" t="s">
        <v>5</v>
      </c>
      <c r="E3130" s="8" t="str">
        <f>IFERROR(__xludf.DUMMYFUNCTION("SPLIT(A3130,""TX"")"),"Davis, Macey
8322 Ridgelea Street
Dallas, ")</f>
        <v>Davis, Macey
8322 Ridgelea Street
Dallas, </v>
      </c>
      <c r="F3130" s="8">
        <f>IFERROR(__xludf.DUMMYFUNCTION("""COMPUTED_VALUE"""),75209.0)</f>
        <v>75209</v>
      </c>
      <c r="I3130" s="8">
        <f t="shared" si="35"/>
        <v>75209</v>
      </c>
      <c r="J3130" s="9">
        <f>IFERROR(__xludf.DUMMYFUNCTION("SPLIT(I3130,""-"")"),75209.0)</f>
        <v>75209</v>
      </c>
    </row>
    <row r="3131">
      <c r="A3131" s="5" t="s">
        <v>2820</v>
      </c>
      <c r="B3131" s="6">
        <v>50.0</v>
      </c>
      <c r="C3131" s="7" t="s">
        <v>5</v>
      </c>
      <c r="E3131" s="8" t="str">
        <f>IFERROR(__xludf.DUMMYFUNCTION("SPLIT(A3131,""TX"")"),"Name, Kara
3511 ")</f>
        <v>Name, Kara
3511 </v>
      </c>
      <c r="F3131" s="8" t="str">
        <f>IFERROR(__xludf.DUMMYFUNCTION("""COMPUTED_VALUE"""),"imberview Rd
Dallas, ")</f>
        <v>imberview Rd
Dallas, </v>
      </c>
      <c r="G3131" s="8">
        <f>IFERROR(__xludf.DUMMYFUNCTION("""COMPUTED_VALUE"""),75229.0)</f>
        <v>75229</v>
      </c>
      <c r="I3131" s="8">
        <f t="shared" si="35"/>
        <v>75229</v>
      </c>
      <c r="J3131" s="9">
        <f>IFERROR(__xludf.DUMMYFUNCTION("SPLIT(I3131,""-"")"),75229.0)</f>
        <v>75229</v>
      </c>
    </row>
    <row r="3132">
      <c r="A3132" s="10" t="s">
        <v>2821</v>
      </c>
      <c r="B3132" s="11">
        <v>25.0</v>
      </c>
      <c r="C3132" s="12" t="s">
        <v>5</v>
      </c>
      <c r="E3132" s="8" t="str">
        <f>IFERROR(__xludf.DUMMYFUNCTION("SPLIT(A3132,""TX"")"),"Horwitz, Sandy
6155 Bandera Av
Dallas, ")</f>
        <v>Horwitz, Sandy
6155 Bandera Av
Dallas, </v>
      </c>
      <c r="F3132" s="8">
        <f>IFERROR(__xludf.DUMMYFUNCTION("""COMPUTED_VALUE"""),75225.0)</f>
        <v>75225</v>
      </c>
      <c r="I3132" s="8">
        <f t="shared" si="35"/>
        <v>75225</v>
      </c>
      <c r="J3132" s="9">
        <f>IFERROR(__xludf.DUMMYFUNCTION("SPLIT(I3132,""-"")"),75225.0)</f>
        <v>75225</v>
      </c>
    </row>
    <row r="3133">
      <c r="A3133" s="5" t="s">
        <v>2822</v>
      </c>
      <c r="B3133" s="6">
        <v>100.0</v>
      </c>
      <c r="C3133" s="7" t="s">
        <v>5</v>
      </c>
      <c r="E3133" s="8" t="str">
        <f>IFERROR(__xludf.DUMMYFUNCTION("SPLIT(A3133,""TX"")"),"Edmondson, Mark
12523 12523 Matisse Lane
Dallas, ")</f>
        <v>Edmondson, Mark
12523 12523 Matisse Lane
Dallas, </v>
      </c>
      <c r="F3133" s="8">
        <f>IFERROR(__xludf.DUMMYFUNCTION("""COMPUTED_VALUE"""),75230.0)</f>
        <v>75230</v>
      </c>
      <c r="I3133" s="8">
        <f t="shared" si="35"/>
        <v>75230</v>
      </c>
      <c r="J3133" s="9">
        <f>IFERROR(__xludf.DUMMYFUNCTION("SPLIT(I3133,""-"")"),75230.0)</f>
        <v>75230</v>
      </c>
    </row>
    <row r="3134">
      <c r="A3134" s="10" t="s">
        <v>2823</v>
      </c>
      <c r="B3134" s="11">
        <v>250.0</v>
      </c>
      <c r="C3134" s="12" t="s">
        <v>5</v>
      </c>
      <c r="E3134" s="8" t="str">
        <f>IFERROR(__xludf.DUMMYFUNCTION("SPLIT(A3134,""TX"")"),"Nugent, Deborah &amp; Jim
4717 Mill Run Road
Dallas, ")</f>
        <v>Nugent, Deborah &amp; Jim
4717 Mill Run Road
Dallas, </v>
      </c>
      <c r="F3134" s="8">
        <f>IFERROR(__xludf.DUMMYFUNCTION("""COMPUTED_VALUE"""),75244.0)</f>
        <v>75244</v>
      </c>
      <c r="I3134" s="8">
        <f t="shared" si="35"/>
        <v>75244</v>
      </c>
      <c r="J3134" s="9">
        <f>IFERROR(__xludf.DUMMYFUNCTION("SPLIT(I3134,""-"")"),75244.0)</f>
        <v>75244</v>
      </c>
    </row>
    <row r="3135">
      <c r="A3135" s="5" t="s">
        <v>1809</v>
      </c>
      <c r="B3135" s="6">
        <v>250.0</v>
      </c>
      <c r="C3135" s="7" t="s">
        <v>5</v>
      </c>
      <c r="E3135" s="8" t="str">
        <f>IFERROR(__xludf.DUMMYFUNCTION("SPLIT(A3135,""TX"")"),"Harding, Anne
3031 ")</f>
        <v>Harding, Anne
3031 </v>
      </c>
      <c r="F3135" s="8" t="str">
        <f>IFERROR(__xludf.DUMMYFUNCTION("""COMPUTED_VALUE"""),"imberview Rd
Dallas, ")</f>
        <v>imberview Rd
Dallas, </v>
      </c>
      <c r="G3135" s="8">
        <f>IFERROR(__xludf.DUMMYFUNCTION("""COMPUTED_VALUE"""),75229.0)</f>
        <v>75229</v>
      </c>
      <c r="I3135" s="8">
        <f t="shared" si="35"/>
        <v>75229</v>
      </c>
      <c r="J3135" s="9">
        <f>IFERROR(__xludf.DUMMYFUNCTION("SPLIT(I3135,""-"")"),75229.0)</f>
        <v>75229</v>
      </c>
    </row>
    <row r="3136">
      <c r="A3136" s="10" t="s">
        <v>2824</v>
      </c>
      <c r="B3136" s="11">
        <v>50.0</v>
      </c>
      <c r="C3136" s="12" t="s">
        <v>5</v>
      </c>
      <c r="E3136" s="8" t="str">
        <f>IFERROR(__xludf.DUMMYFUNCTION("SPLIT(A3136,""TX"")"),"Spalding, Dawn
25 Highland Park Village
Dallas, ")</f>
        <v>Spalding, Dawn
25 Highland Park Village
Dallas, </v>
      </c>
      <c r="F3136" s="8">
        <f>IFERROR(__xludf.DUMMYFUNCTION("""COMPUTED_VALUE"""),75205.0)</f>
        <v>75205</v>
      </c>
      <c r="I3136" s="8">
        <f t="shared" si="35"/>
        <v>75205</v>
      </c>
      <c r="J3136" s="9">
        <f>IFERROR(__xludf.DUMMYFUNCTION("SPLIT(I3136,""-"")"),75205.0)</f>
        <v>75205</v>
      </c>
    </row>
    <row r="3137">
      <c r="A3137" s="5" t="s">
        <v>2825</v>
      </c>
      <c r="B3137" s="6">
        <v>100.0</v>
      </c>
      <c r="C3137" s="7" t="s">
        <v>5</v>
      </c>
      <c r="E3137" s="8" t="str">
        <f>IFERROR(__xludf.DUMMYFUNCTION("SPLIT(A3137,""TX"")"),"Hunt, Amy
10615 Royal Club Ln
Dallas, ")</f>
        <v>Hunt, Amy
10615 Royal Club Ln
Dallas, </v>
      </c>
      <c r="F3137" s="8">
        <f>IFERROR(__xludf.DUMMYFUNCTION("""COMPUTED_VALUE"""),75229.0)</f>
        <v>75229</v>
      </c>
      <c r="I3137" s="8">
        <f t="shared" si="35"/>
        <v>75229</v>
      </c>
      <c r="J3137" s="9">
        <f>IFERROR(__xludf.DUMMYFUNCTION("SPLIT(I3137,""-"")"),75229.0)</f>
        <v>75229</v>
      </c>
    </row>
    <row r="3138">
      <c r="A3138" s="10" t="s">
        <v>1849</v>
      </c>
      <c r="B3138" s="11">
        <v>2500.0</v>
      </c>
      <c r="C3138" s="12" t="s">
        <v>5</v>
      </c>
      <c r="E3138" s="8" t="str">
        <f>IFERROR(__xludf.DUMMYFUNCTION("SPLIT(A3138,""TX"")"),"Murchison, Maggie
10131 Gaywood Rd.
Dallas, ")</f>
        <v>Murchison, Maggie
10131 Gaywood Rd.
Dallas, </v>
      </c>
      <c r="F3138" s="8">
        <f>IFERROR(__xludf.DUMMYFUNCTION("""COMPUTED_VALUE"""),75229.0)</f>
        <v>75229</v>
      </c>
      <c r="I3138" s="8">
        <f t="shared" si="35"/>
        <v>75229</v>
      </c>
      <c r="J3138" s="9">
        <f>IFERROR(__xludf.DUMMYFUNCTION("SPLIT(I3138,""-"")"),75229.0)</f>
        <v>75229</v>
      </c>
    </row>
    <row r="3139">
      <c r="A3139" s="5" t="s">
        <v>2826</v>
      </c>
      <c r="B3139" s="6">
        <v>200.0</v>
      </c>
      <c r="C3139" s="7" t="s">
        <v>5</v>
      </c>
      <c r="E3139" s="8" t="str">
        <f>IFERROR(__xludf.DUMMYFUNCTION("SPLIT(A3139,""TX"")"),"Huntington, Ann
5020 Lilac Lane
Dallas, ")</f>
        <v>Huntington, Ann
5020 Lilac Lane
Dallas, </v>
      </c>
      <c r="F3139" s="8">
        <f>IFERROR(__xludf.DUMMYFUNCTION("""COMPUTED_VALUE"""),75209.0)</f>
        <v>75209</v>
      </c>
      <c r="I3139" s="8">
        <f t="shared" si="35"/>
        <v>75209</v>
      </c>
      <c r="J3139" s="9">
        <f>IFERROR(__xludf.DUMMYFUNCTION("SPLIT(I3139,""-"")"),75209.0)</f>
        <v>75209</v>
      </c>
    </row>
    <row r="3140">
      <c r="A3140" s="10" t="s">
        <v>2827</v>
      </c>
      <c r="B3140" s="11">
        <v>500.0</v>
      </c>
      <c r="C3140" s="12" t="s">
        <v>5</v>
      </c>
      <c r="E3140" s="8" t="str">
        <f>IFERROR(__xludf.DUMMYFUNCTION("SPLIT(A3140,""TX"")"),"Hazelton, John
4829 Melissa Lane
Dallas, ")</f>
        <v>Hazelton, John
4829 Melissa Lane
Dallas, </v>
      </c>
      <c r="F3140" s="8">
        <f>IFERROR(__xludf.DUMMYFUNCTION("""COMPUTED_VALUE"""),75229.0)</f>
        <v>75229</v>
      </c>
      <c r="I3140" s="8">
        <f t="shared" si="35"/>
        <v>75229</v>
      </c>
      <c r="J3140" s="9">
        <f>IFERROR(__xludf.DUMMYFUNCTION("SPLIT(I3140,""-"")"),75229.0)</f>
        <v>75229</v>
      </c>
    </row>
    <row r="3141">
      <c r="A3141" s="5" t="s">
        <v>2828</v>
      </c>
      <c r="B3141" s="6">
        <v>100.0</v>
      </c>
      <c r="C3141" s="7" t="s">
        <v>5</v>
      </c>
      <c r="E3141" s="8" t="str">
        <f>IFERROR(__xludf.DUMMYFUNCTION("SPLIT(A3141,""TX"")"),"Anderson-Guthrie, Carol
3211 Basil Ct
Dallas, ")</f>
        <v>Anderson-Guthrie, Carol
3211 Basil Ct
Dallas, </v>
      </c>
      <c r="F3141" s="8">
        <f>IFERROR(__xludf.DUMMYFUNCTION("""COMPUTED_VALUE"""),75204.0)</f>
        <v>75204</v>
      </c>
      <c r="I3141" s="8">
        <f t="shared" si="35"/>
        <v>75204</v>
      </c>
      <c r="J3141" s="9">
        <f>IFERROR(__xludf.DUMMYFUNCTION("SPLIT(I3141,""-"")"),75204.0)</f>
        <v>75204</v>
      </c>
    </row>
    <row r="3142">
      <c r="A3142" s="10" t="s">
        <v>2819</v>
      </c>
      <c r="B3142" s="11">
        <v>100.0</v>
      </c>
      <c r="C3142" s="12" t="s">
        <v>5</v>
      </c>
      <c r="E3142" s="8" t="str">
        <f>IFERROR(__xludf.DUMMYFUNCTION("SPLIT(A3142,""TX"")"),"Corman, Annette
8240 Manderville Lane
Dallas, ")</f>
        <v>Corman, Annette
8240 Manderville Lane
Dallas, </v>
      </c>
      <c r="F3142" s="8">
        <f>IFERROR(__xludf.DUMMYFUNCTION("""COMPUTED_VALUE"""),75231.0)</f>
        <v>75231</v>
      </c>
      <c r="I3142" s="8">
        <f t="shared" si="35"/>
        <v>75231</v>
      </c>
      <c r="J3142" s="9">
        <f>IFERROR(__xludf.DUMMYFUNCTION("SPLIT(I3142,""-"")"),75231.0)</f>
        <v>75231</v>
      </c>
    </row>
    <row r="3143">
      <c r="A3143" s="5" t="s">
        <v>2829</v>
      </c>
      <c r="B3143" s="6">
        <v>1000.0</v>
      </c>
      <c r="C3143" s="7" t="s">
        <v>5</v>
      </c>
      <c r="E3143" s="8" t="str">
        <f>IFERROR(__xludf.DUMMYFUNCTION("SPLIT(A3143,""TX"")"),"rimble, Robert
8333 Douglas Ave Ste 1350
Dallas, ")</f>
        <v>rimble, Robert
8333 Douglas Ave Ste 1350
Dallas, </v>
      </c>
      <c r="F3143" s="8">
        <f>IFERROR(__xludf.DUMMYFUNCTION("""COMPUTED_VALUE"""),75225.0)</f>
        <v>75225</v>
      </c>
      <c r="I3143" s="8">
        <f t="shared" si="35"/>
        <v>75225</v>
      </c>
      <c r="J3143" s="9">
        <f>IFERROR(__xludf.DUMMYFUNCTION("SPLIT(I3143,""-"")"),75225.0)</f>
        <v>75225</v>
      </c>
    </row>
    <row r="3144">
      <c r="A3144" s="10" t="s">
        <v>2830</v>
      </c>
      <c r="B3144" s="11">
        <v>100.0</v>
      </c>
      <c r="C3144" s="12" t="s">
        <v>5</v>
      </c>
      <c r="E3144" s="8" t="str">
        <f>IFERROR(__xludf.DUMMYFUNCTION("SPLIT(A3144,""TX"")"),"Dunlap, John
6123 Lupton Drive
Dallas, ")</f>
        <v>Dunlap, John
6123 Lupton Drive
Dallas, </v>
      </c>
      <c r="F3144" s="8">
        <f>IFERROR(__xludf.DUMMYFUNCTION("""COMPUTED_VALUE"""),75225.0)</f>
        <v>75225</v>
      </c>
      <c r="I3144" s="8">
        <f t="shared" si="35"/>
        <v>75225</v>
      </c>
      <c r="J3144" s="9">
        <f>IFERROR(__xludf.DUMMYFUNCTION("SPLIT(I3144,""-"")"),75225.0)</f>
        <v>75225</v>
      </c>
    </row>
    <row r="3145">
      <c r="A3145" s="5" t="s">
        <v>2811</v>
      </c>
      <c r="B3145" s="6">
        <v>100.0</v>
      </c>
      <c r="C3145" s="7" t="s">
        <v>5</v>
      </c>
      <c r="E3145" s="8" t="str">
        <f>IFERROR(__xludf.DUMMYFUNCTION("SPLIT(A3145,""TX"")"),"Henry, Rue
4803 Shadywood Lane
Dallas, ")</f>
        <v>Henry, Rue
4803 Shadywood Lane
Dallas, </v>
      </c>
      <c r="F3145" s="8">
        <f>IFERROR(__xludf.DUMMYFUNCTION("""COMPUTED_VALUE"""),75209.0)</f>
        <v>75209</v>
      </c>
      <c r="I3145" s="8">
        <f t="shared" si="35"/>
        <v>75209</v>
      </c>
      <c r="J3145" s="9">
        <f>IFERROR(__xludf.DUMMYFUNCTION("SPLIT(I3145,""-"")"),75209.0)</f>
        <v>75209</v>
      </c>
    </row>
    <row r="3146">
      <c r="A3146" s="10" t="s">
        <v>2831</v>
      </c>
      <c r="B3146" s="11">
        <v>50.0</v>
      </c>
      <c r="C3146" s="12" t="s">
        <v>5</v>
      </c>
      <c r="E3146" s="8" t="str">
        <f>IFERROR(__xludf.DUMMYFUNCTION("SPLIT(A3146,""TX"")"),"Noyes, Bob
10647 Royal Springs Drive
Dallas, ")</f>
        <v>Noyes, Bob
10647 Royal Springs Drive
Dallas, </v>
      </c>
      <c r="F3146" s="8">
        <f>IFERROR(__xludf.DUMMYFUNCTION("""COMPUTED_VALUE"""),75229.0)</f>
        <v>75229</v>
      </c>
      <c r="I3146" s="8">
        <f t="shared" si="35"/>
        <v>75229</v>
      </c>
      <c r="J3146" s="9">
        <f>IFERROR(__xludf.DUMMYFUNCTION("SPLIT(I3146,""-"")"),75229.0)</f>
        <v>75229</v>
      </c>
    </row>
    <row r="3147">
      <c r="A3147" s="5" t="s">
        <v>2832</v>
      </c>
      <c r="B3147" s="6">
        <v>250.0</v>
      </c>
      <c r="C3147" s="7" t="s">
        <v>5</v>
      </c>
      <c r="E3147" s="8" t="str">
        <f>IFERROR(__xludf.DUMMYFUNCTION("SPLIT(A3147,""TX"")"),"Losinger, Sarah
4506 Park Lane
Dallas, ")</f>
        <v>Losinger, Sarah
4506 Park Lane
Dallas, </v>
      </c>
      <c r="F3147" s="8">
        <f>IFERROR(__xludf.DUMMYFUNCTION("""COMPUTED_VALUE"""),75220.0)</f>
        <v>75220</v>
      </c>
      <c r="I3147" s="8">
        <f t="shared" si="35"/>
        <v>75220</v>
      </c>
      <c r="J3147" s="9">
        <f>IFERROR(__xludf.DUMMYFUNCTION("SPLIT(I3147,""-"")"),75220.0)</f>
        <v>75220</v>
      </c>
    </row>
    <row r="3148">
      <c r="A3148" s="10" t="s">
        <v>344</v>
      </c>
      <c r="B3148" s="11">
        <v>250.0</v>
      </c>
      <c r="C3148" s="12" t="s">
        <v>5</v>
      </c>
      <c r="E3148" s="8" t="str">
        <f>IFERROR(__xludf.DUMMYFUNCTION("SPLIT(A3148,""TX"")"),"Sampson, Demetris
PO Box 763834
Dallas, ")</f>
        <v>Sampson, Demetris
PO Box 763834
Dallas, </v>
      </c>
      <c r="F3148" s="8">
        <f>IFERROR(__xludf.DUMMYFUNCTION("""COMPUTED_VALUE"""),75376.0)</f>
        <v>75376</v>
      </c>
      <c r="I3148" s="8">
        <f t="shared" si="35"/>
        <v>75376</v>
      </c>
      <c r="J3148" s="9">
        <f>IFERROR(__xludf.DUMMYFUNCTION("SPLIT(I3148,""-"")"),75376.0)</f>
        <v>75376</v>
      </c>
    </row>
    <row r="3149">
      <c r="A3149" s="5" t="s">
        <v>2833</v>
      </c>
      <c r="B3149" s="6">
        <v>100.0</v>
      </c>
      <c r="C3149" s="7" t="s">
        <v>5</v>
      </c>
      <c r="E3149" s="8" t="str">
        <f>IFERROR(__xludf.DUMMYFUNCTION("SPLIT(A3149,""TX"")"),"Glaser, Marnie
5635 Southwestern Blvd
Dallas, ")</f>
        <v>Glaser, Marnie
5635 Southwestern Blvd
Dallas, </v>
      </c>
      <c r="F3149" s="8">
        <f>IFERROR(__xludf.DUMMYFUNCTION("""COMPUTED_VALUE"""),75209.0)</f>
        <v>75209</v>
      </c>
      <c r="I3149" s="8">
        <f t="shared" si="35"/>
        <v>75209</v>
      </c>
      <c r="J3149" s="9">
        <f>IFERROR(__xludf.DUMMYFUNCTION("SPLIT(I3149,""-"")"),75209.0)</f>
        <v>75209</v>
      </c>
    </row>
    <row r="3150">
      <c r="A3150" s="10" t="s">
        <v>2834</v>
      </c>
      <c r="B3150" s="11">
        <v>100.0</v>
      </c>
      <c r="C3150" s="12" t="s">
        <v>5</v>
      </c>
      <c r="E3150" s="8" t="str">
        <f>IFERROR(__xludf.DUMMYFUNCTION("SPLIT(A3150,""TX"")"),"Sutton, Deborah
7256 Ashington Drive
Dallas, ")</f>
        <v>Sutton, Deborah
7256 Ashington Drive
Dallas, </v>
      </c>
      <c r="F3150" s="8">
        <f>IFERROR(__xludf.DUMMYFUNCTION("""COMPUTED_VALUE"""),75225.0)</f>
        <v>75225</v>
      </c>
      <c r="I3150" s="8">
        <f t="shared" si="35"/>
        <v>75225</v>
      </c>
      <c r="J3150" s="9">
        <f>IFERROR(__xludf.DUMMYFUNCTION("SPLIT(I3150,""-"")"),75225.0)</f>
        <v>75225</v>
      </c>
    </row>
    <row r="3151">
      <c r="A3151" s="5" t="s">
        <v>2835</v>
      </c>
      <c r="B3151" s="6">
        <v>50.0</v>
      </c>
      <c r="C3151" s="7" t="s">
        <v>5</v>
      </c>
      <c r="E3151" s="8" t="str">
        <f>IFERROR(__xludf.DUMMYFUNCTION("SPLIT(A3151,""TX"")"),"Jones, Joanne
5337 Livingston Ave
Dallas, ")</f>
        <v>Jones, Joanne
5337 Livingston Ave
Dallas, </v>
      </c>
      <c r="F3151" s="8">
        <f>IFERROR(__xludf.DUMMYFUNCTION("""COMPUTED_VALUE"""),75209.0)</f>
        <v>75209</v>
      </c>
      <c r="I3151" s="8">
        <f t="shared" si="35"/>
        <v>75209</v>
      </c>
      <c r="J3151" s="9">
        <f>IFERROR(__xludf.DUMMYFUNCTION("SPLIT(I3151,""-"")"),75209.0)</f>
        <v>75209</v>
      </c>
    </row>
    <row r="3152">
      <c r="A3152" s="10" t="s">
        <v>2836</v>
      </c>
      <c r="B3152" s="11">
        <v>30.0</v>
      </c>
      <c r="C3152" s="12" t="s">
        <v>5</v>
      </c>
      <c r="E3152" s="8" t="str">
        <f>IFERROR(__xludf.DUMMYFUNCTION("SPLIT(A3152,""TX"")"),"Hopkins, Shelton
4707 Crooked Lane
Dallas, ")</f>
        <v>Hopkins, Shelton
4707 Crooked Lane
Dallas, </v>
      </c>
      <c r="F3152" s="8">
        <f>IFERROR(__xludf.DUMMYFUNCTION("""COMPUTED_VALUE"""),75229.0)</f>
        <v>75229</v>
      </c>
      <c r="I3152" s="8">
        <f t="shared" si="35"/>
        <v>75229</v>
      </c>
      <c r="J3152" s="9">
        <f>IFERROR(__xludf.DUMMYFUNCTION("SPLIT(I3152,""-"")"),75229.0)</f>
        <v>75229</v>
      </c>
    </row>
    <row r="3153">
      <c r="A3153" s="5" t="s">
        <v>2837</v>
      </c>
      <c r="B3153" s="6">
        <v>10.0</v>
      </c>
      <c r="C3153" s="7" t="s">
        <v>5</v>
      </c>
      <c r="E3153" s="8" t="str">
        <f>IFERROR(__xludf.DUMMYFUNCTION("SPLIT(A3153,""TX"")"),"Minic, Bo/
6152 Summer Creek Circle
Dallas, ")</f>
        <v>Minic, Bo/
6152 Summer Creek Circle
Dallas, </v>
      </c>
      <c r="F3153" s="8">
        <f>IFERROR(__xludf.DUMMYFUNCTION("""COMPUTED_VALUE"""),75231.0)</f>
        <v>75231</v>
      </c>
      <c r="I3153" s="8">
        <f t="shared" si="35"/>
        <v>75231</v>
      </c>
      <c r="J3153" s="9">
        <f>IFERROR(__xludf.DUMMYFUNCTION("SPLIT(I3153,""-"")"),75231.0)</f>
        <v>75231</v>
      </c>
    </row>
    <row r="3154">
      <c r="A3154" s="10" t="s">
        <v>2838</v>
      </c>
      <c r="B3154" s="11">
        <v>100.0</v>
      </c>
      <c r="C3154" s="12" t="s">
        <v>5</v>
      </c>
      <c r="E3154" s="8" t="str">
        <f>IFERROR(__xludf.DUMMYFUNCTION("SPLIT(A3154,""TX"")"),"Bonfield, Heather
3320 Walchard Court
Dallas, ")</f>
        <v>Bonfield, Heather
3320 Walchard Court
Dallas, </v>
      </c>
      <c r="F3154" s="8">
        <f>IFERROR(__xludf.DUMMYFUNCTION("""COMPUTED_VALUE"""),75229.0)</f>
        <v>75229</v>
      </c>
      <c r="I3154" s="8">
        <f t="shared" si="35"/>
        <v>75229</v>
      </c>
      <c r="J3154" s="9">
        <f>IFERROR(__xludf.DUMMYFUNCTION("SPLIT(I3154,""-"")"),75229.0)</f>
        <v>75229</v>
      </c>
    </row>
    <row r="3155">
      <c r="A3155" s="5" t="s">
        <v>2839</v>
      </c>
      <c r="B3155" s="6">
        <v>250.0</v>
      </c>
      <c r="C3155" s="7" t="s">
        <v>5</v>
      </c>
      <c r="E3155" s="8" t="str">
        <f>IFERROR(__xludf.DUMMYFUNCTION("SPLIT(A3155,""TX"")"),"Gagne, Michael
1455 Oates Drive
Dallas, ")</f>
        <v>Gagne, Michael
1455 Oates Drive
Dallas, </v>
      </c>
      <c r="F3155" s="8">
        <f>IFERROR(__xludf.DUMMYFUNCTION("""COMPUTED_VALUE"""),75228.0)</f>
        <v>75228</v>
      </c>
      <c r="I3155" s="8">
        <f t="shared" si="35"/>
        <v>75228</v>
      </c>
      <c r="J3155" s="9">
        <f>IFERROR(__xludf.DUMMYFUNCTION("SPLIT(I3155,""-"")"),75228.0)</f>
        <v>75228</v>
      </c>
    </row>
    <row r="3156">
      <c r="A3156" s="10" t="s">
        <v>2816</v>
      </c>
      <c r="B3156" s="11">
        <v>100.0</v>
      </c>
      <c r="C3156" s="12" t="s">
        <v>5</v>
      </c>
      <c r="E3156" s="8" t="str">
        <f>IFERROR(__xludf.DUMMYFUNCTION("SPLIT(A3156,""TX"")"),"Gonzales, Pete
10755 Morning Glory Drive
Dallas, ")</f>
        <v>Gonzales, Pete
10755 Morning Glory Drive
Dallas, </v>
      </c>
      <c r="F3156" s="8">
        <f>IFERROR(__xludf.DUMMYFUNCTION("""COMPUTED_VALUE"""),75229.0)</f>
        <v>75229</v>
      </c>
      <c r="I3156" s="8">
        <f t="shared" si="35"/>
        <v>75229</v>
      </c>
      <c r="J3156" s="9">
        <f>IFERROR(__xludf.DUMMYFUNCTION("SPLIT(I3156,""-"")"),75229.0)</f>
        <v>75229</v>
      </c>
    </row>
    <row r="3157">
      <c r="A3157" s="5" t="s">
        <v>2840</v>
      </c>
      <c r="B3157" s="6">
        <v>1000.0</v>
      </c>
      <c r="C3157" s="7" t="s">
        <v>5</v>
      </c>
      <c r="E3157" s="8" t="str">
        <f>IFERROR(__xludf.DUMMYFUNCTION("SPLIT(A3157,""TX"")"),"Chambers, ")</f>
        <v>Chambers, </v>
      </c>
      <c r="F3157" s="8" t="str">
        <f>IFERROR(__xludf.DUMMYFUNCTION("""COMPUTED_VALUE"""),"homas
2030 Irving Blvd
Dallas, ")</f>
        <v>homas
2030 Irving Blvd
Dallas, </v>
      </c>
      <c r="G3157" s="8">
        <f>IFERROR(__xludf.DUMMYFUNCTION("""COMPUTED_VALUE"""),75207.0)</f>
        <v>75207</v>
      </c>
      <c r="I3157" s="8">
        <f t="shared" si="35"/>
        <v>75207</v>
      </c>
      <c r="J3157" s="9">
        <f>IFERROR(__xludf.DUMMYFUNCTION("SPLIT(I3157,""-"")"),75207.0)</f>
        <v>75207</v>
      </c>
    </row>
    <row r="3158">
      <c r="A3158" s="10" t="s">
        <v>2799</v>
      </c>
      <c r="B3158" s="11">
        <v>30.0</v>
      </c>
      <c r="C3158" s="12" t="s">
        <v>5</v>
      </c>
      <c r="E3158" s="8" t="str">
        <f>IFERROR(__xludf.DUMMYFUNCTION("SPLIT(A3158,""TX"")"),"Petree, Davana
5999 Lindenshire Lane
Dallas, ")</f>
        <v>Petree, Davana
5999 Lindenshire Lane
Dallas, </v>
      </c>
      <c r="F3158" s="8">
        <f>IFERROR(__xludf.DUMMYFUNCTION("""COMPUTED_VALUE"""),75230.0)</f>
        <v>75230</v>
      </c>
      <c r="I3158" s="8">
        <f t="shared" si="35"/>
        <v>75230</v>
      </c>
      <c r="J3158" s="9">
        <f>IFERROR(__xludf.DUMMYFUNCTION("SPLIT(I3158,""-"")"),75230.0)</f>
        <v>75230</v>
      </c>
    </row>
    <row r="3159">
      <c r="A3159" s="5" t="s">
        <v>2841</v>
      </c>
      <c r="B3159" s="6">
        <v>1000.0</v>
      </c>
      <c r="C3159" s="7" t="s">
        <v>5</v>
      </c>
      <c r="E3159" s="8" t="str">
        <f>IFERROR(__xludf.DUMMYFUNCTION("SPLIT(A3159,""TX"")"),"Agnich, Robert
11 Cheltenham Way
Dallas, ")</f>
        <v>Agnich, Robert
11 Cheltenham Way
Dallas, </v>
      </c>
      <c r="F3159" s="8">
        <f>IFERROR(__xludf.DUMMYFUNCTION("""COMPUTED_VALUE"""),75230.0)</f>
        <v>75230</v>
      </c>
      <c r="I3159" s="8">
        <f t="shared" si="35"/>
        <v>75230</v>
      </c>
      <c r="J3159" s="9">
        <f>IFERROR(__xludf.DUMMYFUNCTION("SPLIT(I3159,""-"")"),75230.0)</f>
        <v>75230</v>
      </c>
    </row>
    <row r="3160">
      <c r="A3160" s="10" t="s">
        <v>2842</v>
      </c>
      <c r="B3160" s="11">
        <v>1000.0</v>
      </c>
      <c r="C3160" s="12" t="s">
        <v>5</v>
      </c>
      <c r="E3160" s="8" t="str">
        <f>IFERROR(__xludf.DUMMYFUNCTION("SPLIT(A3160,""TX"")"),"Hunt, Ray
1900 N. Akard St
Dallas, ")</f>
        <v>Hunt, Ray
1900 N. Akard St
Dallas, </v>
      </c>
      <c r="F3160" s="8">
        <f>IFERROR(__xludf.DUMMYFUNCTION("""COMPUTED_VALUE"""),75201.0)</f>
        <v>75201</v>
      </c>
      <c r="I3160" s="8">
        <f t="shared" si="35"/>
        <v>75201</v>
      </c>
      <c r="J3160" s="9">
        <f>IFERROR(__xludf.DUMMYFUNCTION("SPLIT(I3160,""-"")"),75201.0)</f>
        <v>75201</v>
      </c>
    </row>
    <row r="3161">
      <c r="A3161" s="5" t="s">
        <v>2843</v>
      </c>
      <c r="B3161" s="6">
        <v>50.0</v>
      </c>
      <c r="C3161" s="7" t="s">
        <v>5</v>
      </c>
      <c r="E3161" s="8" t="str">
        <f>IFERROR(__xludf.DUMMYFUNCTION("SPLIT(A3161,""TX"")"),"Glenn, Paxon
4708 W. Hanover
Dallas, ")</f>
        <v>Glenn, Paxon
4708 W. Hanover
Dallas, </v>
      </c>
      <c r="F3161" s="8">
        <f>IFERROR(__xludf.DUMMYFUNCTION("""COMPUTED_VALUE"""),75209.0)</f>
        <v>75209</v>
      </c>
      <c r="I3161" s="8">
        <f t="shared" si="35"/>
        <v>75209</v>
      </c>
      <c r="J3161" s="9">
        <f>IFERROR(__xludf.DUMMYFUNCTION("SPLIT(I3161,""-"")"),75209.0)</f>
        <v>75209</v>
      </c>
    </row>
    <row r="3162">
      <c r="A3162" s="10" t="s">
        <v>2844</v>
      </c>
      <c r="B3162" s="11">
        <v>250.0</v>
      </c>
      <c r="C3162" s="12" t="s">
        <v>1005</v>
      </c>
      <c r="E3162" s="8" t="str">
        <f>IFERROR(__xludf.DUMMYFUNCTION("SPLIT(A3162,""TX"")"),"Levonyak, Mark
3904 Fairlakes Drive
Dallas, ")</f>
        <v>Levonyak, Mark
3904 Fairlakes Drive
Dallas, </v>
      </c>
      <c r="F3162" s="8">
        <f>IFERROR(__xludf.DUMMYFUNCTION("""COMPUTED_VALUE"""),75226.0)</f>
        <v>75226</v>
      </c>
      <c r="I3162" s="8">
        <f t="shared" si="35"/>
        <v>75226</v>
      </c>
      <c r="J3162" s="9">
        <f>IFERROR(__xludf.DUMMYFUNCTION("SPLIT(I3162,""-"")"),75226.0)</f>
        <v>75226</v>
      </c>
    </row>
    <row r="3163">
      <c r="A3163" s="5" t="s">
        <v>2845</v>
      </c>
      <c r="B3163" s="6">
        <v>250.0</v>
      </c>
      <c r="C3163" s="7" t="s">
        <v>1005</v>
      </c>
      <c r="E3163" s="8" t="str">
        <f>IFERROR(__xludf.DUMMYFUNCTION("SPLIT(A3163,""TX"")"),"Wetsel, Kenneth
4016 Fairlakes Dr
Dallas, ")</f>
        <v>Wetsel, Kenneth
4016 Fairlakes Dr
Dallas, </v>
      </c>
      <c r="F3163" s="8">
        <f>IFERROR(__xludf.DUMMYFUNCTION("""COMPUTED_VALUE"""),75228.0)</f>
        <v>75228</v>
      </c>
      <c r="I3163" s="8">
        <f t="shared" si="35"/>
        <v>75228</v>
      </c>
      <c r="J3163" s="9">
        <f>IFERROR(__xludf.DUMMYFUNCTION("SPLIT(I3163,""-"")"),75228.0)</f>
        <v>75228</v>
      </c>
    </row>
    <row r="3164">
      <c r="A3164" s="10" t="s">
        <v>2846</v>
      </c>
      <c r="B3164" s="11">
        <v>250.0</v>
      </c>
      <c r="C3164" s="12" t="s">
        <v>1005</v>
      </c>
      <c r="E3164" s="8" t="str">
        <f>IFERROR(__xludf.DUMMYFUNCTION("SPLIT(A3164,""TX"")"),"Jouvenat, James
3902 Fairlakes Dr
Dallas, ")</f>
        <v>Jouvenat, James
3902 Fairlakes Dr
Dallas, </v>
      </c>
      <c r="F3164" s="8">
        <f>IFERROR(__xludf.DUMMYFUNCTION("""COMPUTED_VALUE"""),75228.0)</f>
        <v>75228</v>
      </c>
      <c r="I3164" s="8">
        <f t="shared" si="35"/>
        <v>75228</v>
      </c>
      <c r="J3164" s="9">
        <f>IFERROR(__xludf.DUMMYFUNCTION("SPLIT(I3164,""-"")"),75228.0)</f>
        <v>75228</v>
      </c>
    </row>
    <row r="3165">
      <c r="A3165" s="5" t="s">
        <v>1940</v>
      </c>
      <c r="B3165" s="6">
        <v>1000.0</v>
      </c>
      <c r="C3165" s="7" t="s">
        <v>1005</v>
      </c>
      <c r="E3165" s="8" t="str">
        <f>IFERROR(__xludf.DUMMYFUNCTION("SPLIT(A3165,""TX"")"),"Gatlin, Paige
PO Box 670865
Dallas, ")</f>
        <v>Gatlin, Paige
PO Box 670865
Dallas, </v>
      </c>
      <c r="F3165" s="8">
        <f>IFERROR(__xludf.DUMMYFUNCTION("""COMPUTED_VALUE"""),75367.0)</f>
        <v>75367</v>
      </c>
      <c r="I3165" s="8">
        <f t="shared" si="35"/>
        <v>75367</v>
      </c>
      <c r="J3165" s="9">
        <f>IFERROR(__xludf.DUMMYFUNCTION("SPLIT(I3165,""-"")"),75367.0)</f>
        <v>75367</v>
      </c>
    </row>
    <row r="3166">
      <c r="A3166" s="10" t="s">
        <v>72</v>
      </c>
      <c r="B3166" s="11">
        <v>1000.0</v>
      </c>
      <c r="C3166" s="12" t="s">
        <v>1005</v>
      </c>
      <c r="E3166" s="8" t="str">
        <f>IFERROR(__xludf.DUMMYFUNCTION("SPLIT(A3166,""TX"")"),"Schenkel, Pete
614 Bishop
Dallas, ")</f>
        <v>Schenkel, Pete
614 Bishop
Dallas, </v>
      </c>
      <c r="F3166" s="8">
        <f>IFERROR(__xludf.DUMMYFUNCTION("""COMPUTED_VALUE"""),75208.0)</f>
        <v>75208</v>
      </c>
      <c r="I3166" s="8">
        <f t="shared" si="35"/>
        <v>75208</v>
      </c>
      <c r="J3166" s="9">
        <f>IFERROR(__xludf.DUMMYFUNCTION("SPLIT(I3166,""-"")"),75208.0)</f>
        <v>75208</v>
      </c>
    </row>
    <row r="3167">
      <c r="A3167" s="5" t="s">
        <v>2847</v>
      </c>
      <c r="B3167" s="6">
        <v>75.0</v>
      </c>
      <c r="C3167" s="7" t="s">
        <v>1005</v>
      </c>
      <c r="E3167" s="8" t="str">
        <f>IFERROR(__xludf.DUMMYFUNCTION("SPLIT(A3167,""TX"")"),"Martin, VJ
8230 Claremont Drive
Dallas, ")</f>
        <v>Martin, VJ
8230 Claremont Drive
Dallas, </v>
      </c>
      <c r="F3167" s="8">
        <f>IFERROR(__xludf.DUMMYFUNCTION("""COMPUTED_VALUE"""),75228.0)</f>
        <v>75228</v>
      </c>
      <c r="I3167" s="8">
        <f t="shared" si="35"/>
        <v>75228</v>
      </c>
      <c r="J3167" s="9">
        <f>IFERROR(__xludf.DUMMYFUNCTION("SPLIT(I3167,""-"")"),75228.0)</f>
        <v>75228</v>
      </c>
    </row>
    <row r="3168">
      <c r="A3168" s="10" t="s">
        <v>2848</v>
      </c>
      <c r="B3168" s="11">
        <v>500.0</v>
      </c>
      <c r="C3168" s="12" t="s">
        <v>1005</v>
      </c>
      <c r="E3168" s="8" t="str">
        <f>IFERROR(__xludf.DUMMYFUNCTION("SPLIT(A3168,""TX"")"),"Schenkel, Austin
3317 Purdue
Dallas, ")</f>
        <v>Schenkel, Austin
3317 Purdue
Dallas, </v>
      </c>
      <c r="F3168" s="8">
        <f>IFERROR(__xludf.DUMMYFUNCTION("""COMPUTED_VALUE"""),75226.0)</f>
        <v>75226</v>
      </c>
      <c r="I3168" s="8">
        <f t="shared" si="35"/>
        <v>75226</v>
      </c>
      <c r="J3168" s="9">
        <f>IFERROR(__xludf.DUMMYFUNCTION("SPLIT(I3168,""-"")"),75226.0)</f>
        <v>75226</v>
      </c>
    </row>
    <row r="3169">
      <c r="A3169" s="5" t="s">
        <v>2849</v>
      </c>
      <c r="B3169" s="6">
        <v>500.0</v>
      </c>
      <c r="C3169" s="7" t="s">
        <v>1005</v>
      </c>
      <c r="E3169" s="8" t="str">
        <f>IFERROR(__xludf.DUMMYFUNCTION("SPLIT(A3169,""TX"")"),"Owen, Linda
5645 Caruth
Dallas, ")</f>
        <v>Owen, Linda
5645 Caruth
Dallas, </v>
      </c>
      <c r="F3169" s="8">
        <f>IFERROR(__xludf.DUMMYFUNCTION("""COMPUTED_VALUE"""),75209.0)</f>
        <v>75209</v>
      </c>
      <c r="I3169" s="8">
        <f t="shared" si="35"/>
        <v>75209</v>
      </c>
      <c r="J3169" s="9">
        <f>IFERROR(__xludf.DUMMYFUNCTION("SPLIT(I3169,""-"")"),75209.0)</f>
        <v>75209</v>
      </c>
    </row>
    <row r="3170">
      <c r="A3170" s="10" t="s">
        <v>2850</v>
      </c>
      <c r="B3170" s="11">
        <v>500.0</v>
      </c>
      <c r="C3170" s="12" t="s">
        <v>1005</v>
      </c>
      <c r="E3170" s="8" t="str">
        <f>IFERROR(__xludf.DUMMYFUNCTION("SPLIT(A3170,""TX"")"),"Northwest Drive Inns Inc
8522 Garland Rd
Dallas, ")</f>
        <v>Northwest Drive Inns Inc
8522 Garland Rd
Dallas, </v>
      </c>
      <c r="F3170" s="8">
        <f>IFERROR(__xludf.DUMMYFUNCTION("""COMPUTED_VALUE"""),75218.0)</f>
        <v>75218</v>
      </c>
      <c r="I3170" s="8">
        <f t="shared" si="35"/>
        <v>75218</v>
      </c>
      <c r="J3170" s="9">
        <f>IFERROR(__xludf.DUMMYFUNCTION("SPLIT(I3170,""-"")"),75218.0)</f>
        <v>75218</v>
      </c>
    </row>
    <row r="3171">
      <c r="A3171" s="5" t="s">
        <v>2851</v>
      </c>
      <c r="B3171" s="6">
        <v>1000.0</v>
      </c>
      <c r="C3171" s="7" t="s">
        <v>1005</v>
      </c>
      <c r="E3171" s="8" t="str">
        <f>IFERROR(__xludf.DUMMYFUNCTION("SPLIT(A3171,""TX"")"),"Ellerman, Jeff
4012 Miramar Ave
Dallas, ")</f>
        <v>Ellerman, Jeff
4012 Miramar Ave
Dallas, </v>
      </c>
      <c r="F3171" s="8">
        <f>IFERROR(__xludf.DUMMYFUNCTION("""COMPUTED_VALUE"""),75205.0)</f>
        <v>75205</v>
      </c>
      <c r="I3171" s="8">
        <f t="shared" si="35"/>
        <v>75205</v>
      </c>
      <c r="J3171" s="9">
        <f>IFERROR(__xludf.DUMMYFUNCTION("SPLIT(I3171,""-"")"),75205.0)</f>
        <v>75205</v>
      </c>
    </row>
    <row r="3172">
      <c r="A3172" s="10" t="s">
        <v>2852</v>
      </c>
      <c r="B3172" s="11">
        <v>1000.0</v>
      </c>
      <c r="C3172" s="12" t="s">
        <v>1005</v>
      </c>
      <c r="E3172" s="8" t="str">
        <f>IFERROR(__xludf.DUMMYFUNCTION("SPLIT(A3172,""TX"")"),"Dale, Larry
6019 St. Andrews
Dallas, ")</f>
        <v>Dale, Larry
6019 St. Andrews
Dallas, </v>
      </c>
      <c r="F3172" s="8">
        <f>IFERROR(__xludf.DUMMYFUNCTION("""COMPUTED_VALUE"""),75205.0)</f>
        <v>75205</v>
      </c>
      <c r="I3172" s="8">
        <f t="shared" si="35"/>
        <v>75205</v>
      </c>
      <c r="J3172" s="9">
        <f>IFERROR(__xludf.DUMMYFUNCTION("SPLIT(I3172,""-"")"),75205.0)</f>
        <v>75205</v>
      </c>
    </row>
    <row r="3173">
      <c r="A3173" s="5" t="s">
        <v>2853</v>
      </c>
      <c r="B3173" s="6">
        <v>1000.0</v>
      </c>
      <c r="C3173" s="7" t="s">
        <v>1005</v>
      </c>
      <c r="E3173" s="8" t="str">
        <f>IFERROR(__xludf.DUMMYFUNCTION("SPLIT(A3173,""TX"")"),"Mihalopolous, Frank
4633 N. Central Exprwy
Dallas, ")</f>
        <v>Mihalopolous, Frank
4633 N. Central Exprwy
Dallas, </v>
      </c>
      <c r="F3173" s="8">
        <f>IFERROR(__xludf.DUMMYFUNCTION("""COMPUTED_VALUE"""),75205.0)</f>
        <v>75205</v>
      </c>
      <c r="I3173" s="8">
        <f t="shared" si="35"/>
        <v>75205</v>
      </c>
      <c r="J3173" s="9">
        <f>IFERROR(__xludf.DUMMYFUNCTION("SPLIT(I3173,""-"")"),75205.0)</f>
        <v>75205</v>
      </c>
    </row>
    <row r="3174">
      <c r="A3174" s="10" t="s">
        <v>2854</v>
      </c>
      <c r="B3174" s="11">
        <v>500.0</v>
      </c>
      <c r="C3174" s="12" t="s">
        <v>1005</v>
      </c>
      <c r="E3174" s="8" t="str">
        <f>IFERROR(__xludf.DUMMYFUNCTION("SPLIT(A3174,""TX"")"),"Crow, Patrick
4818 N. Lindhurst Ave
Dallas, ")</f>
        <v>Crow, Patrick
4818 N. Lindhurst Ave
Dallas, </v>
      </c>
      <c r="F3174" s="8">
        <f>IFERROR(__xludf.DUMMYFUNCTION("""COMPUTED_VALUE"""),75229.0)</f>
        <v>75229</v>
      </c>
      <c r="I3174" s="8">
        <f t="shared" si="35"/>
        <v>75229</v>
      </c>
      <c r="J3174" s="9">
        <f>IFERROR(__xludf.DUMMYFUNCTION("SPLIT(I3174,""-"")"),75229.0)</f>
        <v>75229</v>
      </c>
    </row>
    <row r="3175">
      <c r="A3175" s="5" t="s">
        <v>2855</v>
      </c>
      <c r="B3175" s="6">
        <v>250.0</v>
      </c>
      <c r="C3175" s="7" t="s">
        <v>1005</v>
      </c>
      <c r="E3175" s="8" t="str">
        <f>IFERROR(__xludf.DUMMYFUNCTION("SPLIT(A3175,""TX"")"),"Forsyth Lill, Velletta
622 Blair Blvd.
Dallas, ")</f>
        <v>Forsyth Lill, Velletta
622 Blair Blvd.
Dallas, </v>
      </c>
      <c r="F3175" s="8">
        <f>IFERROR(__xludf.DUMMYFUNCTION("""COMPUTED_VALUE"""),75223.0)</f>
        <v>75223</v>
      </c>
      <c r="I3175" s="8">
        <f t="shared" si="35"/>
        <v>75223</v>
      </c>
      <c r="J3175" s="9">
        <f>IFERROR(__xludf.DUMMYFUNCTION("SPLIT(I3175,""-"")"),75223.0)</f>
        <v>75223</v>
      </c>
    </row>
    <row r="3176">
      <c r="A3176" s="10" t="s">
        <v>2856</v>
      </c>
      <c r="B3176" s="11">
        <v>500.0</v>
      </c>
      <c r="C3176" s="12" t="s">
        <v>1005</v>
      </c>
      <c r="E3176" s="8" t="str">
        <f>IFERROR(__xludf.DUMMYFUNCTION("SPLIT(A3176,""TX"")"),"Fulton, Duncan
6629 Golf Dr
Dallas, ")</f>
        <v>Fulton, Duncan
6629 Golf Dr
Dallas, </v>
      </c>
      <c r="F3176" s="8">
        <f>IFERROR(__xludf.DUMMYFUNCTION("""COMPUTED_VALUE"""),75205.0)</f>
        <v>75205</v>
      </c>
      <c r="I3176" s="8">
        <f t="shared" si="35"/>
        <v>75205</v>
      </c>
      <c r="J3176" s="9">
        <f>IFERROR(__xludf.DUMMYFUNCTION("SPLIT(I3176,""-"")"),75205.0)</f>
        <v>75205</v>
      </c>
    </row>
    <row r="3177">
      <c r="A3177" s="5" t="s">
        <v>2857</v>
      </c>
      <c r="B3177" s="6">
        <v>250.0</v>
      </c>
      <c r="C3177" s="7" t="s">
        <v>1005</v>
      </c>
      <c r="E3177" s="8" t="str">
        <f>IFERROR(__xludf.DUMMYFUNCTION("SPLIT(A3177,""TX"")"),"arpley, Gloria
8378 Forest Hills Blvd.
Dallas, ")</f>
        <v>arpley, Gloria
8378 Forest Hills Blvd.
Dallas, </v>
      </c>
      <c r="F3177" s="8">
        <f>IFERROR(__xludf.DUMMYFUNCTION("""COMPUTED_VALUE"""),75218.0)</f>
        <v>75218</v>
      </c>
      <c r="I3177" s="8">
        <f t="shared" si="35"/>
        <v>75218</v>
      </c>
      <c r="J3177" s="9">
        <f>IFERROR(__xludf.DUMMYFUNCTION("SPLIT(I3177,""-"")"),75218.0)</f>
        <v>75218</v>
      </c>
    </row>
    <row r="3178">
      <c r="A3178" s="10" t="s">
        <v>2858</v>
      </c>
      <c r="B3178" s="11">
        <v>500.0</v>
      </c>
      <c r="C3178" s="12" t="s">
        <v>1005</v>
      </c>
      <c r="E3178" s="8" t="str">
        <f>IFERROR(__xludf.DUMMYFUNCTION("SPLIT(A3178,""TX"")"),"Alcantar, Joe
7304 Lane Park Ct
Dallas, ")</f>
        <v>Alcantar, Joe
7304 Lane Park Ct
Dallas, </v>
      </c>
      <c r="F3178" s="8">
        <f>IFERROR(__xludf.DUMMYFUNCTION("""COMPUTED_VALUE"""),75225.0)</f>
        <v>75225</v>
      </c>
      <c r="I3178" s="8">
        <f t="shared" si="35"/>
        <v>75225</v>
      </c>
      <c r="J3178" s="9">
        <f>IFERROR(__xludf.DUMMYFUNCTION("SPLIT(I3178,""-"")"),75225.0)</f>
        <v>75225</v>
      </c>
    </row>
    <row r="3179">
      <c r="A3179" s="5" t="s">
        <v>82</v>
      </c>
      <c r="B3179" s="6">
        <v>100.0</v>
      </c>
      <c r="C3179" s="7" t="s">
        <v>1005</v>
      </c>
      <c r="E3179" s="8" t="str">
        <f>IFERROR(__xludf.DUMMYFUNCTION("SPLIT(A3179,""TX"")"),"Chase, Scott
1700 Pacific
Dallas, ")</f>
        <v>Chase, Scott
1700 Pacific
Dallas, </v>
      </c>
      <c r="F3179" s="8">
        <f>IFERROR(__xludf.DUMMYFUNCTION("""COMPUTED_VALUE"""),75201.0)</f>
        <v>75201</v>
      </c>
      <c r="I3179" s="8">
        <f t="shared" si="35"/>
        <v>75201</v>
      </c>
      <c r="J3179" s="9">
        <f>IFERROR(__xludf.DUMMYFUNCTION("SPLIT(I3179,""-"")"),75201.0)</f>
        <v>75201</v>
      </c>
    </row>
    <row r="3180">
      <c r="A3180" s="10" t="s">
        <v>2859</v>
      </c>
      <c r="B3180" s="11">
        <v>25.0</v>
      </c>
      <c r="C3180" s="12" t="s">
        <v>1005</v>
      </c>
      <c r="E3180" s="8" t="str">
        <f>IFERROR(__xludf.DUMMYFUNCTION("SPLIT(A3180,""TX"")"),"Ellis, ")</f>
        <v>Ellis, </v>
      </c>
      <c r="F3180" s="8" t="str">
        <f>IFERROR(__xludf.DUMMYFUNCTION("""COMPUTED_VALUE"""),"om
6872 burwood Lane
Dallas, ")</f>
        <v>om
6872 burwood Lane
Dallas, </v>
      </c>
      <c r="G3180" s="8">
        <f>IFERROR(__xludf.DUMMYFUNCTION("""COMPUTED_VALUE"""),75214.0)</f>
        <v>75214</v>
      </c>
      <c r="I3180" s="8">
        <f t="shared" si="35"/>
        <v>75214</v>
      </c>
      <c r="J3180" s="9">
        <f>IFERROR(__xludf.DUMMYFUNCTION("SPLIT(I3180,""-"")"),75214.0)</f>
        <v>75214</v>
      </c>
    </row>
    <row r="3181">
      <c r="A3181" s="5" t="s">
        <v>2665</v>
      </c>
      <c r="B3181" s="6">
        <v>500.0</v>
      </c>
      <c r="C3181" s="7" t="s">
        <v>1005</v>
      </c>
      <c r="E3181" s="8" t="str">
        <f>IFERROR(__xludf.DUMMYFUNCTION("SPLIT(A3181,""TX"")"),"GERBER, PAM
4435 HOLLAND AVE
DALLAS, ")</f>
        <v>GERBER, PAM
4435 HOLLAND AVE
DALLAS, </v>
      </c>
      <c r="F3181" s="8">
        <f>IFERROR(__xludf.DUMMYFUNCTION("""COMPUTED_VALUE"""),75219.0)</f>
        <v>75219</v>
      </c>
      <c r="I3181" s="8">
        <f t="shared" si="35"/>
        <v>75219</v>
      </c>
      <c r="J3181" s="9">
        <f>IFERROR(__xludf.DUMMYFUNCTION("SPLIT(I3181,""-"")"),75219.0)</f>
        <v>75219</v>
      </c>
    </row>
    <row r="3182">
      <c r="A3182" s="10" t="s">
        <v>2860</v>
      </c>
      <c r="B3182" s="11">
        <v>350.0</v>
      </c>
      <c r="C3182" s="12" t="s">
        <v>1005</v>
      </c>
      <c r="E3182" s="8" t="str">
        <f>IFERROR(__xludf.DUMMYFUNCTION("SPLIT(A3182,""TX"")"),"Jackson, Lee
6011 Desco Dr
Dallas, ")</f>
        <v>Jackson, Lee
6011 Desco Dr
Dallas, </v>
      </c>
      <c r="F3182" s="8">
        <f>IFERROR(__xludf.DUMMYFUNCTION("""COMPUTED_VALUE"""),75225.0)</f>
        <v>75225</v>
      </c>
      <c r="I3182" s="8">
        <f t="shared" si="35"/>
        <v>75225</v>
      </c>
      <c r="J3182" s="9">
        <f>IFERROR(__xludf.DUMMYFUNCTION("SPLIT(I3182,""-"")"),75225.0)</f>
        <v>75225</v>
      </c>
    </row>
    <row r="3183">
      <c r="A3183" s="5" t="s">
        <v>1162</v>
      </c>
      <c r="B3183" s="6">
        <v>250.0</v>
      </c>
      <c r="C3183" s="7" t="s">
        <v>1005</v>
      </c>
      <c r="E3183" s="8" t="str">
        <f>IFERROR(__xludf.DUMMYFUNCTION("SPLIT(A3183,""TX"")"),"Offutt, Larry
6038 Bryan Pkwy
Dallas, ")</f>
        <v>Offutt, Larry
6038 Bryan Pkwy
Dallas, </v>
      </c>
      <c r="F3183" s="8">
        <f>IFERROR(__xludf.DUMMYFUNCTION("""COMPUTED_VALUE"""),75206.0)</f>
        <v>75206</v>
      </c>
      <c r="I3183" s="8">
        <f t="shared" si="35"/>
        <v>75206</v>
      </c>
      <c r="J3183" s="9">
        <f>IFERROR(__xludf.DUMMYFUNCTION("SPLIT(I3183,""-"")"),75206.0)</f>
        <v>75206</v>
      </c>
    </row>
    <row r="3184">
      <c r="A3184" s="10" t="s">
        <v>2861</v>
      </c>
      <c r="B3184" s="11">
        <v>100.0</v>
      </c>
      <c r="C3184" s="12" t="s">
        <v>1005</v>
      </c>
      <c r="E3184" s="8" t="str">
        <f>IFERROR(__xludf.DUMMYFUNCTION("SPLIT(A3184,""TX"")"),"Stern, Andy
5916 Club Oaks Dr
Dallas, ")</f>
        <v>Stern, Andy
5916 Club Oaks Dr
Dallas, </v>
      </c>
      <c r="F3184" s="8">
        <f>IFERROR(__xludf.DUMMYFUNCTION("""COMPUTED_VALUE"""),75248.0)</f>
        <v>75248</v>
      </c>
      <c r="I3184" s="8">
        <f t="shared" si="35"/>
        <v>75248</v>
      </c>
      <c r="J3184" s="9">
        <f>IFERROR(__xludf.DUMMYFUNCTION("SPLIT(I3184,""-"")"),75248.0)</f>
        <v>75248</v>
      </c>
    </row>
    <row r="3185">
      <c r="A3185" s="5" t="s">
        <v>2574</v>
      </c>
      <c r="B3185" s="6">
        <v>100.0</v>
      </c>
      <c r="C3185" s="7" t="s">
        <v>1005</v>
      </c>
      <c r="E3185" s="8" t="str">
        <f>IFERROR(__xludf.DUMMYFUNCTION("SPLIT(A3185,""TX"")"),"Mason, George
6821 Carolyncrest
Dallas, ")</f>
        <v>Mason, George
6821 Carolyncrest
Dallas, </v>
      </c>
      <c r="F3185" s="8">
        <f>IFERROR(__xludf.DUMMYFUNCTION("""COMPUTED_VALUE"""),75214.0)</f>
        <v>75214</v>
      </c>
      <c r="I3185" s="8">
        <f t="shared" si="35"/>
        <v>75214</v>
      </c>
      <c r="J3185" s="9">
        <f>IFERROR(__xludf.DUMMYFUNCTION("SPLIT(I3185,""-"")"),75214.0)</f>
        <v>75214</v>
      </c>
    </row>
    <row r="3186">
      <c r="A3186" s="10" t="s">
        <v>2862</v>
      </c>
      <c r="B3186" s="11">
        <v>1000.0</v>
      </c>
      <c r="C3186" s="12" t="s">
        <v>1005</v>
      </c>
      <c r="E3186" s="8" t="str">
        <f>IFERROR(__xludf.DUMMYFUNCTION("SPLIT(A3186,""TX"")"),"Steinhart, Ronald
25 Robledo Dr.
Dallas, ")</f>
        <v>Steinhart, Ronald
25 Robledo Dr.
Dallas, </v>
      </c>
      <c r="F3186" s="8">
        <f>IFERROR(__xludf.DUMMYFUNCTION("""COMPUTED_VALUE"""),75230.0)</f>
        <v>75230</v>
      </c>
      <c r="I3186" s="8">
        <f t="shared" si="35"/>
        <v>75230</v>
      </c>
      <c r="J3186" s="9">
        <f>IFERROR(__xludf.DUMMYFUNCTION("SPLIT(I3186,""-"")"),75230.0)</f>
        <v>75230</v>
      </c>
    </row>
    <row r="3187">
      <c r="A3187" s="5" t="s">
        <v>2863</v>
      </c>
      <c r="B3187" s="6">
        <v>100.0</v>
      </c>
      <c r="C3187" s="7" t="s">
        <v>1005</v>
      </c>
      <c r="E3187" s="8" t="str">
        <f>IFERROR(__xludf.DUMMYFUNCTION("SPLIT(A3187,""TX"")"),"Borruf, Darren
6445 Lake Circle Dr.
Dallas, ")</f>
        <v>Borruf, Darren
6445 Lake Circle Dr.
Dallas, </v>
      </c>
      <c r="F3187" s="8">
        <f>IFERROR(__xludf.DUMMYFUNCTION("""COMPUTED_VALUE"""),75214.0)</f>
        <v>75214</v>
      </c>
      <c r="I3187" s="8">
        <f t="shared" si="35"/>
        <v>75214</v>
      </c>
      <c r="J3187" s="9">
        <f>IFERROR(__xludf.DUMMYFUNCTION("SPLIT(I3187,""-"")"),75214.0)</f>
        <v>75214</v>
      </c>
    </row>
    <row r="3188">
      <c r="A3188" s="10" t="s">
        <v>2864</v>
      </c>
      <c r="B3188" s="11">
        <v>250.0</v>
      </c>
      <c r="C3188" s="12" t="s">
        <v>1005</v>
      </c>
      <c r="E3188" s="8" t="str">
        <f>IFERROR(__xludf.DUMMYFUNCTION("SPLIT(A3188,""TX"")"),"Stansbury, Sandy
6278 Martel Dr
Dallas, ")</f>
        <v>Stansbury, Sandy
6278 Martel Dr
Dallas, </v>
      </c>
      <c r="F3188" s="8">
        <f>IFERROR(__xludf.DUMMYFUNCTION("""COMPUTED_VALUE"""),75214.0)</f>
        <v>75214</v>
      </c>
      <c r="I3188" s="8">
        <f t="shared" si="35"/>
        <v>75214</v>
      </c>
      <c r="J3188" s="9">
        <f>IFERROR(__xludf.DUMMYFUNCTION("SPLIT(I3188,""-"")"),75214.0)</f>
        <v>75214</v>
      </c>
    </row>
    <row r="3189">
      <c r="A3189" s="5" t="s">
        <v>2865</v>
      </c>
      <c r="B3189" s="6">
        <v>50.0</v>
      </c>
      <c r="C3189" s="7" t="s">
        <v>1005</v>
      </c>
      <c r="E3189" s="8" t="str">
        <f>IFERROR(__xludf.DUMMYFUNCTION("SPLIT(A3189,""TX"")"),"Gole, Kristi
6726 Williamson Rd.
Dallas, ")</f>
        <v>Gole, Kristi
6726 Williamson Rd.
Dallas, </v>
      </c>
      <c r="F3189" s="8">
        <f>IFERROR(__xludf.DUMMYFUNCTION("""COMPUTED_VALUE"""),75214.0)</f>
        <v>75214</v>
      </c>
      <c r="I3189" s="8">
        <f t="shared" si="35"/>
        <v>75214</v>
      </c>
      <c r="J3189" s="9">
        <f>IFERROR(__xludf.DUMMYFUNCTION("SPLIT(I3189,""-"")"),75214.0)</f>
        <v>75214</v>
      </c>
    </row>
    <row r="3190">
      <c r="A3190" s="10" t="s">
        <v>2866</v>
      </c>
      <c r="B3190" s="11">
        <v>150.0</v>
      </c>
      <c r="C3190" s="12" t="s">
        <v>1005</v>
      </c>
      <c r="E3190" s="8" t="str">
        <f>IFERROR(__xludf.DUMMYFUNCTION("SPLIT(A3190,""TX"")"),"Henry, Barry
1717 Arts Plaza
Dallas, ")</f>
        <v>Henry, Barry
1717 Arts Plaza
Dallas, </v>
      </c>
      <c r="F3190" s="8">
        <f>IFERROR(__xludf.DUMMYFUNCTION("""COMPUTED_VALUE"""),75201.0)</f>
        <v>75201</v>
      </c>
      <c r="I3190" s="8">
        <f t="shared" si="35"/>
        <v>75201</v>
      </c>
      <c r="J3190" s="9">
        <f>IFERROR(__xludf.DUMMYFUNCTION("SPLIT(I3190,""-"")"),75201.0)</f>
        <v>75201</v>
      </c>
    </row>
    <row r="3191">
      <c r="A3191" s="5" t="s">
        <v>2867</v>
      </c>
      <c r="B3191" s="6">
        <v>1000.0</v>
      </c>
      <c r="C3191" s="7" t="s">
        <v>1005</v>
      </c>
      <c r="E3191" s="8" t="str">
        <f>IFERROR(__xludf.DUMMYFUNCTION("SPLIT(A3191,""TX"")"),"Warner, Michael
4727 Arvilla
Houston, ")</f>
        <v>Warner, Michael
4727 Arvilla
Houston, </v>
      </c>
      <c r="F3191" s="8">
        <f>IFERROR(__xludf.DUMMYFUNCTION("""COMPUTED_VALUE"""),77021.0)</f>
        <v>77021</v>
      </c>
      <c r="I3191" s="8">
        <f t="shared" si="35"/>
        <v>77021</v>
      </c>
      <c r="J3191" s="9">
        <f>IFERROR(__xludf.DUMMYFUNCTION("SPLIT(I3191,""-"")"),77021.0)</f>
        <v>77021</v>
      </c>
    </row>
    <row r="3192">
      <c r="A3192" s="10" t="s">
        <v>2868</v>
      </c>
      <c r="B3192" s="11">
        <v>100.0</v>
      </c>
      <c r="C3192" s="12" t="s">
        <v>1005</v>
      </c>
      <c r="E3192" s="8" t="str">
        <f>IFERROR(__xludf.DUMMYFUNCTION("SPLIT(A3192,""TX"")"),"Almond, Bradley
8115 San Benito Way
Dallas, ")</f>
        <v>Almond, Bradley
8115 San Benito Way
Dallas, </v>
      </c>
      <c r="F3192" s="8">
        <f>IFERROR(__xludf.DUMMYFUNCTION("""COMPUTED_VALUE"""),75218.0)</f>
        <v>75218</v>
      </c>
      <c r="I3192" s="8">
        <f t="shared" si="35"/>
        <v>75218</v>
      </c>
      <c r="J3192" s="9">
        <f>IFERROR(__xludf.DUMMYFUNCTION("SPLIT(I3192,""-"")"),75218.0)</f>
        <v>75218</v>
      </c>
    </row>
    <row r="3193">
      <c r="A3193" s="5" t="s">
        <v>2869</v>
      </c>
      <c r="B3193" s="6">
        <v>250.0</v>
      </c>
      <c r="C3193" s="7" t="s">
        <v>649</v>
      </c>
      <c r="E3193" s="8" t="str">
        <f>IFERROR(__xludf.DUMMYFUNCTION("SPLIT(A3193,""TX"")"),"McCall, Jr., John
1650 Oak Knoll St.
Dallas, ")</f>
        <v>McCall, Jr., John
1650 Oak Knoll St.
Dallas, </v>
      </c>
      <c r="F3193" s="8">
        <f>IFERROR(__xludf.DUMMYFUNCTION("""COMPUTED_VALUE"""),75208.0)</f>
        <v>75208</v>
      </c>
      <c r="I3193" s="8">
        <f t="shared" si="35"/>
        <v>75208</v>
      </c>
      <c r="J3193" s="9">
        <f>IFERROR(__xludf.DUMMYFUNCTION("SPLIT(I3193,""-"")"),75208.0)</f>
        <v>75208</v>
      </c>
    </row>
    <row r="3194">
      <c r="A3194" s="10" t="s">
        <v>2870</v>
      </c>
      <c r="B3194" s="11">
        <v>500.0</v>
      </c>
      <c r="C3194" s="12" t="s">
        <v>649</v>
      </c>
      <c r="E3194" s="8" t="str">
        <f>IFERROR(__xludf.DUMMYFUNCTION("SPLIT(A3194,""TX"")"),"Gearing, Charles
9332 Mercer Dr.
Dallas, ")</f>
        <v>Gearing, Charles
9332 Mercer Dr.
Dallas, </v>
      </c>
      <c r="F3194" s="8">
        <f>IFERROR(__xludf.DUMMYFUNCTION("""COMPUTED_VALUE"""),75228.0)</f>
        <v>75228</v>
      </c>
      <c r="I3194" s="8">
        <f t="shared" si="35"/>
        <v>75228</v>
      </c>
      <c r="J3194" s="9">
        <f>IFERROR(__xludf.DUMMYFUNCTION("SPLIT(I3194,""-"")"),75228.0)</f>
        <v>75228</v>
      </c>
    </row>
    <row r="3195">
      <c r="A3195" s="5" t="s">
        <v>2871</v>
      </c>
      <c r="B3195" s="6">
        <v>100.0</v>
      </c>
      <c r="C3195" s="7" t="s">
        <v>649</v>
      </c>
      <c r="E3195" s="8" t="str">
        <f>IFERROR(__xludf.DUMMYFUNCTION("SPLIT(A3195,""TX"")"),"Saxer, Jonathan
727 N. Oak Cliff Blvd.
Dallas, ")</f>
        <v>Saxer, Jonathan
727 N. Oak Cliff Blvd.
Dallas, </v>
      </c>
      <c r="F3195" s="8">
        <f>IFERROR(__xludf.DUMMYFUNCTION("""COMPUTED_VALUE"""),75208.0)</f>
        <v>75208</v>
      </c>
      <c r="I3195" s="8">
        <f t="shared" si="35"/>
        <v>75208</v>
      </c>
      <c r="J3195" s="9">
        <f>IFERROR(__xludf.DUMMYFUNCTION("SPLIT(I3195,""-"")"),75208.0)</f>
        <v>75208</v>
      </c>
    </row>
    <row r="3196">
      <c r="A3196" s="10" t="s">
        <v>2872</v>
      </c>
      <c r="B3196" s="11">
        <v>500.0</v>
      </c>
      <c r="C3196" s="12" t="s">
        <v>649</v>
      </c>
      <c r="E3196" s="8" t="str">
        <f>IFERROR(__xludf.DUMMYFUNCTION("SPLIT(A3196,""TX"")"),"Homan 2, Katherine
1629 Handley Dr.
Dallas, ")</f>
        <v>Homan 2, Katherine
1629 Handley Dr.
Dallas, </v>
      </c>
      <c r="F3196" s="8">
        <f>IFERROR(__xludf.DUMMYFUNCTION("""COMPUTED_VALUE"""),75208.0)</f>
        <v>75208</v>
      </c>
      <c r="I3196" s="8">
        <f t="shared" si="35"/>
        <v>75208</v>
      </c>
      <c r="J3196" s="9">
        <f>IFERROR(__xludf.DUMMYFUNCTION("SPLIT(I3196,""-"")"),75208.0)</f>
        <v>75208</v>
      </c>
    </row>
    <row r="3197">
      <c r="A3197" s="5" t="s">
        <v>2873</v>
      </c>
      <c r="B3197" s="6">
        <v>500.0</v>
      </c>
      <c r="C3197" s="7" t="s">
        <v>649</v>
      </c>
      <c r="E3197" s="8" t="str">
        <f>IFERROR(__xludf.DUMMYFUNCTION("SPLIT(A3197,""TX"")"),"Norcross, Chuck
506 Woolsey Dr.
Dallas, ")</f>
        <v>Norcross, Chuck
506 Woolsey Dr.
Dallas, </v>
      </c>
      <c r="F3197" s="8">
        <f>IFERROR(__xludf.DUMMYFUNCTION("""COMPUTED_VALUE"""),75224.0)</f>
        <v>75224</v>
      </c>
      <c r="I3197" s="8">
        <f t="shared" si="35"/>
        <v>75224</v>
      </c>
      <c r="J3197" s="9">
        <f>IFERROR(__xludf.DUMMYFUNCTION("SPLIT(I3197,""-"")"),75224.0)</f>
        <v>75224</v>
      </c>
    </row>
    <row r="3198">
      <c r="A3198" s="10" t="s">
        <v>2874</v>
      </c>
      <c r="B3198" s="11">
        <v>500.0</v>
      </c>
      <c r="C3198" s="12" t="s">
        <v>649</v>
      </c>
      <c r="E3198" s="8" t="str">
        <f>IFERROR(__xludf.DUMMYFUNCTION("SPLIT(A3198,""TX"")"),"Melton, Michael
3804 Immel Dr.
Flower Mound, ")</f>
        <v>Melton, Michael
3804 Immel Dr.
Flower Mound, </v>
      </c>
      <c r="F3198" s="8">
        <f>IFERROR(__xludf.DUMMYFUNCTION("""COMPUTED_VALUE"""),75022.0)</f>
        <v>75022</v>
      </c>
      <c r="I3198" s="8">
        <f t="shared" si="35"/>
        <v>75022</v>
      </c>
      <c r="J3198" s="9">
        <f>IFERROR(__xludf.DUMMYFUNCTION("SPLIT(I3198,""-"")"),75022.0)</f>
        <v>75022</v>
      </c>
    </row>
    <row r="3199">
      <c r="A3199" s="5" t="s">
        <v>2875</v>
      </c>
      <c r="B3199" s="6">
        <v>500.0</v>
      </c>
      <c r="C3199" s="7" t="s">
        <v>649</v>
      </c>
      <c r="E3199" s="8" t="str">
        <f>IFERROR(__xludf.DUMMYFUNCTION("SPLIT(A3199,""TX"")"),"Marsh, Whitney
1610 Cascade Ave.
Dallas, ")</f>
        <v>Marsh, Whitney
1610 Cascade Ave.
Dallas, </v>
      </c>
      <c r="F3199" s="8">
        <f>IFERROR(__xludf.DUMMYFUNCTION("""COMPUTED_VALUE"""),75224.0)</f>
        <v>75224</v>
      </c>
      <c r="I3199" s="8">
        <f t="shared" si="35"/>
        <v>75224</v>
      </c>
      <c r="J3199" s="9">
        <f>IFERROR(__xludf.DUMMYFUNCTION("SPLIT(I3199,""-"")"),75224.0)</f>
        <v>75224</v>
      </c>
    </row>
    <row r="3200">
      <c r="A3200" s="10" t="s">
        <v>2876</v>
      </c>
      <c r="B3200" s="11">
        <v>500.0</v>
      </c>
      <c r="C3200" s="12" t="s">
        <v>649</v>
      </c>
      <c r="E3200" s="8" t="str">
        <f>IFERROR(__xludf.DUMMYFUNCTION("SPLIT(A3200,""TX"")"),"Sherman, Diane
107 N. Clinton Ave.
Dallas, ")</f>
        <v>Sherman, Diane
107 N. Clinton Ave.
Dallas, </v>
      </c>
      <c r="F3200" s="8">
        <f>IFERROR(__xludf.DUMMYFUNCTION("""COMPUTED_VALUE"""),75208.0)</f>
        <v>75208</v>
      </c>
      <c r="I3200" s="8">
        <f t="shared" si="35"/>
        <v>75208</v>
      </c>
      <c r="J3200" s="9">
        <f>IFERROR(__xludf.DUMMYFUNCTION("SPLIT(I3200,""-"")"),75208.0)</f>
        <v>75208</v>
      </c>
    </row>
    <row r="3201">
      <c r="A3201" s="5" t="s">
        <v>2877</v>
      </c>
      <c r="B3201" s="6">
        <v>250.0</v>
      </c>
      <c r="C3201" s="7" t="s">
        <v>649</v>
      </c>
      <c r="E3201" s="8" t="str">
        <f>IFERROR(__xludf.DUMMYFUNCTION("SPLIT(A3201,""TX"")"),"Noltemy, Kim
2301 Flora St.
Dallas, ")</f>
        <v>Noltemy, Kim
2301 Flora St.
Dallas, </v>
      </c>
      <c r="F3201" s="8">
        <f>IFERROR(__xludf.DUMMYFUNCTION("""COMPUTED_VALUE"""),75201.0)</f>
        <v>75201</v>
      </c>
      <c r="I3201" s="8">
        <f t="shared" si="35"/>
        <v>75201</v>
      </c>
      <c r="J3201" s="9">
        <f>IFERROR(__xludf.DUMMYFUNCTION("SPLIT(I3201,""-"")"),75201.0)</f>
        <v>75201</v>
      </c>
    </row>
    <row r="3202">
      <c r="A3202" s="10" t="s">
        <v>2878</v>
      </c>
      <c r="B3202" s="11">
        <v>100.0</v>
      </c>
      <c r="C3202" s="12" t="s">
        <v>649</v>
      </c>
      <c r="E3202" s="8" t="str">
        <f>IFERROR(__xludf.DUMMYFUNCTION("SPLIT(A3202,""TX"")"),"Buss, Suzanne
653 Culpepper Place
Dallas, ")</f>
        <v>Buss, Suzanne
653 Culpepper Place
Dallas, </v>
      </c>
      <c r="F3202" s="8">
        <f>IFERROR(__xludf.DUMMYFUNCTION("""COMPUTED_VALUE"""),75208.0)</f>
        <v>75208</v>
      </c>
      <c r="I3202" s="8">
        <f t="shared" si="35"/>
        <v>75208</v>
      </c>
      <c r="J3202" s="9">
        <f>IFERROR(__xludf.DUMMYFUNCTION("SPLIT(I3202,""-"")"),75208.0)</f>
        <v>75208</v>
      </c>
    </row>
    <row r="3203">
      <c r="A3203" s="5" t="s">
        <v>2879</v>
      </c>
      <c r="B3203" s="6">
        <v>100.0</v>
      </c>
      <c r="C3203" s="7" t="s">
        <v>649</v>
      </c>
      <c r="E3203" s="8" t="str">
        <f>IFERROR(__xludf.DUMMYFUNCTION("SPLIT(A3203,""TX"")"),"Ellis, Zandra
1801 W. 10th St.
Dallas, ")</f>
        <v>Ellis, Zandra
1801 W. 10th St.
Dallas, </v>
      </c>
      <c r="F3203" s="8">
        <f>IFERROR(__xludf.DUMMYFUNCTION("""COMPUTED_VALUE"""),75208.0)</f>
        <v>75208</v>
      </c>
      <c r="I3203" s="8">
        <f t="shared" si="35"/>
        <v>75208</v>
      </c>
      <c r="J3203" s="9">
        <f>IFERROR(__xludf.DUMMYFUNCTION("SPLIT(I3203,""-"")"),75208.0)</f>
        <v>75208</v>
      </c>
    </row>
    <row r="3204">
      <c r="A3204" s="10" t="s">
        <v>2880</v>
      </c>
      <c r="B3204" s="11">
        <v>949.7</v>
      </c>
      <c r="C3204" s="12" t="s">
        <v>649</v>
      </c>
      <c r="E3204" s="8" t="str">
        <f>IFERROR(__xludf.DUMMYFUNCTION("SPLIT(A3204,""TX"")"),"Chernock, Christian
1611 Rio Vista Dr.
Dallas, ")</f>
        <v>Chernock, Christian
1611 Rio Vista Dr.
Dallas, </v>
      </c>
      <c r="F3204" s="8">
        <f>IFERROR(__xludf.DUMMYFUNCTION("""COMPUTED_VALUE"""),75208.0)</f>
        <v>75208</v>
      </c>
      <c r="I3204" s="8">
        <f t="shared" si="35"/>
        <v>75208</v>
      </c>
      <c r="J3204" s="9">
        <f>IFERROR(__xludf.DUMMYFUNCTION("SPLIT(I3204,""-"")"),75208.0)</f>
        <v>75208</v>
      </c>
    </row>
    <row r="3205">
      <c r="A3205" s="5" t="s">
        <v>2881</v>
      </c>
      <c r="B3205" s="6">
        <v>500.0</v>
      </c>
      <c r="C3205" s="7" t="s">
        <v>649</v>
      </c>
      <c r="E3205" s="8" t="str">
        <f>IFERROR(__xludf.DUMMYFUNCTION("SPLIT(A3205,""TX"")"),"Ruiz, Eliseo (Lee)
214 S. Willomet Ave.
Dallas, ")</f>
        <v>Ruiz, Eliseo (Lee)
214 S. Willomet Ave.
Dallas, </v>
      </c>
      <c r="F3205" s="8">
        <f>IFERROR(__xludf.DUMMYFUNCTION("""COMPUTED_VALUE"""),75208.0)</f>
        <v>75208</v>
      </c>
      <c r="I3205" s="8">
        <f t="shared" si="35"/>
        <v>75208</v>
      </c>
      <c r="J3205" s="9">
        <f>IFERROR(__xludf.DUMMYFUNCTION("SPLIT(I3205,""-"")"),75208.0)</f>
        <v>75208</v>
      </c>
    </row>
    <row r="3206">
      <c r="A3206" s="10" t="s">
        <v>2882</v>
      </c>
      <c r="B3206" s="11">
        <v>949.7</v>
      </c>
      <c r="C3206" s="12" t="s">
        <v>649</v>
      </c>
      <c r="E3206" s="8" t="str">
        <f>IFERROR(__xludf.DUMMYFUNCTION("SPLIT(A3206,""TX"")"),"Cole, Harry
2803 Mayfair Ln.
McKinney, ")</f>
        <v>Cole, Harry
2803 Mayfair Ln.
McKinney, </v>
      </c>
      <c r="F3206" s="8">
        <f>IFERROR(__xludf.DUMMYFUNCTION("""COMPUTED_VALUE"""),75071.0)</f>
        <v>75071</v>
      </c>
      <c r="I3206" s="8">
        <f t="shared" si="35"/>
        <v>75071</v>
      </c>
      <c r="J3206" s="9">
        <f>IFERROR(__xludf.DUMMYFUNCTION("SPLIT(I3206,""-"")"),75071.0)</f>
        <v>75071</v>
      </c>
    </row>
    <row r="3207">
      <c r="A3207" s="5" t="s">
        <v>2883</v>
      </c>
      <c r="B3207" s="6">
        <v>500.0</v>
      </c>
      <c r="C3207" s="7" t="s">
        <v>649</v>
      </c>
      <c r="E3207" s="8" t="str">
        <f>IFERROR(__xludf.DUMMYFUNCTION("SPLIT(A3207,""TX"")"),"Hagan, Anne
204 S. Willomet Ave.
Dallas, ")</f>
        <v>Hagan, Anne
204 S. Willomet Ave.
Dallas, </v>
      </c>
      <c r="F3207" s="8">
        <f>IFERROR(__xludf.DUMMYFUNCTION("""COMPUTED_VALUE"""),75208.0)</f>
        <v>75208</v>
      </c>
      <c r="I3207" s="8">
        <f t="shared" si="35"/>
        <v>75208</v>
      </c>
      <c r="J3207" s="9">
        <f>IFERROR(__xludf.DUMMYFUNCTION("SPLIT(I3207,""-"")"),75208.0)</f>
        <v>75208</v>
      </c>
    </row>
    <row r="3208">
      <c r="A3208" s="10" t="s">
        <v>1889</v>
      </c>
      <c r="B3208" s="11">
        <v>250.0</v>
      </c>
      <c r="C3208" s="12" t="s">
        <v>649</v>
      </c>
      <c r="E3208" s="8" t="str">
        <f>IFERROR(__xludf.DUMMYFUNCTION("SPLIT(A3208,""TX"")"),"Gilbreath, Jake
2102 Sharon Ln.
Austin, ")</f>
        <v>Gilbreath, Jake
2102 Sharon Ln.
Austin, </v>
      </c>
      <c r="F3208" s="8">
        <f>IFERROR(__xludf.DUMMYFUNCTION("""COMPUTED_VALUE"""),78703.0)</f>
        <v>78703</v>
      </c>
      <c r="I3208" s="8">
        <f t="shared" si="35"/>
        <v>78703</v>
      </c>
      <c r="J3208" s="9">
        <f>IFERROR(__xludf.DUMMYFUNCTION("SPLIT(I3208,""-"")"),78703.0)</f>
        <v>78703</v>
      </c>
    </row>
    <row r="3209">
      <c r="A3209" s="5" t="s">
        <v>2884</v>
      </c>
      <c r="B3209" s="6">
        <v>500.0</v>
      </c>
      <c r="C3209" s="7" t="s">
        <v>649</v>
      </c>
      <c r="E3209" s="8" t="str">
        <f>IFERROR(__xludf.DUMMYFUNCTION("SPLIT(A3209,""TX"")"),"Roberts, Jr., George
309 Monssen Dr
Dallas, ")</f>
        <v>Roberts, Jr., George
309 Monssen Dr
Dallas, </v>
      </c>
      <c r="F3209" s="8">
        <f>IFERROR(__xludf.DUMMYFUNCTION("""COMPUTED_VALUE"""),75224.0)</f>
        <v>75224</v>
      </c>
      <c r="I3209" s="8">
        <f t="shared" si="35"/>
        <v>75224</v>
      </c>
      <c r="J3209" s="9">
        <f>IFERROR(__xludf.DUMMYFUNCTION("SPLIT(I3209,""-"")"),75224.0)</f>
        <v>75224</v>
      </c>
    </row>
    <row r="3210">
      <c r="A3210" s="10" t="s">
        <v>2885</v>
      </c>
      <c r="B3210" s="11">
        <v>250.0</v>
      </c>
      <c r="C3210" s="12" t="s">
        <v>649</v>
      </c>
      <c r="E3210" s="8" t="str">
        <f>IFERROR(__xludf.DUMMYFUNCTION("SPLIT(A3210,""TX"")"),"Mackey, Ben
307 N. Polk St.
Dallas, ")</f>
        <v>Mackey, Ben
307 N. Polk St.
Dallas, </v>
      </c>
      <c r="F3210" s="8">
        <f>IFERROR(__xludf.DUMMYFUNCTION("""COMPUTED_VALUE"""),75208.0)</f>
        <v>75208</v>
      </c>
      <c r="I3210" s="8">
        <f t="shared" si="35"/>
        <v>75208</v>
      </c>
      <c r="J3210" s="9">
        <f>IFERROR(__xludf.DUMMYFUNCTION("SPLIT(I3210,""-"")"),75208.0)</f>
        <v>75208</v>
      </c>
    </row>
    <row r="3211">
      <c r="A3211" s="5" t="s">
        <v>2886</v>
      </c>
      <c r="B3211" s="6">
        <v>500.0</v>
      </c>
      <c r="C3211" s="7" t="s">
        <v>649</v>
      </c>
      <c r="E3211" s="8" t="str">
        <f>IFERROR(__xludf.DUMMYFUNCTION("SPLIT(A3211,""TX"")"),"Flaim, John G.
1900 N. Pearl St.
Dallas, ")</f>
        <v>Flaim, John G.
1900 N. Pearl St.
Dallas, </v>
      </c>
      <c r="F3211" s="8">
        <f>IFERROR(__xludf.DUMMYFUNCTION("""COMPUTED_VALUE"""),75201.0)</f>
        <v>75201</v>
      </c>
      <c r="I3211" s="8">
        <f t="shared" si="35"/>
        <v>75201</v>
      </c>
      <c r="J3211" s="9">
        <f>IFERROR(__xludf.DUMMYFUNCTION("SPLIT(I3211,""-"")"),75201.0)</f>
        <v>75201</v>
      </c>
    </row>
    <row r="3212">
      <c r="A3212" s="10" t="s">
        <v>734</v>
      </c>
      <c r="B3212" s="11">
        <v>250.0</v>
      </c>
      <c r="C3212" s="12" t="s">
        <v>649</v>
      </c>
      <c r="E3212" s="8" t="str">
        <f>IFERROR(__xludf.DUMMYFUNCTION("SPLIT(A3212,""TX"")"),"Preziosi, David
2229 Lawndale Dr.
Dallas, ")</f>
        <v>Preziosi, David
2229 Lawndale Dr.
Dallas, </v>
      </c>
      <c r="F3212" s="8">
        <f>IFERROR(__xludf.DUMMYFUNCTION("""COMPUTED_VALUE"""),75211.0)</f>
        <v>75211</v>
      </c>
      <c r="I3212" s="8">
        <f t="shared" si="35"/>
        <v>75211</v>
      </c>
      <c r="J3212" s="9">
        <f>IFERROR(__xludf.DUMMYFUNCTION("SPLIT(I3212,""-"")"),75211.0)</f>
        <v>75211</v>
      </c>
    </row>
    <row r="3213">
      <c r="A3213" s="5" t="s">
        <v>2887</v>
      </c>
      <c r="B3213" s="6">
        <v>833.33</v>
      </c>
      <c r="C3213" s="7" t="s">
        <v>649</v>
      </c>
      <c r="E3213" s="8" t="str">
        <f>IFERROR(__xludf.DUMMYFUNCTION("SPLIT(A3213,""TX"")"),"Andersen, Jakob
903 Stevens Woods Ct.
Dallas, ")</f>
        <v>Andersen, Jakob
903 Stevens Woods Ct.
Dallas, </v>
      </c>
      <c r="F3213" s="8">
        <f>IFERROR(__xludf.DUMMYFUNCTION("""COMPUTED_VALUE"""),75208.0)</f>
        <v>75208</v>
      </c>
      <c r="I3213" s="8">
        <f t="shared" si="35"/>
        <v>75208</v>
      </c>
      <c r="J3213" s="9">
        <f>IFERROR(__xludf.DUMMYFUNCTION("SPLIT(I3213,""-"")"),75208.0)</f>
        <v>75208</v>
      </c>
    </row>
    <row r="3214">
      <c r="A3214" s="10" t="s">
        <v>2888</v>
      </c>
      <c r="B3214" s="11">
        <v>500.0</v>
      </c>
      <c r="C3214" s="12" t="s">
        <v>649</v>
      </c>
      <c r="E3214" s="8" t="str">
        <f>IFERROR(__xludf.DUMMYFUNCTION("SPLIT(A3214,""TX"")"),"Nasca, Ralph
4713 Clydesdale Dr.
Flower Mound, ")</f>
        <v>Nasca, Ralph
4713 Clydesdale Dr.
Flower Mound, </v>
      </c>
      <c r="F3214" s="8">
        <f>IFERROR(__xludf.DUMMYFUNCTION("""COMPUTED_VALUE"""),75028.0)</f>
        <v>75028</v>
      </c>
      <c r="I3214" s="8">
        <f t="shared" si="35"/>
        <v>75028</v>
      </c>
      <c r="J3214" s="9">
        <f>IFERROR(__xludf.DUMMYFUNCTION("SPLIT(I3214,""-"")"),75028.0)</f>
        <v>75028</v>
      </c>
    </row>
    <row r="3215">
      <c r="A3215" s="5" t="s">
        <v>2889</v>
      </c>
      <c r="B3215" s="6">
        <v>833.33</v>
      </c>
      <c r="C3215" s="7" t="s">
        <v>649</v>
      </c>
      <c r="E3215" s="8" t="str">
        <f>IFERROR(__xludf.DUMMYFUNCTION("SPLIT(A3215,""TX"")"),"Masterman, Shane
914 Stevens Woods Ct.
Dallas, ")</f>
        <v>Masterman, Shane
914 Stevens Woods Ct.
Dallas, </v>
      </c>
      <c r="F3215" s="8">
        <f>IFERROR(__xludf.DUMMYFUNCTION("""COMPUTED_VALUE"""),75208.0)</f>
        <v>75208</v>
      </c>
      <c r="I3215" s="8">
        <f t="shared" si="35"/>
        <v>75208</v>
      </c>
      <c r="J3215" s="9">
        <f>IFERROR(__xludf.DUMMYFUNCTION("SPLIT(I3215,""-"")"),75208.0)</f>
        <v>75208</v>
      </c>
    </row>
    <row r="3216">
      <c r="A3216" s="10" t="s">
        <v>2890</v>
      </c>
      <c r="B3216" s="11">
        <v>1000.0</v>
      </c>
      <c r="C3216" s="12" t="s">
        <v>649</v>
      </c>
      <c r="E3216" s="8" t="str">
        <f>IFERROR(__xludf.DUMMYFUNCTION("SPLIT(A3216,""TX"")"),"Herenandez, Socorro
1860 Masters Dr.
Desoto, ")</f>
        <v>Herenandez, Socorro
1860 Masters Dr.
Desoto, </v>
      </c>
      <c r="F3216" s="8">
        <f>IFERROR(__xludf.DUMMYFUNCTION("""COMPUTED_VALUE"""),75115.0)</f>
        <v>75115</v>
      </c>
      <c r="I3216" s="8">
        <f t="shared" si="35"/>
        <v>75115</v>
      </c>
      <c r="J3216" s="9">
        <f>IFERROR(__xludf.DUMMYFUNCTION("SPLIT(I3216,""-"")"),75115.0)</f>
        <v>75115</v>
      </c>
    </row>
    <row r="3217">
      <c r="A3217" s="5" t="s">
        <v>2891</v>
      </c>
      <c r="B3217" s="6">
        <v>100.0</v>
      </c>
      <c r="C3217" s="7" t="s">
        <v>649</v>
      </c>
      <c r="E3217" s="8" t="str">
        <f>IFERROR(__xludf.DUMMYFUNCTION("SPLIT(A3217,""TX"")"),"Rudnicki, ")</f>
        <v>Rudnicki, </v>
      </c>
      <c r="F3217" s="8" t="str">
        <f>IFERROR(__xludf.DUMMYFUNCTION("""COMPUTED_VALUE"""),"eresa
6909 ")</f>
        <v>eresa
6909 </v>
      </c>
      <c r="G3217" s="8" t="str">
        <f>IFERROR(__xludf.DUMMYFUNCTION("""COMPUTED_VALUE"""),"okalon Dr.
Dallas, ")</f>
        <v>okalon Dr.
Dallas, </v>
      </c>
      <c r="H3217" s="8">
        <f>IFERROR(__xludf.DUMMYFUNCTION("""COMPUTED_VALUE"""),75214.0)</f>
        <v>75214</v>
      </c>
      <c r="I3217" s="13">
        <v>75214.0</v>
      </c>
      <c r="J3217" s="9">
        <f>IFERROR(__xludf.DUMMYFUNCTION("SPLIT(I3217,""-"")"),75214.0)</f>
        <v>75214</v>
      </c>
    </row>
    <row r="3218">
      <c r="A3218" s="10" t="s">
        <v>2892</v>
      </c>
      <c r="B3218" s="11">
        <v>500.0</v>
      </c>
      <c r="C3218" s="12" t="s">
        <v>649</v>
      </c>
      <c r="E3218" s="8" t="str">
        <f>IFERROR(__xludf.DUMMYFUNCTION("SPLIT(A3218,""TX"")"),"Baker, ")</f>
        <v>Baker, </v>
      </c>
      <c r="F3218" s="8" t="str">
        <f>IFERROR(__xludf.DUMMYFUNCTION("""COMPUTED_VALUE"""),"had F.
4011 Commerce St.
Dallas, ")</f>
        <v>had F.
4011 Commerce St.
Dallas, </v>
      </c>
      <c r="G3218" s="8">
        <f>IFERROR(__xludf.DUMMYFUNCTION("""COMPUTED_VALUE"""),75226.0)</f>
        <v>75226</v>
      </c>
      <c r="I3218" s="8">
        <f t="shared" ref="I3218:I3331" si="36">IF(ISBLANK(G3218),F3218,G3218)</f>
        <v>75226</v>
      </c>
      <c r="J3218" s="9">
        <f>IFERROR(__xludf.DUMMYFUNCTION("SPLIT(I3218,""-"")"),75226.0)</f>
        <v>75226</v>
      </c>
    </row>
    <row r="3219">
      <c r="A3219" s="5" t="s">
        <v>2893</v>
      </c>
      <c r="B3219" s="6">
        <v>250.0</v>
      </c>
      <c r="C3219" s="7" t="s">
        <v>649</v>
      </c>
      <c r="E3219" s="8" t="str">
        <f>IFERROR(__xludf.DUMMYFUNCTION("SPLIT(A3219,""TX"")"),"aylor, Victor
1650 Oak Knoll St.
Dallas, ")</f>
        <v>aylor, Victor
1650 Oak Knoll St.
Dallas, </v>
      </c>
      <c r="F3219" s="8">
        <f>IFERROR(__xludf.DUMMYFUNCTION("""COMPUTED_VALUE"""),75208.0)</f>
        <v>75208</v>
      </c>
      <c r="I3219" s="8">
        <f t="shared" si="36"/>
        <v>75208</v>
      </c>
      <c r="J3219" s="9">
        <f>IFERROR(__xludf.DUMMYFUNCTION("SPLIT(I3219,""-"")"),75208.0)</f>
        <v>75208</v>
      </c>
    </row>
    <row r="3220">
      <c r="A3220" s="10" t="s">
        <v>2894</v>
      </c>
      <c r="B3220" s="11">
        <v>949.7</v>
      </c>
      <c r="C3220" s="12" t="s">
        <v>649</v>
      </c>
      <c r="E3220" s="8" t="str">
        <f>IFERROR(__xludf.DUMMYFUNCTION("SPLIT(A3220,""TX"")"),"Carey, Jeff
300 E. Round Grove Rd.
Lewisville, ")</f>
        <v>Carey, Jeff
300 E. Round Grove Rd.
Lewisville, </v>
      </c>
      <c r="F3220" s="8">
        <f>IFERROR(__xludf.DUMMYFUNCTION("""COMPUTED_VALUE"""),75067.0)</f>
        <v>75067</v>
      </c>
      <c r="I3220" s="8">
        <f t="shared" si="36"/>
        <v>75067</v>
      </c>
      <c r="J3220" s="9">
        <f>IFERROR(__xludf.DUMMYFUNCTION("SPLIT(I3220,""-"")"),75067.0)</f>
        <v>75067</v>
      </c>
    </row>
    <row r="3221">
      <c r="A3221" s="5" t="s">
        <v>747</v>
      </c>
      <c r="B3221" s="6">
        <v>833.0</v>
      </c>
      <c r="C3221" s="7" t="s">
        <v>649</v>
      </c>
      <c r="E3221" s="8" t="str">
        <f>IFERROR(__xludf.DUMMYFUNCTION("SPLIT(A3221,""TX"")"),"Suarez, Michael
907 Stevens Woods Ct.
Dallas, ")</f>
        <v>Suarez, Michael
907 Stevens Woods Ct.
Dallas, </v>
      </c>
      <c r="F3221" s="8">
        <f>IFERROR(__xludf.DUMMYFUNCTION("""COMPUTED_VALUE"""),75208.0)</f>
        <v>75208</v>
      </c>
      <c r="I3221" s="8">
        <f t="shared" si="36"/>
        <v>75208</v>
      </c>
      <c r="J3221" s="9">
        <f>IFERROR(__xludf.DUMMYFUNCTION("SPLIT(I3221,""-"")"),75208.0)</f>
        <v>75208</v>
      </c>
    </row>
    <row r="3222">
      <c r="A3222" s="10" t="s">
        <v>2895</v>
      </c>
      <c r="B3222" s="11">
        <v>237.2</v>
      </c>
      <c r="C3222" s="12" t="s">
        <v>649</v>
      </c>
      <c r="E3222" s="8" t="str">
        <f>IFERROR(__xludf.DUMMYFUNCTION("SPLIT(A3222,""TX"")"),"Yancey, Jay
850 N. Clinton Ave
Dallas, ")</f>
        <v>Yancey, Jay
850 N. Clinton Ave
Dallas, </v>
      </c>
      <c r="F3222" s="8">
        <f>IFERROR(__xludf.DUMMYFUNCTION("""COMPUTED_VALUE"""),75208.0)</f>
        <v>75208</v>
      </c>
      <c r="I3222" s="8">
        <f t="shared" si="36"/>
        <v>75208</v>
      </c>
      <c r="J3222" s="9">
        <f>IFERROR(__xludf.DUMMYFUNCTION("SPLIT(I3222,""-"")"),75208.0)</f>
        <v>75208</v>
      </c>
    </row>
    <row r="3223">
      <c r="A3223" s="5" t="s">
        <v>2896</v>
      </c>
      <c r="B3223" s="6">
        <v>75.0</v>
      </c>
      <c r="C3223" s="7" t="s">
        <v>649</v>
      </c>
      <c r="E3223" s="8" t="str">
        <f>IFERROR(__xludf.DUMMYFUNCTION("SPLIT(A3223,""TX"")"),"Luther, David
619 Kessler Spgs. Ave.
Dallas, ")</f>
        <v>Luther, David
619 Kessler Spgs. Ave.
Dallas, </v>
      </c>
      <c r="F3223" s="8">
        <f>IFERROR(__xludf.DUMMYFUNCTION("""COMPUTED_VALUE"""),75208.0)</f>
        <v>75208</v>
      </c>
      <c r="I3223" s="8">
        <f t="shared" si="36"/>
        <v>75208</v>
      </c>
      <c r="J3223" s="9">
        <f>IFERROR(__xludf.DUMMYFUNCTION("SPLIT(I3223,""-"")"),75208.0)</f>
        <v>75208</v>
      </c>
    </row>
    <row r="3224">
      <c r="A3224" s="10" t="s">
        <v>1446</v>
      </c>
      <c r="B3224" s="11">
        <v>94.7</v>
      </c>
      <c r="C3224" s="12" t="s">
        <v>649</v>
      </c>
      <c r="E3224" s="8" t="str">
        <f>IFERROR(__xludf.DUMMYFUNCTION("SPLIT(A3224,""TX"")"),"Goodwin, Elisa
2310 Broken Point
McKinney, ")</f>
        <v>Goodwin, Elisa
2310 Broken Point
McKinney, </v>
      </c>
      <c r="F3224" s="8">
        <f>IFERROR(__xludf.DUMMYFUNCTION("""COMPUTED_VALUE"""),75702.0)</f>
        <v>75702</v>
      </c>
      <c r="I3224" s="8">
        <f t="shared" si="36"/>
        <v>75702</v>
      </c>
      <c r="J3224" s="9">
        <f>IFERROR(__xludf.DUMMYFUNCTION("SPLIT(I3224,""-"")"),75702.0)</f>
        <v>75702</v>
      </c>
    </row>
    <row r="3225">
      <c r="A3225" s="5" t="s">
        <v>2897</v>
      </c>
      <c r="B3225" s="6">
        <v>1000.0</v>
      </c>
      <c r="C3225" s="7" t="s">
        <v>649</v>
      </c>
      <c r="E3225" s="8" t="str">
        <f>IFERROR(__xludf.DUMMYFUNCTION("SPLIT(A3225,""TX"")"),"Fay, Anne
2145 Kessler Ct.
Dallas, ")</f>
        <v>Fay, Anne
2145 Kessler Ct.
Dallas, </v>
      </c>
      <c r="F3225" s="8">
        <f>IFERROR(__xludf.DUMMYFUNCTION("""COMPUTED_VALUE"""),75208.0)</f>
        <v>75208</v>
      </c>
      <c r="I3225" s="8">
        <f t="shared" si="36"/>
        <v>75208</v>
      </c>
      <c r="J3225" s="9">
        <f>IFERROR(__xludf.DUMMYFUNCTION("SPLIT(I3225,""-"")"),75208.0)</f>
        <v>75208</v>
      </c>
    </row>
    <row r="3226">
      <c r="A3226" s="10" t="s">
        <v>2898</v>
      </c>
      <c r="B3226" s="11">
        <v>250.0</v>
      </c>
      <c r="C3226" s="12" t="s">
        <v>649</v>
      </c>
      <c r="E3226" s="8" t="str">
        <f>IFERROR(__xludf.DUMMYFUNCTION("SPLIT(A3226,""TX"")"),"Jalomo 2, Augustine
607 W. Canty St.
Dallas, ")</f>
        <v>Jalomo 2, Augustine
607 W. Canty St.
Dallas, </v>
      </c>
      <c r="F3226" s="8">
        <f>IFERROR(__xludf.DUMMYFUNCTION("""COMPUTED_VALUE"""),75208.0)</f>
        <v>75208</v>
      </c>
      <c r="I3226" s="8">
        <f t="shared" si="36"/>
        <v>75208</v>
      </c>
      <c r="J3226" s="9">
        <f>IFERROR(__xludf.DUMMYFUNCTION("SPLIT(I3226,""-"")"),75208.0)</f>
        <v>75208</v>
      </c>
    </row>
    <row r="3227">
      <c r="A3227" s="5" t="s">
        <v>1498</v>
      </c>
      <c r="B3227" s="6">
        <v>150.0</v>
      </c>
      <c r="C3227" s="7" t="s">
        <v>649</v>
      </c>
      <c r="E3227" s="8" t="str">
        <f>IFERROR(__xludf.DUMMYFUNCTION("SPLIT(A3227,""TX"")"),"Orr, Benjamin
518 N. Manus Dr.
Dallas, ")</f>
        <v>Orr, Benjamin
518 N. Manus Dr.
Dallas, </v>
      </c>
      <c r="F3227" s="8">
        <f>IFERROR(__xludf.DUMMYFUNCTION("""COMPUTED_VALUE"""),75222.0)</f>
        <v>75222</v>
      </c>
      <c r="I3227" s="8">
        <f t="shared" si="36"/>
        <v>75222</v>
      </c>
      <c r="J3227" s="9">
        <f>IFERROR(__xludf.DUMMYFUNCTION("SPLIT(I3227,""-"")"),75222.0)</f>
        <v>75222</v>
      </c>
    </row>
    <row r="3228">
      <c r="A3228" s="10" t="s">
        <v>2899</v>
      </c>
      <c r="B3228" s="11">
        <v>1000.0</v>
      </c>
      <c r="C3228" s="12" t="s">
        <v>649</v>
      </c>
      <c r="E3228" s="8" t="str">
        <f>IFERROR(__xludf.DUMMYFUNCTION("SPLIT(A3228,""TX"")"),"Stimson, Bob
2116 Kessler Ct.
Dallas, ")</f>
        <v>Stimson, Bob
2116 Kessler Ct.
Dallas, </v>
      </c>
      <c r="F3228" s="8">
        <f>IFERROR(__xludf.DUMMYFUNCTION("""COMPUTED_VALUE"""),75208.0)</f>
        <v>75208</v>
      </c>
      <c r="I3228" s="8">
        <f t="shared" si="36"/>
        <v>75208</v>
      </c>
      <c r="J3228" s="9">
        <f>IFERROR(__xludf.DUMMYFUNCTION("SPLIT(I3228,""-"")"),75208.0)</f>
        <v>75208</v>
      </c>
    </row>
    <row r="3229">
      <c r="A3229" s="5" t="s">
        <v>2900</v>
      </c>
      <c r="B3229" s="6">
        <v>1000.0</v>
      </c>
      <c r="C3229" s="7" t="s">
        <v>649</v>
      </c>
      <c r="E3229" s="8" t="str">
        <f>IFERROR(__xludf.DUMMYFUNCTION("SPLIT(A3229,""TX"")"),"Drennan, Cynthia
1655 Kessler Canyon Dr.
Dallas, ")</f>
        <v>Drennan, Cynthia
1655 Kessler Canyon Dr.
Dallas, </v>
      </c>
      <c r="F3229" s="8">
        <f>IFERROR(__xludf.DUMMYFUNCTION("""COMPUTED_VALUE"""),75208.0)</f>
        <v>75208</v>
      </c>
      <c r="I3229" s="8">
        <f t="shared" si="36"/>
        <v>75208</v>
      </c>
      <c r="J3229" s="9">
        <f>IFERROR(__xludf.DUMMYFUNCTION("SPLIT(I3229,""-"")"),75208.0)</f>
        <v>75208</v>
      </c>
    </row>
    <row r="3230">
      <c r="A3230" s="10" t="s">
        <v>2901</v>
      </c>
      <c r="B3230" s="11">
        <v>100.0</v>
      </c>
      <c r="C3230" s="12" t="s">
        <v>649</v>
      </c>
      <c r="E3230" s="8" t="str">
        <f>IFERROR(__xludf.DUMMYFUNCTION("SPLIT(A3230,""TX"")"),"Carabeta, Frank
303 W. Davis St.
Dallas, ")</f>
        <v>Carabeta, Frank
303 W. Davis St.
Dallas, </v>
      </c>
      <c r="F3230" s="8">
        <f>IFERROR(__xludf.DUMMYFUNCTION("""COMPUTED_VALUE"""),75208.0)</f>
        <v>75208</v>
      </c>
      <c r="I3230" s="8">
        <f t="shared" si="36"/>
        <v>75208</v>
      </c>
      <c r="J3230" s="9">
        <f>IFERROR(__xludf.DUMMYFUNCTION("SPLIT(I3230,""-"")"),75208.0)</f>
        <v>75208</v>
      </c>
    </row>
    <row r="3231">
      <c r="A3231" s="5" t="s">
        <v>2902</v>
      </c>
      <c r="B3231" s="6">
        <v>249.0</v>
      </c>
      <c r="C3231" s="7" t="s">
        <v>649</v>
      </c>
      <c r="E3231" s="8" t="str">
        <f>IFERROR(__xludf.DUMMYFUNCTION("SPLIT(A3231,""TX"")"),"Mathis, James
2029 W. Colorado Blvd.
Dallas, ")</f>
        <v>Mathis, James
2029 W. Colorado Blvd.
Dallas, </v>
      </c>
      <c r="F3231" s="8">
        <f>IFERROR(__xludf.DUMMYFUNCTION("""COMPUTED_VALUE"""),75208.0)</f>
        <v>75208</v>
      </c>
      <c r="I3231" s="8">
        <f t="shared" si="36"/>
        <v>75208</v>
      </c>
      <c r="J3231" s="9">
        <f>IFERROR(__xludf.DUMMYFUNCTION("SPLIT(I3231,""-"")"),75208.0)</f>
        <v>75208</v>
      </c>
    </row>
    <row r="3232">
      <c r="A3232" s="10" t="s">
        <v>2903</v>
      </c>
      <c r="B3232" s="11">
        <v>500.0</v>
      </c>
      <c r="C3232" s="12" t="s">
        <v>649</v>
      </c>
      <c r="E3232" s="8" t="str">
        <f>IFERROR(__xludf.DUMMYFUNCTION("SPLIT(A3232,""TX"")"),"Garza, Jerome
PO Box 223932
Dallas, ")</f>
        <v>Garza, Jerome
PO Box 223932
Dallas, </v>
      </c>
      <c r="F3232" s="8">
        <f>IFERROR(__xludf.DUMMYFUNCTION("""COMPUTED_VALUE"""),75222.0)</f>
        <v>75222</v>
      </c>
      <c r="I3232" s="8">
        <f t="shared" si="36"/>
        <v>75222</v>
      </c>
      <c r="J3232" s="9">
        <f>IFERROR(__xludf.DUMMYFUNCTION("SPLIT(I3232,""-"")"),75222.0)</f>
        <v>75222</v>
      </c>
    </row>
    <row r="3233">
      <c r="A3233" s="5" t="s">
        <v>2904</v>
      </c>
      <c r="B3233" s="6">
        <v>100.0</v>
      </c>
      <c r="C3233" s="7" t="s">
        <v>649</v>
      </c>
      <c r="E3233" s="8" t="str">
        <f>IFERROR(__xludf.DUMMYFUNCTION("SPLIT(A3233,""TX"")"),"Whitney, Joe
1652 Sylvan Ave.
Dallas, ")</f>
        <v>Whitney, Joe
1652 Sylvan Ave.
Dallas, </v>
      </c>
      <c r="F3233" s="8">
        <f>IFERROR(__xludf.DUMMYFUNCTION("""COMPUTED_VALUE"""),75208.0)</f>
        <v>75208</v>
      </c>
      <c r="I3233" s="8">
        <f t="shared" si="36"/>
        <v>75208</v>
      </c>
      <c r="J3233" s="9">
        <f>IFERROR(__xludf.DUMMYFUNCTION("SPLIT(I3233,""-"")"),75208.0)</f>
        <v>75208</v>
      </c>
    </row>
    <row r="3234">
      <c r="A3234" s="10" t="s">
        <v>2905</v>
      </c>
      <c r="B3234" s="11">
        <v>1000.0</v>
      </c>
      <c r="C3234" s="12" t="s">
        <v>649</v>
      </c>
      <c r="E3234" s="8" t="str">
        <f>IFERROR(__xludf.DUMMYFUNCTION("SPLIT(A3234,""TX"")"),"Neill, John
3629 Greenbrier Dr.
Dallas, ")</f>
        <v>Neill, John
3629 Greenbrier Dr.
Dallas, </v>
      </c>
      <c r="F3234" s="8">
        <f>IFERROR(__xludf.DUMMYFUNCTION("""COMPUTED_VALUE"""),75225.0)</f>
        <v>75225</v>
      </c>
      <c r="I3234" s="8">
        <f t="shared" si="36"/>
        <v>75225</v>
      </c>
      <c r="J3234" s="9">
        <f>IFERROR(__xludf.DUMMYFUNCTION("SPLIT(I3234,""-"")"),75225.0)</f>
        <v>75225</v>
      </c>
    </row>
    <row r="3235">
      <c r="A3235" s="5" t="s">
        <v>2906</v>
      </c>
      <c r="B3235" s="6">
        <v>1000.0</v>
      </c>
      <c r="C3235" s="7" t="s">
        <v>649</v>
      </c>
      <c r="E3235" s="8" t="str">
        <f>IFERROR(__xludf.DUMMYFUNCTION("SPLIT(A3235,""TX"")"),"Hetzel, Jonathon
7002 Vivian Ave.
Dallas, ")</f>
        <v>Hetzel, Jonathon
7002 Vivian Ave.
Dallas, </v>
      </c>
      <c r="F3235" s="8">
        <f>IFERROR(__xludf.DUMMYFUNCTION("""COMPUTED_VALUE"""),75223.0)</f>
        <v>75223</v>
      </c>
      <c r="I3235" s="8">
        <f t="shared" si="36"/>
        <v>75223</v>
      </c>
      <c r="J3235" s="9">
        <f>IFERROR(__xludf.DUMMYFUNCTION("SPLIT(I3235,""-"")"),75223.0)</f>
        <v>75223</v>
      </c>
    </row>
    <row r="3236">
      <c r="A3236" s="10" t="s">
        <v>2907</v>
      </c>
      <c r="B3236" s="11">
        <v>100.0</v>
      </c>
      <c r="C3236" s="12" t="s">
        <v>649</v>
      </c>
      <c r="E3236" s="8" t="str">
        <f>IFERROR(__xludf.DUMMYFUNCTION("SPLIT(A3236,""TX"")"),"Raymond, Kellye
1001 W. 10th St.
Dallas, ")</f>
        <v>Raymond, Kellye
1001 W. 10th St.
Dallas, </v>
      </c>
      <c r="F3236" s="8">
        <f>IFERROR(__xludf.DUMMYFUNCTION("""COMPUTED_VALUE"""),75208.0)</f>
        <v>75208</v>
      </c>
      <c r="I3236" s="8">
        <f t="shared" si="36"/>
        <v>75208</v>
      </c>
      <c r="J3236" s="9">
        <f>IFERROR(__xludf.DUMMYFUNCTION("SPLIT(I3236,""-"")"),75208.0)</f>
        <v>75208</v>
      </c>
    </row>
    <row r="3237">
      <c r="A3237" s="5" t="s">
        <v>2908</v>
      </c>
      <c r="B3237" s="6">
        <v>250.0</v>
      </c>
      <c r="C3237" s="7" t="s">
        <v>649</v>
      </c>
      <c r="E3237" s="8" t="str">
        <f>IFERROR(__xludf.DUMMYFUNCTION("SPLIT(A3237,""TX"")"),"Rachel, Kevin
1642 Kessler Ct.
Dallas, ")</f>
        <v>Rachel, Kevin
1642 Kessler Ct.
Dallas, </v>
      </c>
      <c r="F3237" s="8">
        <f>IFERROR(__xludf.DUMMYFUNCTION("""COMPUTED_VALUE"""),75208.0)</f>
        <v>75208</v>
      </c>
      <c r="I3237" s="8">
        <f t="shared" si="36"/>
        <v>75208</v>
      </c>
      <c r="J3237" s="9">
        <f>IFERROR(__xludf.DUMMYFUNCTION("SPLIT(I3237,""-"")"),75208.0)</f>
        <v>75208</v>
      </c>
    </row>
    <row r="3238">
      <c r="A3238" s="10" t="s">
        <v>2909</v>
      </c>
      <c r="B3238" s="11">
        <v>500.0</v>
      </c>
      <c r="C3238" s="12" t="s">
        <v>649</v>
      </c>
      <c r="E3238" s="8" t="str">
        <f>IFERROR(__xludf.DUMMYFUNCTION("SPLIT(A3238,""TX"")"),"Vineyard, Lawrence
11436 Strait Ln.
Dallas, ")</f>
        <v>Vineyard, Lawrence
11436 Strait Ln.
Dallas, </v>
      </c>
      <c r="F3238" s="8">
        <f>IFERROR(__xludf.DUMMYFUNCTION("""COMPUTED_VALUE"""),75229.0)</f>
        <v>75229</v>
      </c>
      <c r="I3238" s="8">
        <f t="shared" si="36"/>
        <v>75229</v>
      </c>
      <c r="J3238" s="9">
        <f>IFERROR(__xludf.DUMMYFUNCTION("SPLIT(I3238,""-"")"),75229.0)</f>
        <v>75229</v>
      </c>
    </row>
    <row r="3239">
      <c r="A3239" s="5" t="s">
        <v>2910</v>
      </c>
      <c r="B3239" s="6">
        <v>500.0</v>
      </c>
      <c r="C3239" s="7" t="s">
        <v>649</v>
      </c>
      <c r="E3239" s="8" t="str">
        <f>IFERROR(__xludf.DUMMYFUNCTION("SPLIT(A3239,""TX"")"),"Salcedo, Louis
3 Richmond Ct.
Mansfield, ")</f>
        <v>Salcedo, Louis
3 Richmond Ct.
Mansfield, </v>
      </c>
      <c r="F3239" s="8">
        <f>IFERROR(__xludf.DUMMYFUNCTION("""COMPUTED_VALUE"""),76063.0)</f>
        <v>76063</v>
      </c>
      <c r="I3239" s="8">
        <f t="shared" si="36"/>
        <v>76063</v>
      </c>
      <c r="J3239" s="9">
        <f>IFERROR(__xludf.DUMMYFUNCTION("SPLIT(I3239,""-"")"),76063.0)</f>
        <v>76063</v>
      </c>
    </row>
    <row r="3240">
      <c r="A3240" s="10" t="s">
        <v>2911</v>
      </c>
      <c r="B3240" s="11">
        <v>500.0</v>
      </c>
      <c r="C3240" s="12" t="s">
        <v>649</v>
      </c>
      <c r="E3240" s="8" t="str">
        <f>IFERROR(__xludf.DUMMYFUNCTION("SPLIT(A3240,""TX"")"),"Phillips, Marci
1210 N. Winnetka Ave.
Dallas, ")</f>
        <v>Phillips, Marci
1210 N. Winnetka Ave.
Dallas, </v>
      </c>
      <c r="F3240" s="8">
        <f>IFERROR(__xludf.DUMMYFUNCTION("""COMPUTED_VALUE"""),75208.0)</f>
        <v>75208</v>
      </c>
      <c r="I3240" s="8">
        <f t="shared" si="36"/>
        <v>75208</v>
      </c>
      <c r="J3240" s="9">
        <f>IFERROR(__xludf.DUMMYFUNCTION("SPLIT(I3240,""-"")"),75208.0)</f>
        <v>75208</v>
      </c>
    </row>
    <row r="3241">
      <c r="A3241" s="5" t="s">
        <v>2912</v>
      </c>
      <c r="B3241" s="6">
        <v>1000.0</v>
      </c>
      <c r="C3241" s="7" t="s">
        <v>649</v>
      </c>
      <c r="E3241" s="8" t="str">
        <f>IFERROR(__xludf.DUMMYFUNCTION("SPLIT(A3241,""TX"")"),"Drennan, Mark
1655 Kessler Canyon Dr.
Dallas, ")</f>
        <v>Drennan, Mark
1655 Kessler Canyon Dr.
Dallas, </v>
      </c>
      <c r="F3241" s="8">
        <f>IFERROR(__xludf.DUMMYFUNCTION("""COMPUTED_VALUE"""),75208.0)</f>
        <v>75208</v>
      </c>
      <c r="I3241" s="8">
        <f t="shared" si="36"/>
        <v>75208</v>
      </c>
      <c r="J3241" s="9">
        <f>IFERROR(__xludf.DUMMYFUNCTION("SPLIT(I3241,""-"")"),75208.0)</f>
        <v>75208</v>
      </c>
    </row>
    <row r="3242">
      <c r="A3242" s="10" t="s">
        <v>2913</v>
      </c>
      <c r="B3242" s="11">
        <v>50.0</v>
      </c>
      <c r="C3242" s="12" t="s">
        <v>649</v>
      </c>
      <c r="E3242" s="8" t="str">
        <f>IFERROR(__xludf.DUMMYFUNCTION("SPLIT(A3242,""TX"")"),"Kirk-")</f>
        <v>Kirk-</v>
      </c>
      <c r="F3242" s="8" t="str">
        <f>IFERROR(__xludf.DUMMYFUNCTION("""COMPUTED_VALUE"""),"ekippe, Matthew
3301 Hudnall St.
Dallas, ")</f>
        <v>ekippe, Matthew
3301 Hudnall St.
Dallas, </v>
      </c>
      <c r="G3242" s="8">
        <f>IFERROR(__xludf.DUMMYFUNCTION("""COMPUTED_VALUE"""),75235.0)</f>
        <v>75235</v>
      </c>
      <c r="I3242" s="8">
        <f t="shared" si="36"/>
        <v>75235</v>
      </c>
      <c r="J3242" s="9">
        <f>IFERROR(__xludf.DUMMYFUNCTION("SPLIT(I3242,""-"")"),75235.0)</f>
        <v>75235</v>
      </c>
    </row>
    <row r="3243">
      <c r="A3243" s="5" t="s">
        <v>2914</v>
      </c>
      <c r="B3243" s="6">
        <v>1000.0</v>
      </c>
      <c r="C3243" s="7" t="s">
        <v>649</v>
      </c>
      <c r="E3243" s="8" t="str">
        <f>IFERROR(__xludf.DUMMYFUNCTION("SPLIT(A3243,""TX"")"),"Ablon, Michael
5908 Azalea Ln.
Dallas, ")</f>
        <v>Ablon, Michael
5908 Azalea Ln.
Dallas, </v>
      </c>
      <c r="F3243" s="8">
        <f>IFERROR(__xludf.DUMMYFUNCTION("""COMPUTED_VALUE"""),75230.0)</f>
        <v>75230</v>
      </c>
      <c r="I3243" s="8">
        <f t="shared" si="36"/>
        <v>75230</v>
      </c>
      <c r="J3243" s="9">
        <f>IFERROR(__xludf.DUMMYFUNCTION("SPLIT(I3243,""-"")"),75230.0)</f>
        <v>75230</v>
      </c>
    </row>
    <row r="3244">
      <c r="A3244" s="10" t="s">
        <v>2915</v>
      </c>
      <c r="B3244" s="11">
        <v>500.0</v>
      </c>
      <c r="C3244" s="12" t="s">
        <v>649</v>
      </c>
      <c r="E3244" s="8" t="str">
        <f>IFERROR(__xludf.DUMMYFUNCTION("SPLIT(A3244,""TX"")"),"Granoff, Peter
2207 Kessler Woods Ct.
Dallas, ")</f>
        <v>Granoff, Peter
2207 Kessler Woods Ct.
Dallas, </v>
      </c>
      <c r="F3244" s="8">
        <f>IFERROR(__xludf.DUMMYFUNCTION("""COMPUTED_VALUE"""),75208.0)</f>
        <v>75208</v>
      </c>
      <c r="I3244" s="8">
        <f t="shared" si="36"/>
        <v>75208</v>
      </c>
      <c r="J3244" s="9">
        <f>IFERROR(__xludf.DUMMYFUNCTION("SPLIT(I3244,""-"")"),75208.0)</f>
        <v>75208</v>
      </c>
    </row>
    <row r="3245">
      <c r="A3245" s="5" t="s">
        <v>2916</v>
      </c>
      <c r="B3245" s="6">
        <v>250.0</v>
      </c>
      <c r="C3245" s="7" t="s">
        <v>649</v>
      </c>
      <c r="E3245" s="8" t="str">
        <f>IFERROR(__xludf.DUMMYFUNCTION("SPLIT(A3245,""TX"")"),"Bradshaw, Stefanie
2929 Wycliff Ave.
Dallas, ")</f>
        <v>Bradshaw, Stefanie
2929 Wycliff Ave.
Dallas, </v>
      </c>
      <c r="F3245" s="8">
        <f>IFERROR(__xludf.DUMMYFUNCTION("""COMPUTED_VALUE"""),75219.0)</f>
        <v>75219</v>
      </c>
      <c r="I3245" s="8">
        <f t="shared" si="36"/>
        <v>75219</v>
      </c>
      <c r="J3245" s="9">
        <f>IFERROR(__xludf.DUMMYFUNCTION("SPLIT(I3245,""-"")"),75219.0)</f>
        <v>75219</v>
      </c>
    </row>
    <row r="3246">
      <c r="A3246" s="10" t="s">
        <v>2917</v>
      </c>
      <c r="B3246" s="11">
        <v>1000.0</v>
      </c>
      <c r="C3246" s="12" t="s">
        <v>649</v>
      </c>
      <c r="E3246" s="8" t="str">
        <f>IFERROR(__xludf.DUMMYFUNCTION("SPLIT(A3246,""TX"")"),"Reese, Susan B.
2622 Commerce St.
Dallas, ")</f>
        <v>Reese, Susan B.
2622 Commerce St.
Dallas, </v>
      </c>
      <c r="F3246" s="8">
        <f>IFERROR(__xludf.DUMMYFUNCTION("""COMPUTED_VALUE"""),75226.0)</f>
        <v>75226</v>
      </c>
      <c r="I3246" s="8">
        <f t="shared" si="36"/>
        <v>75226</v>
      </c>
      <c r="J3246" s="9">
        <f>IFERROR(__xludf.DUMMYFUNCTION("SPLIT(I3246,""-"")"),75226.0)</f>
        <v>75226</v>
      </c>
    </row>
    <row r="3247">
      <c r="A3247" s="5" t="s">
        <v>2918</v>
      </c>
      <c r="B3247" s="6">
        <v>1000.0</v>
      </c>
      <c r="C3247" s="7" t="s">
        <v>649</v>
      </c>
      <c r="E3247" s="8" t="str">
        <f>IFERROR(__xludf.DUMMYFUNCTION("SPLIT(A3247,""TX"")"),"Kapioltas, ")</f>
        <v>Kapioltas, </v>
      </c>
      <c r="F3247" s="8" t="str">
        <f>IFERROR(__xludf.DUMMYFUNCTION("""COMPUTED_VALUE"""),"om
2295 Sussex Ln.
Allen, ")</f>
        <v>om
2295 Sussex Ln.
Allen, </v>
      </c>
      <c r="G3247" s="8">
        <f>IFERROR(__xludf.DUMMYFUNCTION("""COMPUTED_VALUE"""),75013.0)</f>
        <v>75013</v>
      </c>
      <c r="I3247" s="8">
        <f t="shared" si="36"/>
        <v>75013</v>
      </c>
      <c r="J3247" s="9">
        <f>IFERROR(__xludf.DUMMYFUNCTION("SPLIT(I3247,""-"")"),75013.0)</f>
        <v>75013</v>
      </c>
    </row>
    <row r="3248">
      <c r="A3248" s="10" t="s">
        <v>2919</v>
      </c>
      <c r="B3248" s="11">
        <v>1000.0</v>
      </c>
      <c r="C3248" s="12" t="s">
        <v>649</v>
      </c>
      <c r="E3248" s="8" t="str">
        <f>IFERROR(__xludf.DUMMYFUNCTION("SPLIT(A3248,""TX"")"),"Attlee, ")</f>
        <v>Attlee, </v>
      </c>
      <c r="F3248" s="8" t="str">
        <f>IFERROR(__xludf.DUMMYFUNCTION("""COMPUTED_VALUE"""),"im
8751 Collin McKinney Pkwy
McKinney, ")</f>
        <v>im
8751 Collin McKinney Pkwy
McKinney, </v>
      </c>
      <c r="G3248" s="8">
        <f>IFERROR(__xludf.DUMMYFUNCTION("""COMPUTED_VALUE"""),75070.0)</f>
        <v>75070</v>
      </c>
      <c r="I3248" s="8">
        <f t="shared" si="36"/>
        <v>75070</v>
      </c>
      <c r="J3248" s="9">
        <f>IFERROR(__xludf.DUMMYFUNCTION("SPLIT(I3248,""-"")"),75070.0)</f>
        <v>75070</v>
      </c>
    </row>
    <row r="3249">
      <c r="A3249" s="5" t="s">
        <v>2920</v>
      </c>
      <c r="B3249" s="6">
        <v>1000.0</v>
      </c>
      <c r="C3249" s="7" t="s">
        <v>649</v>
      </c>
      <c r="E3249" s="8" t="str">
        <f>IFERROR(__xludf.DUMMYFUNCTION("SPLIT(A3249,""TX"")"),"Attlee, Veronica
8751 Collin McKinney Pkwy
McKinney, ")</f>
        <v>Attlee, Veronica
8751 Collin McKinney Pkwy
McKinney, </v>
      </c>
      <c r="F3249" s="8">
        <f>IFERROR(__xludf.DUMMYFUNCTION("""COMPUTED_VALUE"""),75070.0)</f>
        <v>75070</v>
      </c>
      <c r="I3249" s="8">
        <f t="shared" si="36"/>
        <v>75070</v>
      </c>
      <c r="J3249" s="9">
        <f>IFERROR(__xludf.DUMMYFUNCTION("SPLIT(I3249,""-"")"),75070.0)</f>
        <v>75070</v>
      </c>
    </row>
    <row r="3250">
      <c r="A3250" s="10" t="s">
        <v>2921</v>
      </c>
      <c r="B3250" s="11">
        <v>47.2</v>
      </c>
      <c r="C3250" s="12" t="s">
        <v>649</v>
      </c>
      <c r="E3250" s="8" t="str">
        <f>IFERROR(__xludf.DUMMYFUNCTION("SPLIT(A3250,""TX"")"),"Zimmerman, William
105 S. Willomet Ave.
Dallas, ")</f>
        <v>Zimmerman, William
105 S. Willomet Ave.
Dallas, </v>
      </c>
      <c r="F3250" s="8">
        <f>IFERROR(__xludf.DUMMYFUNCTION("""COMPUTED_VALUE"""),75208.0)</f>
        <v>75208</v>
      </c>
      <c r="I3250" s="8">
        <f t="shared" si="36"/>
        <v>75208</v>
      </c>
      <c r="J3250" s="9">
        <f>IFERROR(__xludf.DUMMYFUNCTION("SPLIT(I3250,""-"")"),75208.0)</f>
        <v>75208</v>
      </c>
    </row>
    <row r="3251">
      <c r="A3251" s="5" t="s">
        <v>2922</v>
      </c>
      <c r="B3251" s="6">
        <v>500.0</v>
      </c>
      <c r="C3251" s="7" t="s">
        <v>649</v>
      </c>
      <c r="E3251" s="8" t="str">
        <f>IFERROR(__xludf.DUMMYFUNCTION("SPLIT(A3251,""TX"")"),"Johnslon, Willis
1001 Belleview St.
Dallas, ")</f>
        <v>Johnslon, Willis
1001 Belleview St.
Dallas, </v>
      </c>
      <c r="F3251" s="8">
        <f>IFERROR(__xludf.DUMMYFUNCTION("""COMPUTED_VALUE"""),75215.0)</f>
        <v>75215</v>
      </c>
      <c r="I3251" s="8">
        <f t="shared" si="36"/>
        <v>75215</v>
      </c>
      <c r="J3251" s="9">
        <f>IFERROR(__xludf.DUMMYFUNCTION("SPLIT(I3251,""-"")"),75215.0)</f>
        <v>75215</v>
      </c>
    </row>
    <row r="3252">
      <c r="A3252" s="10" t="s">
        <v>2923</v>
      </c>
      <c r="B3252" s="11">
        <v>500.0</v>
      </c>
      <c r="C3252" s="12" t="s">
        <v>649</v>
      </c>
      <c r="E3252" s="8" t="str">
        <f>IFERROR(__xludf.DUMMYFUNCTION("SPLIT(A3252,""TX"")"),"Parker, Dr. Mark
3606 S. ")</f>
        <v>Parker, Dr. Mark
3606 S. </v>
      </c>
      <c r="F3252" s="8" t="str">
        <f>IFERROR(__xludf.DUMMYFUNCTION("""COMPUTED_VALUE"""),"yler St.
Dallas, ")</f>
        <v>yler St.
Dallas, </v>
      </c>
      <c r="G3252" s="8">
        <f>IFERROR(__xludf.DUMMYFUNCTION("""COMPUTED_VALUE"""),75224.0)</f>
        <v>75224</v>
      </c>
      <c r="I3252" s="8">
        <f t="shared" si="36"/>
        <v>75224</v>
      </c>
      <c r="J3252" s="9">
        <f>IFERROR(__xludf.DUMMYFUNCTION("SPLIT(I3252,""-"")"),75224.0)</f>
        <v>75224</v>
      </c>
    </row>
    <row r="3253">
      <c r="A3253" s="5" t="s">
        <v>2924</v>
      </c>
      <c r="B3253" s="6">
        <v>500.0</v>
      </c>
      <c r="C3253" s="7" t="s">
        <v>649</v>
      </c>
      <c r="E3253" s="8" t="str">
        <f>IFERROR(__xludf.DUMMYFUNCTION("SPLIT(A3253,""TX"")"),"Johnson, Eric
3606 S. ")</f>
        <v>Johnson, Eric
3606 S. </v>
      </c>
      <c r="F3253" s="8" t="str">
        <f>IFERROR(__xludf.DUMMYFUNCTION("""COMPUTED_VALUE"""),"yler St.
Dallas, ")</f>
        <v>yler St.
Dallas, </v>
      </c>
      <c r="G3253" s="8">
        <f>IFERROR(__xludf.DUMMYFUNCTION("""COMPUTED_VALUE"""),75224.0)</f>
        <v>75224</v>
      </c>
      <c r="I3253" s="8">
        <f t="shared" si="36"/>
        <v>75224</v>
      </c>
      <c r="J3253" s="9">
        <f>IFERROR(__xludf.DUMMYFUNCTION("SPLIT(I3253,""-"")"),75224.0)</f>
        <v>75224</v>
      </c>
    </row>
    <row r="3254">
      <c r="A3254" s="10" t="s">
        <v>2925</v>
      </c>
      <c r="B3254" s="11">
        <v>50.0</v>
      </c>
      <c r="C3254" s="12" t="s">
        <v>649</v>
      </c>
      <c r="E3254" s="8" t="str">
        <f>IFERROR(__xludf.DUMMYFUNCTION("SPLIT(A3254,""TX"")"),"Galvan, Nancy
1411 Junior Dr.
Dallas, ")</f>
        <v>Galvan, Nancy
1411 Junior Dr.
Dallas, </v>
      </c>
      <c r="F3254" s="8">
        <f>IFERROR(__xludf.DUMMYFUNCTION("""COMPUTED_VALUE"""),75208.0)</f>
        <v>75208</v>
      </c>
      <c r="I3254" s="8">
        <f t="shared" si="36"/>
        <v>75208</v>
      </c>
      <c r="J3254" s="9">
        <f>IFERROR(__xludf.DUMMYFUNCTION("SPLIT(I3254,""-"")"),75208.0)</f>
        <v>75208</v>
      </c>
    </row>
    <row r="3255">
      <c r="A3255" s="5" t="s">
        <v>2926</v>
      </c>
      <c r="B3255" s="6">
        <v>1000.0</v>
      </c>
      <c r="C3255" s="7" t="s">
        <v>649</v>
      </c>
      <c r="E3255" s="8" t="str">
        <f>IFERROR(__xludf.DUMMYFUNCTION("SPLIT(A3255,""TX"")"),"Nuchereno, Frank
4310 Nashwood Ln.
Dallas, ")</f>
        <v>Nuchereno, Frank
4310 Nashwood Ln.
Dallas, </v>
      </c>
      <c r="F3255" s="8">
        <f>IFERROR(__xludf.DUMMYFUNCTION("""COMPUTED_VALUE"""),75244.0)</f>
        <v>75244</v>
      </c>
      <c r="I3255" s="8">
        <f t="shared" si="36"/>
        <v>75244</v>
      </c>
      <c r="J3255" s="9">
        <f>IFERROR(__xludf.DUMMYFUNCTION("SPLIT(I3255,""-"")"),75244.0)</f>
        <v>75244</v>
      </c>
    </row>
    <row r="3256">
      <c r="A3256" s="10" t="s">
        <v>2927</v>
      </c>
      <c r="B3256" s="11">
        <v>500.0</v>
      </c>
      <c r="C3256" s="12" t="s">
        <v>649</v>
      </c>
      <c r="E3256" s="8" t="str">
        <f>IFERROR(__xludf.DUMMYFUNCTION("SPLIT(A3256,""TX"")"),"Keyes, Wesley
202 N. Clinton Ave
Dallas, ")</f>
        <v>Keyes, Wesley
202 N. Clinton Ave
Dallas, </v>
      </c>
      <c r="F3256" s="8">
        <f>IFERROR(__xludf.DUMMYFUNCTION("""COMPUTED_VALUE"""),75208.0)</f>
        <v>75208</v>
      </c>
      <c r="I3256" s="8">
        <f t="shared" si="36"/>
        <v>75208</v>
      </c>
      <c r="J3256" s="9">
        <f>IFERROR(__xludf.DUMMYFUNCTION("SPLIT(I3256,""-"")"),75208.0)</f>
        <v>75208</v>
      </c>
    </row>
    <row r="3257">
      <c r="A3257" s="5" t="s">
        <v>2928</v>
      </c>
      <c r="B3257" s="6">
        <v>25.0</v>
      </c>
      <c r="C3257" s="7" t="s">
        <v>649</v>
      </c>
      <c r="E3257" s="8" t="str">
        <f>IFERROR(__xludf.DUMMYFUNCTION("SPLIT(A3257,""TX"")"),"Lutz, Carl
3724 Waldorf Dr.
Dallas, ")</f>
        <v>Lutz, Carl
3724 Waldorf Dr.
Dallas, </v>
      </c>
      <c r="F3257" s="8">
        <f>IFERROR(__xludf.DUMMYFUNCTION("""COMPUTED_VALUE"""),75229.0)</f>
        <v>75229</v>
      </c>
      <c r="I3257" s="8">
        <f t="shared" si="36"/>
        <v>75229</v>
      </c>
      <c r="J3257" s="9">
        <f>IFERROR(__xludf.DUMMYFUNCTION("SPLIT(I3257,""-"")"),75229.0)</f>
        <v>75229</v>
      </c>
    </row>
    <row r="3258">
      <c r="A3258" s="10" t="s">
        <v>2929</v>
      </c>
      <c r="B3258" s="11">
        <v>25.0</v>
      </c>
      <c r="C3258" s="12" t="s">
        <v>649</v>
      </c>
      <c r="E3258" s="8" t="str">
        <f>IFERROR(__xludf.DUMMYFUNCTION("SPLIT(A3258,""TX"")"),"Littlefield, Kristene
3700 Cole Ave.
Dallas, ")</f>
        <v>Littlefield, Kristene
3700 Cole Ave.
Dallas, </v>
      </c>
      <c r="F3258" s="8">
        <f>IFERROR(__xludf.DUMMYFUNCTION("""COMPUTED_VALUE"""),75204.0)</f>
        <v>75204</v>
      </c>
      <c r="I3258" s="8">
        <f t="shared" si="36"/>
        <v>75204</v>
      </c>
      <c r="J3258" s="9">
        <f>IFERROR(__xludf.DUMMYFUNCTION("SPLIT(I3258,""-"")"),75204.0)</f>
        <v>75204</v>
      </c>
    </row>
    <row r="3259">
      <c r="A3259" s="5" t="s">
        <v>2930</v>
      </c>
      <c r="B3259" s="6">
        <v>237.2</v>
      </c>
      <c r="C3259" s="7" t="s">
        <v>649</v>
      </c>
      <c r="E3259" s="8" t="str">
        <f>IFERROR(__xludf.DUMMYFUNCTION("SPLIT(A3259,""TX"")"),"Venton for ")</f>
        <v>Venton for </v>
      </c>
      <c r="F3259" s="8" t="str">
        <f>IFERROR(__xludf.DUMMYFUNCTION("""COMPUTED_VALUE"""),"exas
1075 Griffin St. W.
Dallas, ")</f>
        <v>exas
1075 Griffin St. W.
Dallas, </v>
      </c>
      <c r="G3259" s="8">
        <f>IFERROR(__xludf.DUMMYFUNCTION("""COMPUTED_VALUE"""),75215.0)</f>
        <v>75215</v>
      </c>
      <c r="I3259" s="8">
        <f t="shared" si="36"/>
        <v>75215</v>
      </c>
      <c r="J3259" s="9">
        <f>IFERROR(__xludf.DUMMYFUNCTION("SPLIT(I3259,""-"")"),75215.0)</f>
        <v>75215</v>
      </c>
    </row>
    <row r="3260">
      <c r="A3260" s="10" t="s">
        <v>2931</v>
      </c>
      <c r="B3260" s="11">
        <v>500.0</v>
      </c>
      <c r="C3260" s="12" t="s">
        <v>649</v>
      </c>
      <c r="E3260" s="8" t="str">
        <f>IFERROR(__xludf.DUMMYFUNCTION("SPLIT(A3260,""TX"")"),"Reese, Katherine
5310 Northmoor Dr.
Dallas, ")</f>
        <v>Reese, Katherine
5310 Northmoor Dr.
Dallas, </v>
      </c>
      <c r="F3260" s="8">
        <f>IFERROR(__xludf.DUMMYFUNCTION("""COMPUTED_VALUE"""),75229.0)</f>
        <v>75229</v>
      </c>
      <c r="I3260" s="8">
        <f t="shared" si="36"/>
        <v>75229</v>
      </c>
      <c r="J3260" s="9">
        <f>IFERROR(__xludf.DUMMYFUNCTION("SPLIT(I3260,""-"")"),75229.0)</f>
        <v>75229</v>
      </c>
    </row>
    <row r="3261">
      <c r="A3261" s="5" t="s">
        <v>2932</v>
      </c>
      <c r="B3261" s="6">
        <v>250.0</v>
      </c>
      <c r="C3261" s="7" t="s">
        <v>649</v>
      </c>
      <c r="E3261" s="8" t="str">
        <f>IFERROR(__xludf.DUMMYFUNCTION("SPLIT(A3261,""TX"")"),"Page, Anthony
3210 Carlisle St.
Dallas, ")</f>
        <v>Page, Anthony
3210 Carlisle St.
Dallas, </v>
      </c>
      <c r="F3261" s="8">
        <f>IFERROR(__xludf.DUMMYFUNCTION("""COMPUTED_VALUE"""),75204.0)</f>
        <v>75204</v>
      </c>
      <c r="I3261" s="8">
        <f t="shared" si="36"/>
        <v>75204</v>
      </c>
      <c r="J3261" s="9">
        <f>IFERROR(__xludf.DUMMYFUNCTION("SPLIT(I3261,""-"")"),75204.0)</f>
        <v>75204</v>
      </c>
    </row>
    <row r="3262">
      <c r="A3262" s="10" t="s">
        <v>2933</v>
      </c>
      <c r="B3262" s="11">
        <v>500.0</v>
      </c>
      <c r="C3262" s="12" t="s">
        <v>649</v>
      </c>
      <c r="E3262" s="8" t="str">
        <f>IFERROR(__xludf.DUMMYFUNCTION("SPLIT(A3262,""TX"")"),"Anderson, Decarla
2738 Whitewood Dr.
Dallas, ")</f>
        <v>Anderson, Decarla
2738 Whitewood Dr.
Dallas, </v>
      </c>
      <c r="F3262" s="8">
        <f>IFERROR(__xludf.DUMMYFUNCTION("""COMPUTED_VALUE"""),75233.0)</f>
        <v>75233</v>
      </c>
      <c r="I3262" s="8">
        <f t="shared" si="36"/>
        <v>75233</v>
      </c>
      <c r="J3262" s="9">
        <f>IFERROR(__xludf.DUMMYFUNCTION("SPLIT(I3262,""-"")"),75233.0)</f>
        <v>75233</v>
      </c>
    </row>
    <row r="3263">
      <c r="A3263" s="5" t="s">
        <v>2934</v>
      </c>
      <c r="B3263" s="6">
        <v>500.0</v>
      </c>
      <c r="C3263" s="7" t="s">
        <v>649</v>
      </c>
      <c r="E3263" s="8" t="str">
        <f>IFERROR(__xludf.DUMMYFUNCTION("SPLIT(A3263,""TX"")"),"Gates, Jennifer
4914 Keyhole Ln.
Dallas, ")</f>
        <v>Gates, Jennifer
4914 Keyhole Ln.
Dallas, </v>
      </c>
      <c r="F3263" s="8">
        <f>IFERROR(__xludf.DUMMYFUNCTION("""COMPUTED_VALUE"""),75229.0)</f>
        <v>75229</v>
      </c>
      <c r="I3263" s="8">
        <f t="shared" si="36"/>
        <v>75229</v>
      </c>
      <c r="J3263" s="9">
        <f>IFERROR(__xludf.DUMMYFUNCTION("SPLIT(I3263,""-"")"),75229.0)</f>
        <v>75229</v>
      </c>
    </row>
    <row r="3264">
      <c r="A3264" s="10" t="s">
        <v>2935</v>
      </c>
      <c r="B3264" s="11">
        <v>949.7</v>
      </c>
      <c r="C3264" s="12" t="s">
        <v>649</v>
      </c>
      <c r="E3264" s="8" t="str">
        <f>IFERROR(__xludf.DUMMYFUNCTION("SPLIT(A3264,""TX"")"),"Applequist, Chris
9034 Meadowknoll Dr.
Dallas, ")</f>
        <v>Applequist, Chris
9034 Meadowknoll Dr.
Dallas, </v>
      </c>
      <c r="F3264" s="8">
        <f>IFERROR(__xludf.DUMMYFUNCTION("""COMPUTED_VALUE"""),75243.0)</f>
        <v>75243</v>
      </c>
      <c r="I3264" s="8">
        <f t="shared" si="36"/>
        <v>75243</v>
      </c>
      <c r="J3264" s="9">
        <f>IFERROR(__xludf.DUMMYFUNCTION("SPLIT(I3264,""-"")"),75243.0)</f>
        <v>75243</v>
      </c>
    </row>
    <row r="3265">
      <c r="A3265" s="5" t="s">
        <v>2936</v>
      </c>
      <c r="B3265" s="6">
        <v>949.7</v>
      </c>
      <c r="C3265" s="7" t="s">
        <v>649</v>
      </c>
      <c r="E3265" s="8" t="str">
        <f>IFERROR(__xludf.DUMMYFUNCTION("SPLIT(A3265,""TX"")"),"Wallace, Andy
4433 Westway Ave.
Dallas, ")</f>
        <v>Wallace, Andy
4433 Westway Ave.
Dallas, </v>
      </c>
      <c r="F3265" s="8">
        <f>IFERROR(__xludf.DUMMYFUNCTION("""COMPUTED_VALUE"""),75205.0)</f>
        <v>75205</v>
      </c>
      <c r="I3265" s="8">
        <f t="shared" si="36"/>
        <v>75205</v>
      </c>
      <c r="J3265" s="9">
        <f>IFERROR(__xludf.DUMMYFUNCTION("SPLIT(I3265,""-"")"),75205.0)</f>
        <v>75205</v>
      </c>
    </row>
    <row r="3266">
      <c r="A3266" s="10" t="s">
        <v>1470</v>
      </c>
      <c r="B3266" s="11">
        <v>100.0</v>
      </c>
      <c r="C3266" s="12" t="s">
        <v>649</v>
      </c>
      <c r="E3266" s="8" t="str">
        <f>IFERROR(__xludf.DUMMYFUNCTION("SPLIT(A3266,""TX"")"),"Connatser, Becky
815 W. Greenbriar Ln.
Dallas, ")</f>
        <v>Connatser, Becky
815 W. Greenbriar Ln.
Dallas, </v>
      </c>
      <c r="F3266" s="8">
        <f>IFERROR(__xludf.DUMMYFUNCTION("""COMPUTED_VALUE"""),75208.0)</f>
        <v>75208</v>
      </c>
      <c r="I3266" s="8">
        <f t="shared" si="36"/>
        <v>75208</v>
      </c>
      <c r="J3266" s="9">
        <f>IFERROR(__xludf.DUMMYFUNCTION("SPLIT(I3266,""-"")"),75208.0)</f>
        <v>75208</v>
      </c>
    </row>
    <row r="3267">
      <c r="A3267" s="5" t="s">
        <v>2937</v>
      </c>
      <c r="B3267" s="6">
        <v>50.0</v>
      </c>
      <c r="C3267" s="7" t="s">
        <v>649</v>
      </c>
      <c r="E3267" s="8" t="str">
        <f>IFERROR(__xludf.DUMMYFUNCTION("SPLIT(A3267,""TX"")"),"Howell, Bryan
685 Kessler Reserve Ct.
Dallas, ")</f>
        <v>Howell, Bryan
685 Kessler Reserve Ct.
Dallas, </v>
      </c>
      <c r="F3267" s="8">
        <f>IFERROR(__xludf.DUMMYFUNCTION("""COMPUTED_VALUE"""),75208.0)</f>
        <v>75208</v>
      </c>
      <c r="I3267" s="8">
        <f t="shared" si="36"/>
        <v>75208</v>
      </c>
      <c r="J3267" s="9">
        <f>IFERROR(__xludf.DUMMYFUNCTION("SPLIT(I3267,""-"")"),75208.0)</f>
        <v>75208</v>
      </c>
    </row>
    <row r="3268">
      <c r="A3268" s="10" t="s">
        <v>670</v>
      </c>
      <c r="B3268" s="11">
        <v>500.0</v>
      </c>
      <c r="C3268" s="12" t="s">
        <v>649</v>
      </c>
      <c r="E3268" s="8" t="str">
        <f>IFERROR(__xludf.DUMMYFUNCTION("SPLIT(A3268,""TX"")"),"Collins-Bratton, Calvert
4738 Hallmark Dr.
Dallas, ")</f>
        <v>Collins-Bratton, Calvert
4738 Hallmark Dr.
Dallas, </v>
      </c>
      <c r="F3268" s="8">
        <f>IFERROR(__xludf.DUMMYFUNCTION("""COMPUTED_VALUE"""),75229.0)</f>
        <v>75229</v>
      </c>
      <c r="I3268" s="8">
        <f t="shared" si="36"/>
        <v>75229</v>
      </c>
      <c r="J3268" s="9">
        <f>IFERROR(__xludf.DUMMYFUNCTION("SPLIT(I3268,""-"")"),75229.0)</f>
        <v>75229</v>
      </c>
    </row>
    <row r="3269">
      <c r="A3269" s="5" t="s">
        <v>2938</v>
      </c>
      <c r="B3269" s="6">
        <v>250.0</v>
      </c>
      <c r="C3269" s="7" t="s">
        <v>649</v>
      </c>
      <c r="E3269" s="8" t="str">
        <f>IFERROR(__xludf.DUMMYFUNCTION("SPLIT(A3269,""TX"")"),"Urano, Cam
311 N. Edgefield Ave
Dallas, ")</f>
        <v>Urano, Cam
311 N. Edgefield Ave
Dallas, </v>
      </c>
      <c r="F3269" s="8">
        <f>IFERROR(__xludf.DUMMYFUNCTION("""COMPUTED_VALUE"""),75208.0)</f>
        <v>75208</v>
      </c>
      <c r="I3269" s="8">
        <f t="shared" si="36"/>
        <v>75208</v>
      </c>
      <c r="J3269" s="9">
        <f>IFERROR(__xludf.DUMMYFUNCTION("SPLIT(I3269,""-"")"),75208.0)</f>
        <v>75208</v>
      </c>
    </row>
    <row r="3270">
      <c r="A3270" s="10" t="s">
        <v>2939</v>
      </c>
      <c r="B3270" s="11">
        <v>250.0</v>
      </c>
      <c r="C3270" s="12" t="s">
        <v>649</v>
      </c>
      <c r="E3270" s="8" t="str">
        <f>IFERROR(__xludf.DUMMYFUNCTION("SPLIT(A3270,""TX"")"),"Dolezal, Chad
1015 S. Winnetka Ave.
Dallas, ")</f>
        <v>Dolezal, Chad
1015 S. Winnetka Ave.
Dallas, </v>
      </c>
      <c r="F3270" s="8">
        <f>IFERROR(__xludf.DUMMYFUNCTION("""COMPUTED_VALUE"""),75298.0)</f>
        <v>75298</v>
      </c>
      <c r="I3270" s="8">
        <f t="shared" si="36"/>
        <v>75298</v>
      </c>
      <c r="J3270" s="9">
        <f>IFERROR(__xludf.DUMMYFUNCTION("SPLIT(I3270,""-"")"),75298.0)</f>
        <v>75298</v>
      </c>
    </row>
    <row r="3271">
      <c r="A3271" s="5" t="s">
        <v>2940</v>
      </c>
      <c r="B3271" s="6">
        <v>949.7</v>
      </c>
      <c r="C3271" s="7" t="s">
        <v>649</v>
      </c>
      <c r="E3271" s="8" t="str">
        <f>IFERROR(__xludf.DUMMYFUNCTION("SPLIT(A3271,""TX"")"),"Pope, Chase
6060 N Central Expwy.
Dallas, ")</f>
        <v>Pope, Chase
6060 N Central Expwy.
Dallas, </v>
      </c>
      <c r="F3271" s="8">
        <f>IFERROR(__xludf.DUMMYFUNCTION("""COMPUTED_VALUE"""),75206.0)</f>
        <v>75206</v>
      </c>
      <c r="I3271" s="8">
        <f t="shared" si="36"/>
        <v>75206</v>
      </c>
      <c r="J3271" s="9">
        <f>IFERROR(__xludf.DUMMYFUNCTION("SPLIT(I3271,""-"")"),75206.0)</f>
        <v>75206</v>
      </c>
    </row>
    <row r="3272">
      <c r="A3272" s="10" t="s">
        <v>1486</v>
      </c>
      <c r="B3272" s="11">
        <v>100.0</v>
      </c>
      <c r="C3272" s="12" t="s">
        <v>649</v>
      </c>
      <c r="E3272" s="8" t="str">
        <f>IFERROR(__xludf.DUMMYFUNCTION("SPLIT(A3272,""TX"")"),"Huerta, Daniel
1414 Cedar Hill Ave.
Dallas, ")</f>
        <v>Huerta, Daniel
1414 Cedar Hill Ave.
Dallas, </v>
      </c>
      <c r="F3272" s="8">
        <f>IFERROR(__xludf.DUMMYFUNCTION("""COMPUTED_VALUE"""),75208.0)</f>
        <v>75208</v>
      </c>
      <c r="I3272" s="8">
        <f t="shared" si="36"/>
        <v>75208</v>
      </c>
      <c r="J3272" s="9">
        <f>IFERROR(__xludf.DUMMYFUNCTION("SPLIT(I3272,""-"")"),75208.0)</f>
        <v>75208</v>
      </c>
    </row>
    <row r="3273">
      <c r="A3273" s="5" t="s">
        <v>2941</v>
      </c>
      <c r="B3273" s="6">
        <v>250.0</v>
      </c>
      <c r="C3273" s="7" t="s">
        <v>649</v>
      </c>
      <c r="E3273" s="8" t="str">
        <f>IFERROR(__xludf.DUMMYFUNCTION("SPLIT(A3273,""TX"")"),"Sherman, Daniel (Vinnie)
1743 Elmwood Blvd.
Dallas, ")</f>
        <v>Sherman, Daniel (Vinnie)
1743 Elmwood Blvd.
Dallas, </v>
      </c>
      <c r="F3273" s="8">
        <f>IFERROR(__xludf.DUMMYFUNCTION("""COMPUTED_VALUE"""),75224.0)</f>
        <v>75224</v>
      </c>
      <c r="I3273" s="8">
        <f t="shared" si="36"/>
        <v>75224</v>
      </c>
      <c r="J3273" s="9">
        <f>IFERROR(__xludf.DUMMYFUNCTION("SPLIT(I3273,""-"")"),75224.0)</f>
        <v>75224</v>
      </c>
    </row>
    <row r="3274">
      <c r="A3274" s="10" t="s">
        <v>2942</v>
      </c>
      <c r="B3274" s="11">
        <v>949.7</v>
      </c>
      <c r="C3274" s="12" t="s">
        <v>649</v>
      </c>
      <c r="E3274" s="8" t="str">
        <f>IFERROR(__xludf.DUMMYFUNCTION("SPLIT(A3274,""TX"")"),"Blewett, David
6228 Vickery Blvd.
Dallas, ")</f>
        <v>Blewett, David
6228 Vickery Blvd.
Dallas, </v>
      </c>
      <c r="F3274" s="8">
        <f>IFERROR(__xludf.DUMMYFUNCTION("""COMPUTED_VALUE"""),75214.0)</f>
        <v>75214</v>
      </c>
      <c r="I3274" s="8">
        <f t="shared" si="36"/>
        <v>75214</v>
      </c>
      <c r="J3274" s="9">
        <f>IFERROR(__xludf.DUMMYFUNCTION("SPLIT(I3274,""-"")"),75214.0)</f>
        <v>75214</v>
      </c>
    </row>
    <row r="3275">
      <c r="A3275" s="5" t="s">
        <v>2943</v>
      </c>
      <c r="B3275" s="6">
        <v>949.7</v>
      </c>
      <c r="C3275" s="7" t="s">
        <v>649</v>
      </c>
      <c r="E3275" s="8" t="str">
        <f>IFERROR(__xludf.DUMMYFUNCTION("SPLIT(A3275,""TX"")"),"Neurohr, Garrison
4444 Cole Ave.
Dallas, ")</f>
        <v>Neurohr, Garrison
4444 Cole Ave.
Dallas, </v>
      </c>
      <c r="F3275" s="8">
        <f>IFERROR(__xludf.DUMMYFUNCTION("""COMPUTED_VALUE"""),75205.0)</f>
        <v>75205</v>
      </c>
      <c r="I3275" s="8">
        <f t="shared" si="36"/>
        <v>75205</v>
      </c>
      <c r="J3275" s="9">
        <f>IFERROR(__xludf.DUMMYFUNCTION("SPLIT(I3275,""-"")"),75205.0)</f>
        <v>75205</v>
      </c>
    </row>
    <row r="3276">
      <c r="A3276" s="10" t="s">
        <v>2944</v>
      </c>
      <c r="B3276" s="11">
        <v>250.0</v>
      </c>
      <c r="C3276" s="12" t="s">
        <v>649</v>
      </c>
      <c r="E3276" s="8" t="str">
        <f>IFERROR(__xludf.DUMMYFUNCTION("SPLIT(A3276,""TX"")"),"Orr, Jeremy
1033 Cedar Hill Ave.
Dallas, ")</f>
        <v>Orr, Jeremy
1033 Cedar Hill Ave.
Dallas, </v>
      </c>
      <c r="F3276" s="8">
        <f>IFERROR(__xludf.DUMMYFUNCTION("""COMPUTED_VALUE"""),75208.0)</f>
        <v>75208</v>
      </c>
      <c r="I3276" s="8">
        <f t="shared" si="36"/>
        <v>75208</v>
      </c>
      <c r="J3276" s="9">
        <f>IFERROR(__xludf.DUMMYFUNCTION("SPLIT(I3276,""-"")"),75208.0)</f>
        <v>75208</v>
      </c>
    </row>
    <row r="3277">
      <c r="A3277" s="5" t="s">
        <v>2945</v>
      </c>
      <c r="B3277" s="6">
        <v>50.0</v>
      </c>
      <c r="C3277" s="7" t="s">
        <v>649</v>
      </c>
      <c r="E3277" s="8" t="str">
        <f>IFERROR(__xludf.DUMMYFUNCTION("SPLIT(A3277,""TX"")"),"aylor, Lisa
923 Salmon Dr.
Dallas, ")</f>
        <v>aylor, Lisa
923 Salmon Dr.
Dallas, </v>
      </c>
      <c r="F3277" s="8">
        <f>IFERROR(__xludf.DUMMYFUNCTION("""COMPUTED_VALUE"""),75208.0)</f>
        <v>75208</v>
      </c>
      <c r="I3277" s="8">
        <f t="shared" si="36"/>
        <v>75208</v>
      </c>
      <c r="J3277" s="9">
        <f>IFERROR(__xludf.DUMMYFUNCTION("SPLIT(I3277,""-"")"),75208.0)</f>
        <v>75208</v>
      </c>
    </row>
    <row r="3278">
      <c r="A3278" s="10" t="s">
        <v>2946</v>
      </c>
      <c r="B3278" s="11">
        <v>500.0</v>
      </c>
      <c r="C3278" s="12" t="s">
        <v>649</v>
      </c>
      <c r="E3278" s="8" t="str">
        <f>IFERROR(__xludf.DUMMYFUNCTION("SPLIT(A3278,""TX"")"),"Donathan, Marsha
12101 ")</f>
        <v>Donathan, Marsha
12101 </v>
      </c>
      <c r="F3278" s="8" t="str">
        <f>IFERROR(__xludf.DUMMYFUNCTION("""COMPUTED_VALUE"""),"rinity Blvd.
Euless, ")</f>
        <v>rinity Blvd.
Euless, </v>
      </c>
      <c r="G3278" s="8">
        <f>IFERROR(__xludf.DUMMYFUNCTION("""COMPUTED_VALUE"""),76040.0)</f>
        <v>76040</v>
      </c>
      <c r="I3278" s="8">
        <f t="shared" si="36"/>
        <v>76040</v>
      </c>
      <c r="J3278" s="9">
        <f>IFERROR(__xludf.DUMMYFUNCTION("SPLIT(I3278,""-"")"),76040.0)</f>
        <v>76040</v>
      </c>
    </row>
    <row r="3279">
      <c r="A3279" s="5" t="s">
        <v>2947</v>
      </c>
      <c r="B3279" s="6">
        <v>1000.0</v>
      </c>
      <c r="C3279" s="7" t="s">
        <v>649</v>
      </c>
      <c r="E3279" s="8" t="str">
        <f>IFERROR(__xludf.DUMMYFUNCTION("SPLIT(A3279,""TX"")"),"Hunt, Ray
1900 N. Akard St.
Dallas, ")</f>
        <v>Hunt, Ray
1900 N. Akard St.
Dallas, </v>
      </c>
      <c r="F3279" s="8">
        <f>IFERROR(__xludf.DUMMYFUNCTION("""COMPUTED_VALUE"""),75201.0)</f>
        <v>75201</v>
      </c>
      <c r="I3279" s="8">
        <f t="shared" si="36"/>
        <v>75201</v>
      </c>
      <c r="J3279" s="9">
        <f>IFERROR(__xludf.DUMMYFUNCTION("SPLIT(I3279,""-"")"),75201.0)</f>
        <v>75201</v>
      </c>
    </row>
    <row r="3280">
      <c r="A3280" s="10" t="s">
        <v>2948</v>
      </c>
      <c r="B3280" s="11">
        <v>100.0</v>
      </c>
      <c r="C3280" s="12" t="s">
        <v>649</v>
      </c>
      <c r="E3280" s="8" t="str">
        <f>IFERROR(__xludf.DUMMYFUNCTION("SPLIT(A3280,""TX"")"),"Holloway, Ryan
4325 Elm St.
Dallas, ")</f>
        <v>Holloway, Ryan
4325 Elm St.
Dallas, </v>
      </c>
      <c r="F3280" s="8">
        <f>IFERROR(__xludf.DUMMYFUNCTION("""COMPUTED_VALUE"""),75226.0)</f>
        <v>75226</v>
      </c>
      <c r="I3280" s="8">
        <f t="shared" si="36"/>
        <v>75226</v>
      </c>
      <c r="J3280" s="9">
        <f>IFERROR(__xludf.DUMMYFUNCTION("SPLIT(I3280,""-"")"),75226.0)</f>
        <v>75226</v>
      </c>
    </row>
    <row r="3281">
      <c r="A3281" s="5" t="s">
        <v>2949</v>
      </c>
      <c r="B3281" s="6">
        <v>50.0</v>
      </c>
      <c r="C3281" s="7" t="s">
        <v>649</v>
      </c>
      <c r="E3281" s="8" t="str">
        <f>IFERROR(__xludf.DUMMYFUNCTION("SPLIT(A3281,""TX"")"),"McDonald, Sam
2630 Shelby Ave.
Dallas, ")</f>
        <v>McDonald, Sam
2630 Shelby Ave.
Dallas, </v>
      </c>
      <c r="F3281" s="8">
        <f>IFERROR(__xludf.DUMMYFUNCTION("""COMPUTED_VALUE"""),75219.0)</f>
        <v>75219</v>
      </c>
      <c r="I3281" s="8">
        <f t="shared" si="36"/>
        <v>75219</v>
      </c>
      <c r="J3281" s="9">
        <f>IFERROR(__xludf.DUMMYFUNCTION("SPLIT(I3281,""-"")"),75219.0)</f>
        <v>75219</v>
      </c>
    </row>
    <row r="3282">
      <c r="A3282" s="10" t="s">
        <v>2950</v>
      </c>
      <c r="B3282" s="11">
        <v>949.7</v>
      </c>
      <c r="C3282" s="12" t="s">
        <v>649</v>
      </c>
      <c r="E3282" s="8" t="str">
        <f>IFERROR(__xludf.DUMMYFUNCTION("SPLIT(A3282,""TX"")"),"Bame, Seth
4439 Westway Ave.
Dallas, ")</f>
        <v>Bame, Seth
4439 Westway Ave.
Dallas, </v>
      </c>
      <c r="F3282" s="8">
        <f>IFERROR(__xludf.DUMMYFUNCTION("""COMPUTED_VALUE"""),75205.0)</f>
        <v>75205</v>
      </c>
      <c r="I3282" s="8">
        <f t="shared" si="36"/>
        <v>75205</v>
      </c>
      <c r="J3282" s="9">
        <f>IFERROR(__xludf.DUMMYFUNCTION("SPLIT(I3282,""-"")"),75205.0)</f>
        <v>75205</v>
      </c>
    </row>
    <row r="3283">
      <c r="A3283" s="5" t="s">
        <v>2951</v>
      </c>
      <c r="B3283" s="6">
        <v>50.0</v>
      </c>
      <c r="C3283" s="7" t="s">
        <v>649</v>
      </c>
      <c r="E3283" s="8" t="str">
        <f>IFERROR(__xludf.DUMMYFUNCTION("SPLIT(A3283,""TX"")"),"Engwall, Stephanie
700 N. Oak Cliff Blvd.
Dallas, ")</f>
        <v>Engwall, Stephanie
700 N. Oak Cliff Blvd.
Dallas, </v>
      </c>
      <c r="F3283" s="8">
        <f>IFERROR(__xludf.DUMMYFUNCTION("""COMPUTED_VALUE"""),75208.0)</f>
        <v>75208</v>
      </c>
      <c r="I3283" s="8">
        <f t="shared" si="36"/>
        <v>75208</v>
      </c>
      <c r="J3283" s="9">
        <f>IFERROR(__xludf.DUMMYFUNCTION("SPLIT(I3283,""-"")"),75208.0)</f>
        <v>75208</v>
      </c>
    </row>
    <row r="3284">
      <c r="A3284" s="10" t="s">
        <v>2952</v>
      </c>
      <c r="B3284" s="11">
        <v>949.7</v>
      </c>
      <c r="C3284" s="12" t="s">
        <v>649</v>
      </c>
      <c r="E3284" s="8" t="str">
        <f>IFERROR(__xludf.DUMMYFUNCTION("SPLIT(A3284,""TX"")"),"Black, ")</f>
        <v>Black, </v>
      </c>
      <c r="F3284" s="8" t="str">
        <f>IFERROR(__xludf.DUMMYFUNCTION("""COMPUTED_VALUE"""),"re
751 Kessler Lake Dr.
Dallas, ")</f>
        <v>re
751 Kessler Lake Dr.
Dallas, </v>
      </c>
      <c r="G3284" s="8">
        <f>IFERROR(__xludf.DUMMYFUNCTION("""COMPUTED_VALUE"""),75208.0)</f>
        <v>75208</v>
      </c>
      <c r="I3284" s="8">
        <f t="shared" si="36"/>
        <v>75208</v>
      </c>
      <c r="J3284" s="9">
        <f>IFERROR(__xludf.DUMMYFUNCTION("SPLIT(I3284,""-"")"),75208.0)</f>
        <v>75208</v>
      </c>
    </row>
    <row r="3285">
      <c r="A3285" s="5" t="s">
        <v>2953</v>
      </c>
      <c r="B3285" s="6">
        <v>2500.0</v>
      </c>
      <c r="C3285" s="7" t="s">
        <v>649</v>
      </c>
      <c r="E3285" s="8" t="str">
        <f>IFERROR(__xludf.DUMMYFUNCTION("SPLIT(A3285,""TX"")"),"HBA Greater Dallas HOME PAC
5816 W Plano Parkway
Plano, ")</f>
        <v>HBA Greater Dallas HOME PAC
5816 W Plano Parkway
Plano, </v>
      </c>
      <c r="F3285" s="8">
        <f>IFERROR(__xludf.DUMMYFUNCTION("""COMPUTED_VALUE"""),75093.0)</f>
        <v>75093</v>
      </c>
      <c r="I3285" s="8">
        <f t="shared" si="36"/>
        <v>75093</v>
      </c>
      <c r="J3285" s="9">
        <f>IFERROR(__xludf.DUMMYFUNCTION("SPLIT(I3285,""-"")"),75093.0)</f>
        <v>75093</v>
      </c>
    </row>
    <row r="3286">
      <c r="A3286" s="10" t="s">
        <v>2954</v>
      </c>
      <c r="B3286" s="11">
        <v>500.0</v>
      </c>
      <c r="C3286" s="12" t="s">
        <v>649</v>
      </c>
      <c r="E3286" s="8" t="str">
        <f>IFERROR(__xludf.DUMMYFUNCTION("SPLIT(A3286,""TX"")"),"Stonewall Democrats PAC
PO Box 192305
Dallas, ")</f>
        <v>Stonewall Democrats PAC
PO Box 192305
Dallas, </v>
      </c>
      <c r="F3286" s="8">
        <f>IFERROR(__xludf.DUMMYFUNCTION("""COMPUTED_VALUE"""),75219.0)</f>
        <v>75219</v>
      </c>
      <c r="I3286" s="8">
        <f t="shared" si="36"/>
        <v>75219</v>
      </c>
      <c r="J3286" s="9">
        <f>IFERROR(__xludf.DUMMYFUNCTION("SPLIT(I3286,""-"")"),75219.0)</f>
        <v>75219</v>
      </c>
    </row>
    <row r="3287">
      <c r="A3287" s="5" t="s">
        <v>2955</v>
      </c>
      <c r="B3287" s="6">
        <v>2500.0</v>
      </c>
      <c r="C3287" s="7" t="s">
        <v>649</v>
      </c>
      <c r="E3287" s="8" t="str">
        <f>IFERROR(__xludf.DUMMYFUNCTION("SPLIT(A3287,""TX"")"),"REPAC
PO Box 2246
Austin, ")</f>
        <v>REPAC
PO Box 2246
Austin, </v>
      </c>
      <c r="F3287" s="8">
        <f>IFERROR(__xludf.DUMMYFUNCTION("""COMPUTED_VALUE"""),78768.0)</f>
        <v>78768</v>
      </c>
      <c r="I3287" s="8">
        <f t="shared" si="36"/>
        <v>78768</v>
      </c>
      <c r="J3287" s="9">
        <f>IFERROR(__xludf.DUMMYFUNCTION("SPLIT(I3287,""-"")"),78768.0)</f>
        <v>78768</v>
      </c>
    </row>
    <row r="3288">
      <c r="A3288" s="10" t="s">
        <v>2858</v>
      </c>
      <c r="B3288" s="11">
        <v>500.0</v>
      </c>
      <c r="C3288" s="12" t="s">
        <v>375</v>
      </c>
      <c r="E3288" s="8" t="str">
        <f>IFERROR(__xludf.DUMMYFUNCTION("SPLIT(A3288,""TX"")"),"Alcantar, Joe
7304 Lane Park Ct
Dallas, ")</f>
        <v>Alcantar, Joe
7304 Lane Park Ct
Dallas, </v>
      </c>
      <c r="F3288" s="8">
        <f>IFERROR(__xludf.DUMMYFUNCTION("""COMPUTED_VALUE"""),75225.0)</f>
        <v>75225</v>
      </c>
      <c r="I3288" s="8">
        <f t="shared" si="36"/>
        <v>75225</v>
      </c>
      <c r="J3288" s="9">
        <f>IFERROR(__xludf.DUMMYFUNCTION("SPLIT(I3288,""-"")"),75225.0)</f>
        <v>75225</v>
      </c>
    </row>
    <row r="3289">
      <c r="A3289" s="10" t="s">
        <v>2956</v>
      </c>
      <c r="B3289" s="11">
        <v>500.0</v>
      </c>
      <c r="C3289" s="12" t="s">
        <v>375</v>
      </c>
      <c r="E3289" s="8" t="str">
        <f>IFERROR(__xludf.DUMMYFUNCTION("SPLIT(A3289,""TX"")"),"Crow, Patrick
4818 N. Lindhurst
Dallas, ")</f>
        <v>Crow, Patrick
4818 N. Lindhurst
Dallas, </v>
      </c>
      <c r="F3289" s="8">
        <f>IFERROR(__xludf.DUMMYFUNCTION("""COMPUTED_VALUE"""),75229.0)</f>
        <v>75229</v>
      </c>
      <c r="I3289" s="8">
        <f t="shared" si="36"/>
        <v>75229</v>
      </c>
      <c r="J3289" s="9">
        <f>IFERROR(__xludf.DUMMYFUNCTION("SPLIT(I3289,""-"")"),75229.0)</f>
        <v>75229</v>
      </c>
    </row>
    <row r="3290">
      <c r="A3290" s="10" t="s">
        <v>2957</v>
      </c>
      <c r="B3290" s="11">
        <v>1000.0</v>
      </c>
      <c r="C3290" s="12" t="s">
        <v>375</v>
      </c>
      <c r="E3290" s="8" t="str">
        <f>IFERROR(__xludf.DUMMYFUNCTION("SPLIT(A3290,""TX"")"),"Carey, Jeff
300 E Round Grove Rd
Lewisville, ")</f>
        <v>Carey, Jeff
300 E Round Grove Rd
Lewisville, </v>
      </c>
      <c r="F3290" s="8">
        <f>IFERROR(__xludf.DUMMYFUNCTION("""COMPUTED_VALUE"""),75067.0)</f>
        <v>75067</v>
      </c>
      <c r="I3290" s="8">
        <f t="shared" si="36"/>
        <v>75067</v>
      </c>
      <c r="J3290" s="9">
        <f>IFERROR(__xludf.DUMMYFUNCTION("SPLIT(I3290,""-"")"),75067.0)</f>
        <v>75067</v>
      </c>
    </row>
    <row r="3291">
      <c r="A3291" s="10" t="s">
        <v>2958</v>
      </c>
      <c r="B3291" s="11">
        <v>250.0</v>
      </c>
      <c r="C3291" s="12" t="s">
        <v>375</v>
      </c>
      <c r="E3291" s="8" t="str">
        <f>IFERROR(__xludf.DUMMYFUNCTION("SPLIT(A3291,""TX"")"),"Gerber, Pam
4435 Holland Ave.
Dallas, ")</f>
        <v>Gerber, Pam
4435 Holland Ave.
Dallas, </v>
      </c>
      <c r="F3291" s="8">
        <f>IFERROR(__xludf.DUMMYFUNCTION("""COMPUTED_VALUE"""),75219.0)</f>
        <v>75219</v>
      </c>
      <c r="I3291" s="8">
        <f t="shared" si="36"/>
        <v>75219</v>
      </c>
      <c r="J3291" s="9">
        <f>IFERROR(__xludf.DUMMYFUNCTION("SPLIT(I3291,""-"")"),75219.0)</f>
        <v>75219</v>
      </c>
    </row>
    <row r="3292">
      <c r="A3292" s="10" t="s">
        <v>2959</v>
      </c>
      <c r="B3292" s="11">
        <v>500.0</v>
      </c>
      <c r="C3292" s="12" t="s">
        <v>375</v>
      </c>
      <c r="E3292" s="8" t="str">
        <f>IFERROR(__xludf.DUMMYFUNCTION("SPLIT(A3292,""TX"")"),"Schenkkel, Pete
4231 Belclaire Ave
Dallas, ")</f>
        <v>Schenkkel, Pete
4231 Belclaire Ave
Dallas, </v>
      </c>
      <c r="F3292" s="8">
        <f>IFERROR(__xludf.DUMMYFUNCTION("""COMPUTED_VALUE"""),75205.0)</f>
        <v>75205</v>
      </c>
      <c r="I3292" s="8">
        <f t="shared" si="36"/>
        <v>75205</v>
      </c>
      <c r="J3292" s="9">
        <f>IFERROR(__xludf.DUMMYFUNCTION("SPLIT(I3292,""-"")"),75205.0)</f>
        <v>75205</v>
      </c>
    </row>
    <row r="3293">
      <c r="A3293" s="10" t="s">
        <v>2960</v>
      </c>
      <c r="B3293" s="11">
        <v>500.0</v>
      </c>
      <c r="C3293" s="12" t="s">
        <v>375</v>
      </c>
      <c r="E3293" s="8" t="str">
        <f>IFERROR(__xludf.DUMMYFUNCTION("SPLIT(A3293,""TX"")"),"ractor Beam, LP
1526 S Good Latimer E")</f>
        <v>ractor Beam, LP
1526 S Good Latimer E</v>
      </c>
      <c r="F3293" s="8" t="str">
        <f>IFERROR(__xludf.DUMMYFUNCTION("""COMPUTED_VALUE"""),"PY
Dallas, ")</f>
        <v>PY
Dallas, </v>
      </c>
      <c r="G3293" s="8">
        <f>IFERROR(__xludf.DUMMYFUNCTION("""COMPUTED_VALUE"""),75226.0)</f>
        <v>75226</v>
      </c>
      <c r="I3293" s="8">
        <f t="shared" si="36"/>
        <v>75226</v>
      </c>
      <c r="J3293" s="9">
        <f>IFERROR(__xludf.DUMMYFUNCTION("SPLIT(I3293,""-"")"),75226.0)</f>
        <v>75226</v>
      </c>
    </row>
    <row r="3294">
      <c r="A3294" s="10" t="s">
        <v>2961</v>
      </c>
      <c r="B3294" s="11">
        <v>10000.0</v>
      </c>
      <c r="C3294" s="12" t="s">
        <v>1065</v>
      </c>
      <c r="E3294" s="8" t="str">
        <f>IFERROR(__xludf.DUMMYFUNCTION("SPLIT(A3294,""TX"")"),"Arnold, Greg &amp; Ashley
PO Box 1481
")</f>
        <v>Arnold, Greg &amp; Ashley
PO Box 1481
</v>
      </c>
      <c r="F3294" s="8" t="str">
        <f>IFERROR(__xludf.DUMMYFUNCTION("""COMPUTED_VALUE"""),"exarkana, ")</f>
        <v>exarkana, </v>
      </c>
      <c r="G3294" s="8">
        <f>IFERROR(__xludf.DUMMYFUNCTION("""COMPUTED_VALUE"""),75504.0)</f>
        <v>75504</v>
      </c>
      <c r="I3294" s="8">
        <f t="shared" si="36"/>
        <v>75504</v>
      </c>
      <c r="J3294" s="9">
        <f>IFERROR(__xludf.DUMMYFUNCTION("SPLIT(I3294,""-"")"),75504.0)</f>
        <v>75504</v>
      </c>
    </row>
    <row r="3295">
      <c r="A3295" s="10" t="s">
        <v>2962</v>
      </c>
      <c r="B3295" s="11">
        <v>250.0</v>
      </c>
      <c r="C3295" s="12" t="s">
        <v>1065</v>
      </c>
      <c r="E3295" s="8" t="str">
        <f>IFERROR(__xludf.DUMMYFUNCTION("SPLIT(A3295,""TX"")"),"Assanie, Sadiq
1441 Van Winkle Drive
Carrollton, ")</f>
        <v>Assanie, Sadiq
1441 Van Winkle Drive
Carrollton, </v>
      </c>
      <c r="F3295" s="8">
        <f>IFERROR(__xludf.DUMMYFUNCTION("""COMPUTED_VALUE"""),75007.0)</f>
        <v>75007</v>
      </c>
      <c r="I3295" s="8">
        <f t="shared" si="36"/>
        <v>75007</v>
      </c>
      <c r="J3295" s="9">
        <f>IFERROR(__xludf.DUMMYFUNCTION("SPLIT(I3295,""-"")"),75007.0)</f>
        <v>75007</v>
      </c>
    </row>
    <row r="3296">
      <c r="A3296" s="10" t="s">
        <v>2963</v>
      </c>
      <c r="B3296" s="11">
        <v>1000.0</v>
      </c>
      <c r="C3296" s="12" t="s">
        <v>1065</v>
      </c>
      <c r="E3296" s="8" t="str">
        <f>IFERROR(__xludf.DUMMYFUNCTION("SPLIT(A3296,""TX"")"),"Beard, Bramlet
PO Box 1224
Ennis, ")</f>
        <v>Beard, Bramlet
PO Box 1224
Ennis, </v>
      </c>
      <c r="F3296" s="8">
        <f>IFERROR(__xludf.DUMMYFUNCTION("""COMPUTED_VALUE"""),75120.0)</f>
        <v>75120</v>
      </c>
      <c r="I3296" s="8">
        <f t="shared" si="36"/>
        <v>75120</v>
      </c>
      <c r="J3296" s="9">
        <f>IFERROR(__xludf.DUMMYFUNCTION("SPLIT(I3296,""-"")"),75120.0)</f>
        <v>75120</v>
      </c>
    </row>
    <row r="3297">
      <c r="A3297" s="10" t="s">
        <v>2964</v>
      </c>
      <c r="B3297" s="11">
        <v>250.0</v>
      </c>
      <c r="C3297" s="12" t="s">
        <v>1065</v>
      </c>
      <c r="E3297" s="8" t="str">
        <f>IFERROR(__xludf.DUMMYFUNCTION("SPLIT(A3297,""TX"")"),"Berry, Sammie
1219 Coronado Lane
Duncanville, ")</f>
        <v>Berry, Sammie
1219 Coronado Lane
Duncanville, </v>
      </c>
      <c r="F3297" s="8">
        <f>IFERROR(__xludf.DUMMYFUNCTION("""COMPUTED_VALUE"""),75137.0)</f>
        <v>75137</v>
      </c>
      <c r="I3297" s="8">
        <f t="shared" si="36"/>
        <v>75137</v>
      </c>
      <c r="J3297" s="9">
        <f>IFERROR(__xludf.DUMMYFUNCTION("SPLIT(I3297,""-"")"),75137.0)</f>
        <v>75137</v>
      </c>
    </row>
    <row r="3298">
      <c r="A3298" s="10" t="s">
        <v>2965</v>
      </c>
      <c r="B3298" s="11">
        <v>1000.0</v>
      </c>
      <c r="C3298" s="12" t="s">
        <v>1065</v>
      </c>
      <c r="E3298" s="8" t="str">
        <f>IFERROR(__xludf.DUMMYFUNCTION("SPLIT(A3298,""TX"")"),"Blessing, Edward
8235 Douglas Ave
Dallas, ")</f>
        <v>Blessing, Edward
8235 Douglas Ave
Dallas, </v>
      </c>
      <c r="F3298" s="8">
        <f>IFERROR(__xludf.DUMMYFUNCTION("""COMPUTED_VALUE"""),75225.0)</f>
        <v>75225</v>
      </c>
      <c r="I3298" s="8">
        <f t="shared" si="36"/>
        <v>75225</v>
      </c>
      <c r="J3298" s="9">
        <f>IFERROR(__xludf.DUMMYFUNCTION("SPLIT(I3298,""-"")"),75225.0)</f>
        <v>75225</v>
      </c>
    </row>
    <row r="3299">
      <c r="A3299" s="10" t="s">
        <v>2966</v>
      </c>
      <c r="B3299" s="11">
        <v>5000.0</v>
      </c>
      <c r="C3299" s="12" t="s">
        <v>1065</v>
      </c>
      <c r="E3299" s="8" t="str">
        <f>IFERROR(__xludf.DUMMYFUNCTION("SPLIT(A3299,""TX"")"),"Comerica Incorporated PAC
1717 Main Street
Dallas, ")</f>
        <v>Comerica Incorporated PAC
1717 Main Street
Dallas, </v>
      </c>
      <c r="F3299" s="8">
        <f>IFERROR(__xludf.DUMMYFUNCTION("""COMPUTED_VALUE"""),75201.0)</f>
        <v>75201</v>
      </c>
      <c r="I3299" s="8">
        <f t="shared" si="36"/>
        <v>75201</v>
      </c>
      <c r="J3299" s="9">
        <f>IFERROR(__xludf.DUMMYFUNCTION("SPLIT(I3299,""-"")"),75201.0)</f>
        <v>75201</v>
      </c>
    </row>
    <row r="3300">
      <c r="A3300" s="10" t="s">
        <v>2967</v>
      </c>
      <c r="B3300" s="11">
        <v>500.0</v>
      </c>
      <c r="C3300" s="12" t="s">
        <v>1065</v>
      </c>
      <c r="E3300" s="8" t="str">
        <f>IFERROR(__xludf.DUMMYFUNCTION("SPLIT(A3300,""TX"")"),"HealthPAC
PO Box 4680
Dallas, ")</f>
        <v>HealthPAC
PO Box 4680
Dallas, </v>
      </c>
      <c r="F3300" s="8">
        <f>IFERROR(__xludf.DUMMYFUNCTION("""COMPUTED_VALUE"""),75208.0)</f>
        <v>75208</v>
      </c>
      <c r="I3300" s="8">
        <f t="shared" si="36"/>
        <v>75208</v>
      </c>
      <c r="J3300" s="9">
        <f>IFERROR(__xludf.DUMMYFUNCTION("SPLIT(I3300,""-"")"),75208.0)</f>
        <v>75208</v>
      </c>
    </row>
    <row r="3301">
      <c r="A3301" s="10" t="s">
        <v>153</v>
      </c>
      <c r="B3301" s="11">
        <v>5000.0</v>
      </c>
      <c r="C3301" s="12" t="s">
        <v>1065</v>
      </c>
      <c r="E3301" s="8" t="str">
        <f>IFERROR(__xludf.DUMMYFUNCTION("SPLIT(A3301,""TX"")"),"Deason, Darwin
3953 Maple Ave
Dallas, ")</f>
        <v>Deason, Darwin
3953 Maple Ave
Dallas, </v>
      </c>
      <c r="F3301" s="8">
        <f>IFERROR(__xludf.DUMMYFUNCTION("""COMPUTED_VALUE"""),75219.0)</f>
        <v>75219</v>
      </c>
      <c r="I3301" s="8">
        <f t="shared" si="36"/>
        <v>75219</v>
      </c>
      <c r="J3301" s="9">
        <f>IFERROR(__xludf.DUMMYFUNCTION("SPLIT(I3301,""-"")"),75219.0)</f>
        <v>75219</v>
      </c>
    </row>
    <row r="3302">
      <c r="A3302" s="10" t="s">
        <v>2108</v>
      </c>
      <c r="B3302" s="11">
        <v>5000.0</v>
      </c>
      <c r="C3302" s="12" t="s">
        <v>1065</v>
      </c>
      <c r="E3302" s="8" t="str">
        <f>IFERROR(__xludf.DUMMYFUNCTION("SPLIT(A3302,""TX"")"),"Deason, Doug
10134 Waller Dr
Dallas, ")</f>
        <v>Deason, Doug
10134 Waller Dr
Dallas, </v>
      </c>
      <c r="F3302" s="8">
        <f>IFERROR(__xludf.DUMMYFUNCTION("""COMPUTED_VALUE"""),75229.0)</f>
        <v>75229</v>
      </c>
      <c r="I3302" s="8">
        <f t="shared" si="36"/>
        <v>75229</v>
      </c>
      <c r="J3302" s="9">
        <f>IFERROR(__xludf.DUMMYFUNCTION("SPLIT(I3302,""-"")"),75229.0)</f>
        <v>75229</v>
      </c>
    </row>
    <row r="3303">
      <c r="A3303" s="10" t="s">
        <v>19</v>
      </c>
      <c r="B3303" s="11">
        <v>1000.0</v>
      </c>
      <c r="C3303" s="12" t="s">
        <v>1065</v>
      </c>
      <c r="E3303" s="8" t="str">
        <f>IFERROR(__xludf.DUMMYFUNCTION("SPLIT(A3303,""TX"")"),"Elk, Charles
6504 Bailey Road
Sachse, ")</f>
        <v>Elk, Charles
6504 Bailey Road
Sachse, </v>
      </c>
      <c r="F3303" s="8">
        <f>IFERROR(__xludf.DUMMYFUNCTION("""COMPUTED_VALUE"""),75048.0)</f>
        <v>75048</v>
      </c>
      <c r="I3303" s="8">
        <f t="shared" si="36"/>
        <v>75048</v>
      </c>
      <c r="J3303" s="9">
        <f>IFERROR(__xludf.DUMMYFUNCTION("SPLIT(I3303,""-"")"),75048.0)</f>
        <v>75048</v>
      </c>
    </row>
    <row r="3304">
      <c r="A3304" s="10" t="s">
        <v>2968</v>
      </c>
      <c r="B3304" s="11">
        <v>100.0</v>
      </c>
      <c r="C3304" s="12" t="s">
        <v>1065</v>
      </c>
      <c r="E3304" s="8" t="str">
        <f>IFERROR(__xludf.DUMMYFUNCTION("SPLIT(A3304,""TX"")"),"Feyer, Robert
2335 Hyde Street
San Francisco, CA 94109")</f>
        <v>Feyer, Robert
2335 Hyde Street
San Francisco, CA 94109</v>
      </c>
      <c r="I3304" s="8" t="str">
        <f t="shared" si="36"/>
        <v/>
      </c>
      <c r="J3304" s="9" t="str">
        <f>IFERROR(__xludf.DUMMYFUNCTION("SPLIT(I3304,""-"")"),"#VALUE!")</f>
        <v>#VALUE!</v>
      </c>
    </row>
    <row r="3305">
      <c r="A3305" s="10" t="s">
        <v>175</v>
      </c>
      <c r="B3305" s="11">
        <v>500.0</v>
      </c>
      <c r="C3305" s="12" t="s">
        <v>1065</v>
      </c>
      <c r="E3305" s="8" t="str">
        <f>IFERROR(__xludf.DUMMYFUNCTION("SPLIT(A3305,""TX"")"),"Forsythe-Lill, Veletta
622 Blair Blvd
Dallas, ")</f>
        <v>Forsythe-Lill, Veletta
622 Blair Blvd
Dallas, </v>
      </c>
      <c r="F3305" s="8">
        <f>IFERROR(__xludf.DUMMYFUNCTION("""COMPUTED_VALUE"""),75223.0)</f>
        <v>75223</v>
      </c>
      <c r="I3305" s="8">
        <f t="shared" si="36"/>
        <v>75223</v>
      </c>
      <c r="J3305" s="9">
        <f>IFERROR(__xludf.DUMMYFUNCTION("SPLIT(I3305,""-"")"),75223.0)</f>
        <v>75223</v>
      </c>
    </row>
    <row r="3306">
      <c r="A3306" s="10" t="s">
        <v>2969</v>
      </c>
      <c r="B3306" s="11">
        <v>100.0</v>
      </c>
      <c r="C3306" s="12" t="s">
        <v>1065</v>
      </c>
      <c r="E3306" s="8" t="str">
        <f>IFERROR(__xludf.DUMMYFUNCTION("SPLIT(A3306,""TX"")"),"Garraway, Selwyn
100 Greenwich St
New York, NY 10006")</f>
        <v>Garraway, Selwyn
100 Greenwich St
New York, NY 10006</v>
      </c>
      <c r="I3306" s="8" t="str">
        <f t="shared" si="36"/>
        <v/>
      </c>
      <c r="J3306" s="9" t="str">
        <f>IFERROR(__xludf.DUMMYFUNCTION("SPLIT(I3306,""-"")"),"#VALUE!")</f>
        <v>#VALUE!</v>
      </c>
    </row>
    <row r="3307">
      <c r="A3307" s="10" t="s">
        <v>2486</v>
      </c>
      <c r="B3307" s="11">
        <v>1000.0</v>
      </c>
      <c r="C3307" s="12" t="s">
        <v>1065</v>
      </c>
      <c r="E3307" s="8" t="str">
        <f>IFERROR(__xludf.DUMMYFUNCTION("SPLIT(A3307,""TX"")"),"Glendenning, Don
2200 Ross Ave
Dallas, ")</f>
        <v>Glendenning, Don
2200 Ross Ave
Dallas, </v>
      </c>
      <c r="F3307" s="8">
        <f>IFERROR(__xludf.DUMMYFUNCTION("""COMPUTED_VALUE"""),75201.0)</f>
        <v>75201</v>
      </c>
      <c r="I3307" s="8">
        <f t="shared" si="36"/>
        <v>75201</v>
      </c>
      <c r="J3307" s="9">
        <f>IFERROR(__xludf.DUMMYFUNCTION("SPLIT(I3307,""-"")"),75201.0)</f>
        <v>75201</v>
      </c>
    </row>
    <row r="3308">
      <c r="A3308" s="10" t="s">
        <v>448</v>
      </c>
      <c r="B3308" s="11">
        <v>250.0</v>
      </c>
      <c r="C3308" s="12" t="s">
        <v>1065</v>
      </c>
      <c r="E3308" s="8" t="str">
        <f>IFERROR(__xludf.DUMMYFUNCTION("SPLIT(A3308,""TX"")"),"Griffith, Gary
6875 Carolyncrest Drive
Dallas, ")</f>
        <v>Griffith, Gary
6875 Carolyncrest Drive
Dallas, </v>
      </c>
      <c r="F3308" s="8">
        <f>IFERROR(__xludf.DUMMYFUNCTION("""COMPUTED_VALUE"""),75214.0)</f>
        <v>75214</v>
      </c>
      <c r="I3308" s="8">
        <f t="shared" si="36"/>
        <v>75214</v>
      </c>
      <c r="J3308" s="9">
        <f>IFERROR(__xludf.DUMMYFUNCTION("SPLIT(I3308,""-"")"),75214.0)</f>
        <v>75214</v>
      </c>
    </row>
    <row r="3309">
      <c r="A3309" s="10" t="s">
        <v>2970</v>
      </c>
      <c r="B3309" s="11">
        <v>10000.0</v>
      </c>
      <c r="C3309" s="12" t="s">
        <v>1065</v>
      </c>
      <c r="E3309" s="8" t="str">
        <f>IFERROR(__xludf.DUMMYFUNCTION("SPLIT(A3309,""TX"")"),"Hall, Stephen
11565 E Ricks Circle
Dallas, ")</f>
        <v>Hall, Stephen
11565 E Ricks Circle
Dallas, </v>
      </c>
      <c r="F3309" s="8">
        <f>IFERROR(__xludf.DUMMYFUNCTION("""COMPUTED_VALUE"""),75230.0)</f>
        <v>75230</v>
      </c>
      <c r="I3309" s="8">
        <f t="shared" si="36"/>
        <v>75230</v>
      </c>
      <c r="J3309" s="9">
        <f>IFERROR(__xludf.DUMMYFUNCTION("SPLIT(I3309,""-"")"),75230.0)</f>
        <v>75230</v>
      </c>
    </row>
    <row r="3310">
      <c r="A3310" s="10" t="s">
        <v>2971</v>
      </c>
      <c r="B3310" s="11">
        <v>1000.0</v>
      </c>
      <c r="C3310" s="12" t="s">
        <v>1065</v>
      </c>
      <c r="E3310" s="8" t="str">
        <f>IFERROR(__xludf.DUMMYFUNCTION("SPLIT(A3310,""TX"")"),"Hasty, Gary
1001 Clinton St
Carrollton, ")</f>
        <v>Hasty, Gary
1001 Clinton St
Carrollton, </v>
      </c>
      <c r="F3310" s="8">
        <f>IFERROR(__xludf.DUMMYFUNCTION("""COMPUTED_VALUE"""),75007.0)</f>
        <v>75007</v>
      </c>
      <c r="I3310" s="8">
        <f t="shared" si="36"/>
        <v>75007</v>
      </c>
      <c r="J3310" s="9">
        <f>IFERROR(__xludf.DUMMYFUNCTION("SPLIT(I3310,""-"")"),75007.0)</f>
        <v>75007</v>
      </c>
    </row>
    <row r="3311">
      <c r="A3311" s="10" t="s">
        <v>1914</v>
      </c>
      <c r="B3311" s="11">
        <v>200.0</v>
      </c>
      <c r="C3311" s="12" t="s">
        <v>1065</v>
      </c>
      <c r="E3311" s="8" t="str">
        <f>IFERROR(__xludf.DUMMYFUNCTION("SPLIT(A3311,""TX"")"),"Helfand, Marcy
7191 Kendallwood Dr
Dallas, ")</f>
        <v>Helfand, Marcy
7191 Kendallwood Dr
Dallas, </v>
      </c>
      <c r="F3311" s="8">
        <f>IFERROR(__xludf.DUMMYFUNCTION("""COMPUTED_VALUE"""),75240.0)</f>
        <v>75240</v>
      </c>
      <c r="I3311" s="8">
        <f t="shared" si="36"/>
        <v>75240</v>
      </c>
      <c r="J3311" s="9">
        <f>IFERROR(__xludf.DUMMYFUNCTION("SPLIT(I3311,""-"")"),75240.0)</f>
        <v>75240</v>
      </c>
    </row>
    <row r="3312">
      <c r="A3312" s="10" t="s">
        <v>2972</v>
      </c>
      <c r="B3312" s="11">
        <v>2500.0</v>
      </c>
      <c r="C3312" s="12" t="s">
        <v>1065</v>
      </c>
      <c r="E3312" s="8" t="str">
        <f>IFERROR(__xludf.DUMMYFUNCTION("SPLIT(A3312,""TX"")"),"Hunt, Hunter
1900 N. Akard St
Dallas, ")</f>
        <v>Hunt, Hunter
1900 N. Akard St
Dallas, </v>
      </c>
      <c r="F3312" s="8">
        <f>IFERROR(__xludf.DUMMYFUNCTION("""COMPUTED_VALUE"""),75201.0)</f>
        <v>75201</v>
      </c>
      <c r="I3312" s="8">
        <f t="shared" si="36"/>
        <v>75201</v>
      </c>
      <c r="J3312" s="9">
        <f>IFERROR(__xludf.DUMMYFUNCTION("SPLIT(I3312,""-"")"),75201.0)</f>
        <v>75201</v>
      </c>
    </row>
    <row r="3313">
      <c r="A3313" s="10" t="s">
        <v>2973</v>
      </c>
      <c r="B3313" s="11">
        <v>250.0</v>
      </c>
      <c r="C3313" s="12" t="s">
        <v>1065</v>
      </c>
      <c r="E3313" s="8" t="str">
        <f>IFERROR(__xludf.DUMMYFUNCTION("SPLIT(A3313,""TX"")"),"Hutchison, Kay
25 Downs Lake Circle
Dallas, ")</f>
        <v>Hutchison, Kay
25 Downs Lake Circle
Dallas, </v>
      </c>
      <c r="F3313" s="8">
        <f>IFERROR(__xludf.DUMMYFUNCTION("""COMPUTED_VALUE"""),75230.0)</f>
        <v>75230</v>
      </c>
      <c r="I3313" s="8">
        <f t="shared" si="36"/>
        <v>75230</v>
      </c>
      <c r="J3313" s="9">
        <f>IFERROR(__xludf.DUMMYFUNCTION("SPLIT(I3313,""-"")"),75230.0)</f>
        <v>75230</v>
      </c>
    </row>
    <row r="3314">
      <c r="A3314" s="10" t="s">
        <v>2974</v>
      </c>
      <c r="B3314" s="11">
        <v>100.0</v>
      </c>
      <c r="C3314" s="12" t="s">
        <v>1065</v>
      </c>
      <c r="E3314" s="8" t="str">
        <f>IFERROR(__xludf.DUMMYFUNCTION("SPLIT(A3314,""TX"")"),"Jackson, John
7010 Delrose Dr
Dallas, ")</f>
        <v>Jackson, John
7010 Delrose Dr
Dallas, </v>
      </c>
      <c r="F3314" s="8">
        <f>IFERROR(__xludf.DUMMYFUNCTION("""COMPUTED_VALUE"""),75214.0)</f>
        <v>75214</v>
      </c>
      <c r="I3314" s="8">
        <f t="shared" si="36"/>
        <v>75214</v>
      </c>
      <c r="J3314" s="9">
        <f>IFERROR(__xludf.DUMMYFUNCTION("SPLIT(I3314,""-"")"),75214.0)</f>
        <v>75214</v>
      </c>
    </row>
    <row r="3315">
      <c r="A3315" s="10" t="s">
        <v>2975</v>
      </c>
      <c r="B3315" s="11">
        <v>250.0</v>
      </c>
      <c r="C3315" s="12" t="s">
        <v>1065</v>
      </c>
      <c r="E3315" s="8" t="str">
        <f>IFERROR(__xludf.DUMMYFUNCTION("SPLIT(A3315,""TX"")"),"Jones, Stuart
5522 Waneta Drive
Dallas, ")</f>
        <v>Jones, Stuart
5522 Waneta Drive
Dallas, </v>
      </c>
      <c r="F3315" s="8">
        <f>IFERROR(__xludf.DUMMYFUNCTION("""COMPUTED_VALUE"""),75209.0)</f>
        <v>75209</v>
      </c>
      <c r="I3315" s="8">
        <f t="shared" si="36"/>
        <v>75209</v>
      </c>
      <c r="J3315" s="9">
        <f>IFERROR(__xludf.DUMMYFUNCTION("SPLIT(I3315,""-"")"),75209.0)</f>
        <v>75209</v>
      </c>
    </row>
    <row r="3316">
      <c r="A3316" s="10" t="s">
        <v>2976</v>
      </c>
      <c r="B3316" s="11">
        <v>1000.0</v>
      </c>
      <c r="C3316" s="12" t="s">
        <v>1065</v>
      </c>
      <c r="E3316" s="8" t="str">
        <f>IFERROR(__xludf.DUMMYFUNCTION("SPLIT(A3316,""TX"")"),"Kumar, Pankaj
5333 Deloache Ave
Dallas, ")</f>
        <v>Kumar, Pankaj
5333 Deloache Ave
Dallas, </v>
      </c>
      <c r="F3316" s="8">
        <f>IFERROR(__xludf.DUMMYFUNCTION("""COMPUTED_VALUE"""),75220.0)</f>
        <v>75220</v>
      </c>
      <c r="I3316" s="8">
        <f t="shared" si="36"/>
        <v>75220</v>
      </c>
      <c r="J3316" s="9">
        <f>IFERROR(__xludf.DUMMYFUNCTION("SPLIT(I3316,""-"")"),75220.0)</f>
        <v>75220</v>
      </c>
    </row>
    <row r="3317">
      <c r="A3317" s="10" t="s">
        <v>2977</v>
      </c>
      <c r="B3317" s="11">
        <v>1000.0</v>
      </c>
      <c r="C3317" s="12" t="s">
        <v>1065</v>
      </c>
      <c r="E3317" s="8" t="str">
        <f>IFERROR(__xludf.DUMMYFUNCTION("SPLIT(A3317,""TX"")"),"Lindsley, H
5525 Stonegate Road
Dallas, ")</f>
        <v>Lindsley, H
5525 Stonegate Road
Dallas, </v>
      </c>
      <c r="F3317" s="8">
        <f>IFERROR(__xludf.DUMMYFUNCTION("""COMPUTED_VALUE"""),75209.0)</f>
        <v>75209</v>
      </c>
      <c r="I3317" s="8">
        <f t="shared" si="36"/>
        <v>75209</v>
      </c>
      <c r="J3317" s="9">
        <f>IFERROR(__xludf.DUMMYFUNCTION("SPLIT(I3317,""-"")"),75209.0)</f>
        <v>75209</v>
      </c>
    </row>
    <row r="3318">
      <c r="A3318" s="10" t="s">
        <v>2978</v>
      </c>
      <c r="B3318" s="11">
        <v>250.0</v>
      </c>
      <c r="C3318" s="12" t="s">
        <v>1065</v>
      </c>
      <c r="E3318" s="8" t="str">
        <f>IFERROR(__xludf.DUMMYFUNCTION("SPLIT(A3318,""TX"")"),"McCants, Rick
613 Birch Lane
Richardson, ")</f>
        <v>McCants, Rick
613 Birch Lane
Richardson, </v>
      </c>
      <c r="F3318" s="8">
        <f>IFERROR(__xludf.DUMMYFUNCTION("""COMPUTED_VALUE"""),75081.0)</f>
        <v>75081</v>
      </c>
      <c r="I3318" s="8">
        <f t="shared" si="36"/>
        <v>75081</v>
      </c>
      <c r="J3318" s="9">
        <f>IFERROR(__xludf.DUMMYFUNCTION("SPLIT(I3318,""-"")"),75081.0)</f>
        <v>75081</v>
      </c>
    </row>
    <row r="3319">
      <c r="A3319" s="10" t="s">
        <v>2489</v>
      </c>
      <c r="B3319" s="11">
        <v>1000.0</v>
      </c>
      <c r="C3319" s="12" t="s">
        <v>1065</v>
      </c>
      <c r="E3319" s="8" t="str">
        <f>IFERROR(__xludf.DUMMYFUNCTION("SPLIT(A3319,""TX"")"),"Mihalopoulos, Frank
4645 N Central Exp
Dallas, ")</f>
        <v>Mihalopoulos, Frank
4645 N Central Exp
Dallas, </v>
      </c>
      <c r="F3319" s="8">
        <f>IFERROR(__xludf.DUMMYFUNCTION("""COMPUTED_VALUE"""),75205.0)</f>
        <v>75205</v>
      </c>
      <c r="I3319" s="8">
        <f t="shared" si="36"/>
        <v>75205</v>
      </c>
      <c r="J3319" s="9">
        <f>IFERROR(__xludf.DUMMYFUNCTION("SPLIT(I3319,""-"")"),75205.0)</f>
        <v>75205</v>
      </c>
    </row>
    <row r="3320">
      <c r="A3320" s="10" t="s">
        <v>2979</v>
      </c>
      <c r="B3320" s="11">
        <v>5000.0</v>
      </c>
      <c r="C3320" s="12" t="s">
        <v>1065</v>
      </c>
      <c r="E3320" s="8" t="str">
        <f>IFERROR(__xludf.DUMMYFUNCTION("SPLIT(A3320,""TX"")"),"Mitchell, Amy &amp; Malone
4321 Saint Johns Dr
Dallas, ")</f>
        <v>Mitchell, Amy &amp; Malone
4321 Saint Johns Dr
Dallas, </v>
      </c>
      <c r="F3320" s="8">
        <f>IFERROR(__xludf.DUMMYFUNCTION("""COMPUTED_VALUE"""),75205.0)</f>
        <v>75205</v>
      </c>
      <c r="I3320" s="8">
        <f t="shared" si="36"/>
        <v>75205</v>
      </c>
      <c r="J3320" s="9">
        <f>IFERROR(__xludf.DUMMYFUNCTION("SPLIT(I3320,""-"")"),75205.0)</f>
        <v>75205</v>
      </c>
    </row>
    <row r="3321">
      <c r="A3321" s="10" t="s">
        <v>2980</v>
      </c>
      <c r="B3321" s="11">
        <v>100.0</v>
      </c>
      <c r="C3321" s="12" t="s">
        <v>1065</v>
      </c>
      <c r="E3321" s="8" t="str">
        <f>IFERROR(__xludf.DUMMYFUNCTION("SPLIT(A3321,""TX"")"),"Murphy, James
7725 La Cosa Dr
Dallas, ")</f>
        <v>Murphy, James
7725 La Cosa Dr
Dallas, </v>
      </c>
      <c r="F3321" s="8">
        <f>IFERROR(__xludf.DUMMYFUNCTION("""COMPUTED_VALUE"""),75248.0)</f>
        <v>75248</v>
      </c>
      <c r="I3321" s="8">
        <f t="shared" si="36"/>
        <v>75248</v>
      </c>
      <c r="J3321" s="9">
        <f>IFERROR(__xludf.DUMMYFUNCTION("SPLIT(I3321,""-"")"),75248.0)</f>
        <v>75248</v>
      </c>
    </row>
    <row r="3322">
      <c r="A3322" s="10" t="s">
        <v>2981</v>
      </c>
      <c r="B3322" s="11">
        <v>1000.0</v>
      </c>
      <c r="C3322" s="12" t="s">
        <v>1065</v>
      </c>
      <c r="E3322" s="8" t="str">
        <f>IFERROR(__xludf.DUMMYFUNCTION("SPLIT(A3322,""TX"")"),"Myers, Mike
6310 Lemmon Ave
Dallas, ")</f>
        <v>Myers, Mike
6310 Lemmon Ave
Dallas, </v>
      </c>
      <c r="F3322" s="8">
        <f>IFERROR(__xludf.DUMMYFUNCTION("""COMPUTED_VALUE"""),75209.0)</f>
        <v>75209</v>
      </c>
      <c r="I3322" s="8">
        <f t="shared" si="36"/>
        <v>75209</v>
      </c>
      <c r="J3322" s="9">
        <f>IFERROR(__xludf.DUMMYFUNCTION("SPLIT(I3322,""-"")"),75209.0)</f>
        <v>75209</v>
      </c>
    </row>
    <row r="3323">
      <c r="A3323" s="10" t="s">
        <v>2982</v>
      </c>
      <c r="B3323" s="11">
        <v>2500.0</v>
      </c>
      <c r="C3323" s="12" t="s">
        <v>1065</v>
      </c>
      <c r="E3323" s="8" t="str">
        <f>IFERROR(__xludf.DUMMYFUNCTION("SPLIT(A3323,""TX"")"),"Bates, Floyd
2705 Irving Blvd
Dallas, ")</f>
        <v>Bates, Floyd
2705 Irving Blvd
Dallas, </v>
      </c>
      <c r="F3323" s="8">
        <f>IFERROR(__xludf.DUMMYFUNCTION("""COMPUTED_VALUE"""),75207.0)</f>
        <v>75207</v>
      </c>
      <c r="I3323" s="8">
        <f t="shared" si="36"/>
        <v>75207</v>
      </c>
      <c r="J3323" s="9">
        <f>IFERROR(__xludf.DUMMYFUNCTION("SPLIT(I3323,""-"")"),75207.0)</f>
        <v>75207</v>
      </c>
    </row>
    <row r="3324">
      <c r="A3324" s="10" t="s">
        <v>2983</v>
      </c>
      <c r="B3324" s="11">
        <v>250.0</v>
      </c>
      <c r="C3324" s="12" t="s">
        <v>1065</v>
      </c>
      <c r="E3324" s="8" t="str">
        <f>IFERROR(__xludf.DUMMYFUNCTION("SPLIT(A3324,""TX"")"),"Norris, Gina
4240 Prescott Ave
Dallas, ")</f>
        <v>Norris, Gina
4240 Prescott Ave
Dallas, </v>
      </c>
      <c r="F3324" s="8">
        <f>IFERROR(__xludf.DUMMYFUNCTION("""COMPUTED_VALUE"""),75219.0)</f>
        <v>75219</v>
      </c>
      <c r="I3324" s="8">
        <f t="shared" si="36"/>
        <v>75219</v>
      </c>
      <c r="J3324" s="9">
        <f>IFERROR(__xludf.DUMMYFUNCTION("SPLIT(I3324,""-"")"),75219.0)</f>
        <v>75219</v>
      </c>
    </row>
    <row r="3325">
      <c r="A3325" s="10" t="s">
        <v>2984</v>
      </c>
      <c r="B3325" s="11">
        <v>1000.0</v>
      </c>
      <c r="C3325" s="12" t="s">
        <v>1065</v>
      </c>
      <c r="E3325" s="8" t="str">
        <f>IFERROR(__xludf.DUMMYFUNCTION("SPLIT(A3325,""TX"")"),"Nye, Erle
8523 ")</f>
        <v>Nye, Erle
8523 </v>
      </c>
      <c r="F3325" s="8" t="str">
        <f>IFERROR(__xludf.DUMMYFUNCTION("""COMPUTED_VALUE"""),"hackery St
Dallas, ")</f>
        <v>hackery St
Dallas, </v>
      </c>
      <c r="G3325" s="8">
        <f>IFERROR(__xludf.DUMMYFUNCTION("""COMPUTED_VALUE"""),75225.0)</f>
        <v>75225</v>
      </c>
      <c r="I3325" s="8">
        <f t="shared" si="36"/>
        <v>75225</v>
      </c>
      <c r="J3325" s="9">
        <f>IFERROR(__xludf.DUMMYFUNCTION("SPLIT(I3325,""-"")"),75225.0)</f>
        <v>75225</v>
      </c>
    </row>
    <row r="3326">
      <c r="A3326" s="10" t="s">
        <v>2985</v>
      </c>
      <c r="B3326" s="11">
        <v>500.0</v>
      </c>
      <c r="C3326" s="12" t="s">
        <v>1065</v>
      </c>
      <c r="E3326" s="8" t="str">
        <f>IFERROR(__xludf.DUMMYFUNCTION("SPLIT(A3326,""TX"")"),"Perryman, ")</f>
        <v>Perryman, </v>
      </c>
      <c r="F3326" s="8" t="str">
        <f>IFERROR(__xludf.DUMMYFUNCTION("""COMPUTED_VALUE"""),"om &amp; Sally
6138 Woodland Dr
Dallas, ")</f>
        <v>om &amp; Sally
6138 Woodland Dr
Dallas, </v>
      </c>
      <c r="G3326" s="8">
        <f>IFERROR(__xludf.DUMMYFUNCTION("""COMPUTED_VALUE"""),75225.0)</f>
        <v>75225</v>
      </c>
      <c r="I3326" s="8">
        <f t="shared" si="36"/>
        <v>75225</v>
      </c>
      <c r="J3326" s="9">
        <f>IFERROR(__xludf.DUMMYFUNCTION("SPLIT(I3326,""-"")"),75225.0)</f>
        <v>75225</v>
      </c>
    </row>
    <row r="3327">
      <c r="A3327" s="10" t="s">
        <v>2986</v>
      </c>
      <c r="B3327" s="11">
        <v>250.0</v>
      </c>
      <c r="C3327" s="12" t="s">
        <v>1065</v>
      </c>
      <c r="E3327" s="8" t="str">
        <f>IFERROR(__xludf.DUMMYFUNCTION("SPLIT(A3327,""TX"")"),"Rajani, Saleem
515 W Main St
Allen, ")</f>
        <v>Rajani, Saleem
515 W Main St
Allen, </v>
      </c>
      <c r="F3327" s="8">
        <f>IFERROR(__xludf.DUMMYFUNCTION("""COMPUTED_VALUE"""),75013.0)</f>
        <v>75013</v>
      </c>
      <c r="I3327" s="8">
        <f t="shared" si="36"/>
        <v>75013</v>
      </c>
      <c r="J3327" s="9">
        <f>IFERROR(__xludf.DUMMYFUNCTION("SPLIT(I3327,""-"")"),75013.0)</f>
        <v>75013</v>
      </c>
    </row>
    <row r="3328">
      <c r="A3328" s="10" t="s">
        <v>2987</v>
      </c>
      <c r="B3328" s="11">
        <v>5000.0</v>
      </c>
      <c r="C3328" s="12" t="s">
        <v>1065</v>
      </c>
      <c r="E3328" s="8" t="str">
        <f>IFERROR(__xludf.DUMMYFUNCTION("SPLIT(A3328,""TX"")"),"Rose, Deedie
3963 Maple Ave
Dallas, ")</f>
        <v>Rose, Deedie
3963 Maple Ave
Dallas, </v>
      </c>
      <c r="F3328" s="8">
        <f>IFERROR(__xludf.DUMMYFUNCTION("""COMPUTED_VALUE"""),75219.0)</f>
        <v>75219</v>
      </c>
      <c r="I3328" s="8">
        <f t="shared" si="36"/>
        <v>75219</v>
      </c>
      <c r="J3328" s="9">
        <f>IFERROR(__xludf.DUMMYFUNCTION("SPLIT(I3328,""-"")"),75219.0)</f>
        <v>75219</v>
      </c>
    </row>
    <row r="3329">
      <c r="A3329" s="10" t="s">
        <v>2988</v>
      </c>
      <c r="B3329" s="11">
        <v>500.0</v>
      </c>
      <c r="C3329" s="12" t="s">
        <v>1065</v>
      </c>
      <c r="E3329" s="8" t="str">
        <f>IFERROR(__xludf.DUMMYFUNCTION("SPLIT(A3329,""TX"")"),"Sakurai, ")</f>
        <v>Sakurai, </v>
      </c>
      <c r="F3329" s="8" t="str">
        <f>IFERROR(__xludf.DUMMYFUNCTION("""COMPUTED_VALUE"""),"eiichi
1722 Routh St
Dallas, ")</f>
        <v>eiichi
1722 Routh St
Dallas, </v>
      </c>
      <c r="G3329" s="8">
        <f>IFERROR(__xludf.DUMMYFUNCTION("""COMPUTED_VALUE"""),75201.0)</f>
        <v>75201</v>
      </c>
      <c r="I3329" s="8">
        <f t="shared" si="36"/>
        <v>75201</v>
      </c>
      <c r="J3329" s="9">
        <f>IFERROR(__xludf.DUMMYFUNCTION("SPLIT(I3329,""-"")"),75201.0)</f>
        <v>75201</v>
      </c>
    </row>
    <row r="3330">
      <c r="A3330" s="10" t="s">
        <v>344</v>
      </c>
      <c r="B3330" s="11">
        <v>1000.0</v>
      </c>
      <c r="C3330" s="12" t="s">
        <v>1065</v>
      </c>
      <c r="E3330" s="8" t="str">
        <f>IFERROR(__xludf.DUMMYFUNCTION("SPLIT(A3330,""TX"")"),"Sampson, Demetris
PO Box 763834
Dallas, ")</f>
        <v>Sampson, Demetris
PO Box 763834
Dallas, </v>
      </c>
      <c r="F3330" s="8">
        <f>IFERROR(__xludf.DUMMYFUNCTION("""COMPUTED_VALUE"""),75376.0)</f>
        <v>75376</v>
      </c>
      <c r="I3330" s="8">
        <f t="shared" si="36"/>
        <v>75376</v>
      </c>
      <c r="J3330" s="9">
        <f>IFERROR(__xludf.DUMMYFUNCTION("SPLIT(I3330,""-"")"),75376.0)</f>
        <v>75376</v>
      </c>
    </row>
    <row r="3331">
      <c r="A3331" s="10" t="s">
        <v>2989</v>
      </c>
      <c r="B3331" s="11">
        <v>10000.0</v>
      </c>
      <c r="C3331" s="12" t="s">
        <v>1065</v>
      </c>
      <c r="E3331" s="8" t="str">
        <f>IFERROR(__xludf.DUMMYFUNCTION("SPLIT(A3331,""TX"")"),"Sewell, Carl
3860 W Northwest Hwy
Dallas, ")</f>
        <v>Sewell, Carl
3860 W Northwest Hwy
Dallas, </v>
      </c>
      <c r="F3331" s="8">
        <f>IFERROR(__xludf.DUMMYFUNCTION("""COMPUTED_VALUE"""),75220.0)</f>
        <v>75220</v>
      </c>
      <c r="I3331" s="8">
        <f t="shared" si="36"/>
        <v>75220</v>
      </c>
      <c r="J3331" s="9">
        <f>IFERROR(__xludf.DUMMYFUNCTION("SPLIT(I3331,""-"")"),75220.0)</f>
        <v>75220</v>
      </c>
    </row>
    <row r="3332">
      <c r="A3332" s="10" t="s">
        <v>2460</v>
      </c>
      <c r="B3332" s="11">
        <v>1000.0</v>
      </c>
      <c r="C3332" s="12" t="s">
        <v>1065</v>
      </c>
      <c r="E3332" s="8" t="str">
        <f>IFERROR(__xludf.DUMMYFUNCTION("SPLIT(A3332,""TX"")"),"SOU")</f>
        <v>SOU</v>
      </c>
      <c r="F3332" s="8" t="str">
        <f>IFERROR(__xludf.DUMMYFUNCTION("""COMPUTED_VALUE"""),"HWES")</f>
        <v>HWES</v>
      </c>
      <c r="G3332" s="8" t="str">
        <f>IFERROR(__xludf.DUMMYFUNCTION("""COMPUTED_VALUE""")," AIRLINES CO FREEDOM FUND
PO Box 36611
Dallas, ")</f>
        <v> AIRLINES CO FREEDOM FUND
PO Box 36611
Dallas, </v>
      </c>
      <c r="H3332" s="8">
        <f>IFERROR(__xludf.DUMMYFUNCTION("""COMPUTED_VALUE"""),75235.0)</f>
        <v>75235</v>
      </c>
      <c r="I3332" s="13">
        <v>75235.0</v>
      </c>
      <c r="J3332" s="9">
        <f>IFERROR(__xludf.DUMMYFUNCTION("SPLIT(I3332,""-"")"),75235.0)</f>
        <v>75235</v>
      </c>
    </row>
    <row r="3333">
      <c r="A3333" s="10" t="s">
        <v>2990</v>
      </c>
      <c r="B3333" s="11">
        <v>5000.0</v>
      </c>
      <c r="C3333" s="12" t="s">
        <v>1065</v>
      </c>
      <c r="E3333" s="8" t="str">
        <f>IFERROR(__xludf.DUMMYFUNCTION("SPLIT(A3333,""TX"")"),"Staubach, Roger
5242 Ravine Dr
Dallas, ")</f>
        <v>Staubach, Roger
5242 Ravine Dr
Dallas, </v>
      </c>
      <c r="F3333" s="8">
        <f>IFERROR(__xludf.DUMMYFUNCTION("""COMPUTED_VALUE"""),75220.0)</f>
        <v>75220</v>
      </c>
      <c r="I3333" s="8">
        <f t="shared" ref="I3333:I3357" si="37">IF(ISBLANK(G3333),F3333,G3333)</f>
        <v>75220</v>
      </c>
      <c r="J3333" s="9">
        <f>IFERROR(__xludf.DUMMYFUNCTION("SPLIT(I3333,""-"")"),75220.0)</f>
        <v>75220</v>
      </c>
    </row>
    <row r="3334">
      <c r="A3334" s="10" t="s">
        <v>2991</v>
      </c>
      <c r="B3334" s="11">
        <v>25.0</v>
      </c>
      <c r="C3334" s="12" t="s">
        <v>1065</v>
      </c>
      <c r="E3334" s="8" t="str">
        <f>IFERROR(__xludf.DUMMYFUNCTION("SPLIT(A3334,""TX"")"),"anner, Desi
2707 Runningbrook
Dallas, ")</f>
        <v>anner, Desi
2707 Runningbrook
Dallas, </v>
      </c>
      <c r="F3334" s="8">
        <f>IFERROR(__xludf.DUMMYFUNCTION("""COMPUTED_VALUE"""),75228.0)</f>
        <v>75228</v>
      </c>
      <c r="I3334" s="8">
        <f t="shared" si="37"/>
        <v>75228</v>
      </c>
      <c r="J3334" s="9">
        <f>IFERROR(__xludf.DUMMYFUNCTION("SPLIT(I3334,""-"")"),75228.0)</f>
        <v>75228</v>
      </c>
    </row>
    <row r="3335">
      <c r="A3335" s="10" t="s">
        <v>2992</v>
      </c>
      <c r="B3335" s="11">
        <v>1000.0</v>
      </c>
      <c r="C3335" s="12" t="s">
        <v>1065</v>
      </c>
      <c r="E3335" s="8" t="str">
        <f>IFERROR(__xludf.DUMMYFUNCTION("SPLIT(A3335,""TX"")"),"Westcott, Jimmy
3901 ")</f>
        <v>Westcott, Jimmy
3901 </v>
      </c>
      <c r="F3335" s="8" t="str">
        <f>IFERROR(__xludf.DUMMYFUNCTION("""COMPUTED_VALUE"""),"urtle Creek Blvd
Dallas, ")</f>
        <v>urtle Creek Blvd
Dallas, </v>
      </c>
      <c r="G3335" s="8">
        <f>IFERROR(__xludf.DUMMYFUNCTION("""COMPUTED_VALUE"""),75219.0)</f>
        <v>75219</v>
      </c>
      <c r="I3335" s="8">
        <f t="shared" si="37"/>
        <v>75219</v>
      </c>
      <c r="J3335" s="9">
        <f>IFERROR(__xludf.DUMMYFUNCTION("SPLIT(I3335,""-"")"),75219.0)</f>
        <v>75219</v>
      </c>
    </row>
    <row r="3336">
      <c r="A3336" s="10" t="s">
        <v>1071</v>
      </c>
      <c r="B3336" s="11">
        <v>3000.0</v>
      </c>
      <c r="C3336" s="12" t="s">
        <v>1065</v>
      </c>
      <c r="E3336" s="8" t="str">
        <f>IFERROR(__xludf.DUMMYFUNCTION("SPLIT(A3336,""TX"")"),"White, Carlos
733 Mulberry Lane
Desoto, ")</f>
        <v>White, Carlos
733 Mulberry Lane
Desoto, </v>
      </c>
      <c r="F3336" s="8">
        <f>IFERROR(__xludf.DUMMYFUNCTION("""COMPUTED_VALUE"""),75115.0)</f>
        <v>75115</v>
      </c>
      <c r="I3336" s="8">
        <f t="shared" si="37"/>
        <v>75115</v>
      </c>
      <c r="J3336" s="9">
        <f>IFERROR(__xludf.DUMMYFUNCTION("SPLIT(I3336,""-"")"),75115.0)</f>
        <v>75115</v>
      </c>
    </row>
    <row r="3337">
      <c r="A3337" s="10" t="s">
        <v>2504</v>
      </c>
      <c r="B3337" s="11">
        <v>1000.0</v>
      </c>
      <c r="C3337" s="12" t="s">
        <v>1065</v>
      </c>
      <c r="E3337" s="8" t="str">
        <f>IFERROR(__xludf.DUMMYFUNCTION("SPLIT(A3337,""TX"")"),"WSP USA PAC
1 Penn Plaza
New York, NY 10119")</f>
        <v>WSP USA PAC
1 Penn Plaza
New York, NY 10119</v>
      </c>
      <c r="I3337" s="8" t="str">
        <f t="shared" si="37"/>
        <v/>
      </c>
      <c r="J3337" s="9" t="str">
        <f>IFERROR(__xludf.DUMMYFUNCTION("SPLIT(I3337,""-"")"),"#VALUE!")</f>
        <v>#VALUE!</v>
      </c>
    </row>
    <row r="3338">
      <c r="A3338" s="10" t="s">
        <v>2993</v>
      </c>
      <c r="B3338" s="11">
        <v>5000.0</v>
      </c>
      <c r="C3338" s="12" t="s">
        <v>1065</v>
      </c>
      <c r="E3338" s="8" t="str">
        <f>IFERROR(__xludf.DUMMYFUNCTION("SPLIT(A3338,""TX"")"),"Matthews, John
320 W Main St
Lewisville, ")</f>
        <v>Matthews, John
320 W Main St
Lewisville, </v>
      </c>
      <c r="F3338" s="8">
        <f>IFERROR(__xludf.DUMMYFUNCTION("""COMPUTED_VALUE"""),75057.0)</f>
        <v>75057</v>
      </c>
      <c r="I3338" s="8">
        <f t="shared" si="37"/>
        <v>75057</v>
      </c>
      <c r="J3338" s="9">
        <f>IFERROR(__xludf.DUMMYFUNCTION("SPLIT(I3338,""-"")"),75057.0)</f>
        <v>75057</v>
      </c>
    </row>
    <row r="3339">
      <c r="A3339" s="10" t="s">
        <v>2994</v>
      </c>
      <c r="B3339" s="11">
        <v>10000.0</v>
      </c>
      <c r="C3339" s="12" t="s">
        <v>1065</v>
      </c>
      <c r="E3339" s="8" t="str">
        <f>IFERROR(__xludf.DUMMYFUNCTION("SPLIT(A3339,""TX"")"),"Perot Jr., Ross
3000 ")</f>
        <v>Perot Jr., Ross
3000 </v>
      </c>
      <c r="F3339" s="8" t="str">
        <f>IFERROR(__xludf.DUMMYFUNCTION("""COMPUTED_VALUE"""),"urtle Creek Blvd
Dallas, ")</f>
        <v>urtle Creek Blvd
Dallas, </v>
      </c>
      <c r="G3339" s="8">
        <f>IFERROR(__xludf.DUMMYFUNCTION("""COMPUTED_VALUE"""),75219.0)</f>
        <v>75219</v>
      </c>
      <c r="I3339" s="8">
        <f t="shared" si="37"/>
        <v>75219</v>
      </c>
      <c r="J3339" s="9">
        <f>IFERROR(__xludf.DUMMYFUNCTION("SPLIT(I3339,""-"")"),75219.0)</f>
        <v>75219</v>
      </c>
    </row>
    <row r="3340">
      <c r="A3340" s="10" t="s">
        <v>2995</v>
      </c>
      <c r="B3340" s="11">
        <v>2500.0</v>
      </c>
      <c r="C3340" s="12" t="s">
        <v>1065</v>
      </c>
      <c r="E3340" s="8" t="str">
        <f>IFERROR(__xludf.DUMMYFUNCTION("SPLIT(A3340,""TX"")"),"illotson, Jeffrey
4515 W Mockingbird Ln
Dallas, ")</f>
        <v>illotson, Jeffrey
4515 W Mockingbird Ln
Dallas, </v>
      </c>
      <c r="F3340" s="8">
        <f>IFERROR(__xludf.DUMMYFUNCTION("""COMPUTED_VALUE"""),75209.0)</f>
        <v>75209</v>
      </c>
      <c r="I3340" s="8">
        <f t="shared" si="37"/>
        <v>75209</v>
      </c>
      <c r="J3340" s="9">
        <f>IFERROR(__xludf.DUMMYFUNCTION("SPLIT(I3340,""-"")"),75209.0)</f>
        <v>75209</v>
      </c>
    </row>
    <row r="3341">
      <c r="A3341" s="10" t="s">
        <v>2958</v>
      </c>
      <c r="B3341" s="11">
        <v>500.0</v>
      </c>
      <c r="C3341" s="12" t="s">
        <v>1060</v>
      </c>
      <c r="E3341" s="8" t="str">
        <f>IFERROR(__xludf.DUMMYFUNCTION("SPLIT(A3341,""TX"")"),"Gerber, Pam
4435 Holland Ave.
Dallas, ")</f>
        <v>Gerber, Pam
4435 Holland Ave.
Dallas, </v>
      </c>
      <c r="F3341" s="8">
        <f>IFERROR(__xludf.DUMMYFUNCTION("""COMPUTED_VALUE"""),75219.0)</f>
        <v>75219</v>
      </c>
      <c r="I3341" s="8">
        <f t="shared" si="37"/>
        <v>75219</v>
      </c>
      <c r="J3341" s="9">
        <f>IFERROR(__xludf.DUMMYFUNCTION("SPLIT(I3341,""-"")"),75219.0)</f>
        <v>75219</v>
      </c>
    </row>
    <row r="3342">
      <c r="A3342" s="5" t="s">
        <v>2996</v>
      </c>
      <c r="B3342" s="6">
        <v>500.0</v>
      </c>
      <c r="C3342" s="7" t="s">
        <v>1065</v>
      </c>
      <c r="E3342" s="8" t="str">
        <f>IFERROR(__xludf.DUMMYFUNCTION("SPLIT(A3342,""TX"")"),"Goldberg, Kenneth
4 Robledo Dr
Dallas, ")</f>
        <v>Goldberg, Kenneth
4 Robledo Dr
Dallas, </v>
      </c>
      <c r="F3342" s="8">
        <f>IFERROR(__xludf.DUMMYFUNCTION("""COMPUTED_VALUE"""),75230.0)</f>
        <v>75230</v>
      </c>
      <c r="I3342" s="8">
        <f t="shared" si="37"/>
        <v>75230</v>
      </c>
      <c r="J3342" s="9">
        <f>IFERROR(__xludf.DUMMYFUNCTION("SPLIT(I3342,""-"")"),75230.0)</f>
        <v>75230</v>
      </c>
    </row>
    <row r="3343">
      <c r="A3343" s="5" t="s">
        <v>2997</v>
      </c>
      <c r="B3343" s="6">
        <v>2500.0</v>
      </c>
      <c r="C3343" s="7" t="s">
        <v>1065</v>
      </c>
      <c r="E3343" s="8" t="str">
        <f>IFERROR(__xludf.DUMMYFUNCTION("SPLIT(A3343,""TX"")"),"Drysdale, Joseph
3300 Wentwood Dr
Dallas, ")</f>
        <v>Drysdale, Joseph
3300 Wentwood Dr
Dallas, </v>
      </c>
      <c r="F3343" s="8">
        <f>IFERROR(__xludf.DUMMYFUNCTION("""COMPUTED_VALUE"""),75225.0)</f>
        <v>75225</v>
      </c>
      <c r="I3343" s="8">
        <f t="shared" si="37"/>
        <v>75225</v>
      </c>
      <c r="J3343" s="9">
        <f>IFERROR(__xludf.DUMMYFUNCTION("SPLIT(I3343,""-"")"),75225.0)</f>
        <v>75225</v>
      </c>
    </row>
    <row r="3344">
      <c r="A3344" s="5" t="s">
        <v>2998</v>
      </c>
      <c r="B3344" s="6">
        <v>1000.0</v>
      </c>
      <c r="C3344" s="7" t="s">
        <v>1065</v>
      </c>
      <c r="E3344" s="8" t="str">
        <f>IFERROR(__xludf.DUMMYFUNCTION("SPLIT(A3344,""TX"")"),"Doak, Michael
4421 Beverly Dr
Dallas, ")</f>
        <v>Doak, Michael
4421 Beverly Dr
Dallas, </v>
      </c>
      <c r="F3344" s="8">
        <f>IFERROR(__xludf.DUMMYFUNCTION("""COMPUTED_VALUE"""),75205.0)</f>
        <v>75205</v>
      </c>
      <c r="I3344" s="8">
        <f t="shared" si="37"/>
        <v>75205</v>
      </c>
      <c r="J3344" s="9">
        <f>IFERROR(__xludf.DUMMYFUNCTION("SPLIT(I3344,""-"")"),75205.0)</f>
        <v>75205</v>
      </c>
    </row>
    <row r="3345">
      <c r="A3345" s="5" t="s">
        <v>2999</v>
      </c>
      <c r="B3345" s="6">
        <v>250.0</v>
      </c>
      <c r="C3345" s="7" t="s">
        <v>1065</v>
      </c>
      <c r="E3345" s="8" t="str">
        <f>IFERROR(__xludf.DUMMYFUNCTION("SPLIT(A3345,""TX"")"),"Welsh, Fred
2706 Lawtherwood Ct
Dallas, ")</f>
        <v>Welsh, Fred
2706 Lawtherwood Ct
Dallas, </v>
      </c>
      <c r="F3345" s="8">
        <f>IFERROR(__xludf.DUMMYFUNCTION("""COMPUTED_VALUE"""),75214.0)</f>
        <v>75214</v>
      </c>
      <c r="I3345" s="8">
        <f t="shared" si="37"/>
        <v>75214</v>
      </c>
      <c r="J3345" s="9">
        <f>IFERROR(__xludf.DUMMYFUNCTION("SPLIT(I3345,""-"")"),75214.0)</f>
        <v>75214</v>
      </c>
    </row>
    <row r="3346">
      <c r="A3346" s="5" t="s">
        <v>3000</v>
      </c>
      <c r="B3346" s="6">
        <v>1000.0</v>
      </c>
      <c r="C3346" s="7" t="s">
        <v>1065</v>
      </c>
      <c r="E3346" s="8" t="str">
        <f>IFERROR(__xludf.DUMMYFUNCTION("SPLIT(A3346,""TX"")"),"Alpert, Robert
4514 Cole Ave
Dallas, ")</f>
        <v>Alpert, Robert
4514 Cole Ave
Dallas, </v>
      </c>
      <c r="F3346" s="8">
        <f>IFERROR(__xludf.DUMMYFUNCTION("""COMPUTED_VALUE"""),75205.0)</f>
        <v>75205</v>
      </c>
      <c r="I3346" s="8">
        <f t="shared" si="37"/>
        <v>75205</v>
      </c>
      <c r="J3346" s="9">
        <f>IFERROR(__xludf.DUMMYFUNCTION("SPLIT(I3346,""-"")"),75205.0)</f>
        <v>75205</v>
      </c>
    </row>
    <row r="3347">
      <c r="A3347" s="5" t="s">
        <v>3001</v>
      </c>
      <c r="B3347" s="6">
        <v>10000.0</v>
      </c>
      <c r="C3347" s="7" t="s">
        <v>1065</v>
      </c>
      <c r="E3347" s="8" t="str">
        <f>IFERROR(__xludf.DUMMYFUNCTION("SPLIT(A3347,""TX"")"),"Jain, Anurag
5938 Norway Rd
Dallas, ")</f>
        <v>Jain, Anurag
5938 Norway Rd
Dallas, </v>
      </c>
      <c r="F3347" s="8">
        <f>IFERROR(__xludf.DUMMYFUNCTION("""COMPUTED_VALUE"""),75230.0)</f>
        <v>75230</v>
      </c>
      <c r="I3347" s="8">
        <f t="shared" si="37"/>
        <v>75230</v>
      </c>
      <c r="J3347" s="9">
        <f>IFERROR(__xludf.DUMMYFUNCTION("SPLIT(I3347,""-"")"),75230.0)</f>
        <v>75230</v>
      </c>
    </row>
    <row r="3348">
      <c r="A3348" s="5" t="s">
        <v>3002</v>
      </c>
      <c r="B3348" s="6">
        <v>10000.0</v>
      </c>
      <c r="C3348" s="7" t="s">
        <v>1065</v>
      </c>
      <c r="E3348" s="8" t="str">
        <f>IFERROR(__xludf.DUMMYFUNCTION("SPLIT(A3348,""TX"")"),"Nambiar, Vipin
5534 West Hanover Ave
Dallas, ")</f>
        <v>Nambiar, Vipin
5534 West Hanover Ave
Dallas, </v>
      </c>
      <c r="F3348" s="8">
        <f>IFERROR(__xludf.DUMMYFUNCTION("""COMPUTED_VALUE"""),75209.0)</f>
        <v>75209</v>
      </c>
      <c r="I3348" s="8">
        <f t="shared" si="37"/>
        <v>75209</v>
      </c>
      <c r="J3348" s="9">
        <f>IFERROR(__xludf.DUMMYFUNCTION("SPLIT(I3348,""-"")"),75209.0)</f>
        <v>75209</v>
      </c>
    </row>
    <row r="3349">
      <c r="A3349" s="5" t="s">
        <v>3003</v>
      </c>
      <c r="B3349" s="6">
        <v>500.0</v>
      </c>
      <c r="C3349" s="7" t="s">
        <v>1065</v>
      </c>
      <c r="E3349" s="8" t="str">
        <f>IFERROR(__xludf.DUMMYFUNCTION("SPLIT(A3349,""TX"")"),"Bailey, Roy
4211 Brookview Drive
Dallas, ")</f>
        <v>Bailey, Roy
4211 Brookview Drive
Dallas, </v>
      </c>
      <c r="F3349" s="8">
        <f>IFERROR(__xludf.DUMMYFUNCTION("""COMPUTED_VALUE"""),75220.0)</f>
        <v>75220</v>
      </c>
      <c r="I3349" s="8">
        <f t="shared" si="37"/>
        <v>75220</v>
      </c>
      <c r="J3349" s="9">
        <f>IFERROR(__xludf.DUMMYFUNCTION("SPLIT(I3349,""-"")"),75220.0)</f>
        <v>75220</v>
      </c>
    </row>
    <row r="3350">
      <c r="A3350" s="5" t="s">
        <v>3004</v>
      </c>
      <c r="B3350" s="6">
        <v>250.0</v>
      </c>
      <c r="C3350" s="7" t="s">
        <v>1065</v>
      </c>
      <c r="E3350" s="8" t="str">
        <f>IFERROR(__xludf.DUMMYFUNCTION("SPLIT(A3350,""TX"")"),"Vargas, Jesus
4921 Creighton Dr
Dallas, ")</f>
        <v>Vargas, Jesus
4921 Creighton Dr
Dallas, </v>
      </c>
      <c r="F3350" s="8">
        <f>IFERROR(__xludf.DUMMYFUNCTION("""COMPUTED_VALUE"""),75214.0)</f>
        <v>75214</v>
      </c>
      <c r="I3350" s="8">
        <f t="shared" si="37"/>
        <v>75214</v>
      </c>
      <c r="J3350" s="9">
        <f>IFERROR(__xludf.DUMMYFUNCTION("SPLIT(I3350,""-"")"),75214.0)</f>
        <v>75214</v>
      </c>
    </row>
    <row r="3351">
      <c r="A3351" s="5" t="s">
        <v>3005</v>
      </c>
      <c r="B3351" s="6">
        <v>250.0</v>
      </c>
      <c r="C3351" s="7" t="s">
        <v>1065</v>
      </c>
      <c r="E3351" s="8" t="str">
        <f>IFERROR(__xludf.DUMMYFUNCTION("SPLIT(A3351,""TX"")"),"Purdy, ")</f>
        <v>Purdy, </v>
      </c>
      <c r="F3351" s="8" t="str">
        <f>IFERROR(__xludf.DUMMYFUNCTION("""COMPUTED_VALUE"""),"orbejorne
10808 Strait Ln
Dallas, ")</f>
        <v>orbejorne
10808 Strait Ln
Dallas, </v>
      </c>
      <c r="G3351" s="8">
        <f>IFERROR(__xludf.DUMMYFUNCTION("""COMPUTED_VALUE"""),75229.0)</f>
        <v>75229</v>
      </c>
      <c r="I3351" s="8">
        <f t="shared" si="37"/>
        <v>75229</v>
      </c>
      <c r="J3351" s="9">
        <f>IFERROR(__xludf.DUMMYFUNCTION("SPLIT(I3351,""-"")"),75229.0)</f>
        <v>75229</v>
      </c>
    </row>
    <row r="3352">
      <c r="A3352" s="5" t="s">
        <v>2395</v>
      </c>
      <c r="B3352" s="6">
        <v>10000.0</v>
      </c>
      <c r="C3352" s="7" t="s">
        <v>1065</v>
      </c>
      <c r="E3352" s="8" t="str">
        <f>IFERROR(__xludf.DUMMYFUNCTION("SPLIT(A3352,""TX"")"),"Agarwal, Arun
123 Oak Lawn Ave
Dallas, ")</f>
        <v>Agarwal, Arun
123 Oak Lawn Ave
Dallas, </v>
      </c>
      <c r="F3352" s="8">
        <f>IFERROR(__xludf.DUMMYFUNCTION("""COMPUTED_VALUE"""),75207.0)</f>
        <v>75207</v>
      </c>
      <c r="I3352" s="8">
        <f t="shared" si="37"/>
        <v>75207</v>
      </c>
      <c r="J3352" s="9">
        <f>IFERROR(__xludf.DUMMYFUNCTION("SPLIT(I3352,""-"")"),75207.0)</f>
        <v>75207</v>
      </c>
    </row>
    <row r="3353">
      <c r="A3353" s="5" t="s">
        <v>3006</v>
      </c>
      <c r="B3353" s="6">
        <v>100.0</v>
      </c>
      <c r="C3353" s="7" t="s">
        <v>1065</v>
      </c>
      <c r="E3353" s="8" t="str">
        <f>IFERROR(__xludf.DUMMYFUNCTION("SPLIT(A3353,""TX"")"),"Steeger, Corrine
9616 Northcliff Dr
Dallas, ")</f>
        <v>Steeger, Corrine
9616 Northcliff Dr
Dallas, </v>
      </c>
      <c r="F3353" s="8">
        <f>IFERROR(__xludf.DUMMYFUNCTION("""COMPUTED_VALUE"""),75218.0)</f>
        <v>75218</v>
      </c>
      <c r="I3353" s="8">
        <f t="shared" si="37"/>
        <v>75218</v>
      </c>
      <c r="J3353" s="9">
        <f>IFERROR(__xludf.DUMMYFUNCTION("SPLIT(I3353,""-"")"),75218.0)</f>
        <v>75218</v>
      </c>
    </row>
    <row r="3354">
      <c r="A3354" s="5" t="s">
        <v>3007</v>
      </c>
      <c r="B3354" s="6">
        <v>100.0</v>
      </c>
      <c r="C3354" s="7" t="s">
        <v>1065</v>
      </c>
      <c r="E3354" s="8" t="str">
        <f>IFERROR(__xludf.DUMMYFUNCTION("SPLIT(A3354,""TX"")"),"Bradshaw, Horace
PO Box 764526
Dallas, ")</f>
        <v>Bradshaw, Horace
PO Box 764526
Dallas, </v>
      </c>
      <c r="F3354" s="8">
        <f>IFERROR(__xludf.DUMMYFUNCTION("""COMPUTED_VALUE"""),75232.0)</f>
        <v>75232</v>
      </c>
      <c r="I3354" s="8">
        <f t="shared" si="37"/>
        <v>75232</v>
      </c>
      <c r="J3354" s="9">
        <f>IFERROR(__xludf.DUMMYFUNCTION("SPLIT(I3354,""-"")"),75232.0)</f>
        <v>75232</v>
      </c>
    </row>
    <row r="3355">
      <c r="A3355" s="5" t="s">
        <v>3008</v>
      </c>
      <c r="B3355" s="6">
        <v>300.0</v>
      </c>
      <c r="C3355" s="7" t="s">
        <v>1065</v>
      </c>
      <c r="E3355" s="8" t="str">
        <f>IFERROR(__xludf.DUMMYFUNCTION("SPLIT(A3355,""TX"")"),"Battie, Susie &amp; Derrick
1456 Chapman Dr
Lancaster, ")</f>
        <v>Battie, Susie &amp; Derrick
1456 Chapman Dr
Lancaster, </v>
      </c>
      <c r="F3355" s="8">
        <f>IFERROR(__xludf.DUMMYFUNCTION("""COMPUTED_VALUE"""),75134.0)</f>
        <v>75134</v>
      </c>
      <c r="I3355" s="8">
        <f t="shared" si="37"/>
        <v>75134</v>
      </c>
      <c r="J3355" s="9">
        <f>IFERROR(__xludf.DUMMYFUNCTION("SPLIT(I3355,""-"")"),75134.0)</f>
        <v>75134</v>
      </c>
    </row>
    <row r="3356">
      <c r="A3356" s="5" t="s">
        <v>3009</v>
      </c>
      <c r="B3356" s="6">
        <v>5000.0</v>
      </c>
      <c r="C3356" s="7" t="s">
        <v>1065</v>
      </c>
      <c r="E3356" s="8" t="str">
        <f>IFERROR(__xludf.DUMMYFUNCTION("SPLIT(A3356,""TX"")"),"Martin, Ruben
3 Huntington St
Longview, ")</f>
        <v>Martin, Ruben
3 Huntington St
Longview, </v>
      </c>
      <c r="F3356" s="8">
        <f>IFERROR(__xludf.DUMMYFUNCTION("""COMPUTED_VALUE"""),75601.0)</f>
        <v>75601</v>
      </c>
      <c r="I3356" s="8">
        <f t="shared" si="37"/>
        <v>75601</v>
      </c>
      <c r="J3356" s="9">
        <f>IFERROR(__xludf.DUMMYFUNCTION("SPLIT(I3356,""-"")"),75601.0)</f>
        <v>75601</v>
      </c>
    </row>
    <row r="3357">
      <c r="A3357" s="5" t="s">
        <v>2255</v>
      </c>
      <c r="B3357" s="6">
        <v>5000.0</v>
      </c>
      <c r="C3357" s="7" t="s">
        <v>1065</v>
      </c>
      <c r="E3357" s="8" t="str">
        <f>IFERROR(__xludf.DUMMYFUNCTION("SPLIT(A3357,""TX"")"),"Olson, Lyndon
5400 Bosque Blvd
Waco, ")</f>
        <v>Olson, Lyndon
5400 Bosque Blvd
Waco, </v>
      </c>
      <c r="F3357" s="8">
        <f>IFERROR(__xludf.DUMMYFUNCTION("""COMPUTED_VALUE"""),76710.0)</f>
        <v>76710</v>
      </c>
      <c r="I3357" s="8">
        <f t="shared" si="37"/>
        <v>76710</v>
      </c>
      <c r="J3357" s="9">
        <f>IFERROR(__xludf.DUMMYFUNCTION("SPLIT(I3357,""-"")"),76710.0)</f>
        <v>76710</v>
      </c>
    </row>
    <row r="3358">
      <c r="A3358" s="5" t="s">
        <v>3010</v>
      </c>
      <c r="B3358" s="6">
        <v>250.0</v>
      </c>
      <c r="C3358" s="7" t="s">
        <v>1065</v>
      </c>
      <c r="E3358" s="8" t="str">
        <f>IFERROR(__xludf.DUMMYFUNCTION("SPLIT(A3358,""TX"")"),"Moore, ")</f>
        <v>Moore, </v>
      </c>
      <c r="F3358" s="8" t="str">
        <f>IFERROR(__xludf.DUMMYFUNCTION("""COMPUTED_VALUE"""),"ony
6823 S Florence Ave
")</f>
        <v>ony
6823 S Florence Ave
</v>
      </c>
      <c r="G3358" s="8" t="str">
        <f>IFERROR(__xludf.DUMMYFUNCTION("""COMPUTED_VALUE"""),"ulsa, OK 74136")</f>
        <v>ulsa, OK 74136</v>
      </c>
      <c r="J3358" s="9" t="str">
        <f>IFERROR(__xludf.DUMMYFUNCTION("SPLIT(I3358,""-"")"),"#VALUE!")</f>
        <v>#VALUE!</v>
      </c>
    </row>
    <row r="3359">
      <c r="A3359" s="5" t="s">
        <v>3011</v>
      </c>
      <c r="B3359" s="6">
        <v>250.0</v>
      </c>
      <c r="C3359" s="7" t="s">
        <v>1065</v>
      </c>
      <c r="E3359" s="8" t="str">
        <f>IFERROR(__xludf.DUMMYFUNCTION("SPLIT(A3359,""TX"")"),"Assaff, Jim
PO Box 190464
Dallas, ")</f>
        <v>Assaff, Jim
PO Box 190464
Dallas, </v>
      </c>
      <c r="F3359" s="8">
        <f>IFERROR(__xludf.DUMMYFUNCTION("""COMPUTED_VALUE"""),75219.0)</f>
        <v>75219</v>
      </c>
      <c r="I3359" s="8">
        <f t="shared" ref="I3359:I3387" si="38">IF(ISBLANK(G3359),F3359,G3359)</f>
        <v>75219</v>
      </c>
      <c r="J3359" s="9">
        <f>IFERROR(__xludf.DUMMYFUNCTION("SPLIT(I3359,""-"")"),75219.0)</f>
        <v>75219</v>
      </c>
    </row>
    <row r="3360">
      <c r="A3360" s="5" t="s">
        <v>3012</v>
      </c>
      <c r="B3360" s="6">
        <v>250.0</v>
      </c>
      <c r="C3360" s="7" t="s">
        <v>1065</v>
      </c>
      <c r="E3360" s="8" t="str">
        <f>IFERROR(__xludf.DUMMYFUNCTION("SPLIT(A3360,""TX"")"),"Desai, Seemal
4047 Glenhurst Ln
Frisco, ")</f>
        <v>Desai, Seemal
4047 Glenhurst Ln
Frisco, </v>
      </c>
      <c r="F3360" s="8">
        <f>IFERROR(__xludf.DUMMYFUNCTION("""COMPUTED_VALUE"""),75033.0)</f>
        <v>75033</v>
      </c>
      <c r="I3360" s="8">
        <f t="shared" si="38"/>
        <v>75033</v>
      </c>
      <c r="J3360" s="9">
        <f>IFERROR(__xludf.DUMMYFUNCTION("SPLIT(I3360,""-"")"),75033.0)</f>
        <v>75033</v>
      </c>
    </row>
    <row r="3361">
      <c r="A3361" s="5" t="s">
        <v>3013</v>
      </c>
      <c r="B3361" s="6">
        <v>250.0</v>
      </c>
      <c r="C3361" s="7" t="s">
        <v>1065</v>
      </c>
      <c r="E3361" s="8" t="str">
        <f>IFERROR(__xludf.DUMMYFUNCTION("SPLIT(A3361,""TX"")"),"Oliver, Jesse
3812 Holliday Road
Dallas, ")</f>
        <v>Oliver, Jesse
3812 Holliday Road
Dallas, </v>
      </c>
      <c r="F3361" s="8">
        <f>IFERROR(__xludf.DUMMYFUNCTION("""COMPUTED_VALUE"""),75224.0)</f>
        <v>75224</v>
      </c>
      <c r="I3361" s="8">
        <f t="shared" si="38"/>
        <v>75224</v>
      </c>
      <c r="J3361" s="9">
        <f>IFERROR(__xludf.DUMMYFUNCTION("SPLIT(I3361,""-"")"),75224.0)</f>
        <v>75224</v>
      </c>
    </row>
    <row r="3362">
      <c r="A3362" s="5" t="s">
        <v>3014</v>
      </c>
      <c r="B3362" s="6">
        <v>250.0</v>
      </c>
      <c r="C3362" s="7" t="s">
        <v>1065</v>
      </c>
      <c r="E3362" s="8" t="str">
        <f>IFERROR(__xludf.DUMMYFUNCTION("SPLIT(A3362,""TX"")"),"Stewart, Robb
9506 Shady Valley Dr
Dallas, ")</f>
        <v>Stewart, Robb
9506 Shady Valley Dr
Dallas, </v>
      </c>
      <c r="F3362" s="8">
        <f>IFERROR(__xludf.DUMMYFUNCTION("""COMPUTED_VALUE"""),75238.0)</f>
        <v>75238</v>
      </c>
      <c r="I3362" s="8">
        <f t="shared" si="38"/>
        <v>75238</v>
      </c>
      <c r="J3362" s="9">
        <f>IFERROR(__xludf.DUMMYFUNCTION("SPLIT(I3362,""-"")"),75238.0)</f>
        <v>75238</v>
      </c>
    </row>
    <row r="3363">
      <c r="A3363" s="5" t="s">
        <v>3015</v>
      </c>
      <c r="B3363" s="6">
        <v>10000.0</v>
      </c>
      <c r="C3363" s="7" t="s">
        <v>1065</v>
      </c>
      <c r="E3363" s="8" t="str">
        <f>IFERROR(__xludf.DUMMYFUNCTION("SPLIT(A3363,""TX"")"),"Idoux, Kathryn
6123 Orchid Ln
Dallas, ")</f>
        <v>Idoux, Kathryn
6123 Orchid Ln
Dallas, </v>
      </c>
      <c r="F3363" s="8">
        <f>IFERROR(__xludf.DUMMYFUNCTION("""COMPUTED_VALUE"""),75230.0)</f>
        <v>75230</v>
      </c>
      <c r="I3363" s="8">
        <f t="shared" si="38"/>
        <v>75230</v>
      </c>
      <c r="J3363" s="9">
        <f>IFERROR(__xludf.DUMMYFUNCTION("SPLIT(I3363,""-"")"),75230.0)</f>
        <v>75230</v>
      </c>
    </row>
    <row r="3364">
      <c r="A3364" s="5" t="s">
        <v>3016</v>
      </c>
      <c r="B3364" s="6">
        <v>10000.0</v>
      </c>
      <c r="C3364" s="7" t="s">
        <v>1065</v>
      </c>
      <c r="E3364" s="8" t="str">
        <f>IFERROR(__xludf.DUMMYFUNCTION("SPLIT(A3364,""TX"")"),"Idoux, Stephen
6123 Orchid Ln
Dallas, ")</f>
        <v>Idoux, Stephen
6123 Orchid Ln
Dallas, </v>
      </c>
      <c r="F3364" s="8">
        <f>IFERROR(__xludf.DUMMYFUNCTION("""COMPUTED_VALUE"""),75230.0)</f>
        <v>75230</v>
      </c>
      <c r="I3364" s="8">
        <f t="shared" si="38"/>
        <v>75230</v>
      </c>
      <c r="J3364" s="9">
        <f>IFERROR(__xludf.DUMMYFUNCTION("SPLIT(I3364,""-"")"),75230.0)</f>
        <v>75230</v>
      </c>
    </row>
    <row r="3365">
      <c r="A3365" s="5" t="s">
        <v>3017</v>
      </c>
      <c r="B3365" s="6">
        <v>250.0</v>
      </c>
      <c r="C3365" s="7" t="s">
        <v>1065</v>
      </c>
      <c r="E3365" s="8" t="str">
        <f>IFERROR(__xludf.DUMMYFUNCTION("SPLIT(A3365,""TX"")"),"Walker, Kelvin
3328 Walchard Court
Dallas, ")</f>
        <v>Walker, Kelvin
3328 Walchard Court
Dallas, </v>
      </c>
      <c r="F3365" s="8">
        <f>IFERROR(__xludf.DUMMYFUNCTION("""COMPUTED_VALUE"""),75229.0)</f>
        <v>75229</v>
      </c>
      <c r="I3365" s="8">
        <f t="shared" si="38"/>
        <v>75229</v>
      </c>
      <c r="J3365" s="9">
        <f>IFERROR(__xludf.DUMMYFUNCTION("SPLIT(I3365,""-"")"),75229.0)</f>
        <v>75229</v>
      </c>
    </row>
    <row r="3366">
      <c r="A3366" s="5" t="s">
        <v>3018</v>
      </c>
      <c r="B3366" s="6">
        <v>750.0</v>
      </c>
      <c r="C3366" s="7" t="s">
        <v>1065</v>
      </c>
      <c r="E3366" s="8" t="str">
        <f>IFERROR(__xludf.DUMMYFUNCTION("SPLIT(A3366,""TX"")"),"Coffman, Barbara
8100 Lomo Alto Dr
Dallas, ")</f>
        <v>Coffman, Barbara
8100 Lomo Alto Dr
Dallas, </v>
      </c>
      <c r="F3366" s="8">
        <f>IFERROR(__xludf.DUMMYFUNCTION("""COMPUTED_VALUE"""),75225.0)</f>
        <v>75225</v>
      </c>
      <c r="I3366" s="8">
        <f t="shared" si="38"/>
        <v>75225</v>
      </c>
      <c r="J3366" s="9">
        <f>IFERROR(__xludf.DUMMYFUNCTION("SPLIT(I3366,""-"")"),75225.0)</f>
        <v>75225</v>
      </c>
    </row>
    <row r="3367">
      <c r="A3367" s="5" t="s">
        <v>3019</v>
      </c>
      <c r="B3367" s="6">
        <v>250.0</v>
      </c>
      <c r="C3367" s="7" t="s">
        <v>1065</v>
      </c>
      <c r="E3367" s="8" t="str">
        <f>IFERROR(__xludf.DUMMYFUNCTION("SPLIT(A3367,""TX"")"),"Wilson, Michael
6739 Avalon Ave
Dallas, ")</f>
        <v>Wilson, Michael
6739 Avalon Ave
Dallas, </v>
      </c>
      <c r="F3367" s="8">
        <f>IFERROR(__xludf.DUMMYFUNCTION("""COMPUTED_VALUE"""),75214.0)</f>
        <v>75214</v>
      </c>
      <c r="I3367" s="8">
        <f t="shared" si="38"/>
        <v>75214</v>
      </c>
      <c r="J3367" s="9">
        <f>IFERROR(__xludf.DUMMYFUNCTION("SPLIT(I3367,""-"")"),75214.0)</f>
        <v>75214</v>
      </c>
    </row>
    <row r="3368">
      <c r="A3368" s="5" t="s">
        <v>3020</v>
      </c>
      <c r="B3368" s="6">
        <v>250.0</v>
      </c>
      <c r="C3368" s="7" t="s">
        <v>1065</v>
      </c>
      <c r="E3368" s="8" t="str">
        <f>IFERROR(__xludf.DUMMYFUNCTION("SPLIT(A3368,""TX"")"),"Marchant, Matthew
2125 North Josey Ln
Carrollton, ")</f>
        <v>Marchant, Matthew
2125 North Josey Ln
Carrollton, </v>
      </c>
      <c r="F3368" s="8">
        <f>IFERROR(__xludf.DUMMYFUNCTION("""COMPUTED_VALUE"""),75006.0)</f>
        <v>75006</v>
      </c>
      <c r="I3368" s="8">
        <f t="shared" si="38"/>
        <v>75006</v>
      </c>
      <c r="J3368" s="9">
        <f>IFERROR(__xludf.DUMMYFUNCTION("SPLIT(I3368,""-"")"),75006.0)</f>
        <v>75006</v>
      </c>
    </row>
    <row r="3369">
      <c r="A3369" s="5" t="s">
        <v>3021</v>
      </c>
      <c r="B3369" s="6">
        <v>250.0</v>
      </c>
      <c r="C3369" s="7" t="s">
        <v>1065</v>
      </c>
      <c r="E3369" s="8" t="str">
        <f>IFERROR(__xludf.DUMMYFUNCTION("SPLIT(A3369,""TX"")"),"Carter, Stefani
2408 Victory Park Ln
Dallas, ")</f>
        <v>Carter, Stefani
2408 Victory Park Ln
Dallas, </v>
      </c>
      <c r="F3369" s="8">
        <f>IFERROR(__xludf.DUMMYFUNCTION("""COMPUTED_VALUE"""),75219.0)</f>
        <v>75219</v>
      </c>
      <c r="I3369" s="8">
        <f t="shared" si="38"/>
        <v>75219</v>
      </c>
      <c r="J3369" s="9">
        <f>IFERROR(__xludf.DUMMYFUNCTION("SPLIT(I3369,""-"")"),75219.0)</f>
        <v>75219</v>
      </c>
    </row>
    <row r="3370">
      <c r="A3370" s="5" t="s">
        <v>3022</v>
      </c>
      <c r="B3370" s="6">
        <v>250.0</v>
      </c>
      <c r="C3370" s="7" t="s">
        <v>1065</v>
      </c>
      <c r="E3370" s="8" t="str">
        <f>IFERROR(__xludf.DUMMYFUNCTION("SPLIT(A3370,""TX"")"),"McDougal, Matthew
4001 Ross Ave
Dallas, ")</f>
        <v>McDougal, Matthew
4001 Ross Ave
Dallas, </v>
      </c>
      <c r="F3370" s="8">
        <f>IFERROR(__xludf.DUMMYFUNCTION("""COMPUTED_VALUE"""),75204.0)</f>
        <v>75204</v>
      </c>
      <c r="I3370" s="8">
        <f t="shared" si="38"/>
        <v>75204</v>
      </c>
      <c r="J3370" s="9">
        <f>IFERROR(__xludf.DUMMYFUNCTION("SPLIT(I3370,""-"")"),75204.0)</f>
        <v>75204</v>
      </c>
    </row>
    <row r="3371">
      <c r="A3371" s="5" t="s">
        <v>3023</v>
      </c>
      <c r="B3371" s="6">
        <v>250.0</v>
      </c>
      <c r="C3371" s="7" t="s">
        <v>1065</v>
      </c>
      <c r="E3371" s="8" t="str">
        <f>IFERROR(__xludf.DUMMYFUNCTION("SPLIT(A3371,""TX"")"),"Van Lare, James
5918 Elderwood Dr
Dallas, ")</f>
        <v>Van Lare, James
5918 Elderwood Dr
Dallas, </v>
      </c>
      <c r="F3371" s="8">
        <f>IFERROR(__xludf.DUMMYFUNCTION("""COMPUTED_VALUE"""),75230.0)</f>
        <v>75230</v>
      </c>
      <c r="I3371" s="8">
        <f t="shared" si="38"/>
        <v>75230</v>
      </c>
      <c r="J3371" s="9">
        <f>IFERROR(__xludf.DUMMYFUNCTION("SPLIT(I3371,""-"")"),75230.0)</f>
        <v>75230</v>
      </c>
    </row>
    <row r="3372">
      <c r="A3372" s="5" t="s">
        <v>3024</v>
      </c>
      <c r="B3372" s="6">
        <v>500.0</v>
      </c>
      <c r="C3372" s="7" t="s">
        <v>1065</v>
      </c>
      <c r="E3372" s="8" t="str">
        <f>IFERROR(__xludf.DUMMYFUNCTION("SPLIT(A3372,""TX"")"),"Smith, William
9254 Forest Lane
Dallas, ")</f>
        <v>Smith, William
9254 Forest Lane
Dallas, </v>
      </c>
      <c r="F3372" s="8">
        <f>IFERROR(__xludf.DUMMYFUNCTION("""COMPUTED_VALUE"""),75243.0)</f>
        <v>75243</v>
      </c>
      <c r="I3372" s="8">
        <f t="shared" si="38"/>
        <v>75243</v>
      </c>
      <c r="J3372" s="9">
        <f>IFERROR(__xludf.DUMMYFUNCTION("SPLIT(I3372,""-"")"),75243.0)</f>
        <v>75243</v>
      </c>
    </row>
    <row r="3373">
      <c r="A3373" s="5" t="s">
        <v>3025</v>
      </c>
      <c r="B3373" s="6">
        <v>5000.0</v>
      </c>
      <c r="C3373" s="7" t="s">
        <v>1065</v>
      </c>
      <c r="E3373" s="8" t="str">
        <f>IFERROR(__xludf.DUMMYFUNCTION("SPLIT(A3373,""TX"")"),"Mittal, Shridhar
4311 Valley Ridge Rd
Dallas, ")</f>
        <v>Mittal, Shridhar
4311 Valley Ridge Rd
Dallas, </v>
      </c>
      <c r="F3373" s="8">
        <f>IFERROR(__xludf.DUMMYFUNCTION("""COMPUTED_VALUE"""),75220.0)</f>
        <v>75220</v>
      </c>
      <c r="I3373" s="8">
        <f t="shared" si="38"/>
        <v>75220</v>
      </c>
      <c r="J3373" s="9">
        <f>IFERROR(__xludf.DUMMYFUNCTION("SPLIT(I3373,""-"")"),75220.0)</f>
        <v>75220</v>
      </c>
    </row>
    <row r="3374">
      <c r="A3374" s="5" t="s">
        <v>3026</v>
      </c>
      <c r="B3374" s="6">
        <v>250.0</v>
      </c>
      <c r="C3374" s="7" t="s">
        <v>1065</v>
      </c>
      <c r="E3374" s="8" t="str">
        <f>IFERROR(__xludf.DUMMYFUNCTION("SPLIT(A3374,""TX"")"),"hompson, Glenda
7413 Arborhill Dr
Fort Worth, ")</f>
        <v>hompson, Glenda
7413 Arborhill Dr
Fort Worth, </v>
      </c>
      <c r="F3374" s="8">
        <f>IFERROR(__xludf.DUMMYFUNCTION("""COMPUTED_VALUE"""),76120.0)</f>
        <v>76120</v>
      </c>
      <c r="I3374" s="8">
        <f t="shared" si="38"/>
        <v>76120</v>
      </c>
      <c r="J3374" s="9">
        <f>IFERROR(__xludf.DUMMYFUNCTION("SPLIT(I3374,""-"")"),76120.0)</f>
        <v>76120</v>
      </c>
    </row>
    <row r="3375">
      <c r="A3375" s="5" t="s">
        <v>2084</v>
      </c>
      <c r="B3375" s="6">
        <v>2500.0</v>
      </c>
      <c r="C3375" s="7" t="s">
        <v>1065</v>
      </c>
      <c r="E3375" s="8" t="str">
        <f>IFERROR(__xludf.DUMMYFUNCTION("SPLIT(A3375,""TX"")"),"homas, Cheri
608 Belhaven Dr
Allen, ")</f>
        <v>homas, Cheri
608 Belhaven Dr
Allen, </v>
      </c>
      <c r="F3375" s="8">
        <f>IFERROR(__xludf.DUMMYFUNCTION("""COMPUTED_VALUE"""),75013.0)</f>
        <v>75013</v>
      </c>
      <c r="I3375" s="8">
        <f t="shared" si="38"/>
        <v>75013</v>
      </c>
      <c r="J3375" s="9">
        <f>IFERROR(__xludf.DUMMYFUNCTION("SPLIT(I3375,""-"")"),75013.0)</f>
        <v>75013</v>
      </c>
    </row>
    <row r="3376">
      <c r="A3376" s="5" t="s">
        <v>3027</v>
      </c>
      <c r="B3376" s="6">
        <v>250.0</v>
      </c>
      <c r="C3376" s="7" t="s">
        <v>1065</v>
      </c>
      <c r="E3376" s="8" t="str">
        <f>IFERROR(__xludf.DUMMYFUNCTION("SPLIT(A3376,""TX"")"),"Miller, John
8226 Douglas Ave
Dallas, ")</f>
        <v>Miller, John
8226 Douglas Ave
Dallas, </v>
      </c>
      <c r="F3376" s="8">
        <f>IFERROR(__xludf.DUMMYFUNCTION("""COMPUTED_VALUE"""),75225.0)</f>
        <v>75225</v>
      </c>
      <c r="I3376" s="8">
        <f t="shared" si="38"/>
        <v>75225</v>
      </c>
      <c r="J3376" s="9">
        <f>IFERROR(__xludf.DUMMYFUNCTION("SPLIT(I3376,""-"")"),75225.0)</f>
        <v>75225</v>
      </c>
    </row>
    <row r="3377">
      <c r="A3377" s="5" t="s">
        <v>3028</v>
      </c>
      <c r="B3377" s="6">
        <v>500.0</v>
      </c>
      <c r="C3377" s="7" t="s">
        <v>1065</v>
      </c>
      <c r="E3377" s="8" t="str">
        <f>IFERROR(__xludf.DUMMYFUNCTION("SPLIT(A3377,""TX"")"),"OBrien, Joseph
2706 ")</f>
        <v>OBrien, Joseph
2706 </v>
      </c>
      <c r="F3377" s="8" t="str">
        <f>IFERROR(__xludf.DUMMYFUNCTION("""COMPUTED_VALUE"""),"urtle Creek Circle
Dallas, ")</f>
        <v>urtle Creek Circle
Dallas, </v>
      </c>
      <c r="G3377" s="8">
        <f>IFERROR(__xludf.DUMMYFUNCTION("""COMPUTED_VALUE"""),75225.0)</f>
        <v>75225</v>
      </c>
      <c r="I3377" s="8">
        <f t="shared" si="38"/>
        <v>75225</v>
      </c>
      <c r="J3377" s="9">
        <f>IFERROR(__xludf.DUMMYFUNCTION("SPLIT(I3377,""-"")"),75225.0)</f>
        <v>75225</v>
      </c>
    </row>
    <row r="3378">
      <c r="A3378" s="5" t="s">
        <v>3029</v>
      </c>
      <c r="B3378" s="6">
        <v>500.0</v>
      </c>
      <c r="C3378" s="7" t="s">
        <v>1065</v>
      </c>
      <c r="E3378" s="8" t="str">
        <f>IFERROR(__xludf.DUMMYFUNCTION("SPLIT(A3378,""TX"")"),"Woodlief, Mari
3864 W Beverly Dr
Dallas, ")</f>
        <v>Woodlief, Mari
3864 W Beverly Dr
Dallas, </v>
      </c>
      <c r="F3378" s="8">
        <f>IFERROR(__xludf.DUMMYFUNCTION("""COMPUTED_VALUE"""),75209.0)</f>
        <v>75209</v>
      </c>
      <c r="I3378" s="8">
        <f t="shared" si="38"/>
        <v>75209</v>
      </c>
      <c r="J3378" s="9">
        <f>IFERROR(__xludf.DUMMYFUNCTION("SPLIT(I3378,""-"")"),75209.0)</f>
        <v>75209</v>
      </c>
    </row>
    <row r="3379">
      <c r="A3379" s="5" t="s">
        <v>3030</v>
      </c>
      <c r="B3379" s="6">
        <v>250.0</v>
      </c>
      <c r="C3379" s="7" t="s">
        <v>1065</v>
      </c>
      <c r="E3379" s="8" t="str">
        <f>IFERROR(__xludf.DUMMYFUNCTION("SPLIT(A3379,""TX"")"),"Rastogi, Dev
18723 Mapletree Ln
Dallas, ")</f>
        <v>Rastogi, Dev
18723 Mapletree Ln
Dallas, </v>
      </c>
      <c r="F3379" s="8">
        <f>IFERROR(__xludf.DUMMYFUNCTION("""COMPUTED_VALUE"""),75209.0)</f>
        <v>75209</v>
      </c>
      <c r="I3379" s="8">
        <f t="shared" si="38"/>
        <v>75209</v>
      </c>
      <c r="J3379" s="9">
        <f>IFERROR(__xludf.DUMMYFUNCTION("SPLIT(I3379,""-"")"),75209.0)</f>
        <v>75209</v>
      </c>
    </row>
    <row r="3380">
      <c r="A3380" s="5" t="s">
        <v>3031</v>
      </c>
      <c r="B3380" s="6">
        <v>250.0</v>
      </c>
      <c r="C3380" s="7" t="s">
        <v>1065</v>
      </c>
      <c r="E3380" s="8" t="str">
        <f>IFERROR(__xludf.DUMMYFUNCTION("SPLIT(A3380,""TX"")"),"Jacobs, Ivan
804 Mulberry Lane
DeSoto, ")</f>
        <v>Jacobs, Ivan
804 Mulberry Lane
DeSoto, </v>
      </c>
      <c r="F3380" s="8">
        <f>IFERROR(__xludf.DUMMYFUNCTION("""COMPUTED_VALUE"""),75115.0)</f>
        <v>75115</v>
      </c>
      <c r="I3380" s="8">
        <f t="shared" si="38"/>
        <v>75115</v>
      </c>
      <c r="J3380" s="9">
        <f>IFERROR(__xludf.DUMMYFUNCTION("SPLIT(I3380,""-"")"),75115.0)</f>
        <v>75115</v>
      </c>
    </row>
    <row r="3381">
      <c r="A3381" s="5" t="s">
        <v>3032</v>
      </c>
      <c r="B3381" s="6">
        <v>250.0</v>
      </c>
      <c r="C3381" s="7" t="s">
        <v>1065</v>
      </c>
      <c r="E3381" s="8" t="str">
        <f>IFERROR(__xludf.DUMMYFUNCTION("SPLIT(A3381,""TX"")"),"Parish, Deborah
1910 Pacific Ave
Dallas, ")</f>
        <v>Parish, Deborah
1910 Pacific Ave
Dallas, </v>
      </c>
      <c r="F3381" s="8">
        <f>IFERROR(__xludf.DUMMYFUNCTION("""COMPUTED_VALUE"""),75201.0)</f>
        <v>75201</v>
      </c>
      <c r="I3381" s="8">
        <f t="shared" si="38"/>
        <v>75201</v>
      </c>
      <c r="J3381" s="9">
        <f>IFERROR(__xludf.DUMMYFUNCTION("SPLIT(I3381,""-"")"),75201.0)</f>
        <v>75201</v>
      </c>
    </row>
    <row r="3382">
      <c r="A3382" s="5" t="s">
        <v>3033</v>
      </c>
      <c r="B3382" s="6">
        <v>5000.0</v>
      </c>
      <c r="C3382" s="7" t="s">
        <v>1065</v>
      </c>
      <c r="E3382" s="8" t="str">
        <f>IFERROR(__xludf.DUMMYFUNCTION("SPLIT(A3382,""TX"")"),"Rupani, Amirali
16555 Preston ")</f>
        <v>Rupani, Amirali
16555 Preston </v>
      </c>
      <c r="F3382" s="8" t="str">
        <f>IFERROR(__xludf.DUMMYFUNCTION("""COMPUTED_VALUE"""),"rail Dr
Dallas, ")</f>
        <v>rail Dr
Dallas, </v>
      </c>
      <c r="G3382" s="8">
        <f>IFERROR(__xludf.DUMMYFUNCTION("""COMPUTED_VALUE"""),75201.0)</f>
        <v>75201</v>
      </c>
      <c r="I3382" s="8">
        <f t="shared" si="38"/>
        <v>75201</v>
      </c>
      <c r="J3382" s="9">
        <f>IFERROR(__xludf.DUMMYFUNCTION("SPLIT(I3382,""-"")"),75201.0)</f>
        <v>75201</v>
      </c>
    </row>
    <row r="3383">
      <c r="A3383" s="5" t="s">
        <v>3034</v>
      </c>
      <c r="B3383" s="6">
        <v>250.0</v>
      </c>
      <c r="C3383" s="7" t="s">
        <v>1065</v>
      </c>
      <c r="E3383" s="8" t="str">
        <f>IFERROR(__xludf.DUMMYFUNCTION("SPLIT(A3383,""TX"")"),"Johnson, Cory
1502 Marshall Dr
Duncanville, ")</f>
        <v>Johnson, Cory
1502 Marshall Dr
Duncanville, </v>
      </c>
      <c r="F3383" s="8">
        <f>IFERROR(__xludf.DUMMYFUNCTION("""COMPUTED_VALUE"""),75137.0)</f>
        <v>75137</v>
      </c>
      <c r="I3383" s="8">
        <f t="shared" si="38"/>
        <v>75137</v>
      </c>
      <c r="J3383" s="9">
        <f>IFERROR(__xludf.DUMMYFUNCTION("SPLIT(I3383,""-"")"),75137.0)</f>
        <v>75137</v>
      </c>
    </row>
    <row r="3384">
      <c r="A3384" s="5" t="s">
        <v>3035</v>
      </c>
      <c r="B3384" s="6">
        <v>500.0</v>
      </c>
      <c r="C3384" s="7" t="s">
        <v>1065</v>
      </c>
      <c r="E3384" s="8" t="str">
        <f>IFERROR(__xludf.DUMMYFUNCTION("SPLIT(A3384,""TX"")"),"Lashlee, Rhett
5310 Stonegate Dr
Dallas, ")</f>
        <v>Lashlee, Rhett
5310 Stonegate Dr
Dallas, </v>
      </c>
      <c r="F3384" s="8">
        <f>IFERROR(__xludf.DUMMYFUNCTION("""COMPUTED_VALUE"""),75209.0)</f>
        <v>75209</v>
      </c>
      <c r="I3384" s="8">
        <f t="shared" si="38"/>
        <v>75209</v>
      </c>
      <c r="J3384" s="9">
        <f>IFERROR(__xludf.DUMMYFUNCTION("SPLIT(I3384,""-"")"),75209.0)</f>
        <v>75209</v>
      </c>
    </row>
    <row r="3385">
      <c r="A3385" s="5" t="s">
        <v>3036</v>
      </c>
      <c r="B3385" s="6">
        <v>250.0</v>
      </c>
      <c r="C3385" s="7" t="s">
        <v>1065</v>
      </c>
      <c r="E3385" s="8" t="str">
        <f>IFERROR(__xludf.DUMMYFUNCTION("SPLIT(A3385,""TX"")"),"Maltese, Kelly
5500 Caruth Haven Ln
Dallas, ")</f>
        <v>Maltese, Kelly
5500 Caruth Haven Ln
Dallas, </v>
      </c>
      <c r="F3385" s="8">
        <f>IFERROR(__xludf.DUMMYFUNCTION("""COMPUTED_VALUE"""),75225.0)</f>
        <v>75225</v>
      </c>
      <c r="I3385" s="8">
        <f t="shared" si="38"/>
        <v>75225</v>
      </c>
      <c r="J3385" s="9">
        <f>IFERROR(__xludf.DUMMYFUNCTION("SPLIT(I3385,""-"")"),75225.0)</f>
        <v>75225</v>
      </c>
    </row>
    <row r="3386">
      <c r="A3386" s="5" t="s">
        <v>3037</v>
      </c>
      <c r="B3386" s="6">
        <v>250.0</v>
      </c>
      <c r="C3386" s="7" t="s">
        <v>1065</v>
      </c>
      <c r="E3386" s="8" t="str">
        <f>IFERROR(__xludf.DUMMYFUNCTION("SPLIT(A3386,""TX"")"),"Lopez, Wendy
3707 W Beverly Dr
Dallas, ")</f>
        <v>Lopez, Wendy
3707 W Beverly Dr
Dallas, </v>
      </c>
      <c r="F3386" s="8">
        <f>IFERROR(__xludf.DUMMYFUNCTION("""COMPUTED_VALUE"""),75209.0)</f>
        <v>75209</v>
      </c>
      <c r="I3386" s="8">
        <f t="shared" si="38"/>
        <v>75209</v>
      </c>
      <c r="J3386" s="9">
        <f>IFERROR(__xludf.DUMMYFUNCTION("SPLIT(I3386,""-"")"),75209.0)</f>
        <v>75209</v>
      </c>
    </row>
    <row r="3387">
      <c r="A3387" s="5" t="s">
        <v>3038</v>
      </c>
      <c r="B3387" s="6">
        <v>250.0</v>
      </c>
      <c r="C3387" s="7" t="s">
        <v>1065</v>
      </c>
      <c r="E3387" s="8" t="str">
        <f>IFERROR(__xludf.DUMMYFUNCTION("SPLIT(A3387,""TX"")"),"Bobosky, Shelby
6823 La Vista Dr
Dallas, ")</f>
        <v>Bobosky, Shelby
6823 La Vista Dr
Dallas, </v>
      </c>
      <c r="F3387" s="8">
        <f>IFERROR(__xludf.DUMMYFUNCTION("""COMPUTED_VALUE"""),75214.0)</f>
        <v>75214</v>
      </c>
      <c r="I3387" s="8">
        <f t="shared" si="38"/>
        <v>75214</v>
      </c>
      <c r="J3387" s="9">
        <f>IFERROR(__xludf.DUMMYFUNCTION("SPLIT(I3387,""-"")"),75214.0)</f>
        <v>75214</v>
      </c>
    </row>
    <row r="3388">
      <c r="A3388" s="5" t="s">
        <v>3039</v>
      </c>
      <c r="B3388" s="6">
        <v>250.0</v>
      </c>
      <c r="C3388" s="7" t="s">
        <v>1065</v>
      </c>
      <c r="E3388" s="8" t="str">
        <f>IFERROR(__xludf.DUMMYFUNCTION("SPLIT(A3388,""TX"")"),"Bowles, ")</f>
        <v>Bowles, </v>
      </c>
      <c r="F3388" s="8" t="str">
        <f>IFERROR(__xludf.DUMMYFUNCTION("""COMPUTED_VALUE"""),"rey
4117 COLGA")</f>
        <v>rey
4117 COLGA</v>
      </c>
      <c r="G3388" s="8" t="str">
        <f>IFERROR(__xludf.DUMMYFUNCTION("""COMPUTED_VALUE"""),"E AVE
Dallas, ")</f>
        <v>E AVE
Dallas, </v>
      </c>
      <c r="H3388" s="8">
        <f>IFERROR(__xludf.DUMMYFUNCTION("""COMPUTED_VALUE"""),75225.0)</f>
        <v>75225</v>
      </c>
      <c r="I3388" s="13">
        <v>75225.0</v>
      </c>
      <c r="J3388" s="9">
        <f>IFERROR(__xludf.DUMMYFUNCTION("SPLIT(I3388,""-"")"),75225.0)</f>
        <v>75225</v>
      </c>
    </row>
    <row r="3389">
      <c r="A3389" s="5" t="s">
        <v>3040</v>
      </c>
      <c r="B3389" s="6">
        <v>250.0</v>
      </c>
      <c r="C3389" s="7" t="s">
        <v>1065</v>
      </c>
      <c r="E3389" s="8" t="str">
        <f>IFERROR(__xludf.DUMMYFUNCTION("SPLIT(A3389,""TX"")"),"Marquis, David
3110 W Kiest
Dallas, ")</f>
        <v>Marquis, David
3110 W Kiest
Dallas, </v>
      </c>
      <c r="F3389" s="8">
        <f>IFERROR(__xludf.DUMMYFUNCTION("""COMPUTED_VALUE"""),75233.0)</f>
        <v>75233</v>
      </c>
      <c r="I3389" s="8">
        <f t="shared" ref="I3389:I3445" si="39">IF(ISBLANK(G3389),F3389,G3389)</f>
        <v>75233</v>
      </c>
      <c r="J3389" s="9">
        <f>IFERROR(__xludf.DUMMYFUNCTION("SPLIT(I3389,""-"")"),75233.0)</f>
        <v>75233</v>
      </c>
    </row>
    <row r="3390">
      <c r="A3390" s="5" t="s">
        <v>3041</v>
      </c>
      <c r="B3390" s="6">
        <v>1000.0</v>
      </c>
      <c r="C3390" s="7" t="s">
        <v>1065</v>
      </c>
      <c r="E3390" s="8" t="str">
        <f>IFERROR(__xludf.DUMMYFUNCTION("SPLIT(A3390,""TX"")"),"Noble, Anthony
113 Cree Dr
Forest Heights, MD 20745")</f>
        <v>Noble, Anthony
113 Cree Dr
Forest Heights, MD 20745</v>
      </c>
      <c r="I3390" s="8" t="str">
        <f t="shared" si="39"/>
        <v/>
      </c>
      <c r="J3390" s="9" t="str">
        <f>IFERROR(__xludf.DUMMYFUNCTION("SPLIT(I3390,""-"")"),"#VALUE!")</f>
        <v>#VALUE!</v>
      </c>
    </row>
    <row r="3391">
      <c r="A3391" s="5" t="s">
        <v>3042</v>
      </c>
      <c r="B3391" s="6">
        <v>500.0</v>
      </c>
      <c r="C3391" s="7" t="s">
        <v>1065</v>
      </c>
      <c r="E3391" s="8" t="str">
        <f>IFERROR(__xludf.DUMMYFUNCTION("SPLIT(A3391,""TX"")"),"Roberts, Richard
3600 Rosedale
Dallas, ")</f>
        <v>Roberts, Richard
3600 Rosedale
Dallas, </v>
      </c>
      <c r="F3391" s="8">
        <f>IFERROR(__xludf.DUMMYFUNCTION("""COMPUTED_VALUE"""),75205.0)</f>
        <v>75205</v>
      </c>
      <c r="I3391" s="8">
        <f t="shared" si="39"/>
        <v>75205</v>
      </c>
      <c r="J3391" s="9">
        <f>IFERROR(__xludf.DUMMYFUNCTION("SPLIT(I3391,""-"")"),75205.0)</f>
        <v>75205</v>
      </c>
    </row>
    <row r="3392">
      <c r="A3392" s="5" t="s">
        <v>3043</v>
      </c>
      <c r="B3392" s="6">
        <v>5000.0</v>
      </c>
      <c r="C3392" s="7" t="s">
        <v>1065</v>
      </c>
      <c r="E3392" s="8" t="str">
        <f>IFERROR(__xludf.DUMMYFUNCTION("SPLIT(A3392,""TX"")"),"empleton, Bill
10455 Strait Lane
Dallas, ")</f>
        <v>empleton, Bill
10455 Strait Lane
Dallas, </v>
      </c>
      <c r="F3392" s="8">
        <f>IFERROR(__xludf.DUMMYFUNCTION("""COMPUTED_VALUE"""),75229.0)</f>
        <v>75229</v>
      </c>
      <c r="I3392" s="8">
        <f t="shared" si="39"/>
        <v>75229</v>
      </c>
      <c r="J3392" s="9">
        <f>IFERROR(__xludf.DUMMYFUNCTION("SPLIT(I3392,""-"")"),75229.0)</f>
        <v>75229</v>
      </c>
    </row>
    <row r="3393">
      <c r="A3393" s="5" t="s">
        <v>3044</v>
      </c>
      <c r="B3393" s="6">
        <v>5000.0</v>
      </c>
      <c r="C3393" s="7" t="s">
        <v>1065</v>
      </c>
      <c r="E3393" s="8" t="str">
        <f>IFERROR(__xludf.DUMMYFUNCTION("SPLIT(A3393,""TX"")"),"King, Johnnie
1243 W Pleasant Run Rd
DeSoto, ")</f>
        <v>King, Johnnie
1243 W Pleasant Run Rd
DeSoto, </v>
      </c>
      <c r="F3393" s="8">
        <f>IFERROR(__xludf.DUMMYFUNCTION("""COMPUTED_VALUE"""),75043.0)</f>
        <v>75043</v>
      </c>
      <c r="I3393" s="8">
        <f t="shared" si="39"/>
        <v>75043</v>
      </c>
      <c r="J3393" s="9">
        <f>IFERROR(__xludf.DUMMYFUNCTION("SPLIT(I3393,""-"")"),75043.0)</f>
        <v>75043</v>
      </c>
    </row>
    <row r="3394">
      <c r="A3394" s="5" t="s">
        <v>2369</v>
      </c>
      <c r="B3394" s="6">
        <v>250.0</v>
      </c>
      <c r="C3394" s="7" t="s">
        <v>1065</v>
      </c>
      <c r="E3394" s="8" t="str">
        <f>IFERROR(__xludf.DUMMYFUNCTION("SPLIT(A3394,""TX"")"),"Mier, Brian
8515 San Benito Way
Dallas, ")</f>
        <v>Mier, Brian
8515 San Benito Way
Dallas, </v>
      </c>
      <c r="F3394" s="8">
        <f>IFERROR(__xludf.DUMMYFUNCTION("""COMPUTED_VALUE"""),75218.0)</f>
        <v>75218</v>
      </c>
      <c r="I3394" s="8">
        <f t="shared" si="39"/>
        <v>75218</v>
      </c>
      <c r="J3394" s="9">
        <f>IFERROR(__xludf.DUMMYFUNCTION("SPLIT(I3394,""-"")"),75218.0)</f>
        <v>75218</v>
      </c>
    </row>
    <row r="3395">
      <c r="A3395" s="5" t="s">
        <v>348</v>
      </c>
      <c r="B3395" s="6">
        <v>250.0</v>
      </c>
      <c r="C3395" s="7" t="s">
        <v>349</v>
      </c>
      <c r="E3395" s="8" t="str">
        <f>IFERROR(__xludf.DUMMYFUNCTION("SPLIT(A3395,""TX"")"),"Citizen, Concerned
1500 Marilla
Dallas, ")</f>
        <v>Citizen, Concerned
1500 Marilla
Dallas, </v>
      </c>
      <c r="F3395" s="8">
        <f>IFERROR(__xludf.DUMMYFUNCTION("""COMPUTED_VALUE"""),75201.0)</f>
        <v>75201</v>
      </c>
      <c r="I3395" s="8">
        <f t="shared" si="39"/>
        <v>75201</v>
      </c>
      <c r="J3395" s="9">
        <f>IFERROR(__xludf.DUMMYFUNCTION("SPLIT(I3395,""-"")"),75201.0)</f>
        <v>75201</v>
      </c>
    </row>
    <row r="3396">
      <c r="A3396" s="10" t="s">
        <v>348</v>
      </c>
      <c r="B3396" s="11">
        <v>250.0</v>
      </c>
      <c r="C3396" s="12" t="s">
        <v>349</v>
      </c>
      <c r="E3396" s="8" t="str">
        <f>IFERROR(__xludf.DUMMYFUNCTION("SPLIT(A3396,""TX"")"),"Citizen, Concerned
1500 Marilla
Dallas, ")</f>
        <v>Citizen, Concerned
1500 Marilla
Dallas, </v>
      </c>
      <c r="F3396" s="8">
        <f>IFERROR(__xludf.DUMMYFUNCTION("""COMPUTED_VALUE"""),75201.0)</f>
        <v>75201</v>
      </c>
      <c r="I3396" s="8">
        <f t="shared" si="39"/>
        <v>75201</v>
      </c>
      <c r="J3396" s="9">
        <f>IFERROR(__xludf.DUMMYFUNCTION("SPLIT(I3396,""-"")"),75201.0)</f>
        <v>75201</v>
      </c>
    </row>
    <row r="3397">
      <c r="A3397" s="5" t="s">
        <v>3045</v>
      </c>
      <c r="B3397" s="6">
        <v>100.0</v>
      </c>
      <c r="C3397" s="7" t="s">
        <v>349</v>
      </c>
      <c r="E3397" s="8" t="str">
        <f>IFERROR(__xludf.DUMMYFUNCTION("SPLIT(A3397,""TX"")"),", Citizen
1500 Marilla
Dallas, ")</f>
        <v>, Citizen
1500 Marilla
Dallas, </v>
      </c>
      <c r="F3397" s="8">
        <f>IFERROR(__xludf.DUMMYFUNCTION("""COMPUTED_VALUE"""),75201.0)</f>
        <v>75201</v>
      </c>
      <c r="I3397" s="8">
        <f t="shared" si="39"/>
        <v>75201</v>
      </c>
      <c r="J3397" s="9">
        <f>IFERROR(__xludf.DUMMYFUNCTION("SPLIT(I3397,""-"")"),75201.0)</f>
        <v>75201</v>
      </c>
    </row>
    <row r="3398">
      <c r="A3398" s="10" t="s">
        <v>3045</v>
      </c>
      <c r="B3398" s="11">
        <v>100.0</v>
      </c>
      <c r="C3398" s="12" t="s">
        <v>349</v>
      </c>
      <c r="E3398" s="8" t="str">
        <f>IFERROR(__xludf.DUMMYFUNCTION("SPLIT(A3398,""TX"")"),", Citizen
1500 Marilla
Dallas, ")</f>
        <v>, Citizen
1500 Marilla
Dallas, </v>
      </c>
      <c r="F3398" s="8">
        <f>IFERROR(__xludf.DUMMYFUNCTION("""COMPUTED_VALUE"""),75201.0)</f>
        <v>75201</v>
      </c>
      <c r="I3398" s="8">
        <f t="shared" si="39"/>
        <v>75201</v>
      </c>
      <c r="J3398" s="9">
        <f>IFERROR(__xludf.DUMMYFUNCTION("SPLIT(I3398,""-"")"),75201.0)</f>
        <v>75201</v>
      </c>
    </row>
    <row r="3399">
      <c r="A3399" s="5" t="s">
        <v>2344</v>
      </c>
      <c r="B3399" s="6">
        <v>500.0</v>
      </c>
      <c r="C3399" s="7" t="s">
        <v>1151</v>
      </c>
      <c r="E3399" s="8" t="str">
        <f>IFERROR(__xludf.DUMMYFUNCTION("SPLIT(A3399,""TX"")"),"Gates, Jennifer
4914 Keyhole Lane
Dallas, ")</f>
        <v>Gates, Jennifer
4914 Keyhole Lane
Dallas, </v>
      </c>
      <c r="F3399" s="8">
        <f>IFERROR(__xludf.DUMMYFUNCTION("""COMPUTED_VALUE"""),75229.0)</f>
        <v>75229</v>
      </c>
      <c r="I3399" s="8">
        <f t="shared" si="39"/>
        <v>75229</v>
      </c>
      <c r="J3399" s="9">
        <f>IFERROR(__xludf.DUMMYFUNCTION("SPLIT(I3399,""-"")"),75229.0)</f>
        <v>75229</v>
      </c>
    </row>
    <row r="3400">
      <c r="A3400" s="5" t="s">
        <v>3046</v>
      </c>
      <c r="B3400" s="6">
        <v>200.0</v>
      </c>
      <c r="C3400" s="7" t="s">
        <v>1151</v>
      </c>
      <c r="E3400" s="8" t="str">
        <f>IFERROR(__xludf.DUMMYFUNCTION("SPLIT(A3400,""TX"")"),"Offatt, Larry
6038 Bryan Parkway
Dallas, ")</f>
        <v>Offatt, Larry
6038 Bryan Parkway
Dallas, </v>
      </c>
      <c r="F3400" s="8">
        <f>IFERROR(__xludf.DUMMYFUNCTION("""COMPUTED_VALUE"""),75206.0)</f>
        <v>75206</v>
      </c>
      <c r="I3400" s="8">
        <f t="shared" si="39"/>
        <v>75206</v>
      </c>
      <c r="J3400" s="9">
        <f>IFERROR(__xludf.DUMMYFUNCTION("SPLIT(I3400,""-"")"),75206.0)</f>
        <v>75206</v>
      </c>
    </row>
    <row r="3401">
      <c r="A3401" s="5" t="s">
        <v>3047</v>
      </c>
      <c r="B3401" s="6">
        <v>1000.0</v>
      </c>
      <c r="C3401" s="7" t="s">
        <v>1151</v>
      </c>
      <c r="E3401" s="8" t="str">
        <f>IFERROR(__xludf.DUMMYFUNCTION("SPLIT(A3401,""TX"")"),"Guber, Mike
300 Crescent Court
Dallas, ")</f>
        <v>Guber, Mike
300 Crescent Court
Dallas, </v>
      </c>
      <c r="F3401" s="8">
        <f>IFERROR(__xludf.DUMMYFUNCTION("""COMPUTED_VALUE"""),75201.0)</f>
        <v>75201</v>
      </c>
      <c r="I3401" s="8">
        <f t="shared" si="39"/>
        <v>75201</v>
      </c>
      <c r="J3401" s="9">
        <f>IFERROR(__xludf.DUMMYFUNCTION("SPLIT(I3401,""-"")"),75201.0)</f>
        <v>75201</v>
      </c>
    </row>
    <row r="3402">
      <c r="A3402" s="5" t="s">
        <v>3048</v>
      </c>
      <c r="B3402" s="6">
        <v>500.0</v>
      </c>
      <c r="C3402" s="7" t="s">
        <v>1151</v>
      </c>
      <c r="E3402" s="8" t="str">
        <f>IFERROR(__xludf.DUMMYFUNCTION("SPLIT(A3402,""TX"")"),"Keyes, Katrina
4709 Forest Lane
Dallas, ")</f>
        <v>Keyes, Katrina
4709 Forest Lane
Dallas, </v>
      </c>
      <c r="F3402" s="8">
        <f>IFERROR(__xludf.DUMMYFUNCTION("""COMPUTED_VALUE"""),75244.0)</f>
        <v>75244</v>
      </c>
      <c r="I3402" s="8">
        <f t="shared" si="39"/>
        <v>75244</v>
      </c>
      <c r="J3402" s="9">
        <f>IFERROR(__xludf.DUMMYFUNCTION("SPLIT(I3402,""-"")"),75244.0)</f>
        <v>75244</v>
      </c>
    </row>
    <row r="3403">
      <c r="A3403" s="5" t="s">
        <v>3049</v>
      </c>
      <c r="B3403" s="6">
        <v>250.0</v>
      </c>
      <c r="C3403" s="7" t="s">
        <v>1151</v>
      </c>
      <c r="E3403" s="8" t="str">
        <f>IFERROR(__xludf.DUMMYFUNCTION("SPLIT(A3403,""TX"")"),"Brooks, Vg
PO Box 140092
Dallas, ")</f>
        <v>Brooks, Vg
PO Box 140092
Dallas, </v>
      </c>
      <c r="F3403" s="8" t="str">
        <f>IFERROR(__xludf.DUMMYFUNCTION("""COMPUTED_VALUE""")," 75014-0092")</f>
        <v> 75014-0092</v>
      </c>
      <c r="I3403" s="8" t="str">
        <f t="shared" si="39"/>
        <v> 75014-0092</v>
      </c>
      <c r="J3403" s="9">
        <f>IFERROR(__xludf.DUMMYFUNCTION("SPLIT(I3403,""-"")"),75014.0)</f>
        <v>75014</v>
      </c>
      <c r="K3403" s="8">
        <f>IFERROR(__xludf.DUMMYFUNCTION("""COMPUTED_VALUE"""),92.0)</f>
        <v>92</v>
      </c>
    </row>
    <row r="3404">
      <c r="A3404" s="5" t="s">
        <v>2486</v>
      </c>
      <c r="B3404" s="6">
        <v>500.0</v>
      </c>
      <c r="C3404" s="7" t="s">
        <v>1151</v>
      </c>
      <c r="E3404" s="8" t="str">
        <f>IFERROR(__xludf.DUMMYFUNCTION("SPLIT(A3404,""TX"")"),"Glendenning, Don
2200 Ross Ave
Dallas, ")</f>
        <v>Glendenning, Don
2200 Ross Ave
Dallas, </v>
      </c>
      <c r="F3404" s="8">
        <f>IFERROR(__xludf.DUMMYFUNCTION("""COMPUTED_VALUE"""),75201.0)</f>
        <v>75201</v>
      </c>
      <c r="I3404" s="8">
        <f t="shared" si="39"/>
        <v>75201</v>
      </c>
      <c r="J3404" s="9">
        <f>IFERROR(__xludf.DUMMYFUNCTION("SPLIT(I3404,""-"")"),75201.0)</f>
        <v>75201</v>
      </c>
    </row>
    <row r="3405">
      <c r="A3405" s="5" t="s">
        <v>3050</v>
      </c>
      <c r="B3405" s="6">
        <v>100.0</v>
      </c>
      <c r="C3405" s="7" t="s">
        <v>1151</v>
      </c>
      <c r="E3405" s="8" t="str">
        <f>IFERROR(__xludf.DUMMYFUNCTION("SPLIT(A3405,""TX"")"),"Cain, Lucy
4308 Spring Ave
Dallas, ")</f>
        <v>Cain, Lucy
4308 Spring Ave
Dallas, </v>
      </c>
      <c r="F3405" s="8" t="str">
        <f>IFERROR(__xludf.DUMMYFUNCTION("""COMPUTED_VALUE""")," 75210-1651")</f>
        <v> 75210-1651</v>
      </c>
      <c r="I3405" s="8" t="str">
        <f t="shared" si="39"/>
        <v> 75210-1651</v>
      </c>
      <c r="J3405" s="9">
        <f>IFERROR(__xludf.DUMMYFUNCTION("SPLIT(I3405,""-"")"),75210.0)</f>
        <v>75210</v>
      </c>
      <c r="K3405" s="8">
        <f>IFERROR(__xludf.DUMMYFUNCTION("""COMPUTED_VALUE"""),1651.0)</f>
        <v>1651</v>
      </c>
    </row>
    <row r="3406">
      <c r="A3406" s="5" t="s">
        <v>3051</v>
      </c>
      <c r="B3406" s="6">
        <v>150.0</v>
      </c>
      <c r="C3406" s="7" t="s">
        <v>1151</v>
      </c>
      <c r="E3406" s="8" t="str">
        <f>IFERROR(__xludf.DUMMYFUNCTION("SPLIT(A3406,""TX"")"),"Blair, Lorie
2010 Autumn Meadow ")</f>
        <v>Blair, Lorie
2010 Autumn Meadow </v>
      </c>
      <c r="F3406" s="8" t="str">
        <f>IFERROR(__xludf.DUMMYFUNCTION("""COMPUTED_VALUE"""),"rail
Dallas, ")</f>
        <v>rail
Dallas, </v>
      </c>
      <c r="G3406" s="8" t="str">
        <f>IFERROR(__xludf.DUMMYFUNCTION("""COMPUTED_VALUE""")," 75232-3704")</f>
        <v> 75232-3704</v>
      </c>
      <c r="I3406" s="8" t="str">
        <f t="shared" si="39"/>
        <v> 75232-3704</v>
      </c>
      <c r="J3406" s="9">
        <f>IFERROR(__xludf.DUMMYFUNCTION("SPLIT(I3406,""-"")"),75232.0)</f>
        <v>75232</v>
      </c>
      <c r="K3406" s="8">
        <f>IFERROR(__xludf.DUMMYFUNCTION("""COMPUTED_VALUE"""),3704.0)</f>
        <v>3704</v>
      </c>
    </row>
    <row r="3407">
      <c r="A3407" s="5" t="s">
        <v>3052</v>
      </c>
      <c r="B3407" s="6">
        <v>50.0</v>
      </c>
      <c r="C3407" s="7" t="s">
        <v>1151</v>
      </c>
      <c r="E3407" s="8" t="str">
        <f>IFERROR(__xludf.DUMMYFUNCTION("SPLIT(A3407,""TX"")"),"Haung, Paul
422 Ridgewood
Richardson, ")</f>
        <v>Haung, Paul
422 Ridgewood
Richardson, </v>
      </c>
      <c r="F3407" s="8">
        <f>IFERROR(__xludf.DUMMYFUNCTION("""COMPUTED_VALUE"""),75080.0)</f>
        <v>75080</v>
      </c>
      <c r="I3407" s="8">
        <f t="shared" si="39"/>
        <v>75080</v>
      </c>
      <c r="J3407" s="9">
        <f>IFERROR(__xludf.DUMMYFUNCTION("SPLIT(I3407,""-"")"),75080.0)</f>
        <v>75080</v>
      </c>
    </row>
    <row r="3408">
      <c r="A3408" s="5" t="s">
        <v>3053</v>
      </c>
      <c r="B3408" s="6">
        <v>50.0</v>
      </c>
      <c r="C3408" s="7" t="s">
        <v>1151</v>
      </c>
      <c r="E3408" s="8" t="str">
        <f>IFERROR(__xludf.DUMMYFUNCTION("SPLIT(A3408,""TX"")"),"Luther, David
619 Kessler Springs Drive
Dallas, ")</f>
        <v>Luther, David
619 Kessler Springs Drive
Dallas, </v>
      </c>
      <c r="F3408" s="8">
        <f>IFERROR(__xludf.DUMMYFUNCTION("""COMPUTED_VALUE"""),75208.0)</f>
        <v>75208</v>
      </c>
      <c r="I3408" s="8">
        <f t="shared" si="39"/>
        <v>75208</v>
      </c>
      <c r="J3408" s="9">
        <f>IFERROR(__xludf.DUMMYFUNCTION("SPLIT(I3408,""-"")"),75208.0)</f>
        <v>75208</v>
      </c>
    </row>
    <row r="3409">
      <c r="A3409" s="5" t="s">
        <v>3054</v>
      </c>
      <c r="B3409" s="6">
        <v>1000.0</v>
      </c>
      <c r="C3409" s="7" t="s">
        <v>1151</v>
      </c>
      <c r="E3409" s="8" t="str">
        <f>IFERROR(__xludf.DUMMYFUNCTION("SPLIT(A3409,""TX"")"),"Aranza, Gilbert
PO Box 601527
Dallas, ")</f>
        <v>Aranza, Gilbert
PO Box 601527
Dallas, </v>
      </c>
      <c r="F3409" s="8" t="str">
        <f>IFERROR(__xludf.DUMMYFUNCTION("""COMPUTED_VALUE""")," 75360-1527")</f>
        <v> 75360-1527</v>
      </c>
      <c r="I3409" s="8" t="str">
        <f t="shared" si="39"/>
        <v> 75360-1527</v>
      </c>
      <c r="J3409" s="9">
        <f>IFERROR(__xludf.DUMMYFUNCTION("SPLIT(I3409,""-"")"),75360.0)</f>
        <v>75360</v>
      </c>
      <c r="K3409" s="8">
        <f>IFERROR(__xludf.DUMMYFUNCTION("""COMPUTED_VALUE"""),1527.0)</f>
        <v>1527</v>
      </c>
    </row>
    <row r="3410">
      <c r="A3410" s="5" t="s">
        <v>3055</v>
      </c>
      <c r="B3410" s="6">
        <v>250.0</v>
      </c>
      <c r="C3410" s="7" t="s">
        <v>1151</v>
      </c>
      <c r="E3410" s="8" t="str">
        <f>IFERROR(__xludf.DUMMYFUNCTION("SPLIT(A3410,""TX"")"),"Gunby, R
1209 Colgate Ave
Dallas, ")</f>
        <v>Gunby, R
1209 Colgate Ave
Dallas, </v>
      </c>
      <c r="F3410" s="8" t="str">
        <f>IFERROR(__xludf.DUMMYFUNCTION("""COMPUTED_VALUE""")," 75225-4826")</f>
        <v> 75225-4826</v>
      </c>
      <c r="I3410" s="8" t="str">
        <f t="shared" si="39"/>
        <v> 75225-4826</v>
      </c>
      <c r="J3410" s="9">
        <f>IFERROR(__xludf.DUMMYFUNCTION("SPLIT(I3410,""-"")"),75225.0)</f>
        <v>75225</v>
      </c>
      <c r="K3410" s="8">
        <f>IFERROR(__xludf.DUMMYFUNCTION("""COMPUTED_VALUE"""),4826.0)</f>
        <v>4826</v>
      </c>
    </row>
    <row r="3411">
      <c r="A3411" s="5" t="s">
        <v>3056</v>
      </c>
      <c r="B3411" s="6">
        <v>250.0</v>
      </c>
      <c r="C3411" s="7" t="s">
        <v>1151</v>
      </c>
      <c r="E3411" s="8" t="str">
        <f>IFERROR(__xludf.DUMMYFUNCTION("SPLIT(A3411,""TX"")"),"Waine, Walter
10020 Caribou ")</f>
        <v>Waine, Walter
10020 Caribou </v>
      </c>
      <c r="F3411" s="8" t="str">
        <f>IFERROR(__xludf.DUMMYFUNCTION("""COMPUTED_VALUE"""),"rail
Dallas, ")</f>
        <v>rail
Dallas, </v>
      </c>
      <c r="G3411" s="8">
        <f>IFERROR(__xludf.DUMMYFUNCTION("""COMPUTED_VALUE"""),75238.0)</f>
        <v>75238</v>
      </c>
      <c r="I3411" s="8">
        <f t="shared" si="39"/>
        <v>75238</v>
      </c>
      <c r="J3411" s="9">
        <f>IFERROR(__xludf.DUMMYFUNCTION("SPLIT(I3411,""-"")"),75238.0)</f>
        <v>75238</v>
      </c>
    </row>
    <row r="3412">
      <c r="A3412" s="5" t="s">
        <v>2245</v>
      </c>
      <c r="B3412" s="6">
        <v>1000.0</v>
      </c>
      <c r="C3412" s="7" t="s">
        <v>1151</v>
      </c>
      <c r="E3412" s="8" t="str">
        <f>IFERROR(__xludf.DUMMYFUNCTION("SPLIT(A3412,""TX"")"),"Lyle, Bobby
34 Masland Circle
Dallas, ")</f>
        <v>Lyle, Bobby
34 Masland Circle
Dallas, </v>
      </c>
      <c r="F3412" s="8">
        <f>IFERROR(__xludf.DUMMYFUNCTION("""COMPUTED_VALUE"""),75230.0)</f>
        <v>75230</v>
      </c>
      <c r="I3412" s="8">
        <f t="shared" si="39"/>
        <v>75230</v>
      </c>
      <c r="J3412" s="9">
        <f>IFERROR(__xludf.DUMMYFUNCTION("SPLIT(I3412,""-"")"),75230.0)</f>
        <v>75230</v>
      </c>
    </row>
    <row r="3413">
      <c r="A3413" s="5" t="s">
        <v>3057</v>
      </c>
      <c r="B3413" s="6">
        <v>500.0</v>
      </c>
      <c r="C3413" s="7" t="s">
        <v>1151</v>
      </c>
      <c r="E3413" s="8" t="str">
        <f>IFERROR(__xludf.DUMMYFUNCTION("SPLIT(A3413,""TX"")"),"Giddings, Helen
400 S Zang Blvd
Dallas, ")</f>
        <v>Giddings, Helen
400 S Zang Blvd
Dallas, </v>
      </c>
      <c r="F3413" s="8" t="str">
        <f>IFERROR(__xludf.DUMMYFUNCTION("""COMPUTED_VALUE""")," 75208-6643")</f>
        <v> 75208-6643</v>
      </c>
      <c r="I3413" s="8" t="str">
        <f t="shared" si="39"/>
        <v> 75208-6643</v>
      </c>
      <c r="J3413" s="9">
        <f>IFERROR(__xludf.DUMMYFUNCTION("SPLIT(I3413,""-"")"),75208.0)</f>
        <v>75208</v>
      </c>
      <c r="K3413" s="8">
        <f>IFERROR(__xludf.DUMMYFUNCTION("""COMPUTED_VALUE"""),6643.0)</f>
        <v>6643</v>
      </c>
    </row>
    <row r="3414">
      <c r="A3414" s="5" t="s">
        <v>3058</v>
      </c>
      <c r="B3414" s="6">
        <v>500.0</v>
      </c>
      <c r="C3414" s="7" t="s">
        <v>1151</v>
      </c>
      <c r="E3414" s="8" t="str">
        <f>IFERROR(__xludf.DUMMYFUNCTION("SPLIT(A3414,""TX"")"),"he Preo Group, LLC
3503 Vibutnum Dr
Wyle, ")</f>
        <v>he Preo Group, LLC
3503 Vibutnum Dr
Wyle, </v>
      </c>
      <c r="F3414" s="8" t="str">
        <f>IFERROR(__xludf.DUMMYFUNCTION("""COMPUTED_VALUE""")," 75098-7459")</f>
        <v> 75098-7459</v>
      </c>
      <c r="I3414" s="8" t="str">
        <f t="shared" si="39"/>
        <v> 75098-7459</v>
      </c>
      <c r="J3414" s="9">
        <f>IFERROR(__xludf.DUMMYFUNCTION("SPLIT(I3414,""-"")"),75098.0)</f>
        <v>75098</v>
      </c>
      <c r="K3414" s="8">
        <f>IFERROR(__xludf.DUMMYFUNCTION("""COMPUTED_VALUE"""),7459.0)</f>
        <v>7459</v>
      </c>
    </row>
    <row r="3415">
      <c r="A3415" s="5" t="s">
        <v>1517</v>
      </c>
      <c r="B3415" s="6">
        <v>1000.0</v>
      </c>
      <c r="C3415" s="7" t="s">
        <v>1151</v>
      </c>
      <c r="E3415" s="8" t="str">
        <f>IFERROR(__xludf.DUMMYFUNCTION("SPLIT(A3415,""TX"")"),"Schenkel, Pete
614 N Bishop
Dallas, ")</f>
        <v>Schenkel, Pete
614 N Bishop
Dallas, </v>
      </c>
      <c r="F3415" s="8">
        <f>IFERROR(__xludf.DUMMYFUNCTION("""COMPUTED_VALUE"""),75208.0)</f>
        <v>75208</v>
      </c>
      <c r="I3415" s="8">
        <f t="shared" si="39"/>
        <v>75208</v>
      </c>
      <c r="J3415" s="9">
        <f>IFERROR(__xludf.DUMMYFUNCTION("SPLIT(I3415,""-"")"),75208.0)</f>
        <v>75208</v>
      </c>
    </row>
    <row r="3416">
      <c r="A3416" s="5" t="s">
        <v>3059</v>
      </c>
      <c r="B3416" s="6">
        <v>1000.0</v>
      </c>
      <c r="C3416" s="7" t="s">
        <v>1151</v>
      </c>
      <c r="E3416" s="8" t="str">
        <f>IFERROR(__xludf.DUMMYFUNCTION("SPLIT(A3416,""TX"")"),"Parrish, Roland
1256 Regents Park Ct
Desoto, ")</f>
        <v>Parrish, Roland
1256 Regents Park Ct
Desoto, </v>
      </c>
      <c r="F3416" s="8" t="str">
        <f>IFERROR(__xludf.DUMMYFUNCTION("""COMPUTED_VALUE""")," 75115-2837")</f>
        <v> 75115-2837</v>
      </c>
      <c r="I3416" s="8" t="str">
        <f t="shared" si="39"/>
        <v> 75115-2837</v>
      </c>
      <c r="J3416" s="9">
        <f>IFERROR(__xludf.DUMMYFUNCTION("SPLIT(I3416,""-"")"),75115.0)</f>
        <v>75115</v>
      </c>
      <c r="K3416" s="8">
        <f>IFERROR(__xludf.DUMMYFUNCTION("""COMPUTED_VALUE"""),2837.0)</f>
        <v>2837</v>
      </c>
    </row>
    <row r="3417">
      <c r="A3417" s="5" t="s">
        <v>3060</v>
      </c>
      <c r="B3417" s="6">
        <v>1000.0</v>
      </c>
      <c r="C3417" s="7" t="s">
        <v>1151</v>
      </c>
      <c r="E3417" s="8" t="str">
        <f>IFERROR(__xludf.DUMMYFUNCTION("SPLIT(A3417,""TX"")"),"Parrish, Jewel
1256 Regents Park Ct
Desoto, ")</f>
        <v>Parrish, Jewel
1256 Regents Park Ct
Desoto, </v>
      </c>
      <c r="F3417" s="8">
        <f>IFERROR(__xludf.DUMMYFUNCTION("""COMPUTED_VALUE"""),75115.0)</f>
        <v>75115</v>
      </c>
      <c r="I3417" s="8">
        <f t="shared" si="39"/>
        <v>75115</v>
      </c>
      <c r="J3417" s="9">
        <f>IFERROR(__xludf.DUMMYFUNCTION("SPLIT(I3417,""-"")"),75115.0)</f>
        <v>75115</v>
      </c>
    </row>
    <row r="3418">
      <c r="A3418" s="5" t="s">
        <v>3061</v>
      </c>
      <c r="B3418" s="6">
        <v>1000.0</v>
      </c>
      <c r="C3418" s="7" t="s">
        <v>1151</v>
      </c>
      <c r="E3418" s="8" t="str">
        <f>IFERROR(__xludf.DUMMYFUNCTION("SPLIT(A3418,""TX"")"),"Schenkel, Craig
3105 Stanford Ave
Dallas, ")</f>
        <v>Schenkel, Craig
3105 Stanford Ave
Dallas, </v>
      </c>
      <c r="F3418" s="8" t="str">
        <f>IFERROR(__xludf.DUMMYFUNCTION("""COMPUTED_VALUE""")," 75225-7702")</f>
        <v> 75225-7702</v>
      </c>
      <c r="I3418" s="8" t="str">
        <f t="shared" si="39"/>
        <v> 75225-7702</v>
      </c>
      <c r="J3418" s="9">
        <f>IFERROR(__xludf.DUMMYFUNCTION("SPLIT(I3418,""-"")"),75225.0)</f>
        <v>75225</v>
      </c>
      <c r="K3418" s="8">
        <f>IFERROR(__xludf.DUMMYFUNCTION("""COMPUTED_VALUE"""),7702.0)</f>
        <v>7702</v>
      </c>
    </row>
    <row r="3419">
      <c r="A3419" s="5" t="s">
        <v>3062</v>
      </c>
      <c r="B3419" s="6">
        <v>500.0</v>
      </c>
      <c r="C3419" s="7" t="s">
        <v>1151</v>
      </c>
      <c r="E3419" s="8" t="str">
        <f>IFERROR(__xludf.DUMMYFUNCTION("SPLIT(A3419,""TX"")"),"Johnson, Sophia
1001 Belleview St
Dallas, ")</f>
        <v>Johnson, Sophia
1001 Belleview St
Dallas, </v>
      </c>
      <c r="F3419" s="8" t="str">
        <f>IFERROR(__xludf.DUMMYFUNCTION("""COMPUTED_VALUE""")," 75215-1811")</f>
        <v> 75215-1811</v>
      </c>
      <c r="I3419" s="8" t="str">
        <f t="shared" si="39"/>
        <v> 75215-1811</v>
      </c>
      <c r="J3419" s="9">
        <f>IFERROR(__xludf.DUMMYFUNCTION("SPLIT(I3419,""-"")"),75215.0)</f>
        <v>75215</v>
      </c>
      <c r="K3419" s="8">
        <f>IFERROR(__xludf.DUMMYFUNCTION("""COMPUTED_VALUE"""),1811.0)</f>
        <v>1811</v>
      </c>
    </row>
    <row r="3420">
      <c r="A3420" s="5" t="s">
        <v>3063</v>
      </c>
      <c r="B3420" s="6">
        <v>1000.0</v>
      </c>
      <c r="C3420" s="7" t="s">
        <v>1151</v>
      </c>
      <c r="E3420" s="8" t="str">
        <f>IFERROR(__xludf.DUMMYFUNCTION("SPLIT(A3420,""TX"")"),"Islam, Rafiqul
1706 Parkwood Dr
Grapevine, ")</f>
        <v>Islam, Rafiqul
1706 Parkwood Dr
Grapevine, </v>
      </c>
      <c r="F3420" s="8">
        <f>IFERROR(__xludf.DUMMYFUNCTION("""COMPUTED_VALUE"""),76051.0)</f>
        <v>76051</v>
      </c>
      <c r="I3420" s="8">
        <f t="shared" si="39"/>
        <v>76051</v>
      </c>
      <c r="J3420" s="9">
        <f>IFERROR(__xludf.DUMMYFUNCTION("SPLIT(I3420,""-"")"),76051.0)</f>
        <v>76051</v>
      </c>
    </row>
    <row r="3421">
      <c r="A3421" s="5" t="s">
        <v>3064</v>
      </c>
      <c r="B3421" s="6">
        <v>1000.0</v>
      </c>
      <c r="C3421" s="7" t="s">
        <v>1151</v>
      </c>
      <c r="E3421" s="8" t="str">
        <f>IFERROR(__xludf.DUMMYFUNCTION("SPLIT(A3421,""TX"")"),"Mihalopoulos, Frank
4645 N Central Expressway
Dallas, ")</f>
        <v>Mihalopoulos, Frank
4645 N Central Expressway
Dallas, </v>
      </c>
      <c r="F3421" s="8">
        <f>IFERROR(__xludf.DUMMYFUNCTION("""COMPUTED_VALUE"""),75205.0)</f>
        <v>75205</v>
      </c>
      <c r="I3421" s="8">
        <f t="shared" si="39"/>
        <v>75205</v>
      </c>
      <c r="J3421" s="9">
        <f>IFERROR(__xludf.DUMMYFUNCTION("SPLIT(I3421,""-"")"),75205.0)</f>
        <v>75205</v>
      </c>
    </row>
    <row r="3422">
      <c r="A3422" s="5" t="s">
        <v>3065</v>
      </c>
      <c r="B3422" s="6">
        <v>1000.0</v>
      </c>
      <c r="C3422" s="7" t="s">
        <v>1151</v>
      </c>
      <c r="E3422" s="8" t="str">
        <f>IFERROR(__xludf.DUMMYFUNCTION("SPLIT(A3422,""TX"")"),"Hart, Linda
3811 ")</f>
        <v>Hart, Linda
3811 </v>
      </c>
      <c r="F3422" s="8" t="str">
        <f>IFERROR(__xludf.DUMMYFUNCTION("""COMPUTED_VALUE"""),"urtle Creek Blvd
Dallas, ")</f>
        <v>urtle Creek Blvd
Dallas, </v>
      </c>
      <c r="G3422" s="8">
        <f>IFERROR(__xludf.DUMMYFUNCTION("""COMPUTED_VALUE"""),75219.0)</f>
        <v>75219</v>
      </c>
      <c r="I3422" s="8">
        <f t="shared" si="39"/>
        <v>75219</v>
      </c>
      <c r="J3422" s="9">
        <f>IFERROR(__xludf.DUMMYFUNCTION("SPLIT(I3422,""-"")"),75219.0)</f>
        <v>75219</v>
      </c>
    </row>
    <row r="3423">
      <c r="A3423" s="5" t="s">
        <v>1043</v>
      </c>
      <c r="B3423" s="6">
        <v>250.0</v>
      </c>
      <c r="C3423" s="7" t="s">
        <v>1151</v>
      </c>
      <c r="E3423" s="8" t="str">
        <f>IFERROR(__xludf.DUMMYFUNCTION("SPLIT(A3423,""TX"")"),"Dunning, ")</f>
        <v>Dunning, </v>
      </c>
      <c r="F3423" s="8" t="str">
        <f>IFERROR(__xludf.DUMMYFUNCTION("""COMPUTED_VALUE"""),"homas
2100 Ross Ave
Dallas, ")</f>
        <v>homas
2100 Ross Ave
Dallas, </v>
      </c>
      <c r="G3423" s="8">
        <f>IFERROR(__xludf.DUMMYFUNCTION("""COMPUTED_VALUE"""),75201.0)</f>
        <v>75201</v>
      </c>
      <c r="I3423" s="8">
        <f t="shared" si="39"/>
        <v>75201</v>
      </c>
      <c r="J3423" s="9">
        <f>IFERROR(__xludf.DUMMYFUNCTION("SPLIT(I3423,""-"")"),75201.0)</f>
        <v>75201</v>
      </c>
    </row>
    <row r="3424">
      <c r="A3424" s="5" t="s">
        <v>3066</v>
      </c>
      <c r="B3424" s="6">
        <v>500.0</v>
      </c>
      <c r="C3424" s="7" t="s">
        <v>1151</v>
      </c>
      <c r="E3424" s="8" t="str">
        <f>IFERROR(__xludf.DUMMYFUNCTION("SPLIT(A3424,""TX"")"),"Folsom, R Steve
16475 Dallas Parkway
Addison, ")</f>
        <v>Folsom, R Steve
16475 Dallas Parkway
Addison, </v>
      </c>
      <c r="F3424" s="8">
        <f>IFERROR(__xludf.DUMMYFUNCTION("""COMPUTED_VALUE"""),75001.0)</f>
        <v>75001</v>
      </c>
      <c r="I3424" s="8">
        <f t="shared" si="39"/>
        <v>75001</v>
      </c>
      <c r="J3424" s="9">
        <f>IFERROR(__xludf.DUMMYFUNCTION("SPLIT(I3424,""-"")"),75001.0)</f>
        <v>75001</v>
      </c>
    </row>
    <row r="3425">
      <c r="A3425" s="5" t="s">
        <v>3067</v>
      </c>
      <c r="B3425" s="6">
        <v>500.0</v>
      </c>
      <c r="C3425" s="7" t="s">
        <v>1151</v>
      </c>
      <c r="E3425" s="8" t="str">
        <f>IFERROR(__xludf.DUMMYFUNCTION("SPLIT(A3425,""TX"")"),"Chong, Kwang Sim
3688 Pistol Creek Dr
Frisco, ")</f>
        <v>Chong, Kwang Sim
3688 Pistol Creek Dr
Frisco, </v>
      </c>
      <c r="F3425" s="8">
        <f>IFERROR(__xludf.DUMMYFUNCTION("""COMPUTED_VALUE"""),75034.0)</f>
        <v>75034</v>
      </c>
      <c r="I3425" s="8">
        <f t="shared" si="39"/>
        <v>75034</v>
      </c>
      <c r="J3425" s="9">
        <f>IFERROR(__xludf.DUMMYFUNCTION("SPLIT(I3425,""-"")"),75034.0)</f>
        <v>75034</v>
      </c>
    </row>
    <row r="3426">
      <c r="A3426" s="5" t="s">
        <v>3068</v>
      </c>
      <c r="B3426" s="6">
        <v>1000.0</v>
      </c>
      <c r="C3426" s="7" t="s">
        <v>1151</v>
      </c>
      <c r="E3426" s="8" t="str">
        <f>IFERROR(__xludf.DUMMYFUNCTION("SPLIT(A3426,""TX"")"),"Schwartz, Brian
3412 Beverly Drive
Dallas, ")</f>
        <v>Schwartz, Brian
3412 Beverly Drive
Dallas, </v>
      </c>
      <c r="F3426" s="8" t="str">
        <f>IFERROR(__xludf.DUMMYFUNCTION("""COMPUTED_VALUE""")," 75206-2929")</f>
        <v> 75206-2929</v>
      </c>
      <c r="I3426" s="8" t="str">
        <f t="shared" si="39"/>
        <v> 75206-2929</v>
      </c>
      <c r="J3426" s="9">
        <f>IFERROR(__xludf.DUMMYFUNCTION("SPLIT(I3426,""-"")"),75206.0)</f>
        <v>75206</v>
      </c>
      <c r="K3426" s="8">
        <f>IFERROR(__xludf.DUMMYFUNCTION("""COMPUTED_VALUE"""),2929.0)</f>
        <v>2929</v>
      </c>
    </row>
    <row r="3427">
      <c r="A3427" s="5" t="s">
        <v>3069</v>
      </c>
      <c r="B3427" s="6">
        <v>250.0</v>
      </c>
      <c r="C3427" s="7" t="s">
        <v>1151</v>
      </c>
      <c r="E3427" s="8" t="str">
        <f>IFERROR(__xludf.DUMMYFUNCTION("SPLIT(A3427,""TX"")"),"Coats, Sam
26 Ryddington Place
Dallas, ")</f>
        <v>Coats, Sam
26 Ryddington Place
Dallas, </v>
      </c>
      <c r="F3427" s="8">
        <f>IFERROR(__xludf.DUMMYFUNCTION("""COMPUTED_VALUE"""),75230.0)</f>
        <v>75230</v>
      </c>
      <c r="I3427" s="8">
        <f t="shared" si="39"/>
        <v>75230</v>
      </c>
      <c r="J3427" s="9">
        <f>IFERROR(__xludf.DUMMYFUNCTION("SPLIT(I3427,""-"")"),75230.0)</f>
        <v>75230</v>
      </c>
    </row>
    <row r="3428">
      <c r="A3428" s="5" t="s">
        <v>2605</v>
      </c>
      <c r="B3428" s="6">
        <v>1000.0</v>
      </c>
      <c r="C3428" s="7" t="s">
        <v>1151</v>
      </c>
      <c r="E3428" s="8" t="str">
        <f>IFERROR(__xludf.DUMMYFUNCTION("SPLIT(A3428,""TX"")"),"Byrne, ")</f>
        <v>Byrne, </v>
      </c>
      <c r="F3428" s="8" t="str">
        <f>IFERROR(__xludf.DUMMYFUNCTION("""COMPUTED_VALUE"""),"im
2000 McKinney Ave
Dallas, ")</f>
        <v>im
2000 McKinney Ave
Dallas, </v>
      </c>
      <c r="G3428" s="8">
        <f>IFERROR(__xludf.DUMMYFUNCTION("""COMPUTED_VALUE"""),75201.0)</f>
        <v>75201</v>
      </c>
      <c r="I3428" s="8">
        <f t="shared" si="39"/>
        <v>75201</v>
      </c>
      <c r="J3428" s="9">
        <f>IFERROR(__xludf.DUMMYFUNCTION("SPLIT(I3428,""-"")"),75201.0)</f>
        <v>75201</v>
      </c>
    </row>
    <row r="3429">
      <c r="A3429" s="5" t="s">
        <v>2987</v>
      </c>
      <c r="B3429" s="6">
        <v>1000.0</v>
      </c>
      <c r="C3429" s="7" t="s">
        <v>1151</v>
      </c>
      <c r="E3429" s="8" t="str">
        <f>IFERROR(__xludf.DUMMYFUNCTION("SPLIT(A3429,""TX"")"),"Rose, Deedie
3963 Maple Ave
Dallas, ")</f>
        <v>Rose, Deedie
3963 Maple Ave
Dallas, </v>
      </c>
      <c r="F3429" s="8">
        <f>IFERROR(__xludf.DUMMYFUNCTION("""COMPUTED_VALUE"""),75219.0)</f>
        <v>75219</v>
      </c>
      <c r="I3429" s="8">
        <f t="shared" si="39"/>
        <v>75219</v>
      </c>
      <c r="J3429" s="9">
        <f>IFERROR(__xludf.DUMMYFUNCTION("SPLIT(I3429,""-"")"),75219.0)</f>
        <v>75219</v>
      </c>
    </row>
    <row r="3430">
      <c r="A3430" s="5" t="s">
        <v>3070</v>
      </c>
      <c r="B3430" s="6">
        <v>1000.0</v>
      </c>
      <c r="C3430" s="7" t="s">
        <v>1151</v>
      </c>
      <c r="E3430" s="8" t="str">
        <f>IFERROR(__xludf.DUMMYFUNCTION("SPLIT(A3430,""TX"")"),"Lott, Dalton
PO Box 765209
Dallas, ")</f>
        <v>Lott, Dalton
PO Box 765209
Dallas, </v>
      </c>
      <c r="F3430" s="8" t="str">
        <f>IFERROR(__xludf.DUMMYFUNCTION("""COMPUTED_VALUE""")," 75376-5209")</f>
        <v> 75376-5209</v>
      </c>
      <c r="I3430" s="8" t="str">
        <f t="shared" si="39"/>
        <v> 75376-5209</v>
      </c>
      <c r="J3430" s="9">
        <f>IFERROR(__xludf.DUMMYFUNCTION("SPLIT(I3430,""-"")"),75376.0)</f>
        <v>75376</v>
      </c>
      <c r="K3430" s="8">
        <f>IFERROR(__xludf.DUMMYFUNCTION("""COMPUTED_VALUE"""),5209.0)</f>
        <v>5209</v>
      </c>
    </row>
    <row r="3431">
      <c r="A3431" s="5" t="s">
        <v>1153</v>
      </c>
      <c r="B3431" s="6">
        <v>500.0</v>
      </c>
      <c r="C3431" s="7" t="s">
        <v>1151</v>
      </c>
      <c r="E3431" s="8" t="str">
        <f>IFERROR(__xludf.DUMMYFUNCTION("SPLIT(A3431,""TX"")"),"Steinhart, Ronald
25 Robledo Dr
Dallas, ")</f>
        <v>Steinhart, Ronald
25 Robledo Dr
Dallas, </v>
      </c>
      <c r="F3431" s="8">
        <f>IFERROR(__xludf.DUMMYFUNCTION("""COMPUTED_VALUE"""),75230.0)</f>
        <v>75230</v>
      </c>
      <c r="I3431" s="8">
        <f t="shared" si="39"/>
        <v>75230</v>
      </c>
      <c r="J3431" s="9">
        <f>IFERROR(__xludf.DUMMYFUNCTION("SPLIT(I3431,""-"")"),75230.0)</f>
        <v>75230</v>
      </c>
    </row>
    <row r="3432">
      <c r="A3432" s="5" t="s">
        <v>3071</v>
      </c>
      <c r="B3432" s="6">
        <v>1000.0</v>
      </c>
      <c r="C3432" s="7" t="s">
        <v>1151</v>
      </c>
      <c r="E3432" s="8" t="str">
        <f>IFERROR(__xludf.DUMMYFUNCTION("SPLIT(A3432,""TX"")"),"Williams, Lucious
1421 Covington Dr
DeSoto, ")</f>
        <v>Williams, Lucious
1421 Covington Dr
DeSoto, </v>
      </c>
      <c r="F3432" s="8">
        <f>IFERROR(__xludf.DUMMYFUNCTION("""COMPUTED_VALUE"""),75115.0)</f>
        <v>75115</v>
      </c>
      <c r="I3432" s="8">
        <f t="shared" si="39"/>
        <v>75115</v>
      </c>
      <c r="J3432" s="9">
        <f>IFERROR(__xludf.DUMMYFUNCTION("SPLIT(I3432,""-"")"),75115.0)</f>
        <v>75115</v>
      </c>
    </row>
    <row r="3433">
      <c r="A3433" s="5" t="s">
        <v>3072</v>
      </c>
      <c r="B3433" s="6">
        <v>500.0</v>
      </c>
      <c r="C3433" s="7" t="s">
        <v>1151</v>
      </c>
      <c r="E3433" s="8" t="str">
        <f>IFERROR(__xludf.DUMMYFUNCTION("SPLIT(A3433,""TX"")"),"Williams, L
1421 Covington Dr
Desoto, ")</f>
        <v>Williams, L
1421 Covington Dr
Desoto, </v>
      </c>
      <c r="F3433" s="8">
        <f>IFERROR(__xludf.DUMMYFUNCTION("""COMPUTED_VALUE"""),75115.0)</f>
        <v>75115</v>
      </c>
      <c r="I3433" s="8">
        <f t="shared" si="39"/>
        <v>75115</v>
      </c>
      <c r="J3433" s="9">
        <f>IFERROR(__xludf.DUMMYFUNCTION("SPLIT(I3433,""-"")"),75115.0)</f>
        <v>75115</v>
      </c>
    </row>
    <row r="3434">
      <c r="A3434" s="5" t="s">
        <v>3073</v>
      </c>
      <c r="B3434" s="6">
        <v>500.0</v>
      </c>
      <c r="C3434" s="7" t="s">
        <v>1151</v>
      </c>
      <c r="E3434" s="8" t="str">
        <f>IFERROR(__xludf.DUMMYFUNCTION("SPLIT(A3434,""TX"")"),"Goldbert, Neil
5530 Palomar Lane
Dallas, ")</f>
        <v>Goldbert, Neil
5530 Palomar Lane
Dallas, </v>
      </c>
      <c r="F3434" s="8">
        <f>IFERROR(__xludf.DUMMYFUNCTION("""COMPUTED_VALUE"""),75229.0)</f>
        <v>75229</v>
      </c>
      <c r="I3434" s="8">
        <f t="shared" si="39"/>
        <v>75229</v>
      </c>
      <c r="J3434" s="9">
        <f>IFERROR(__xludf.DUMMYFUNCTION("SPLIT(I3434,""-"")"),75229.0)</f>
        <v>75229</v>
      </c>
    </row>
    <row r="3435">
      <c r="A3435" s="5" t="s">
        <v>3074</v>
      </c>
      <c r="B3435" s="6">
        <v>1000.0</v>
      </c>
      <c r="C3435" s="7" t="s">
        <v>1151</v>
      </c>
      <c r="E3435" s="8" t="str">
        <f>IFERROR(__xludf.DUMMYFUNCTION("SPLIT(A3435,""TX"")"),"brown, mason
PO Box 29615
Dallas, ")</f>
        <v>brown, mason
PO Box 29615
Dallas, </v>
      </c>
      <c r="F3435" s="8">
        <f>IFERROR(__xludf.DUMMYFUNCTION("""COMPUTED_VALUE"""),75229.0)</f>
        <v>75229</v>
      </c>
      <c r="I3435" s="8">
        <f t="shared" si="39"/>
        <v>75229</v>
      </c>
      <c r="J3435" s="9">
        <f>IFERROR(__xludf.DUMMYFUNCTION("SPLIT(I3435,""-"")"),75229.0)</f>
        <v>75229</v>
      </c>
    </row>
    <row r="3436">
      <c r="A3436" s="5" t="s">
        <v>3075</v>
      </c>
      <c r="B3436" s="6">
        <v>50.0</v>
      </c>
      <c r="C3436" s="7" t="s">
        <v>1151</v>
      </c>
      <c r="E3436" s="8" t="str">
        <f>IFERROR(__xludf.DUMMYFUNCTION("SPLIT(A3436,""TX"")"),"errell, Gail
PO Box 41561
Dallas, ")</f>
        <v>errell, Gail
PO Box 41561
Dallas, </v>
      </c>
      <c r="F3436" s="8">
        <f>IFERROR(__xludf.DUMMYFUNCTION("""COMPUTED_VALUE"""),75241.0)</f>
        <v>75241</v>
      </c>
      <c r="I3436" s="8">
        <f t="shared" si="39"/>
        <v>75241</v>
      </c>
      <c r="J3436" s="9">
        <f>IFERROR(__xludf.DUMMYFUNCTION("SPLIT(I3436,""-"")"),75241.0)</f>
        <v>75241</v>
      </c>
    </row>
    <row r="3437">
      <c r="A3437" s="5" t="s">
        <v>3076</v>
      </c>
      <c r="B3437" s="6">
        <v>100.0</v>
      </c>
      <c r="C3437" s="7" t="s">
        <v>1151</v>
      </c>
      <c r="E3437" s="8" t="str">
        <f>IFERROR(__xludf.DUMMYFUNCTION("SPLIT(A3437,""TX"")"),"Chism, Carolyn
1407 Laura Ln
Dallas, ")</f>
        <v>Chism, Carolyn
1407 Laura Ln
Dallas, </v>
      </c>
      <c r="F3437" s="8">
        <f>IFERROR(__xludf.DUMMYFUNCTION("""COMPUTED_VALUE"""),75241.0)</f>
        <v>75241</v>
      </c>
      <c r="I3437" s="8">
        <f t="shared" si="39"/>
        <v>75241</v>
      </c>
      <c r="J3437" s="9">
        <f>IFERROR(__xludf.DUMMYFUNCTION("SPLIT(I3437,""-"")"),75241.0)</f>
        <v>75241</v>
      </c>
    </row>
    <row r="3438">
      <c r="A3438" s="5" t="s">
        <v>3077</v>
      </c>
      <c r="B3438" s="6">
        <v>150.0</v>
      </c>
      <c r="C3438" s="7" t="s">
        <v>1151</v>
      </c>
      <c r="E3438" s="8" t="str">
        <f>IFERROR(__xludf.DUMMYFUNCTION("SPLIT(A3438,""TX"")"),"Ragsdale, Diane
3611 Dunbar Street
Dallas, ")</f>
        <v>Ragsdale, Diane
3611 Dunbar Street
Dallas, </v>
      </c>
      <c r="F3438" s="8">
        <f>IFERROR(__xludf.DUMMYFUNCTION("""COMPUTED_VALUE"""),75215.0)</f>
        <v>75215</v>
      </c>
      <c r="I3438" s="8">
        <f t="shared" si="39"/>
        <v>75215</v>
      </c>
      <c r="J3438" s="9">
        <f>IFERROR(__xludf.DUMMYFUNCTION("SPLIT(I3438,""-"")"),75215.0)</f>
        <v>75215</v>
      </c>
    </row>
    <row r="3439">
      <c r="A3439" s="5" t="s">
        <v>3078</v>
      </c>
      <c r="B3439" s="6">
        <v>150.0</v>
      </c>
      <c r="C3439" s="7" t="s">
        <v>1151</v>
      </c>
      <c r="E3439" s="8" t="str">
        <f>IFERROR(__xludf.DUMMYFUNCTION("SPLIT(A3439,""TX"")"),"Yclee, Helen
1417 Chesterton Dr
Richardson, ")</f>
        <v>Yclee, Helen
1417 Chesterton Dr
Richardson, </v>
      </c>
      <c r="F3439" s="8">
        <f>IFERROR(__xludf.DUMMYFUNCTION("""COMPUTED_VALUE"""),75080.0)</f>
        <v>75080</v>
      </c>
      <c r="I3439" s="8">
        <f t="shared" si="39"/>
        <v>75080</v>
      </c>
      <c r="J3439" s="9">
        <f>IFERROR(__xludf.DUMMYFUNCTION("SPLIT(I3439,""-"")"),75080.0)</f>
        <v>75080</v>
      </c>
    </row>
    <row r="3440">
      <c r="A3440" s="5" t="s">
        <v>1159</v>
      </c>
      <c r="B3440" s="6">
        <v>100.0</v>
      </c>
      <c r="C3440" s="7" t="s">
        <v>1151</v>
      </c>
      <c r="E3440" s="8" t="str">
        <f>IFERROR(__xludf.DUMMYFUNCTION("SPLIT(A3440,""TX"")"),"Houston, Matthew
1504 Boca Chica Drive
Dallas, ")</f>
        <v>Houston, Matthew
1504 Boca Chica Drive
Dallas, </v>
      </c>
      <c r="F3440" s="8">
        <f>IFERROR(__xludf.DUMMYFUNCTION("""COMPUTED_VALUE"""),75232.0)</f>
        <v>75232</v>
      </c>
      <c r="I3440" s="8">
        <f t="shared" si="39"/>
        <v>75232</v>
      </c>
      <c r="J3440" s="9">
        <f>IFERROR(__xludf.DUMMYFUNCTION("SPLIT(I3440,""-"")"),75232.0)</f>
        <v>75232</v>
      </c>
    </row>
    <row r="3441">
      <c r="A3441" s="5" t="s">
        <v>3079</v>
      </c>
      <c r="B3441" s="6">
        <v>200.0</v>
      </c>
      <c r="C3441" s="7" t="s">
        <v>1151</v>
      </c>
      <c r="E3441" s="8" t="str">
        <f>IFERROR(__xludf.DUMMYFUNCTION("SPLIT(A3441,""TX"")"),"Pitre, Katrina
2310 Bonnie View Rd
Dallas, ")</f>
        <v>Pitre, Katrina
2310 Bonnie View Rd
Dallas, </v>
      </c>
      <c r="F3441" s="8" t="str">
        <f>IFERROR(__xludf.DUMMYFUNCTION("""COMPUTED_VALUE""")," 75216-2609")</f>
        <v> 75216-2609</v>
      </c>
      <c r="I3441" s="8" t="str">
        <f t="shared" si="39"/>
        <v> 75216-2609</v>
      </c>
      <c r="J3441" s="9">
        <f>IFERROR(__xludf.DUMMYFUNCTION("SPLIT(I3441,""-"")"),75216.0)</f>
        <v>75216</v>
      </c>
      <c r="K3441" s="8">
        <f>IFERROR(__xludf.DUMMYFUNCTION("""COMPUTED_VALUE"""),2609.0)</f>
        <v>2609</v>
      </c>
    </row>
    <row r="3442">
      <c r="A3442" s="5" t="s">
        <v>3080</v>
      </c>
      <c r="B3442" s="6">
        <v>300.0</v>
      </c>
      <c r="C3442" s="7" t="s">
        <v>1151</v>
      </c>
      <c r="E3442" s="8" t="str">
        <f>IFERROR(__xludf.DUMMYFUNCTION("SPLIT(A3442,""TX"")"),"Pitre, Robert
2642 S Harwood
Dallas, ")</f>
        <v>Pitre, Robert
2642 S Harwood
Dallas, </v>
      </c>
      <c r="F3442" s="8">
        <f>IFERROR(__xludf.DUMMYFUNCTION("""COMPUTED_VALUE"""),75215.0)</f>
        <v>75215</v>
      </c>
      <c r="I3442" s="8">
        <f t="shared" si="39"/>
        <v>75215</v>
      </c>
      <c r="J3442" s="9">
        <f>IFERROR(__xludf.DUMMYFUNCTION("SPLIT(I3442,""-"")"),75215.0)</f>
        <v>75215</v>
      </c>
    </row>
    <row r="3443">
      <c r="A3443" s="5" t="s">
        <v>3081</v>
      </c>
      <c r="B3443" s="6">
        <v>200.0</v>
      </c>
      <c r="C3443" s="7" t="s">
        <v>1151</v>
      </c>
      <c r="E3443" s="8" t="str">
        <f>IFERROR(__xludf.DUMMYFUNCTION("SPLIT(A3443,""TX"")"),"Spleicy, Bradley
7117 Wake Forest Drive
Dallas, ")</f>
        <v>Spleicy, Bradley
7117 Wake Forest Drive
Dallas, </v>
      </c>
      <c r="F3443" s="8">
        <f>IFERROR(__xludf.DUMMYFUNCTION("""COMPUTED_VALUE"""),75214.0)</f>
        <v>75214</v>
      </c>
      <c r="I3443" s="8">
        <f t="shared" si="39"/>
        <v>75214</v>
      </c>
      <c r="J3443" s="9">
        <f>IFERROR(__xludf.DUMMYFUNCTION("SPLIT(I3443,""-"")"),75214.0)</f>
        <v>75214</v>
      </c>
    </row>
    <row r="3444">
      <c r="A3444" s="5" t="s">
        <v>3082</v>
      </c>
      <c r="B3444" s="6">
        <v>100.0</v>
      </c>
      <c r="C3444" s="7" t="s">
        <v>1151</v>
      </c>
      <c r="E3444" s="8" t="str">
        <f>IFERROR(__xludf.DUMMYFUNCTION("SPLIT(A3444,""TX"")"),"Christian, Jerry
1440 Sunny Glen Dr
Dallas, ")</f>
        <v>Christian, Jerry
1440 Sunny Glen Dr
Dallas, </v>
      </c>
      <c r="F3444" s="8">
        <f>IFERROR(__xludf.DUMMYFUNCTION("""COMPUTED_VALUE"""),75232.0)</f>
        <v>75232</v>
      </c>
      <c r="I3444" s="8">
        <f t="shared" si="39"/>
        <v>75232</v>
      </c>
      <c r="J3444" s="9">
        <f>IFERROR(__xludf.DUMMYFUNCTION("SPLIT(I3444,""-"")"),75232.0)</f>
        <v>75232</v>
      </c>
    </row>
    <row r="3445">
      <c r="A3445" s="5" t="s">
        <v>3083</v>
      </c>
      <c r="B3445" s="6">
        <v>500.0</v>
      </c>
      <c r="C3445" s="7" t="s">
        <v>1151</v>
      </c>
      <c r="E3445" s="8" t="str">
        <f>IFERROR(__xludf.DUMMYFUNCTION("SPLIT(A3445,""TX"")"),"Price, John
510 E 5th
Dallas, ")</f>
        <v>Price, John
510 E 5th
Dallas, </v>
      </c>
      <c r="F3445" s="8">
        <f>IFERROR(__xludf.DUMMYFUNCTION("""COMPUTED_VALUE"""),75203.0)</f>
        <v>75203</v>
      </c>
      <c r="I3445" s="8">
        <f t="shared" si="39"/>
        <v>75203</v>
      </c>
      <c r="J3445" s="9">
        <f>IFERROR(__xludf.DUMMYFUNCTION("SPLIT(I3445,""-"")"),75203.0)</f>
        <v>75203</v>
      </c>
    </row>
    <row r="3446">
      <c r="A3446" s="5" t="s">
        <v>3084</v>
      </c>
      <c r="B3446" s="6">
        <v>500.0</v>
      </c>
      <c r="C3446" s="7" t="s">
        <v>1151</v>
      </c>
      <c r="E3446" s="8" t="str">
        <f>IFERROR(__xludf.DUMMYFUNCTION("SPLIT(A3446,""TX"")"),"Mapp, ")</f>
        <v>Mapp, </v>
      </c>
      <c r="F3446" s="8" t="str">
        <f>IFERROR(__xludf.DUMMYFUNCTION("""COMPUTED_VALUE"""),"relaine
12612 Beech ")</f>
        <v>relaine
12612 Beech </v>
      </c>
      <c r="G3446" s="8" t="str">
        <f>IFERROR(__xludf.DUMMYFUNCTION("""COMPUTED_VALUE"""),"ree Lane
Euless, ")</f>
        <v>ree Lane
Euless, </v>
      </c>
      <c r="H3446" s="8" t="str">
        <f>IFERROR(__xludf.DUMMYFUNCTION("""COMPUTED_VALUE""")," 76040-3428")</f>
        <v> 76040-3428</v>
      </c>
      <c r="I3446" s="13">
        <v>76040.0</v>
      </c>
      <c r="J3446" s="9">
        <f>IFERROR(__xludf.DUMMYFUNCTION("SPLIT(I3446,""-"")"),76040.0)</f>
        <v>76040</v>
      </c>
    </row>
    <row r="3447">
      <c r="A3447" s="5" t="s">
        <v>3085</v>
      </c>
      <c r="B3447" s="6">
        <v>250.0</v>
      </c>
      <c r="C3447" s="7" t="s">
        <v>1151</v>
      </c>
      <c r="E3447" s="8" t="str">
        <f>IFERROR(__xludf.DUMMYFUNCTION("SPLIT(A3447,""TX"")"),"Jones, ")</f>
        <v>Jones, </v>
      </c>
      <c r="F3447" s="8" t="str">
        <f>IFERROR(__xludf.DUMMYFUNCTION("""COMPUTED_VALUE"""),"homas
1527 Bilco St
Dallas, ")</f>
        <v>homas
1527 Bilco St
Dallas, </v>
      </c>
      <c r="G3447" s="8">
        <f>IFERROR(__xludf.DUMMYFUNCTION("""COMPUTED_VALUE"""),75232.0)</f>
        <v>75232</v>
      </c>
      <c r="I3447" s="8">
        <f t="shared" ref="I3447:I3480" si="40">IF(ISBLANK(G3447),F3447,G3447)</f>
        <v>75232</v>
      </c>
      <c r="J3447" s="9">
        <f>IFERROR(__xludf.DUMMYFUNCTION("SPLIT(I3447,""-"")"),75232.0)</f>
        <v>75232</v>
      </c>
    </row>
    <row r="3448">
      <c r="A3448" s="5" t="s">
        <v>3086</v>
      </c>
      <c r="B3448" s="6">
        <v>250.0</v>
      </c>
      <c r="C3448" s="7" t="s">
        <v>1151</v>
      </c>
      <c r="E3448" s="8" t="str">
        <f>IFERROR(__xludf.DUMMYFUNCTION("SPLIT(A3448,""TX"")"),"Shelton, Nancy
3913 Miramar Ave
Dallas, ")</f>
        <v>Shelton, Nancy
3913 Miramar Ave
Dallas, </v>
      </c>
      <c r="F3448" s="8">
        <f>IFERROR(__xludf.DUMMYFUNCTION("""COMPUTED_VALUE"""),75205.0)</f>
        <v>75205</v>
      </c>
      <c r="I3448" s="8">
        <f t="shared" si="40"/>
        <v>75205</v>
      </c>
      <c r="J3448" s="9">
        <f>IFERROR(__xludf.DUMMYFUNCTION("SPLIT(I3448,""-"")"),75205.0)</f>
        <v>75205</v>
      </c>
    </row>
    <row r="3449">
      <c r="A3449" s="5" t="s">
        <v>3087</v>
      </c>
      <c r="B3449" s="6">
        <v>500.0</v>
      </c>
      <c r="C3449" s="7" t="s">
        <v>1151</v>
      </c>
      <c r="E3449" s="8" t="str">
        <f>IFERROR(__xludf.DUMMYFUNCTION("SPLIT(A3449,""TX"")"),"Ablon, Michael
5908 Azalea Ln
Dallas, ")</f>
        <v>Ablon, Michael
5908 Azalea Ln
Dallas, </v>
      </c>
      <c r="F3449" s="8">
        <f>IFERROR(__xludf.DUMMYFUNCTION("""COMPUTED_VALUE"""),75230.0)</f>
        <v>75230</v>
      </c>
      <c r="I3449" s="8">
        <f t="shared" si="40"/>
        <v>75230</v>
      </c>
      <c r="J3449" s="9">
        <f>IFERROR(__xludf.DUMMYFUNCTION("SPLIT(I3449,""-"")"),75230.0)</f>
        <v>75230</v>
      </c>
    </row>
    <row r="3450">
      <c r="A3450" s="5" t="s">
        <v>3088</v>
      </c>
      <c r="B3450" s="6">
        <v>500.0</v>
      </c>
      <c r="C3450" s="7" t="s">
        <v>1151</v>
      </c>
      <c r="E3450" s="8" t="str">
        <f>IFERROR(__xludf.DUMMYFUNCTION("SPLIT(A3450,""TX"")"),"Camarillo, Sylvia
5 Richmond Ct
Mansfield, ")</f>
        <v>Camarillo, Sylvia
5 Richmond Ct
Mansfield, </v>
      </c>
      <c r="F3450" s="8">
        <f>IFERROR(__xludf.DUMMYFUNCTION("""COMPUTED_VALUE"""),76063.0)</f>
        <v>76063</v>
      </c>
      <c r="I3450" s="8">
        <f t="shared" si="40"/>
        <v>76063</v>
      </c>
      <c r="J3450" s="9">
        <f>IFERROR(__xludf.DUMMYFUNCTION("SPLIT(I3450,""-"")"),76063.0)</f>
        <v>76063</v>
      </c>
    </row>
    <row r="3451">
      <c r="A3451" s="5" t="s">
        <v>3089</v>
      </c>
      <c r="B3451" s="6">
        <v>500.0</v>
      </c>
      <c r="C3451" s="7" t="s">
        <v>1151</v>
      </c>
      <c r="E3451" s="8" t="str">
        <f>IFERROR(__xludf.DUMMYFUNCTION("SPLIT(A3451,""TX"")"),"Ku, Charles
148 Red Oak Lane
Flowe Mound, ")</f>
        <v>Ku, Charles
148 Red Oak Lane
Flowe Mound, </v>
      </c>
      <c r="F3451" s="8" t="str">
        <f>IFERROR(__xludf.DUMMYFUNCTION("""COMPUTED_VALUE""")," 75028-3501")</f>
        <v> 75028-3501</v>
      </c>
      <c r="I3451" s="8" t="str">
        <f t="shared" si="40"/>
        <v> 75028-3501</v>
      </c>
      <c r="J3451" s="9">
        <f>IFERROR(__xludf.DUMMYFUNCTION("SPLIT(I3451,""-"")"),75028.0)</f>
        <v>75028</v>
      </c>
      <c r="K3451" s="8">
        <f>IFERROR(__xludf.DUMMYFUNCTION("""COMPUTED_VALUE"""),3501.0)</f>
        <v>3501</v>
      </c>
    </row>
    <row r="3452">
      <c r="A3452" s="5" t="s">
        <v>2096</v>
      </c>
      <c r="B3452" s="6">
        <v>500.0</v>
      </c>
      <c r="C3452" s="7" t="s">
        <v>1151</v>
      </c>
      <c r="E3452" s="8" t="str">
        <f>IFERROR(__xludf.DUMMYFUNCTION("SPLIT(A3452,""TX"")"),"Johnson, Willis
1001 Belleview St
Dallas, ")</f>
        <v>Johnson, Willis
1001 Belleview St
Dallas, </v>
      </c>
      <c r="F3452" s="8">
        <f>IFERROR(__xludf.DUMMYFUNCTION("""COMPUTED_VALUE"""),75215.0)</f>
        <v>75215</v>
      </c>
      <c r="I3452" s="8">
        <f t="shared" si="40"/>
        <v>75215</v>
      </c>
      <c r="J3452" s="9">
        <f>IFERROR(__xludf.DUMMYFUNCTION("SPLIT(I3452,""-"")"),75215.0)</f>
        <v>75215</v>
      </c>
    </row>
    <row r="3453">
      <c r="A3453" s="5" t="s">
        <v>3090</v>
      </c>
      <c r="B3453" s="6">
        <v>800.0</v>
      </c>
      <c r="C3453" s="7" t="s">
        <v>1151</v>
      </c>
      <c r="E3453" s="8" t="str">
        <f>IFERROR(__xludf.DUMMYFUNCTION("SPLIT(A3453,""TX"")"),"sao, William
6922 Aspen Creek Ln
Dallas, ")</f>
        <v>sao, William
6922 Aspen Creek Ln
Dallas, </v>
      </c>
      <c r="F3453" s="8">
        <f>IFERROR(__xludf.DUMMYFUNCTION("""COMPUTED_VALUE"""),75252.0)</f>
        <v>75252</v>
      </c>
      <c r="I3453" s="8">
        <f t="shared" si="40"/>
        <v>75252</v>
      </c>
      <c r="J3453" s="9">
        <f>IFERROR(__xludf.DUMMYFUNCTION("SPLIT(I3453,""-"")"),75252.0)</f>
        <v>75252</v>
      </c>
    </row>
    <row r="3454">
      <c r="A3454" s="5" t="s">
        <v>3091</v>
      </c>
      <c r="B3454" s="6">
        <v>500.0</v>
      </c>
      <c r="C3454" s="7" t="s">
        <v>1151</v>
      </c>
      <c r="E3454" s="8" t="str">
        <f>IFERROR(__xludf.DUMMYFUNCTION("SPLIT(A3454,""TX"")"),"Spinola, Luis
4608 Windsor Ridge Dr
Irving, ")</f>
        <v>Spinola, Luis
4608 Windsor Ridge Dr
Irving, </v>
      </c>
      <c r="F3454" s="8">
        <f>IFERROR(__xludf.DUMMYFUNCTION("""COMPUTED_VALUE"""),75038.0)</f>
        <v>75038</v>
      </c>
      <c r="I3454" s="8">
        <f t="shared" si="40"/>
        <v>75038</v>
      </c>
      <c r="J3454" s="9">
        <f>IFERROR(__xludf.DUMMYFUNCTION("SPLIT(I3454,""-"")"),75038.0)</f>
        <v>75038</v>
      </c>
    </row>
    <row r="3455">
      <c r="A3455" s="5" t="s">
        <v>3092</v>
      </c>
      <c r="B3455" s="6">
        <v>500.0</v>
      </c>
      <c r="C3455" s="7" t="s">
        <v>1151</v>
      </c>
      <c r="E3455" s="8" t="str">
        <f>IFERROR(__xludf.DUMMYFUNCTION("SPLIT(A3455,""TX"")"),"Cho, Kevin
1504 Summerside Dr
Allen, ")</f>
        <v>Cho, Kevin
1504 Summerside Dr
Allen, </v>
      </c>
      <c r="F3455" s="8">
        <f>IFERROR(__xludf.DUMMYFUNCTION("""COMPUTED_VALUE"""),75002.0)</f>
        <v>75002</v>
      </c>
      <c r="I3455" s="8">
        <f t="shared" si="40"/>
        <v>75002</v>
      </c>
      <c r="J3455" s="9">
        <f>IFERROR(__xludf.DUMMYFUNCTION("SPLIT(I3455,""-"")"),75002.0)</f>
        <v>75002</v>
      </c>
    </row>
    <row r="3456">
      <c r="A3456" s="5" t="s">
        <v>3093</v>
      </c>
      <c r="B3456" s="6">
        <v>500.0</v>
      </c>
      <c r="C3456" s="7" t="s">
        <v>1151</v>
      </c>
      <c r="E3456" s="8" t="str">
        <f>IFERROR(__xludf.DUMMYFUNCTION("SPLIT(A3456,""TX"")"),"Chung, Kalray
2308 Morning Glory Dr
Richardson, ")</f>
        <v>Chung, Kalray
2308 Morning Glory Dr
Richardson, </v>
      </c>
      <c r="F3456" s="8">
        <f>IFERROR(__xludf.DUMMYFUNCTION("""COMPUTED_VALUE"""),75082.0)</f>
        <v>75082</v>
      </c>
      <c r="I3456" s="8">
        <f t="shared" si="40"/>
        <v>75082</v>
      </c>
      <c r="J3456" s="9">
        <f>IFERROR(__xludf.DUMMYFUNCTION("SPLIT(I3456,""-"")"),75082.0)</f>
        <v>75082</v>
      </c>
    </row>
    <row r="3457">
      <c r="A3457" s="5" t="s">
        <v>3094</v>
      </c>
      <c r="B3457" s="6">
        <v>1000.0</v>
      </c>
      <c r="C3457" s="7" t="s">
        <v>1151</v>
      </c>
      <c r="E3457" s="8" t="str">
        <f>IFERROR(__xludf.DUMMYFUNCTION("SPLIT(A3457,""TX"")"),"Suh, Jenny Hyun
2012 Boxwood Dr
Irving, ")</f>
        <v>Suh, Jenny Hyun
2012 Boxwood Dr
Irving, </v>
      </c>
      <c r="F3457" s="8" t="str">
        <f>IFERROR(__xludf.DUMMYFUNCTION("""COMPUTED_VALUE""")," 75063-5513")</f>
        <v> 75063-5513</v>
      </c>
      <c r="I3457" s="8" t="str">
        <f t="shared" si="40"/>
        <v> 75063-5513</v>
      </c>
      <c r="J3457" s="9">
        <f>IFERROR(__xludf.DUMMYFUNCTION("SPLIT(I3457,""-"")"),75063.0)</f>
        <v>75063</v>
      </c>
      <c r="K3457" s="8">
        <f>IFERROR(__xludf.DUMMYFUNCTION("""COMPUTED_VALUE"""),5513.0)</f>
        <v>5513</v>
      </c>
    </row>
    <row r="3458">
      <c r="A3458" s="5" t="s">
        <v>3095</v>
      </c>
      <c r="B3458" s="6">
        <v>1000.0</v>
      </c>
      <c r="C3458" s="7" t="s">
        <v>1151</v>
      </c>
      <c r="E3458" s="8" t="str">
        <f>IFERROR(__xludf.DUMMYFUNCTION("SPLIT(A3458,""TX"")"),"Johnson, Jacob
1237 Frenchmans Dr
Desoto, ")</f>
        <v>Johnson, Jacob
1237 Frenchmans Dr
Desoto, </v>
      </c>
      <c r="F3458" s="8">
        <f>IFERROR(__xludf.DUMMYFUNCTION("""COMPUTED_VALUE"""),75115.0)</f>
        <v>75115</v>
      </c>
      <c r="I3458" s="8">
        <f t="shared" si="40"/>
        <v>75115</v>
      </c>
      <c r="J3458" s="9">
        <f>IFERROR(__xludf.DUMMYFUNCTION("SPLIT(I3458,""-"")"),75115.0)</f>
        <v>75115</v>
      </c>
    </row>
    <row r="3459">
      <c r="A3459" s="5" t="s">
        <v>3096</v>
      </c>
      <c r="B3459" s="6">
        <v>1000.0</v>
      </c>
      <c r="C3459" s="7" t="s">
        <v>1151</v>
      </c>
      <c r="E3459" s="8" t="str">
        <f>IFERROR(__xludf.DUMMYFUNCTION("SPLIT(A3459,""TX"")"),"Kim, Chong Ann
2013 Cottonwood Valley Cir S
Irving, ")</f>
        <v>Kim, Chong Ann
2013 Cottonwood Valley Cir S
Irving, </v>
      </c>
      <c r="F3459" s="8">
        <f>IFERROR(__xludf.DUMMYFUNCTION("""COMPUTED_VALUE"""),75038.0)</f>
        <v>75038</v>
      </c>
      <c r="I3459" s="8">
        <f t="shared" si="40"/>
        <v>75038</v>
      </c>
      <c r="J3459" s="9">
        <f>IFERROR(__xludf.DUMMYFUNCTION("SPLIT(I3459,""-"")"),75038.0)</f>
        <v>75038</v>
      </c>
    </row>
    <row r="3460">
      <c r="A3460" s="5" t="s">
        <v>3097</v>
      </c>
      <c r="B3460" s="6">
        <v>1000.0</v>
      </c>
      <c r="C3460" s="7" t="s">
        <v>1151</v>
      </c>
      <c r="E3460" s="8" t="str">
        <f>IFERROR(__xludf.DUMMYFUNCTION("SPLIT(A3460,""TX"")"),"Kim, Odes
2013 Cottonwood Vall
Irving, ")</f>
        <v>Kim, Odes
2013 Cottonwood Vall
Irving, </v>
      </c>
      <c r="F3460" s="8">
        <f>IFERROR(__xludf.DUMMYFUNCTION("""COMPUTED_VALUE"""),75038.0)</f>
        <v>75038</v>
      </c>
      <c r="I3460" s="8">
        <f t="shared" si="40"/>
        <v>75038</v>
      </c>
      <c r="J3460" s="9">
        <f>IFERROR(__xludf.DUMMYFUNCTION("SPLIT(I3460,""-"")"),75038.0)</f>
        <v>75038</v>
      </c>
    </row>
    <row r="3461">
      <c r="A3461" s="5" t="s">
        <v>3098</v>
      </c>
      <c r="B3461" s="6">
        <v>1000.0</v>
      </c>
      <c r="C3461" s="7" t="s">
        <v>1151</v>
      </c>
      <c r="E3461" s="8" t="str">
        <f>IFERROR(__xludf.DUMMYFUNCTION("SPLIT(A3461,""TX"")"),"Proctor, John
1524 Oak Meadow Dr
Dallas, ")</f>
        <v>Proctor, John
1524 Oak Meadow Dr
Dallas, </v>
      </c>
      <c r="F3461" s="8">
        <f>IFERROR(__xludf.DUMMYFUNCTION("""COMPUTED_VALUE"""),75232.0)</f>
        <v>75232</v>
      </c>
      <c r="I3461" s="8">
        <f t="shared" si="40"/>
        <v>75232</v>
      </c>
      <c r="J3461" s="9">
        <f>IFERROR(__xludf.DUMMYFUNCTION("SPLIT(I3461,""-"")"),75232.0)</f>
        <v>75232</v>
      </c>
    </row>
    <row r="3462">
      <c r="A3462" s="5" t="s">
        <v>3099</v>
      </c>
      <c r="B3462" s="6">
        <v>1000.0</v>
      </c>
      <c r="C3462" s="7" t="s">
        <v>1151</v>
      </c>
      <c r="E3462" s="8" t="str">
        <f>IFERROR(__xludf.DUMMYFUNCTION("SPLIT(A3462,""TX"")"),"Proctor, Christine
PO Box 765129
Dallas, ")</f>
        <v>Proctor, Christine
PO Box 765129
Dallas, </v>
      </c>
      <c r="F3462" s="8">
        <f>IFERROR(__xludf.DUMMYFUNCTION("""COMPUTED_VALUE"""),75376.0)</f>
        <v>75376</v>
      </c>
      <c r="I3462" s="8">
        <f t="shared" si="40"/>
        <v>75376</v>
      </c>
      <c r="J3462" s="9">
        <f>IFERROR(__xludf.DUMMYFUNCTION("SPLIT(I3462,""-"")"),75376.0)</f>
        <v>75376</v>
      </c>
    </row>
    <row r="3463">
      <c r="A3463" s="5" t="s">
        <v>3100</v>
      </c>
      <c r="B3463" s="6">
        <v>1000.0</v>
      </c>
      <c r="C3463" s="7" t="s">
        <v>1151</v>
      </c>
      <c r="E3463" s="8" t="str">
        <f>IFERROR(__xludf.DUMMYFUNCTION("SPLIT(A3463,""TX"")"),"KING, DELVA
1243 W PLEASAN")</f>
        <v>KING, DELVA
1243 W PLEASAN</v>
      </c>
      <c r="F3463" s="8" t="str">
        <f>IFERROR(__xludf.DUMMYFUNCTION("""COMPUTED_VALUE""")," RUN RD
DESO")</f>
        <v> RUN RD
DESO</v>
      </c>
      <c r="G3463" s="8" t="str">
        <f>IFERROR(__xludf.DUMMYFUNCTION("""COMPUTED_VALUE"""),"O, ")</f>
        <v>O, </v>
      </c>
      <c r="H3463" s="8">
        <f>IFERROR(__xludf.DUMMYFUNCTION("""COMPUTED_VALUE"""),75115.0)</f>
        <v>75115</v>
      </c>
      <c r="I3463" s="8" t="str">
        <f t="shared" si="40"/>
        <v>O, </v>
      </c>
      <c r="J3463" s="9" t="str">
        <f>IFERROR(__xludf.DUMMYFUNCTION("SPLIT(I3463,""-"")"),"O, ")</f>
        <v>O, </v>
      </c>
    </row>
    <row r="3464">
      <c r="A3464" s="5" t="s">
        <v>3101</v>
      </c>
      <c r="B3464" s="6">
        <v>1000.0</v>
      </c>
      <c r="C3464" s="7" t="s">
        <v>1151</v>
      </c>
      <c r="E3464" s="8" t="str">
        <f>IFERROR(__xludf.DUMMYFUNCTION("SPLIT(A3464,""TX"")"),"illotson, Dara
1807 Ross Ave
Dallas, ")</f>
        <v>illotson, Dara
1807 Ross Ave
Dallas, </v>
      </c>
      <c r="F3464" s="8">
        <f>IFERROR(__xludf.DUMMYFUNCTION("""COMPUTED_VALUE"""),75201.0)</f>
        <v>75201</v>
      </c>
      <c r="I3464" s="8">
        <f t="shared" si="40"/>
        <v>75201</v>
      </c>
      <c r="J3464" s="9">
        <f>IFERROR(__xludf.DUMMYFUNCTION("SPLIT(I3464,""-"")"),75201.0)</f>
        <v>75201</v>
      </c>
    </row>
    <row r="3465">
      <c r="A3465" s="5" t="s">
        <v>3102</v>
      </c>
      <c r="B3465" s="6">
        <v>1000.0</v>
      </c>
      <c r="C3465" s="7" t="s">
        <v>1151</v>
      </c>
      <c r="E3465" s="8" t="str">
        <f>IFERROR(__xludf.DUMMYFUNCTION("SPLIT(A3465,""TX"")"),"illotson, Jeffrey
1807 Ross Ave
Dallas, ")</f>
        <v>illotson, Jeffrey
1807 Ross Ave
Dallas, </v>
      </c>
      <c r="F3465" s="8">
        <f>IFERROR(__xludf.DUMMYFUNCTION("""COMPUTED_VALUE"""),75201.0)</f>
        <v>75201</v>
      </c>
      <c r="I3465" s="8">
        <f t="shared" si="40"/>
        <v>75201</v>
      </c>
      <c r="J3465" s="9">
        <f>IFERROR(__xludf.DUMMYFUNCTION("SPLIT(I3465,""-"")"),75201.0)</f>
        <v>75201</v>
      </c>
    </row>
    <row r="3466">
      <c r="A3466" s="5" t="s">
        <v>3103</v>
      </c>
      <c r="B3466" s="6">
        <v>1000.0</v>
      </c>
      <c r="C3466" s="7" t="s">
        <v>1151</v>
      </c>
      <c r="E3466" s="8" t="str">
        <f>IFERROR(__xludf.DUMMYFUNCTION("SPLIT(A3466,""TX"")"),"Linebarger Goggan Blair &amp; Samspon, LLP
PO Box 17428
Austin, ")</f>
        <v>Linebarger Goggan Blair &amp; Samspon, LLP
PO Box 17428
Austin, </v>
      </c>
      <c r="F3466" s="8">
        <f>IFERROR(__xludf.DUMMYFUNCTION("""COMPUTED_VALUE"""),78760.0)</f>
        <v>78760</v>
      </c>
      <c r="I3466" s="8">
        <f t="shared" si="40"/>
        <v>78760</v>
      </c>
      <c r="J3466" s="9">
        <f>IFERROR(__xludf.DUMMYFUNCTION("SPLIT(I3466,""-"")"),78760.0)</f>
        <v>78760</v>
      </c>
    </row>
    <row r="3467">
      <c r="A3467" s="5" t="s">
        <v>3104</v>
      </c>
      <c r="B3467" s="6">
        <v>1000.0</v>
      </c>
      <c r="C3467" s="7" t="s">
        <v>1060</v>
      </c>
      <c r="E3467" s="8" t="str">
        <f>IFERROR(__xludf.DUMMYFUNCTION("SPLIT(A3467,""TX"")"),"Nichols, Douglas
2603 Fairmount St.
Dallas, ")</f>
        <v>Nichols, Douglas
2603 Fairmount St.
Dallas, </v>
      </c>
      <c r="F3467" s="8">
        <f>IFERROR(__xludf.DUMMYFUNCTION("""COMPUTED_VALUE"""),75201.0)</f>
        <v>75201</v>
      </c>
      <c r="I3467" s="8">
        <f t="shared" si="40"/>
        <v>75201</v>
      </c>
      <c r="J3467" s="9">
        <f>IFERROR(__xludf.DUMMYFUNCTION("SPLIT(I3467,""-"")"),75201.0)</f>
        <v>75201</v>
      </c>
    </row>
    <row r="3468">
      <c r="A3468" s="10" t="s">
        <v>3105</v>
      </c>
      <c r="B3468" s="11">
        <v>1000.0</v>
      </c>
      <c r="C3468" s="12" t="s">
        <v>1060</v>
      </c>
      <c r="E3468" s="8" t="str">
        <f>IFERROR(__xludf.DUMMYFUNCTION("SPLIT(A3468,""TX"")"),"Nichols, Karrison
2603 Fairmount St.
Dallas, ")</f>
        <v>Nichols, Karrison
2603 Fairmount St.
Dallas, </v>
      </c>
      <c r="F3468" s="8">
        <f>IFERROR(__xludf.DUMMYFUNCTION("""COMPUTED_VALUE"""),75201.0)</f>
        <v>75201</v>
      </c>
      <c r="I3468" s="8">
        <f t="shared" si="40"/>
        <v>75201</v>
      </c>
      <c r="J3468" s="9">
        <f>IFERROR(__xludf.DUMMYFUNCTION("SPLIT(I3468,""-"")"),75201.0)</f>
        <v>75201</v>
      </c>
    </row>
    <row r="3469">
      <c r="A3469" s="5" t="s">
        <v>3106</v>
      </c>
      <c r="B3469" s="6">
        <v>200.0</v>
      </c>
      <c r="C3469" s="7" t="s">
        <v>634</v>
      </c>
      <c r="E3469" s="8" t="str">
        <f>IFERROR(__xludf.DUMMYFUNCTION("SPLIT(A3469,""TX"")"),"Kollaja, ")</f>
        <v>Kollaja, </v>
      </c>
      <c r="F3469" s="8" t="str">
        <f>IFERROR(__xludf.DUMMYFUNCTION("""COMPUTED_VALUE"""),"ed
108 West Shore Dr
Richardson, ")</f>
        <v>ed
108 West Shore Dr
Richardson, </v>
      </c>
      <c r="G3469" s="8">
        <f>IFERROR(__xludf.DUMMYFUNCTION("""COMPUTED_VALUE"""),75080.0)</f>
        <v>75080</v>
      </c>
      <c r="I3469" s="8">
        <f t="shared" si="40"/>
        <v>75080</v>
      </c>
      <c r="J3469" s="9">
        <f>IFERROR(__xludf.DUMMYFUNCTION("SPLIT(I3469,""-"")"),75080.0)</f>
        <v>75080</v>
      </c>
    </row>
    <row r="3470">
      <c r="A3470" s="5" t="s">
        <v>3107</v>
      </c>
      <c r="B3470" s="6">
        <v>1000.0</v>
      </c>
      <c r="C3470" s="7" t="s">
        <v>634</v>
      </c>
      <c r="E3470" s="8" t="str">
        <f>IFERROR(__xludf.DUMMYFUNCTION("SPLIT(A3470,""TX"")"),"Gerber, Pam
4435 Holland Ave
Dallas, ")</f>
        <v>Gerber, Pam
4435 Holland Ave
Dallas, </v>
      </c>
      <c r="F3470" s="8" t="str">
        <f>IFERROR(__xludf.DUMMYFUNCTION("""COMPUTED_VALUE""")," 75219-2134")</f>
        <v> 75219-2134</v>
      </c>
      <c r="I3470" s="8" t="str">
        <f t="shared" si="40"/>
        <v> 75219-2134</v>
      </c>
      <c r="J3470" s="9">
        <f>IFERROR(__xludf.DUMMYFUNCTION("SPLIT(I3470,""-"")"),75219.0)</f>
        <v>75219</v>
      </c>
      <c r="K3470" s="8">
        <f>IFERROR(__xludf.DUMMYFUNCTION("""COMPUTED_VALUE"""),2134.0)</f>
        <v>2134</v>
      </c>
    </row>
    <row r="3471">
      <c r="A3471" s="5" t="s">
        <v>1539</v>
      </c>
      <c r="B3471" s="6">
        <v>250.0</v>
      </c>
      <c r="C3471" s="7" t="s">
        <v>634</v>
      </c>
      <c r="E3471" s="8" t="str">
        <f>IFERROR(__xludf.DUMMYFUNCTION("SPLIT(A3471,""TX"")"),"Smith, Suzanne
3210 Carlisle
Dallas, ")</f>
        <v>Smith, Suzanne
3210 Carlisle
Dallas, </v>
      </c>
      <c r="F3471" s="8">
        <f>IFERROR(__xludf.DUMMYFUNCTION("""COMPUTED_VALUE"""),75204.0)</f>
        <v>75204</v>
      </c>
      <c r="I3471" s="8">
        <f t="shared" si="40"/>
        <v>75204</v>
      </c>
      <c r="J3471" s="9">
        <f>IFERROR(__xludf.DUMMYFUNCTION("SPLIT(I3471,""-"")"),75204.0)</f>
        <v>75204</v>
      </c>
    </row>
    <row r="3472">
      <c r="A3472" s="5" t="s">
        <v>3108</v>
      </c>
      <c r="B3472" s="6">
        <v>1000.0</v>
      </c>
      <c r="C3472" s="7" t="s">
        <v>634</v>
      </c>
      <c r="E3472" s="8" t="str">
        <f>IFERROR(__xludf.DUMMYFUNCTION("SPLIT(A3472,""TX"")"),"Agnich, Robert
8525 Ferndale Rd
Dallas, ")</f>
        <v>Agnich, Robert
8525 Ferndale Rd
Dallas, </v>
      </c>
      <c r="F3472" s="8">
        <f>IFERROR(__xludf.DUMMYFUNCTION("""COMPUTED_VALUE"""),75238.0)</f>
        <v>75238</v>
      </c>
      <c r="I3472" s="8">
        <f t="shared" si="40"/>
        <v>75238</v>
      </c>
      <c r="J3472" s="9">
        <f>IFERROR(__xludf.DUMMYFUNCTION("SPLIT(I3472,""-"")"),75238.0)</f>
        <v>75238</v>
      </c>
    </row>
    <row r="3473">
      <c r="A3473" s="5" t="s">
        <v>2000</v>
      </c>
      <c r="B3473" s="6">
        <v>500.0</v>
      </c>
      <c r="C3473" s="7" t="s">
        <v>634</v>
      </c>
      <c r="E3473" s="8" t="str">
        <f>IFERROR(__xludf.DUMMYFUNCTION("SPLIT(A3473,""TX"")"),"Coats, Sam
26 Ryddington Pl
Dallas, ")</f>
        <v>Coats, Sam
26 Ryddington Pl
Dallas, </v>
      </c>
      <c r="F3473" s="8">
        <f>IFERROR(__xludf.DUMMYFUNCTION("""COMPUTED_VALUE"""),75230.0)</f>
        <v>75230</v>
      </c>
      <c r="I3473" s="8">
        <f t="shared" si="40"/>
        <v>75230</v>
      </c>
      <c r="J3473" s="9">
        <f>IFERROR(__xludf.DUMMYFUNCTION("SPLIT(I3473,""-"")"),75230.0)</f>
        <v>75230</v>
      </c>
    </row>
    <row r="3474">
      <c r="A3474" s="5" t="s">
        <v>2001</v>
      </c>
      <c r="B3474" s="6">
        <v>1000.0</v>
      </c>
      <c r="C3474" s="7" t="s">
        <v>634</v>
      </c>
      <c r="E3474" s="8" t="str">
        <f>IFERROR(__xludf.DUMMYFUNCTION("SPLIT(A3474,""TX"")"),"Finkelman, Lois
11437 West Ricks Circle
Dallas, ")</f>
        <v>Finkelman, Lois
11437 West Ricks Circle
Dallas, </v>
      </c>
      <c r="F3474" s="8">
        <f>IFERROR(__xludf.DUMMYFUNCTION("""COMPUTED_VALUE"""),75230.0)</f>
        <v>75230</v>
      </c>
      <c r="I3474" s="8">
        <f t="shared" si="40"/>
        <v>75230</v>
      </c>
      <c r="J3474" s="9">
        <f>IFERROR(__xludf.DUMMYFUNCTION("SPLIT(I3474,""-"")"),75230.0)</f>
        <v>75230</v>
      </c>
    </row>
    <row r="3475">
      <c r="A3475" s="5" t="s">
        <v>3109</v>
      </c>
      <c r="B3475" s="6">
        <v>1000.0</v>
      </c>
      <c r="C3475" s="7" t="s">
        <v>634</v>
      </c>
      <c r="E3475" s="8" t="str">
        <f>IFERROR(__xludf.DUMMYFUNCTION("SPLIT(A3475,""TX"")"),"Laye, Bradley
7896 Eastlake Dr
Boca Raton, FL 33433")</f>
        <v>Laye, Bradley
7896 Eastlake Dr
Boca Raton, FL 33433</v>
      </c>
      <c r="I3475" s="8" t="str">
        <f t="shared" si="40"/>
        <v/>
      </c>
      <c r="J3475" s="9" t="str">
        <f>IFERROR(__xludf.DUMMYFUNCTION("SPLIT(I3475,""-"")"),"#VALUE!")</f>
        <v>#VALUE!</v>
      </c>
    </row>
    <row r="3476">
      <c r="A3476" s="5" t="s">
        <v>3110</v>
      </c>
      <c r="B3476" s="6">
        <v>1000.0</v>
      </c>
      <c r="C3476" s="7" t="s">
        <v>634</v>
      </c>
      <c r="E3476" s="8" t="str">
        <f>IFERROR(__xludf.DUMMYFUNCTION("SPLIT(A3476,""TX"")"),"Barnett &amp; family, Mitchell and Miriam Lewis
14020 Hughes Ln
Dallas, ")</f>
        <v>Barnett &amp; family, Mitchell and Miriam Lewis
14020 Hughes Ln
Dallas, </v>
      </c>
      <c r="F3476" s="8">
        <f>IFERROR(__xludf.DUMMYFUNCTION("""COMPUTED_VALUE"""),75254.0)</f>
        <v>75254</v>
      </c>
      <c r="I3476" s="8">
        <f t="shared" si="40"/>
        <v>75254</v>
      </c>
      <c r="J3476" s="9">
        <f>IFERROR(__xludf.DUMMYFUNCTION("SPLIT(I3476,""-"")"),75254.0)</f>
        <v>75254</v>
      </c>
    </row>
    <row r="3477">
      <c r="A3477" s="5" t="s">
        <v>3111</v>
      </c>
      <c r="B3477" s="6">
        <v>1000.0</v>
      </c>
      <c r="C3477" s="7" t="s">
        <v>634</v>
      </c>
      <c r="E3477" s="8" t="str">
        <f>IFERROR(__xludf.DUMMYFUNCTION("SPLIT(A3477,""TX"")"),"Phillips, John
12130 Vendome Pl
Dallas, ")</f>
        <v>Phillips, John
12130 Vendome Pl
Dallas, </v>
      </c>
      <c r="F3477" s="8">
        <f>IFERROR(__xludf.DUMMYFUNCTION("""COMPUTED_VALUE"""),75230.0)</f>
        <v>75230</v>
      </c>
      <c r="I3477" s="8">
        <f t="shared" si="40"/>
        <v>75230</v>
      </c>
      <c r="J3477" s="9">
        <f>IFERROR(__xludf.DUMMYFUNCTION("SPLIT(I3477,""-"")"),75230.0)</f>
        <v>75230</v>
      </c>
    </row>
    <row r="3478">
      <c r="A3478" s="5" t="s">
        <v>413</v>
      </c>
      <c r="B3478" s="6">
        <v>500.0</v>
      </c>
      <c r="C3478" s="7" t="s">
        <v>634</v>
      </c>
      <c r="E3478" s="8" t="str">
        <f>IFERROR(__xludf.DUMMYFUNCTION("SPLIT(A3478,""TX"")"),"Schlosser, Rodney
6336 ")</f>
        <v>Schlosser, Rodney
6336 </v>
      </c>
      <c r="F3478" s="8" t="str">
        <f>IFERROR(__xludf.DUMMYFUNCTION("""COMPUTED_VALUE"""),"ulip Ln
Dallas, ")</f>
        <v>ulip Ln
Dallas, </v>
      </c>
      <c r="G3478" s="8">
        <f>IFERROR(__xludf.DUMMYFUNCTION("""COMPUTED_VALUE"""),75230.0)</f>
        <v>75230</v>
      </c>
      <c r="I3478" s="8">
        <f t="shared" si="40"/>
        <v>75230</v>
      </c>
      <c r="J3478" s="9">
        <f>IFERROR(__xludf.DUMMYFUNCTION("SPLIT(I3478,""-"")"),75230.0)</f>
        <v>75230</v>
      </c>
    </row>
    <row r="3479">
      <c r="A3479" s="5" t="s">
        <v>823</v>
      </c>
      <c r="B3479" s="6">
        <v>1000.0</v>
      </c>
      <c r="C3479" s="7" t="s">
        <v>634</v>
      </c>
      <c r="E3479" s="8" t="str">
        <f>IFERROR(__xludf.DUMMYFUNCTION("SPLIT(A3479,""TX"")"),"Kreditor, Mark and Carol
12124 Madeleine Cir
Dallas, ")</f>
        <v>Kreditor, Mark and Carol
12124 Madeleine Cir
Dallas, </v>
      </c>
      <c r="F3479" s="8">
        <f>IFERROR(__xludf.DUMMYFUNCTION("""COMPUTED_VALUE"""),75230.0)</f>
        <v>75230</v>
      </c>
      <c r="I3479" s="8">
        <f t="shared" si="40"/>
        <v>75230</v>
      </c>
      <c r="J3479" s="9">
        <f>IFERROR(__xludf.DUMMYFUNCTION("SPLIT(I3479,""-"")"),75230.0)</f>
        <v>75230</v>
      </c>
    </row>
    <row r="3480">
      <c r="A3480" s="5" t="s">
        <v>3112</v>
      </c>
      <c r="B3480" s="6">
        <v>1000.0</v>
      </c>
      <c r="C3480" s="7" t="s">
        <v>634</v>
      </c>
      <c r="E3480" s="8" t="str">
        <f>IFERROR(__xludf.DUMMYFUNCTION("SPLIT(A3480,""TX"")"),"Levine, Nate
8240 Manderville Ln
Dallas, ")</f>
        <v>Levine, Nate
8240 Manderville Ln
Dallas, </v>
      </c>
      <c r="F3480" s="8">
        <f>IFERROR(__xludf.DUMMYFUNCTION("""COMPUTED_VALUE"""),75231.0)</f>
        <v>75231</v>
      </c>
      <c r="I3480" s="8">
        <f t="shared" si="40"/>
        <v>75231</v>
      </c>
      <c r="J3480" s="9">
        <f>IFERROR(__xludf.DUMMYFUNCTION("SPLIT(I3480,""-"")"),75231.0)</f>
        <v>75231</v>
      </c>
    </row>
    <row r="3481">
      <c r="A3481" s="5" t="s">
        <v>3113</v>
      </c>
      <c r="B3481" s="6">
        <v>1000.0</v>
      </c>
      <c r="C3481" s="7" t="s">
        <v>634</v>
      </c>
      <c r="E3481" s="8" t="str">
        <f>IFERROR(__xludf.DUMMYFUNCTION("SPLIT(A3481,""TX"")"),"LJS Revocable ")</f>
        <v>LJS Revocable </v>
      </c>
      <c r="F3481" s="8" t="str">
        <f>IFERROR(__xludf.DUMMYFUNCTION("""COMPUTED_VALUE"""),"rust
PO Box 699
")</f>
        <v>rust
PO Box 699
</v>
      </c>
      <c r="G3481" s="8" t="str">
        <f>IFERROR(__xludf.DUMMYFUNCTION("""COMPUTED_VALUE"""),"ulsa, OK 74101")</f>
        <v>ulsa, OK 74101</v>
      </c>
      <c r="J3481" s="9" t="str">
        <f>IFERROR(__xludf.DUMMYFUNCTION("SPLIT(I3481,""-"")"),"#VALUE!")</f>
        <v>#VALUE!</v>
      </c>
    </row>
    <row r="3482">
      <c r="A3482" s="5" t="s">
        <v>3114</v>
      </c>
      <c r="B3482" s="6">
        <v>1000.0</v>
      </c>
      <c r="C3482" s="7" t="s">
        <v>634</v>
      </c>
      <c r="E3482" s="8" t="str">
        <f>IFERROR(__xludf.DUMMYFUNCTION("SPLIT(A3482,""TX"")"),"Dunning, Sarah
9239 Hathaway St
Dallas, ")</f>
        <v>Dunning, Sarah
9239 Hathaway St
Dallas, </v>
      </c>
      <c r="F3482" s="8">
        <f>IFERROR(__xludf.DUMMYFUNCTION("""COMPUTED_VALUE"""),75220.0)</f>
        <v>75220</v>
      </c>
      <c r="I3482" s="8">
        <f t="shared" ref="I3482:I3628" si="41">IF(ISBLANK(G3482),F3482,G3482)</f>
        <v>75220</v>
      </c>
      <c r="J3482" s="9">
        <f>IFERROR(__xludf.DUMMYFUNCTION("SPLIT(I3482,""-"")"),75220.0)</f>
        <v>75220</v>
      </c>
    </row>
    <row r="3483">
      <c r="A3483" s="5" t="s">
        <v>3115</v>
      </c>
      <c r="B3483" s="6">
        <v>1000.0</v>
      </c>
      <c r="C3483" s="7" t="s">
        <v>634</v>
      </c>
      <c r="E3483" s="8" t="str">
        <f>IFERROR(__xludf.DUMMYFUNCTION("SPLIT(A3483,""TX"")"),"Carp, Susie
6322 Park Ln
Dallas, ")</f>
        <v>Carp, Susie
6322 Park Ln
Dallas, </v>
      </c>
      <c r="F3483" s="8">
        <f>IFERROR(__xludf.DUMMYFUNCTION("""COMPUTED_VALUE"""),75225.0)</f>
        <v>75225</v>
      </c>
      <c r="I3483" s="8">
        <f t="shared" si="41"/>
        <v>75225</v>
      </c>
      <c r="J3483" s="9">
        <f>IFERROR(__xludf.DUMMYFUNCTION("SPLIT(I3483,""-"")"),75225.0)</f>
        <v>75225</v>
      </c>
    </row>
    <row r="3484">
      <c r="A3484" s="5" t="s">
        <v>3116</v>
      </c>
      <c r="B3484" s="6">
        <v>500.0</v>
      </c>
      <c r="C3484" s="7" t="s">
        <v>634</v>
      </c>
      <c r="E3484" s="8" t="str">
        <f>IFERROR(__xludf.DUMMYFUNCTION("SPLIT(A3484,""TX"")"),"Bogen, Sheryl
12032 Excelsior Way
Dallas, ")</f>
        <v>Bogen, Sheryl
12032 Excelsior Way
Dallas, </v>
      </c>
      <c r="F3484" s="8">
        <f>IFERROR(__xludf.DUMMYFUNCTION("""COMPUTED_VALUE"""),75230.0)</f>
        <v>75230</v>
      </c>
      <c r="I3484" s="8">
        <f t="shared" si="41"/>
        <v>75230</v>
      </c>
      <c r="J3484" s="9">
        <f>IFERROR(__xludf.DUMMYFUNCTION("SPLIT(I3484,""-"")"),75230.0)</f>
        <v>75230</v>
      </c>
    </row>
    <row r="3485">
      <c r="A3485" s="5" t="s">
        <v>3117</v>
      </c>
      <c r="B3485" s="6">
        <v>1000.0</v>
      </c>
      <c r="C3485" s="7" t="s">
        <v>634</v>
      </c>
      <c r="E3485" s="8" t="str">
        <f>IFERROR(__xludf.DUMMYFUNCTION("SPLIT(A3485,""TX"")"),"Whitman, Jeffrey
11505 Hillcrest Rd
Dallas, ")</f>
        <v>Whitman, Jeffrey
11505 Hillcrest Rd
Dallas, </v>
      </c>
      <c r="F3485" s="8">
        <f>IFERROR(__xludf.DUMMYFUNCTION("""COMPUTED_VALUE"""),75230.0)</f>
        <v>75230</v>
      </c>
      <c r="I3485" s="8">
        <f t="shared" si="41"/>
        <v>75230</v>
      </c>
      <c r="J3485" s="9">
        <f>IFERROR(__xludf.DUMMYFUNCTION("SPLIT(I3485,""-"")"),75230.0)</f>
        <v>75230</v>
      </c>
    </row>
    <row r="3486">
      <c r="A3486" s="5" t="s">
        <v>3118</v>
      </c>
      <c r="B3486" s="6">
        <v>1000.0</v>
      </c>
      <c r="C3486" s="7" t="s">
        <v>634</v>
      </c>
      <c r="E3486" s="8" t="str">
        <f>IFERROR(__xludf.DUMMYFUNCTION("SPLIT(A3486,""TX"")"),"Waldman, Stephen and Jackie
7729 Yamini Dr
Dallas, ")</f>
        <v>Waldman, Stephen and Jackie
7729 Yamini Dr
Dallas, </v>
      </c>
      <c r="F3486" s="8">
        <f>IFERROR(__xludf.DUMMYFUNCTION("""COMPUTED_VALUE"""),75230.0)</f>
        <v>75230</v>
      </c>
      <c r="I3486" s="8">
        <f t="shared" si="41"/>
        <v>75230</v>
      </c>
      <c r="J3486" s="9">
        <f>IFERROR(__xludf.DUMMYFUNCTION("SPLIT(I3486,""-"")"),75230.0)</f>
        <v>75230</v>
      </c>
    </row>
    <row r="3487">
      <c r="A3487" s="5" t="s">
        <v>3119</v>
      </c>
      <c r="B3487" s="6">
        <v>250.0</v>
      </c>
      <c r="C3487" s="7" t="s">
        <v>634</v>
      </c>
      <c r="E3487" s="8" t="str">
        <f>IFERROR(__xludf.DUMMYFUNCTION("SPLIT(A3487,""TX"")"),"Owen, Jennifer
6541 Arborist Ln
Dallas, ")</f>
        <v>Owen, Jennifer
6541 Arborist Ln
Dallas, </v>
      </c>
      <c r="F3487" s="8">
        <f>IFERROR(__xludf.DUMMYFUNCTION("""COMPUTED_VALUE"""),75214.0)</f>
        <v>75214</v>
      </c>
      <c r="I3487" s="8">
        <f t="shared" si="41"/>
        <v>75214</v>
      </c>
      <c r="J3487" s="9">
        <f>IFERROR(__xludf.DUMMYFUNCTION("SPLIT(I3487,""-"")"),75214.0)</f>
        <v>75214</v>
      </c>
    </row>
    <row r="3488">
      <c r="A3488" s="5" t="s">
        <v>3120</v>
      </c>
      <c r="B3488" s="6">
        <v>1000.0</v>
      </c>
      <c r="C3488" s="7" t="s">
        <v>634</v>
      </c>
      <c r="E3488" s="8" t="str">
        <f>IFERROR(__xludf.DUMMYFUNCTION("SPLIT(A3488,""TX"")"),"Risch, Frank
3540 Colgate Ave
Dallas, ")</f>
        <v>Risch, Frank
3540 Colgate Ave
Dallas, </v>
      </c>
      <c r="F3488" s="8">
        <f>IFERROR(__xludf.DUMMYFUNCTION("""COMPUTED_VALUE"""),75225.0)</f>
        <v>75225</v>
      </c>
      <c r="I3488" s="8">
        <f t="shared" si="41"/>
        <v>75225</v>
      </c>
      <c r="J3488" s="9">
        <f>IFERROR(__xludf.DUMMYFUNCTION("SPLIT(I3488,""-"")"),75225.0)</f>
        <v>75225</v>
      </c>
    </row>
    <row r="3489">
      <c r="A3489" s="5" t="s">
        <v>3121</v>
      </c>
      <c r="B3489" s="6">
        <v>1000.0</v>
      </c>
      <c r="C3489" s="7" t="s">
        <v>634</v>
      </c>
      <c r="E3489" s="8" t="str">
        <f>IFERROR(__xludf.DUMMYFUNCTION("SPLIT(A3489,""TX"")"),"Radunsky, David
12015 Excelsior Way
Dallas, ")</f>
        <v>Radunsky, David
12015 Excelsior Way
Dallas, </v>
      </c>
      <c r="F3489" s="8">
        <f>IFERROR(__xludf.DUMMYFUNCTION("""COMPUTED_VALUE"""),75230.0)</f>
        <v>75230</v>
      </c>
      <c r="I3489" s="8">
        <f t="shared" si="41"/>
        <v>75230</v>
      </c>
      <c r="J3489" s="9">
        <f>IFERROR(__xludf.DUMMYFUNCTION("SPLIT(I3489,""-"")"),75230.0)</f>
        <v>75230</v>
      </c>
    </row>
    <row r="3490">
      <c r="A3490" s="5" t="s">
        <v>1153</v>
      </c>
      <c r="B3490" s="6">
        <v>1000.0</v>
      </c>
      <c r="C3490" s="7" t="s">
        <v>634</v>
      </c>
      <c r="E3490" s="8" t="str">
        <f>IFERROR(__xludf.DUMMYFUNCTION("SPLIT(A3490,""TX"")"),"Steinhart, Ronald
25 Robledo Dr
Dallas, ")</f>
        <v>Steinhart, Ronald
25 Robledo Dr
Dallas, </v>
      </c>
      <c r="F3490" s="8">
        <f>IFERROR(__xludf.DUMMYFUNCTION("""COMPUTED_VALUE"""),75230.0)</f>
        <v>75230</v>
      </c>
      <c r="I3490" s="8">
        <f t="shared" si="41"/>
        <v>75230</v>
      </c>
      <c r="J3490" s="9">
        <f>IFERROR(__xludf.DUMMYFUNCTION("SPLIT(I3490,""-"")"),75230.0)</f>
        <v>75230</v>
      </c>
    </row>
    <row r="3491">
      <c r="A3491" s="5" t="s">
        <v>3122</v>
      </c>
      <c r="B3491" s="6">
        <v>2000.0</v>
      </c>
      <c r="C3491" s="7" t="s">
        <v>634</v>
      </c>
      <c r="E3491" s="8" t="str">
        <f>IFERROR(__xludf.DUMMYFUNCTION("SPLIT(A3491,""TX"")"),"Welch, ")</f>
        <v>Welch, </v>
      </c>
      <c r="F3491" s="8" t="str">
        <f>IFERROR(__xludf.DUMMYFUNCTION("""COMPUTED_VALUE"""),"erry &amp; Mary Claire
4 Ryddington Pl
Richardson, ")</f>
        <v>erry &amp; Mary Claire
4 Ryddington Pl
Richardson, </v>
      </c>
      <c r="G3491" s="8">
        <f>IFERROR(__xludf.DUMMYFUNCTION("""COMPUTED_VALUE"""),75081.0)</f>
        <v>75081</v>
      </c>
      <c r="I3491" s="8">
        <f t="shared" si="41"/>
        <v>75081</v>
      </c>
      <c r="J3491" s="9">
        <f>IFERROR(__xludf.DUMMYFUNCTION("SPLIT(I3491,""-"")"),75081.0)</f>
        <v>75081</v>
      </c>
    </row>
    <row r="3492">
      <c r="A3492" s="5" t="s">
        <v>3123</v>
      </c>
      <c r="B3492" s="6">
        <v>1000.0</v>
      </c>
      <c r="C3492" s="7" t="s">
        <v>634</v>
      </c>
      <c r="E3492" s="8" t="str">
        <f>IFERROR(__xludf.DUMMYFUNCTION("SPLIT(A3492,""TX"")"),"Courtwright, Jeannie
6758 Avalon Ave
Dallas, ")</f>
        <v>Courtwright, Jeannie
6758 Avalon Ave
Dallas, </v>
      </c>
      <c r="F3492" s="8">
        <f>IFERROR(__xludf.DUMMYFUNCTION("""COMPUTED_VALUE"""),75214.0)</f>
        <v>75214</v>
      </c>
      <c r="I3492" s="8">
        <f t="shared" si="41"/>
        <v>75214</v>
      </c>
      <c r="J3492" s="9">
        <f>IFERROR(__xludf.DUMMYFUNCTION("SPLIT(I3492,""-"")"),75214.0)</f>
        <v>75214</v>
      </c>
    </row>
    <row r="3493">
      <c r="A3493" s="5" t="s">
        <v>3124</v>
      </c>
      <c r="B3493" s="6">
        <v>2500.0</v>
      </c>
      <c r="C3493" s="7" t="s">
        <v>2125</v>
      </c>
      <c r="E3493" s="8" t="str">
        <f>IFERROR(__xludf.DUMMYFUNCTION("SPLIT(A3493,""TX"")"),"REPAC/")</f>
        <v>REPAC/</v>
      </c>
      <c r="F3493" s="8" t="str">
        <f>IFERROR(__xludf.DUMMYFUNCTION("""COMPUTED_VALUE"""),"exas Association of Realtors Political Action Commitee
PO Box 2246
Austin, ")</f>
        <v>exas Association of Realtors Political Action Commitee
PO Box 2246
Austin, </v>
      </c>
      <c r="G3493" s="8">
        <f>IFERROR(__xludf.DUMMYFUNCTION("""COMPUTED_VALUE"""),78768.0)</f>
        <v>78768</v>
      </c>
      <c r="I3493" s="8">
        <f t="shared" si="41"/>
        <v>78768</v>
      </c>
      <c r="J3493" s="9">
        <f>IFERROR(__xludf.DUMMYFUNCTION("SPLIT(I3493,""-"")"),78768.0)</f>
        <v>78768</v>
      </c>
    </row>
    <row r="3494">
      <c r="A3494" s="10" t="s">
        <v>3125</v>
      </c>
      <c r="B3494" s="11">
        <v>25.0</v>
      </c>
      <c r="C3494" s="12" t="s">
        <v>636</v>
      </c>
      <c r="E3494" s="8" t="str">
        <f>IFERROR(__xludf.DUMMYFUNCTION("SPLIT(A3494,""TX"")"),"Hasenbauer, Brian
9811 Estate Lane
Dallas, ")</f>
        <v>Hasenbauer, Brian
9811 Estate Lane
Dallas, </v>
      </c>
      <c r="F3494" s="8">
        <f>IFERROR(__xludf.DUMMYFUNCTION("""COMPUTED_VALUE"""),75238.0)</f>
        <v>75238</v>
      </c>
      <c r="I3494" s="8">
        <f t="shared" si="41"/>
        <v>75238</v>
      </c>
      <c r="J3494" s="9">
        <f>IFERROR(__xludf.DUMMYFUNCTION("SPLIT(I3494,""-"")"),75238.0)</f>
        <v>75238</v>
      </c>
    </row>
    <row r="3495">
      <c r="A3495" s="10" t="s">
        <v>991</v>
      </c>
      <c r="B3495" s="11">
        <v>25.0</v>
      </c>
      <c r="C3495" s="12" t="s">
        <v>636</v>
      </c>
      <c r="E3495" s="8" t="str">
        <f>IFERROR(__xludf.DUMMYFUNCTION("SPLIT(A3495,""TX"")"),"Falcona, Jan
8453 ")</f>
        <v>Falcona, Jan
8453 </v>
      </c>
      <c r="F3495" s="8" t="str">
        <f>IFERROR(__xludf.DUMMYFUNCTION("""COMPUTED_VALUE"""),"owneship Lane
Dallas, ")</f>
        <v>owneship Lane
Dallas, </v>
      </c>
      <c r="G3495" s="8">
        <f>IFERROR(__xludf.DUMMYFUNCTION("""COMPUTED_VALUE"""),75243.0)</f>
        <v>75243</v>
      </c>
      <c r="I3495" s="8">
        <f t="shared" si="41"/>
        <v>75243</v>
      </c>
      <c r="J3495" s="9">
        <f>IFERROR(__xludf.DUMMYFUNCTION("SPLIT(I3495,""-"")"),75243.0)</f>
        <v>75243</v>
      </c>
    </row>
    <row r="3496">
      <c r="A3496" s="10" t="s">
        <v>2015</v>
      </c>
      <c r="B3496" s="11">
        <v>100.0</v>
      </c>
      <c r="C3496" s="12" t="s">
        <v>636</v>
      </c>
      <c r="E3496" s="8" t="str">
        <f>IFERROR(__xludf.DUMMYFUNCTION("SPLIT(A3496,""TX"")"),"Lin, Gilbert
8498 Banquo Dr
Dallas, ")</f>
        <v>Lin, Gilbert
8498 Banquo Dr
Dallas, </v>
      </c>
      <c r="F3496" s="8">
        <f>IFERROR(__xludf.DUMMYFUNCTION("""COMPUTED_VALUE"""),75228.0)</f>
        <v>75228</v>
      </c>
      <c r="I3496" s="8">
        <f t="shared" si="41"/>
        <v>75228</v>
      </c>
      <c r="J3496" s="9">
        <f>IFERROR(__xludf.DUMMYFUNCTION("SPLIT(I3496,""-"")"),75228.0)</f>
        <v>75228</v>
      </c>
    </row>
    <row r="3497">
      <c r="A3497" s="10" t="s">
        <v>3126</v>
      </c>
      <c r="B3497" s="11">
        <v>25.0</v>
      </c>
      <c r="C3497" s="12" t="s">
        <v>636</v>
      </c>
      <c r="E3497" s="8" t="str">
        <f>IFERROR(__xludf.DUMMYFUNCTION("SPLIT(A3497,""TX"")"),"Garrett, Judy
11020 Watterson Dr
Dallas, ")</f>
        <v>Garrett, Judy
11020 Watterson Dr
Dallas, </v>
      </c>
      <c r="F3497" s="8">
        <f>IFERROR(__xludf.DUMMYFUNCTION("""COMPUTED_VALUE"""),75228.0)</f>
        <v>75228</v>
      </c>
      <c r="I3497" s="8">
        <f t="shared" si="41"/>
        <v>75228</v>
      </c>
      <c r="J3497" s="9">
        <f>IFERROR(__xludf.DUMMYFUNCTION("SPLIT(I3497,""-"")"),75228.0)</f>
        <v>75228</v>
      </c>
    </row>
    <row r="3498">
      <c r="A3498" s="10" t="s">
        <v>3127</v>
      </c>
      <c r="B3498" s="11">
        <v>25.0</v>
      </c>
      <c r="C3498" s="12" t="s">
        <v>636</v>
      </c>
      <c r="E3498" s="8" t="str">
        <f>IFERROR(__xludf.DUMMYFUNCTION("SPLIT(A3498,""TX"")"),"Bell, Pamela
30 Alcalde Rd.
Santa Fe, NM 87508")</f>
        <v>Bell, Pamela
30 Alcalde Rd.
Santa Fe, NM 87508</v>
      </c>
      <c r="I3498" s="8" t="str">
        <f t="shared" si="41"/>
        <v/>
      </c>
      <c r="J3498" s="9" t="str">
        <f>IFERROR(__xludf.DUMMYFUNCTION("SPLIT(I3498,""-"")"),"#VALUE!")</f>
        <v>#VALUE!</v>
      </c>
    </row>
    <row r="3499">
      <c r="A3499" s="10" t="s">
        <v>3128</v>
      </c>
      <c r="B3499" s="11">
        <v>25.0</v>
      </c>
      <c r="C3499" s="12" t="s">
        <v>636</v>
      </c>
      <c r="E3499" s="8" t="str">
        <f>IFERROR(__xludf.DUMMYFUNCTION("SPLIT(A3499,""TX"")"),"Lipton, Ilise
6945 Walling Lane
Dallas, ")</f>
        <v>Lipton, Ilise
6945 Walling Lane
Dallas, </v>
      </c>
      <c r="F3499" s="8">
        <f>IFERROR(__xludf.DUMMYFUNCTION("""COMPUTED_VALUE"""),75231.0)</f>
        <v>75231</v>
      </c>
      <c r="I3499" s="8">
        <f t="shared" si="41"/>
        <v>75231</v>
      </c>
      <c r="J3499" s="9">
        <f>IFERROR(__xludf.DUMMYFUNCTION("SPLIT(I3499,""-"")"),75231.0)</f>
        <v>75231</v>
      </c>
    </row>
    <row r="3500">
      <c r="A3500" s="10" t="s">
        <v>3129</v>
      </c>
      <c r="B3500" s="11">
        <v>25.0</v>
      </c>
      <c r="C3500" s="12" t="s">
        <v>636</v>
      </c>
      <c r="E3500" s="8" t="str">
        <f>IFERROR(__xludf.DUMMYFUNCTION("SPLIT(A3500,""TX"")"),"Cade, Joanna
9758 Van Dyke Rd
Dallas, ")</f>
        <v>Cade, Joanna
9758 Van Dyke Rd
Dallas, </v>
      </c>
      <c r="F3500" s="8">
        <f>IFERROR(__xludf.DUMMYFUNCTION("""COMPUTED_VALUE"""),75218.0)</f>
        <v>75218</v>
      </c>
      <c r="I3500" s="8">
        <f t="shared" si="41"/>
        <v>75218</v>
      </c>
      <c r="J3500" s="9">
        <f>IFERROR(__xludf.DUMMYFUNCTION("SPLIT(I3500,""-"")"),75218.0)</f>
        <v>75218</v>
      </c>
    </row>
    <row r="3501">
      <c r="A3501" s="10" t="s">
        <v>637</v>
      </c>
      <c r="B3501" s="11">
        <v>50.0</v>
      </c>
      <c r="C3501" s="12" t="s">
        <v>636</v>
      </c>
      <c r="E3501" s="8" t="str">
        <f>IFERROR(__xludf.DUMMYFUNCTION("SPLIT(A3501,""TX"")"),"Sexton, ")</f>
        <v>Sexton, </v>
      </c>
      <c r="F3501" s="8" t="str">
        <f>IFERROR(__xludf.DUMMYFUNCTION("""COMPUTED_VALUE"""),"im
9930 Donegal Drive
Dallas, ")</f>
        <v>im
9930 Donegal Drive
Dallas, </v>
      </c>
      <c r="G3501" s="8">
        <f>IFERROR(__xludf.DUMMYFUNCTION("""COMPUTED_VALUE"""),75218.0)</f>
        <v>75218</v>
      </c>
      <c r="I3501" s="8">
        <f t="shared" si="41"/>
        <v>75218</v>
      </c>
      <c r="J3501" s="9">
        <f>IFERROR(__xludf.DUMMYFUNCTION("SPLIT(I3501,""-"")"),75218.0)</f>
        <v>75218</v>
      </c>
    </row>
    <row r="3502">
      <c r="A3502" s="10" t="s">
        <v>3130</v>
      </c>
      <c r="B3502" s="11">
        <v>100.0</v>
      </c>
      <c r="C3502" s="12" t="s">
        <v>636</v>
      </c>
      <c r="E3502" s="8" t="str">
        <f>IFERROR(__xludf.DUMMYFUNCTION("SPLIT(A3502,""TX"")"),"Bailey, Kathleen
11057 Mandalay
Dallas, ")</f>
        <v>Bailey, Kathleen
11057 Mandalay
Dallas, </v>
      </c>
      <c r="F3502" s="8">
        <f>IFERROR(__xludf.DUMMYFUNCTION("""COMPUTED_VALUE"""),75228.0)</f>
        <v>75228</v>
      </c>
      <c r="I3502" s="8">
        <f t="shared" si="41"/>
        <v>75228</v>
      </c>
      <c r="J3502" s="9">
        <f>IFERROR(__xludf.DUMMYFUNCTION("SPLIT(I3502,""-"")"),75228.0)</f>
        <v>75228</v>
      </c>
    </row>
    <row r="3503">
      <c r="A3503" s="10" t="s">
        <v>3131</v>
      </c>
      <c r="B3503" s="11">
        <v>25.0</v>
      </c>
      <c r="C3503" s="12" t="s">
        <v>636</v>
      </c>
      <c r="E3503" s="8" t="str">
        <f>IFERROR(__xludf.DUMMYFUNCTION("SPLIT(A3503,""TX"")"),"Christen, Sharon
4822 W. Lawther Dr.
Dallas, ")</f>
        <v>Christen, Sharon
4822 W. Lawther Dr.
Dallas, </v>
      </c>
      <c r="F3503" s="8">
        <f>IFERROR(__xludf.DUMMYFUNCTION("""COMPUTED_VALUE"""),75214.0)</f>
        <v>75214</v>
      </c>
      <c r="I3503" s="8">
        <f t="shared" si="41"/>
        <v>75214</v>
      </c>
      <c r="J3503" s="9">
        <f>IFERROR(__xludf.DUMMYFUNCTION("SPLIT(I3503,""-"")"),75214.0)</f>
        <v>75214</v>
      </c>
    </row>
    <row r="3504">
      <c r="A3504" s="10" t="s">
        <v>638</v>
      </c>
      <c r="B3504" s="11">
        <v>50.0</v>
      </c>
      <c r="C3504" s="12" t="s">
        <v>636</v>
      </c>
      <c r="E3504" s="8" t="str">
        <f>IFERROR(__xludf.DUMMYFUNCTION("SPLIT(A3504,""TX"")"),"Green, Rhonda
6646 E. Lovers Lane
Dallas, ")</f>
        <v>Green, Rhonda
6646 E. Lovers Lane
Dallas, </v>
      </c>
      <c r="F3504" s="8">
        <f>IFERROR(__xludf.DUMMYFUNCTION("""COMPUTED_VALUE"""),75214.0)</f>
        <v>75214</v>
      </c>
      <c r="I3504" s="8">
        <f t="shared" si="41"/>
        <v>75214</v>
      </c>
      <c r="J3504" s="9">
        <f>IFERROR(__xludf.DUMMYFUNCTION("SPLIT(I3504,""-"")"),75214.0)</f>
        <v>75214</v>
      </c>
    </row>
    <row r="3505">
      <c r="A3505" s="10" t="s">
        <v>2054</v>
      </c>
      <c r="B3505" s="11">
        <v>50.0</v>
      </c>
      <c r="C3505" s="12" t="s">
        <v>2055</v>
      </c>
      <c r="E3505" s="8" t="str">
        <f>IFERROR(__xludf.DUMMYFUNCTION("SPLIT(A3505,""TX"")"),"Jordan, Elizabeth
628 Blanning
Dallas, ")</f>
        <v>Jordan, Elizabeth
628 Blanning
Dallas, </v>
      </c>
      <c r="F3505" s="8">
        <f>IFERROR(__xludf.DUMMYFUNCTION("""COMPUTED_VALUE"""),75218.0)</f>
        <v>75218</v>
      </c>
      <c r="I3505" s="8">
        <f t="shared" si="41"/>
        <v>75218</v>
      </c>
      <c r="J3505" s="9">
        <f>IFERROR(__xludf.DUMMYFUNCTION("SPLIT(I3505,""-"")"),75218.0)</f>
        <v>75218</v>
      </c>
    </row>
    <row r="3506">
      <c r="A3506" s="5" t="s">
        <v>3132</v>
      </c>
      <c r="B3506" s="6">
        <v>100.0</v>
      </c>
      <c r="C3506" s="7" t="s">
        <v>636</v>
      </c>
      <c r="E3506" s="8" t="str">
        <f>IFERROR(__xludf.DUMMYFUNCTION("SPLIT(A3506,""TX"")"),"Farmer, Maureen
9405 Clearhurst Dr.
Dallas, ")</f>
        <v>Farmer, Maureen
9405 Clearhurst Dr.
Dallas, </v>
      </c>
      <c r="F3506" s="8">
        <f>IFERROR(__xludf.DUMMYFUNCTION("""COMPUTED_VALUE"""),75238.0)</f>
        <v>75238</v>
      </c>
      <c r="I3506" s="8">
        <f t="shared" si="41"/>
        <v>75238</v>
      </c>
      <c r="J3506" s="9">
        <f>IFERROR(__xludf.DUMMYFUNCTION("SPLIT(I3506,""-"")"),75238.0)</f>
        <v>75238</v>
      </c>
    </row>
    <row r="3507">
      <c r="A3507" s="5" t="s">
        <v>3133</v>
      </c>
      <c r="B3507" s="6">
        <v>25.0</v>
      </c>
      <c r="C3507" s="7" t="s">
        <v>636</v>
      </c>
      <c r="E3507" s="8" t="str">
        <f>IFERROR(__xludf.DUMMYFUNCTION("SPLIT(A3507,""TX"")"),"McClurg, Laurie
8653 Redondo Drive
Dallas, ")</f>
        <v>McClurg, Laurie
8653 Redondo Drive
Dallas, </v>
      </c>
      <c r="F3507" s="8">
        <f>IFERROR(__xludf.DUMMYFUNCTION("""COMPUTED_VALUE"""),75218.0)</f>
        <v>75218</v>
      </c>
      <c r="I3507" s="8">
        <f t="shared" si="41"/>
        <v>75218</v>
      </c>
      <c r="J3507" s="9">
        <f>IFERROR(__xludf.DUMMYFUNCTION("SPLIT(I3507,""-"")"),75218.0)</f>
        <v>75218</v>
      </c>
    </row>
    <row r="3508">
      <c r="A3508" s="5" t="s">
        <v>3134</v>
      </c>
      <c r="B3508" s="6">
        <v>100.0</v>
      </c>
      <c r="C3508" s="7" t="s">
        <v>636</v>
      </c>
      <c r="E3508" s="8" t="str">
        <f>IFERROR(__xludf.DUMMYFUNCTION("SPLIT(A3508,""TX"")"),"Salter, Carolyn
419 S. Royall
Palestine, ")</f>
        <v>Salter, Carolyn
419 S. Royall
Palestine, </v>
      </c>
      <c r="F3508" s="8">
        <f>IFERROR(__xludf.DUMMYFUNCTION("""COMPUTED_VALUE"""),75801.0)</f>
        <v>75801</v>
      </c>
      <c r="I3508" s="8">
        <f t="shared" si="41"/>
        <v>75801</v>
      </c>
      <c r="J3508" s="9">
        <f>IFERROR(__xludf.DUMMYFUNCTION("SPLIT(I3508,""-"")"),75801.0)</f>
        <v>75801</v>
      </c>
    </row>
    <row r="3509">
      <c r="A3509" s="5" t="s">
        <v>3130</v>
      </c>
      <c r="B3509" s="6">
        <v>900.0</v>
      </c>
      <c r="C3509" s="7" t="s">
        <v>636</v>
      </c>
      <c r="E3509" s="8" t="str">
        <f>IFERROR(__xludf.DUMMYFUNCTION("SPLIT(A3509,""TX"")"),"Bailey, Kathleen
11057 Mandalay
Dallas, ")</f>
        <v>Bailey, Kathleen
11057 Mandalay
Dallas, </v>
      </c>
      <c r="F3509" s="8">
        <f>IFERROR(__xludf.DUMMYFUNCTION("""COMPUTED_VALUE"""),75228.0)</f>
        <v>75228</v>
      </c>
      <c r="I3509" s="8">
        <f t="shared" si="41"/>
        <v>75228</v>
      </c>
      <c r="J3509" s="9">
        <f>IFERROR(__xludf.DUMMYFUNCTION("SPLIT(I3509,""-"")"),75228.0)</f>
        <v>75228</v>
      </c>
    </row>
    <row r="3510">
      <c r="A3510" s="5" t="s">
        <v>2054</v>
      </c>
      <c r="B3510" s="6">
        <v>50.0</v>
      </c>
      <c r="C3510" s="7" t="s">
        <v>2055</v>
      </c>
      <c r="E3510" s="8" t="str">
        <f>IFERROR(__xludf.DUMMYFUNCTION("SPLIT(A3510,""TX"")"),"Jordan, Elizabeth
628 Blanning
Dallas, ")</f>
        <v>Jordan, Elizabeth
628 Blanning
Dallas, </v>
      </c>
      <c r="F3510" s="8">
        <f>IFERROR(__xludf.DUMMYFUNCTION("""COMPUTED_VALUE"""),75218.0)</f>
        <v>75218</v>
      </c>
      <c r="I3510" s="8">
        <f t="shared" si="41"/>
        <v>75218</v>
      </c>
      <c r="J3510" s="9">
        <f>IFERROR(__xludf.DUMMYFUNCTION("SPLIT(I3510,""-"")"),75218.0)</f>
        <v>75218</v>
      </c>
    </row>
    <row r="3511">
      <c r="A3511" s="10" t="s">
        <v>2054</v>
      </c>
      <c r="B3511" s="11">
        <v>50.0</v>
      </c>
      <c r="C3511" s="12" t="s">
        <v>2055</v>
      </c>
      <c r="E3511" s="8" t="str">
        <f>IFERROR(__xludf.DUMMYFUNCTION("SPLIT(A3511,""TX"")"),"Jordan, Elizabeth
628 Blanning
Dallas, ")</f>
        <v>Jordan, Elizabeth
628 Blanning
Dallas, </v>
      </c>
      <c r="F3511" s="8">
        <f>IFERROR(__xludf.DUMMYFUNCTION("""COMPUTED_VALUE"""),75218.0)</f>
        <v>75218</v>
      </c>
      <c r="I3511" s="8">
        <f t="shared" si="41"/>
        <v>75218</v>
      </c>
      <c r="J3511" s="9">
        <f>IFERROR(__xludf.DUMMYFUNCTION("SPLIT(I3511,""-"")"),75218.0)</f>
        <v>75218</v>
      </c>
    </row>
    <row r="3512">
      <c r="A3512" s="5" t="s">
        <v>2054</v>
      </c>
      <c r="B3512" s="6">
        <v>50.0</v>
      </c>
      <c r="C3512" s="7" t="s">
        <v>2055</v>
      </c>
      <c r="E3512" s="8" t="str">
        <f>IFERROR(__xludf.DUMMYFUNCTION("SPLIT(A3512,""TX"")"),"Jordan, Elizabeth
628 Blanning
Dallas, ")</f>
        <v>Jordan, Elizabeth
628 Blanning
Dallas, </v>
      </c>
      <c r="F3512" s="8">
        <f>IFERROR(__xludf.DUMMYFUNCTION("""COMPUTED_VALUE"""),75218.0)</f>
        <v>75218</v>
      </c>
      <c r="I3512" s="8">
        <f t="shared" si="41"/>
        <v>75218</v>
      </c>
      <c r="J3512" s="9">
        <f>IFERROR(__xludf.DUMMYFUNCTION("SPLIT(I3512,""-"")"),75218.0)</f>
        <v>75218</v>
      </c>
    </row>
    <row r="3513">
      <c r="A3513" s="10" t="s">
        <v>2054</v>
      </c>
      <c r="B3513" s="11">
        <v>50.0</v>
      </c>
      <c r="C3513" s="12" t="s">
        <v>2055</v>
      </c>
      <c r="E3513" s="8" t="str">
        <f>IFERROR(__xludf.DUMMYFUNCTION("SPLIT(A3513,""TX"")"),"Jordan, Elizabeth
628 Blanning
Dallas, ")</f>
        <v>Jordan, Elizabeth
628 Blanning
Dallas, </v>
      </c>
      <c r="F3513" s="8">
        <f>IFERROR(__xludf.DUMMYFUNCTION("""COMPUTED_VALUE"""),75218.0)</f>
        <v>75218</v>
      </c>
      <c r="I3513" s="8">
        <f t="shared" si="41"/>
        <v>75218</v>
      </c>
      <c r="J3513" s="9">
        <f>IFERROR(__xludf.DUMMYFUNCTION("SPLIT(I3513,""-"")"),75218.0)</f>
        <v>75218</v>
      </c>
    </row>
    <row r="3514">
      <c r="A3514" s="5" t="s">
        <v>1162</v>
      </c>
      <c r="B3514" s="6">
        <v>100.0</v>
      </c>
      <c r="C3514" s="7" t="s">
        <v>2055</v>
      </c>
      <c r="E3514" s="8" t="str">
        <f>IFERROR(__xludf.DUMMYFUNCTION("SPLIT(A3514,""TX"")"),"Offutt, Larry
6038 Bryan Pkwy
Dallas, ")</f>
        <v>Offutt, Larry
6038 Bryan Pkwy
Dallas, </v>
      </c>
      <c r="F3514" s="8">
        <f>IFERROR(__xludf.DUMMYFUNCTION("""COMPUTED_VALUE"""),75206.0)</f>
        <v>75206</v>
      </c>
      <c r="I3514" s="8">
        <f t="shared" si="41"/>
        <v>75206</v>
      </c>
      <c r="J3514" s="9">
        <f>IFERROR(__xludf.DUMMYFUNCTION("SPLIT(I3514,""-"")"),75206.0)</f>
        <v>75206</v>
      </c>
    </row>
    <row r="3515">
      <c r="A3515" s="10" t="s">
        <v>3135</v>
      </c>
      <c r="B3515" s="11">
        <v>500.0</v>
      </c>
      <c r="C3515" s="12" t="s">
        <v>2055</v>
      </c>
      <c r="E3515" s="8" t="str">
        <f>IFERROR(__xludf.DUMMYFUNCTION("SPLIT(A3515,""TX"")"),"Steinhart, Ronald
25 Robledo
Dallas, ")</f>
        <v>Steinhart, Ronald
25 Robledo
Dallas, </v>
      </c>
      <c r="F3515" s="8">
        <f>IFERROR(__xludf.DUMMYFUNCTION("""COMPUTED_VALUE"""),75230.0)</f>
        <v>75230</v>
      </c>
      <c r="I3515" s="8">
        <f t="shared" si="41"/>
        <v>75230</v>
      </c>
      <c r="J3515" s="9">
        <f>IFERROR(__xludf.DUMMYFUNCTION("SPLIT(I3515,""-"")"),75230.0)</f>
        <v>75230</v>
      </c>
    </row>
    <row r="3516">
      <c r="A3516" s="5" t="s">
        <v>3136</v>
      </c>
      <c r="B3516" s="6">
        <v>100.0</v>
      </c>
      <c r="C3516" s="7" t="s">
        <v>2055</v>
      </c>
      <c r="E3516" s="8" t="str">
        <f>IFERROR(__xludf.DUMMYFUNCTION("SPLIT(A3516,""TX"")"),"Hansen, Wendy
3813 Wentwood
Dallas, ")</f>
        <v>Hansen, Wendy
3813 Wentwood
Dallas, </v>
      </c>
      <c r="F3516" s="8">
        <f>IFERROR(__xludf.DUMMYFUNCTION("""COMPUTED_VALUE"""),75225.0)</f>
        <v>75225</v>
      </c>
      <c r="I3516" s="8">
        <f t="shared" si="41"/>
        <v>75225</v>
      </c>
      <c r="J3516" s="9">
        <f>IFERROR(__xludf.DUMMYFUNCTION("SPLIT(I3516,""-"")"),75225.0)</f>
        <v>75225</v>
      </c>
    </row>
    <row r="3517">
      <c r="A3517" s="10" t="s">
        <v>3137</v>
      </c>
      <c r="B3517" s="11">
        <v>50.0</v>
      </c>
      <c r="C3517" s="12" t="s">
        <v>2055</v>
      </c>
      <c r="E3517" s="8" t="str">
        <f>IFERROR(__xludf.DUMMYFUNCTION("SPLIT(A3517,""TX"")"),"Spell, Pam
8556 Greenhouse Lane
Dallas, ")</f>
        <v>Spell, Pam
8556 Greenhouse Lane
Dallas, </v>
      </c>
      <c r="F3517" s="8">
        <f>IFERROR(__xludf.DUMMYFUNCTION("""COMPUTED_VALUE"""),75243.0)</f>
        <v>75243</v>
      </c>
      <c r="I3517" s="8">
        <f t="shared" si="41"/>
        <v>75243</v>
      </c>
      <c r="J3517" s="9">
        <f>IFERROR(__xludf.DUMMYFUNCTION("SPLIT(I3517,""-"")"),75243.0)</f>
        <v>75243</v>
      </c>
    </row>
    <row r="3518">
      <c r="A3518" s="5" t="s">
        <v>3138</v>
      </c>
      <c r="B3518" s="6">
        <v>100.0</v>
      </c>
      <c r="C3518" s="7" t="s">
        <v>2055</v>
      </c>
      <c r="E3518" s="8" t="str">
        <f>IFERROR(__xludf.DUMMYFUNCTION("SPLIT(A3518,""TX"")"),"Walker, Edward
7306 Lizshire
Dallas, ")</f>
        <v>Walker, Edward
7306 Lizshire
Dallas, </v>
      </c>
      <c r="F3518" s="8">
        <f>IFERROR(__xludf.DUMMYFUNCTION("""COMPUTED_VALUE"""),75231.0)</f>
        <v>75231</v>
      </c>
      <c r="I3518" s="8">
        <f t="shared" si="41"/>
        <v>75231</v>
      </c>
      <c r="J3518" s="9">
        <f>IFERROR(__xludf.DUMMYFUNCTION("SPLIT(I3518,""-"")"),75231.0)</f>
        <v>75231</v>
      </c>
    </row>
    <row r="3519">
      <c r="A3519" s="10" t="s">
        <v>3139</v>
      </c>
      <c r="B3519" s="11">
        <v>100.0</v>
      </c>
      <c r="C3519" s="12" t="s">
        <v>2055</v>
      </c>
      <c r="E3519" s="8" t="str">
        <f>IFERROR(__xludf.DUMMYFUNCTION("SPLIT(A3519,""TX"")"),"Bibcom, Jody
12201 Wightman
Dallas, ")</f>
        <v>Bibcom, Jody
12201 Wightman
Dallas, </v>
      </c>
      <c r="F3519" s="8">
        <f>IFERROR(__xludf.DUMMYFUNCTION("""COMPUTED_VALUE"""),75243.0)</f>
        <v>75243</v>
      </c>
      <c r="I3519" s="8">
        <f t="shared" si="41"/>
        <v>75243</v>
      </c>
      <c r="J3519" s="9">
        <f>IFERROR(__xludf.DUMMYFUNCTION("SPLIT(I3519,""-"")"),75243.0)</f>
        <v>75243</v>
      </c>
    </row>
    <row r="3520">
      <c r="A3520" s="5" t="s">
        <v>3140</v>
      </c>
      <c r="B3520" s="6">
        <v>125.0</v>
      </c>
      <c r="C3520" s="7" t="s">
        <v>2055</v>
      </c>
      <c r="E3520" s="8" t="str">
        <f>IFERROR(__xludf.DUMMYFUNCTION("SPLIT(A3520,""TX"")"),"Johnson, Wandra
11801 Oak Highlands
Dallas, ")</f>
        <v>Johnson, Wandra
11801 Oak Highlands
Dallas, </v>
      </c>
      <c r="F3520" s="8">
        <f>IFERROR(__xludf.DUMMYFUNCTION("""COMPUTED_VALUE"""),75243.0)</f>
        <v>75243</v>
      </c>
      <c r="I3520" s="8">
        <f t="shared" si="41"/>
        <v>75243</v>
      </c>
      <c r="J3520" s="9">
        <f>IFERROR(__xludf.DUMMYFUNCTION("SPLIT(I3520,""-"")"),75243.0)</f>
        <v>75243</v>
      </c>
    </row>
    <row r="3521">
      <c r="A3521" s="10" t="s">
        <v>3141</v>
      </c>
      <c r="B3521" s="11">
        <v>1000.0</v>
      </c>
      <c r="C3521" s="12" t="s">
        <v>2055</v>
      </c>
      <c r="E3521" s="8" t="str">
        <f>IFERROR(__xludf.DUMMYFUNCTION("SPLIT(A3521,""TX"")"),"Crafton, Amy
5838 Woodland
Dallas, ")</f>
        <v>Crafton, Amy
5838 Woodland
Dallas, </v>
      </c>
      <c r="F3521" s="8">
        <f>IFERROR(__xludf.DUMMYFUNCTION("""COMPUTED_VALUE"""),75225.0)</f>
        <v>75225</v>
      </c>
      <c r="I3521" s="8">
        <f t="shared" si="41"/>
        <v>75225</v>
      </c>
      <c r="J3521" s="9">
        <f>IFERROR(__xludf.DUMMYFUNCTION("SPLIT(I3521,""-"")"),75225.0)</f>
        <v>75225</v>
      </c>
    </row>
    <row r="3522">
      <c r="A3522" s="5" t="s">
        <v>1344</v>
      </c>
      <c r="B3522" s="6">
        <v>100.0</v>
      </c>
      <c r="C3522" s="7" t="s">
        <v>2055</v>
      </c>
      <c r="E3522" s="8" t="str">
        <f>IFERROR(__xludf.DUMMYFUNCTION("SPLIT(A3522,""TX"")"),"Henry, Clayton
9322 Moss ")</f>
        <v>Henry, Clayton
9322 Moss </v>
      </c>
      <c r="F3522" s="8" t="str">
        <f>IFERROR(__xludf.DUMMYFUNCTION("""COMPUTED_VALUE"""),"rail
Dallas, ")</f>
        <v>rail
Dallas, </v>
      </c>
      <c r="G3522" s="8">
        <f>IFERROR(__xludf.DUMMYFUNCTION("""COMPUTED_VALUE"""),75231.0)</f>
        <v>75231</v>
      </c>
      <c r="I3522" s="8">
        <f t="shared" si="41"/>
        <v>75231</v>
      </c>
      <c r="J3522" s="9">
        <f>IFERROR(__xludf.DUMMYFUNCTION("SPLIT(I3522,""-"")"),75231.0)</f>
        <v>75231</v>
      </c>
    </row>
    <row r="3523">
      <c r="A3523" s="10" t="s">
        <v>3142</v>
      </c>
      <c r="B3523" s="11">
        <v>50.0</v>
      </c>
      <c r="C3523" s="12" t="s">
        <v>2055</v>
      </c>
      <c r="E3523" s="8" t="str">
        <f>IFERROR(__xludf.DUMMYFUNCTION("SPLIT(A3523,""TX"")"),"Jeffus, Stephen
10017 Clearmeadow
Dallas, ")</f>
        <v>Jeffus, Stephen
10017 Clearmeadow
Dallas, </v>
      </c>
      <c r="F3523" s="8">
        <f>IFERROR(__xludf.DUMMYFUNCTION("""COMPUTED_VALUE"""),75238.0)</f>
        <v>75238</v>
      </c>
      <c r="I3523" s="8">
        <f t="shared" si="41"/>
        <v>75238</v>
      </c>
      <c r="J3523" s="9">
        <f>IFERROR(__xludf.DUMMYFUNCTION("SPLIT(I3523,""-"")"),75238.0)</f>
        <v>75238</v>
      </c>
    </row>
    <row r="3524">
      <c r="A3524" s="5" t="s">
        <v>2054</v>
      </c>
      <c r="B3524" s="6">
        <v>50.0</v>
      </c>
      <c r="C3524" s="7" t="s">
        <v>2055</v>
      </c>
      <c r="E3524" s="8" t="str">
        <f>IFERROR(__xludf.DUMMYFUNCTION("SPLIT(A3524,""TX"")"),"Jordan, Elizabeth
628 Blanning
Dallas, ")</f>
        <v>Jordan, Elizabeth
628 Blanning
Dallas, </v>
      </c>
      <c r="F3524" s="8">
        <f>IFERROR(__xludf.DUMMYFUNCTION("""COMPUTED_VALUE"""),75218.0)</f>
        <v>75218</v>
      </c>
      <c r="I3524" s="8">
        <f t="shared" si="41"/>
        <v>75218</v>
      </c>
      <c r="J3524" s="9">
        <f>IFERROR(__xludf.DUMMYFUNCTION("SPLIT(I3524,""-"")"),75218.0)</f>
        <v>75218</v>
      </c>
    </row>
    <row r="3525">
      <c r="A3525" s="10" t="s">
        <v>3143</v>
      </c>
      <c r="B3525" s="11">
        <v>1000.0</v>
      </c>
      <c r="C3525" s="12" t="s">
        <v>649</v>
      </c>
      <c r="E3525" s="8" t="str">
        <f>IFERROR(__xludf.DUMMYFUNCTION("SPLIT(A3525,""TX"")"),"Olerio, Jr., Louis M.
6310 Lemmon Avenue
Dallas, ")</f>
        <v>Olerio, Jr., Louis M.
6310 Lemmon Avenue
Dallas, </v>
      </c>
      <c r="F3525" s="8">
        <f>IFERROR(__xludf.DUMMYFUNCTION("""COMPUTED_VALUE"""),75209.0)</f>
        <v>75209</v>
      </c>
      <c r="I3525" s="8">
        <f t="shared" si="41"/>
        <v>75209</v>
      </c>
      <c r="J3525" s="9">
        <f>IFERROR(__xludf.DUMMYFUNCTION("SPLIT(I3525,""-"")"),75209.0)</f>
        <v>75209</v>
      </c>
    </row>
    <row r="3526">
      <c r="A3526" s="5" t="s">
        <v>3144</v>
      </c>
      <c r="B3526" s="6">
        <v>25.0</v>
      </c>
      <c r="C3526" s="7" t="s">
        <v>649</v>
      </c>
      <c r="E3526" s="8" t="str">
        <f>IFERROR(__xludf.DUMMYFUNCTION("SPLIT(A3526,""TX"")"),"Martindale, Blake
9205 S. Oak Cliff Blvd.
Dallas, ")</f>
        <v>Martindale, Blake
9205 S. Oak Cliff Blvd.
Dallas, </v>
      </c>
      <c r="F3526" s="8">
        <f>IFERROR(__xludf.DUMMYFUNCTION("""COMPUTED_VALUE"""),75208.0)</f>
        <v>75208</v>
      </c>
      <c r="I3526" s="8">
        <f t="shared" si="41"/>
        <v>75208</v>
      </c>
      <c r="J3526" s="9">
        <f>IFERROR(__xludf.DUMMYFUNCTION("SPLIT(I3526,""-"")"),75208.0)</f>
        <v>75208</v>
      </c>
    </row>
    <row r="3527">
      <c r="A3527" s="10" t="s">
        <v>3145</v>
      </c>
      <c r="B3527" s="11">
        <v>949.7</v>
      </c>
      <c r="C3527" s="12" t="s">
        <v>649</v>
      </c>
      <c r="E3527" s="8" t="str">
        <f>IFERROR(__xludf.DUMMYFUNCTION("SPLIT(A3527,""TX"")"),"Camp, Steven
611 Kessler Springs Avenue
Dallas, ")</f>
        <v>Camp, Steven
611 Kessler Springs Avenue
Dallas, </v>
      </c>
      <c r="F3527" s="8">
        <f>IFERROR(__xludf.DUMMYFUNCTION("""COMPUTED_VALUE"""),75208.0)</f>
        <v>75208</v>
      </c>
      <c r="I3527" s="8">
        <f t="shared" si="41"/>
        <v>75208</v>
      </c>
      <c r="J3527" s="9">
        <f>IFERROR(__xludf.DUMMYFUNCTION("SPLIT(I3527,""-"")"),75208.0)</f>
        <v>75208</v>
      </c>
    </row>
    <row r="3528">
      <c r="A3528" s="5" t="s">
        <v>3146</v>
      </c>
      <c r="B3528" s="6">
        <v>500.0</v>
      </c>
      <c r="C3528" s="7" t="s">
        <v>649</v>
      </c>
      <c r="E3528" s="8" t="str">
        <f>IFERROR(__xludf.DUMMYFUNCTION("SPLIT(A3528,""TX"")"),"Schenkel, Austin
3105 Stanford Avenue
Dallas, ")</f>
        <v>Schenkel, Austin
3105 Stanford Avenue
Dallas, </v>
      </c>
      <c r="F3528" s="8">
        <f>IFERROR(__xludf.DUMMYFUNCTION("""COMPUTED_VALUE"""),75225.0)</f>
        <v>75225</v>
      </c>
      <c r="I3528" s="8">
        <f t="shared" si="41"/>
        <v>75225</v>
      </c>
      <c r="J3528" s="9">
        <f>IFERROR(__xludf.DUMMYFUNCTION("SPLIT(I3528,""-"")"),75225.0)</f>
        <v>75225</v>
      </c>
    </row>
    <row r="3529">
      <c r="A3529" s="10" t="s">
        <v>1514</v>
      </c>
      <c r="B3529" s="11">
        <v>1000.0</v>
      </c>
      <c r="C3529" s="12" t="s">
        <v>649</v>
      </c>
      <c r="E3529" s="8" t="str">
        <f>IFERROR(__xludf.DUMMYFUNCTION("SPLIT(A3529,""TX"")"),"Schenkel, Craig
3105 Stanford Avenue
Dallas, ")</f>
        <v>Schenkel, Craig
3105 Stanford Avenue
Dallas, </v>
      </c>
      <c r="F3529" s="8">
        <f>IFERROR(__xludf.DUMMYFUNCTION("""COMPUTED_VALUE"""),75225.0)</f>
        <v>75225</v>
      </c>
      <c r="I3529" s="8">
        <f t="shared" si="41"/>
        <v>75225</v>
      </c>
      <c r="J3529" s="9">
        <f>IFERROR(__xludf.DUMMYFUNCTION("SPLIT(I3529,""-"")"),75225.0)</f>
        <v>75225</v>
      </c>
    </row>
    <row r="3530">
      <c r="A3530" s="5" t="s">
        <v>3147</v>
      </c>
      <c r="B3530" s="6">
        <v>1000.0</v>
      </c>
      <c r="C3530" s="7" t="s">
        <v>649</v>
      </c>
      <c r="E3530" s="8" t="str">
        <f>IFERROR(__xludf.DUMMYFUNCTION("SPLIT(A3530,""TX"")"),"Schenkel, Kendall
3105 Stanford Avenue
Dallas, ")</f>
        <v>Schenkel, Kendall
3105 Stanford Avenue
Dallas, </v>
      </c>
      <c r="F3530" s="8">
        <f>IFERROR(__xludf.DUMMYFUNCTION("""COMPUTED_VALUE"""),75225.0)</f>
        <v>75225</v>
      </c>
      <c r="I3530" s="8">
        <f t="shared" si="41"/>
        <v>75225</v>
      </c>
      <c r="J3530" s="9">
        <f>IFERROR(__xludf.DUMMYFUNCTION("SPLIT(I3530,""-"")"),75225.0)</f>
        <v>75225</v>
      </c>
    </row>
    <row r="3531">
      <c r="A3531" s="10" t="s">
        <v>3148</v>
      </c>
      <c r="B3531" s="11">
        <v>949.7</v>
      </c>
      <c r="C3531" s="12" t="s">
        <v>649</v>
      </c>
      <c r="E3531" s="8" t="str">
        <f>IFERROR(__xludf.DUMMYFUNCTION("SPLIT(A3531,""TX"")"),"Jackson, Jarrod
1212 W. Commerce Street
Dallas, ")</f>
        <v>Jackson, Jarrod
1212 W. Commerce Street
Dallas, </v>
      </c>
      <c r="F3531" s="8">
        <f>IFERROR(__xludf.DUMMYFUNCTION("""COMPUTED_VALUE"""),75208.0)</f>
        <v>75208</v>
      </c>
      <c r="I3531" s="8">
        <f t="shared" si="41"/>
        <v>75208</v>
      </c>
      <c r="J3531" s="9">
        <f>IFERROR(__xludf.DUMMYFUNCTION("SPLIT(I3531,""-"")"),75208.0)</f>
        <v>75208</v>
      </c>
    </row>
    <row r="3532">
      <c r="A3532" s="5" t="s">
        <v>3149</v>
      </c>
      <c r="B3532" s="6">
        <v>949.7</v>
      </c>
      <c r="C3532" s="7" t="s">
        <v>649</v>
      </c>
      <c r="E3532" s="8" t="str">
        <f>IFERROR(__xludf.DUMMYFUNCTION("SPLIT(A3532,""TX"")"),"Olmstead, Bradley
8741 Aldwick Drive
Dallas, ")</f>
        <v>Olmstead, Bradley
8741 Aldwick Drive
Dallas, </v>
      </c>
      <c r="F3532" s="8">
        <f>IFERROR(__xludf.DUMMYFUNCTION("""COMPUTED_VALUE"""),75238.0)</f>
        <v>75238</v>
      </c>
      <c r="I3532" s="8">
        <f t="shared" si="41"/>
        <v>75238</v>
      </c>
      <c r="J3532" s="9">
        <f>IFERROR(__xludf.DUMMYFUNCTION("SPLIT(I3532,""-"")"),75238.0)</f>
        <v>75238</v>
      </c>
    </row>
    <row r="3533">
      <c r="A3533" s="10" t="s">
        <v>3150</v>
      </c>
      <c r="B3533" s="11">
        <v>949.7</v>
      </c>
      <c r="C3533" s="12" t="s">
        <v>649</v>
      </c>
      <c r="E3533" s="8" t="str">
        <f>IFERROR(__xludf.DUMMYFUNCTION("SPLIT(A3533,""TX"")"),"Moritz, John
PO Box 490
Arlington, ")</f>
        <v>Moritz, John
PO Box 490
Arlington, </v>
      </c>
      <c r="F3533" s="8">
        <f>IFERROR(__xludf.DUMMYFUNCTION("""COMPUTED_VALUE"""),76004.0)</f>
        <v>76004</v>
      </c>
      <c r="I3533" s="8">
        <f t="shared" si="41"/>
        <v>76004</v>
      </c>
      <c r="J3533" s="9">
        <f>IFERROR(__xludf.DUMMYFUNCTION("SPLIT(I3533,""-"")"),76004.0)</f>
        <v>76004</v>
      </c>
    </row>
    <row r="3534">
      <c r="A3534" s="5" t="s">
        <v>3151</v>
      </c>
      <c r="B3534" s="6">
        <v>949.7</v>
      </c>
      <c r="C3534" s="7" t="s">
        <v>649</v>
      </c>
      <c r="E3534" s="8" t="str">
        <f>IFERROR(__xludf.DUMMYFUNCTION("SPLIT(A3534,""TX"")"),"Vruggink, Matthew
6727 Sunnyland Lane
Dallas, ")</f>
        <v>Vruggink, Matthew
6727 Sunnyland Lane
Dallas, </v>
      </c>
      <c r="F3534" s="8">
        <f>IFERROR(__xludf.DUMMYFUNCTION("""COMPUTED_VALUE"""),75214.0)</f>
        <v>75214</v>
      </c>
      <c r="I3534" s="8">
        <f t="shared" si="41"/>
        <v>75214</v>
      </c>
      <c r="J3534" s="9">
        <f>IFERROR(__xludf.DUMMYFUNCTION("SPLIT(I3534,""-"")"),75214.0)</f>
        <v>75214</v>
      </c>
    </row>
    <row r="3535">
      <c r="A3535" s="10" t="s">
        <v>3152</v>
      </c>
      <c r="B3535" s="11">
        <v>949.7</v>
      </c>
      <c r="C3535" s="12" t="s">
        <v>649</v>
      </c>
      <c r="E3535" s="8" t="str">
        <f>IFERROR(__xludf.DUMMYFUNCTION("SPLIT(A3535,""TX"")"),"Johns, Wade
6964 Westlake Avenue
Dallas, ")</f>
        <v>Johns, Wade
6964 Westlake Avenue
Dallas, </v>
      </c>
      <c r="F3535" s="8">
        <f>IFERROR(__xludf.DUMMYFUNCTION("""COMPUTED_VALUE"""),75214.0)</f>
        <v>75214</v>
      </c>
      <c r="I3535" s="8">
        <f t="shared" si="41"/>
        <v>75214</v>
      </c>
      <c r="J3535" s="9">
        <f>IFERROR(__xludf.DUMMYFUNCTION("SPLIT(I3535,""-"")"),75214.0)</f>
        <v>75214</v>
      </c>
    </row>
    <row r="3536">
      <c r="A3536" s="5" t="s">
        <v>3153</v>
      </c>
      <c r="B3536" s="6">
        <v>949.7</v>
      </c>
      <c r="C3536" s="7" t="s">
        <v>649</v>
      </c>
      <c r="E3536" s="8" t="str">
        <f>IFERROR(__xludf.DUMMYFUNCTION("SPLIT(A3536,""TX"")"),"Segrest, Matt
6935 Meadow Lake Avenue
Dallas, ")</f>
        <v>Segrest, Matt
6935 Meadow Lake Avenue
Dallas, </v>
      </c>
      <c r="F3536" s="8">
        <f>IFERROR(__xludf.DUMMYFUNCTION("""COMPUTED_VALUE"""),75214.0)</f>
        <v>75214</v>
      </c>
      <c r="I3536" s="8">
        <f t="shared" si="41"/>
        <v>75214</v>
      </c>
      <c r="J3536" s="9">
        <f>IFERROR(__xludf.DUMMYFUNCTION("SPLIT(I3536,""-"")"),75214.0)</f>
        <v>75214</v>
      </c>
    </row>
    <row r="3537">
      <c r="A3537" s="10" t="s">
        <v>3154</v>
      </c>
      <c r="B3537" s="11">
        <v>200.0</v>
      </c>
      <c r="C3537" s="12" t="s">
        <v>649</v>
      </c>
      <c r="E3537" s="8" t="str">
        <f>IFERROR(__xludf.DUMMYFUNCTION("SPLIT(A3537,""TX"")"),"Alef, Brian
6756 Inverness Lane
Dallas, ")</f>
        <v>Alef, Brian
6756 Inverness Lane
Dallas, </v>
      </c>
      <c r="F3537" s="8">
        <f>IFERROR(__xludf.DUMMYFUNCTION("""COMPUTED_VALUE"""),75214.0)</f>
        <v>75214</v>
      </c>
      <c r="I3537" s="8">
        <f t="shared" si="41"/>
        <v>75214</v>
      </c>
      <c r="J3537" s="9">
        <f>IFERROR(__xludf.DUMMYFUNCTION("SPLIT(I3537,""-"")"),75214.0)</f>
        <v>75214</v>
      </c>
    </row>
    <row r="3538">
      <c r="A3538" s="5" t="s">
        <v>2817</v>
      </c>
      <c r="B3538" s="6">
        <v>949.7</v>
      </c>
      <c r="C3538" s="7" t="s">
        <v>649</v>
      </c>
      <c r="E3538" s="8" t="str">
        <f>IFERROR(__xludf.DUMMYFUNCTION("SPLIT(A3538,""TX"")"),"Perdue, Rick
7712 Southwestern Blvd.
Dallas, ")</f>
        <v>Perdue, Rick
7712 Southwestern Blvd.
Dallas, </v>
      </c>
      <c r="F3538" s="8">
        <f>IFERROR(__xludf.DUMMYFUNCTION("""COMPUTED_VALUE"""),75225.0)</f>
        <v>75225</v>
      </c>
      <c r="I3538" s="8">
        <f t="shared" si="41"/>
        <v>75225</v>
      </c>
      <c r="J3538" s="9">
        <f>IFERROR(__xludf.DUMMYFUNCTION("SPLIT(I3538,""-"")"),75225.0)</f>
        <v>75225</v>
      </c>
    </row>
    <row r="3539">
      <c r="A3539" s="10" t="s">
        <v>3155</v>
      </c>
      <c r="B3539" s="11">
        <v>949.7</v>
      </c>
      <c r="C3539" s="12" t="s">
        <v>649</v>
      </c>
      <c r="E3539" s="8" t="str">
        <f>IFERROR(__xludf.DUMMYFUNCTION("SPLIT(A3539,""TX"")"),"Cavanaugh, William
500 N. Akard Street
Dallas, ")</f>
        <v>Cavanaugh, William
500 N. Akard Street
Dallas, </v>
      </c>
      <c r="F3539" s="8">
        <f>IFERROR(__xludf.DUMMYFUNCTION("""COMPUTED_VALUE"""),75201.0)</f>
        <v>75201</v>
      </c>
      <c r="I3539" s="8">
        <f t="shared" si="41"/>
        <v>75201</v>
      </c>
      <c r="J3539" s="9">
        <f>IFERROR(__xludf.DUMMYFUNCTION("SPLIT(I3539,""-"")"),75201.0)</f>
        <v>75201</v>
      </c>
    </row>
    <row r="3540">
      <c r="A3540" s="5" t="s">
        <v>3156</v>
      </c>
      <c r="B3540" s="6">
        <v>500.0</v>
      </c>
      <c r="C3540" s="7" t="s">
        <v>649</v>
      </c>
      <c r="E3540" s="8" t="str">
        <f>IFERROR(__xludf.DUMMYFUNCTION("SPLIT(A3540,""TX"")"),"Parker, Kim
13330 Noel Road
Dallas, ")</f>
        <v>Parker, Kim
13330 Noel Road
Dallas, </v>
      </c>
      <c r="F3540" s="8">
        <f>IFERROR(__xludf.DUMMYFUNCTION("""COMPUTED_VALUE"""),75240.0)</f>
        <v>75240</v>
      </c>
      <c r="I3540" s="8">
        <f t="shared" si="41"/>
        <v>75240</v>
      </c>
      <c r="J3540" s="9">
        <f>IFERROR(__xludf.DUMMYFUNCTION("SPLIT(I3540,""-"")"),75240.0)</f>
        <v>75240</v>
      </c>
    </row>
    <row r="3541">
      <c r="A3541" s="10" t="s">
        <v>3157</v>
      </c>
      <c r="B3541" s="11">
        <v>949.7</v>
      </c>
      <c r="C3541" s="12" t="s">
        <v>649</v>
      </c>
      <c r="E3541" s="8" t="str">
        <f>IFERROR(__xludf.DUMMYFUNCTION("SPLIT(A3541,""TX"")"),"Beaver, Howell
4232 San Carlos
Dallas, ")</f>
        <v>Beaver, Howell
4232 San Carlos
Dallas, </v>
      </c>
      <c r="F3541" s="8">
        <f>IFERROR(__xludf.DUMMYFUNCTION("""COMPUTED_VALUE"""),75205.0)</f>
        <v>75205</v>
      </c>
      <c r="I3541" s="8">
        <f t="shared" si="41"/>
        <v>75205</v>
      </c>
      <c r="J3541" s="9">
        <f>IFERROR(__xludf.DUMMYFUNCTION("SPLIT(I3541,""-"")"),75205.0)</f>
        <v>75205</v>
      </c>
    </row>
    <row r="3542">
      <c r="A3542" s="5" t="s">
        <v>3158</v>
      </c>
      <c r="B3542" s="6">
        <v>949.7</v>
      </c>
      <c r="C3542" s="7" t="s">
        <v>649</v>
      </c>
      <c r="E3542" s="8" t="str">
        <f>IFERROR(__xludf.DUMMYFUNCTION("SPLIT(A3542,""TX"")"),"Holley, James Matt
43460 Mockingbird Lane
Dallas, ")</f>
        <v>Holley, James Matt
43460 Mockingbird Lane
Dallas, </v>
      </c>
      <c r="F3542" s="8">
        <f>IFERROR(__xludf.DUMMYFUNCTION("""COMPUTED_VALUE"""),75205.0)</f>
        <v>75205</v>
      </c>
      <c r="I3542" s="8">
        <f t="shared" si="41"/>
        <v>75205</v>
      </c>
      <c r="J3542" s="9">
        <f>IFERROR(__xludf.DUMMYFUNCTION("SPLIT(I3542,""-"")"),75205.0)</f>
        <v>75205</v>
      </c>
    </row>
    <row r="3543">
      <c r="A3543" s="10" t="s">
        <v>3159</v>
      </c>
      <c r="B3543" s="11">
        <v>949.7</v>
      </c>
      <c r="C3543" s="12" t="s">
        <v>649</v>
      </c>
      <c r="E3543" s="8" t="str">
        <f>IFERROR(__xludf.DUMMYFUNCTION("SPLIT(A3543,""TX"")"),"Beucler, Reid
6060 N. Central Expwy.
Dallas, ")</f>
        <v>Beucler, Reid
6060 N. Central Expwy.
Dallas, </v>
      </c>
      <c r="F3543" s="8">
        <f>IFERROR(__xludf.DUMMYFUNCTION("""COMPUTED_VALUE"""),75206.0)</f>
        <v>75206</v>
      </c>
      <c r="I3543" s="8">
        <f t="shared" si="41"/>
        <v>75206</v>
      </c>
      <c r="J3543" s="9">
        <f>IFERROR(__xludf.DUMMYFUNCTION("SPLIT(I3543,""-"")"),75206.0)</f>
        <v>75206</v>
      </c>
    </row>
    <row r="3544">
      <c r="A3544" s="5" t="s">
        <v>3160</v>
      </c>
      <c r="B3544" s="6">
        <v>189.7</v>
      </c>
      <c r="C3544" s="7" t="s">
        <v>649</v>
      </c>
      <c r="E3544" s="8" t="str">
        <f>IFERROR(__xludf.DUMMYFUNCTION("SPLIT(A3544,""TX"")"),"Miller, Stephen
10250 Rosser Rd.
Dallas, ")</f>
        <v>Miller, Stephen
10250 Rosser Rd.
Dallas, </v>
      </c>
      <c r="F3544" s="8">
        <f>IFERROR(__xludf.DUMMYFUNCTION("""COMPUTED_VALUE"""),75229.0)</f>
        <v>75229</v>
      </c>
      <c r="I3544" s="8">
        <f t="shared" si="41"/>
        <v>75229</v>
      </c>
      <c r="J3544" s="9">
        <f>IFERROR(__xludf.DUMMYFUNCTION("SPLIT(I3544,""-"")"),75229.0)</f>
        <v>75229</v>
      </c>
    </row>
    <row r="3545">
      <c r="A3545" s="10" t="s">
        <v>3161</v>
      </c>
      <c r="B3545" s="11">
        <v>250.0</v>
      </c>
      <c r="C3545" s="12" t="s">
        <v>649</v>
      </c>
      <c r="E3545" s="8" t="str">
        <f>IFERROR(__xludf.DUMMYFUNCTION("SPLIT(A3545,""TX"")"),"Andres, Warren
3710 Rawlins St.
Dallas, ")</f>
        <v>Andres, Warren
3710 Rawlins St.
Dallas, </v>
      </c>
      <c r="F3545" s="8">
        <f>IFERROR(__xludf.DUMMYFUNCTION("""COMPUTED_VALUE"""),75219.0)</f>
        <v>75219</v>
      </c>
      <c r="I3545" s="8">
        <f t="shared" si="41"/>
        <v>75219</v>
      </c>
      <c r="J3545" s="9">
        <f>IFERROR(__xludf.DUMMYFUNCTION("SPLIT(I3545,""-"")"),75219.0)</f>
        <v>75219</v>
      </c>
    </row>
    <row r="3546">
      <c r="A3546" s="5" t="s">
        <v>3162</v>
      </c>
      <c r="B3546" s="6">
        <v>949.7</v>
      </c>
      <c r="C3546" s="7" t="s">
        <v>649</v>
      </c>
      <c r="E3546" s="8" t="str">
        <f>IFERROR(__xludf.DUMMYFUNCTION("SPLIT(A3546,""TX"")"),"Lamkin, Robvert
14881 Quorum Dr.
Dallas, ")</f>
        <v>Lamkin, Robvert
14881 Quorum Dr.
Dallas, </v>
      </c>
      <c r="F3546" s="8">
        <f>IFERROR(__xludf.DUMMYFUNCTION("""COMPUTED_VALUE"""),75254.0)</f>
        <v>75254</v>
      </c>
      <c r="I3546" s="8">
        <f t="shared" si="41"/>
        <v>75254</v>
      </c>
      <c r="J3546" s="9">
        <f>IFERROR(__xludf.DUMMYFUNCTION("SPLIT(I3546,""-"")"),75254.0)</f>
        <v>75254</v>
      </c>
    </row>
    <row r="3547">
      <c r="A3547" s="10" t="s">
        <v>3163</v>
      </c>
      <c r="B3547" s="11">
        <v>949.7</v>
      </c>
      <c r="C3547" s="12" t="s">
        <v>649</v>
      </c>
      <c r="E3547" s="8" t="str">
        <f>IFERROR(__xludf.DUMMYFUNCTION("SPLIT(A3547,""TX"")"),"Dingman, Joseph
13223 Glad Acres Dr.
Dallas, ")</f>
        <v>Dingman, Joseph
13223 Glad Acres Dr.
Dallas, </v>
      </c>
      <c r="F3547" s="8">
        <f>IFERROR(__xludf.DUMMYFUNCTION("""COMPUTED_VALUE"""),75234.0)</f>
        <v>75234</v>
      </c>
      <c r="I3547" s="8">
        <f t="shared" si="41"/>
        <v>75234</v>
      </c>
      <c r="J3547" s="9">
        <f>IFERROR(__xludf.DUMMYFUNCTION("SPLIT(I3547,""-"")"),75234.0)</f>
        <v>75234</v>
      </c>
    </row>
    <row r="3548">
      <c r="A3548" s="5" t="s">
        <v>3164</v>
      </c>
      <c r="B3548" s="6">
        <v>500.0</v>
      </c>
      <c r="C3548" s="7" t="s">
        <v>649</v>
      </c>
      <c r="E3548" s="8" t="str">
        <f>IFERROR(__xludf.DUMMYFUNCTION("SPLIT(A3548,""TX"")"),"Pitchford, Joseph
7422 Midburry Dr.
Dallas, ")</f>
        <v>Pitchford, Joseph
7422 Midburry Dr.
Dallas, </v>
      </c>
      <c r="F3548" s="8">
        <f>IFERROR(__xludf.DUMMYFUNCTION("""COMPUTED_VALUE"""),75230.0)</f>
        <v>75230</v>
      </c>
      <c r="I3548" s="8">
        <f t="shared" si="41"/>
        <v>75230</v>
      </c>
      <c r="J3548" s="9">
        <f>IFERROR(__xludf.DUMMYFUNCTION("SPLIT(I3548,""-"")"),75230.0)</f>
        <v>75230</v>
      </c>
    </row>
    <row r="3549">
      <c r="A3549" s="10" t="s">
        <v>3165</v>
      </c>
      <c r="B3549" s="11">
        <v>948.0</v>
      </c>
      <c r="C3549" s="12" t="s">
        <v>649</v>
      </c>
      <c r="E3549" s="8" t="str">
        <f>IFERROR(__xludf.DUMMYFUNCTION("SPLIT(A3549,""TX"")"),"eleki, Kristian
325 Canyon Oaks Dr.
Argyle, ")</f>
        <v>eleki, Kristian
325 Canyon Oaks Dr.
Argyle, </v>
      </c>
      <c r="F3549" s="8">
        <f>IFERROR(__xludf.DUMMYFUNCTION("""COMPUTED_VALUE"""),76226.0)</f>
        <v>76226</v>
      </c>
      <c r="I3549" s="8">
        <f t="shared" si="41"/>
        <v>76226</v>
      </c>
      <c r="J3549" s="9">
        <f>IFERROR(__xludf.DUMMYFUNCTION("SPLIT(I3549,""-"")"),76226.0)</f>
        <v>76226</v>
      </c>
    </row>
    <row r="3550">
      <c r="A3550" s="5" t="s">
        <v>3166</v>
      </c>
      <c r="B3550" s="6">
        <v>250.0</v>
      </c>
      <c r="C3550" s="7" t="s">
        <v>649</v>
      </c>
      <c r="E3550" s="8" t="str">
        <f>IFERROR(__xludf.DUMMYFUNCTION("SPLIT(A3550,""TX"")"),"Miranda, Lou
8260 Folcroft Ln.
Dallas, ")</f>
        <v>Miranda, Lou
8260 Folcroft Ln.
Dallas, </v>
      </c>
      <c r="F3550" s="8">
        <f>IFERROR(__xludf.DUMMYFUNCTION("""COMPUTED_VALUE"""),75231.0)</f>
        <v>75231</v>
      </c>
      <c r="I3550" s="8">
        <f t="shared" si="41"/>
        <v>75231</v>
      </c>
      <c r="J3550" s="9">
        <f>IFERROR(__xludf.DUMMYFUNCTION("SPLIT(I3550,""-"")"),75231.0)</f>
        <v>75231</v>
      </c>
    </row>
    <row r="3551">
      <c r="A3551" s="10" t="s">
        <v>3167</v>
      </c>
      <c r="B3551" s="11">
        <v>900.0</v>
      </c>
      <c r="C3551" s="12" t="s">
        <v>649</v>
      </c>
      <c r="E3551" s="8" t="str">
        <f>IFERROR(__xludf.DUMMYFUNCTION("SPLIT(A3551,""TX"")"),"Miller, Adam
320 W. Main St.
Dallas, ")</f>
        <v>Miller, Adam
320 W. Main St.
Dallas, </v>
      </c>
      <c r="F3551" s="8">
        <f>IFERROR(__xludf.DUMMYFUNCTION("""COMPUTED_VALUE"""),75057.0)</f>
        <v>75057</v>
      </c>
      <c r="I3551" s="8">
        <f t="shared" si="41"/>
        <v>75057</v>
      </c>
      <c r="J3551" s="9">
        <f>IFERROR(__xludf.DUMMYFUNCTION("SPLIT(I3551,""-"")"),75057.0)</f>
        <v>75057</v>
      </c>
    </row>
    <row r="3552">
      <c r="A3552" s="5" t="s">
        <v>3168</v>
      </c>
      <c r="B3552" s="6">
        <v>949.7</v>
      </c>
      <c r="C3552" s="7" t="s">
        <v>649</v>
      </c>
      <c r="E3552" s="8" t="str">
        <f>IFERROR(__xludf.DUMMYFUNCTION("SPLIT(A3552,""TX"")"),"Linburg, Barrett
5619 Purdue Ave.
Dallas, ")</f>
        <v>Linburg, Barrett
5619 Purdue Ave.
Dallas, </v>
      </c>
      <c r="F3552" s="8">
        <f>IFERROR(__xludf.DUMMYFUNCTION("""COMPUTED_VALUE"""),75209.0)</f>
        <v>75209</v>
      </c>
      <c r="I3552" s="8">
        <f t="shared" si="41"/>
        <v>75209</v>
      </c>
      <c r="J3552" s="9">
        <f>IFERROR(__xludf.DUMMYFUNCTION("SPLIT(I3552,""-"")"),75209.0)</f>
        <v>75209</v>
      </c>
    </row>
    <row r="3553">
      <c r="A3553" s="10" t="s">
        <v>3169</v>
      </c>
      <c r="B3553" s="11">
        <v>949.7</v>
      </c>
      <c r="C3553" s="12" t="s">
        <v>649</v>
      </c>
      <c r="E3553" s="8" t="str">
        <f>IFERROR(__xludf.DUMMYFUNCTION("SPLIT(A3553,""TX"")"),"Hancock, Barry
4514 ")</f>
        <v>Hancock, Barry
4514 </v>
      </c>
      <c r="F3553" s="8" t="str">
        <f>IFERROR(__xludf.DUMMYFUNCTION("""COMPUTED_VALUE"""),"ravis St.
Dallas, ")</f>
        <v>ravis St.
Dallas, </v>
      </c>
      <c r="G3553" s="8">
        <f>IFERROR(__xludf.DUMMYFUNCTION("""COMPUTED_VALUE"""),75205.0)</f>
        <v>75205</v>
      </c>
      <c r="I3553" s="8">
        <f t="shared" si="41"/>
        <v>75205</v>
      </c>
      <c r="J3553" s="9">
        <f>IFERROR(__xludf.DUMMYFUNCTION("SPLIT(I3553,""-"")"),75205.0)</f>
        <v>75205</v>
      </c>
    </row>
    <row r="3554">
      <c r="A3554" s="5" t="s">
        <v>1512</v>
      </c>
      <c r="B3554" s="6">
        <v>949.7</v>
      </c>
      <c r="C3554" s="7" t="s">
        <v>649</v>
      </c>
      <c r="E3554" s="8" t="str">
        <f>IFERROR(__xludf.DUMMYFUNCTION("SPLIT(A3554,""TX"")"),"Anderson, Carl
2929 Carlisle St.
Dallas, ")</f>
        <v>Anderson, Carl
2929 Carlisle St.
Dallas, </v>
      </c>
      <c r="F3554" s="8">
        <f>IFERROR(__xludf.DUMMYFUNCTION("""COMPUTED_VALUE"""),75204.0)</f>
        <v>75204</v>
      </c>
      <c r="I3554" s="8">
        <f t="shared" si="41"/>
        <v>75204</v>
      </c>
      <c r="J3554" s="9">
        <f>IFERROR(__xludf.DUMMYFUNCTION("SPLIT(I3554,""-"")"),75204.0)</f>
        <v>75204</v>
      </c>
    </row>
    <row r="3555">
      <c r="A3555" s="10" t="s">
        <v>3170</v>
      </c>
      <c r="B3555" s="11">
        <v>949.7</v>
      </c>
      <c r="C3555" s="12" t="s">
        <v>649</v>
      </c>
      <c r="E3555" s="8" t="str">
        <f>IFERROR(__xludf.DUMMYFUNCTION("SPLIT(A3555,""TX"")"),"Kaelson, Gary
501 2nd Ave.
Dallas, ")</f>
        <v>Kaelson, Gary
501 2nd Ave.
Dallas, </v>
      </c>
      <c r="F3555" s="8">
        <f>IFERROR(__xludf.DUMMYFUNCTION("""COMPUTED_VALUE"""),75226.0)</f>
        <v>75226</v>
      </c>
      <c r="I3555" s="8">
        <f t="shared" si="41"/>
        <v>75226</v>
      </c>
      <c r="J3555" s="9">
        <f>IFERROR(__xludf.DUMMYFUNCTION("SPLIT(I3555,""-"")"),75226.0)</f>
        <v>75226</v>
      </c>
    </row>
    <row r="3556">
      <c r="A3556" s="5" t="s">
        <v>3171</v>
      </c>
      <c r="B3556" s="6">
        <v>474.7</v>
      </c>
      <c r="C3556" s="7" t="s">
        <v>649</v>
      </c>
      <c r="E3556" s="8" t="str">
        <f>IFERROR(__xludf.DUMMYFUNCTION("SPLIT(A3556,""TX"")"),"Wolf, J. Mark
8340 Meadow Rd.
Dallas, ")</f>
        <v>Wolf, J. Mark
8340 Meadow Rd.
Dallas, </v>
      </c>
      <c r="F3556" s="8">
        <f>IFERROR(__xludf.DUMMYFUNCTION("""COMPUTED_VALUE"""),75231.0)</f>
        <v>75231</v>
      </c>
      <c r="I3556" s="8">
        <f t="shared" si="41"/>
        <v>75231</v>
      </c>
      <c r="J3556" s="9">
        <f>IFERROR(__xludf.DUMMYFUNCTION("SPLIT(I3556,""-"")"),75231.0)</f>
        <v>75231</v>
      </c>
    </row>
    <row r="3557">
      <c r="A3557" s="10" t="s">
        <v>3172</v>
      </c>
      <c r="B3557" s="11">
        <v>949.7</v>
      </c>
      <c r="C3557" s="12" t="s">
        <v>649</v>
      </c>
      <c r="E3557" s="8" t="str">
        <f>IFERROR(__xludf.DUMMYFUNCTION("SPLIT(A3557,""TX"")"),"Hancock, Margaret
3843 Maplewood Ave.
Dallas, ")</f>
        <v>Hancock, Margaret
3843 Maplewood Ave.
Dallas, </v>
      </c>
      <c r="F3557" s="8">
        <f>IFERROR(__xludf.DUMMYFUNCTION("""COMPUTED_VALUE"""),75205.0)</f>
        <v>75205</v>
      </c>
      <c r="I3557" s="8">
        <f t="shared" si="41"/>
        <v>75205</v>
      </c>
      <c r="J3557" s="9">
        <f>IFERROR(__xludf.DUMMYFUNCTION("SPLIT(I3557,""-"")"),75205.0)</f>
        <v>75205</v>
      </c>
    </row>
    <row r="3558">
      <c r="A3558" s="5" t="s">
        <v>3173</v>
      </c>
      <c r="B3558" s="6">
        <v>474.7</v>
      </c>
      <c r="C3558" s="7" t="s">
        <v>649</v>
      </c>
      <c r="E3558" s="8" t="str">
        <f>IFERROR(__xludf.DUMMYFUNCTION("SPLIT(A3558,""TX"")"),"Rodgers, Scott
5918 Lomo Alto
Dallas, ")</f>
        <v>Rodgers, Scott
5918 Lomo Alto
Dallas, </v>
      </c>
      <c r="F3558" s="8">
        <f>IFERROR(__xludf.DUMMYFUNCTION("""COMPUTED_VALUE"""),75205.0)</f>
        <v>75205</v>
      </c>
      <c r="I3558" s="8">
        <f t="shared" si="41"/>
        <v>75205</v>
      </c>
      <c r="J3558" s="9">
        <f>IFERROR(__xludf.DUMMYFUNCTION("SPLIT(I3558,""-"")"),75205.0)</f>
        <v>75205</v>
      </c>
    </row>
    <row r="3559">
      <c r="A3559" s="10" t="s">
        <v>3174</v>
      </c>
      <c r="B3559" s="11">
        <v>949.7</v>
      </c>
      <c r="C3559" s="12" t="s">
        <v>649</v>
      </c>
      <c r="E3559" s="8" t="str">
        <f>IFERROR(__xludf.DUMMYFUNCTION("SPLIT(A3559,""TX"")"),"Anderson, Simone
3808 Southwestern Blvd.
Dallas, ")</f>
        <v>Anderson, Simone
3808 Southwestern Blvd.
Dallas, </v>
      </c>
      <c r="F3559" s="8">
        <f>IFERROR(__xludf.DUMMYFUNCTION("""COMPUTED_VALUE"""),75225.0)</f>
        <v>75225</v>
      </c>
      <c r="I3559" s="8">
        <f t="shared" si="41"/>
        <v>75225</v>
      </c>
      <c r="J3559" s="9">
        <f>IFERROR(__xludf.DUMMYFUNCTION("SPLIT(I3559,""-"")"),75225.0)</f>
        <v>75225</v>
      </c>
    </row>
    <row r="3560">
      <c r="A3560" s="5" t="s">
        <v>3175</v>
      </c>
      <c r="B3560" s="6">
        <v>949.7</v>
      </c>
      <c r="C3560" s="7" t="s">
        <v>649</v>
      </c>
      <c r="E3560" s="8" t="str">
        <f>IFERROR(__xludf.DUMMYFUNCTION("SPLIT(A3560,""TX"")"),"Ginsburg, Valerie
2610 Fairmount St.
Dallas, ")</f>
        <v>Ginsburg, Valerie
2610 Fairmount St.
Dallas, </v>
      </c>
      <c r="F3560" s="8">
        <f>IFERROR(__xludf.DUMMYFUNCTION("""COMPUTED_VALUE"""),75201.0)</f>
        <v>75201</v>
      </c>
      <c r="I3560" s="8">
        <f t="shared" si="41"/>
        <v>75201</v>
      </c>
      <c r="J3560" s="9">
        <f>IFERROR(__xludf.DUMMYFUNCTION("SPLIT(I3560,""-"")"),75201.0)</f>
        <v>75201</v>
      </c>
    </row>
    <row r="3561">
      <c r="A3561" s="10" t="s">
        <v>2242</v>
      </c>
      <c r="B3561" s="11">
        <v>949.7</v>
      </c>
      <c r="C3561" s="12" t="s">
        <v>649</v>
      </c>
      <c r="E3561" s="8" t="str">
        <f>IFERROR(__xludf.DUMMYFUNCTION("SPLIT(A3561,""TX"")"),"Cheatham, Diane
PO Box 191166
Dallas, ")</f>
        <v>Cheatham, Diane
PO Box 191166
Dallas, </v>
      </c>
      <c r="F3561" s="8">
        <f>IFERROR(__xludf.DUMMYFUNCTION("""COMPUTED_VALUE"""),75219.0)</f>
        <v>75219</v>
      </c>
      <c r="I3561" s="8">
        <f t="shared" si="41"/>
        <v>75219</v>
      </c>
      <c r="J3561" s="9">
        <f>IFERROR(__xludf.DUMMYFUNCTION("SPLIT(I3561,""-"")"),75219.0)</f>
        <v>75219</v>
      </c>
    </row>
    <row r="3562">
      <c r="A3562" s="5" t="s">
        <v>3176</v>
      </c>
      <c r="B3562" s="6">
        <v>949.7</v>
      </c>
      <c r="C3562" s="7" t="s">
        <v>649</v>
      </c>
      <c r="E3562" s="8" t="str">
        <f>IFERROR(__xludf.DUMMYFUNCTION("SPLIT(A3562,""TX"")"),"Williams, Joel
4323 Lorraine Ave.
Dallas, ")</f>
        <v>Williams, Joel
4323 Lorraine Ave.
Dallas, </v>
      </c>
      <c r="F3562" s="8">
        <f>IFERROR(__xludf.DUMMYFUNCTION("""COMPUTED_VALUE"""),75205.0)</f>
        <v>75205</v>
      </c>
      <c r="I3562" s="8">
        <f t="shared" si="41"/>
        <v>75205</v>
      </c>
      <c r="J3562" s="9">
        <f>IFERROR(__xludf.DUMMYFUNCTION("SPLIT(I3562,""-"")"),75205.0)</f>
        <v>75205</v>
      </c>
    </row>
    <row r="3563">
      <c r="A3563" s="10" t="s">
        <v>3177</v>
      </c>
      <c r="B3563" s="11">
        <v>250.0</v>
      </c>
      <c r="C3563" s="12" t="s">
        <v>649</v>
      </c>
      <c r="E3563" s="8" t="str">
        <f>IFERROR(__xludf.DUMMYFUNCTION("SPLIT(A3563,""TX"")"),"Pomykal, Keith
PO Box 192723
Dallas, ")</f>
        <v>Pomykal, Keith
PO Box 192723
Dallas, </v>
      </c>
      <c r="F3563" s="8">
        <f>IFERROR(__xludf.DUMMYFUNCTION("""COMPUTED_VALUE"""),75219.0)</f>
        <v>75219</v>
      </c>
      <c r="I3563" s="8">
        <f t="shared" si="41"/>
        <v>75219</v>
      </c>
      <c r="J3563" s="9">
        <f>IFERROR(__xludf.DUMMYFUNCTION("SPLIT(I3563,""-"")"),75219.0)</f>
        <v>75219</v>
      </c>
    </row>
    <row r="3564">
      <c r="A3564" s="5" t="s">
        <v>3178</v>
      </c>
      <c r="B3564" s="6">
        <v>1000.0</v>
      </c>
      <c r="C3564" s="7" t="s">
        <v>649</v>
      </c>
      <c r="E3564" s="8" t="str">
        <f>IFERROR(__xludf.DUMMYFUNCTION("SPLIT(A3564,""TX"")"),"Mackey, Alecia
3890 White Clove Ln.
Prosper, ")</f>
        <v>Mackey, Alecia
3890 White Clove Ln.
Prosper, </v>
      </c>
      <c r="F3564" s="8">
        <f>IFERROR(__xludf.DUMMYFUNCTION("""COMPUTED_VALUE"""),75078.0)</f>
        <v>75078</v>
      </c>
      <c r="I3564" s="8">
        <f t="shared" si="41"/>
        <v>75078</v>
      </c>
      <c r="J3564" s="9">
        <f>IFERROR(__xludf.DUMMYFUNCTION("SPLIT(I3564,""-"")"),75078.0)</f>
        <v>75078</v>
      </c>
    </row>
    <row r="3565">
      <c r="A3565" s="10" t="s">
        <v>3179</v>
      </c>
      <c r="B3565" s="11">
        <v>500.0</v>
      </c>
      <c r="C3565" s="12" t="s">
        <v>649</v>
      </c>
      <c r="E3565" s="8" t="str">
        <f>IFERROR(__xludf.DUMMYFUNCTION("SPLIT(A3565,""TX"")"),"Schenkel, Austin
3105 Stanford Ave.
Dallas, ")</f>
        <v>Schenkel, Austin
3105 Stanford Ave.
Dallas, </v>
      </c>
      <c r="F3565" s="8">
        <f>IFERROR(__xludf.DUMMYFUNCTION("""COMPUTED_VALUE"""),75225.0)</f>
        <v>75225</v>
      </c>
      <c r="I3565" s="8">
        <f t="shared" si="41"/>
        <v>75225</v>
      </c>
      <c r="J3565" s="9">
        <f>IFERROR(__xludf.DUMMYFUNCTION("SPLIT(I3565,""-"")"),75225.0)</f>
        <v>75225</v>
      </c>
    </row>
    <row r="3566">
      <c r="A3566" s="5" t="s">
        <v>3180</v>
      </c>
      <c r="B3566" s="6">
        <v>1000.0</v>
      </c>
      <c r="C3566" s="7" t="s">
        <v>649</v>
      </c>
      <c r="E3566" s="8" t="str">
        <f>IFERROR(__xludf.DUMMYFUNCTION("SPLIT(A3566,""TX"")"),"OConnell, Charles
634 Kessler Reserve Court
Dallas, ")</f>
        <v>OConnell, Charles
634 Kessler Reserve Court
Dallas, </v>
      </c>
      <c r="F3566" s="8">
        <f>IFERROR(__xludf.DUMMYFUNCTION("""COMPUTED_VALUE"""),75208.0)</f>
        <v>75208</v>
      </c>
      <c r="I3566" s="8">
        <f t="shared" si="41"/>
        <v>75208</v>
      </c>
      <c r="J3566" s="9">
        <f>IFERROR(__xludf.DUMMYFUNCTION("SPLIT(I3566,""-"")"),75208.0)</f>
        <v>75208</v>
      </c>
    </row>
    <row r="3567">
      <c r="A3567" s="10" t="s">
        <v>3181</v>
      </c>
      <c r="B3567" s="11">
        <v>1000.0</v>
      </c>
      <c r="C3567" s="12" t="s">
        <v>649</v>
      </c>
      <c r="E3567" s="8" t="str">
        <f>IFERROR(__xludf.DUMMYFUNCTION("SPLIT(A3567,""TX"")"),"Aslam, Chris
PO Box 496539
Garland, ")</f>
        <v>Aslam, Chris
PO Box 496539
Garland, </v>
      </c>
      <c r="F3567" s="8">
        <f>IFERROR(__xludf.DUMMYFUNCTION("""COMPUTED_VALUE"""),75049.0)</f>
        <v>75049</v>
      </c>
      <c r="I3567" s="8">
        <f t="shared" si="41"/>
        <v>75049</v>
      </c>
      <c r="J3567" s="9">
        <f>IFERROR(__xludf.DUMMYFUNCTION("SPLIT(I3567,""-"")"),75049.0)</f>
        <v>75049</v>
      </c>
    </row>
    <row r="3568">
      <c r="A3568" s="5" t="s">
        <v>3182</v>
      </c>
      <c r="B3568" s="6">
        <v>1000.0</v>
      </c>
      <c r="C3568" s="7" t="s">
        <v>649</v>
      </c>
      <c r="E3568" s="8" t="str">
        <f>IFERROR(__xludf.DUMMYFUNCTION("SPLIT(A3568,""TX"")"),"Wright, Colton
9113 Clearhurst Drive
Dallas, ")</f>
        <v>Wright, Colton
9113 Clearhurst Drive
Dallas, </v>
      </c>
      <c r="F3568" s="8">
        <f>IFERROR(__xludf.DUMMYFUNCTION("""COMPUTED_VALUE"""),75238.0)</f>
        <v>75238</v>
      </c>
      <c r="I3568" s="8">
        <f t="shared" si="41"/>
        <v>75238</v>
      </c>
      <c r="J3568" s="9">
        <f>IFERROR(__xludf.DUMMYFUNCTION("SPLIT(I3568,""-"")"),75238.0)</f>
        <v>75238</v>
      </c>
    </row>
    <row r="3569">
      <c r="A3569" s="10" t="s">
        <v>3183</v>
      </c>
      <c r="B3569" s="11">
        <v>500.0</v>
      </c>
      <c r="C3569" s="12" t="s">
        <v>649</v>
      </c>
      <c r="E3569" s="8" t="str">
        <f>IFERROR(__xludf.DUMMYFUNCTION("SPLIT(A3569,""TX"")"),"Petty, Donald
2808 Fairmount St.
Dallas, ")</f>
        <v>Petty, Donald
2808 Fairmount St.
Dallas, </v>
      </c>
      <c r="F3569" s="8">
        <f>IFERROR(__xludf.DUMMYFUNCTION("""COMPUTED_VALUE"""),75201.0)</f>
        <v>75201</v>
      </c>
      <c r="I3569" s="8">
        <f t="shared" si="41"/>
        <v>75201</v>
      </c>
      <c r="J3569" s="9">
        <f>IFERROR(__xludf.DUMMYFUNCTION("SPLIT(I3569,""-"")"),75201.0)</f>
        <v>75201</v>
      </c>
    </row>
    <row r="3570">
      <c r="A3570" s="5" t="s">
        <v>3184</v>
      </c>
      <c r="B3570" s="6">
        <v>1000.0</v>
      </c>
      <c r="C3570" s="7" t="s">
        <v>649</v>
      </c>
      <c r="E3570" s="8" t="str">
        <f>IFERROR(__xludf.DUMMYFUNCTION("SPLIT(A3570,""TX"")"),"Hurley, Elizabeth
3910 Gillon Ave.
Dallas, ")</f>
        <v>Hurley, Elizabeth
3910 Gillon Ave.
Dallas, </v>
      </c>
      <c r="F3570" s="8">
        <f>IFERROR(__xludf.DUMMYFUNCTION("""COMPUTED_VALUE"""),75205.0)</f>
        <v>75205</v>
      </c>
      <c r="I3570" s="8">
        <f t="shared" si="41"/>
        <v>75205</v>
      </c>
      <c r="J3570" s="9">
        <f>IFERROR(__xludf.DUMMYFUNCTION("SPLIT(I3570,""-"")"),75205.0)</f>
        <v>75205</v>
      </c>
    </row>
    <row r="3571">
      <c r="A3571" s="10" t="s">
        <v>3185</v>
      </c>
      <c r="B3571" s="11">
        <v>1000.0</v>
      </c>
      <c r="C3571" s="12" t="s">
        <v>649</v>
      </c>
      <c r="E3571" s="8" t="str">
        <f>IFERROR(__xludf.DUMMYFUNCTION("SPLIT(A3571,""TX"")"),"Mihalopoulos, Frank
4645 Bishop Avenue
Dallas, ")</f>
        <v>Mihalopoulos, Frank
4645 Bishop Avenue
Dallas, </v>
      </c>
      <c r="F3571" s="8">
        <f>IFERROR(__xludf.DUMMYFUNCTION("""COMPUTED_VALUE"""),75205.0)</f>
        <v>75205</v>
      </c>
      <c r="I3571" s="8">
        <f t="shared" si="41"/>
        <v>75205</v>
      </c>
      <c r="J3571" s="9">
        <f>IFERROR(__xludf.DUMMYFUNCTION("SPLIT(I3571,""-"")"),75205.0)</f>
        <v>75205</v>
      </c>
    </row>
    <row r="3572">
      <c r="A3572" s="5" t="s">
        <v>1509</v>
      </c>
      <c r="B3572" s="6">
        <v>949.7</v>
      </c>
      <c r="C3572" s="7" t="s">
        <v>649</v>
      </c>
      <c r="E3572" s="8" t="str">
        <f>IFERROR(__xludf.DUMMYFUNCTION("SPLIT(A3572,""TX"")"),"Weempe, Jane
1316 W. Canterbury Ct.
Dallas, ")</f>
        <v>Weempe, Jane
1316 W. Canterbury Ct.
Dallas, </v>
      </c>
      <c r="F3572" s="8">
        <f>IFERROR(__xludf.DUMMYFUNCTION("""COMPUTED_VALUE"""),75208.0)</f>
        <v>75208</v>
      </c>
      <c r="I3572" s="8">
        <f t="shared" si="41"/>
        <v>75208</v>
      </c>
      <c r="J3572" s="9">
        <f>IFERROR(__xludf.DUMMYFUNCTION("SPLIT(I3572,""-"")"),75208.0)</f>
        <v>75208</v>
      </c>
    </row>
    <row r="3573">
      <c r="A3573" s="10" t="s">
        <v>3186</v>
      </c>
      <c r="B3573" s="11">
        <v>1000.0</v>
      </c>
      <c r="C3573" s="12" t="s">
        <v>649</v>
      </c>
      <c r="E3573" s="8" t="str">
        <f>IFERROR(__xludf.DUMMYFUNCTION("SPLIT(A3573,""TX"")"),"Bosse, Jeff
PO Box 4378
Dallas, ")</f>
        <v>Bosse, Jeff
PO Box 4378
Dallas, </v>
      </c>
      <c r="F3573" s="8">
        <f>IFERROR(__xludf.DUMMYFUNCTION("""COMPUTED_VALUE"""),75208.0)</f>
        <v>75208</v>
      </c>
      <c r="I3573" s="8">
        <f t="shared" si="41"/>
        <v>75208</v>
      </c>
      <c r="J3573" s="9">
        <f>IFERROR(__xludf.DUMMYFUNCTION("SPLIT(I3573,""-"")"),75208.0)</f>
        <v>75208</v>
      </c>
    </row>
    <row r="3574">
      <c r="A3574" s="5" t="s">
        <v>1913</v>
      </c>
      <c r="B3574" s="6">
        <v>1000.0</v>
      </c>
      <c r="C3574" s="7" t="s">
        <v>649</v>
      </c>
      <c r="E3574" s="8" t="str">
        <f>IFERROR(__xludf.DUMMYFUNCTION("SPLIT(A3574,""TX"")"),"McElroy, Joe
1207 Eldorado Ave.
Dallas, ")</f>
        <v>McElroy, Joe
1207 Eldorado Ave.
Dallas, </v>
      </c>
      <c r="F3574" s="8">
        <f>IFERROR(__xludf.DUMMYFUNCTION("""COMPUTED_VALUE"""),75208.0)</f>
        <v>75208</v>
      </c>
      <c r="I3574" s="8">
        <f t="shared" si="41"/>
        <v>75208</v>
      </c>
      <c r="J3574" s="9">
        <f>IFERROR(__xludf.DUMMYFUNCTION("SPLIT(I3574,""-"")"),75208.0)</f>
        <v>75208</v>
      </c>
    </row>
    <row r="3575">
      <c r="A3575" s="10" t="s">
        <v>1507</v>
      </c>
      <c r="B3575" s="11">
        <v>1000.0</v>
      </c>
      <c r="C3575" s="12" t="s">
        <v>649</v>
      </c>
      <c r="E3575" s="8" t="str">
        <f>IFERROR(__xludf.DUMMYFUNCTION("SPLIT(A3575,""TX"")"),"Matthews, John
320 W. Main St.
Lewisville, ")</f>
        <v>Matthews, John
320 W. Main St.
Lewisville, </v>
      </c>
      <c r="F3575" s="8">
        <f>IFERROR(__xludf.DUMMYFUNCTION("""COMPUTED_VALUE"""),75057.0)</f>
        <v>75057</v>
      </c>
      <c r="I3575" s="8">
        <f t="shared" si="41"/>
        <v>75057</v>
      </c>
      <c r="J3575" s="9">
        <f>IFERROR(__xludf.DUMMYFUNCTION("SPLIT(I3575,""-"")"),75057.0)</f>
        <v>75057</v>
      </c>
    </row>
    <row r="3576">
      <c r="A3576" s="5" t="s">
        <v>3187</v>
      </c>
      <c r="B3576" s="6">
        <v>1000.0</v>
      </c>
      <c r="C3576" s="7" t="s">
        <v>649</v>
      </c>
      <c r="E3576" s="8" t="str">
        <f>IFERROR(__xludf.DUMMYFUNCTION("SPLIT(A3576,""TX"")"),"Matthews, Laura Ann
320 W. Main St.
Lewisville, ")</f>
        <v>Matthews, Laura Ann
320 W. Main St.
Lewisville, </v>
      </c>
      <c r="F3576" s="8">
        <f>IFERROR(__xludf.DUMMYFUNCTION("""COMPUTED_VALUE"""),75057.0)</f>
        <v>75057</v>
      </c>
      <c r="I3576" s="8">
        <f t="shared" si="41"/>
        <v>75057</v>
      </c>
      <c r="J3576" s="9">
        <f>IFERROR(__xludf.DUMMYFUNCTION("SPLIT(I3576,""-"")"),75057.0)</f>
        <v>75057</v>
      </c>
    </row>
    <row r="3577">
      <c r="A3577" s="10" t="s">
        <v>3188</v>
      </c>
      <c r="B3577" s="11">
        <v>1000.0</v>
      </c>
      <c r="C3577" s="12" t="s">
        <v>649</v>
      </c>
      <c r="E3577" s="8" t="str">
        <f>IFERROR(__xludf.DUMMYFUNCTION("SPLIT(A3577,""TX"")"),"Duperier, Masoln
7153 Wildbriar Dr.
Dallas, ")</f>
        <v>Duperier, Masoln
7153 Wildbriar Dr.
Dallas, </v>
      </c>
      <c r="F3577" s="8">
        <f>IFERROR(__xludf.DUMMYFUNCTION("""COMPUTED_VALUE"""),75214.0)</f>
        <v>75214</v>
      </c>
      <c r="I3577" s="8">
        <f t="shared" si="41"/>
        <v>75214</v>
      </c>
      <c r="J3577" s="9">
        <f>IFERROR(__xludf.DUMMYFUNCTION("SPLIT(I3577,""-"")"),75214.0)</f>
        <v>75214</v>
      </c>
    </row>
    <row r="3578">
      <c r="A3578" s="5" t="s">
        <v>738</v>
      </c>
      <c r="B3578" s="6">
        <v>1000.0</v>
      </c>
      <c r="C3578" s="7" t="s">
        <v>649</v>
      </c>
      <c r="E3578" s="8" t="str">
        <f>IFERROR(__xludf.DUMMYFUNCTION("SPLIT(A3578,""TX"")"),"Schenkel, Pete
614 N. Bishop Ave.
Dallas, ")</f>
        <v>Schenkel, Pete
614 N. Bishop Ave.
Dallas, </v>
      </c>
      <c r="F3578" s="8">
        <f>IFERROR(__xludf.DUMMYFUNCTION("""COMPUTED_VALUE"""),75208.0)</f>
        <v>75208</v>
      </c>
      <c r="I3578" s="8">
        <f t="shared" si="41"/>
        <v>75208</v>
      </c>
      <c r="J3578" s="9">
        <f>IFERROR(__xludf.DUMMYFUNCTION("SPLIT(I3578,""-"")"),75208.0)</f>
        <v>75208</v>
      </c>
    </row>
    <row r="3579">
      <c r="A3579" s="10" t="s">
        <v>3189</v>
      </c>
      <c r="B3579" s="11">
        <v>1000.0</v>
      </c>
      <c r="C3579" s="12" t="s">
        <v>649</v>
      </c>
      <c r="E3579" s="8" t="str">
        <f>IFERROR(__xludf.DUMMYFUNCTION("SPLIT(A3579,""TX"")"),"Crone, Philip
6518 ")</f>
        <v>Crone, Philip
6518 </v>
      </c>
      <c r="F3579" s="8" t="str">
        <f>IFERROR(__xludf.DUMMYFUNCTION("""COMPUTED_VALUE"""),"rammel Dr.
Dallas, ")</f>
        <v>rammel Dr.
Dallas, </v>
      </c>
      <c r="G3579" s="8">
        <f>IFERROR(__xludf.DUMMYFUNCTION("""COMPUTED_VALUE"""),75214.0)</f>
        <v>75214</v>
      </c>
      <c r="I3579" s="8">
        <f t="shared" si="41"/>
        <v>75214</v>
      </c>
      <c r="J3579" s="9">
        <f>IFERROR(__xludf.DUMMYFUNCTION("SPLIT(I3579,""-"")"),75214.0)</f>
        <v>75214</v>
      </c>
    </row>
    <row r="3580">
      <c r="A3580" s="5" t="s">
        <v>3190</v>
      </c>
      <c r="B3580" s="6">
        <v>1000.0</v>
      </c>
      <c r="C3580" s="7" t="s">
        <v>649</v>
      </c>
      <c r="E3580" s="8" t="str">
        <f>IFERROR(__xludf.DUMMYFUNCTION("SPLIT(A3580,""TX"")"),"Wise, Philip
3444 University Blvd.
Dallas, ")</f>
        <v>Wise, Philip
3444 University Blvd.
Dallas, </v>
      </c>
      <c r="F3580" s="8">
        <f>IFERROR(__xludf.DUMMYFUNCTION("""COMPUTED_VALUE"""),75205.0)</f>
        <v>75205</v>
      </c>
      <c r="I3580" s="8">
        <f t="shared" si="41"/>
        <v>75205</v>
      </c>
      <c r="J3580" s="9">
        <f>IFERROR(__xludf.DUMMYFUNCTION("SPLIT(I3580,""-"")"),75205.0)</f>
        <v>75205</v>
      </c>
    </row>
    <row r="3581">
      <c r="A3581" s="10" t="s">
        <v>3191</v>
      </c>
      <c r="B3581" s="11">
        <v>1000.0</v>
      </c>
      <c r="C3581" s="12" t="s">
        <v>649</v>
      </c>
      <c r="E3581" s="8" t="str">
        <f>IFERROR(__xludf.DUMMYFUNCTION("SPLIT(A3581,""TX"")"),"Hurley, IV, S.J.
2227 Vantage St.
Dallas, ")</f>
        <v>Hurley, IV, S.J.
2227 Vantage St.
Dallas, </v>
      </c>
      <c r="F3581" s="8">
        <f>IFERROR(__xludf.DUMMYFUNCTION("""COMPUTED_VALUE"""),75207.0)</f>
        <v>75207</v>
      </c>
      <c r="I3581" s="8">
        <f t="shared" si="41"/>
        <v>75207</v>
      </c>
      <c r="J3581" s="9">
        <f>IFERROR(__xludf.DUMMYFUNCTION("SPLIT(I3581,""-"")"),75207.0)</f>
        <v>75207</v>
      </c>
    </row>
    <row r="3582">
      <c r="A3582" s="5" t="s">
        <v>3192</v>
      </c>
      <c r="B3582" s="6">
        <v>1000.0</v>
      </c>
      <c r="C3582" s="7" t="s">
        <v>649</v>
      </c>
      <c r="E3582" s="8" t="str">
        <f>IFERROR(__xludf.DUMMYFUNCTION("SPLIT(A3582,""TX"")"),"Vanderstraaten, William
4032 Druid Ln.
Dallas, ")</f>
        <v>Vanderstraaten, William
4032 Druid Ln.
Dallas, </v>
      </c>
      <c r="F3582" s="8">
        <f>IFERROR(__xludf.DUMMYFUNCTION("""COMPUTED_VALUE"""),75205.0)</f>
        <v>75205</v>
      </c>
      <c r="I3582" s="8">
        <f t="shared" si="41"/>
        <v>75205</v>
      </c>
      <c r="J3582" s="9">
        <f>IFERROR(__xludf.DUMMYFUNCTION("SPLIT(I3582,""-"")"),75205.0)</f>
        <v>75205</v>
      </c>
    </row>
    <row r="3583">
      <c r="A3583" s="10" t="s">
        <v>3193</v>
      </c>
      <c r="B3583" s="11">
        <v>500.0</v>
      </c>
      <c r="C3583" s="12" t="s">
        <v>649</v>
      </c>
      <c r="E3583" s="8" t="str">
        <f>IFERROR(__xludf.DUMMYFUNCTION("SPLIT(A3583,""TX"")"),"Jonnson, Willis
1001 Belleview St.
Dallas, ")</f>
        <v>Jonnson, Willis
1001 Belleview St.
Dallas, </v>
      </c>
      <c r="F3583" s="8">
        <f>IFERROR(__xludf.DUMMYFUNCTION("""COMPUTED_VALUE"""),75215.0)</f>
        <v>75215</v>
      </c>
      <c r="I3583" s="8">
        <f t="shared" si="41"/>
        <v>75215</v>
      </c>
      <c r="J3583" s="9">
        <f>IFERROR(__xludf.DUMMYFUNCTION("SPLIT(I3583,""-"")"),75215.0)</f>
        <v>75215</v>
      </c>
    </row>
    <row r="3584">
      <c r="A3584" s="5" t="s">
        <v>3194</v>
      </c>
      <c r="B3584" s="6">
        <v>474.7</v>
      </c>
      <c r="C3584" s="7" t="s">
        <v>649</v>
      </c>
      <c r="E3584" s="8" t="str">
        <f>IFERROR(__xludf.DUMMYFUNCTION("SPLIT(A3584,""TX"")"),"Stool, Gerald
2808 Fairmount St.
Dallas, ")</f>
        <v>Stool, Gerald
2808 Fairmount St.
Dallas, </v>
      </c>
      <c r="F3584" s="8">
        <f>IFERROR(__xludf.DUMMYFUNCTION("""COMPUTED_VALUE"""),75201.0)</f>
        <v>75201</v>
      </c>
      <c r="I3584" s="8">
        <f t="shared" si="41"/>
        <v>75201</v>
      </c>
      <c r="J3584" s="9">
        <f>IFERROR(__xludf.DUMMYFUNCTION("SPLIT(I3584,""-"")"),75201.0)</f>
        <v>75201</v>
      </c>
    </row>
    <row r="3585">
      <c r="A3585" s="10" t="s">
        <v>3195</v>
      </c>
      <c r="B3585" s="11">
        <v>100.0</v>
      </c>
      <c r="C3585" s="12" t="s">
        <v>649</v>
      </c>
      <c r="E3585" s="8" t="str">
        <f>IFERROR(__xludf.DUMMYFUNCTION("SPLIT(A3585,""TX"")"),"Merlino, Lynne
215 W. Greenbriar Ln.
Dallas, ")</f>
        <v>Merlino, Lynne
215 W. Greenbriar Ln.
Dallas, </v>
      </c>
      <c r="F3585" s="8">
        <f>IFERROR(__xludf.DUMMYFUNCTION("""COMPUTED_VALUE"""),75208.0)</f>
        <v>75208</v>
      </c>
      <c r="I3585" s="8">
        <f t="shared" si="41"/>
        <v>75208</v>
      </c>
      <c r="J3585" s="9">
        <f>IFERROR(__xludf.DUMMYFUNCTION("SPLIT(I3585,""-"")"),75208.0)</f>
        <v>75208</v>
      </c>
    </row>
    <row r="3586">
      <c r="A3586" s="5" t="s">
        <v>3196</v>
      </c>
      <c r="B3586" s="6">
        <v>750.0</v>
      </c>
      <c r="C3586" s="7" t="s">
        <v>649</v>
      </c>
      <c r="E3586" s="8" t="str">
        <f>IFERROR(__xludf.DUMMYFUNCTION("SPLIT(A3586,""TX"")"),"Walker, Newt
2519 ")</f>
        <v>Walker, Newt
2519 </v>
      </c>
      <c r="F3586" s="8" t="str">
        <f>IFERROR(__xludf.DUMMYFUNCTION("""COMPUTED_VALUE"""),"homas Ave.
Dallas, ")</f>
        <v>homas Ave.
Dallas, </v>
      </c>
      <c r="G3586" s="8">
        <f>IFERROR(__xludf.DUMMYFUNCTION("""COMPUTED_VALUE"""),75201.0)</f>
        <v>75201</v>
      </c>
      <c r="I3586" s="8">
        <f t="shared" si="41"/>
        <v>75201</v>
      </c>
      <c r="J3586" s="9">
        <f>IFERROR(__xludf.DUMMYFUNCTION("SPLIT(I3586,""-"")"),75201.0)</f>
        <v>75201</v>
      </c>
    </row>
    <row r="3587">
      <c r="A3587" s="10" t="s">
        <v>658</v>
      </c>
      <c r="B3587" s="11">
        <v>500.0</v>
      </c>
      <c r="C3587" s="12" t="s">
        <v>649</v>
      </c>
      <c r="E3587" s="8" t="str">
        <f>IFERROR(__xludf.DUMMYFUNCTION("SPLIT(A3587,""TX"")"),"Bischoff, Brian
3417 Princeton Ave.
Dallas, ")</f>
        <v>Bischoff, Brian
3417 Princeton Ave.
Dallas, </v>
      </c>
      <c r="F3587" s="8">
        <f>IFERROR(__xludf.DUMMYFUNCTION("""COMPUTED_VALUE"""),75205.0)</f>
        <v>75205</v>
      </c>
      <c r="I3587" s="8">
        <f t="shared" si="41"/>
        <v>75205</v>
      </c>
      <c r="J3587" s="9">
        <f>IFERROR(__xludf.DUMMYFUNCTION("SPLIT(I3587,""-"")"),75205.0)</f>
        <v>75205</v>
      </c>
    </row>
    <row r="3588">
      <c r="A3588" s="5" t="s">
        <v>3197</v>
      </c>
      <c r="B3588" s="6">
        <v>500.0</v>
      </c>
      <c r="C3588" s="7" t="s">
        <v>649</v>
      </c>
      <c r="E3588" s="8" t="str">
        <f>IFERROR(__xludf.DUMMYFUNCTION("SPLIT(A3588,""TX"")"),"Bischoff, Kasey
3417 Princeton Ave.
Dallas, ")</f>
        <v>Bischoff, Kasey
3417 Princeton Ave.
Dallas, </v>
      </c>
      <c r="F3588" s="8">
        <f>IFERROR(__xludf.DUMMYFUNCTION("""COMPUTED_VALUE"""),75205.0)</f>
        <v>75205</v>
      </c>
      <c r="I3588" s="8">
        <f t="shared" si="41"/>
        <v>75205</v>
      </c>
      <c r="J3588" s="9">
        <f>IFERROR(__xludf.DUMMYFUNCTION("SPLIT(I3588,""-"")"),75205.0)</f>
        <v>75205</v>
      </c>
    </row>
    <row r="3589">
      <c r="A3589" s="10" t="s">
        <v>3198</v>
      </c>
      <c r="B3589" s="11">
        <v>949.7</v>
      </c>
      <c r="C3589" s="12" t="s">
        <v>649</v>
      </c>
      <c r="E3589" s="8" t="str">
        <f>IFERROR(__xludf.DUMMYFUNCTION("SPLIT(A3589,""TX"")"),"Wingo, Paul
1227 Woodlawn Ave.
Dallas, ")</f>
        <v>Wingo, Paul
1227 Woodlawn Ave.
Dallas, </v>
      </c>
      <c r="F3589" s="8">
        <f>IFERROR(__xludf.DUMMYFUNCTION("""COMPUTED_VALUE"""),75208.0)</f>
        <v>75208</v>
      </c>
      <c r="I3589" s="8">
        <f t="shared" si="41"/>
        <v>75208</v>
      </c>
      <c r="J3589" s="9">
        <f>IFERROR(__xludf.DUMMYFUNCTION("SPLIT(I3589,""-"")"),75208.0)</f>
        <v>75208</v>
      </c>
    </row>
    <row r="3590">
      <c r="A3590" s="5" t="s">
        <v>3199</v>
      </c>
      <c r="B3590" s="6">
        <v>1000.0</v>
      </c>
      <c r="C3590" s="7" t="s">
        <v>649</v>
      </c>
      <c r="E3590" s="8" t="str">
        <f>IFERROR(__xludf.DUMMYFUNCTION("SPLIT(A3590,""TX"")"),"Evans, Roy Gene
PO Box 26251
Dallas, ")</f>
        <v>Evans, Roy Gene
PO Box 26251
Dallas, </v>
      </c>
      <c r="F3590" s="8">
        <f>IFERROR(__xludf.DUMMYFUNCTION("""COMPUTED_VALUE"""),75225.0)</f>
        <v>75225</v>
      </c>
      <c r="I3590" s="8">
        <f t="shared" si="41"/>
        <v>75225</v>
      </c>
      <c r="J3590" s="9">
        <f>IFERROR(__xludf.DUMMYFUNCTION("SPLIT(I3590,""-"")"),75225.0)</f>
        <v>75225</v>
      </c>
    </row>
    <row r="3591">
      <c r="A3591" s="10" t="s">
        <v>1485</v>
      </c>
      <c r="B3591" s="11">
        <v>150.0</v>
      </c>
      <c r="C3591" s="12" t="s">
        <v>649</v>
      </c>
      <c r="E3591" s="8" t="str">
        <f>IFERROR(__xludf.DUMMYFUNCTION("SPLIT(A3591,""TX"")"),"Culak, Chris
1223 Kings Hwy.
Dallas, ")</f>
        <v>Culak, Chris
1223 Kings Hwy.
Dallas, </v>
      </c>
      <c r="F3591" s="8">
        <f>IFERROR(__xludf.DUMMYFUNCTION("""COMPUTED_VALUE"""),75208.0)</f>
        <v>75208</v>
      </c>
      <c r="I3591" s="8">
        <f t="shared" si="41"/>
        <v>75208</v>
      </c>
      <c r="J3591" s="9">
        <f>IFERROR(__xludf.DUMMYFUNCTION("SPLIT(I3591,""-"")"),75208.0)</f>
        <v>75208</v>
      </c>
    </row>
    <row r="3592">
      <c r="A3592" s="5" t="s">
        <v>3200</v>
      </c>
      <c r="B3592" s="6">
        <v>332.2</v>
      </c>
      <c r="C3592" s="7" t="s">
        <v>649</v>
      </c>
      <c r="E3592" s="8" t="str">
        <f>IFERROR(__xludf.DUMMYFUNCTION("SPLIT(A3592,""TX"")"),"Wick, Kyle
1212 N. Oak Cliff Blvd.
Dallas, ")</f>
        <v>Wick, Kyle
1212 N. Oak Cliff Blvd.
Dallas, </v>
      </c>
      <c r="F3592" s="8">
        <f>IFERROR(__xludf.DUMMYFUNCTION("""COMPUTED_VALUE"""),75208.0)</f>
        <v>75208</v>
      </c>
      <c r="I3592" s="8">
        <f t="shared" si="41"/>
        <v>75208</v>
      </c>
      <c r="J3592" s="9">
        <f>IFERROR(__xludf.DUMMYFUNCTION("SPLIT(I3592,""-"")"),75208.0)</f>
        <v>75208</v>
      </c>
    </row>
    <row r="3593">
      <c r="A3593" s="10" t="s">
        <v>3201</v>
      </c>
      <c r="B3593" s="11">
        <v>500.0</v>
      </c>
      <c r="C3593" s="12" t="s">
        <v>649</v>
      </c>
      <c r="E3593" s="8" t="str">
        <f>IFERROR(__xludf.DUMMYFUNCTION("SPLIT(A3593,""TX"")"),"Moffett, Rebecca
934 Stevens Woods Ct.
Dallas, ")</f>
        <v>Moffett, Rebecca
934 Stevens Woods Ct.
Dallas, </v>
      </c>
      <c r="F3593" s="8">
        <f>IFERROR(__xludf.DUMMYFUNCTION("""COMPUTED_VALUE"""),75208.0)</f>
        <v>75208</v>
      </c>
      <c r="I3593" s="8">
        <f t="shared" si="41"/>
        <v>75208</v>
      </c>
      <c r="J3593" s="9">
        <f>IFERROR(__xludf.DUMMYFUNCTION("SPLIT(I3593,""-"")"),75208.0)</f>
        <v>75208</v>
      </c>
    </row>
    <row r="3594">
      <c r="A3594" s="5" t="s">
        <v>1909</v>
      </c>
      <c r="B3594" s="6">
        <v>100.0</v>
      </c>
      <c r="C3594" s="7" t="s">
        <v>649</v>
      </c>
      <c r="E3594" s="8" t="str">
        <f>IFERROR(__xludf.DUMMYFUNCTION("SPLIT(A3594,""TX"")"),"aylor, Doug
1147 N. Winnetka Ave.
Dallas, ")</f>
        <v>aylor, Doug
1147 N. Winnetka Ave.
Dallas, </v>
      </c>
      <c r="F3594" s="8">
        <f>IFERROR(__xludf.DUMMYFUNCTION("""COMPUTED_VALUE"""),75208.0)</f>
        <v>75208</v>
      </c>
      <c r="I3594" s="8">
        <f t="shared" si="41"/>
        <v>75208</v>
      </c>
      <c r="J3594" s="9">
        <f>IFERROR(__xludf.DUMMYFUNCTION("SPLIT(I3594,""-"")"),75208.0)</f>
        <v>75208</v>
      </c>
    </row>
    <row r="3595">
      <c r="A3595" s="10" t="s">
        <v>3202</v>
      </c>
      <c r="B3595" s="11">
        <v>500.0</v>
      </c>
      <c r="C3595" s="12" t="s">
        <v>649</v>
      </c>
      <c r="E3595" s="8" t="str">
        <f>IFERROR(__xludf.DUMMYFUNCTION("SPLIT(A3595,""TX"")"),"OBrien, Melissa
1524 Junior Dr.
Dallas, ")</f>
        <v>OBrien, Melissa
1524 Junior Dr.
Dallas, </v>
      </c>
      <c r="F3595" s="8">
        <f>IFERROR(__xludf.DUMMYFUNCTION("""COMPUTED_VALUE"""),75208.0)</f>
        <v>75208</v>
      </c>
      <c r="I3595" s="8">
        <f t="shared" si="41"/>
        <v>75208</v>
      </c>
      <c r="J3595" s="9">
        <f>IFERROR(__xludf.DUMMYFUNCTION("SPLIT(I3595,""-"")"),75208.0)</f>
        <v>75208</v>
      </c>
    </row>
    <row r="3596">
      <c r="A3596" s="5" t="s">
        <v>3203</v>
      </c>
      <c r="B3596" s="6">
        <v>949.7</v>
      </c>
      <c r="C3596" s="7" t="s">
        <v>649</v>
      </c>
      <c r="E3596" s="8" t="str">
        <f>IFERROR(__xludf.DUMMYFUNCTION("SPLIT(A3596,""TX"")"),"Anglin, Mike
1414 W. Colorado Blvd.
Dallas, ")</f>
        <v>Anglin, Mike
1414 W. Colorado Blvd.
Dallas, </v>
      </c>
      <c r="F3596" s="8">
        <f>IFERROR(__xludf.DUMMYFUNCTION("""COMPUTED_VALUE"""),75208.0)</f>
        <v>75208</v>
      </c>
      <c r="I3596" s="8">
        <f t="shared" si="41"/>
        <v>75208</v>
      </c>
      <c r="J3596" s="9">
        <f>IFERROR(__xludf.DUMMYFUNCTION("SPLIT(I3596,""-"")"),75208.0)</f>
        <v>75208</v>
      </c>
    </row>
    <row r="3597">
      <c r="A3597" s="10" t="s">
        <v>3204</v>
      </c>
      <c r="B3597" s="11">
        <v>949.7</v>
      </c>
      <c r="C3597" s="12" t="s">
        <v>649</v>
      </c>
      <c r="E3597" s="8" t="str">
        <f>IFERROR(__xludf.DUMMYFUNCTION("SPLIT(A3597,""TX"")"),"Abtahi, Robert
1126 N. Zang
Dallas, ")</f>
        <v>Abtahi, Robert
1126 N. Zang
Dallas, </v>
      </c>
      <c r="F3597" s="8">
        <f>IFERROR(__xludf.DUMMYFUNCTION("""COMPUTED_VALUE"""),75203.0)</f>
        <v>75203</v>
      </c>
      <c r="I3597" s="8">
        <f t="shared" si="41"/>
        <v>75203</v>
      </c>
      <c r="J3597" s="9">
        <f>IFERROR(__xludf.DUMMYFUNCTION("SPLIT(I3597,""-"")"),75203.0)</f>
        <v>75203</v>
      </c>
    </row>
    <row r="3598">
      <c r="A3598" s="14"/>
      <c r="B3598" s="15"/>
      <c r="C3598" s="16"/>
      <c r="I3598" s="8" t="str">
        <f t="shared" si="41"/>
        <v/>
      </c>
      <c r="J3598" s="9"/>
    </row>
    <row r="3599">
      <c r="A3599" s="14"/>
      <c r="B3599" s="15"/>
      <c r="C3599" s="16"/>
      <c r="I3599" s="8" t="str">
        <f t="shared" si="41"/>
        <v/>
      </c>
      <c r="J3599" s="9"/>
    </row>
    <row r="3600">
      <c r="A3600" s="14"/>
      <c r="B3600" s="15"/>
      <c r="C3600" s="16"/>
      <c r="I3600" s="8" t="str">
        <f t="shared" si="41"/>
        <v/>
      </c>
      <c r="J3600" s="9"/>
    </row>
    <row r="3601">
      <c r="A3601" s="14"/>
      <c r="B3601" s="15"/>
      <c r="C3601" s="16"/>
      <c r="I3601" s="8" t="str">
        <f t="shared" si="41"/>
        <v/>
      </c>
      <c r="J3601" s="9"/>
    </row>
    <row r="3602">
      <c r="A3602" s="14"/>
      <c r="B3602" s="15"/>
      <c r="C3602" s="16"/>
      <c r="I3602" s="8" t="str">
        <f t="shared" si="41"/>
        <v/>
      </c>
      <c r="J3602" s="9"/>
    </row>
    <row r="3603">
      <c r="A3603" s="14"/>
      <c r="B3603" s="15"/>
      <c r="C3603" s="16"/>
      <c r="I3603" s="8" t="str">
        <f t="shared" si="41"/>
        <v/>
      </c>
      <c r="J3603" s="9"/>
    </row>
    <row r="3604">
      <c r="A3604" s="14"/>
      <c r="B3604" s="15"/>
      <c r="C3604" s="16"/>
      <c r="I3604" s="8" t="str">
        <f t="shared" si="41"/>
        <v/>
      </c>
      <c r="J3604" s="9"/>
    </row>
    <row r="3605">
      <c r="A3605" s="14"/>
      <c r="B3605" s="15"/>
      <c r="C3605" s="16"/>
      <c r="I3605" s="8" t="str">
        <f t="shared" si="41"/>
        <v/>
      </c>
      <c r="J3605" s="9"/>
    </row>
    <row r="3606">
      <c r="A3606" s="14"/>
      <c r="B3606" s="15"/>
      <c r="C3606" s="16"/>
      <c r="I3606" s="8" t="str">
        <f t="shared" si="41"/>
        <v/>
      </c>
      <c r="J3606" s="9"/>
    </row>
    <row r="3607">
      <c r="A3607" s="14"/>
      <c r="B3607" s="15"/>
      <c r="C3607" s="16"/>
      <c r="I3607" s="8" t="str">
        <f t="shared" si="41"/>
        <v/>
      </c>
      <c r="J3607" s="9"/>
    </row>
    <row r="3608">
      <c r="A3608" s="14"/>
      <c r="B3608" s="15"/>
      <c r="C3608" s="16"/>
      <c r="I3608" s="8" t="str">
        <f t="shared" si="41"/>
        <v/>
      </c>
      <c r="J3608" s="9"/>
    </row>
    <row r="3609">
      <c r="A3609" s="14"/>
      <c r="B3609" s="15"/>
      <c r="C3609" s="16"/>
      <c r="I3609" s="8" t="str">
        <f t="shared" si="41"/>
        <v/>
      </c>
      <c r="J3609" s="9"/>
    </row>
    <row r="3610">
      <c r="A3610" s="14"/>
      <c r="B3610" s="15"/>
      <c r="C3610" s="16"/>
      <c r="I3610" s="8" t="str">
        <f t="shared" si="41"/>
        <v/>
      </c>
      <c r="J3610" s="9"/>
    </row>
    <row r="3611">
      <c r="A3611" s="14"/>
      <c r="B3611" s="15"/>
      <c r="C3611" s="16"/>
      <c r="I3611" s="8" t="str">
        <f t="shared" si="41"/>
        <v/>
      </c>
      <c r="J3611" s="9"/>
    </row>
    <row r="3612">
      <c r="A3612" s="14"/>
      <c r="B3612" s="15"/>
      <c r="C3612" s="16"/>
      <c r="I3612" s="8" t="str">
        <f t="shared" si="41"/>
        <v/>
      </c>
      <c r="J3612" s="9"/>
    </row>
    <row r="3613">
      <c r="A3613" s="14"/>
      <c r="B3613" s="15"/>
      <c r="C3613" s="16"/>
      <c r="I3613" s="8" t="str">
        <f t="shared" si="41"/>
        <v/>
      </c>
      <c r="J3613" s="9"/>
    </row>
    <row r="3614">
      <c r="A3614" s="14"/>
      <c r="B3614" s="15"/>
      <c r="C3614" s="16"/>
      <c r="I3614" s="8" t="str">
        <f t="shared" si="41"/>
        <v/>
      </c>
      <c r="J3614" s="9"/>
    </row>
    <row r="3615">
      <c r="A3615" s="14"/>
      <c r="B3615" s="15"/>
      <c r="C3615" s="16"/>
      <c r="I3615" s="8" t="str">
        <f t="shared" si="41"/>
        <v/>
      </c>
      <c r="J3615" s="9"/>
    </row>
    <row r="3616">
      <c r="A3616" s="14"/>
      <c r="B3616" s="15"/>
      <c r="C3616" s="16"/>
      <c r="I3616" s="8" t="str">
        <f t="shared" si="41"/>
        <v/>
      </c>
      <c r="J3616" s="9"/>
    </row>
    <row r="3617">
      <c r="A3617" s="14"/>
      <c r="B3617" s="15"/>
      <c r="C3617" s="16"/>
      <c r="I3617" s="8" t="str">
        <f t="shared" si="41"/>
        <v/>
      </c>
      <c r="J3617" s="9"/>
    </row>
    <row r="3618">
      <c r="A3618" s="14"/>
      <c r="B3618" s="15"/>
      <c r="C3618" s="16"/>
      <c r="I3618" s="8" t="str">
        <f t="shared" si="41"/>
        <v/>
      </c>
      <c r="J3618" s="9"/>
    </row>
    <row r="3619">
      <c r="A3619" s="14"/>
      <c r="B3619" s="15"/>
      <c r="C3619" s="16"/>
      <c r="I3619" s="8" t="str">
        <f t="shared" si="41"/>
        <v/>
      </c>
      <c r="J3619" s="9"/>
    </row>
    <row r="3620">
      <c r="A3620" s="14"/>
      <c r="B3620" s="15"/>
      <c r="C3620" s="16"/>
      <c r="I3620" s="8" t="str">
        <f t="shared" si="41"/>
        <v/>
      </c>
      <c r="J3620" s="9"/>
    </row>
    <row r="3621">
      <c r="A3621" s="14"/>
      <c r="B3621" s="15"/>
      <c r="C3621" s="16"/>
      <c r="I3621" s="8" t="str">
        <f t="shared" si="41"/>
        <v/>
      </c>
      <c r="J3621" s="9"/>
    </row>
    <row r="3622">
      <c r="A3622" s="14"/>
      <c r="B3622" s="15"/>
      <c r="C3622" s="16"/>
      <c r="I3622" s="8" t="str">
        <f t="shared" si="41"/>
        <v/>
      </c>
      <c r="J3622" s="9"/>
    </row>
    <row r="3623">
      <c r="A3623" s="14"/>
      <c r="B3623" s="15"/>
      <c r="C3623" s="16"/>
      <c r="I3623" s="8" t="str">
        <f t="shared" si="41"/>
        <v/>
      </c>
      <c r="J3623" s="9"/>
    </row>
    <row r="3624">
      <c r="A3624" s="14"/>
      <c r="B3624" s="15"/>
      <c r="C3624" s="16"/>
      <c r="I3624" s="8" t="str">
        <f t="shared" si="41"/>
        <v/>
      </c>
      <c r="J3624" s="9"/>
    </row>
    <row r="3625">
      <c r="A3625" s="14"/>
      <c r="B3625" s="15"/>
      <c r="C3625" s="16"/>
      <c r="I3625" s="8" t="str">
        <f t="shared" si="41"/>
        <v/>
      </c>
      <c r="J3625" s="9"/>
    </row>
    <row r="3626">
      <c r="A3626" s="14"/>
      <c r="B3626" s="15"/>
      <c r="C3626" s="16"/>
      <c r="I3626" s="8" t="str">
        <f t="shared" si="41"/>
        <v/>
      </c>
      <c r="J3626" s="9"/>
    </row>
    <row r="3627">
      <c r="A3627" s="14"/>
      <c r="B3627" s="15"/>
      <c r="C3627" s="16"/>
      <c r="I3627" s="8" t="str">
        <f t="shared" si="41"/>
        <v/>
      </c>
      <c r="J3627" s="9"/>
    </row>
    <row r="3628">
      <c r="A3628" s="14"/>
      <c r="B3628" s="15"/>
      <c r="C3628" s="16"/>
      <c r="I3628" s="8" t="str">
        <f t="shared" si="41"/>
        <v/>
      </c>
      <c r="J3628" s="9"/>
    </row>
    <row r="3629">
      <c r="A3629" s="14"/>
      <c r="B3629" s="15"/>
      <c r="C3629" s="16"/>
      <c r="J3629" s="9"/>
    </row>
    <row r="3630">
      <c r="A3630" s="14"/>
      <c r="B3630" s="15"/>
      <c r="C3630" s="16"/>
      <c r="J3630" s="9"/>
    </row>
    <row r="3631">
      <c r="A3631" s="14"/>
      <c r="B3631" s="15"/>
      <c r="C3631" s="16"/>
      <c r="J3631" s="9"/>
    </row>
    <row r="3632">
      <c r="A3632" s="14"/>
      <c r="B3632" s="15"/>
      <c r="C3632" s="16"/>
      <c r="J3632" s="9"/>
    </row>
    <row r="3633">
      <c r="A3633" s="14"/>
      <c r="B3633" s="15"/>
      <c r="C3633" s="16"/>
      <c r="J3633" s="9"/>
    </row>
    <row r="3634">
      <c r="A3634" s="14"/>
      <c r="B3634" s="15"/>
      <c r="C3634" s="16"/>
      <c r="J3634" s="9"/>
    </row>
    <row r="3635">
      <c r="A3635" s="14"/>
      <c r="B3635" s="15"/>
      <c r="C3635" s="16"/>
      <c r="J3635" s="9"/>
    </row>
    <row r="3636">
      <c r="A3636" s="14"/>
      <c r="B3636" s="15"/>
      <c r="C3636" s="16"/>
      <c r="J3636" s="9"/>
    </row>
    <row r="3637">
      <c r="A3637" s="14"/>
      <c r="B3637" s="15"/>
      <c r="C3637" s="16"/>
      <c r="J3637" s="9"/>
    </row>
    <row r="3638">
      <c r="A3638" s="14"/>
      <c r="B3638" s="15"/>
      <c r="C3638" s="16"/>
      <c r="J3638" s="9"/>
    </row>
    <row r="3639">
      <c r="A3639" s="14"/>
      <c r="B3639" s="15"/>
      <c r="C3639" s="16"/>
      <c r="J3639" s="9"/>
    </row>
    <row r="3640">
      <c r="A3640" s="14"/>
      <c r="B3640" s="15"/>
      <c r="C3640" s="16"/>
      <c r="J3640" s="9"/>
    </row>
    <row r="3641">
      <c r="A3641" s="14"/>
      <c r="B3641" s="15"/>
      <c r="C3641" s="16"/>
      <c r="J3641" s="9"/>
    </row>
    <row r="3642">
      <c r="A3642" s="14"/>
      <c r="B3642" s="15"/>
      <c r="C3642" s="16"/>
      <c r="J3642" s="9"/>
    </row>
    <row r="3643">
      <c r="A3643" s="14"/>
      <c r="B3643" s="15"/>
      <c r="C3643" s="16"/>
      <c r="J3643" s="9"/>
    </row>
    <row r="3644">
      <c r="A3644" s="14"/>
      <c r="B3644" s="15"/>
      <c r="C3644" s="16"/>
      <c r="J3644" s="9"/>
    </row>
    <row r="3645">
      <c r="A3645" s="14"/>
      <c r="B3645" s="15"/>
      <c r="C3645" s="16"/>
      <c r="J3645" s="9"/>
    </row>
    <row r="3646">
      <c r="A3646" s="14"/>
      <c r="B3646" s="15"/>
      <c r="C3646" s="16"/>
      <c r="J3646" s="9"/>
    </row>
    <row r="3647">
      <c r="A3647" s="14"/>
      <c r="B3647" s="15"/>
      <c r="C3647" s="16"/>
      <c r="J3647" s="9"/>
    </row>
    <row r="3648">
      <c r="A3648" s="14"/>
      <c r="B3648" s="15"/>
      <c r="C3648" s="16"/>
      <c r="J3648" s="9"/>
    </row>
    <row r="3649">
      <c r="A3649" s="14"/>
      <c r="B3649" s="15"/>
      <c r="C3649" s="16"/>
      <c r="J3649" s="9"/>
    </row>
    <row r="3650">
      <c r="A3650" s="14"/>
      <c r="B3650" s="15"/>
      <c r="C3650" s="16"/>
      <c r="J3650" s="9"/>
    </row>
    <row r="3651">
      <c r="A3651" s="14"/>
      <c r="B3651" s="15"/>
      <c r="C3651" s="16"/>
      <c r="J3651" s="9"/>
    </row>
    <row r="3652">
      <c r="A3652" s="14"/>
      <c r="B3652" s="15"/>
      <c r="C3652" s="16"/>
      <c r="J3652" s="9"/>
    </row>
    <row r="3653">
      <c r="A3653" s="14"/>
      <c r="B3653" s="15"/>
      <c r="C3653" s="16"/>
      <c r="J3653" s="9"/>
    </row>
    <row r="3654">
      <c r="A3654" s="14"/>
      <c r="B3654" s="15"/>
      <c r="C3654" s="16"/>
      <c r="J3654" s="9"/>
    </row>
    <row r="3655">
      <c r="A3655" s="14"/>
      <c r="B3655" s="15"/>
      <c r="C3655" s="16"/>
      <c r="J3655" s="9"/>
    </row>
    <row r="3656">
      <c r="A3656" s="14"/>
      <c r="B3656" s="15"/>
      <c r="C3656" s="16"/>
      <c r="J3656" s="9"/>
    </row>
    <row r="3657">
      <c r="A3657" s="14"/>
      <c r="B3657" s="15"/>
      <c r="C3657" s="16"/>
      <c r="J3657" s="9"/>
    </row>
    <row r="3658">
      <c r="A3658" s="14"/>
      <c r="B3658" s="15"/>
      <c r="C3658" s="16"/>
      <c r="J3658" s="9"/>
    </row>
    <row r="3659">
      <c r="A3659" s="14"/>
      <c r="B3659" s="15"/>
      <c r="C3659" s="16"/>
      <c r="J3659" s="9"/>
    </row>
    <row r="3660">
      <c r="A3660" s="14"/>
      <c r="B3660" s="15"/>
      <c r="C3660" s="16"/>
      <c r="J3660" s="9"/>
    </row>
    <row r="3661">
      <c r="A3661" s="14"/>
      <c r="B3661" s="15"/>
      <c r="C3661" s="16"/>
      <c r="J3661" s="9"/>
    </row>
    <row r="3662">
      <c r="A3662" s="14"/>
      <c r="B3662" s="15"/>
      <c r="C3662" s="16"/>
      <c r="J3662" s="9"/>
    </row>
    <row r="3663">
      <c r="A3663" s="14"/>
      <c r="B3663" s="15"/>
      <c r="C3663" s="16"/>
      <c r="J3663" s="9"/>
    </row>
    <row r="3664">
      <c r="A3664" s="14"/>
      <c r="B3664" s="15"/>
      <c r="C3664" s="16"/>
      <c r="J3664" s="9"/>
    </row>
    <row r="3665">
      <c r="A3665" s="14"/>
      <c r="B3665" s="15"/>
      <c r="C3665" s="16"/>
      <c r="J3665" s="9"/>
    </row>
    <row r="3666">
      <c r="A3666" s="14"/>
      <c r="B3666" s="15"/>
      <c r="C3666" s="16"/>
      <c r="J3666" s="9"/>
    </row>
    <row r="3667">
      <c r="A3667" s="14"/>
      <c r="B3667" s="15"/>
      <c r="C3667" s="16"/>
      <c r="J3667" s="9"/>
    </row>
    <row r="3668">
      <c r="A3668" s="14"/>
      <c r="B3668" s="15"/>
      <c r="C3668" s="16"/>
      <c r="J3668" s="9"/>
    </row>
    <row r="3669">
      <c r="A3669" s="14"/>
      <c r="B3669" s="15"/>
      <c r="C3669" s="16"/>
      <c r="J3669" s="9"/>
    </row>
    <row r="3670">
      <c r="A3670" s="14"/>
      <c r="B3670" s="15"/>
      <c r="C3670" s="16"/>
      <c r="J3670" s="9"/>
    </row>
    <row r="3671">
      <c r="A3671" s="14"/>
      <c r="B3671" s="15"/>
      <c r="C3671" s="16"/>
      <c r="J3671" s="9"/>
    </row>
    <row r="3672">
      <c r="A3672" s="14"/>
      <c r="B3672" s="15"/>
      <c r="C3672" s="16"/>
      <c r="J3672" s="9"/>
    </row>
    <row r="3673">
      <c r="A3673" s="14"/>
      <c r="B3673" s="15"/>
      <c r="C3673" s="16"/>
      <c r="J3673" s="9"/>
    </row>
    <row r="3674">
      <c r="A3674" s="14"/>
      <c r="B3674" s="15"/>
      <c r="C3674" s="16"/>
      <c r="J3674" s="9"/>
    </row>
    <row r="3675">
      <c r="A3675" s="14"/>
      <c r="B3675" s="15"/>
      <c r="C3675" s="16"/>
      <c r="J3675" s="9"/>
    </row>
    <row r="3676">
      <c r="A3676" s="14"/>
      <c r="B3676" s="15"/>
      <c r="C3676" s="16"/>
      <c r="J3676" s="9"/>
    </row>
    <row r="3677">
      <c r="A3677" s="14"/>
      <c r="B3677" s="15"/>
      <c r="C3677" s="16"/>
      <c r="J3677" s="9"/>
    </row>
    <row r="3678">
      <c r="A3678" s="14"/>
      <c r="B3678" s="15"/>
      <c r="C3678" s="16"/>
      <c r="J3678" s="9"/>
    </row>
    <row r="3679">
      <c r="A3679" s="14"/>
      <c r="B3679" s="15"/>
      <c r="C3679" s="16"/>
      <c r="J3679" s="9"/>
    </row>
    <row r="3680">
      <c r="A3680" s="14"/>
      <c r="B3680" s="15"/>
      <c r="C3680" s="16"/>
      <c r="J3680" s="9"/>
    </row>
    <row r="3681">
      <c r="A3681" s="14"/>
      <c r="B3681" s="15"/>
      <c r="C3681" s="16"/>
      <c r="J3681" s="9"/>
    </row>
    <row r="3682">
      <c r="A3682" s="14"/>
      <c r="B3682" s="15"/>
      <c r="C3682" s="16"/>
      <c r="J3682" s="9"/>
    </row>
    <row r="3683">
      <c r="A3683" s="14"/>
      <c r="B3683" s="15"/>
      <c r="C3683" s="16"/>
      <c r="J3683" s="9"/>
    </row>
    <row r="3684">
      <c r="A3684" s="14"/>
      <c r="B3684" s="15"/>
      <c r="C3684" s="16"/>
      <c r="J3684" s="9"/>
    </row>
    <row r="3685">
      <c r="A3685" s="14"/>
      <c r="B3685" s="15"/>
      <c r="C3685" s="16"/>
      <c r="J3685" s="9"/>
    </row>
    <row r="3686">
      <c r="A3686" s="14"/>
      <c r="B3686" s="15"/>
      <c r="C3686" s="16"/>
      <c r="J3686" s="9"/>
    </row>
    <row r="3687">
      <c r="A3687" s="14"/>
      <c r="B3687" s="15"/>
      <c r="C3687" s="16"/>
      <c r="J3687" s="9"/>
    </row>
    <row r="3688">
      <c r="A3688" s="14"/>
      <c r="B3688" s="15"/>
      <c r="C3688" s="16"/>
      <c r="J3688" s="9"/>
    </row>
    <row r="3689">
      <c r="A3689" s="14"/>
      <c r="B3689" s="15"/>
      <c r="C3689" s="16"/>
      <c r="J3689" s="9"/>
    </row>
    <row r="3690">
      <c r="A3690" s="14"/>
      <c r="B3690" s="15"/>
      <c r="C3690" s="16"/>
      <c r="J3690" s="9"/>
    </row>
    <row r="3691">
      <c r="A3691" s="14"/>
      <c r="B3691" s="15"/>
      <c r="C3691" s="16"/>
      <c r="J3691" s="9"/>
    </row>
    <row r="3692">
      <c r="A3692" s="14"/>
      <c r="B3692" s="15"/>
      <c r="C3692" s="16"/>
      <c r="J3692" s="9"/>
    </row>
    <row r="3693">
      <c r="A3693" s="14"/>
      <c r="B3693" s="15"/>
      <c r="C3693" s="16"/>
      <c r="J3693" s="9"/>
    </row>
    <row r="3694">
      <c r="A3694" s="14"/>
      <c r="B3694" s="15"/>
      <c r="C3694" s="16"/>
      <c r="J3694" s="9"/>
    </row>
    <row r="3695">
      <c r="A3695" s="14"/>
      <c r="B3695" s="15"/>
      <c r="C3695" s="16"/>
      <c r="J3695" s="9"/>
    </row>
    <row r="3696">
      <c r="A3696" s="14"/>
      <c r="B3696" s="15"/>
      <c r="C3696" s="16"/>
      <c r="J3696" s="9"/>
    </row>
    <row r="3697">
      <c r="A3697" s="14"/>
      <c r="B3697" s="15"/>
      <c r="C3697" s="16"/>
      <c r="J3697" s="9"/>
    </row>
    <row r="3698">
      <c r="A3698" s="14"/>
      <c r="B3698" s="15"/>
      <c r="C3698" s="16"/>
      <c r="J3698" s="9"/>
    </row>
    <row r="3699">
      <c r="A3699" s="14"/>
      <c r="B3699" s="15"/>
      <c r="C3699" s="16"/>
      <c r="J3699" s="9"/>
    </row>
    <row r="3700">
      <c r="A3700" s="14"/>
      <c r="B3700" s="15"/>
      <c r="C3700" s="16"/>
      <c r="J3700" s="9"/>
    </row>
    <row r="3701">
      <c r="A3701" s="14"/>
      <c r="B3701" s="15"/>
      <c r="C3701" s="16"/>
      <c r="J3701" s="9"/>
    </row>
    <row r="3702">
      <c r="A3702" s="14"/>
      <c r="B3702" s="15"/>
      <c r="C3702" s="16"/>
      <c r="J3702" s="9"/>
    </row>
    <row r="3703">
      <c r="A3703" s="14"/>
      <c r="B3703" s="15"/>
      <c r="C3703" s="16"/>
      <c r="J3703" s="9"/>
    </row>
    <row r="3704">
      <c r="A3704" s="14"/>
      <c r="B3704" s="15"/>
      <c r="C3704" s="16"/>
      <c r="J3704" s="9"/>
    </row>
    <row r="3705">
      <c r="A3705" s="14"/>
      <c r="B3705" s="15"/>
      <c r="C3705" s="16"/>
      <c r="J3705" s="9"/>
    </row>
    <row r="3706">
      <c r="A3706" s="14"/>
      <c r="B3706" s="15"/>
      <c r="C3706" s="16"/>
      <c r="J3706" s="9"/>
    </row>
    <row r="3707">
      <c r="A3707" s="14"/>
      <c r="B3707" s="15"/>
      <c r="C3707" s="16"/>
      <c r="J3707" s="9"/>
    </row>
    <row r="3708">
      <c r="A3708" s="14"/>
      <c r="B3708" s="15"/>
      <c r="C3708" s="16"/>
      <c r="J3708" s="9"/>
    </row>
    <row r="3709">
      <c r="A3709" s="14"/>
      <c r="B3709" s="15"/>
      <c r="C3709" s="16"/>
      <c r="J3709" s="9"/>
    </row>
    <row r="3710">
      <c r="A3710" s="14"/>
      <c r="B3710" s="15"/>
      <c r="C3710" s="16"/>
      <c r="J3710" s="9"/>
    </row>
    <row r="3711">
      <c r="A3711" s="14"/>
      <c r="B3711" s="15"/>
      <c r="C3711" s="16"/>
      <c r="J3711" s="9"/>
    </row>
    <row r="3712">
      <c r="A3712" s="14"/>
      <c r="B3712" s="15"/>
      <c r="C3712" s="16"/>
      <c r="J3712" s="9"/>
    </row>
    <row r="3713">
      <c r="A3713" s="14"/>
      <c r="B3713" s="15"/>
      <c r="C3713" s="16"/>
      <c r="J3713" s="9"/>
    </row>
    <row r="3714">
      <c r="A3714" s="14"/>
      <c r="B3714" s="15"/>
      <c r="C3714" s="16"/>
      <c r="J3714" s="9"/>
    </row>
    <row r="3715">
      <c r="A3715" s="14"/>
      <c r="B3715" s="15"/>
      <c r="C3715" s="16"/>
      <c r="J3715" s="9"/>
    </row>
    <row r="3716">
      <c r="A3716" s="14"/>
      <c r="B3716" s="15"/>
      <c r="C3716" s="16"/>
      <c r="J3716" s="9"/>
    </row>
    <row r="3717">
      <c r="A3717" s="14"/>
      <c r="B3717" s="15"/>
      <c r="C3717" s="16"/>
      <c r="J3717" s="9"/>
    </row>
    <row r="3718">
      <c r="A3718" s="14"/>
      <c r="B3718" s="15"/>
      <c r="C3718" s="16"/>
      <c r="J3718" s="9"/>
    </row>
    <row r="3719">
      <c r="A3719" s="14"/>
      <c r="B3719" s="15"/>
      <c r="C3719" s="16"/>
      <c r="J3719" s="9"/>
    </row>
    <row r="3720">
      <c r="A3720" s="14"/>
      <c r="B3720" s="15"/>
      <c r="C3720" s="16"/>
      <c r="J3720" s="9"/>
    </row>
    <row r="3721">
      <c r="A3721" s="14"/>
      <c r="B3721" s="15"/>
      <c r="C3721" s="16"/>
      <c r="J3721" s="9"/>
    </row>
    <row r="3722">
      <c r="A3722" s="14"/>
      <c r="B3722" s="15"/>
      <c r="C3722" s="16"/>
      <c r="J3722" s="9"/>
    </row>
    <row r="3723">
      <c r="A3723" s="14"/>
      <c r="B3723" s="15"/>
      <c r="C3723" s="16"/>
      <c r="J3723" s="9"/>
    </row>
    <row r="3724">
      <c r="A3724" s="14"/>
      <c r="B3724" s="15"/>
      <c r="C3724" s="16"/>
      <c r="J3724" s="9"/>
    </row>
    <row r="3725">
      <c r="A3725" s="14"/>
      <c r="B3725" s="15"/>
      <c r="C3725" s="16"/>
      <c r="J3725" s="9"/>
    </row>
    <row r="3726">
      <c r="A3726" s="14"/>
      <c r="B3726" s="15"/>
      <c r="C3726" s="16"/>
      <c r="J3726" s="9"/>
    </row>
    <row r="3727">
      <c r="A3727" s="14"/>
      <c r="B3727" s="15"/>
      <c r="C3727" s="16"/>
      <c r="J3727" s="9"/>
    </row>
    <row r="3728">
      <c r="A3728" s="14"/>
      <c r="B3728" s="15"/>
      <c r="C3728" s="16"/>
      <c r="J3728" s="9"/>
    </row>
    <row r="3729">
      <c r="A3729" s="14"/>
      <c r="B3729" s="15"/>
      <c r="C3729" s="16"/>
      <c r="J3729" s="9"/>
    </row>
    <row r="3730">
      <c r="A3730" s="14"/>
      <c r="B3730" s="15"/>
      <c r="C3730" s="16"/>
      <c r="J3730" s="9"/>
    </row>
    <row r="3731">
      <c r="A3731" s="14"/>
      <c r="B3731" s="15"/>
      <c r="C3731" s="16"/>
      <c r="J3731" s="9"/>
    </row>
    <row r="3732">
      <c r="A3732" s="14"/>
      <c r="B3732" s="15"/>
      <c r="C3732" s="16"/>
      <c r="J3732" s="9"/>
    </row>
    <row r="3733">
      <c r="A3733" s="14"/>
      <c r="B3733" s="15"/>
      <c r="C3733" s="16"/>
      <c r="J3733" s="9"/>
    </row>
    <row r="3734">
      <c r="A3734" s="14"/>
      <c r="B3734" s="15"/>
      <c r="C3734" s="16"/>
      <c r="J3734" s="9"/>
    </row>
    <row r="3735">
      <c r="A3735" s="14"/>
      <c r="B3735" s="15"/>
      <c r="C3735" s="16"/>
      <c r="J3735" s="9"/>
    </row>
    <row r="3736">
      <c r="A3736" s="14"/>
      <c r="B3736" s="15"/>
      <c r="C3736" s="16"/>
      <c r="J3736" s="9"/>
    </row>
    <row r="3737">
      <c r="A3737" s="14"/>
      <c r="B3737" s="15"/>
      <c r="C3737" s="16"/>
      <c r="J3737" s="9"/>
    </row>
    <row r="3738">
      <c r="A3738" s="14"/>
      <c r="B3738" s="15"/>
      <c r="C3738" s="16"/>
      <c r="J3738" s="9"/>
    </row>
    <row r="3739">
      <c r="A3739" s="14"/>
      <c r="B3739" s="15"/>
      <c r="C3739" s="16"/>
      <c r="J3739" s="9"/>
    </row>
    <row r="3740">
      <c r="A3740" s="14"/>
      <c r="B3740" s="15"/>
      <c r="C3740" s="16"/>
      <c r="J3740" s="9"/>
    </row>
    <row r="3741">
      <c r="A3741" s="14"/>
      <c r="B3741" s="15"/>
      <c r="C3741" s="16"/>
      <c r="J3741" s="9"/>
    </row>
    <row r="3742">
      <c r="A3742" s="14"/>
      <c r="B3742" s="15"/>
      <c r="C3742" s="16"/>
      <c r="J3742" s="9"/>
    </row>
    <row r="3743">
      <c r="A3743" s="14"/>
      <c r="B3743" s="15"/>
      <c r="C3743" s="16"/>
      <c r="J3743" s="9"/>
    </row>
    <row r="3744">
      <c r="A3744" s="14"/>
      <c r="B3744" s="15"/>
      <c r="C3744" s="16"/>
      <c r="J3744" s="9"/>
    </row>
    <row r="3745">
      <c r="A3745" s="14"/>
      <c r="B3745" s="15"/>
      <c r="C3745" s="16"/>
      <c r="J3745" s="9"/>
    </row>
    <row r="3746">
      <c r="A3746" s="14"/>
      <c r="B3746" s="15"/>
      <c r="C3746" s="16"/>
      <c r="J3746" s="9"/>
    </row>
    <row r="3747">
      <c r="A3747" s="14"/>
      <c r="B3747" s="15"/>
      <c r="C3747" s="16"/>
      <c r="J3747" s="9"/>
    </row>
    <row r="3748">
      <c r="A3748" s="14"/>
      <c r="B3748" s="15"/>
      <c r="C3748" s="16"/>
      <c r="J3748" s="9"/>
    </row>
    <row r="3749">
      <c r="A3749" s="14"/>
      <c r="B3749" s="15"/>
      <c r="C3749" s="16"/>
      <c r="J3749" s="9"/>
    </row>
    <row r="3750">
      <c r="A3750" s="14"/>
      <c r="B3750" s="15"/>
      <c r="C3750" s="16"/>
      <c r="J3750" s="9"/>
    </row>
    <row r="3751">
      <c r="A3751" s="14"/>
      <c r="B3751" s="15"/>
      <c r="C3751" s="16"/>
      <c r="J3751" s="9"/>
    </row>
    <row r="3752">
      <c r="A3752" s="14"/>
      <c r="B3752" s="15"/>
      <c r="C3752" s="16"/>
      <c r="J3752" s="9"/>
    </row>
    <row r="3753">
      <c r="A3753" s="14"/>
      <c r="B3753" s="15"/>
      <c r="C3753" s="16"/>
      <c r="J3753" s="9"/>
    </row>
    <row r="3754">
      <c r="A3754" s="14"/>
      <c r="B3754" s="15"/>
      <c r="C3754" s="16"/>
      <c r="J3754" s="9"/>
    </row>
    <row r="3755">
      <c r="A3755" s="14"/>
      <c r="B3755" s="15"/>
      <c r="C3755" s="16"/>
      <c r="J3755" s="9"/>
    </row>
    <row r="3756">
      <c r="A3756" s="14"/>
      <c r="B3756" s="15"/>
      <c r="C3756" s="16"/>
      <c r="J3756" s="9"/>
    </row>
    <row r="3757">
      <c r="A3757" s="14"/>
      <c r="B3757" s="15"/>
      <c r="C3757" s="16"/>
      <c r="J3757" s="9"/>
    </row>
    <row r="3758">
      <c r="A3758" s="14"/>
      <c r="B3758" s="15"/>
      <c r="C3758" s="16"/>
      <c r="J3758" s="9"/>
    </row>
    <row r="3759">
      <c r="A3759" s="14"/>
      <c r="B3759" s="15"/>
      <c r="C3759" s="16"/>
      <c r="J3759" s="9"/>
    </row>
    <row r="3760">
      <c r="A3760" s="14"/>
      <c r="B3760" s="15"/>
      <c r="C3760" s="16"/>
      <c r="J3760" s="9"/>
    </row>
    <row r="3761">
      <c r="A3761" s="14"/>
      <c r="B3761" s="15"/>
      <c r="C3761" s="16"/>
      <c r="J3761" s="9"/>
    </row>
    <row r="3762">
      <c r="A3762" s="14"/>
      <c r="B3762" s="15"/>
      <c r="C3762" s="16"/>
      <c r="J3762" s="9"/>
    </row>
    <row r="3763">
      <c r="A3763" s="14"/>
      <c r="B3763" s="15"/>
      <c r="C3763" s="16"/>
      <c r="J3763" s="9"/>
    </row>
    <row r="3764">
      <c r="A3764" s="14"/>
      <c r="B3764" s="15"/>
      <c r="C3764" s="16"/>
      <c r="J3764" s="9"/>
    </row>
    <row r="3765">
      <c r="A3765" s="14"/>
      <c r="B3765" s="15"/>
      <c r="C3765" s="16"/>
      <c r="J3765" s="9"/>
    </row>
    <row r="3766">
      <c r="A3766" s="14"/>
      <c r="B3766" s="15"/>
      <c r="C3766" s="16"/>
      <c r="J3766" s="9"/>
    </row>
    <row r="3767">
      <c r="A3767" s="14"/>
      <c r="B3767" s="15"/>
      <c r="C3767" s="16"/>
      <c r="J3767" s="9"/>
    </row>
    <row r="3768">
      <c r="A3768" s="14"/>
      <c r="B3768" s="15"/>
      <c r="C3768" s="16"/>
      <c r="J3768" s="9"/>
    </row>
    <row r="3769">
      <c r="A3769" s="14"/>
      <c r="B3769" s="15"/>
      <c r="C3769" s="16"/>
      <c r="J3769" s="9"/>
    </row>
    <row r="3770">
      <c r="A3770" s="14"/>
      <c r="B3770" s="15"/>
      <c r="C3770" s="16"/>
      <c r="J3770" s="9"/>
    </row>
    <row r="3771">
      <c r="A3771" s="14"/>
      <c r="B3771" s="15"/>
      <c r="C3771" s="16"/>
      <c r="J3771" s="9"/>
    </row>
    <row r="3772">
      <c r="A3772" s="14"/>
      <c r="B3772" s="15"/>
      <c r="C3772" s="16"/>
      <c r="J3772" s="9"/>
    </row>
    <row r="3773">
      <c r="A3773" s="14"/>
      <c r="B3773" s="15"/>
      <c r="C3773" s="16"/>
      <c r="J3773" s="9"/>
    </row>
    <row r="3774">
      <c r="A3774" s="14"/>
      <c r="B3774" s="15"/>
      <c r="C3774" s="16"/>
      <c r="J3774" s="9"/>
    </row>
    <row r="3775">
      <c r="A3775" s="14"/>
      <c r="B3775" s="15"/>
      <c r="C3775" s="16"/>
      <c r="J3775" s="9"/>
    </row>
    <row r="3776">
      <c r="A3776" s="14"/>
      <c r="B3776" s="15"/>
      <c r="C3776" s="16"/>
      <c r="J3776" s="9"/>
    </row>
    <row r="3777">
      <c r="A3777" s="14"/>
      <c r="B3777" s="15"/>
      <c r="C3777" s="16"/>
      <c r="J3777" s="9"/>
    </row>
    <row r="3778">
      <c r="A3778" s="14"/>
      <c r="B3778" s="15"/>
      <c r="C3778" s="16"/>
      <c r="J3778" s="9"/>
    </row>
    <row r="3779">
      <c r="A3779" s="14"/>
      <c r="B3779" s="15"/>
      <c r="C3779" s="16"/>
      <c r="J3779" s="9"/>
    </row>
    <row r="3780">
      <c r="A3780" s="14"/>
      <c r="B3780" s="15"/>
      <c r="C3780" s="16"/>
      <c r="J3780" s="9"/>
    </row>
    <row r="3781">
      <c r="A3781" s="14"/>
      <c r="B3781" s="15"/>
      <c r="C3781" s="16"/>
      <c r="J3781" s="9"/>
    </row>
    <row r="3782">
      <c r="A3782" s="14"/>
      <c r="B3782" s="15"/>
      <c r="C3782" s="16"/>
      <c r="J3782" s="9"/>
    </row>
    <row r="3783">
      <c r="A3783" s="14"/>
      <c r="B3783" s="15"/>
      <c r="C3783" s="16"/>
      <c r="J3783" s="9"/>
    </row>
    <row r="3784">
      <c r="A3784" s="14"/>
      <c r="B3784" s="15"/>
      <c r="C3784" s="16"/>
      <c r="J3784" s="9"/>
    </row>
    <row r="3785">
      <c r="A3785" s="14"/>
      <c r="B3785" s="15"/>
      <c r="C3785" s="16"/>
      <c r="J3785" s="9"/>
    </row>
    <row r="3786">
      <c r="A3786" s="14"/>
      <c r="B3786" s="15"/>
      <c r="C3786" s="16"/>
      <c r="J3786" s="9"/>
    </row>
    <row r="3787">
      <c r="A3787" s="14"/>
      <c r="B3787" s="15"/>
      <c r="C3787" s="16"/>
      <c r="J3787" s="9"/>
    </row>
    <row r="3788">
      <c r="A3788" s="14"/>
      <c r="B3788" s="15"/>
      <c r="C3788" s="16"/>
      <c r="J3788" s="9"/>
    </row>
    <row r="3789">
      <c r="A3789" s="14"/>
      <c r="B3789" s="15"/>
      <c r="C3789" s="16"/>
      <c r="J3789" s="9"/>
    </row>
    <row r="3790">
      <c r="A3790" s="14"/>
      <c r="B3790" s="15"/>
      <c r="C3790" s="16"/>
      <c r="J3790" s="9"/>
    </row>
    <row r="3791">
      <c r="A3791" s="14"/>
      <c r="B3791" s="15"/>
      <c r="C3791" s="16"/>
      <c r="J3791" s="9"/>
    </row>
    <row r="3792">
      <c r="A3792" s="14"/>
      <c r="B3792" s="15"/>
      <c r="C3792" s="16"/>
      <c r="J3792" s="9"/>
    </row>
    <row r="3793">
      <c r="A3793" s="14"/>
      <c r="B3793" s="15"/>
      <c r="C3793" s="16"/>
      <c r="J3793" s="9"/>
    </row>
    <row r="3794">
      <c r="A3794" s="14"/>
      <c r="B3794" s="15"/>
      <c r="C3794" s="16"/>
      <c r="J3794" s="9"/>
    </row>
    <row r="3795">
      <c r="A3795" s="14"/>
      <c r="B3795" s="15"/>
      <c r="C3795" s="16"/>
      <c r="J3795" s="9"/>
    </row>
    <row r="3796">
      <c r="A3796" s="14"/>
      <c r="B3796" s="15"/>
      <c r="C3796" s="16"/>
      <c r="J3796" s="9"/>
    </row>
    <row r="3797">
      <c r="A3797" s="14"/>
      <c r="B3797" s="15"/>
      <c r="C3797" s="16"/>
      <c r="J3797" s="9"/>
    </row>
    <row r="3798">
      <c r="A3798" s="14"/>
      <c r="B3798" s="15"/>
      <c r="C3798" s="16"/>
      <c r="J3798" s="9"/>
    </row>
    <row r="3799">
      <c r="A3799" s="14"/>
      <c r="B3799" s="15"/>
      <c r="C3799" s="16"/>
      <c r="J3799" s="9"/>
    </row>
    <row r="3800">
      <c r="A3800" s="14"/>
      <c r="B3800" s="15"/>
      <c r="C3800" s="16"/>
      <c r="J3800" s="9"/>
    </row>
    <row r="3801">
      <c r="A3801" s="14"/>
      <c r="B3801" s="15"/>
      <c r="C3801" s="16"/>
      <c r="J3801" s="9"/>
    </row>
    <row r="3802">
      <c r="A3802" s="14"/>
      <c r="B3802" s="15"/>
      <c r="C3802" s="16"/>
      <c r="J3802" s="9"/>
    </row>
    <row r="3803">
      <c r="A3803" s="14"/>
      <c r="B3803" s="15"/>
      <c r="C3803" s="16"/>
      <c r="J3803" s="9"/>
    </row>
    <row r="3804">
      <c r="A3804" s="14"/>
      <c r="B3804" s="15"/>
      <c r="C3804" s="16"/>
      <c r="J3804" s="9"/>
    </row>
    <row r="3805">
      <c r="A3805" s="14"/>
      <c r="B3805" s="15"/>
      <c r="C3805" s="16"/>
      <c r="J3805" s="9"/>
    </row>
    <row r="3806">
      <c r="A3806" s="14"/>
      <c r="B3806" s="15"/>
      <c r="C3806" s="16"/>
      <c r="J3806" s="9"/>
    </row>
    <row r="3807">
      <c r="A3807" s="14"/>
      <c r="B3807" s="15"/>
      <c r="C3807" s="16"/>
      <c r="J3807" s="9"/>
    </row>
    <row r="3808">
      <c r="A3808" s="14"/>
      <c r="B3808" s="15"/>
      <c r="C3808" s="16"/>
      <c r="J3808" s="9"/>
    </row>
    <row r="3809">
      <c r="A3809" s="14"/>
      <c r="B3809" s="15"/>
      <c r="C3809" s="16"/>
      <c r="J3809" s="9"/>
    </row>
    <row r="3810">
      <c r="A3810" s="14"/>
      <c r="B3810" s="15"/>
      <c r="C3810" s="16"/>
      <c r="J3810" s="9"/>
    </row>
    <row r="3811">
      <c r="A3811" s="14"/>
      <c r="B3811" s="15"/>
      <c r="C3811" s="16"/>
      <c r="J3811" s="9"/>
    </row>
    <row r="3812">
      <c r="A3812" s="14"/>
      <c r="B3812" s="15"/>
      <c r="C3812" s="16"/>
      <c r="J3812" s="9"/>
    </row>
    <row r="3813">
      <c r="A3813" s="14"/>
      <c r="B3813" s="15"/>
      <c r="C3813" s="16"/>
      <c r="J3813" s="9"/>
    </row>
    <row r="3814">
      <c r="A3814" s="14"/>
      <c r="B3814" s="15"/>
      <c r="C3814" s="16"/>
      <c r="J3814" s="9"/>
    </row>
    <row r="3815">
      <c r="A3815" s="14"/>
      <c r="B3815" s="15"/>
      <c r="C3815" s="16"/>
      <c r="J3815" s="9"/>
    </row>
    <row r="3816">
      <c r="A3816" s="14"/>
      <c r="B3816" s="15"/>
      <c r="C3816" s="16"/>
      <c r="J3816" s="9"/>
    </row>
    <row r="3817">
      <c r="A3817" s="14"/>
      <c r="B3817" s="15"/>
      <c r="C3817" s="16"/>
      <c r="J3817" s="9"/>
    </row>
    <row r="3818">
      <c r="A3818" s="14"/>
      <c r="B3818" s="15"/>
      <c r="C3818" s="16"/>
      <c r="J3818" s="9"/>
    </row>
    <row r="3819">
      <c r="A3819" s="14"/>
      <c r="B3819" s="15"/>
      <c r="C3819" s="16"/>
      <c r="J3819" s="9"/>
    </row>
    <row r="3820">
      <c r="A3820" s="14"/>
      <c r="B3820" s="15"/>
      <c r="C3820" s="16"/>
      <c r="J3820" s="9"/>
    </row>
    <row r="3821">
      <c r="A3821" s="14"/>
      <c r="B3821" s="15"/>
      <c r="C3821" s="16"/>
      <c r="J3821" s="9"/>
    </row>
    <row r="3822">
      <c r="A3822" s="14"/>
      <c r="B3822" s="15"/>
      <c r="C3822" s="16"/>
      <c r="J3822" s="9"/>
    </row>
    <row r="3823">
      <c r="A3823" s="14"/>
      <c r="B3823" s="15"/>
      <c r="C3823" s="16"/>
      <c r="J3823" s="9"/>
    </row>
    <row r="3824">
      <c r="A3824" s="14"/>
      <c r="B3824" s="15"/>
      <c r="C3824" s="16"/>
      <c r="J3824" s="9"/>
    </row>
    <row r="3825">
      <c r="A3825" s="14"/>
      <c r="B3825" s="15"/>
      <c r="C3825" s="16"/>
      <c r="J3825" s="9"/>
    </row>
    <row r="3826">
      <c r="A3826" s="14"/>
      <c r="B3826" s="15"/>
      <c r="C3826" s="16"/>
      <c r="J3826" s="9"/>
    </row>
    <row r="3827">
      <c r="A3827" s="14"/>
      <c r="B3827" s="15"/>
      <c r="C3827" s="16"/>
      <c r="J3827" s="9"/>
    </row>
    <row r="3828">
      <c r="A3828" s="14"/>
      <c r="B3828" s="15"/>
      <c r="C3828" s="16"/>
      <c r="J3828" s="9"/>
    </row>
    <row r="3829">
      <c r="A3829" s="14"/>
      <c r="B3829" s="15"/>
      <c r="C3829" s="16"/>
      <c r="J3829" s="9"/>
    </row>
    <row r="3830">
      <c r="A3830" s="14"/>
      <c r="B3830" s="15"/>
      <c r="C3830" s="16"/>
      <c r="J3830" s="9"/>
    </row>
    <row r="3831">
      <c r="A3831" s="14"/>
      <c r="B3831" s="15"/>
      <c r="C3831" s="16"/>
      <c r="J3831" s="9"/>
    </row>
    <row r="3832">
      <c r="A3832" s="14"/>
      <c r="B3832" s="15"/>
      <c r="C3832" s="16"/>
      <c r="J3832" s="9"/>
    </row>
    <row r="3833">
      <c r="A3833" s="14"/>
      <c r="B3833" s="15"/>
      <c r="C3833" s="16"/>
      <c r="J3833" s="9"/>
    </row>
    <row r="3834">
      <c r="A3834" s="14"/>
      <c r="B3834" s="15"/>
      <c r="C3834" s="16"/>
      <c r="J3834" s="9"/>
    </row>
    <row r="3835">
      <c r="A3835" s="14"/>
      <c r="B3835" s="15"/>
      <c r="C3835" s="16"/>
      <c r="J3835" s="9"/>
    </row>
    <row r="3836">
      <c r="A3836" s="14"/>
      <c r="B3836" s="15"/>
      <c r="C3836" s="16"/>
      <c r="J3836" s="9"/>
    </row>
    <row r="3837">
      <c r="A3837" s="14"/>
      <c r="B3837" s="15"/>
      <c r="C3837" s="16"/>
      <c r="J3837" s="9"/>
    </row>
    <row r="3838">
      <c r="A3838" s="14"/>
      <c r="B3838" s="15"/>
      <c r="C3838" s="16"/>
      <c r="J3838" s="9"/>
    </row>
    <row r="3839">
      <c r="A3839" s="14"/>
      <c r="B3839" s="15"/>
      <c r="C3839" s="16"/>
      <c r="J3839" s="9"/>
    </row>
    <row r="3840">
      <c r="A3840" s="14"/>
      <c r="B3840" s="15"/>
      <c r="C3840" s="16"/>
      <c r="J3840" s="9"/>
    </row>
    <row r="3841">
      <c r="A3841" s="14"/>
      <c r="B3841" s="15"/>
      <c r="C3841" s="16"/>
      <c r="J3841" s="9"/>
    </row>
    <row r="3842">
      <c r="A3842" s="14"/>
      <c r="B3842" s="15"/>
      <c r="C3842" s="16"/>
      <c r="J3842" s="9"/>
    </row>
    <row r="3843">
      <c r="A3843" s="14"/>
      <c r="B3843" s="15"/>
      <c r="C3843" s="16"/>
      <c r="J3843" s="9"/>
    </row>
    <row r="3844">
      <c r="A3844" s="14"/>
      <c r="B3844" s="15"/>
      <c r="C3844" s="16"/>
      <c r="J3844" s="9"/>
    </row>
    <row r="3845">
      <c r="A3845" s="14"/>
      <c r="B3845" s="15"/>
      <c r="C3845" s="16"/>
      <c r="J3845" s="9"/>
    </row>
    <row r="3846">
      <c r="A3846" s="14"/>
      <c r="B3846" s="15"/>
      <c r="C3846" s="16"/>
      <c r="J3846" s="9"/>
    </row>
    <row r="3847">
      <c r="A3847" s="14"/>
      <c r="B3847" s="15"/>
      <c r="C3847" s="16"/>
      <c r="J3847" s="9"/>
    </row>
    <row r="3848">
      <c r="A3848" s="14"/>
      <c r="B3848" s="15"/>
      <c r="C3848" s="16"/>
      <c r="J3848" s="9"/>
    </row>
    <row r="3849">
      <c r="A3849" s="14"/>
      <c r="B3849" s="15"/>
      <c r="C3849" s="16"/>
      <c r="J3849" s="9"/>
    </row>
    <row r="3850">
      <c r="A3850" s="14"/>
      <c r="B3850" s="15"/>
      <c r="C3850" s="16"/>
      <c r="J3850" s="9"/>
    </row>
    <row r="3851">
      <c r="A3851" s="14"/>
      <c r="B3851" s="15"/>
      <c r="C3851" s="16"/>
      <c r="J3851" s="9"/>
    </row>
    <row r="3852">
      <c r="A3852" s="14"/>
      <c r="B3852" s="15"/>
      <c r="C3852" s="16"/>
      <c r="J3852" s="9"/>
    </row>
    <row r="3853">
      <c r="A3853" s="14"/>
      <c r="B3853" s="15"/>
      <c r="C3853" s="16"/>
      <c r="J3853" s="9"/>
    </row>
    <row r="3854">
      <c r="A3854" s="14"/>
      <c r="B3854" s="15"/>
      <c r="C3854" s="16"/>
      <c r="J3854" s="9"/>
    </row>
    <row r="3855">
      <c r="A3855" s="14"/>
      <c r="B3855" s="15"/>
      <c r="C3855" s="16"/>
      <c r="J3855" s="9"/>
    </row>
    <row r="3856">
      <c r="A3856" s="14"/>
      <c r="B3856" s="15"/>
      <c r="C3856" s="16"/>
      <c r="J3856" s="9"/>
    </row>
    <row r="3857">
      <c r="A3857" s="14"/>
      <c r="B3857" s="15"/>
      <c r="C3857" s="16"/>
      <c r="J3857" s="9"/>
    </row>
    <row r="3858">
      <c r="A3858" s="14"/>
      <c r="B3858" s="15"/>
      <c r="C3858" s="16"/>
      <c r="J3858" s="9"/>
    </row>
    <row r="3859">
      <c r="A3859" s="14"/>
      <c r="B3859" s="15"/>
      <c r="C3859" s="16"/>
      <c r="J3859" s="9"/>
    </row>
    <row r="3860">
      <c r="A3860" s="14"/>
      <c r="B3860" s="15"/>
      <c r="C3860" s="16"/>
      <c r="J3860" s="9"/>
    </row>
    <row r="3861">
      <c r="A3861" s="14"/>
      <c r="B3861" s="15"/>
      <c r="C3861" s="16"/>
      <c r="J3861" s="9"/>
    </row>
    <row r="3862">
      <c r="A3862" s="14"/>
      <c r="B3862" s="15"/>
      <c r="C3862" s="16"/>
      <c r="J3862" s="9"/>
    </row>
    <row r="3863">
      <c r="A3863" s="14"/>
      <c r="B3863" s="15"/>
      <c r="C3863" s="16"/>
      <c r="J3863" s="9"/>
    </row>
    <row r="3864">
      <c r="A3864" s="14"/>
      <c r="B3864" s="15"/>
      <c r="C3864" s="16"/>
      <c r="J3864" s="9"/>
    </row>
    <row r="3865">
      <c r="A3865" s="14"/>
      <c r="B3865" s="15"/>
      <c r="C3865" s="16"/>
      <c r="J3865" s="9"/>
    </row>
    <row r="3866">
      <c r="A3866" s="14"/>
      <c r="B3866" s="15"/>
      <c r="C3866" s="16"/>
      <c r="J3866" s="9"/>
    </row>
    <row r="3867">
      <c r="A3867" s="14"/>
      <c r="B3867" s="15"/>
      <c r="C3867" s="16"/>
      <c r="J3867" s="9"/>
    </row>
    <row r="3868">
      <c r="A3868" s="14"/>
      <c r="B3868" s="15"/>
      <c r="C3868" s="16"/>
      <c r="J3868" s="9"/>
    </row>
    <row r="3869">
      <c r="A3869" s="14"/>
      <c r="B3869" s="15"/>
      <c r="C3869" s="16"/>
      <c r="J3869" s="9"/>
    </row>
    <row r="3870">
      <c r="A3870" s="14"/>
      <c r="B3870" s="15"/>
      <c r="C3870" s="16"/>
      <c r="J3870" s="9"/>
    </row>
    <row r="3871">
      <c r="A3871" s="14"/>
      <c r="B3871" s="15"/>
      <c r="C3871" s="16"/>
      <c r="J3871" s="9"/>
    </row>
    <row r="3872">
      <c r="A3872" s="14"/>
      <c r="B3872" s="15"/>
      <c r="C3872" s="16"/>
      <c r="J3872" s="9"/>
    </row>
    <row r="3873">
      <c r="A3873" s="14"/>
      <c r="B3873" s="15"/>
      <c r="C3873" s="16"/>
      <c r="J3873" s="9"/>
    </row>
    <row r="3874">
      <c r="A3874" s="14"/>
      <c r="B3874" s="15"/>
      <c r="C3874" s="16"/>
      <c r="J3874" s="9"/>
    </row>
    <row r="3875">
      <c r="A3875" s="14"/>
      <c r="B3875" s="15"/>
      <c r="C3875" s="16"/>
      <c r="J3875" s="9"/>
    </row>
    <row r="3876">
      <c r="A3876" s="14"/>
      <c r="B3876" s="15"/>
      <c r="C3876" s="16"/>
      <c r="J3876" s="9"/>
    </row>
    <row r="3877">
      <c r="A3877" s="14"/>
      <c r="B3877" s="15"/>
      <c r="C3877" s="16"/>
      <c r="J3877" s="9"/>
    </row>
    <row r="3878">
      <c r="A3878" s="14"/>
      <c r="B3878" s="15"/>
      <c r="C3878" s="16"/>
      <c r="J3878" s="9"/>
    </row>
    <row r="3879">
      <c r="A3879" s="14"/>
      <c r="B3879" s="15"/>
      <c r="C3879" s="16"/>
      <c r="J3879" s="9"/>
    </row>
    <row r="3880">
      <c r="A3880" s="14"/>
      <c r="B3880" s="15"/>
      <c r="C3880" s="16"/>
      <c r="J3880" s="9"/>
    </row>
    <row r="3881">
      <c r="A3881" s="14"/>
      <c r="B3881" s="15"/>
      <c r="C3881" s="16"/>
      <c r="J3881" s="9"/>
    </row>
    <row r="3882">
      <c r="A3882" s="14"/>
      <c r="B3882" s="15"/>
      <c r="C3882" s="16"/>
      <c r="J3882" s="9"/>
    </row>
    <row r="3883">
      <c r="A3883" s="14"/>
      <c r="B3883" s="15"/>
      <c r="C3883" s="16"/>
      <c r="J3883" s="9"/>
    </row>
    <row r="3884">
      <c r="A3884" s="14"/>
      <c r="B3884" s="15"/>
      <c r="C3884" s="16"/>
      <c r="J3884" s="9"/>
    </row>
    <row r="3885">
      <c r="A3885" s="14"/>
      <c r="B3885" s="15"/>
      <c r="C3885" s="16"/>
      <c r="J3885" s="9"/>
    </row>
    <row r="3886">
      <c r="A3886" s="14"/>
      <c r="B3886" s="15"/>
      <c r="C3886" s="16"/>
      <c r="J3886" s="9"/>
    </row>
    <row r="3887">
      <c r="A3887" s="14"/>
      <c r="B3887" s="15"/>
      <c r="C3887" s="16"/>
      <c r="J3887" s="9"/>
    </row>
    <row r="3888">
      <c r="A3888" s="14"/>
      <c r="B3888" s="15"/>
      <c r="C3888" s="16"/>
      <c r="J3888" s="9"/>
    </row>
    <row r="3889">
      <c r="A3889" s="14"/>
      <c r="B3889" s="15"/>
      <c r="C3889" s="16"/>
      <c r="J3889" s="9"/>
    </row>
    <row r="3890">
      <c r="A3890" s="14"/>
      <c r="B3890" s="15"/>
      <c r="C3890" s="16"/>
      <c r="J3890" s="9"/>
    </row>
    <row r="3891">
      <c r="A3891" s="14"/>
      <c r="B3891" s="15"/>
      <c r="C3891" s="16"/>
      <c r="J3891" s="9"/>
    </row>
    <row r="3892">
      <c r="A3892" s="14"/>
      <c r="B3892" s="15"/>
      <c r="C3892" s="16"/>
      <c r="J3892" s="9"/>
    </row>
    <row r="3893">
      <c r="A3893" s="14"/>
      <c r="B3893" s="15"/>
      <c r="C3893" s="16"/>
      <c r="J3893" s="9"/>
    </row>
    <row r="3894">
      <c r="A3894" s="14"/>
      <c r="B3894" s="15"/>
      <c r="C3894" s="16"/>
      <c r="J3894" s="9"/>
    </row>
    <row r="3895">
      <c r="A3895" s="14"/>
      <c r="B3895" s="15"/>
      <c r="C3895" s="16"/>
      <c r="J3895" s="9"/>
    </row>
    <row r="3896">
      <c r="A3896" s="14"/>
      <c r="B3896" s="15"/>
      <c r="C3896" s="16"/>
      <c r="J3896" s="9"/>
    </row>
    <row r="3897">
      <c r="A3897" s="14"/>
      <c r="B3897" s="15"/>
      <c r="C3897" s="16"/>
      <c r="J3897" s="9"/>
    </row>
    <row r="3898">
      <c r="A3898" s="14"/>
      <c r="B3898" s="15"/>
      <c r="C3898" s="16"/>
      <c r="J3898" s="9"/>
    </row>
    <row r="3899">
      <c r="A3899" s="14"/>
      <c r="B3899" s="15"/>
      <c r="C3899" s="16"/>
      <c r="J3899" s="9"/>
    </row>
    <row r="3900">
      <c r="A3900" s="14"/>
      <c r="B3900" s="15"/>
      <c r="C3900" s="16"/>
      <c r="J3900" s="9"/>
    </row>
    <row r="3901">
      <c r="A3901" s="14"/>
      <c r="B3901" s="15"/>
      <c r="C3901" s="16"/>
      <c r="J3901" s="9"/>
    </row>
    <row r="3902">
      <c r="A3902" s="14"/>
      <c r="B3902" s="15"/>
      <c r="C3902" s="16"/>
      <c r="J3902" s="9"/>
    </row>
    <row r="3903">
      <c r="A3903" s="14"/>
      <c r="B3903" s="15"/>
      <c r="C3903" s="16"/>
      <c r="J3903" s="9"/>
    </row>
    <row r="3904">
      <c r="A3904" s="14"/>
      <c r="B3904" s="15"/>
      <c r="C3904" s="16"/>
      <c r="J3904" s="9"/>
    </row>
    <row r="3905">
      <c r="A3905" s="14"/>
      <c r="B3905" s="15"/>
      <c r="C3905" s="16"/>
      <c r="J3905" s="9"/>
    </row>
    <row r="3906">
      <c r="A3906" s="14"/>
      <c r="B3906" s="15"/>
      <c r="C3906" s="16"/>
      <c r="J3906" s="9"/>
    </row>
    <row r="3907">
      <c r="A3907" s="14"/>
      <c r="B3907" s="15"/>
      <c r="C3907" s="16"/>
      <c r="J3907" s="9"/>
    </row>
    <row r="3908">
      <c r="A3908" s="14"/>
      <c r="B3908" s="15"/>
      <c r="C3908" s="16"/>
      <c r="J3908" s="9"/>
    </row>
    <row r="3909">
      <c r="A3909" s="14"/>
      <c r="B3909" s="15"/>
      <c r="C3909" s="16"/>
      <c r="J3909" s="9"/>
    </row>
    <row r="3910">
      <c r="A3910" s="14"/>
      <c r="B3910" s="15"/>
      <c r="C3910" s="16"/>
      <c r="J3910" s="9"/>
    </row>
    <row r="3911">
      <c r="A3911" s="14"/>
      <c r="B3911" s="15"/>
      <c r="C3911" s="16"/>
      <c r="J3911" s="9"/>
    </row>
    <row r="3912">
      <c r="A3912" s="14"/>
      <c r="B3912" s="15"/>
      <c r="C3912" s="16"/>
      <c r="J3912" s="9"/>
    </row>
    <row r="3913">
      <c r="A3913" s="14"/>
      <c r="B3913" s="15"/>
      <c r="C3913" s="16"/>
      <c r="J3913" s="9"/>
    </row>
    <row r="3914">
      <c r="A3914" s="14"/>
      <c r="B3914" s="15"/>
      <c r="C3914" s="16"/>
      <c r="J3914" s="9"/>
    </row>
    <row r="3915">
      <c r="A3915" s="14"/>
      <c r="B3915" s="15"/>
      <c r="C3915" s="16"/>
      <c r="J3915" s="9"/>
    </row>
    <row r="3916">
      <c r="A3916" s="14"/>
      <c r="B3916" s="15"/>
      <c r="C3916" s="16"/>
      <c r="J3916" s="9"/>
    </row>
    <row r="3917">
      <c r="A3917" s="14"/>
      <c r="B3917" s="15"/>
      <c r="C3917" s="16"/>
      <c r="J3917" s="9"/>
    </row>
    <row r="3918">
      <c r="A3918" s="14"/>
      <c r="B3918" s="15"/>
      <c r="C3918" s="16"/>
      <c r="J3918" s="9"/>
    </row>
    <row r="3919">
      <c r="A3919" s="14"/>
      <c r="B3919" s="15"/>
      <c r="C3919" s="16"/>
      <c r="J3919" s="9"/>
    </row>
    <row r="3920">
      <c r="A3920" s="14"/>
      <c r="B3920" s="15"/>
      <c r="C3920" s="16"/>
      <c r="J3920" s="9"/>
    </row>
    <row r="3921">
      <c r="A3921" s="14"/>
      <c r="B3921" s="15"/>
      <c r="C3921" s="16"/>
      <c r="J3921" s="9"/>
    </row>
    <row r="3922">
      <c r="A3922" s="14"/>
      <c r="B3922" s="15"/>
      <c r="C3922" s="16"/>
      <c r="J3922" s="9"/>
    </row>
    <row r="3923">
      <c r="A3923" s="14"/>
      <c r="B3923" s="15"/>
      <c r="C3923" s="16"/>
      <c r="J3923" s="9"/>
    </row>
    <row r="3924">
      <c r="A3924" s="14"/>
      <c r="B3924" s="15"/>
      <c r="C3924" s="16"/>
      <c r="J3924" s="9"/>
    </row>
    <row r="3925">
      <c r="A3925" s="14"/>
      <c r="B3925" s="15"/>
      <c r="C3925" s="16"/>
      <c r="J3925" s="9"/>
    </row>
    <row r="3926">
      <c r="A3926" s="14"/>
      <c r="B3926" s="15"/>
      <c r="C3926" s="16"/>
      <c r="J3926" s="9"/>
    </row>
    <row r="3927">
      <c r="A3927" s="14"/>
      <c r="B3927" s="15"/>
      <c r="C3927" s="16"/>
      <c r="J3927" s="9"/>
    </row>
    <row r="3928">
      <c r="A3928" s="14"/>
      <c r="B3928" s="15"/>
      <c r="C3928" s="16"/>
      <c r="J3928" s="9"/>
    </row>
    <row r="3929">
      <c r="A3929" s="14"/>
      <c r="B3929" s="15"/>
      <c r="C3929" s="16"/>
      <c r="J3929" s="9"/>
    </row>
    <row r="3930">
      <c r="A3930" s="14"/>
      <c r="B3930" s="15"/>
      <c r="C3930" s="16"/>
      <c r="J3930" s="9"/>
    </row>
    <row r="3931">
      <c r="A3931" s="14"/>
      <c r="B3931" s="15"/>
      <c r="C3931" s="16"/>
      <c r="J3931" s="9"/>
    </row>
    <row r="3932">
      <c r="A3932" s="14"/>
      <c r="B3932" s="15"/>
      <c r="C3932" s="16"/>
      <c r="J3932" s="9"/>
    </row>
    <row r="3933">
      <c r="A3933" s="14"/>
      <c r="B3933" s="15"/>
      <c r="C3933" s="16"/>
      <c r="J3933" s="9"/>
    </row>
    <row r="3934">
      <c r="A3934" s="14"/>
      <c r="B3934" s="15"/>
      <c r="C3934" s="16"/>
      <c r="J3934" s="9"/>
    </row>
    <row r="3935">
      <c r="A3935" s="14"/>
      <c r="B3935" s="15"/>
      <c r="C3935" s="16"/>
      <c r="J3935" s="9"/>
    </row>
    <row r="3936">
      <c r="A3936" s="14"/>
      <c r="B3936" s="15"/>
      <c r="C3936" s="16"/>
      <c r="J3936" s="9"/>
    </row>
    <row r="3937">
      <c r="A3937" s="14"/>
      <c r="B3937" s="15"/>
      <c r="C3937" s="16"/>
      <c r="J3937" s="9"/>
    </row>
    <row r="3938">
      <c r="A3938" s="14"/>
      <c r="B3938" s="15"/>
      <c r="C3938" s="16"/>
      <c r="J3938" s="9"/>
    </row>
    <row r="3939">
      <c r="A3939" s="14"/>
      <c r="B3939" s="15"/>
      <c r="C3939" s="16"/>
      <c r="J3939" s="9"/>
    </row>
    <row r="3940">
      <c r="A3940" s="14"/>
      <c r="B3940" s="15"/>
      <c r="C3940" s="16"/>
      <c r="J3940" s="9"/>
    </row>
    <row r="3941">
      <c r="A3941" s="14"/>
      <c r="B3941" s="15"/>
      <c r="C3941" s="16"/>
      <c r="J3941" s="9"/>
    </row>
    <row r="3942">
      <c r="A3942" s="14"/>
      <c r="B3942" s="15"/>
      <c r="C3942" s="16"/>
      <c r="J3942" s="9"/>
    </row>
    <row r="3943">
      <c r="A3943" s="14"/>
      <c r="B3943" s="15"/>
      <c r="C3943" s="16"/>
      <c r="J3943" s="9"/>
    </row>
    <row r="3944">
      <c r="A3944" s="14"/>
      <c r="B3944" s="15"/>
      <c r="C3944" s="16"/>
      <c r="J3944" s="9"/>
    </row>
    <row r="3945">
      <c r="A3945" s="14"/>
      <c r="B3945" s="15"/>
      <c r="C3945" s="16"/>
      <c r="J3945" s="9"/>
    </row>
    <row r="3946">
      <c r="A3946" s="14"/>
      <c r="B3946" s="15"/>
      <c r="C3946" s="16"/>
      <c r="J3946" s="9"/>
    </row>
    <row r="3947">
      <c r="A3947" s="14"/>
      <c r="B3947" s="15"/>
      <c r="C3947" s="16"/>
      <c r="J3947" s="9"/>
    </row>
    <row r="3948">
      <c r="A3948" s="14"/>
      <c r="B3948" s="15"/>
      <c r="C3948" s="16"/>
      <c r="J3948" s="9"/>
    </row>
    <row r="3949">
      <c r="A3949" s="14"/>
      <c r="B3949" s="15"/>
      <c r="C3949" s="16"/>
      <c r="J3949" s="9"/>
    </row>
    <row r="3950">
      <c r="A3950" s="14"/>
      <c r="B3950" s="15"/>
      <c r="C3950" s="16"/>
      <c r="J3950" s="9"/>
    </row>
    <row r="3951">
      <c r="A3951" s="14"/>
      <c r="B3951" s="15"/>
      <c r="C3951" s="16"/>
      <c r="J3951" s="9"/>
    </row>
    <row r="3952">
      <c r="A3952" s="14"/>
      <c r="B3952" s="15"/>
      <c r="C3952" s="16"/>
      <c r="J3952" s="9"/>
    </row>
    <row r="3953">
      <c r="A3953" s="14"/>
      <c r="B3953" s="15"/>
      <c r="C3953" s="16"/>
      <c r="J3953" s="9"/>
    </row>
    <row r="3954">
      <c r="A3954" s="14"/>
      <c r="B3954" s="15"/>
      <c r="C3954" s="16"/>
      <c r="J3954" s="9"/>
    </row>
    <row r="3955">
      <c r="A3955" s="14"/>
      <c r="B3955" s="15"/>
      <c r="C3955" s="16"/>
      <c r="J3955" s="9"/>
    </row>
    <row r="3956">
      <c r="A3956" s="14"/>
      <c r="B3956" s="15"/>
      <c r="C3956" s="16"/>
      <c r="J3956" s="9"/>
    </row>
    <row r="3957">
      <c r="A3957" s="14"/>
      <c r="B3957" s="15"/>
      <c r="C3957" s="16"/>
      <c r="J3957" s="9"/>
    </row>
    <row r="3958">
      <c r="A3958" s="14"/>
      <c r="B3958" s="15"/>
      <c r="C3958" s="16"/>
      <c r="J3958" s="9"/>
    </row>
    <row r="3959">
      <c r="A3959" s="14"/>
      <c r="B3959" s="15"/>
      <c r="C3959" s="16"/>
      <c r="J3959" s="9"/>
    </row>
    <row r="3960">
      <c r="A3960" s="14"/>
      <c r="B3960" s="15"/>
      <c r="C3960" s="16"/>
      <c r="J3960" s="9"/>
    </row>
    <row r="3961">
      <c r="A3961" s="14"/>
      <c r="B3961" s="15"/>
      <c r="C3961" s="16"/>
      <c r="J3961" s="9"/>
    </row>
    <row r="3962">
      <c r="A3962" s="14"/>
      <c r="B3962" s="15"/>
      <c r="C3962" s="16"/>
      <c r="J3962" s="9"/>
    </row>
    <row r="3963">
      <c r="A3963" s="14"/>
      <c r="B3963" s="15"/>
      <c r="C3963" s="16"/>
      <c r="J3963" s="9"/>
    </row>
    <row r="3964">
      <c r="A3964" s="14"/>
      <c r="B3964" s="15"/>
      <c r="C3964" s="16"/>
      <c r="J3964" s="9"/>
    </row>
    <row r="3965">
      <c r="A3965" s="14"/>
      <c r="B3965" s="15"/>
      <c r="C3965" s="16"/>
      <c r="J3965" s="9"/>
    </row>
    <row r="3966">
      <c r="A3966" s="14"/>
      <c r="B3966" s="15"/>
      <c r="C3966" s="16"/>
      <c r="J3966" s="9"/>
    </row>
    <row r="3967">
      <c r="A3967" s="14"/>
      <c r="B3967" s="15"/>
      <c r="C3967" s="16"/>
      <c r="J3967" s="9"/>
    </row>
    <row r="3968">
      <c r="A3968" s="14"/>
      <c r="B3968" s="15"/>
      <c r="C3968" s="16"/>
      <c r="J3968" s="9"/>
    </row>
    <row r="3969">
      <c r="A3969" s="14"/>
      <c r="B3969" s="15"/>
      <c r="C3969" s="16"/>
      <c r="J3969" s="9"/>
    </row>
    <row r="3970">
      <c r="A3970" s="14"/>
      <c r="B3970" s="15"/>
      <c r="C3970" s="16"/>
      <c r="J3970" s="9"/>
    </row>
    <row r="3971">
      <c r="A3971" s="14"/>
      <c r="B3971" s="15"/>
      <c r="C3971" s="16"/>
      <c r="J3971" s="9"/>
    </row>
    <row r="3972">
      <c r="A3972" s="14"/>
      <c r="B3972" s="15"/>
      <c r="C3972" s="16"/>
      <c r="J3972" s="9"/>
    </row>
    <row r="3973">
      <c r="A3973" s="14"/>
      <c r="B3973" s="15"/>
      <c r="C3973" s="16"/>
      <c r="J3973" s="9"/>
    </row>
    <row r="3974">
      <c r="A3974" s="14"/>
      <c r="B3974" s="15"/>
      <c r="C3974" s="16"/>
      <c r="J3974" s="9"/>
    </row>
    <row r="3975">
      <c r="A3975" s="14"/>
      <c r="B3975" s="15"/>
      <c r="C3975" s="16"/>
      <c r="J3975" s="9"/>
    </row>
    <row r="3976">
      <c r="A3976" s="14"/>
      <c r="B3976" s="15"/>
      <c r="C3976" s="16"/>
      <c r="J3976" s="9"/>
    </row>
    <row r="3977">
      <c r="A3977" s="14"/>
      <c r="B3977" s="15"/>
      <c r="C3977" s="16"/>
      <c r="J3977" s="9"/>
    </row>
    <row r="3978">
      <c r="A3978" s="14"/>
      <c r="B3978" s="15"/>
      <c r="C3978" s="16"/>
      <c r="J3978" s="9"/>
    </row>
    <row r="3979">
      <c r="A3979" s="14"/>
      <c r="B3979" s="15"/>
      <c r="C3979" s="16"/>
      <c r="J3979" s="9"/>
    </row>
    <row r="3980">
      <c r="A3980" s="14"/>
      <c r="B3980" s="15"/>
      <c r="C3980" s="16"/>
      <c r="J3980" s="9"/>
    </row>
    <row r="3981">
      <c r="A3981" s="14"/>
      <c r="B3981" s="15"/>
      <c r="C3981" s="16"/>
      <c r="J3981" s="9"/>
    </row>
    <row r="3982">
      <c r="A3982" s="14"/>
      <c r="B3982" s="15"/>
      <c r="C3982" s="16"/>
      <c r="J3982" s="9"/>
    </row>
    <row r="3983">
      <c r="A3983" s="14"/>
      <c r="B3983" s="15"/>
      <c r="C3983" s="16"/>
      <c r="J3983" s="9"/>
    </row>
    <row r="3984">
      <c r="A3984" s="14"/>
      <c r="B3984" s="15"/>
      <c r="C3984" s="16"/>
      <c r="J3984" s="9"/>
    </row>
    <row r="3985">
      <c r="A3985" s="14"/>
      <c r="B3985" s="15"/>
      <c r="C3985" s="16"/>
      <c r="J3985" s="9"/>
    </row>
    <row r="3986">
      <c r="A3986" s="14"/>
      <c r="B3986" s="15"/>
      <c r="C3986" s="16"/>
      <c r="J3986" s="9"/>
    </row>
    <row r="3987">
      <c r="A3987" s="14"/>
      <c r="B3987" s="15"/>
      <c r="C3987" s="16"/>
      <c r="J3987" s="9"/>
    </row>
    <row r="3988">
      <c r="A3988" s="14"/>
      <c r="B3988" s="15"/>
      <c r="C3988" s="16"/>
      <c r="J3988" s="9"/>
    </row>
    <row r="3989">
      <c r="A3989" s="14"/>
      <c r="B3989" s="15"/>
      <c r="C3989" s="16"/>
      <c r="J3989" s="9"/>
    </row>
    <row r="3990">
      <c r="A3990" s="14"/>
      <c r="B3990" s="15"/>
      <c r="C3990" s="16"/>
      <c r="J3990" s="9"/>
    </row>
    <row r="3991">
      <c r="A3991" s="14"/>
      <c r="B3991" s="15"/>
      <c r="C3991" s="16"/>
      <c r="J3991" s="9"/>
    </row>
    <row r="3992">
      <c r="A3992" s="14"/>
      <c r="B3992" s="15"/>
      <c r="C3992" s="16"/>
      <c r="J3992" s="9"/>
    </row>
    <row r="3993">
      <c r="A3993" s="14"/>
      <c r="B3993" s="15"/>
      <c r="C3993" s="16"/>
      <c r="J3993" s="9"/>
    </row>
    <row r="3994">
      <c r="A3994" s="14"/>
      <c r="B3994" s="15"/>
      <c r="C3994" s="16"/>
      <c r="J3994" s="9"/>
    </row>
    <row r="3995">
      <c r="A3995" s="14"/>
      <c r="B3995" s="15"/>
      <c r="C3995" s="16"/>
      <c r="J3995" s="9"/>
    </row>
    <row r="3996">
      <c r="A3996" s="14"/>
      <c r="B3996" s="15"/>
      <c r="C3996" s="16"/>
      <c r="J3996" s="9"/>
    </row>
    <row r="3997">
      <c r="A3997" s="14"/>
      <c r="B3997" s="15"/>
      <c r="C3997" s="16"/>
      <c r="J3997" s="9"/>
    </row>
    <row r="3998">
      <c r="A3998" s="14"/>
      <c r="B3998" s="15"/>
      <c r="C3998" s="16"/>
      <c r="J3998" s="9"/>
    </row>
    <row r="3999">
      <c r="A3999" s="14"/>
      <c r="B3999" s="15"/>
      <c r="C3999" s="16"/>
      <c r="J3999" s="9"/>
    </row>
    <row r="4000">
      <c r="A4000" s="14"/>
      <c r="B4000" s="15"/>
      <c r="C4000" s="16"/>
      <c r="J4000" s="9"/>
    </row>
    <row r="4001">
      <c r="A4001" s="14"/>
      <c r="B4001" s="15"/>
      <c r="C4001" s="16"/>
      <c r="J4001" s="9"/>
    </row>
    <row r="4002">
      <c r="A4002" s="14"/>
      <c r="B4002" s="15"/>
      <c r="C4002" s="16"/>
      <c r="J4002" s="9"/>
    </row>
    <row r="4003">
      <c r="A4003" s="14"/>
      <c r="B4003" s="15"/>
      <c r="C4003" s="16"/>
      <c r="J4003" s="9"/>
    </row>
    <row r="4004">
      <c r="A4004" s="14"/>
      <c r="B4004" s="15"/>
      <c r="C4004" s="16"/>
      <c r="J4004" s="9"/>
    </row>
    <row r="4005">
      <c r="A4005" s="14"/>
      <c r="B4005" s="15"/>
      <c r="C4005" s="16"/>
      <c r="J4005" s="9"/>
    </row>
    <row r="4006">
      <c r="A4006" s="14"/>
      <c r="B4006" s="15"/>
      <c r="C4006" s="16"/>
      <c r="J4006" s="9"/>
    </row>
    <row r="4007">
      <c r="A4007" s="14"/>
      <c r="B4007" s="15"/>
      <c r="C4007" s="16"/>
      <c r="J4007" s="9"/>
    </row>
    <row r="4008">
      <c r="A4008" s="14"/>
      <c r="B4008" s="15"/>
      <c r="C4008" s="16"/>
      <c r="J4008" s="9"/>
    </row>
    <row r="4009">
      <c r="A4009" s="14"/>
      <c r="B4009" s="15"/>
      <c r="C4009" s="16"/>
      <c r="J4009" s="9"/>
    </row>
    <row r="4010">
      <c r="A4010" s="14"/>
      <c r="B4010" s="15"/>
      <c r="C4010" s="16"/>
      <c r="J4010" s="9"/>
    </row>
    <row r="4011">
      <c r="A4011" s="14"/>
      <c r="B4011" s="15"/>
      <c r="C4011" s="16"/>
      <c r="J4011" s="9"/>
    </row>
    <row r="4012">
      <c r="A4012" s="14"/>
      <c r="B4012" s="15"/>
      <c r="C4012" s="16"/>
      <c r="J4012" s="9"/>
    </row>
    <row r="4013">
      <c r="A4013" s="14"/>
      <c r="B4013" s="15"/>
      <c r="C4013" s="16"/>
      <c r="J4013" s="9"/>
    </row>
    <row r="4014">
      <c r="A4014" s="14"/>
      <c r="B4014" s="15"/>
      <c r="C4014" s="16"/>
      <c r="J4014" s="9"/>
    </row>
    <row r="4015">
      <c r="A4015" s="14"/>
      <c r="B4015" s="15"/>
      <c r="C4015" s="16"/>
      <c r="J4015" s="9"/>
    </row>
    <row r="4016">
      <c r="A4016" s="14"/>
      <c r="B4016" s="15"/>
      <c r="C4016" s="16"/>
      <c r="J4016" s="9"/>
    </row>
    <row r="4017">
      <c r="A4017" s="14"/>
      <c r="B4017" s="15"/>
      <c r="C4017" s="16"/>
      <c r="J4017" s="9"/>
    </row>
    <row r="4018">
      <c r="A4018" s="14"/>
      <c r="B4018" s="15"/>
      <c r="C4018" s="16"/>
      <c r="J4018" s="9"/>
    </row>
    <row r="4019">
      <c r="A4019" s="14"/>
      <c r="B4019" s="15"/>
      <c r="C4019" s="16"/>
      <c r="J4019" s="9"/>
    </row>
    <row r="4020">
      <c r="A4020" s="14"/>
      <c r="B4020" s="15"/>
      <c r="C4020" s="16"/>
      <c r="J4020" s="9"/>
    </row>
    <row r="4021">
      <c r="A4021" s="14"/>
      <c r="B4021" s="15"/>
      <c r="C4021" s="16"/>
      <c r="J4021" s="9"/>
    </row>
    <row r="4022">
      <c r="A4022" s="14"/>
      <c r="B4022" s="15"/>
      <c r="C4022" s="16"/>
      <c r="J4022" s="9"/>
    </row>
    <row r="4023">
      <c r="A4023" s="14"/>
      <c r="B4023" s="15"/>
      <c r="C4023" s="16"/>
      <c r="J4023" s="9"/>
    </row>
    <row r="4024">
      <c r="A4024" s="14"/>
      <c r="B4024" s="15"/>
      <c r="C4024" s="16"/>
      <c r="J4024" s="9"/>
    </row>
    <row r="4025">
      <c r="A4025" s="14"/>
      <c r="B4025" s="15"/>
      <c r="C4025" s="16"/>
      <c r="J4025" s="9"/>
    </row>
    <row r="4026">
      <c r="A4026" s="14"/>
      <c r="B4026" s="15"/>
      <c r="C4026" s="16"/>
      <c r="J4026" s="9"/>
    </row>
    <row r="4027">
      <c r="A4027" s="14"/>
      <c r="B4027" s="15"/>
      <c r="C4027" s="16"/>
      <c r="J4027" s="9"/>
    </row>
    <row r="4028">
      <c r="A4028" s="14"/>
      <c r="B4028" s="15"/>
      <c r="C4028" s="16"/>
      <c r="J4028" s="9"/>
    </row>
    <row r="4029">
      <c r="A4029" s="14"/>
      <c r="B4029" s="15"/>
      <c r="C4029" s="16"/>
      <c r="J4029" s="9"/>
    </row>
    <row r="4030">
      <c r="A4030" s="14"/>
      <c r="B4030" s="15"/>
      <c r="C4030" s="16"/>
      <c r="J4030" s="9"/>
    </row>
    <row r="4031">
      <c r="A4031" s="14"/>
      <c r="B4031" s="15"/>
      <c r="C4031" s="16"/>
      <c r="J4031" s="9"/>
    </row>
    <row r="4032">
      <c r="A4032" s="14"/>
      <c r="B4032" s="15"/>
      <c r="C4032" s="16"/>
      <c r="J4032" s="9"/>
    </row>
    <row r="4033">
      <c r="A4033" s="14"/>
      <c r="B4033" s="15"/>
      <c r="C4033" s="16"/>
      <c r="J4033" s="9"/>
    </row>
    <row r="4034">
      <c r="A4034" s="14"/>
      <c r="B4034" s="15"/>
      <c r="C4034" s="16"/>
      <c r="J4034" s="9"/>
    </row>
    <row r="4035">
      <c r="A4035" s="14"/>
      <c r="B4035" s="15"/>
      <c r="C4035" s="16"/>
      <c r="J4035" s="9"/>
    </row>
    <row r="4036">
      <c r="A4036" s="14"/>
      <c r="B4036" s="15"/>
      <c r="C4036" s="16"/>
      <c r="J4036" s="9"/>
    </row>
    <row r="4037">
      <c r="A4037" s="14"/>
      <c r="B4037" s="15"/>
      <c r="C4037" s="16"/>
      <c r="J4037" s="9"/>
    </row>
    <row r="4038">
      <c r="A4038" s="14"/>
      <c r="B4038" s="15"/>
      <c r="C4038" s="16"/>
      <c r="J4038" s="9"/>
    </row>
    <row r="4039">
      <c r="A4039" s="14"/>
      <c r="B4039" s="15"/>
      <c r="C4039" s="16"/>
      <c r="J4039" s="9"/>
    </row>
    <row r="4040">
      <c r="A4040" s="14"/>
      <c r="B4040" s="15"/>
      <c r="C4040" s="16"/>
      <c r="J4040" s="9"/>
    </row>
    <row r="4041">
      <c r="A4041" s="14"/>
      <c r="B4041" s="15"/>
      <c r="C4041" s="16"/>
      <c r="J4041" s="9"/>
    </row>
    <row r="4042">
      <c r="A4042" s="14"/>
      <c r="B4042" s="15"/>
      <c r="C4042" s="16"/>
      <c r="J4042" s="9"/>
    </row>
    <row r="4043">
      <c r="A4043" s="14"/>
      <c r="B4043" s="15"/>
      <c r="C4043" s="16"/>
      <c r="J4043" s="9"/>
    </row>
    <row r="4044">
      <c r="A4044" s="14"/>
      <c r="B4044" s="15"/>
      <c r="C4044" s="16"/>
      <c r="J4044" s="9"/>
    </row>
    <row r="4045">
      <c r="A4045" s="14"/>
      <c r="B4045" s="15"/>
      <c r="C4045" s="16"/>
      <c r="J4045" s="9"/>
    </row>
    <row r="4046">
      <c r="A4046" s="14"/>
      <c r="B4046" s="15"/>
      <c r="C4046" s="16"/>
      <c r="J4046" s="9"/>
    </row>
    <row r="4047">
      <c r="A4047" s="14"/>
      <c r="B4047" s="15"/>
      <c r="C4047" s="16"/>
      <c r="J4047" s="9"/>
    </row>
    <row r="4048">
      <c r="A4048" s="14"/>
      <c r="B4048" s="15"/>
      <c r="C4048" s="16"/>
      <c r="J4048" s="9"/>
    </row>
    <row r="4049">
      <c r="A4049" s="14"/>
      <c r="B4049" s="15"/>
      <c r="C4049" s="16"/>
      <c r="J4049" s="9"/>
    </row>
    <row r="4050">
      <c r="A4050" s="14"/>
      <c r="B4050" s="15"/>
      <c r="C4050" s="16"/>
      <c r="J4050" s="9"/>
    </row>
    <row r="4051">
      <c r="A4051" s="14"/>
      <c r="B4051" s="15"/>
      <c r="C4051" s="16"/>
      <c r="J4051" s="9"/>
    </row>
    <row r="4052">
      <c r="A4052" s="14"/>
      <c r="B4052" s="15"/>
      <c r="C4052" s="16"/>
      <c r="J4052" s="9"/>
    </row>
    <row r="4053">
      <c r="A4053" s="14"/>
      <c r="B4053" s="15"/>
      <c r="C4053" s="16"/>
      <c r="J4053" s="9"/>
    </row>
    <row r="4054">
      <c r="A4054" s="14"/>
      <c r="B4054" s="15"/>
      <c r="C4054" s="16"/>
      <c r="J4054" s="9"/>
    </row>
    <row r="4055">
      <c r="A4055" s="14"/>
      <c r="B4055" s="15"/>
      <c r="C4055" s="16"/>
      <c r="J4055" s="9"/>
    </row>
    <row r="4056">
      <c r="A4056" s="14"/>
      <c r="B4056" s="15"/>
      <c r="C4056" s="16"/>
      <c r="J4056" s="9"/>
    </row>
    <row r="4057">
      <c r="A4057" s="14"/>
      <c r="B4057" s="15"/>
      <c r="C4057" s="16"/>
      <c r="J4057" s="9"/>
    </row>
    <row r="4058">
      <c r="A4058" s="14"/>
      <c r="B4058" s="15"/>
      <c r="C4058" s="16"/>
      <c r="J4058" s="9"/>
    </row>
    <row r="4059">
      <c r="A4059" s="14"/>
      <c r="B4059" s="15"/>
      <c r="C4059" s="16"/>
      <c r="J4059" s="9"/>
    </row>
    <row r="4060">
      <c r="A4060" s="14"/>
      <c r="B4060" s="15"/>
      <c r="C4060" s="16"/>
      <c r="J4060" s="9"/>
    </row>
    <row r="4061">
      <c r="A4061" s="14"/>
      <c r="B4061" s="15"/>
      <c r="C4061" s="16"/>
      <c r="J4061" s="9"/>
    </row>
    <row r="4062">
      <c r="A4062" s="14"/>
      <c r="B4062" s="15"/>
      <c r="C4062" s="16"/>
      <c r="J4062" s="9"/>
    </row>
    <row r="4063">
      <c r="A4063" s="14"/>
      <c r="B4063" s="15"/>
      <c r="C4063" s="16"/>
      <c r="J4063" s="9"/>
    </row>
    <row r="4064">
      <c r="A4064" s="14"/>
      <c r="B4064" s="15"/>
      <c r="C4064" s="16"/>
      <c r="J4064" s="9"/>
    </row>
    <row r="4065">
      <c r="A4065" s="14"/>
      <c r="B4065" s="15"/>
      <c r="C4065" s="16"/>
      <c r="J4065" s="9"/>
    </row>
    <row r="4066">
      <c r="A4066" s="14"/>
      <c r="B4066" s="15"/>
      <c r="C4066" s="16"/>
      <c r="J4066" s="9"/>
    </row>
    <row r="4067">
      <c r="A4067" s="14"/>
      <c r="B4067" s="15"/>
      <c r="C4067" s="16"/>
      <c r="J4067" s="9"/>
    </row>
    <row r="4068">
      <c r="A4068" s="14"/>
      <c r="B4068" s="15"/>
      <c r="C4068" s="16"/>
      <c r="J4068" s="9"/>
    </row>
    <row r="4069">
      <c r="A4069" s="14"/>
      <c r="B4069" s="15"/>
      <c r="C4069" s="16"/>
      <c r="J4069" s="9"/>
    </row>
    <row r="4070">
      <c r="A4070" s="14"/>
      <c r="B4070" s="15"/>
      <c r="C4070" s="16"/>
      <c r="J4070" s="9"/>
    </row>
    <row r="4071">
      <c r="A4071" s="14"/>
      <c r="B4071" s="15"/>
      <c r="C4071" s="16"/>
      <c r="J4071" s="9"/>
    </row>
    <row r="4072">
      <c r="A4072" s="14"/>
      <c r="B4072" s="15"/>
      <c r="C4072" s="16"/>
      <c r="J4072" s="9"/>
    </row>
    <row r="4073">
      <c r="A4073" s="14"/>
      <c r="B4073" s="15"/>
      <c r="C4073" s="16"/>
      <c r="J4073" s="9"/>
    </row>
    <row r="4074">
      <c r="A4074" s="14"/>
      <c r="B4074" s="15"/>
      <c r="C4074" s="16"/>
      <c r="J4074" s="9"/>
    </row>
    <row r="4075">
      <c r="A4075" s="14"/>
      <c r="B4075" s="15"/>
      <c r="C4075" s="16"/>
      <c r="J4075" s="9"/>
    </row>
    <row r="4076">
      <c r="A4076" s="14"/>
      <c r="B4076" s="15"/>
      <c r="C4076" s="16"/>
      <c r="J4076" s="9"/>
    </row>
    <row r="4077">
      <c r="A4077" s="14"/>
      <c r="B4077" s="15"/>
      <c r="C4077" s="16"/>
      <c r="J4077" s="9"/>
    </row>
    <row r="4078">
      <c r="A4078" s="14"/>
      <c r="B4078" s="15"/>
      <c r="C4078" s="16"/>
      <c r="J4078" s="9"/>
    </row>
    <row r="4079">
      <c r="A4079" s="14"/>
      <c r="B4079" s="15"/>
      <c r="C4079" s="16"/>
      <c r="J4079" s="9"/>
    </row>
    <row r="4080">
      <c r="A4080" s="14"/>
      <c r="B4080" s="15"/>
      <c r="C4080" s="16"/>
      <c r="J4080" s="9"/>
    </row>
    <row r="4081">
      <c r="A4081" s="14"/>
      <c r="B4081" s="15"/>
      <c r="C4081" s="16"/>
      <c r="J4081" s="9"/>
    </row>
    <row r="4082">
      <c r="A4082" s="14"/>
      <c r="B4082" s="15"/>
      <c r="C4082" s="16"/>
      <c r="J4082" s="9"/>
    </row>
    <row r="4083">
      <c r="A4083" s="14"/>
      <c r="B4083" s="15"/>
      <c r="C4083" s="16"/>
      <c r="J4083" s="9"/>
    </row>
    <row r="4084">
      <c r="A4084" s="14"/>
      <c r="B4084" s="15"/>
      <c r="C4084" s="16"/>
      <c r="J4084" s="9"/>
    </row>
    <row r="4085">
      <c r="A4085" s="14"/>
      <c r="B4085" s="15"/>
      <c r="C4085" s="16"/>
      <c r="J4085" s="9"/>
    </row>
    <row r="4086">
      <c r="A4086" s="14"/>
      <c r="B4086" s="15"/>
      <c r="C4086" s="16"/>
      <c r="J4086" s="9"/>
    </row>
    <row r="4087">
      <c r="A4087" s="14"/>
      <c r="B4087" s="15"/>
      <c r="C4087" s="16"/>
      <c r="J4087" s="9"/>
    </row>
    <row r="4088">
      <c r="A4088" s="14"/>
      <c r="B4088" s="15"/>
      <c r="C4088" s="16"/>
      <c r="J4088" s="9"/>
    </row>
    <row r="4089">
      <c r="A4089" s="14"/>
      <c r="B4089" s="15"/>
      <c r="C4089" s="16"/>
      <c r="J4089" s="9"/>
    </row>
    <row r="4090">
      <c r="A4090" s="14"/>
      <c r="B4090" s="15"/>
      <c r="C4090" s="16"/>
      <c r="J4090" s="9"/>
    </row>
    <row r="4091">
      <c r="A4091" s="14"/>
      <c r="B4091" s="15"/>
      <c r="C4091" s="16"/>
      <c r="J4091" s="9"/>
    </row>
    <row r="4092">
      <c r="A4092" s="14"/>
      <c r="B4092" s="15"/>
      <c r="C4092" s="16"/>
      <c r="J4092" s="9"/>
    </row>
    <row r="4093">
      <c r="A4093" s="14"/>
      <c r="B4093" s="15"/>
      <c r="C4093" s="16"/>
      <c r="J4093" s="9"/>
    </row>
    <row r="4094">
      <c r="A4094" s="14"/>
      <c r="B4094" s="15"/>
      <c r="C4094" s="16"/>
      <c r="J4094" s="9"/>
    </row>
    <row r="4095">
      <c r="A4095" s="14"/>
      <c r="B4095" s="15"/>
      <c r="C4095" s="16"/>
      <c r="J4095" s="9"/>
    </row>
    <row r="4096">
      <c r="A4096" s="14"/>
      <c r="B4096" s="15"/>
      <c r="C4096" s="16"/>
      <c r="J4096" s="9"/>
    </row>
    <row r="4097">
      <c r="A4097" s="14"/>
      <c r="B4097" s="15"/>
      <c r="C4097" s="16"/>
      <c r="J4097" s="9"/>
    </row>
    <row r="4098">
      <c r="A4098" s="14"/>
      <c r="B4098" s="15"/>
      <c r="C4098" s="16"/>
      <c r="J4098" s="9"/>
    </row>
    <row r="4099">
      <c r="A4099" s="14"/>
      <c r="B4099" s="15"/>
      <c r="C4099" s="16"/>
      <c r="J4099" s="9"/>
    </row>
    <row r="4100">
      <c r="A4100" s="14"/>
      <c r="B4100" s="15"/>
      <c r="C4100" s="16"/>
      <c r="J4100" s="9"/>
    </row>
    <row r="4101">
      <c r="A4101" s="14"/>
      <c r="B4101" s="15"/>
      <c r="C4101" s="16"/>
      <c r="J4101" s="9"/>
    </row>
    <row r="4102">
      <c r="A4102" s="14"/>
      <c r="B4102" s="15"/>
      <c r="C4102" s="16"/>
      <c r="J4102" s="9"/>
    </row>
    <row r="4103">
      <c r="A4103" s="14"/>
      <c r="B4103" s="15"/>
      <c r="C4103" s="16"/>
      <c r="J4103" s="9"/>
    </row>
    <row r="4104">
      <c r="A4104" s="14"/>
      <c r="B4104" s="15"/>
      <c r="C4104" s="16"/>
      <c r="J4104" s="9"/>
    </row>
    <row r="4105">
      <c r="A4105" s="14"/>
      <c r="B4105" s="15"/>
      <c r="C4105" s="16"/>
      <c r="J4105" s="9"/>
    </row>
    <row r="4106">
      <c r="A4106" s="14"/>
      <c r="B4106" s="15"/>
      <c r="C4106" s="16"/>
      <c r="J4106" s="9"/>
    </row>
    <row r="4107">
      <c r="A4107" s="14"/>
      <c r="B4107" s="15"/>
      <c r="C4107" s="16"/>
      <c r="J4107" s="9"/>
    </row>
    <row r="4108">
      <c r="A4108" s="14"/>
      <c r="B4108" s="15"/>
      <c r="C4108" s="16"/>
      <c r="J4108" s="9"/>
    </row>
    <row r="4109">
      <c r="A4109" s="14"/>
      <c r="B4109" s="15"/>
      <c r="C4109" s="16"/>
      <c r="J4109" s="9"/>
    </row>
    <row r="4110">
      <c r="A4110" s="14"/>
      <c r="B4110" s="15"/>
      <c r="C4110" s="16"/>
      <c r="J4110" s="9"/>
    </row>
    <row r="4111">
      <c r="A4111" s="14"/>
      <c r="B4111" s="15"/>
      <c r="C4111" s="16"/>
      <c r="J4111" s="9"/>
    </row>
    <row r="4112">
      <c r="A4112" s="14"/>
      <c r="B4112" s="15"/>
      <c r="C4112" s="16"/>
      <c r="J4112" s="9"/>
    </row>
    <row r="4113">
      <c r="A4113" s="14"/>
      <c r="B4113" s="15"/>
      <c r="C4113" s="16"/>
      <c r="J4113" s="9"/>
    </row>
    <row r="4114">
      <c r="A4114" s="14"/>
      <c r="B4114" s="15"/>
      <c r="C4114" s="16"/>
      <c r="J4114" s="9"/>
    </row>
    <row r="4115">
      <c r="A4115" s="14"/>
      <c r="B4115" s="15"/>
      <c r="C4115" s="16"/>
      <c r="J4115" s="9"/>
    </row>
    <row r="4116">
      <c r="A4116" s="14"/>
      <c r="B4116" s="15"/>
      <c r="C4116" s="16"/>
      <c r="J4116" s="9"/>
    </row>
    <row r="4117">
      <c r="A4117" s="14"/>
      <c r="B4117" s="15"/>
      <c r="C4117" s="16"/>
      <c r="J4117" s="9"/>
    </row>
    <row r="4118">
      <c r="A4118" s="14"/>
      <c r="B4118" s="15"/>
      <c r="C4118" s="16"/>
      <c r="J4118" s="9"/>
    </row>
    <row r="4119">
      <c r="A4119" s="14"/>
      <c r="B4119" s="15"/>
      <c r="C4119" s="16"/>
      <c r="J4119" s="9"/>
    </row>
    <row r="4120">
      <c r="A4120" s="14"/>
      <c r="B4120" s="15"/>
      <c r="C4120" s="16"/>
      <c r="J4120" s="9"/>
    </row>
    <row r="4121">
      <c r="A4121" s="14"/>
      <c r="B4121" s="15"/>
      <c r="C4121" s="16"/>
      <c r="J4121" s="9"/>
    </row>
    <row r="4122">
      <c r="A4122" s="14"/>
      <c r="B4122" s="15"/>
      <c r="C4122" s="16"/>
      <c r="J4122" s="9"/>
    </row>
    <row r="4123">
      <c r="A4123" s="14"/>
      <c r="B4123" s="15"/>
      <c r="C4123" s="16"/>
      <c r="J4123" s="9"/>
    </row>
    <row r="4124">
      <c r="A4124" s="14"/>
      <c r="B4124" s="15"/>
      <c r="C4124" s="16"/>
      <c r="J4124" s="9"/>
    </row>
    <row r="4125">
      <c r="A4125" s="14"/>
      <c r="B4125" s="15"/>
      <c r="C4125" s="16"/>
      <c r="J4125" s="9"/>
    </row>
    <row r="4126">
      <c r="A4126" s="14"/>
      <c r="B4126" s="15"/>
      <c r="C4126" s="16"/>
      <c r="J4126" s="9"/>
    </row>
    <row r="4127">
      <c r="A4127" s="14"/>
      <c r="B4127" s="15"/>
      <c r="C4127" s="16"/>
      <c r="J4127" s="9"/>
    </row>
    <row r="4128">
      <c r="A4128" s="14"/>
      <c r="B4128" s="15"/>
      <c r="C4128" s="16"/>
      <c r="J4128" s="9"/>
    </row>
    <row r="4129">
      <c r="A4129" s="14"/>
      <c r="B4129" s="15"/>
      <c r="C4129" s="16"/>
      <c r="J4129" s="9"/>
    </row>
    <row r="4130">
      <c r="A4130" s="14"/>
      <c r="B4130" s="15"/>
      <c r="C4130" s="16"/>
      <c r="J4130" s="9"/>
    </row>
    <row r="4131">
      <c r="A4131" s="14"/>
      <c r="B4131" s="15"/>
      <c r="C4131" s="16"/>
      <c r="J4131" s="9"/>
    </row>
    <row r="4132">
      <c r="A4132" s="14"/>
      <c r="B4132" s="15"/>
      <c r="C4132" s="16"/>
      <c r="J4132" s="9"/>
    </row>
    <row r="4133">
      <c r="A4133" s="14"/>
      <c r="B4133" s="15"/>
      <c r="C4133" s="16"/>
      <c r="J4133" s="9"/>
    </row>
    <row r="4134">
      <c r="A4134" s="14"/>
      <c r="B4134" s="15"/>
      <c r="C4134" s="16"/>
      <c r="J4134" s="9"/>
    </row>
    <row r="4135">
      <c r="A4135" s="14"/>
      <c r="B4135" s="15"/>
      <c r="C4135" s="16"/>
      <c r="J4135" s="9"/>
    </row>
    <row r="4136">
      <c r="A4136" s="14"/>
      <c r="B4136" s="15"/>
      <c r="C4136" s="16"/>
      <c r="J4136" s="9"/>
    </row>
    <row r="4137">
      <c r="A4137" s="14"/>
      <c r="B4137" s="15"/>
      <c r="C4137" s="16"/>
      <c r="J4137" s="9"/>
    </row>
    <row r="4138">
      <c r="A4138" s="14"/>
      <c r="B4138" s="15"/>
      <c r="C4138" s="16"/>
      <c r="J4138" s="9"/>
    </row>
    <row r="4139">
      <c r="A4139" s="14"/>
      <c r="B4139" s="15"/>
      <c r="C4139" s="16"/>
      <c r="J4139" s="9"/>
    </row>
    <row r="4140">
      <c r="A4140" s="14"/>
      <c r="B4140" s="15"/>
      <c r="C4140" s="16"/>
      <c r="J4140" s="9"/>
    </row>
    <row r="4141">
      <c r="A4141" s="14"/>
      <c r="B4141" s="15"/>
      <c r="C4141" s="16"/>
      <c r="J4141" s="9"/>
    </row>
    <row r="4142">
      <c r="A4142" s="14"/>
      <c r="B4142" s="15"/>
      <c r="C4142" s="16"/>
      <c r="J4142" s="9"/>
    </row>
    <row r="4143">
      <c r="A4143" s="14"/>
      <c r="B4143" s="15"/>
      <c r="C4143" s="16"/>
      <c r="J4143" s="9"/>
    </row>
    <row r="4144">
      <c r="A4144" s="14"/>
      <c r="B4144" s="15"/>
      <c r="C4144" s="16"/>
      <c r="J4144" s="9"/>
    </row>
    <row r="4145">
      <c r="A4145" s="14"/>
      <c r="B4145" s="15"/>
      <c r="C4145" s="16"/>
      <c r="J4145" s="9"/>
    </row>
    <row r="4146">
      <c r="A4146" s="14"/>
      <c r="B4146" s="15"/>
      <c r="C4146" s="16"/>
      <c r="J4146" s="9"/>
    </row>
    <row r="4147">
      <c r="A4147" s="14"/>
      <c r="B4147" s="15"/>
      <c r="C4147" s="16"/>
      <c r="J4147" s="9"/>
    </row>
    <row r="4148">
      <c r="A4148" s="14"/>
      <c r="B4148" s="15"/>
      <c r="C4148" s="16"/>
      <c r="J4148" s="9"/>
    </row>
    <row r="4149">
      <c r="A4149" s="14"/>
      <c r="B4149" s="15"/>
      <c r="C4149" s="16"/>
      <c r="J4149" s="9"/>
    </row>
    <row r="4150">
      <c r="A4150" s="14"/>
      <c r="B4150" s="15"/>
      <c r="C4150" s="16"/>
      <c r="J4150" s="9"/>
    </row>
    <row r="4151">
      <c r="A4151" s="14"/>
      <c r="B4151" s="15"/>
      <c r="C4151" s="16"/>
      <c r="J4151" s="9"/>
    </row>
    <row r="4152">
      <c r="A4152" s="14"/>
      <c r="B4152" s="15"/>
      <c r="C4152" s="16"/>
      <c r="J4152" s="9"/>
    </row>
    <row r="4153">
      <c r="A4153" s="14"/>
      <c r="B4153" s="15"/>
      <c r="C4153" s="16"/>
      <c r="J4153" s="9"/>
    </row>
    <row r="4154">
      <c r="A4154" s="14"/>
      <c r="B4154" s="15"/>
      <c r="C4154" s="16"/>
      <c r="J4154" s="9"/>
    </row>
    <row r="4155">
      <c r="A4155" s="14"/>
      <c r="B4155" s="15"/>
      <c r="C4155" s="16"/>
      <c r="J4155" s="9"/>
    </row>
    <row r="4156">
      <c r="A4156" s="14"/>
      <c r="B4156" s="15"/>
      <c r="C4156" s="16"/>
      <c r="J4156" s="9"/>
    </row>
    <row r="4157">
      <c r="A4157" s="14"/>
      <c r="B4157" s="15"/>
      <c r="C4157" s="16"/>
      <c r="J4157" s="9"/>
    </row>
    <row r="4158">
      <c r="A4158" s="14"/>
      <c r="B4158" s="15"/>
      <c r="C4158" s="16"/>
      <c r="J4158" s="9"/>
    </row>
    <row r="4159">
      <c r="A4159" s="14"/>
      <c r="B4159" s="15"/>
      <c r="C4159" s="16"/>
      <c r="J4159" s="9"/>
    </row>
    <row r="4160">
      <c r="A4160" s="14"/>
      <c r="B4160" s="15"/>
      <c r="C4160" s="16"/>
      <c r="J4160" s="9"/>
    </row>
    <row r="4161">
      <c r="A4161" s="14"/>
      <c r="B4161" s="15"/>
      <c r="C4161" s="16"/>
      <c r="J4161" s="9"/>
    </row>
    <row r="4162">
      <c r="A4162" s="14"/>
      <c r="B4162" s="15"/>
      <c r="C4162" s="16"/>
      <c r="J4162" s="9"/>
    </row>
    <row r="4163">
      <c r="A4163" s="14"/>
      <c r="B4163" s="15"/>
      <c r="C4163" s="16"/>
      <c r="J4163" s="9"/>
    </row>
    <row r="4164">
      <c r="A4164" s="14"/>
      <c r="B4164" s="15"/>
      <c r="C4164" s="16"/>
      <c r="J4164" s="9"/>
    </row>
    <row r="4165">
      <c r="A4165" s="14"/>
      <c r="B4165" s="15"/>
      <c r="C4165" s="16"/>
      <c r="J4165" s="9"/>
    </row>
    <row r="4166">
      <c r="A4166" s="14"/>
      <c r="B4166" s="15"/>
      <c r="C4166" s="16"/>
      <c r="J4166" s="9"/>
    </row>
    <row r="4167">
      <c r="A4167" s="14"/>
      <c r="B4167" s="15"/>
      <c r="C4167" s="16"/>
      <c r="J4167" s="9"/>
    </row>
    <row r="4168">
      <c r="A4168" s="14"/>
      <c r="B4168" s="15"/>
      <c r="C4168" s="16"/>
      <c r="J4168" s="9"/>
    </row>
    <row r="4169">
      <c r="A4169" s="14"/>
      <c r="B4169" s="15"/>
      <c r="C4169" s="16"/>
      <c r="J4169" s="9"/>
    </row>
    <row r="4170">
      <c r="A4170" s="14"/>
      <c r="B4170" s="15"/>
      <c r="C4170" s="16"/>
      <c r="J4170" s="9"/>
    </row>
    <row r="4171">
      <c r="A4171" s="14"/>
      <c r="B4171" s="15"/>
      <c r="C4171" s="16"/>
      <c r="J4171" s="9"/>
    </row>
    <row r="4172">
      <c r="A4172" s="14"/>
      <c r="B4172" s="15"/>
      <c r="C4172" s="16"/>
      <c r="J4172" s="9"/>
    </row>
    <row r="4173">
      <c r="A4173" s="14"/>
      <c r="B4173" s="15"/>
      <c r="C4173" s="16"/>
      <c r="J4173" s="9"/>
    </row>
    <row r="4174">
      <c r="A4174" s="14"/>
      <c r="B4174" s="15"/>
      <c r="C4174" s="16"/>
      <c r="J4174" s="9"/>
    </row>
    <row r="4175">
      <c r="A4175" s="14"/>
      <c r="B4175" s="15"/>
      <c r="C4175" s="16"/>
      <c r="J4175" s="9"/>
    </row>
    <row r="4176">
      <c r="A4176" s="14"/>
      <c r="B4176" s="15"/>
      <c r="C4176" s="16"/>
      <c r="J4176" s="9"/>
    </row>
    <row r="4177">
      <c r="A4177" s="14"/>
      <c r="B4177" s="15"/>
      <c r="C4177" s="16"/>
      <c r="J4177" s="9"/>
    </row>
    <row r="4178">
      <c r="A4178" s="14"/>
      <c r="B4178" s="15"/>
      <c r="C4178" s="16"/>
      <c r="J4178" s="9"/>
    </row>
    <row r="4179">
      <c r="A4179" s="14"/>
      <c r="B4179" s="15"/>
      <c r="C4179" s="16"/>
      <c r="J4179" s="9"/>
    </row>
    <row r="4180">
      <c r="A4180" s="14"/>
      <c r="B4180" s="15"/>
      <c r="C4180" s="16"/>
      <c r="J4180" s="9"/>
    </row>
    <row r="4181">
      <c r="A4181" s="14"/>
      <c r="B4181" s="15"/>
      <c r="C4181" s="16"/>
      <c r="J4181" s="9"/>
    </row>
    <row r="4182">
      <c r="A4182" s="14"/>
      <c r="B4182" s="15"/>
      <c r="C4182" s="16"/>
      <c r="J4182" s="9"/>
    </row>
    <row r="4183">
      <c r="A4183" s="14"/>
      <c r="B4183" s="15"/>
      <c r="C4183" s="16"/>
      <c r="J4183" s="9"/>
    </row>
    <row r="4184">
      <c r="A4184" s="14"/>
      <c r="B4184" s="15"/>
      <c r="C4184" s="16"/>
      <c r="J4184" s="9"/>
    </row>
    <row r="4185">
      <c r="A4185" s="14"/>
      <c r="B4185" s="15"/>
      <c r="C4185" s="16"/>
      <c r="J4185" s="9"/>
    </row>
    <row r="4186">
      <c r="A4186" s="14"/>
      <c r="B4186" s="15"/>
      <c r="C4186" s="16"/>
      <c r="J4186" s="9"/>
    </row>
    <row r="4187">
      <c r="A4187" s="14"/>
      <c r="B4187" s="15"/>
      <c r="C4187" s="16"/>
      <c r="J4187" s="9"/>
    </row>
    <row r="4188">
      <c r="A4188" s="14"/>
      <c r="B4188" s="15"/>
      <c r="C4188" s="16"/>
      <c r="J4188" s="9"/>
    </row>
    <row r="4189">
      <c r="A4189" s="14"/>
      <c r="B4189" s="15"/>
      <c r="C4189" s="16"/>
      <c r="J4189" s="9"/>
    </row>
    <row r="4190">
      <c r="A4190" s="14"/>
      <c r="B4190" s="15"/>
      <c r="C4190" s="16"/>
      <c r="J4190" s="9"/>
    </row>
    <row r="4191">
      <c r="A4191" s="14"/>
      <c r="B4191" s="15"/>
      <c r="C4191" s="16"/>
      <c r="J4191" s="9"/>
    </row>
    <row r="4192">
      <c r="A4192" s="14"/>
      <c r="B4192" s="15"/>
      <c r="C4192" s="16"/>
      <c r="J4192" s="9"/>
    </row>
    <row r="4193">
      <c r="A4193" s="14"/>
      <c r="B4193" s="15"/>
      <c r="C4193" s="16"/>
      <c r="J4193" s="9"/>
    </row>
    <row r="4194">
      <c r="A4194" s="14"/>
      <c r="B4194" s="15"/>
      <c r="C4194" s="16"/>
      <c r="J4194" s="9"/>
    </row>
    <row r="4195">
      <c r="A4195" s="14"/>
      <c r="B4195" s="15"/>
      <c r="C4195" s="16"/>
      <c r="J4195" s="9"/>
    </row>
    <row r="4196">
      <c r="A4196" s="14"/>
      <c r="B4196" s="15"/>
      <c r="C4196" s="16"/>
      <c r="J4196" s="9"/>
    </row>
    <row r="4197">
      <c r="A4197" s="14"/>
      <c r="B4197" s="15"/>
      <c r="C4197" s="16"/>
      <c r="J4197" s="9"/>
    </row>
    <row r="4198">
      <c r="A4198" s="14"/>
      <c r="B4198" s="15"/>
      <c r="C4198" s="16"/>
      <c r="J4198" s="9"/>
    </row>
    <row r="4199">
      <c r="A4199" s="14"/>
      <c r="B4199" s="15"/>
      <c r="C4199" s="16"/>
      <c r="J4199" s="9"/>
    </row>
    <row r="4200">
      <c r="A4200" s="14"/>
      <c r="B4200" s="15"/>
      <c r="C4200" s="16"/>
      <c r="J4200" s="9"/>
    </row>
    <row r="4201">
      <c r="A4201" s="14"/>
      <c r="B4201" s="15"/>
      <c r="C4201" s="16"/>
      <c r="J4201" s="9"/>
    </row>
    <row r="4202">
      <c r="A4202" s="14"/>
      <c r="B4202" s="15"/>
      <c r="C4202" s="16"/>
      <c r="J4202" s="9"/>
    </row>
    <row r="4203">
      <c r="A4203" s="14"/>
      <c r="B4203" s="15"/>
      <c r="C4203" s="16"/>
      <c r="J4203" s="9"/>
    </row>
    <row r="4204">
      <c r="A4204" s="14"/>
      <c r="B4204" s="15"/>
      <c r="C4204" s="16"/>
      <c r="J4204" s="9"/>
    </row>
    <row r="4205">
      <c r="A4205" s="14"/>
      <c r="B4205" s="15"/>
      <c r="C4205" s="16"/>
      <c r="J4205" s="9"/>
    </row>
    <row r="4206">
      <c r="A4206" s="14"/>
      <c r="B4206" s="15"/>
      <c r="C4206" s="16"/>
      <c r="J4206" s="9"/>
    </row>
    <row r="4207">
      <c r="A4207" s="14"/>
      <c r="B4207" s="15"/>
      <c r="C4207" s="16"/>
      <c r="J4207" s="9"/>
    </row>
    <row r="4208">
      <c r="A4208" s="14"/>
      <c r="B4208" s="15"/>
      <c r="C4208" s="16"/>
      <c r="J4208" s="9"/>
    </row>
    <row r="4209">
      <c r="A4209" s="14"/>
      <c r="B4209" s="15"/>
      <c r="C4209" s="16"/>
      <c r="J4209" s="9"/>
    </row>
    <row r="4210">
      <c r="A4210" s="14"/>
      <c r="B4210" s="15"/>
      <c r="C4210" s="16"/>
      <c r="J4210" s="9"/>
    </row>
    <row r="4211">
      <c r="A4211" s="14"/>
      <c r="B4211" s="15"/>
      <c r="C4211" s="16"/>
      <c r="J4211" s="9"/>
    </row>
    <row r="4212">
      <c r="A4212" s="14"/>
      <c r="B4212" s="15"/>
      <c r="C4212" s="16"/>
      <c r="J4212" s="9"/>
    </row>
    <row r="4213">
      <c r="A4213" s="14"/>
      <c r="B4213" s="15"/>
      <c r="C4213" s="16"/>
      <c r="J4213" s="9"/>
    </row>
    <row r="4214">
      <c r="A4214" s="14"/>
      <c r="B4214" s="15"/>
      <c r="C4214" s="16"/>
      <c r="J4214" s="9"/>
    </row>
    <row r="4215">
      <c r="A4215" s="14"/>
      <c r="B4215" s="15"/>
      <c r="C4215" s="16"/>
      <c r="J4215" s="9"/>
    </row>
    <row r="4216">
      <c r="A4216" s="14"/>
      <c r="B4216" s="15"/>
      <c r="C4216" s="16"/>
      <c r="J4216" s="9"/>
    </row>
    <row r="4217">
      <c r="A4217" s="14"/>
      <c r="B4217" s="15"/>
      <c r="C4217" s="16"/>
      <c r="J4217" s="9"/>
    </row>
    <row r="4218">
      <c r="A4218" s="14"/>
      <c r="B4218" s="15"/>
      <c r="C4218" s="16"/>
      <c r="J4218" s="9"/>
    </row>
    <row r="4219">
      <c r="A4219" s="14"/>
      <c r="B4219" s="15"/>
      <c r="C4219" s="16"/>
      <c r="J4219" s="9"/>
    </row>
    <row r="4220">
      <c r="A4220" s="14"/>
      <c r="B4220" s="15"/>
      <c r="C4220" s="16"/>
      <c r="J4220" s="9"/>
    </row>
    <row r="4221">
      <c r="A4221" s="14"/>
      <c r="B4221" s="15"/>
      <c r="C4221" s="16"/>
      <c r="J4221" s="9"/>
    </row>
    <row r="4222">
      <c r="A4222" s="14"/>
      <c r="B4222" s="15"/>
      <c r="C4222" s="16"/>
      <c r="J4222" s="9"/>
    </row>
    <row r="4223">
      <c r="A4223" s="14"/>
      <c r="B4223" s="15"/>
      <c r="C4223" s="16"/>
      <c r="J4223" s="9"/>
    </row>
    <row r="4224">
      <c r="A4224" s="14"/>
      <c r="B4224" s="15"/>
      <c r="C4224" s="16"/>
      <c r="J4224" s="9"/>
    </row>
    <row r="4225">
      <c r="A4225" s="14"/>
      <c r="B4225" s="15"/>
      <c r="C4225" s="16"/>
      <c r="J4225" s="9"/>
    </row>
    <row r="4226">
      <c r="A4226" s="14"/>
      <c r="B4226" s="15"/>
      <c r="C4226" s="16"/>
      <c r="J4226" s="9"/>
    </row>
    <row r="4227">
      <c r="A4227" s="14"/>
      <c r="B4227" s="15"/>
      <c r="C4227" s="16"/>
      <c r="J4227" s="9"/>
    </row>
    <row r="4228">
      <c r="A4228" s="14"/>
      <c r="B4228" s="15"/>
      <c r="C4228" s="16"/>
      <c r="J4228" s="9"/>
    </row>
    <row r="4229">
      <c r="A4229" s="14"/>
      <c r="B4229" s="15"/>
      <c r="C4229" s="16"/>
      <c r="J4229" s="9"/>
    </row>
    <row r="4230">
      <c r="A4230" s="14"/>
      <c r="B4230" s="15"/>
      <c r="C4230" s="16"/>
      <c r="J4230" s="9"/>
    </row>
    <row r="4231">
      <c r="A4231" s="14"/>
      <c r="B4231" s="15"/>
      <c r="C4231" s="16"/>
      <c r="J4231" s="9"/>
    </row>
    <row r="4232">
      <c r="A4232" s="14"/>
      <c r="B4232" s="15"/>
      <c r="C4232" s="16"/>
      <c r="J4232" s="9"/>
    </row>
    <row r="4233">
      <c r="A4233" s="14"/>
      <c r="B4233" s="15"/>
      <c r="C4233" s="16"/>
      <c r="J4233" s="9"/>
    </row>
    <row r="4234">
      <c r="A4234" s="14"/>
      <c r="B4234" s="15"/>
      <c r="C4234" s="16"/>
      <c r="J4234" s="9"/>
    </row>
    <row r="4235">
      <c r="A4235" s="14"/>
      <c r="B4235" s="15"/>
      <c r="C4235" s="16"/>
      <c r="J4235" s="9"/>
    </row>
    <row r="4236">
      <c r="A4236" s="14"/>
      <c r="B4236" s="15"/>
      <c r="C4236" s="16"/>
      <c r="J4236" s="9"/>
    </row>
    <row r="4237">
      <c r="A4237" s="14"/>
      <c r="B4237" s="15"/>
      <c r="C4237" s="16"/>
      <c r="J4237" s="9"/>
    </row>
    <row r="4238">
      <c r="A4238" s="14"/>
      <c r="B4238" s="15"/>
      <c r="C4238" s="16"/>
      <c r="J4238" s="9"/>
    </row>
    <row r="4239">
      <c r="A4239" s="14"/>
      <c r="B4239" s="15"/>
      <c r="C4239" s="16"/>
      <c r="J4239" s="9"/>
    </row>
    <row r="4240">
      <c r="A4240" s="14"/>
      <c r="B4240" s="15"/>
      <c r="C4240" s="16"/>
      <c r="J4240" s="9"/>
    </row>
    <row r="4241">
      <c r="A4241" s="14"/>
      <c r="B4241" s="15"/>
      <c r="C4241" s="16"/>
      <c r="J4241" s="9"/>
    </row>
    <row r="4242">
      <c r="A4242" s="14"/>
      <c r="B4242" s="15"/>
      <c r="C4242" s="16"/>
      <c r="J4242" s="9"/>
    </row>
    <row r="4243">
      <c r="A4243" s="14"/>
      <c r="B4243" s="15"/>
      <c r="C4243" s="16"/>
      <c r="J4243" s="9"/>
    </row>
    <row r="4244">
      <c r="A4244" s="14"/>
      <c r="B4244" s="15"/>
      <c r="C4244" s="16"/>
      <c r="J4244" s="9"/>
    </row>
    <row r="4245">
      <c r="A4245" s="14"/>
      <c r="B4245" s="15"/>
      <c r="C4245" s="16"/>
      <c r="J4245" s="9"/>
    </row>
    <row r="4246">
      <c r="A4246" s="14"/>
      <c r="B4246" s="15"/>
      <c r="C4246" s="16"/>
      <c r="J4246" s="9"/>
    </row>
    <row r="4247">
      <c r="A4247" s="14"/>
      <c r="B4247" s="15"/>
      <c r="C4247" s="16"/>
      <c r="J4247" s="9"/>
    </row>
    <row r="4248">
      <c r="A4248" s="14"/>
      <c r="B4248" s="15"/>
      <c r="C4248" s="16"/>
      <c r="J4248" s="9"/>
    </row>
    <row r="4249">
      <c r="A4249" s="14"/>
      <c r="B4249" s="15"/>
      <c r="C4249" s="16"/>
      <c r="J4249" s="9"/>
    </row>
    <row r="4250">
      <c r="A4250" s="14"/>
      <c r="B4250" s="15"/>
      <c r="C4250" s="16"/>
      <c r="J4250" s="9"/>
    </row>
    <row r="4251">
      <c r="A4251" s="14"/>
      <c r="B4251" s="15"/>
      <c r="C4251" s="16"/>
      <c r="J4251" s="9"/>
    </row>
    <row r="4252">
      <c r="A4252" s="14"/>
      <c r="B4252" s="15"/>
      <c r="C4252" s="16"/>
      <c r="J4252" s="9"/>
    </row>
    <row r="4253">
      <c r="A4253" s="14"/>
      <c r="B4253" s="15"/>
      <c r="C4253" s="16"/>
      <c r="J4253" s="9"/>
    </row>
    <row r="4254">
      <c r="A4254" s="14"/>
      <c r="B4254" s="15"/>
      <c r="C4254" s="16"/>
      <c r="J4254" s="9"/>
    </row>
    <row r="4255">
      <c r="A4255" s="14"/>
      <c r="B4255" s="15"/>
      <c r="C4255" s="16"/>
      <c r="J4255" s="9"/>
    </row>
    <row r="4256">
      <c r="A4256" s="14"/>
      <c r="B4256" s="15"/>
      <c r="C4256" s="16"/>
      <c r="J4256" s="9"/>
    </row>
    <row r="4257">
      <c r="A4257" s="14"/>
      <c r="B4257" s="15"/>
      <c r="C4257" s="16"/>
      <c r="J4257" s="9"/>
    </row>
    <row r="4258">
      <c r="A4258" s="14"/>
      <c r="B4258" s="15"/>
      <c r="C4258" s="16"/>
      <c r="J4258" s="9"/>
    </row>
    <row r="4259">
      <c r="A4259" s="14"/>
      <c r="B4259" s="15"/>
      <c r="C4259" s="16"/>
      <c r="J4259" s="9"/>
    </row>
    <row r="4260">
      <c r="A4260" s="14"/>
      <c r="B4260" s="15"/>
      <c r="C4260" s="16"/>
      <c r="J4260" s="9"/>
    </row>
    <row r="4261">
      <c r="A4261" s="14"/>
      <c r="B4261" s="15"/>
      <c r="C4261" s="16"/>
      <c r="J4261" s="9"/>
    </row>
    <row r="4262">
      <c r="A4262" s="14"/>
      <c r="B4262" s="15"/>
      <c r="C4262" s="16"/>
      <c r="J4262" s="9"/>
    </row>
    <row r="4263">
      <c r="A4263" s="14"/>
      <c r="B4263" s="15"/>
      <c r="C4263" s="16"/>
      <c r="J4263" s="9"/>
    </row>
    <row r="4264">
      <c r="A4264" s="14"/>
      <c r="B4264" s="15"/>
      <c r="C4264" s="16"/>
      <c r="J4264" s="9"/>
    </row>
    <row r="4265">
      <c r="A4265" s="14"/>
      <c r="B4265" s="15"/>
      <c r="C4265" s="16"/>
      <c r="J4265" s="9"/>
    </row>
    <row r="4266">
      <c r="A4266" s="14"/>
      <c r="B4266" s="15"/>
      <c r="C4266" s="16"/>
      <c r="J4266" s="9"/>
    </row>
    <row r="4267">
      <c r="A4267" s="14"/>
      <c r="B4267" s="15"/>
      <c r="C4267" s="16"/>
      <c r="J4267" s="9"/>
    </row>
    <row r="4268">
      <c r="A4268" s="14"/>
      <c r="B4268" s="15"/>
      <c r="C4268" s="16"/>
      <c r="J4268" s="9"/>
    </row>
    <row r="4269">
      <c r="A4269" s="14"/>
      <c r="B4269" s="15"/>
      <c r="C4269" s="16"/>
      <c r="J4269" s="9"/>
    </row>
    <row r="4270">
      <c r="A4270" s="14"/>
      <c r="B4270" s="15"/>
      <c r="C4270" s="16"/>
      <c r="J4270" s="9"/>
    </row>
    <row r="4271">
      <c r="A4271" s="14"/>
      <c r="B4271" s="15"/>
      <c r="C4271" s="16"/>
      <c r="J4271" s="9"/>
    </row>
    <row r="4272">
      <c r="A4272" s="14"/>
      <c r="B4272" s="15"/>
      <c r="C4272" s="16"/>
      <c r="J4272" s="9"/>
    </row>
    <row r="4273">
      <c r="A4273" s="14"/>
      <c r="B4273" s="15"/>
      <c r="C4273" s="16"/>
      <c r="J4273" s="9"/>
    </row>
    <row r="4274">
      <c r="A4274" s="14"/>
      <c r="B4274" s="15"/>
      <c r="C4274" s="16"/>
      <c r="J4274" s="9"/>
    </row>
    <row r="4275">
      <c r="A4275" s="14"/>
      <c r="B4275" s="15"/>
      <c r="C4275" s="16"/>
      <c r="J4275" s="9"/>
    </row>
    <row r="4276">
      <c r="A4276" s="14"/>
      <c r="B4276" s="15"/>
      <c r="C4276" s="16"/>
      <c r="J4276" s="9"/>
    </row>
    <row r="4277">
      <c r="A4277" s="14"/>
      <c r="B4277" s="15"/>
      <c r="C4277" s="16"/>
      <c r="J4277" s="9"/>
    </row>
    <row r="4278">
      <c r="A4278" s="14"/>
      <c r="B4278" s="15"/>
      <c r="C4278" s="16"/>
      <c r="J4278" s="9"/>
    </row>
    <row r="4279">
      <c r="A4279" s="14"/>
      <c r="B4279" s="15"/>
      <c r="C4279" s="16"/>
      <c r="J4279" s="9"/>
    </row>
    <row r="4280">
      <c r="A4280" s="14"/>
      <c r="B4280" s="15"/>
      <c r="C4280" s="16"/>
      <c r="J4280" s="9"/>
    </row>
    <row r="4281">
      <c r="A4281" s="14"/>
      <c r="B4281" s="15"/>
      <c r="C4281" s="16"/>
      <c r="J4281" s="9"/>
    </row>
    <row r="4282">
      <c r="A4282" s="14"/>
      <c r="B4282" s="15"/>
      <c r="C4282" s="16"/>
      <c r="J4282" s="9"/>
    </row>
    <row r="4283">
      <c r="A4283" s="14"/>
      <c r="B4283" s="15"/>
      <c r="C4283" s="16"/>
      <c r="J4283" s="9"/>
    </row>
    <row r="4284">
      <c r="A4284" s="14"/>
      <c r="B4284" s="15"/>
      <c r="C4284" s="16"/>
      <c r="J4284" s="9"/>
    </row>
    <row r="4285">
      <c r="A4285" s="14"/>
      <c r="B4285" s="15"/>
      <c r="C4285" s="16"/>
      <c r="J4285" s="9"/>
    </row>
    <row r="4286">
      <c r="A4286" s="14"/>
      <c r="B4286" s="15"/>
      <c r="C4286" s="16"/>
      <c r="J4286" s="9"/>
    </row>
    <row r="4287">
      <c r="A4287" s="14"/>
      <c r="B4287" s="15"/>
      <c r="C4287" s="16"/>
      <c r="J4287" s="9"/>
    </row>
    <row r="4288">
      <c r="A4288" s="14"/>
      <c r="B4288" s="15"/>
      <c r="C4288" s="16"/>
      <c r="J4288" s="9"/>
    </row>
    <row r="4289">
      <c r="A4289" s="14"/>
      <c r="B4289" s="15"/>
      <c r="C4289" s="16"/>
      <c r="J4289" s="9"/>
    </row>
    <row r="4290">
      <c r="A4290" s="14"/>
      <c r="B4290" s="15"/>
      <c r="C4290" s="16"/>
      <c r="J4290" s="9"/>
    </row>
    <row r="4291">
      <c r="A4291" s="14"/>
      <c r="B4291" s="15"/>
      <c r="C4291" s="16"/>
      <c r="J4291" s="9"/>
    </row>
    <row r="4292">
      <c r="A4292" s="14"/>
      <c r="B4292" s="15"/>
      <c r="C4292" s="16"/>
      <c r="J4292" s="9"/>
    </row>
    <row r="4293">
      <c r="A4293" s="14"/>
      <c r="B4293" s="15"/>
      <c r="C4293" s="16"/>
      <c r="J4293" s="9"/>
    </row>
    <row r="4294">
      <c r="A4294" s="14"/>
      <c r="B4294" s="15"/>
      <c r="C4294" s="16"/>
      <c r="J4294" s="9"/>
    </row>
    <row r="4295">
      <c r="A4295" s="14"/>
      <c r="B4295" s="15"/>
      <c r="C4295" s="16"/>
      <c r="J4295" s="9"/>
    </row>
    <row r="4296">
      <c r="A4296" s="14"/>
      <c r="B4296" s="15"/>
      <c r="C4296" s="16"/>
      <c r="J4296" s="9"/>
    </row>
    <row r="4297">
      <c r="A4297" s="14"/>
      <c r="B4297" s="15"/>
      <c r="C4297" s="16"/>
      <c r="J4297" s="9"/>
    </row>
    <row r="4298">
      <c r="A4298" s="14"/>
      <c r="B4298" s="15"/>
      <c r="C4298" s="16"/>
      <c r="J4298" s="9"/>
    </row>
    <row r="4299">
      <c r="A4299" s="14"/>
      <c r="B4299" s="15"/>
      <c r="C4299" s="16"/>
      <c r="J4299" s="9"/>
    </row>
    <row r="4300">
      <c r="A4300" s="14"/>
      <c r="B4300" s="15"/>
      <c r="C4300" s="16"/>
      <c r="J4300" s="9"/>
    </row>
    <row r="4301">
      <c r="A4301" s="14"/>
      <c r="B4301" s="15"/>
      <c r="C4301" s="16"/>
      <c r="J4301" s="9"/>
    </row>
    <row r="4302">
      <c r="A4302" s="14"/>
      <c r="B4302" s="15"/>
      <c r="C4302" s="16"/>
      <c r="J4302" s="9"/>
    </row>
    <row r="4303">
      <c r="A4303" s="14"/>
      <c r="B4303" s="15"/>
      <c r="C4303" s="16"/>
      <c r="J4303" s="9"/>
    </row>
    <row r="4304">
      <c r="A4304" s="14"/>
      <c r="B4304" s="15"/>
      <c r="C4304" s="16"/>
      <c r="J4304" s="9"/>
    </row>
    <row r="4305">
      <c r="A4305" s="14"/>
      <c r="B4305" s="15"/>
      <c r="C4305" s="16"/>
      <c r="J4305" s="9"/>
    </row>
    <row r="4306">
      <c r="A4306" s="14"/>
      <c r="B4306" s="15"/>
      <c r="C4306" s="16"/>
      <c r="J4306" s="9"/>
    </row>
    <row r="4307">
      <c r="A4307" s="14"/>
      <c r="B4307" s="15"/>
      <c r="C4307" s="16"/>
      <c r="J4307" s="9"/>
    </row>
    <row r="4308">
      <c r="A4308" s="14"/>
      <c r="B4308" s="15"/>
      <c r="C4308" s="16"/>
      <c r="J4308" s="9"/>
    </row>
    <row r="4309">
      <c r="A4309" s="14"/>
      <c r="B4309" s="15"/>
      <c r="C4309" s="16"/>
      <c r="J4309" s="9"/>
    </row>
    <row r="4310">
      <c r="A4310" s="14"/>
      <c r="B4310" s="15"/>
      <c r="C4310" s="16"/>
      <c r="J4310" s="9"/>
    </row>
    <row r="4311">
      <c r="A4311" s="14"/>
      <c r="B4311" s="15"/>
      <c r="C4311" s="16"/>
      <c r="J4311" s="9"/>
    </row>
    <row r="4312">
      <c r="A4312" s="14"/>
      <c r="B4312" s="15"/>
      <c r="C4312" s="16"/>
      <c r="J4312" s="9"/>
    </row>
    <row r="4313">
      <c r="A4313" s="14"/>
      <c r="B4313" s="15"/>
      <c r="C4313" s="16"/>
      <c r="J4313" s="9"/>
    </row>
    <row r="4314">
      <c r="A4314" s="14"/>
      <c r="B4314" s="15"/>
      <c r="C4314" s="16"/>
      <c r="J4314" s="9"/>
    </row>
    <row r="4315">
      <c r="A4315" s="14"/>
      <c r="B4315" s="15"/>
      <c r="C4315" s="16"/>
      <c r="J4315" s="9"/>
    </row>
    <row r="4316">
      <c r="A4316" s="14"/>
      <c r="B4316" s="15"/>
      <c r="C4316" s="16"/>
      <c r="J4316" s="9"/>
    </row>
    <row r="4317">
      <c r="A4317" s="14"/>
      <c r="B4317" s="15"/>
      <c r="C4317" s="16"/>
      <c r="J4317" s="9"/>
    </row>
    <row r="4318">
      <c r="A4318" s="14"/>
      <c r="B4318" s="15"/>
      <c r="C4318" s="16"/>
      <c r="J4318" s="9"/>
    </row>
    <row r="4319">
      <c r="A4319" s="14"/>
      <c r="B4319" s="15"/>
      <c r="C4319" s="16"/>
      <c r="J4319" s="9"/>
    </row>
    <row r="4320">
      <c r="A4320" s="14"/>
      <c r="B4320" s="15"/>
      <c r="C4320" s="16"/>
      <c r="J4320" s="9"/>
    </row>
    <row r="4321">
      <c r="A4321" s="14"/>
      <c r="B4321" s="15"/>
      <c r="C4321" s="16"/>
      <c r="J4321" s="9"/>
    </row>
    <row r="4322">
      <c r="A4322" s="14"/>
      <c r="B4322" s="15"/>
      <c r="C4322" s="16"/>
      <c r="J4322" s="9"/>
    </row>
    <row r="4323">
      <c r="A4323" s="14"/>
      <c r="B4323" s="15"/>
      <c r="C4323" s="16"/>
      <c r="J4323" s="9"/>
    </row>
    <row r="4324">
      <c r="A4324" s="14"/>
      <c r="B4324" s="15"/>
      <c r="C4324" s="16"/>
      <c r="J4324" s="9"/>
    </row>
    <row r="4325">
      <c r="A4325" s="14"/>
      <c r="B4325" s="15"/>
      <c r="C4325" s="16"/>
      <c r="J4325" s="9"/>
    </row>
    <row r="4326">
      <c r="A4326" s="14"/>
      <c r="B4326" s="15"/>
      <c r="C4326" s="16"/>
      <c r="J4326" s="9"/>
    </row>
    <row r="4327">
      <c r="A4327" s="14"/>
      <c r="B4327" s="15"/>
      <c r="C4327" s="16"/>
      <c r="J4327" s="9"/>
    </row>
    <row r="4328">
      <c r="A4328" s="14"/>
      <c r="B4328" s="15"/>
      <c r="C4328" s="16"/>
      <c r="J4328" s="9"/>
    </row>
    <row r="4329">
      <c r="A4329" s="14"/>
      <c r="B4329" s="15"/>
      <c r="C4329" s="16"/>
      <c r="J4329" s="9"/>
    </row>
    <row r="4330">
      <c r="A4330" s="14"/>
      <c r="B4330" s="15"/>
      <c r="C4330" s="16"/>
      <c r="J4330" s="9"/>
    </row>
    <row r="4331">
      <c r="A4331" s="14"/>
      <c r="B4331" s="15"/>
      <c r="C4331" s="16"/>
      <c r="J4331" s="9"/>
    </row>
    <row r="4332">
      <c r="A4332" s="14"/>
      <c r="B4332" s="15"/>
      <c r="C4332" s="16"/>
      <c r="J4332" s="9"/>
    </row>
    <row r="4333">
      <c r="A4333" s="14"/>
      <c r="B4333" s="15"/>
      <c r="C4333" s="16"/>
      <c r="J4333" s="9"/>
    </row>
    <row r="4334">
      <c r="A4334" s="14"/>
      <c r="B4334" s="15"/>
      <c r="C4334" s="16"/>
      <c r="J4334" s="9"/>
    </row>
    <row r="4335">
      <c r="A4335" s="14"/>
      <c r="B4335" s="15"/>
      <c r="C4335" s="16"/>
      <c r="J4335" s="9"/>
    </row>
    <row r="4336">
      <c r="A4336" s="14"/>
      <c r="B4336" s="15"/>
      <c r="C4336" s="16"/>
      <c r="J4336" s="9"/>
    </row>
    <row r="4337">
      <c r="A4337" s="14"/>
      <c r="B4337" s="15"/>
      <c r="C4337" s="16"/>
      <c r="J4337" s="9"/>
    </row>
    <row r="4338">
      <c r="A4338" s="14"/>
      <c r="B4338" s="15"/>
      <c r="C4338" s="16"/>
      <c r="J4338" s="9"/>
    </row>
    <row r="4339">
      <c r="A4339" s="14"/>
      <c r="B4339" s="15"/>
      <c r="C4339" s="16"/>
      <c r="J4339" s="9"/>
    </row>
    <row r="4340">
      <c r="A4340" s="14"/>
      <c r="B4340" s="15"/>
      <c r="C4340" s="16"/>
      <c r="J4340" s="9"/>
    </row>
    <row r="4341">
      <c r="A4341" s="14"/>
      <c r="B4341" s="15"/>
      <c r="C4341" s="16"/>
      <c r="J4341" s="9"/>
    </row>
    <row r="4342">
      <c r="A4342" s="14"/>
      <c r="B4342" s="15"/>
      <c r="C4342" s="16"/>
      <c r="J4342" s="9"/>
    </row>
    <row r="4343">
      <c r="A4343" s="14"/>
      <c r="B4343" s="15"/>
      <c r="C4343" s="16"/>
      <c r="J4343" s="9"/>
    </row>
    <row r="4344">
      <c r="A4344" s="14"/>
      <c r="B4344" s="15"/>
      <c r="C4344" s="16"/>
      <c r="J4344" s="9"/>
    </row>
    <row r="4345">
      <c r="A4345" s="14"/>
      <c r="B4345" s="15"/>
      <c r="C4345" s="16"/>
      <c r="J4345" s="9"/>
    </row>
    <row r="4346">
      <c r="A4346" s="14"/>
      <c r="B4346" s="15"/>
      <c r="C4346" s="16"/>
      <c r="J4346" s="9"/>
    </row>
    <row r="4347">
      <c r="A4347" s="14"/>
      <c r="B4347" s="15"/>
      <c r="C4347" s="16"/>
      <c r="J4347" s="9"/>
    </row>
    <row r="4348">
      <c r="A4348" s="14"/>
      <c r="B4348" s="15"/>
      <c r="C4348" s="16"/>
      <c r="J4348" s="9"/>
    </row>
    <row r="4349">
      <c r="A4349" s="14"/>
      <c r="B4349" s="15"/>
      <c r="C4349" s="16"/>
      <c r="J4349" s="9"/>
    </row>
    <row r="4350">
      <c r="A4350" s="14"/>
      <c r="B4350" s="15"/>
      <c r="C4350" s="16"/>
      <c r="J4350" s="9"/>
    </row>
    <row r="4351">
      <c r="A4351" s="14"/>
      <c r="B4351" s="15"/>
      <c r="C4351" s="16"/>
      <c r="J4351" s="9"/>
    </row>
    <row r="4352">
      <c r="A4352" s="14"/>
      <c r="B4352" s="15"/>
      <c r="C4352" s="16"/>
      <c r="J4352" s="9"/>
    </row>
    <row r="4353">
      <c r="A4353" s="14"/>
      <c r="B4353" s="15"/>
      <c r="C4353" s="16"/>
      <c r="J4353" s="9"/>
    </row>
    <row r="4354">
      <c r="A4354" s="14"/>
      <c r="B4354" s="15"/>
      <c r="C4354" s="16"/>
      <c r="J4354" s="9"/>
    </row>
    <row r="4355">
      <c r="A4355" s="14"/>
      <c r="B4355" s="15"/>
      <c r="C4355" s="16"/>
      <c r="J4355" s="9"/>
    </row>
    <row r="4356">
      <c r="A4356" s="14"/>
      <c r="B4356" s="15"/>
      <c r="C4356" s="16"/>
      <c r="J4356" s="9"/>
    </row>
    <row r="4357">
      <c r="A4357" s="14"/>
      <c r="B4357" s="15"/>
      <c r="C4357" s="16"/>
      <c r="J4357" s="9"/>
    </row>
    <row r="4358">
      <c r="A4358" s="14"/>
      <c r="B4358" s="15"/>
      <c r="C4358" s="16"/>
      <c r="J4358" s="9"/>
    </row>
    <row r="4359">
      <c r="A4359" s="14"/>
      <c r="B4359" s="15"/>
      <c r="C4359" s="16"/>
      <c r="J4359" s="9"/>
    </row>
    <row r="4360">
      <c r="A4360" s="14"/>
      <c r="B4360" s="15"/>
      <c r="C4360" s="16"/>
      <c r="J4360" s="9"/>
    </row>
    <row r="4361">
      <c r="A4361" s="14"/>
      <c r="B4361" s="15"/>
      <c r="C4361" s="16"/>
      <c r="J4361" s="9"/>
    </row>
    <row r="4362">
      <c r="A4362" s="14"/>
      <c r="B4362" s="15"/>
      <c r="C4362" s="16"/>
      <c r="J4362" s="9"/>
    </row>
    <row r="4363">
      <c r="A4363" s="14"/>
      <c r="B4363" s="15"/>
      <c r="C4363" s="16"/>
      <c r="J4363" s="9"/>
    </row>
    <row r="4364">
      <c r="A4364" s="14"/>
      <c r="B4364" s="15"/>
      <c r="C4364" s="16"/>
      <c r="J4364" s="9"/>
    </row>
    <row r="4365">
      <c r="A4365" s="14"/>
      <c r="B4365" s="15"/>
      <c r="C4365" s="16"/>
      <c r="J4365" s="9"/>
    </row>
    <row r="4366">
      <c r="A4366" s="14"/>
      <c r="B4366" s="15"/>
      <c r="C4366" s="16"/>
      <c r="J4366" s="9"/>
    </row>
    <row r="4367">
      <c r="A4367" s="14"/>
      <c r="B4367" s="15"/>
      <c r="C4367" s="16"/>
      <c r="J4367" s="9"/>
    </row>
    <row r="4368">
      <c r="A4368" s="14"/>
      <c r="B4368" s="15"/>
      <c r="C4368" s="16"/>
      <c r="J4368" s="9"/>
    </row>
    <row r="4369">
      <c r="A4369" s="14"/>
      <c r="B4369" s="15"/>
      <c r="C4369" s="16"/>
      <c r="J4369" s="9"/>
    </row>
    <row r="4370">
      <c r="A4370" s="14"/>
      <c r="B4370" s="15"/>
      <c r="C4370" s="16"/>
      <c r="J4370" s="9"/>
    </row>
    <row r="4371">
      <c r="A4371" s="14"/>
      <c r="B4371" s="15"/>
      <c r="C4371" s="16"/>
      <c r="J4371" s="9"/>
    </row>
    <row r="4372">
      <c r="A4372" s="14"/>
      <c r="B4372" s="15"/>
      <c r="C4372" s="16"/>
      <c r="J4372" s="9"/>
    </row>
    <row r="4373">
      <c r="A4373" s="14"/>
      <c r="B4373" s="15"/>
      <c r="C4373" s="16"/>
      <c r="J4373" s="9"/>
    </row>
    <row r="4374">
      <c r="A4374" s="14"/>
      <c r="B4374" s="15"/>
      <c r="C4374" s="16"/>
      <c r="J4374" s="9"/>
    </row>
    <row r="4375">
      <c r="A4375" s="14"/>
      <c r="B4375" s="15"/>
      <c r="C4375" s="16"/>
      <c r="J4375" s="9"/>
    </row>
    <row r="4376">
      <c r="A4376" s="14"/>
      <c r="B4376" s="15"/>
      <c r="C4376" s="16"/>
      <c r="J4376" s="9"/>
    </row>
    <row r="4377">
      <c r="A4377" s="14"/>
      <c r="B4377" s="15"/>
      <c r="C4377" s="16"/>
      <c r="J4377" s="9"/>
    </row>
    <row r="4378">
      <c r="A4378" s="14"/>
      <c r="B4378" s="15"/>
      <c r="C4378" s="16"/>
      <c r="J4378" s="9"/>
    </row>
    <row r="4379">
      <c r="A4379" s="14"/>
      <c r="B4379" s="15"/>
      <c r="C4379" s="16"/>
      <c r="J4379" s="9"/>
    </row>
    <row r="4380">
      <c r="A4380" s="14"/>
      <c r="B4380" s="15"/>
      <c r="C4380" s="16"/>
      <c r="J4380" s="9"/>
    </row>
    <row r="4381">
      <c r="A4381" s="14"/>
      <c r="B4381" s="15"/>
      <c r="C4381" s="16"/>
      <c r="J4381" s="9"/>
    </row>
    <row r="4382">
      <c r="A4382" s="14"/>
      <c r="B4382" s="15"/>
      <c r="C4382" s="16"/>
      <c r="J4382" s="9"/>
    </row>
    <row r="4383">
      <c r="A4383" s="14"/>
      <c r="B4383" s="15"/>
      <c r="C4383" s="16"/>
      <c r="J4383" s="9"/>
    </row>
    <row r="4384">
      <c r="A4384" s="14"/>
      <c r="B4384" s="15"/>
      <c r="C4384" s="16"/>
      <c r="J4384" s="9"/>
    </row>
    <row r="4385">
      <c r="A4385" s="14"/>
      <c r="B4385" s="15"/>
      <c r="C4385" s="16"/>
      <c r="J4385" s="9"/>
    </row>
    <row r="4386">
      <c r="A4386" s="14"/>
      <c r="B4386" s="15"/>
      <c r="C4386" s="16"/>
      <c r="J4386" s="9"/>
    </row>
    <row r="4387">
      <c r="A4387" s="14"/>
      <c r="B4387" s="15"/>
      <c r="C4387" s="16"/>
      <c r="J4387" s="9"/>
    </row>
    <row r="4388">
      <c r="A4388" s="14"/>
      <c r="B4388" s="15"/>
      <c r="C4388" s="16"/>
      <c r="J4388" s="9"/>
    </row>
    <row r="4389">
      <c r="A4389" s="14"/>
      <c r="B4389" s="15"/>
      <c r="C4389" s="16"/>
      <c r="J4389" s="9"/>
    </row>
    <row r="4390">
      <c r="A4390" s="14"/>
      <c r="B4390" s="15"/>
      <c r="C4390" s="16"/>
      <c r="J4390" s="9"/>
    </row>
    <row r="4391">
      <c r="A4391" s="14"/>
      <c r="B4391" s="15"/>
      <c r="C4391" s="16"/>
      <c r="J4391" s="9"/>
    </row>
    <row r="4392">
      <c r="A4392" s="14"/>
      <c r="B4392" s="15"/>
      <c r="C4392" s="16"/>
      <c r="J4392" s="9"/>
    </row>
    <row r="4393">
      <c r="A4393" s="14"/>
      <c r="B4393" s="15"/>
      <c r="C4393" s="16"/>
      <c r="J4393" s="9"/>
    </row>
    <row r="4394">
      <c r="A4394" s="14"/>
      <c r="B4394" s="15"/>
      <c r="C4394" s="16"/>
      <c r="J4394" s="9"/>
    </row>
    <row r="4395">
      <c r="A4395" s="14"/>
      <c r="B4395" s="15"/>
      <c r="C4395" s="16"/>
      <c r="J4395" s="9"/>
    </row>
    <row r="4396">
      <c r="A4396" s="14"/>
      <c r="B4396" s="15"/>
      <c r="C4396" s="16"/>
      <c r="J4396" s="9"/>
    </row>
    <row r="4397">
      <c r="A4397" s="14"/>
      <c r="B4397" s="15"/>
      <c r="C4397" s="16"/>
      <c r="J4397" s="9"/>
    </row>
    <row r="4398">
      <c r="A4398" s="14"/>
      <c r="B4398" s="15"/>
      <c r="C4398" s="16"/>
      <c r="J4398" s="9"/>
    </row>
    <row r="4399">
      <c r="A4399" s="14"/>
      <c r="B4399" s="15"/>
      <c r="C4399" s="16"/>
      <c r="J4399" s="9"/>
    </row>
    <row r="4400">
      <c r="A4400" s="14"/>
      <c r="B4400" s="15"/>
      <c r="C4400" s="16"/>
      <c r="J4400" s="9"/>
    </row>
    <row r="4401">
      <c r="A4401" s="14"/>
      <c r="B4401" s="15"/>
      <c r="C4401" s="16"/>
      <c r="J4401" s="9"/>
    </row>
    <row r="4402">
      <c r="A4402" s="14"/>
      <c r="B4402" s="15"/>
      <c r="C4402" s="16"/>
      <c r="J4402" s="9"/>
    </row>
    <row r="4403">
      <c r="A4403" s="14"/>
      <c r="B4403" s="15"/>
      <c r="C4403" s="16"/>
      <c r="J4403" s="9"/>
    </row>
    <row r="4404">
      <c r="A4404" s="14"/>
      <c r="B4404" s="15"/>
      <c r="C4404" s="16"/>
      <c r="J4404" s="9"/>
    </row>
    <row r="4405">
      <c r="A4405" s="14"/>
      <c r="B4405" s="15"/>
      <c r="C4405" s="16"/>
      <c r="J4405" s="9"/>
    </row>
    <row r="4406">
      <c r="A4406" s="14"/>
      <c r="B4406" s="15"/>
      <c r="C4406" s="16"/>
      <c r="J4406" s="9"/>
    </row>
    <row r="4407">
      <c r="A4407" s="14"/>
      <c r="B4407" s="15"/>
      <c r="C4407" s="16"/>
      <c r="J4407" s="9"/>
    </row>
    <row r="4408">
      <c r="A4408" s="14"/>
      <c r="B4408" s="15"/>
      <c r="C4408" s="16"/>
      <c r="J4408" s="9"/>
    </row>
    <row r="4409">
      <c r="A4409" s="14"/>
      <c r="B4409" s="15"/>
      <c r="C4409" s="16"/>
      <c r="J4409" s="9"/>
    </row>
    <row r="4410">
      <c r="A4410" s="14"/>
      <c r="B4410" s="15"/>
      <c r="C4410" s="16"/>
      <c r="J4410" s="9"/>
    </row>
    <row r="4411">
      <c r="A4411" s="14"/>
      <c r="B4411" s="15"/>
      <c r="C4411" s="16"/>
      <c r="J4411" s="9"/>
    </row>
    <row r="4412">
      <c r="A4412" s="14"/>
      <c r="B4412" s="15"/>
      <c r="C4412" s="16"/>
      <c r="J4412" s="9"/>
    </row>
    <row r="4413">
      <c r="A4413" s="14"/>
      <c r="B4413" s="15"/>
      <c r="C4413" s="16"/>
      <c r="J4413" s="9"/>
    </row>
    <row r="4414">
      <c r="A4414" s="14"/>
      <c r="B4414" s="15"/>
      <c r="C4414" s="16"/>
      <c r="J4414" s="9"/>
    </row>
    <row r="4415">
      <c r="A4415" s="14"/>
      <c r="B4415" s="15"/>
      <c r="C4415" s="16"/>
      <c r="J4415" s="9"/>
    </row>
    <row r="4416">
      <c r="A4416" s="14"/>
      <c r="B4416" s="15"/>
      <c r="C4416" s="16"/>
      <c r="J4416" s="9"/>
    </row>
    <row r="4417">
      <c r="A4417" s="14"/>
      <c r="B4417" s="15"/>
      <c r="C4417" s="16"/>
      <c r="J4417" s="9"/>
    </row>
    <row r="4418">
      <c r="A4418" s="14"/>
      <c r="B4418" s="15"/>
      <c r="C4418" s="16"/>
      <c r="J4418" s="9"/>
    </row>
    <row r="4419">
      <c r="A4419" s="14"/>
      <c r="B4419" s="15"/>
      <c r="C4419" s="16"/>
      <c r="J4419" s="9"/>
    </row>
    <row r="4420">
      <c r="A4420" s="14"/>
      <c r="B4420" s="15"/>
      <c r="C4420" s="16"/>
      <c r="J4420" s="9"/>
    </row>
    <row r="4421">
      <c r="A4421" s="14"/>
      <c r="B4421" s="15"/>
      <c r="C4421" s="16"/>
      <c r="J4421" s="9"/>
    </row>
    <row r="4422">
      <c r="A4422" s="14"/>
      <c r="B4422" s="15"/>
      <c r="C4422" s="16"/>
      <c r="J4422" s="9"/>
    </row>
    <row r="4423">
      <c r="A4423" s="14"/>
      <c r="B4423" s="15"/>
      <c r="C4423" s="16"/>
      <c r="J4423" s="9"/>
    </row>
    <row r="4424">
      <c r="A4424" s="14"/>
      <c r="B4424" s="15"/>
      <c r="C4424" s="16"/>
      <c r="J4424" s="9"/>
    </row>
    <row r="4425">
      <c r="A4425" s="14"/>
      <c r="B4425" s="15"/>
      <c r="C4425" s="16"/>
      <c r="J4425" s="9"/>
    </row>
    <row r="4426">
      <c r="A4426" s="14"/>
      <c r="B4426" s="15"/>
      <c r="C4426" s="16"/>
      <c r="J4426" s="9"/>
    </row>
    <row r="4427">
      <c r="A4427" s="14"/>
      <c r="B4427" s="15"/>
      <c r="C4427" s="16"/>
      <c r="J4427" s="9"/>
    </row>
    <row r="4428">
      <c r="A4428" s="14"/>
      <c r="B4428" s="15"/>
      <c r="C4428" s="16"/>
      <c r="J4428" s="9"/>
    </row>
    <row r="4429">
      <c r="A4429" s="14"/>
      <c r="B4429" s="15"/>
      <c r="C4429" s="16"/>
      <c r="J4429" s="9"/>
    </row>
    <row r="4430">
      <c r="A4430" s="14"/>
      <c r="B4430" s="15"/>
      <c r="C4430" s="16"/>
      <c r="J4430" s="9"/>
    </row>
    <row r="4431">
      <c r="A4431" s="14"/>
      <c r="B4431" s="15"/>
      <c r="C4431" s="16"/>
      <c r="J4431" s="9"/>
    </row>
    <row r="4432">
      <c r="A4432" s="14"/>
      <c r="B4432" s="15"/>
      <c r="C4432" s="16"/>
      <c r="J4432" s="9"/>
    </row>
    <row r="4433">
      <c r="A4433" s="14"/>
      <c r="B4433" s="15"/>
      <c r="C4433" s="16"/>
      <c r="J4433" s="9"/>
    </row>
    <row r="4434">
      <c r="A4434" s="14"/>
      <c r="B4434" s="15"/>
      <c r="C4434" s="16"/>
      <c r="J4434" s="9"/>
    </row>
    <row r="4435">
      <c r="A4435" s="14"/>
      <c r="B4435" s="15"/>
      <c r="C4435" s="16"/>
      <c r="J4435" s="9"/>
    </row>
    <row r="4436">
      <c r="A4436" s="14"/>
      <c r="B4436" s="15"/>
      <c r="C4436" s="16"/>
      <c r="J4436" s="9"/>
    </row>
    <row r="4437">
      <c r="A4437" s="14"/>
      <c r="B4437" s="15"/>
      <c r="C4437" s="16"/>
      <c r="J4437" s="9"/>
    </row>
    <row r="4438">
      <c r="A4438" s="14"/>
      <c r="B4438" s="15"/>
      <c r="C4438" s="16"/>
      <c r="J4438" s="9"/>
    </row>
    <row r="4439">
      <c r="A4439" s="14"/>
      <c r="B4439" s="15"/>
      <c r="C4439" s="16"/>
      <c r="J4439" s="9"/>
    </row>
    <row r="4440">
      <c r="A4440" s="14"/>
      <c r="B4440" s="15"/>
      <c r="C4440" s="16"/>
      <c r="J4440" s="9"/>
    </row>
    <row r="4441">
      <c r="A4441" s="14"/>
      <c r="B4441" s="15"/>
      <c r="C4441" s="16"/>
      <c r="J4441" s="9"/>
    </row>
    <row r="4442">
      <c r="A4442" s="14"/>
      <c r="B4442" s="15"/>
      <c r="C4442" s="16"/>
      <c r="J4442" s="9"/>
    </row>
    <row r="4443">
      <c r="A4443" s="14"/>
      <c r="B4443" s="15"/>
      <c r="C4443" s="16"/>
      <c r="J4443" s="9"/>
    </row>
    <row r="4444">
      <c r="A4444" s="14"/>
      <c r="B4444" s="15"/>
      <c r="C4444" s="16"/>
      <c r="J4444" s="9"/>
    </row>
    <row r="4445">
      <c r="A4445" s="14"/>
      <c r="B4445" s="15"/>
      <c r="C4445" s="16"/>
      <c r="J4445" s="9"/>
    </row>
    <row r="4446">
      <c r="A4446" s="14"/>
      <c r="B4446" s="15"/>
      <c r="C4446" s="16"/>
      <c r="J4446" s="9"/>
    </row>
    <row r="4447">
      <c r="A4447" s="14"/>
      <c r="B4447" s="15"/>
      <c r="C4447" s="16"/>
      <c r="J4447" s="9"/>
    </row>
    <row r="4448">
      <c r="A4448" s="14"/>
      <c r="B4448" s="15"/>
      <c r="C4448" s="16"/>
      <c r="J4448" s="9"/>
    </row>
    <row r="4449">
      <c r="A4449" s="14"/>
      <c r="B4449" s="15"/>
      <c r="C4449" s="16"/>
      <c r="J4449" s="9"/>
    </row>
    <row r="4450">
      <c r="A4450" s="14"/>
      <c r="B4450" s="15"/>
      <c r="C4450" s="16"/>
      <c r="J4450" s="9"/>
    </row>
    <row r="4451">
      <c r="A4451" s="14"/>
      <c r="B4451" s="15"/>
      <c r="C4451" s="16"/>
      <c r="J4451" s="9"/>
    </row>
    <row r="4452">
      <c r="A4452" s="14"/>
      <c r="B4452" s="15"/>
      <c r="C4452" s="16"/>
      <c r="J4452" s="9"/>
    </row>
    <row r="4453">
      <c r="A4453" s="14"/>
      <c r="B4453" s="15"/>
      <c r="C4453" s="16"/>
      <c r="J4453" s="9"/>
    </row>
    <row r="4454">
      <c r="A4454" s="14"/>
      <c r="B4454" s="15"/>
      <c r="C4454" s="16"/>
      <c r="J4454" s="9"/>
    </row>
    <row r="4455">
      <c r="A4455" s="14"/>
      <c r="B4455" s="15"/>
      <c r="C4455" s="16"/>
      <c r="J4455" s="9"/>
    </row>
    <row r="4456">
      <c r="A4456" s="14"/>
      <c r="B4456" s="15"/>
      <c r="C4456" s="16"/>
      <c r="J4456" s="9"/>
    </row>
    <row r="4457">
      <c r="A4457" s="14"/>
      <c r="B4457" s="15"/>
      <c r="C4457" s="16"/>
      <c r="J4457" s="9"/>
    </row>
    <row r="4458">
      <c r="A4458" s="14"/>
      <c r="B4458" s="15"/>
      <c r="C4458" s="16"/>
      <c r="J4458" s="9"/>
    </row>
    <row r="4459">
      <c r="A4459" s="14"/>
      <c r="B4459" s="15"/>
      <c r="C4459" s="16"/>
      <c r="J4459" s="9"/>
    </row>
    <row r="4460">
      <c r="A4460" s="14"/>
      <c r="B4460" s="15"/>
      <c r="C4460" s="16"/>
      <c r="J4460" s="9"/>
    </row>
    <row r="4461">
      <c r="A4461" s="14"/>
      <c r="B4461" s="15"/>
      <c r="C4461" s="16"/>
      <c r="J4461" s="9"/>
    </row>
    <row r="4462">
      <c r="A4462" s="14"/>
      <c r="B4462" s="15"/>
      <c r="C4462" s="16"/>
      <c r="J4462" s="9"/>
    </row>
    <row r="4463">
      <c r="A4463" s="14"/>
      <c r="B4463" s="15"/>
      <c r="C4463" s="16"/>
      <c r="J4463" s="9"/>
    </row>
    <row r="4464">
      <c r="A4464" s="14"/>
      <c r="B4464" s="15"/>
      <c r="C4464" s="16"/>
      <c r="J4464" s="9"/>
    </row>
    <row r="4465">
      <c r="A4465" s="14"/>
      <c r="B4465" s="15"/>
      <c r="C4465" s="16"/>
      <c r="J4465" s="9"/>
    </row>
    <row r="4466">
      <c r="A4466" s="14"/>
      <c r="B4466" s="15"/>
      <c r="C4466" s="16"/>
      <c r="J4466" s="9"/>
    </row>
    <row r="4467">
      <c r="A4467" s="14"/>
      <c r="B4467" s="15"/>
      <c r="C4467" s="16"/>
      <c r="J4467" s="9"/>
    </row>
    <row r="4468">
      <c r="A4468" s="14"/>
      <c r="B4468" s="15"/>
      <c r="C4468" s="16"/>
      <c r="J4468" s="9"/>
    </row>
    <row r="4469">
      <c r="A4469" s="14"/>
      <c r="B4469" s="15"/>
      <c r="C4469" s="16"/>
      <c r="J4469" s="9"/>
    </row>
    <row r="4470">
      <c r="A4470" s="14"/>
      <c r="B4470" s="15"/>
      <c r="C4470" s="16"/>
      <c r="J4470" s="9"/>
    </row>
    <row r="4471">
      <c r="A4471" s="14"/>
      <c r="B4471" s="15"/>
      <c r="C4471" s="16"/>
      <c r="J4471" s="9"/>
    </row>
    <row r="4472">
      <c r="A4472" s="14"/>
      <c r="B4472" s="15"/>
      <c r="C4472" s="16"/>
      <c r="J4472" s="9"/>
    </row>
    <row r="4473">
      <c r="A4473" s="14"/>
      <c r="B4473" s="15"/>
      <c r="C4473" s="16"/>
      <c r="J4473" s="9"/>
    </row>
    <row r="4474">
      <c r="A4474" s="14"/>
      <c r="B4474" s="15"/>
      <c r="C4474" s="16"/>
      <c r="J4474" s="9"/>
    </row>
    <row r="4475">
      <c r="A4475" s="14"/>
      <c r="B4475" s="15"/>
      <c r="C4475" s="16"/>
      <c r="J4475" s="9"/>
    </row>
    <row r="4476">
      <c r="A4476" s="14"/>
      <c r="B4476" s="15"/>
      <c r="C4476" s="16"/>
      <c r="J4476" s="9"/>
    </row>
    <row r="4477">
      <c r="A4477" s="14"/>
      <c r="B4477" s="15"/>
      <c r="C4477" s="16"/>
      <c r="J4477" s="9"/>
    </row>
    <row r="4478">
      <c r="A4478" s="14"/>
      <c r="B4478" s="15"/>
      <c r="C4478" s="16"/>
      <c r="J4478" s="9"/>
    </row>
    <row r="4479">
      <c r="A4479" s="14"/>
      <c r="B4479" s="15"/>
      <c r="C4479" s="16"/>
      <c r="J4479" s="9"/>
    </row>
    <row r="4480">
      <c r="A4480" s="14"/>
      <c r="B4480" s="15"/>
      <c r="C4480" s="16"/>
      <c r="J4480" s="9"/>
    </row>
    <row r="4481">
      <c r="A4481" s="14"/>
      <c r="B4481" s="15"/>
      <c r="C4481" s="16"/>
      <c r="J4481" s="9"/>
    </row>
    <row r="4482">
      <c r="A4482" s="14"/>
      <c r="B4482" s="15"/>
      <c r="C4482" s="16"/>
      <c r="J4482" s="9"/>
    </row>
    <row r="4483">
      <c r="A4483" s="14"/>
      <c r="B4483" s="15"/>
      <c r="C4483" s="16"/>
      <c r="J4483" s="9"/>
    </row>
    <row r="4484">
      <c r="A4484" s="14"/>
      <c r="B4484" s="15"/>
      <c r="C4484" s="16"/>
      <c r="J4484" s="9"/>
    </row>
    <row r="4485">
      <c r="A4485" s="14"/>
      <c r="B4485" s="15"/>
      <c r="C4485" s="16"/>
      <c r="J4485" s="9"/>
    </row>
    <row r="4486">
      <c r="A4486" s="14"/>
      <c r="B4486" s="15"/>
      <c r="C4486" s="16"/>
      <c r="J4486" s="9"/>
    </row>
    <row r="4487">
      <c r="A4487" s="14"/>
      <c r="B4487" s="15"/>
      <c r="C4487" s="16"/>
      <c r="J4487" s="9"/>
    </row>
    <row r="4488">
      <c r="A4488" s="14"/>
      <c r="B4488" s="15"/>
      <c r="C4488" s="16"/>
      <c r="J4488" s="9"/>
    </row>
    <row r="4489">
      <c r="A4489" s="14"/>
      <c r="B4489" s="15"/>
      <c r="C4489" s="16"/>
      <c r="J4489" s="9"/>
    </row>
    <row r="4490">
      <c r="A4490" s="14"/>
      <c r="B4490" s="15"/>
      <c r="C4490" s="16"/>
      <c r="J4490" s="9"/>
    </row>
    <row r="4491">
      <c r="A4491" s="14"/>
      <c r="B4491" s="15"/>
      <c r="C4491" s="16"/>
      <c r="J4491" s="9"/>
    </row>
    <row r="4492">
      <c r="A4492" s="14"/>
      <c r="B4492" s="15"/>
      <c r="C4492" s="16"/>
      <c r="J4492" s="9"/>
    </row>
    <row r="4493">
      <c r="A4493" s="14"/>
      <c r="B4493" s="15"/>
      <c r="C4493" s="16"/>
      <c r="J4493" s="9"/>
    </row>
    <row r="4494">
      <c r="A4494" s="14"/>
      <c r="B4494" s="15"/>
      <c r="C4494" s="16"/>
      <c r="J4494" s="9"/>
    </row>
    <row r="4495">
      <c r="A4495" s="14"/>
      <c r="B4495" s="15"/>
      <c r="C4495" s="16"/>
      <c r="J4495" s="9"/>
    </row>
    <row r="4496">
      <c r="A4496" s="14"/>
      <c r="B4496" s="15"/>
      <c r="C4496" s="16"/>
      <c r="J4496" s="9"/>
    </row>
    <row r="4497">
      <c r="A4497" s="14"/>
      <c r="B4497" s="15"/>
      <c r="C4497" s="16"/>
      <c r="J4497" s="9"/>
    </row>
    <row r="4498">
      <c r="A4498" s="14"/>
      <c r="B4498" s="15"/>
      <c r="C4498" s="16"/>
      <c r="J4498" s="9"/>
    </row>
    <row r="4499">
      <c r="A4499" s="14"/>
      <c r="B4499" s="15"/>
      <c r="C4499" s="16"/>
      <c r="J4499" s="9"/>
    </row>
    <row r="4500">
      <c r="A4500" s="14"/>
      <c r="B4500" s="15"/>
      <c r="C4500" s="16"/>
      <c r="J4500" s="9"/>
    </row>
    <row r="4501">
      <c r="A4501" s="14"/>
      <c r="B4501" s="15"/>
      <c r="C4501" s="16"/>
      <c r="J4501" s="9"/>
    </row>
    <row r="4502">
      <c r="A4502" s="14"/>
      <c r="B4502" s="15"/>
      <c r="C4502" s="16"/>
      <c r="J4502" s="9"/>
    </row>
    <row r="4503">
      <c r="A4503" s="14"/>
      <c r="B4503" s="15"/>
      <c r="C4503" s="16"/>
      <c r="J4503" s="9"/>
    </row>
    <row r="4504">
      <c r="A4504" s="14"/>
      <c r="B4504" s="15"/>
      <c r="C4504" s="16"/>
      <c r="J4504" s="9"/>
    </row>
    <row r="4505">
      <c r="A4505" s="14"/>
      <c r="B4505" s="15"/>
      <c r="C4505" s="16"/>
      <c r="J4505" s="9"/>
    </row>
    <row r="4506">
      <c r="A4506" s="14"/>
      <c r="B4506" s="15"/>
      <c r="C4506" s="16"/>
      <c r="J4506" s="9"/>
    </row>
    <row r="4507">
      <c r="A4507" s="14"/>
      <c r="B4507" s="15"/>
      <c r="C4507" s="16"/>
      <c r="J4507" s="9"/>
    </row>
    <row r="4508">
      <c r="A4508" s="14"/>
      <c r="B4508" s="15"/>
      <c r="C4508" s="16"/>
      <c r="J4508" s="9"/>
    </row>
    <row r="4509">
      <c r="A4509" s="14"/>
      <c r="B4509" s="15"/>
      <c r="C4509" s="16"/>
      <c r="J4509" s="9"/>
    </row>
    <row r="4510">
      <c r="A4510" s="14"/>
      <c r="B4510" s="15"/>
      <c r="C4510" s="16"/>
      <c r="J4510" s="9"/>
    </row>
    <row r="4511">
      <c r="A4511" s="14"/>
      <c r="B4511" s="15"/>
      <c r="C4511" s="16"/>
      <c r="J4511" s="9"/>
    </row>
    <row r="4512">
      <c r="A4512" s="14"/>
      <c r="B4512" s="15"/>
      <c r="C4512" s="16"/>
      <c r="J4512" s="9"/>
    </row>
    <row r="4513">
      <c r="A4513" s="14"/>
      <c r="B4513" s="15"/>
      <c r="C4513" s="16"/>
      <c r="J4513" s="9"/>
    </row>
    <row r="4514">
      <c r="A4514" s="14"/>
      <c r="B4514" s="15"/>
      <c r="C4514" s="16"/>
      <c r="J4514" s="9"/>
    </row>
    <row r="4515">
      <c r="A4515" s="14"/>
      <c r="B4515" s="15"/>
      <c r="C4515" s="16"/>
      <c r="J4515" s="9"/>
    </row>
    <row r="4516">
      <c r="A4516" s="14"/>
      <c r="B4516" s="15"/>
      <c r="C4516" s="16"/>
      <c r="J4516" s="9"/>
    </row>
    <row r="4517">
      <c r="A4517" s="14"/>
      <c r="B4517" s="15"/>
      <c r="C4517" s="16"/>
      <c r="J4517" s="9"/>
    </row>
    <row r="4518">
      <c r="A4518" s="14"/>
      <c r="B4518" s="15"/>
      <c r="C4518" s="16"/>
      <c r="J4518" s="9"/>
    </row>
    <row r="4519">
      <c r="A4519" s="14"/>
      <c r="B4519" s="15"/>
      <c r="C4519" s="16"/>
      <c r="J4519" s="9"/>
    </row>
    <row r="4520">
      <c r="A4520" s="14"/>
      <c r="B4520" s="15"/>
      <c r="C4520" s="16"/>
      <c r="J4520" s="9"/>
    </row>
    <row r="4521">
      <c r="A4521" s="14"/>
      <c r="B4521" s="15"/>
      <c r="C4521" s="16"/>
      <c r="J4521" s="9"/>
    </row>
    <row r="4522">
      <c r="A4522" s="14"/>
      <c r="B4522" s="15"/>
      <c r="C4522" s="16"/>
      <c r="J4522" s="9"/>
    </row>
    <row r="4523">
      <c r="A4523" s="14"/>
      <c r="B4523" s="15"/>
      <c r="C4523" s="16"/>
      <c r="J4523" s="9"/>
    </row>
    <row r="4524">
      <c r="A4524" s="14"/>
      <c r="B4524" s="15"/>
      <c r="C4524" s="16"/>
      <c r="J4524" s="9"/>
    </row>
    <row r="4525">
      <c r="A4525" s="14"/>
      <c r="B4525" s="15"/>
      <c r="C4525" s="16"/>
      <c r="J4525" s="9"/>
    </row>
    <row r="4526">
      <c r="A4526" s="14"/>
      <c r="B4526" s="15"/>
      <c r="C4526" s="16"/>
      <c r="J4526" s="9"/>
    </row>
    <row r="4527">
      <c r="A4527" s="14"/>
      <c r="B4527" s="15"/>
      <c r="C4527" s="16"/>
      <c r="J4527" s="9"/>
    </row>
    <row r="4528">
      <c r="A4528" s="14"/>
      <c r="B4528" s="15"/>
      <c r="C4528" s="16"/>
      <c r="J4528" s="9"/>
    </row>
    <row r="4529">
      <c r="A4529" s="14"/>
      <c r="B4529" s="15"/>
      <c r="C4529" s="16"/>
      <c r="J4529" s="9"/>
    </row>
    <row r="4530">
      <c r="A4530" s="14"/>
      <c r="B4530" s="15"/>
      <c r="C4530" s="16"/>
      <c r="J4530" s="9"/>
    </row>
    <row r="4531">
      <c r="A4531" s="14"/>
      <c r="B4531" s="15"/>
      <c r="C4531" s="16"/>
      <c r="J4531" s="9"/>
    </row>
    <row r="4532">
      <c r="A4532" s="14"/>
      <c r="B4532" s="15"/>
      <c r="C4532" s="16"/>
      <c r="J4532" s="9"/>
    </row>
    <row r="4533">
      <c r="A4533" s="14"/>
      <c r="B4533" s="15"/>
      <c r="C4533" s="16"/>
      <c r="J4533" s="9"/>
    </row>
    <row r="4534">
      <c r="A4534" s="14"/>
      <c r="B4534" s="15"/>
      <c r="C4534" s="16"/>
      <c r="J4534" s="9"/>
    </row>
    <row r="4535">
      <c r="A4535" s="14"/>
      <c r="B4535" s="15"/>
      <c r="C4535" s="16"/>
      <c r="J4535" s="9"/>
    </row>
    <row r="4536">
      <c r="A4536" s="14"/>
      <c r="B4536" s="15"/>
      <c r="C4536" s="16"/>
      <c r="J4536" s="9"/>
    </row>
    <row r="4537">
      <c r="A4537" s="14"/>
      <c r="B4537" s="15"/>
      <c r="C4537" s="16"/>
      <c r="J4537" s="9"/>
    </row>
    <row r="4538">
      <c r="A4538" s="14"/>
      <c r="B4538" s="15"/>
      <c r="C4538" s="16"/>
      <c r="J4538" s="9"/>
    </row>
    <row r="4539">
      <c r="A4539" s="14"/>
      <c r="B4539" s="15"/>
      <c r="C4539" s="16"/>
      <c r="J4539" s="9"/>
    </row>
    <row r="4540">
      <c r="A4540" s="14"/>
      <c r="B4540" s="15"/>
      <c r="C4540" s="16"/>
      <c r="J4540" s="9"/>
    </row>
    <row r="4541">
      <c r="A4541" s="14"/>
      <c r="B4541" s="15"/>
      <c r="C4541" s="16"/>
      <c r="J4541" s="9"/>
    </row>
    <row r="4542">
      <c r="A4542" s="14"/>
      <c r="B4542" s="15"/>
      <c r="C4542" s="16"/>
      <c r="J4542" s="9"/>
    </row>
    <row r="4543">
      <c r="A4543" s="14"/>
      <c r="B4543" s="15"/>
      <c r="C4543" s="16"/>
      <c r="J4543" s="9"/>
    </row>
    <row r="4544">
      <c r="A4544" s="14"/>
      <c r="B4544" s="15"/>
      <c r="C4544" s="16"/>
      <c r="J4544" s="9"/>
    </row>
    <row r="4545">
      <c r="A4545" s="14"/>
      <c r="B4545" s="15"/>
      <c r="C4545" s="16"/>
      <c r="J4545" s="9"/>
    </row>
    <row r="4546">
      <c r="A4546" s="14"/>
      <c r="B4546" s="15"/>
      <c r="C4546" s="16"/>
      <c r="J4546" s="9"/>
    </row>
    <row r="4547">
      <c r="A4547" s="14"/>
      <c r="B4547" s="15"/>
      <c r="C4547" s="16"/>
      <c r="J4547" s="9"/>
    </row>
    <row r="4548">
      <c r="A4548" s="14"/>
      <c r="B4548" s="15"/>
      <c r="C4548" s="16"/>
      <c r="J4548" s="9"/>
    </row>
    <row r="4549">
      <c r="A4549" s="14"/>
      <c r="B4549" s="15"/>
      <c r="C4549" s="16"/>
      <c r="J4549" s="9"/>
    </row>
    <row r="4550">
      <c r="A4550" s="14"/>
      <c r="B4550" s="15"/>
      <c r="C4550" s="16"/>
      <c r="J4550" s="9"/>
    </row>
    <row r="4551">
      <c r="A4551" s="14"/>
      <c r="B4551" s="15"/>
      <c r="C4551" s="16"/>
      <c r="J4551" s="9"/>
    </row>
    <row r="4552">
      <c r="A4552" s="14"/>
      <c r="B4552" s="15"/>
      <c r="C4552" s="16"/>
      <c r="J4552" s="9"/>
    </row>
    <row r="4553">
      <c r="A4553" s="14"/>
      <c r="B4553" s="15"/>
      <c r="C4553" s="16"/>
      <c r="J4553" s="9"/>
    </row>
    <row r="4554">
      <c r="A4554" s="14"/>
      <c r="B4554" s="15"/>
      <c r="C4554" s="16"/>
      <c r="J4554" s="9"/>
    </row>
    <row r="4555">
      <c r="A4555" s="14"/>
      <c r="B4555" s="15"/>
      <c r="C4555" s="16"/>
      <c r="J4555" s="9"/>
    </row>
    <row r="4556">
      <c r="A4556" s="14"/>
      <c r="B4556" s="15"/>
      <c r="C4556" s="16"/>
      <c r="J4556" s="9"/>
    </row>
    <row r="4557">
      <c r="A4557" s="14"/>
      <c r="B4557" s="15"/>
      <c r="C4557" s="16"/>
      <c r="J4557" s="9"/>
    </row>
    <row r="4558">
      <c r="A4558" s="14"/>
      <c r="B4558" s="15"/>
      <c r="C4558" s="16"/>
      <c r="J4558" s="9"/>
    </row>
    <row r="4559">
      <c r="A4559" s="14"/>
      <c r="B4559" s="15"/>
      <c r="C4559" s="16"/>
      <c r="J4559" s="9"/>
    </row>
    <row r="4560">
      <c r="A4560" s="14"/>
      <c r="B4560" s="15"/>
      <c r="C4560" s="16"/>
      <c r="J4560" s="9"/>
    </row>
    <row r="4561">
      <c r="A4561" s="14"/>
      <c r="B4561" s="15"/>
      <c r="C4561" s="16"/>
      <c r="J4561" s="9"/>
    </row>
    <row r="4562">
      <c r="A4562" s="14"/>
      <c r="B4562" s="15"/>
      <c r="C4562" s="16"/>
      <c r="J4562" s="9"/>
    </row>
    <row r="4563">
      <c r="A4563" s="14"/>
      <c r="B4563" s="15"/>
      <c r="C4563" s="16"/>
      <c r="J4563" s="9"/>
    </row>
    <row r="4564">
      <c r="A4564" s="14"/>
      <c r="B4564" s="15"/>
      <c r="C4564" s="16"/>
      <c r="J4564" s="9"/>
    </row>
    <row r="4565">
      <c r="A4565" s="14"/>
      <c r="B4565" s="15"/>
      <c r="C4565" s="16"/>
      <c r="J4565" s="9"/>
    </row>
    <row r="4566">
      <c r="A4566" s="14"/>
      <c r="B4566" s="15"/>
      <c r="C4566" s="16"/>
      <c r="J4566" s="9"/>
    </row>
    <row r="4567">
      <c r="A4567" s="14"/>
      <c r="B4567" s="15"/>
      <c r="C4567" s="16"/>
      <c r="J4567" s="9"/>
    </row>
    <row r="4568">
      <c r="A4568" s="14"/>
      <c r="B4568" s="15"/>
      <c r="C4568" s="16"/>
      <c r="J4568" s="9"/>
    </row>
    <row r="4569">
      <c r="A4569" s="14"/>
      <c r="B4569" s="15"/>
      <c r="C4569" s="16"/>
      <c r="J4569" s="9"/>
    </row>
    <row r="4570">
      <c r="A4570" s="14"/>
      <c r="B4570" s="15"/>
      <c r="C4570" s="16"/>
      <c r="J4570" s="9"/>
    </row>
    <row r="4571">
      <c r="A4571" s="14"/>
      <c r="B4571" s="15"/>
      <c r="C4571" s="16"/>
      <c r="J4571" s="9"/>
    </row>
    <row r="4572">
      <c r="A4572" s="14"/>
      <c r="B4572" s="15"/>
      <c r="C4572" s="16"/>
      <c r="J4572" s="9"/>
    </row>
    <row r="4573">
      <c r="A4573" s="14"/>
      <c r="B4573" s="15"/>
      <c r="C4573" s="16"/>
      <c r="J4573" s="9"/>
    </row>
    <row r="4574">
      <c r="A4574" s="14"/>
      <c r="B4574" s="15"/>
      <c r="C4574" s="16"/>
      <c r="J4574" s="9"/>
    </row>
    <row r="4575">
      <c r="A4575" s="14"/>
      <c r="B4575" s="15"/>
      <c r="C4575" s="16"/>
      <c r="J4575" s="9"/>
    </row>
    <row r="4576">
      <c r="A4576" s="14"/>
      <c r="B4576" s="15"/>
      <c r="C4576" s="16"/>
      <c r="J4576" s="9"/>
    </row>
    <row r="4577">
      <c r="A4577" s="14"/>
      <c r="B4577" s="15"/>
      <c r="C4577" s="16"/>
      <c r="J4577" s="9"/>
    </row>
    <row r="4578">
      <c r="A4578" s="14"/>
      <c r="B4578" s="15"/>
      <c r="C4578" s="16"/>
      <c r="J4578" s="9"/>
    </row>
    <row r="4579">
      <c r="A4579" s="14"/>
      <c r="B4579" s="15"/>
      <c r="C4579" s="16"/>
      <c r="J4579" s="9"/>
    </row>
    <row r="4580">
      <c r="A4580" s="14"/>
      <c r="B4580" s="15"/>
      <c r="C4580" s="16"/>
      <c r="J4580" s="9"/>
    </row>
    <row r="4581">
      <c r="A4581" s="14"/>
      <c r="B4581" s="15"/>
      <c r="C4581" s="16"/>
      <c r="J4581" s="9"/>
    </row>
    <row r="4582">
      <c r="A4582" s="14"/>
      <c r="B4582" s="15"/>
      <c r="C4582" s="16"/>
      <c r="J4582" s="9"/>
    </row>
    <row r="4583">
      <c r="A4583" s="14"/>
      <c r="B4583" s="15"/>
      <c r="C4583" s="16"/>
      <c r="J4583" s="9"/>
    </row>
    <row r="4584">
      <c r="A4584" s="14"/>
      <c r="B4584" s="15"/>
      <c r="C4584" s="16"/>
      <c r="J4584" s="9"/>
    </row>
    <row r="4585">
      <c r="A4585" s="14"/>
      <c r="B4585" s="15"/>
      <c r="C4585" s="16"/>
      <c r="J4585" s="9"/>
    </row>
    <row r="4586">
      <c r="A4586" s="14"/>
      <c r="B4586" s="15"/>
      <c r="C4586" s="16"/>
      <c r="J4586" s="9"/>
    </row>
    <row r="4587">
      <c r="A4587" s="14"/>
      <c r="B4587" s="15"/>
      <c r="C4587" s="16"/>
      <c r="J4587" s="9"/>
    </row>
    <row r="4588">
      <c r="A4588" s="14"/>
      <c r="B4588" s="15"/>
      <c r="C4588" s="16"/>
      <c r="J4588" s="9"/>
    </row>
    <row r="4589">
      <c r="A4589" s="14"/>
      <c r="B4589" s="15"/>
      <c r="C4589" s="16"/>
      <c r="J4589" s="9"/>
    </row>
    <row r="4590">
      <c r="A4590" s="14"/>
      <c r="B4590" s="15"/>
      <c r="C4590" s="16"/>
      <c r="J4590" s="9"/>
    </row>
    <row r="4591">
      <c r="A4591" s="14"/>
      <c r="B4591" s="15"/>
      <c r="C4591" s="16"/>
      <c r="J4591" s="9"/>
    </row>
    <row r="4592">
      <c r="A4592" s="14"/>
      <c r="B4592" s="15"/>
      <c r="C4592" s="16"/>
      <c r="J4592" s="9"/>
    </row>
    <row r="4593">
      <c r="A4593" s="14"/>
      <c r="B4593" s="15"/>
      <c r="C4593" s="16"/>
      <c r="J4593" s="9"/>
    </row>
    <row r="4594">
      <c r="A4594" s="14"/>
      <c r="B4594" s="15"/>
      <c r="C4594" s="16"/>
      <c r="J4594" s="9"/>
    </row>
    <row r="4595">
      <c r="A4595" s="14"/>
      <c r="B4595" s="15"/>
      <c r="C4595" s="16"/>
      <c r="J4595" s="9"/>
    </row>
    <row r="4596">
      <c r="A4596" s="14"/>
      <c r="B4596" s="15"/>
      <c r="C4596" s="16"/>
      <c r="J4596" s="9"/>
    </row>
    <row r="4597">
      <c r="A4597" s="14"/>
      <c r="B4597" s="15"/>
      <c r="C4597" s="16"/>
      <c r="J4597" s="9"/>
    </row>
    <row r="4598">
      <c r="A4598" s="14"/>
      <c r="B4598" s="15"/>
      <c r="C4598" s="16"/>
      <c r="J4598" s="9"/>
    </row>
    <row r="4599">
      <c r="A4599" s="14"/>
      <c r="B4599" s="15"/>
      <c r="C4599" s="16"/>
      <c r="J4599" s="9"/>
    </row>
    <row r="4600">
      <c r="A4600" s="14"/>
      <c r="B4600" s="15"/>
      <c r="C4600" s="16"/>
      <c r="J4600" s="9"/>
    </row>
    <row r="4601">
      <c r="A4601" s="14"/>
      <c r="B4601" s="15"/>
      <c r="C4601" s="16"/>
      <c r="J4601" s="9"/>
    </row>
    <row r="4602">
      <c r="A4602" s="14"/>
      <c r="B4602" s="15"/>
      <c r="C4602" s="16"/>
      <c r="J4602" s="9"/>
    </row>
    <row r="4603">
      <c r="A4603" s="14"/>
      <c r="B4603" s="15"/>
      <c r="C4603" s="16"/>
      <c r="J4603" s="9"/>
    </row>
    <row r="4604">
      <c r="A4604" s="14"/>
      <c r="B4604" s="15"/>
      <c r="C4604" s="16"/>
      <c r="J4604" s="9"/>
    </row>
    <row r="4605">
      <c r="A4605" s="14"/>
      <c r="B4605" s="15"/>
      <c r="C4605" s="16"/>
      <c r="J4605" s="9"/>
    </row>
    <row r="4606">
      <c r="A4606" s="14"/>
      <c r="B4606" s="15"/>
      <c r="C4606" s="16"/>
      <c r="J4606" s="9"/>
    </row>
    <row r="4607">
      <c r="A4607" s="14"/>
      <c r="B4607" s="15"/>
      <c r="C4607" s="16"/>
      <c r="J4607" s="9"/>
    </row>
    <row r="4608">
      <c r="A4608" s="14"/>
      <c r="B4608" s="15"/>
      <c r="C4608" s="16"/>
      <c r="J4608" s="9"/>
    </row>
    <row r="4609">
      <c r="A4609" s="14"/>
      <c r="B4609" s="15"/>
      <c r="C4609" s="16"/>
      <c r="J4609" s="9"/>
    </row>
    <row r="4610">
      <c r="A4610" s="14"/>
      <c r="B4610" s="15"/>
      <c r="C4610" s="16"/>
      <c r="J4610" s="9"/>
    </row>
    <row r="4611">
      <c r="A4611" s="14"/>
      <c r="B4611" s="15"/>
      <c r="C4611" s="16"/>
      <c r="J4611" s="9"/>
    </row>
    <row r="4612">
      <c r="A4612" s="14"/>
      <c r="B4612" s="15"/>
      <c r="C4612" s="16"/>
      <c r="J4612" s="9"/>
    </row>
    <row r="4613">
      <c r="A4613" s="14"/>
      <c r="B4613" s="15"/>
      <c r="C4613" s="16"/>
      <c r="J4613" s="9"/>
    </row>
    <row r="4614">
      <c r="A4614" s="14"/>
      <c r="B4614" s="15"/>
      <c r="C4614" s="16"/>
      <c r="J4614" s="9"/>
    </row>
    <row r="4615">
      <c r="A4615" s="14"/>
      <c r="B4615" s="15"/>
      <c r="C4615" s="16"/>
      <c r="J4615" s="9"/>
    </row>
    <row r="4616">
      <c r="A4616" s="14"/>
      <c r="B4616" s="15"/>
      <c r="C4616" s="16"/>
      <c r="J4616" s="9"/>
    </row>
    <row r="4617">
      <c r="A4617" s="14"/>
      <c r="B4617" s="15"/>
      <c r="C4617" s="16"/>
      <c r="J4617" s="9"/>
    </row>
    <row r="4618">
      <c r="A4618" s="14"/>
      <c r="B4618" s="15"/>
      <c r="C4618" s="16"/>
      <c r="J4618" s="9"/>
    </row>
    <row r="4619">
      <c r="A4619" s="14"/>
      <c r="B4619" s="15"/>
      <c r="C4619" s="16"/>
      <c r="J4619" s="9"/>
    </row>
    <row r="4620">
      <c r="A4620" s="14"/>
      <c r="B4620" s="15"/>
      <c r="C4620" s="16"/>
      <c r="J4620" s="9"/>
    </row>
    <row r="4621">
      <c r="A4621" s="14"/>
      <c r="B4621" s="15"/>
      <c r="C4621" s="16"/>
      <c r="J4621" s="9"/>
    </row>
    <row r="4622">
      <c r="A4622" s="14"/>
      <c r="B4622" s="15"/>
      <c r="C4622" s="16"/>
      <c r="J4622" s="9"/>
    </row>
    <row r="4623">
      <c r="A4623" s="14"/>
      <c r="B4623" s="15"/>
      <c r="C4623" s="16"/>
      <c r="J4623" s="9"/>
    </row>
    <row r="4624">
      <c r="A4624" s="14"/>
      <c r="B4624" s="15"/>
      <c r="C4624" s="16"/>
      <c r="J4624" s="9"/>
    </row>
    <row r="4625">
      <c r="A4625" s="14"/>
      <c r="B4625" s="15"/>
      <c r="C4625" s="16"/>
      <c r="J4625" s="9"/>
    </row>
    <row r="4626">
      <c r="A4626" s="14"/>
      <c r="B4626" s="15"/>
      <c r="C4626" s="16"/>
      <c r="J4626" s="9"/>
    </row>
    <row r="4627">
      <c r="A4627" s="14"/>
      <c r="B4627" s="15"/>
      <c r="C4627" s="16"/>
      <c r="J4627" s="9"/>
    </row>
    <row r="4628">
      <c r="A4628" s="14"/>
      <c r="B4628" s="15"/>
      <c r="C4628" s="16"/>
      <c r="J4628" s="9"/>
    </row>
    <row r="4629">
      <c r="A4629" s="14"/>
      <c r="B4629" s="15"/>
      <c r="C4629" s="16"/>
      <c r="J4629" s="9"/>
    </row>
    <row r="4630">
      <c r="A4630" s="14"/>
      <c r="B4630" s="15"/>
      <c r="C4630" s="16"/>
      <c r="J4630" s="9"/>
    </row>
    <row r="4631">
      <c r="A4631" s="14"/>
      <c r="B4631" s="15"/>
      <c r="C4631" s="16"/>
      <c r="J4631" s="9"/>
    </row>
    <row r="4632">
      <c r="A4632" s="14"/>
      <c r="B4632" s="15"/>
      <c r="C4632" s="16"/>
      <c r="J4632" s="9"/>
    </row>
    <row r="4633">
      <c r="A4633" s="14"/>
      <c r="B4633" s="15"/>
      <c r="C4633" s="16"/>
      <c r="J4633" s="9"/>
    </row>
    <row r="4634">
      <c r="A4634" s="14"/>
      <c r="B4634" s="15"/>
      <c r="C4634" s="16"/>
      <c r="J4634" s="9"/>
    </row>
    <row r="4635">
      <c r="A4635" s="14"/>
      <c r="B4635" s="15"/>
      <c r="C4635" s="16"/>
      <c r="J4635" s="9"/>
    </row>
    <row r="4636">
      <c r="A4636" s="14"/>
      <c r="B4636" s="15"/>
      <c r="C4636" s="16"/>
      <c r="J4636" s="9"/>
    </row>
    <row r="4637">
      <c r="A4637" s="14"/>
      <c r="B4637" s="15"/>
      <c r="C4637" s="16"/>
      <c r="J4637" s="9"/>
    </row>
    <row r="4638">
      <c r="A4638" s="14"/>
      <c r="B4638" s="15"/>
      <c r="C4638" s="16"/>
      <c r="J4638" s="9"/>
    </row>
    <row r="4639">
      <c r="A4639" s="14"/>
      <c r="B4639" s="15"/>
      <c r="C4639" s="16"/>
      <c r="J4639" s="9"/>
    </row>
    <row r="4640">
      <c r="A4640" s="14"/>
      <c r="B4640" s="15"/>
      <c r="C4640" s="16"/>
      <c r="J4640" s="9"/>
    </row>
    <row r="4641">
      <c r="A4641" s="14"/>
      <c r="B4641" s="15"/>
      <c r="C4641" s="16"/>
      <c r="J4641" s="9"/>
    </row>
    <row r="4642">
      <c r="A4642" s="14"/>
      <c r="B4642" s="15"/>
      <c r="C4642" s="16"/>
      <c r="J4642" s="9"/>
    </row>
    <row r="4643">
      <c r="A4643" s="14"/>
      <c r="B4643" s="15"/>
      <c r="C4643" s="16"/>
      <c r="J4643" s="9"/>
    </row>
    <row r="4644">
      <c r="A4644" s="14"/>
      <c r="B4644" s="15"/>
      <c r="C4644" s="16"/>
      <c r="J4644" s="9"/>
    </row>
    <row r="4645">
      <c r="A4645" s="14"/>
      <c r="B4645" s="15"/>
      <c r="C4645" s="16"/>
      <c r="J4645" s="9"/>
    </row>
    <row r="4646">
      <c r="A4646" s="14"/>
      <c r="B4646" s="15"/>
      <c r="C4646" s="16"/>
      <c r="J4646" s="9"/>
    </row>
    <row r="4647">
      <c r="A4647" s="14"/>
      <c r="B4647" s="15"/>
      <c r="C4647" s="16"/>
      <c r="J4647" s="9"/>
    </row>
    <row r="4648">
      <c r="A4648" s="14"/>
      <c r="B4648" s="15"/>
      <c r="C4648" s="16"/>
      <c r="J4648" s="9"/>
    </row>
    <row r="4649">
      <c r="A4649" s="14"/>
      <c r="B4649" s="15"/>
      <c r="C4649" s="16"/>
      <c r="J4649" s="9"/>
    </row>
    <row r="4650">
      <c r="A4650" s="14"/>
      <c r="B4650" s="15"/>
      <c r="C4650" s="16"/>
      <c r="J4650" s="9"/>
    </row>
    <row r="4651">
      <c r="A4651" s="14"/>
      <c r="B4651" s="15"/>
      <c r="C4651" s="16"/>
      <c r="J4651" s="9"/>
    </row>
    <row r="4652">
      <c r="A4652" s="14"/>
      <c r="B4652" s="15"/>
      <c r="C4652" s="16"/>
      <c r="J4652" s="9"/>
    </row>
    <row r="4653">
      <c r="A4653" s="14"/>
      <c r="B4653" s="15"/>
      <c r="C4653" s="16"/>
      <c r="J4653" s="9"/>
    </row>
    <row r="4654">
      <c r="A4654" s="14"/>
      <c r="B4654" s="15"/>
      <c r="C4654" s="16"/>
      <c r="J4654" s="9"/>
    </row>
    <row r="4655">
      <c r="A4655" s="14"/>
      <c r="B4655" s="15"/>
      <c r="C4655" s="16"/>
      <c r="J4655" s="9"/>
    </row>
    <row r="4656">
      <c r="A4656" s="14"/>
      <c r="B4656" s="15"/>
      <c r="C4656" s="16"/>
      <c r="J4656" s="9"/>
    </row>
    <row r="4657">
      <c r="A4657" s="14"/>
      <c r="B4657" s="15"/>
      <c r="C4657" s="16"/>
      <c r="J4657" s="9"/>
    </row>
    <row r="4658">
      <c r="A4658" s="14"/>
      <c r="B4658" s="15"/>
      <c r="C4658" s="16"/>
      <c r="J4658" s="9"/>
    </row>
    <row r="4659">
      <c r="A4659" s="14"/>
      <c r="B4659" s="15"/>
      <c r="C4659" s="16"/>
      <c r="J4659" s="9"/>
    </row>
    <row r="4660">
      <c r="A4660" s="14"/>
      <c r="B4660" s="15"/>
      <c r="C4660" s="16"/>
      <c r="J4660" s="9"/>
    </row>
    <row r="4661">
      <c r="A4661" s="14"/>
      <c r="B4661" s="15"/>
      <c r="C4661" s="16"/>
      <c r="J4661" s="9"/>
    </row>
    <row r="4662">
      <c r="A4662" s="14"/>
      <c r="B4662" s="15"/>
      <c r="C4662" s="16"/>
      <c r="J4662" s="9"/>
    </row>
    <row r="4663">
      <c r="A4663" s="14"/>
      <c r="B4663" s="15"/>
      <c r="C4663" s="16"/>
      <c r="J4663" s="9"/>
    </row>
    <row r="4664">
      <c r="A4664" s="14"/>
      <c r="B4664" s="15"/>
      <c r="C4664" s="16"/>
      <c r="J4664" s="9"/>
    </row>
    <row r="4665">
      <c r="A4665" s="14"/>
      <c r="B4665" s="15"/>
      <c r="C4665" s="16"/>
      <c r="J4665" s="9"/>
    </row>
    <row r="4666">
      <c r="A4666" s="14"/>
      <c r="B4666" s="15"/>
      <c r="C4666" s="16"/>
      <c r="J4666" s="9"/>
    </row>
    <row r="4667">
      <c r="A4667" s="14"/>
      <c r="B4667" s="15"/>
      <c r="C4667" s="16"/>
      <c r="J4667" s="9"/>
    </row>
    <row r="4668">
      <c r="A4668" s="14"/>
      <c r="B4668" s="15"/>
      <c r="C4668" s="16"/>
      <c r="J4668" s="9"/>
    </row>
    <row r="4669">
      <c r="A4669" s="14"/>
      <c r="B4669" s="15"/>
      <c r="C4669" s="16"/>
      <c r="J4669" s="9"/>
    </row>
    <row r="4670">
      <c r="A4670" s="14"/>
      <c r="B4670" s="15"/>
      <c r="C4670" s="16"/>
      <c r="J4670" s="9"/>
    </row>
    <row r="4671">
      <c r="A4671" s="14"/>
      <c r="B4671" s="15"/>
      <c r="C4671" s="16"/>
      <c r="J4671" s="9"/>
    </row>
    <row r="4672">
      <c r="A4672" s="14"/>
      <c r="B4672" s="15"/>
      <c r="C4672" s="16"/>
      <c r="J4672" s="9"/>
    </row>
    <row r="4673">
      <c r="A4673" s="14"/>
      <c r="B4673" s="15"/>
      <c r="C4673" s="16"/>
      <c r="J4673" s="9"/>
    </row>
    <row r="4674">
      <c r="A4674" s="14"/>
      <c r="B4674" s="15"/>
      <c r="C4674" s="16"/>
      <c r="J4674" s="9"/>
    </row>
    <row r="4675">
      <c r="A4675" s="14"/>
      <c r="B4675" s="15"/>
      <c r="C4675" s="16"/>
      <c r="J4675" s="9"/>
    </row>
    <row r="4676">
      <c r="A4676" s="14"/>
      <c r="B4676" s="15"/>
      <c r="C4676" s="16"/>
      <c r="J4676" s="9"/>
    </row>
    <row r="4677">
      <c r="A4677" s="14"/>
      <c r="B4677" s="15"/>
      <c r="C4677" s="16"/>
      <c r="J4677" s="9"/>
    </row>
    <row r="4678">
      <c r="A4678" s="14"/>
      <c r="B4678" s="15"/>
      <c r="C4678" s="16"/>
      <c r="J4678" s="9"/>
    </row>
    <row r="4679">
      <c r="A4679" s="14"/>
      <c r="B4679" s="15"/>
      <c r="C4679" s="16"/>
      <c r="J4679" s="9"/>
    </row>
    <row r="4680">
      <c r="A4680" s="14"/>
      <c r="B4680" s="15"/>
      <c r="C4680" s="16"/>
      <c r="J4680" s="9"/>
    </row>
    <row r="4681">
      <c r="A4681" s="14"/>
      <c r="B4681" s="15"/>
      <c r="C4681" s="16"/>
      <c r="J4681" s="9"/>
    </row>
    <row r="4682">
      <c r="A4682" s="14"/>
      <c r="B4682" s="15"/>
      <c r="C4682" s="16"/>
      <c r="J4682" s="9"/>
    </row>
    <row r="4683">
      <c r="A4683" s="14"/>
      <c r="B4683" s="15"/>
      <c r="C4683" s="16"/>
      <c r="J4683" s="9"/>
    </row>
    <row r="4684">
      <c r="A4684" s="14"/>
      <c r="B4684" s="15"/>
      <c r="C4684" s="16"/>
      <c r="J4684" s="9"/>
    </row>
    <row r="4685">
      <c r="A4685" s="14"/>
      <c r="B4685" s="15"/>
      <c r="C4685" s="16"/>
      <c r="J4685" s="9"/>
    </row>
    <row r="4686">
      <c r="A4686" s="14"/>
      <c r="B4686" s="15"/>
      <c r="C4686" s="16"/>
      <c r="J4686" s="9"/>
    </row>
    <row r="4687">
      <c r="A4687" s="14"/>
      <c r="B4687" s="15"/>
      <c r="C4687" s="16"/>
      <c r="J4687" s="9"/>
    </row>
    <row r="4688">
      <c r="A4688" s="14"/>
      <c r="B4688" s="15"/>
      <c r="C4688" s="16"/>
      <c r="J4688" s="9"/>
    </row>
    <row r="4689">
      <c r="A4689" s="14"/>
      <c r="B4689" s="15"/>
      <c r="C4689" s="16"/>
      <c r="J4689" s="9"/>
    </row>
    <row r="4690">
      <c r="A4690" s="14"/>
      <c r="B4690" s="15"/>
      <c r="C4690" s="16"/>
      <c r="J4690" s="9"/>
    </row>
    <row r="4691">
      <c r="A4691" s="14"/>
      <c r="B4691" s="15"/>
      <c r="C4691" s="16"/>
      <c r="J4691" s="9"/>
    </row>
    <row r="4692">
      <c r="A4692" s="14"/>
      <c r="B4692" s="15"/>
      <c r="C4692" s="16"/>
      <c r="J4692" s="9"/>
    </row>
    <row r="4693">
      <c r="A4693" s="14"/>
      <c r="B4693" s="15"/>
      <c r="C4693" s="16"/>
      <c r="J4693" s="9"/>
    </row>
    <row r="4694">
      <c r="A4694" s="14"/>
      <c r="B4694" s="15"/>
      <c r="C4694" s="16"/>
      <c r="J4694" s="9"/>
    </row>
    <row r="4695">
      <c r="A4695" s="14"/>
      <c r="B4695" s="15"/>
      <c r="C4695" s="16"/>
      <c r="J4695" s="9"/>
    </row>
    <row r="4696">
      <c r="A4696" s="14"/>
      <c r="B4696" s="15"/>
      <c r="C4696" s="16"/>
      <c r="J4696" s="9"/>
    </row>
    <row r="4697">
      <c r="A4697" s="14"/>
      <c r="B4697" s="15"/>
      <c r="C4697" s="16"/>
      <c r="J4697" s="9"/>
    </row>
    <row r="4698">
      <c r="A4698" s="14"/>
      <c r="B4698" s="15"/>
      <c r="C4698" s="16"/>
      <c r="J4698" s="9"/>
    </row>
    <row r="4699">
      <c r="A4699" s="14"/>
      <c r="B4699" s="15"/>
      <c r="C4699" s="16"/>
      <c r="J4699" s="9"/>
    </row>
    <row r="4700">
      <c r="A4700" s="14"/>
      <c r="B4700" s="15"/>
      <c r="C4700" s="16"/>
      <c r="J4700" s="9"/>
    </row>
    <row r="4701">
      <c r="A4701" s="14"/>
      <c r="B4701" s="15"/>
      <c r="C4701" s="16"/>
      <c r="J4701" s="9"/>
    </row>
    <row r="4702">
      <c r="A4702" s="14"/>
      <c r="B4702" s="15"/>
      <c r="C4702" s="16"/>
      <c r="J4702" s="9"/>
    </row>
    <row r="4703">
      <c r="A4703" s="14"/>
      <c r="B4703" s="15"/>
      <c r="C4703" s="16"/>
      <c r="J4703" s="9"/>
    </row>
    <row r="4704">
      <c r="A4704" s="14"/>
      <c r="B4704" s="15"/>
      <c r="C4704" s="16"/>
      <c r="J4704" s="9"/>
    </row>
    <row r="4705">
      <c r="A4705" s="14"/>
      <c r="B4705" s="15"/>
      <c r="C4705" s="16"/>
      <c r="J4705" s="9"/>
    </row>
    <row r="4706">
      <c r="A4706" s="14"/>
      <c r="B4706" s="15"/>
      <c r="C4706" s="16"/>
      <c r="J4706" s="9"/>
    </row>
    <row r="4707">
      <c r="A4707" s="14"/>
      <c r="B4707" s="15"/>
      <c r="C4707" s="16"/>
      <c r="J4707" s="9"/>
    </row>
    <row r="4708">
      <c r="A4708" s="14"/>
      <c r="B4708" s="15"/>
      <c r="C4708" s="16"/>
      <c r="J4708" s="9"/>
    </row>
    <row r="4709">
      <c r="A4709" s="14"/>
      <c r="B4709" s="15"/>
      <c r="C4709" s="16"/>
      <c r="J4709" s="9"/>
    </row>
    <row r="4710">
      <c r="A4710" s="14"/>
      <c r="B4710" s="15"/>
      <c r="C4710" s="16"/>
      <c r="J4710" s="9"/>
    </row>
    <row r="4711">
      <c r="A4711" s="14"/>
      <c r="B4711" s="15"/>
      <c r="C4711" s="16"/>
      <c r="J4711" s="9"/>
    </row>
    <row r="4712">
      <c r="A4712" s="14"/>
      <c r="B4712" s="15"/>
      <c r="C4712" s="16"/>
      <c r="J4712" s="9"/>
    </row>
    <row r="4713">
      <c r="A4713" s="14"/>
      <c r="B4713" s="15"/>
      <c r="C4713" s="16"/>
      <c r="J4713" s="9"/>
    </row>
    <row r="4714">
      <c r="A4714" s="14"/>
      <c r="B4714" s="15"/>
      <c r="C4714" s="16"/>
      <c r="J4714" s="9"/>
    </row>
    <row r="4715">
      <c r="A4715" s="14"/>
      <c r="B4715" s="15"/>
      <c r="C4715" s="16"/>
      <c r="J4715" s="9"/>
    </row>
    <row r="4716">
      <c r="A4716" s="14"/>
      <c r="B4716" s="15"/>
      <c r="C4716" s="16"/>
      <c r="J4716" s="9"/>
    </row>
    <row r="4717">
      <c r="A4717" s="14"/>
      <c r="B4717" s="15"/>
      <c r="C4717" s="16"/>
      <c r="J4717" s="9"/>
    </row>
    <row r="4718">
      <c r="A4718" s="14"/>
      <c r="B4718" s="15"/>
      <c r="C4718" s="16"/>
      <c r="J4718" s="9"/>
    </row>
    <row r="4719">
      <c r="A4719" s="14"/>
      <c r="B4719" s="15"/>
      <c r="C4719" s="16"/>
      <c r="J4719" s="9"/>
    </row>
    <row r="4720">
      <c r="A4720" s="14"/>
      <c r="B4720" s="15"/>
      <c r="C4720" s="16"/>
      <c r="J4720" s="9"/>
    </row>
    <row r="4721">
      <c r="A4721" s="14"/>
      <c r="B4721" s="15"/>
      <c r="C4721" s="16"/>
      <c r="J4721" s="9"/>
    </row>
    <row r="4722">
      <c r="A4722" s="14"/>
      <c r="B4722" s="15"/>
      <c r="C4722" s="16"/>
      <c r="J4722" s="9"/>
    </row>
    <row r="4723">
      <c r="A4723" s="14"/>
      <c r="B4723" s="15"/>
      <c r="C4723" s="16"/>
      <c r="J4723" s="9"/>
    </row>
    <row r="4724">
      <c r="A4724" s="14"/>
      <c r="B4724" s="15"/>
      <c r="C4724" s="16"/>
      <c r="J4724" s="9"/>
    </row>
    <row r="4725">
      <c r="A4725" s="14"/>
      <c r="B4725" s="15"/>
      <c r="C4725" s="16"/>
      <c r="J4725" s="9"/>
    </row>
    <row r="4726">
      <c r="A4726" s="14"/>
      <c r="B4726" s="15"/>
      <c r="C4726" s="16"/>
      <c r="J4726" s="9"/>
    </row>
    <row r="4727">
      <c r="A4727" s="14"/>
      <c r="B4727" s="15"/>
      <c r="C4727" s="16"/>
      <c r="J4727" s="9"/>
    </row>
    <row r="4728">
      <c r="A4728" s="14"/>
      <c r="B4728" s="15"/>
      <c r="C4728" s="16"/>
      <c r="J4728" s="9"/>
    </row>
    <row r="4729">
      <c r="A4729" s="14"/>
      <c r="B4729" s="15"/>
      <c r="C4729" s="16"/>
      <c r="J4729" s="9"/>
    </row>
    <row r="4730">
      <c r="A4730" s="14"/>
      <c r="B4730" s="15"/>
      <c r="C4730" s="16"/>
      <c r="J4730" s="9"/>
    </row>
    <row r="4731">
      <c r="A4731" s="14"/>
      <c r="B4731" s="15"/>
      <c r="C4731" s="16"/>
      <c r="J4731" s="9"/>
    </row>
    <row r="4732">
      <c r="A4732" s="14"/>
      <c r="B4732" s="15"/>
      <c r="C4732" s="16"/>
      <c r="J4732" s="9"/>
    </row>
    <row r="4733">
      <c r="A4733" s="14"/>
      <c r="B4733" s="15"/>
      <c r="C4733" s="16"/>
      <c r="J4733" s="9"/>
    </row>
    <row r="4734">
      <c r="A4734" s="14"/>
      <c r="B4734" s="15"/>
      <c r="C4734" s="16"/>
      <c r="J4734" s="9"/>
    </row>
    <row r="4735">
      <c r="A4735" s="14"/>
      <c r="B4735" s="15"/>
      <c r="C4735" s="16"/>
      <c r="J4735" s="9"/>
    </row>
    <row r="4736">
      <c r="A4736" s="14"/>
      <c r="B4736" s="15"/>
      <c r="C4736" s="16"/>
      <c r="J4736" s="9"/>
    </row>
    <row r="4737">
      <c r="A4737" s="14"/>
      <c r="B4737" s="15"/>
      <c r="C4737" s="16"/>
      <c r="J4737" s="9"/>
    </row>
    <row r="4738">
      <c r="A4738" s="14"/>
      <c r="B4738" s="15"/>
      <c r="C4738" s="16"/>
      <c r="J4738" s="9"/>
    </row>
    <row r="4739">
      <c r="A4739" s="14"/>
      <c r="B4739" s="15"/>
      <c r="C4739" s="16"/>
      <c r="J4739" s="9"/>
    </row>
    <row r="4740">
      <c r="A4740" s="14"/>
      <c r="B4740" s="15"/>
      <c r="C4740" s="16"/>
      <c r="J4740" s="9"/>
    </row>
    <row r="4741">
      <c r="A4741" s="14"/>
      <c r="B4741" s="15"/>
      <c r="C4741" s="16"/>
      <c r="J4741" s="9"/>
    </row>
    <row r="4742">
      <c r="A4742" s="14"/>
      <c r="B4742" s="15"/>
      <c r="C4742" s="16"/>
      <c r="J4742" s="9"/>
    </row>
    <row r="4743">
      <c r="A4743" s="14"/>
      <c r="B4743" s="15"/>
      <c r="C4743" s="16"/>
      <c r="J4743" s="9"/>
    </row>
    <row r="4744">
      <c r="A4744" s="14"/>
      <c r="B4744" s="15"/>
      <c r="C4744" s="16"/>
      <c r="J4744" s="9"/>
    </row>
    <row r="4745">
      <c r="A4745" s="14"/>
      <c r="B4745" s="15"/>
      <c r="C4745" s="16"/>
      <c r="J4745" s="9"/>
    </row>
    <row r="4746">
      <c r="A4746" s="14"/>
      <c r="B4746" s="15"/>
      <c r="C4746" s="16"/>
      <c r="J4746" s="9"/>
    </row>
    <row r="4747">
      <c r="A4747" s="14"/>
      <c r="B4747" s="15"/>
      <c r="C4747" s="16"/>
      <c r="J4747" s="9"/>
    </row>
    <row r="4748">
      <c r="A4748" s="14"/>
      <c r="B4748" s="15"/>
      <c r="C4748" s="16"/>
      <c r="J4748" s="9"/>
    </row>
    <row r="4749">
      <c r="A4749" s="14"/>
      <c r="B4749" s="15"/>
      <c r="C4749" s="16"/>
      <c r="J4749" s="9"/>
    </row>
    <row r="4750">
      <c r="A4750" s="14"/>
      <c r="B4750" s="15"/>
      <c r="C4750" s="16"/>
      <c r="J4750" s="9"/>
    </row>
    <row r="4751">
      <c r="A4751" s="14"/>
      <c r="B4751" s="15"/>
      <c r="C4751" s="16"/>
      <c r="J4751" s="9"/>
    </row>
    <row r="4752">
      <c r="A4752" s="14"/>
      <c r="B4752" s="15"/>
      <c r="C4752" s="16"/>
      <c r="J4752" s="9"/>
    </row>
    <row r="4753">
      <c r="A4753" s="14"/>
      <c r="B4753" s="15"/>
      <c r="C4753" s="16"/>
      <c r="J4753" s="9"/>
    </row>
    <row r="4754">
      <c r="A4754" s="14"/>
      <c r="B4754" s="15"/>
      <c r="C4754" s="16"/>
      <c r="J4754" s="9"/>
    </row>
    <row r="4755">
      <c r="A4755" s="14"/>
      <c r="B4755" s="15"/>
      <c r="C4755" s="16"/>
      <c r="J4755" s="9"/>
    </row>
    <row r="4756">
      <c r="A4756" s="14"/>
      <c r="B4756" s="15"/>
      <c r="C4756" s="16"/>
      <c r="J4756" s="9"/>
    </row>
    <row r="4757">
      <c r="A4757" s="14"/>
      <c r="B4757" s="15"/>
      <c r="C4757" s="16"/>
      <c r="J4757" s="9"/>
    </row>
    <row r="4758">
      <c r="A4758" s="14"/>
      <c r="B4758" s="15"/>
      <c r="C4758" s="16"/>
      <c r="J4758" s="9"/>
    </row>
    <row r="4759">
      <c r="A4759" s="14"/>
      <c r="B4759" s="15"/>
      <c r="C4759" s="16"/>
      <c r="J4759" s="9"/>
    </row>
    <row r="4760">
      <c r="A4760" s="14"/>
      <c r="B4760" s="15"/>
      <c r="C4760" s="16"/>
      <c r="J4760" s="9"/>
    </row>
    <row r="4761">
      <c r="A4761" s="14"/>
      <c r="B4761" s="15"/>
      <c r="C4761" s="16"/>
      <c r="J4761" s="9"/>
    </row>
    <row r="4762">
      <c r="A4762" s="14"/>
      <c r="B4762" s="15"/>
      <c r="C4762" s="16"/>
      <c r="J4762" s="9"/>
    </row>
    <row r="4763">
      <c r="A4763" s="14"/>
      <c r="B4763" s="15"/>
      <c r="C4763" s="16"/>
      <c r="J4763" s="9"/>
    </row>
    <row r="4764">
      <c r="A4764" s="14"/>
      <c r="B4764" s="15"/>
      <c r="C4764" s="16"/>
      <c r="J4764" s="9"/>
    </row>
    <row r="4765">
      <c r="A4765" s="14"/>
      <c r="B4765" s="15"/>
      <c r="C4765" s="16"/>
      <c r="J4765" s="9"/>
    </row>
    <row r="4766">
      <c r="A4766" s="14"/>
      <c r="B4766" s="15"/>
      <c r="C4766" s="16"/>
      <c r="J4766" s="9"/>
    </row>
    <row r="4767">
      <c r="A4767" s="14"/>
      <c r="B4767" s="15"/>
      <c r="C4767" s="16"/>
      <c r="J4767" s="9"/>
    </row>
    <row r="4768">
      <c r="A4768" s="14"/>
      <c r="B4768" s="15"/>
      <c r="C4768" s="16"/>
      <c r="J4768" s="9"/>
    </row>
    <row r="4769">
      <c r="A4769" s="14"/>
      <c r="B4769" s="15"/>
      <c r="C4769" s="16"/>
      <c r="J4769" s="9"/>
    </row>
    <row r="4770">
      <c r="A4770" s="14"/>
      <c r="B4770" s="15"/>
      <c r="C4770" s="16"/>
      <c r="J4770" s="9"/>
    </row>
    <row r="4771">
      <c r="A4771" s="14"/>
      <c r="B4771" s="15"/>
      <c r="C4771" s="16"/>
      <c r="J4771" s="9"/>
    </row>
    <row r="4772">
      <c r="A4772" s="14"/>
      <c r="B4772" s="15"/>
      <c r="C4772" s="16"/>
      <c r="J4772" s="9"/>
    </row>
    <row r="4773">
      <c r="A4773" s="14"/>
      <c r="B4773" s="15"/>
      <c r="C4773" s="16"/>
      <c r="J4773" s="9"/>
    </row>
    <row r="4774">
      <c r="A4774" s="14"/>
      <c r="B4774" s="15"/>
      <c r="C4774" s="16"/>
      <c r="J4774" s="9"/>
    </row>
    <row r="4775">
      <c r="A4775" s="14"/>
      <c r="B4775" s="15"/>
      <c r="C4775" s="16"/>
      <c r="J4775" s="9"/>
    </row>
    <row r="4776">
      <c r="A4776" s="14"/>
      <c r="B4776" s="15"/>
      <c r="C4776" s="16"/>
      <c r="J4776" s="9"/>
    </row>
    <row r="4777">
      <c r="A4777" s="14"/>
      <c r="B4777" s="15"/>
      <c r="C4777" s="16"/>
      <c r="J4777" s="9"/>
    </row>
    <row r="4778">
      <c r="A4778" s="14"/>
      <c r="B4778" s="15"/>
      <c r="C4778" s="16"/>
      <c r="J4778" s="9"/>
    </row>
    <row r="4779">
      <c r="A4779" s="14"/>
      <c r="B4779" s="15"/>
      <c r="C4779" s="16"/>
      <c r="J4779" s="9"/>
    </row>
    <row r="4780">
      <c r="A4780" s="14"/>
      <c r="B4780" s="15"/>
      <c r="C4780" s="16"/>
      <c r="J4780" s="9"/>
    </row>
    <row r="4781">
      <c r="A4781" s="14"/>
      <c r="B4781" s="15"/>
      <c r="C4781" s="16"/>
      <c r="J4781" s="9"/>
    </row>
    <row r="4782">
      <c r="A4782" s="14"/>
      <c r="B4782" s="15"/>
      <c r="C4782" s="16"/>
      <c r="J4782" s="9"/>
    </row>
    <row r="4783">
      <c r="A4783" s="14"/>
      <c r="B4783" s="15"/>
      <c r="C4783" s="16"/>
      <c r="J4783" s="9"/>
    </row>
    <row r="4784">
      <c r="A4784" s="14"/>
      <c r="B4784" s="15"/>
      <c r="C4784" s="16"/>
      <c r="J4784" s="9"/>
    </row>
    <row r="4785">
      <c r="A4785" s="14"/>
      <c r="B4785" s="15"/>
      <c r="C4785" s="16"/>
      <c r="J4785" s="9"/>
    </row>
    <row r="4786">
      <c r="A4786" s="14"/>
      <c r="B4786" s="15"/>
      <c r="C4786" s="16"/>
      <c r="J4786" s="9"/>
    </row>
    <row r="4787">
      <c r="A4787" s="14"/>
      <c r="B4787" s="15"/>
      <c r="C4787" s="16"/>
      <c r="J4787" s="9"/>
    </row>
    <row r="4788">
      <c r="A4788" s="14"/>
      <c r="B4788" s="15"/>
      <c r="C4788" s="16"/>
      <c r="J4788" s="9"/>
    </row>
    <row r="4789">
      <c r="A4789" s="14"/>
      <c r="B4789" s="15"/>
      <c r="C4789" s="16"/>
      <c r="J4789" s="9"/>
    </row>
    <row r="4790">
      <c r="A4790" s="14"/>
      <c r="B4790" s="15"/>
      <c r="C4790" s="16"/>
      <c r="J4790" s="9"/>
    </row>
    <row r="4791">
      <c r="A4791" s="14"/>
      <c r="B4791" s="15"/>
      <c r="C4791" s="16"/>
      <c r="J4791" s="9"/>
    </row>
    <row r="4792">
      <c r="A4792" s="14"/>
      <c r="B4792" s="15"/>
      <c r="C4792" s="16"/>
      <c r="J4792" s="9"/>
    </row>
    <row r="4793">
      <c r="A4793" s="14"/>
      <c r="B4793" s="15"/>
      <c r="C4793" s="16"/>
      <c r="J4793" s="9"/>
    </row>
    <row r="4794">
      <c r="A4794" s="14"/>
      <c r="B4794" s="15"/>
      <c r="C4794" s="16"/>
      <c r="J4794" s="9"/>
    </row>
    <row r="4795">
      <c r="A4795" s="14"/>
      <c r="B4795" s="15"/>
      <c r="C4795" s="16"/>
      <c r="J4795" s="9"/>
    </row>
    <row r="4796">
      <c r="A4796" s="14"/>
      <c r="B4796" s="15"/>
      <c r="C4796" s="16"/>
      <c r="J4796" s="9"/>
    </row>
    <row r="4797">
      <c r="A4797" s="14"/>
      <c r="B4797" s="15"/>
      <c r="C4797" s="16"/>
      <c r="J4797" s="9"/>
    </row>
    <row r="4798">
      <c r="A4798" s="14"/>
      <c r="B4798" s="15"/>
      <c r="C4798" s="16"/>
      <c r="J4798" s="9"/>
    </row>
    <row r="4799">
      <c r="A4799" s="14"/>
      <c r="B4799" s="15"/>
      <c r="C4799" s="16"/>
      <c r="J4799" s="9"/>
    </row>
    <row r="4800">
      <c r="A4800" s="14"/>
      <c r="B4800" s="15"/>
      <c r="C4800" s="16"/>
      <c r="J4800" s="9"/>
    </row>
    <row r="4801">
      <c r="A4801" s="14"/>
      <c r="B4801" s="15"/>
      <c r="C4801" s="16"/>
      <c r="J4801" s="9"/>
    </row>
    <row r="4802">
      <c r="A4802" s="14"/>
      <c r="B4802" s="15"/>
      <c r="C4802" s="16"/>
      <c r="J4802" s="9"/>
    </row>
    <row r="4803">
      <c r="A4803" s="14"/>
      <c r="B4803" s="15"/>
      <c r="C4803" s="16"/>
      <c r="J4803" s="9"/>
    </row>
    <row r="4804">
      <c r="A4804" s="14"/>
      <c r="B4804" s="15"/>
      <c r="C4804" s="16"/>
      <c r="J4804" s="9"/>
    </row>
    <row r="4805">
      <c r="A4805" s="14"/>
      <c r="B4805" s="15"/>
      <c r="C4805" s="16"/>
      <c r="J4805" s="9"/>
    </row>
    <row r="4806">
      <c r="A4806" s="14"/>
      <c r="B4806" s="15"/>
      <c r="C4806" s="16"/>
      <c r="J4806" s="9"/>
    </row>
    <row r="4807">
      <c r="A4807" s="14"/>
      <c r="B4807" s="15"/>
      <c r="C4807" s="16"/>
      <c r="J4807" s="9"/>
    </row>
    <row r="4808">
      <c r="A4808" s="14"/>
      <c r="B4808" s="15"/>
      <c r="C4808" s="16"/>
      <c r="J4808" s="9"/>
    </row>
    <row r="4809">
      <c r="A4809" s="14"/>
      <c r="B4809" s="15"/>
      <c r="C4809" s="16"/>
      <c r="J4809" s="9"/>
    </row>
    <row r="4810">
      <c r="A4810" s="14"/>
      <c r="B4810" s="15"/>
      <c r="C4810" s="16"/>
      <c r="J4810" s="9"/>
    </row>
    <row r="4811">
      <c r="A4811" s="14"/>
      <c r="B4811" s="15"/>
      <c r="C4811" s="16"/>
      <c r="J4811" s="9"/>
    </row>
    <row r="4812">
      <c r="A4812" s="14"/>
      <c r="B4812" s="15"/>
      <c r="C4812" s="16"/>
      <c r="J4812" s="9"/>
    </row>
    <row r="4813">
      <c r="A4813" s="14"/>
      <c r="B4813" s="15"/>
      <c r="C4813" s="16"/>
      <c r="J4813" s="9"/>
    </row>
    <row r="4814">
      <c r="A4814" s="14"/>
      <c r="B4814" s="15"/>
      <c r="C4814" s="16"/>
      <c r="J4814" s="9"/>
    </row>
    <row r="4815">
      <c r="A4815" s="14"/>
      <c r="B4815" s="15"/>
      <c r="C4815" s="16"/>
      <c r="J4815" s="9"/>
    </row>
    <row r="4816">
      <c r="A4816" s="14"/>
      <c r="B4816" s="15"/>
      <c r="C4816" s="16"/>
      <c r="J4816" s="9"/>
    </row>
    <row r="4817">
      <c r="A4817" s="14"/>
      <c r="B4817" s="15"/>
      <c r="C4817" s="16"/>
      <c r="J4817" s="9"/>
    </row>
    <row r="4818">
      <c r="A4818" s="14"/>
      <c r="B4818" s="15"/>
      <c r="C4818" s="16"/>
      <c r="J4818" s="9"/>
    </row>
    <row r="4819">
      <c r="A4819" s="14"/>
      <c r="B4819" s="15"/>
      <c r="C4819" s="16"/>
      <c r="J4819" s="9"/>
    </row>
    <row r="4820">
      <c r="A4820" s="14"/>
      <c r="B4820" s="15"/>
      <c r="C4820" s="16"/>
      <c r="J4820" s="9"/>
    </row>
    <row r="4821">
      <c r="A4821" s="14"/>
      <c r="B4821" s="15"/>
      <c r="C4821" s="16"/>
      <c r="J4821" s="9"/>
    </row>
    <row r="4822">
      <c r="A4822" s="14"/>
      <c r="B4822" s="15"/>
      <c r="C4822" s="16"/>
      <c r="J4822" s="9"/>
    </row>
    <row r="4823">
      <c r="A4823" s="14"/>
      <c r="B4823" s="15"/>
      <c r="C4823" s="16"/>
      <c r="J4823" s="9"/>
    </row>
    <row r="4824">
      <c r="A4824" s="14"/>
      <c r="B4824" s="15"/>
      <c r="C4824" s="16"/>
      <c r="J4824" s="9"/>
    </row>
    <row r="4825">
      <c r="A4825" s="14"/>
      <c r="B4825" s="15"/>
      <c r="C4825" s="16"/>
      <c r="J4825" s="9"/>
    </row>
    <row r="4826">
      <c r="A4826" s="14"/>
      <c r="B4826" s="15"/>
      <c r="C4826" s="16"/>
      <c r="J4826" s="9"/>
    </row>
    <row r="4827">
      <c r="A4827" s="14"/>
      <c r="B4827" s="15"/>
      <c r="C4827" s="16"/>
      <c r="J4827" s="9"/>
    </row>
    <row r="4828">
      <c r="A4828" s="14"/>
      <c r="B4828" s="15"/>
      <c r="C4828" s="16"/>
      <c r="J4828" s="9"/>
    </row>
    <row r="4829">
      <c r="A4829" s="14"/>
      <c r="B4829" s="15"/>
      <c r="C4829" s="16"/>
      <c r="J4829" s="9"/>
    </row>
    <row r="4830">
      <c r="A4830" s="14"/>
      <c r="B4830" s="15"/>
      <c r="C4830" s="16"/>
      <c r="J4830" s="9"/>
    </row>
    <row r="4831">
      <c r="A4831" s="14"/>
      <c r="B4831" s="15"/>
      <c r="C4831" s="16"/>
      <c r="J4831" s="9"/>
    </row>
    <row r="4832">
      <c r="A4832" s="14"/>
      <c r="B4832" s="15"/>
      <c r="C4832" s="16"/>
      <c r="J4832" s="9"/>
    </row>
    <row r="4833">
      <c r="A4833" s="14"/>
      <c r="B4833" s="15"/>
      <c r="C4833" s="16"/>
      <c r="J4833" s="9"/>
    </row>
    <row r="4834">
      <c r="A4834" s="14"/>
      <c r="B4834" s="15"/>
      <c r="C4834" s="16"/>
      <c r="J4834" s="9"/>
    </row>
    <row r="4835">
      <c r="A4835" s="14"/>
      <c r="B4835" s="15"/>
      <c r="C4835" s="16"/>
      <c r="J4835" s="9"/>
    </row>
    <row r="4836">
      <c r="A4836" s="14"/>
      <c r="B4836" s="15"/>
      <c r="C4836" s="16"/>
      <c r="J4836" s="9"/>
    </row>
    <row r="4837">
      <c r="A4837" s="14"/>
      <c r="B4837" s="15"/>
      <c r="C4837" s="16"/>
      <c r="J4837" s="9"/>
    </row>
    <row r="4838">
      <c r="A4838" s="14"/>
      <c r="B4838" s="15"/>
      <c r="C4838" s="16"/>
      <c r="J4838" s="9"/>
    </row>
    <row r="4839">
      <c r="A4839" s="14"/>
      <c r="B4839" s="15"/>
      <c r="C4839" s="16"/>
      <c r="J4839" s="9"/>
    </row>
    <row r="4840">
      <c r="A4840" s="14"/>
      <c r="B4840" s="15"/>
      <c r="C4840" s="16"/>
      <c r="J4840" s="9"/>
    </row>
    <row r="4841">
      <c r="A4841" s="14"/>
      <c r="B4841" s="15"/>
      <c r="C4841" s="16"/>
      <c r="J4841" s="9"/>
    </row>
    <row r="4842">
      <c r="A4842" s="14"/>
      <c r="B4842" s="15"/>
      <c r="C4842" s="16"/>
      <c r="J4842" s="9"/>
    </row>
    <row r="4843">
      <c r="A4843" s="14"/>
      <c r="B4843" s="15"/>
      <c r="C4843" s="16"/>
      <c r="J4843" s="9"/>
    </row>
    <row r="4844">
      <c r="A4844" s="14"/>
      <c r="B4844" s="15"/>
      <c r="C4844" s="16"/>
      <c r="J4844" s="9"/>
    </row>
    <row r="4845">
      <c r="A4845" s="14"/>
      <c r="B4845" s="15"/>
      <c r="C4845" s="16"/>
      <c r="J4845" s="9"/>
    </row>
    <row r="4846">
      <c r="A4846" s="14"/>
      <c r="B4846" s="15"/>
      <c r="C4846" s="16"/>
      <c r="J4846" s="9"/>
    </row>
    <row r="4847">
      <c r="A4847" s="14"/>
      <c r="B4847" s="15"/>
      <c r="C4847" s="16"/>
      <c r="J4847" s="9"/>
    </row>
    <row r="4848">
      <c r="A4848" s="14"/>
      <c r="B4848" s="15"/>
      <c r="C4848" s="16"/>
      <c r="J4848" s="9"/>
    </row>
    <row r="4849">
      <c r="A4849" s="14"/>
      <c r="B4849" s="15"/>
      <c r="C4849" s="16"/>
      <c r="J4849" s="9"/>
    </row>
    <row r="4850">
      <c r="A4850" s="14"/>
      <c r="B4850" s="15"/>
      <c r="C4850" s="16"/>
      <c r="J4850" s="9"/>
    </row>
    <row r="4851">
      <c r="A4851" s="14"/>
      <c r="B4851" s="15"/>
      <c r="C4851" s="16"/>
      <c r="J4851" s="9"/>
    </row>
    <row r="4852">
      <c r="A4852" s="14"/>
      <c r="B4852" s="15"/>
      <c r="C4852" s="16"/>
      <c r="J4852" s="9"/>
    </row>
    <row r="4853">
      <c r="A4853" s="14"/>
      <c r="B4853" s="15"/>
      <c r="C4853" s="16"/>
      <c r="J4853" s="9"/>
    </row>
    <row r="4854">
      <c r="A4854" s="14"/>
      <c r="B4854" s="15"/>
      <c r="C4854" s="16"/>
      <c r="J4854" s="9"/>
    </row>
    <row r="4855">
      <c r="A4855" s="14"/>
      <c r="B4855" s="15"/>
      <c r="C4855" s="16"/>
      <c r="J4855" s="9"/>
    </row>
    <row r="4856">
      <c r="A4856" s="14"/>
      <c r="B4856" s="15"/>
      <c r="C4856" s="16"/>
      <c r="J4856" s="9"/>
    </row>
    <row r="4857">
      <c r="A4857" s="14"/>
      <c r="B4857" s="15"/>
      <c r="C4857" s="16"/>
      <c r="J4857" s="9"/>
    </row>
    <row r="4858">
      <c r="A4858" s="14"/>
      <c r="B4858" s="15"/>
      <c r="C4858" s="16"/>
      <c r="J4858" s="9"/>
    </row>
    <row r="4859">
      <c r="A4859" s="14"/>
      <c r="B4859" s="15"/>
      <c r="C4859" s="16"/>
      <c r="J4859" s="9"/>
    </row>
    <row r="4860">
      <c r="A4860" s="14"/>
      <c r="B4860" s="15"/>
      <c r="C4860" s="16"/>
      <c r="J4860" s="9"/>
    </row>
    <row r="4861">
      <c r="A4861" s="14"/>
      <c r="B4861" s="15"/>
      <c r="C4861" s="16"/>
      <c r="J4861" s="9"/>
    </row>
    <row r="4862">
      <c r="A4862" s="14"/>
      <c r="B4862" s="15"/>
      <c r="C4862" s="16"/>
      <c r="J4862" s="9"/>
    </row>
    <row r="4863">
      <c r="A4863" s="14"/>
      <c r="B4863" s="15"/>
      <c r="C4863" s="16"/>
      <c r="J4863" s="9"/>
    </row>
    <row r="4864">
      <c r="A4864" s="14"/>
      <c r="B4864" s="15"/>
      <c r="C4864" s="16"/>
      <c r="J4864" s="9"/>
    </row>
    <row r="4865">
      <c r="A4865" s="14"/>
      <c r="B4865" s="15"/>
      <c r="C4865" s="16"/>
      <c r="J4865" s="9"/>
    </row>
    <row r="4866">
      <c r="A4866" s="14"/>
      <c r="B4866" s="15"/>
      <c r="C4866" s="16"/>
      <c r="J4866" s="9"/>
    </row>
    <row r="4867">
      <c r="A4867" s="14"/>
      <c r="B4867" s="15"/>
      <c r="C4867" s="16"/>
      <c r="J4867" s="9"/>
    </row>
    <row r="4868">
      <c r="A4868" s="14"/>
      <c r="B4868" s="15"/>
      <c r="C4868" s="16"/>
      <c r="J4868" s="9"/>
    </row>
    <row r="4869">
      <c r="A4869" s="14"/>
      <c r="B4869" s="15"/>
      <c r="C4869" s="16"/>
      <c r="J4869" s="9"/>
    </row>
    <row r="4870">
      <c r="A4870" s="14"/>
      <c r="B4870" s="15"/>
      <c r="C4870" s="16"/>
      <c r="J4870" s="9"/>
    </row>
    <row r="4871">
      <c r="A4871" s="14"/>
      <c r="B4871" s="15"/>
      <c r="C4871" s="16"/>
      <c r="J4871" s="9"/>
    </row>
    <row r="4872">
      <c r="A4872" s="14"/>
      <c r="B4872" s="15"/>
      <c r="C4872" s="16"/>
      <c r="J4872" s="9"/>
    </row>
    <row r="4873">
      <c r="A4873" s="14"/>
      <c r="B4873" s="15"/>
      <c r="C4873" s="16"/>
      <c r="J4873" s="9"/>
    </row>
    <row r="4874">
      <c r="A4874" s="14"/>
      <c r="B4874" s="15"/>
      <c r="C4874" s="16"/>
      <c r="J4874" s="9"/>
    </row>
    <row r="4875">
      <c r="A4875" s="14"/>
      <c r="B4875" s="15"/>
      <c r="C4875" s="16"/>
      <c r="J4875" s="9"/>
    </row>
    <row r="4876">
      <c r="A4876" s="14"/>
      <c r="B4876" s="15"/>
      <c r="C4876" s="16"/>
      <c r="J4876" s="9"/>
    </row>
    <row r="4877">
      <c r="A4877" s="14"/>
      <c r="B4877" s="15"/>
      <c r="C4877" s="16"/>
      <c r="J4877" s="9"/>
    </row>
    <row r="4878">
      <c r="A4878" s="14"/>
      <c r="B4878" s="15"/>
      <c r="C4878" s="16"/>
      <c r="J4878" s="9"/>
    </row>
    <row r="4879">
      <c r="A4879" s="14"/>
      <c r="B4879" s="15"/>
      <c r="C4879" s="16"/>
      <c r="J4879" s="9"/>
    </row>
    <row r="4880">
      <c r="A4880" s="14"/>
      <c r="B4880" s="15"/>
      <c r="C4880" s="16"/>
      <c r="J4880" s="9"/>
    </row>
    <row r="4881">
      <c r="A4881" s="14"/>
      <c r="B4881" s="15"/>
      <c r="C4881" s="16"/>
      <c r="J4881" s="9"/>
    </row>
    <row r="4882">
      <c r="A4882" s="14"/>
      <c r="B4882" s="15"/>
      <c r="C4882" s="16"/>
      <c r="J4882" s="9"/>
    </row>
    <row r="4883">
      <c r="A4883" s="14"/>
      <c r="B4883" s="15"/>
      <c r="C4883" s="16"/>
      <c r="J4883" s="9"/>
    </row>
    <row r="4884">
      <c r="A4884" s="14"/>
      <c r="B4884" s="15"/>
      <c r="C4884" s="16"/>
      <c r="J4884" s="9"/>
    </row>
    <row r="4885">
      <c r="A4885" s="14"/>
      <c r="B4885" s="15"/>
      <c r="C4885" s="16"/>
      <c r="J4885" s="9"/>
    </row>
    <row r="4886">
      <c r="A4886" s="14"/>
      <c r="B4886" s="15"/>
      <c r="C4886" s="16"/>
      <c r="J4886" s="9"/>
    </row>
    <row r="4887">
      <c r="A4887" s="14"/>
      <c r="B4887" s="15"/>
      <c r="C4887" s="16"/>
      <c r="J4887" s="9"/>
    </row>
    <row r="4888">
      <c r="A4888" s="14"/>
      <c r="B4888" s="15"/>
      <c r="C4888" s="16"/>
      <c r="J4888" s="9"/>
    </row>
    <row r="4889">
      <c r="A4889" s="14"/>
      <c r="B4889" s="15"/>
      <c r="C4889" s="16"/>
      <c r="J4889" s="9"/>
    </row>
    <row r="4890">
      <c r="A4890" s="14"/>
      <c r="B4890" s="15"/>
      <c r="C4890" s="16"/>
      <c r="J4890" s="9"/>
    </row>
    <row r="4891">
      <c r="A4891" s="14"/>
      <c r="B4891" s="15"/>
      <c r="C4891" s="16"/>
      <c r="J4891" s="9"/>
    </row>
    <row r="4892">
      <c r="A4892" s="14"/>
      <c r="B4892" s="15"/>
      <c r="C4892" s="16"/>
      <c r="J4892" s="9"/>
    </row>
    <row r="4893">
      <c r="A4893" s="14"/>
      <c r="B4893" s="15"/>
      <c r="C4893" s="16"/>
      <c r="J4893" s="9"/>
    </row>
    <row r="4894">
      <c r="A4894" s="14"/>
      <c r="B4894" s="15"/>
      <c r="C4894" s="16"/>
      <c r="J4894" s="9"/>
    </row>
    <row r="4895">
      <c r="A4895" s="14"/>
      <c r="B4895" s="15"/>
      <c r="C4895" s="16"/>
      <c r="J4895" s="9"/>
    </row>
    <row r="4896">
      <c r="A4896" s="14"/>
      <c r="B4896" s="15"/>
      <c r="C4896" s="16"/>
      <c r="J4896" s="9"/>
    </row>
    <row r="4897">
      <c r="A4897" s="14"/>
      <c r="B4897" s="15"/>
      <c r="C4897" s="16"/>
      <c r="J4897" s="9"/>
    </row>
    <row r="4898">
      <c r="A4898" s="14"/>
      <c r="B4898" s="15"/>
      <c r="C4898" s="16"/>
      <c r="J4898" s="9"/>
    </row>
    <row r="4899">
      <c r="A4899" s="14"/>
      <c r="B4899" s="15"/>
      <c r="C4899" s="16"/>
      <c r="J4899" s="9"/>
    </row>
    <row r="4900">
      <c r="A4900" s="14"/>
      <c r="B4900" s="15"/>
      <c r="C4900" s="16"/>
      <c r="J4900" s="9"/>
    </row>
    <row r="4901">
      <c r="A4901" s="14"/>
      <c r="B4901" s="15"/>
      <c r="C4901" s="16"/>
      <c r="J4901" s="9"/>
    </row>
    <row r="4902">
      <c r="A4902" s="14"/>
      <c r="B4902" s="15"/>
      <c r="C4902" s="16"/>
      <c r="J4902" s="9"/>
    </row>
    <row r="4903">
      <c r="A4903" s="14"/>
      <c r="B4903" s="15"/>
      <c r="C4903" s="16"/>
      <c r="J4903" s="9"/>
    </row>
    <row r="4904">
      <c r="A4904" s="14"/>
      <c r="B4904" s="15"/>
      <c r="C4904" s="16"/>
      <c r="J4904" s="9"/>
    </row>
    <row r="4905">
      <c r="A4905" s="14"/>
      <c r="B4905" s="15"/>
      <c r="C4905" s="16"/>
      <c r="J4905" s="9"/>
    </row>
    <row r="4906">
      <c r="A4906" s="14"/>
      <c r="B4906" s="15"/>
      <c r="C4906" s="16"/>
      <c r="J4906" s="9"/>
    </row>
    <row r="4907">
      <c r="A4907" s="14"/>
      <c r="B4907" s="15"/>
      <c r="C4907" s="16"/>
      <c r="J4907" s="9"/>
    </row>
    <row r="4908">
      <c r="A4908" s="14"/>
      <c r="B4908" s="15"/>
      <c r="C4908" s="16"/>
      <c r="J4908" s="9"/>
    </row>
    <row r="4909">
      <c r="A4909" s="14"/>
      <c r="B4909" s="15"/>
      <c r="C4909" s="16"/>
      <c r="J4909" s="9"/>
    </row>
    <row r="4910">
      <c r="A4910" s="14"/>
      <c r="B4910" s="15"/>
      <c r="C4910" s="16"/>
      <c r="J4910" s="9"/>
    </row>
    <row r="4911">
      <c r="A4911" s="14"/>
      <c r="B4911" s="15"/>
      <c r="C4911" s="16"/>
      <c r="J4911" s="9"/>
    </row>
    <row r="4912">
      <c r="A4912" s="14"/>
      <c r="B4912" s="15"/>
      <c r="C4912" s="16"/>
      <c r="J4912" s="9"/>
    </row>
    <row r="4913">
      <c r="A4913" s="14"/>
      <c r="B4913" s="15"/>
      <c r="C4913" s="16"/>
      <c r="J4913" s="9"/>
    </row>
    <row r="4914">
      <c r="A4914" s="14"/>
      <c r="B4914" s="15"/>
      <c r="C4914" s="16"/>
      <c r="J4914" s="9"/>
    </row>
    <row r="4915">
      <c r="A4915" s="14"/>
      <c r="B4915" s="15"/>
      <c r="C4915" s="16"/>
      <c r="J4915" s="9"/>
    </row>
    <row r="4916">
      <c r="A4916" s="14"/>
      <c r="B4916" s="15"/>
      <c r="C4916" s="16"/>
      <c r="J4916" s="9"/>
    </row>
    <row r="4917">
      <c r="A4917" s="14"/>
      <c r="B4917" s="15"/>
      <c r="C4917" s="16"/>
      <c r="J4917" s="9"/>
    </row>
    <row r="4918">
      <c r="A4918" s="14"/>
      <c r="B4918" s="15"/>
      <c r="C4918" s="16"/>
      <c r="J4918" s="9"/>
    </row>
    <row r="4919">
      <c r="A4919" s="14"/>
      <c r="B4919" s="15"/>
      <c r="C4919" s="16"/>
      <c r="J4919" s="9"/>
    </row>
    <row r="4920">
      <c r="A4920" s="14"/>
      <c r="B4920" s="15"/>
      <c r="C4920" s="16"/>
      <c r="J4920" s="9"/>
    </row>
    <row r="4921">
      <c r="A4921" s="14"/>
      <c r="B4921" s="15"/>
      <c r="C4921" s="16"/>
      <c r="J4921" s="9"/>
    </row>
    <row r="4922">
      <c r="A4922" s="14"/>
      <c r="B4922" s="15"/>
      <c r="C4922" s="16"/>
      <c r="J4922" s="9"/>
    </row>
    <row r="4923">
      <c r="A4923" s="14"/>
      <c r="B4923" s="15"/>
      <c r="C4923" s="16"/>
      <c r="J4923" s="9"/>
    </row>
    <row r="4924">
      <c r="A4924" s="14"/>
      <c r="B4924" s="15"/>
      <c r="C4924" s="16"/>
      <c r="J4924" s="9"/>
    </row>
    <row r="4925">
      <c r="A4925" s="14"/>
      <c r="B4925" s="15"/>
      <c r="C4925" s="16"/>
      <c r="J4925" s="9"/>
    </row>
    <row r="4926">
      <c r="A4926" s="14"/>
      <c r="B4926" s="15"/>
      <c r="C4926" s="16"/>
      <c r="J4926" s="9"/>
    </row>
    <row r="4927">
      <c r="A4927" s="14"/>
      <c r="B4927" s="15"/>
      <c r="C4927" s="16"/>
      <c r="J4927" s="9"/>
    </row>
    <row r="4928">
      <c r="A4928" s="14"/>
      <c r="B4928" s="15"/>
      <c r="C4928" s="16"/>
      <c r="J4928" s="9"/>
    </row>
    <row r="4929">
      <c r="A4929" s="14"/>
      <c r="B4929" s="15"/>
      <c r="C4929" s="16"/>
      <c r="J4929" s="9"/>
    </row>
    <row r="4930">
      <c r="A4930" s="14"/>
      <c r="B4930" s="15"/>
      <c r="C4930" s="16"/>
      <c r="J4930" s="9"/>
    </row>
    <row r="4931">
      <c r="A4931" s="14"/>
      <c r="B4931" s="15"/>
      <c r="C4931" s="16"/>
      <c r="J4931" s="9"/>
    </row>
    <row r="4932">
      <c r="A4932" s="14"/>
      <c r="B4932" s="15"/>
      <c r="C4932" s="16"/>
      <c r="J4932" s="9"/>
    </row>
    <row r="4933">
      <c r="A4933" s="14"/>
      <c r="B4933" s="15"/>
      <c r="C4933" s="16"/>
      <c r="J4933" s="9"/>
    </row>
    <row r="4934">
      <c r="A4934" s="14"/>
      <c r="B4934" s="15"/>
      <c r="C4934" s="16"/>
      <c r="J4934" s="9"/>
    </row>
    <row r="4935">
      <c r="A4935" s="14"/>
      <c r="B4935" s="15"/>
      <c r="C4935" s="16"/>
      <c r="J4935" s="9"/>
    </row>
    <row r="4936">
      <c r="A4936" s="14"/>
      <c r="B4936" s="15"/>
      <c r="C4936" s="16"/>
      <c r="J4936" s="9"/>
    </row>
    <row r="4937">
      <c r="A4937" s="14"/>
      <c r="B4937" s="15"/>
      <c r="C4937" s="16"/>
      <c r="J4937" s="9"/>
    </row>
    <row r="4938">
      <c r="A4938" s="14"/>
      <c r="B4938" s="15"/>
      <c r="C4938" s="16"/>
      <c r="J4938" s="9"/>
    </row>
    <row r="4939">
      <c r="A4939" s="14"/>
      <c r="B4939" s="15"/>
      <c r="C4939" s="16"/>
      <c r="J4939" s="9"/>
    </row>
    <row r="4940">
      <c r="A4940" s="14"/>
      <c r="B4940" s="15"/>
      <c r="C4940" s="16"/>
      <c r="J4940" s="9"/>
    </row>
    <row r="4941">
      <c r="A4941" s="14"/>
      <c r="B4941" s="15"/>
      <c r="C4941" s="16"/>
      <c r="J4941" s="9"/>
    </row>
    <row r="4942">
      <c r="A4942" s="14"/>
      <c r="B4942" s="15"/>
      <c r="C4942" s="16"/>
      <c r="J4942" s="9"/>
    </row>
    <row r="4943">
      <c r="A4943" s="14"/>
      <c r="B4943" s="15"/>
      <c r="C4943" s="16"/>
      <c r="J4943" s="9"/>
    </row>
    <row r="4944">
      <c r="A4944" s="14"/>
      <c r="B4944" s="15"/>
      <c r="C4944" s="16"/>
      <c r="J4944" s="9"/>
    </row>
    <row r="4945">
      <c r="A4945" s="14"/>
      <c r="B4945" s="15"/>
      <c r="C4945" s="16"/>
      <c r="J4945" s="9"/>
    </row>
    <row r="4946">
      <c r="A4946" s="14"/>
      <c r="B4946" s="15"/>
      <c r="C4946" s="16"/>
      <c r="J4946" s="9"/>
    </row>
    <row r="4947">
      <c r="A4947" s="14"/>
      <c r="B4947" s="15"/>
      <c r="C4947" s="16"/>
      <c r="J4947" s="9"/>
    </row>
    <row r="4948">
      <c r="A4948" s="14"/>
      <c r="B4948" s="15"/>
      <c r="C4948" s="16"/>
      <c r="J4948" s="9"/>
    </row>
    <row r="4949">
      <c r="A4949" s="14"/>
      <c r="B4949" s="15"/>
      <c r="C4949" s="16"/>
      <c r="J4949" s="9"/>
    </row>
    <row r="4950">
      <c r="A4950" s="14"/>
      <c r="B4950" s="15"/>
      <c r="C4950" s="16"/>
      <c r="J4950" s="9"/>
    </row>
    <row r="4951">
      <c r="A4951" s="14"/>
      <c r="B4951" s="15"/>
      <c r="C4951" s="16"/>
      <c r="J4951" s="9"/>
    </row>
    <row r="4952">
      <c r="A4952" s="14"/>
      <c r="B4952" s="15"/>
      <c r="C4952" s="16"/>
      <c r="J4952" s="9"/>
    </row>
    <row r="4953">
      <c r="A4953" s="14"/>
      <c r="B4953" s="15"/>
      <c r="C4953" s="16"/>
      <c r="J4953" s="9"/>
    </row>
    <row r="4954">
      <c r="A4954" s="14"/>
      <c r="B4954" s="15"/>
      <c r="C4954" s="16"/>
      <c r="J4954" s="9"/>
    </row>
    <row r="4955">
      <c r="A4955" s="14"/>
      <c r="B4955" s="15"/>
      <c r="C4955" s="16"/>
      <c r="J4955" s="9"/>
    </row>
    <row r="4956">
      <c r="A4956" s="14"/>
      <c r="B4956" s="15"/>
      <c r="C4956" s="16"/>
      <c r="J4956" s="9"/>
    </row>
    <row r="4957">
      <c r="A4957" s="14"/>
      <c r="B4957" s="15"/>
      <c r="C4957" s="16"/>
      <c r="J4957" s="9"/>
    </row>
    <row r="4958">
      <c r="A4958" s="14"/>
      <c r="B4958" s="15"/>
      <c r="C4958" s="16"/>
      <c r="J4958" s="9"/>
    </row>
    <row r="4959">
      <c r="A4959" s="14"/>
      <c r="B4959" s="15"/>
      <c r="C4959" s="16"/>
      <c r="J4959" s="9"/>
    </row>
    <row r="4960">
      <c r="A4960" s="14"/>
      <c r="B4960" s="15"/>
      <c r="C4960" s="16"/>
      <c r="J4960" s="9"/>
    </row>
    <row r="4961">
      <c r="A4961" s="14"/>
      <c r="B4961" s="15"/>
      <c r="C4961" s="16"/>
      <c r="J4961" s="9"/>
    </row>
    <row r="4962">
      <c r="A4962" s="14"/>
      <c r="B4962" s="15"/>
      <c r="C4962" s="16"/>
      <c r="J4962" s="9"/>
    </row>
    <row r="4963">
      <c r="A4963" s="14"/>
      <c r="B4963" s="15"/>
      <c r="C4963" s="16"/>
      <c r="J4963" s="9"/>
    </row>
    <row r="4964">
      <c r="A4964" s="14"/>
      <c r="B4964" s="15"/>
      <c r="C4964" s="16"/>
      <c r="J4964" s="9"/>
    </row>
    <row r="4965">
      <c r="A4965" s="14"/>
      <c r="B4965" s="15"/>
      <c r="C4965" s="16"/>
      <c r="J4965" s="9"/>
    </row>
    <row r="4966">
      <c r="A4966" s="14"/>
      <c r="B4966" s="15"/>
      <c r="C4966" s="16"/>
      <c r="J4966" s="9"/>
    </row>
    <row r="4967">
      <c r="A4967" s="14"/>
      <c r="B4967" s="15"/>
      <c r="C4967" s="16"/>
      <c r="J4967" s="9"/>
    </row>
    <row r="4968">
      <c r="A4968" s="14"/>
      <c r="B4968" s="15"/>
      <c r="C4968" s="16"/>
      <c r="J4968" s="9"/>
    </row>
    <row r="4969">
      <c r="A4969" s="14"/>
      <c r="B4969" s="15"/>
      <c r="C4969" s="16"/>
      <c r="J4969" s="9"/>
    </row>
    <row r="4970">
      <c r="A4970" s="14"/>
      <c r="B4970" s="15"/>
      <c r="C4970" s="16"/>
      <c r="J4970" s="9"/>
    </row>
    <row r="4971">
      <c r="A4971" s="14"/>
      <c r="B4971" s="15"/>
      <c r="C4971" s="16"/>
      <c r="J4971" s="9"/>
    </row>
    <row r="4972">
      <c r="A4972" s="14"/>
      <c r="B4972" s="15"/>
      <c r="C4972" s="16"/>
      <c r="J4972" s="9"/>
    </row>
    <row r="4973">
      <c r="A4973" s="14"/>
      <c r="B4973" s="15"/>
      <c r="C4973" s="16"/>
      <c r="J4973" s="9"/>
    </row>
    <row r="4974">
      <c r="A4974" s="14"/>
      <c r="B4974" s="15"/>
      <c r="C4974" s="16"/>
      <c r="J4974" s="9"/>
    </row>
    <row r="4975">
      <c r="A4975" s="14"/>
      <c r="B4975" s="15"/>
      <c r="C4975" s="16"/>
      <c r="J4975" s="9"/>
    </row>
    <row r="4976">
      <c r="A4976" s="14"/>
      <c r="B4976" s="15"/>
      <c r="C4976" s="16"/>
      <c r="J4976" s="9"/>
    </row>
    <row r="4977">
      <c r="A4977" s="14"/>
      <c r="B4977" s="15"/>
      <c r="C4977" s="16"/>
      <c r="J4977" s="9"/>
    </row>
    <row r="4978">
      <c r="A4978" s="14"/>
      <c r="B4978" s="15"/>
      <c r="C4978" s="16"/>
      <c r="J4978" s="9"/>
    </row>
    <row r="4979">
      <c r="A4979" s="14"/>
      <c r="B4979" s="15"/>
      <c r="C4979" s="16"/>
      <c r="J4979" s="9"/>
    </row>
    <row r="4980">
      <c r="A4980" s="14"/>
      <c r="B4980" s="15"/>
      <c r="C4980" s="16"/>
      <c r="J4980" s="9"/>
    </row>
    <row r="4981">
      <c r="A4981" s="14"/>
      <c r="B4981" s="15"/>
      <c r="C4981" s="16"/>
      <c r="J4981" s="9"/>
    </row>
    <row r="4982">
      <c r="A4982" s="14"/>
      <c r="B4982" s="15"/>
      <c r="C4982" s="16"/>
      <c r="J4982" s="9"/>
    </row>
    <row r="4983">
      <c r="A4983" s="14"/>
      <c r="B4983" s="15"/>
      <c r="C4983" s="16"/>
      <c r="J4983" s="9"/>
    </row>
    <row r="4984">
      <c r="A4984" s="14"/>
      <c r="B4984" s="15"/>
      <c r="C4984" s="16"/>
      <c r="J4984" s="9"/>
    </row>
    <row r="4985">
      <c r="A4985" s="14"/>
      <c r="B4985" s="15"/>
      <c r="C4985" s="16"/>
      <c r="J4985" s="9"/>
    </row>
    <row r="4986">
      <c r="A4986" s="14"/>
      <c r="B4986" s="15"/>
      <c r="C4986" s="16"/>
      <c r="J4986" s="9"/>
    </row>
    <row r="4987">
      <c r="A4987" s="14"/>
      <c r="B4987" s="15"/>
      <c r="C4987" s="16"/>
      <c r="J4987" s="9"/>
    </row>
    <row r="4988">
      <c r="A4988" s="14"/>
      <c r="B4988" s="15"/>
      <c r="C4988" s="16"/>
      <c r="J4988" s="9"/>
    </row>
    <row r="4989">
      <c r="A4989" s="14"/>
      <c r="B4989" s="15"/>
      <c r="C4989" s="16"/>
      <c r="J4989" s="9"/>
    </row>
    <row r="4990">
      <c r="A4990" s="14"/>
      <c r="B4990" s="15"/>
      <c r="C4990" s="16"/>
      <c r="J4990" s="9"/>
    </row>
    <row r="4991">
      <c r="A4991" s="14"/>
      <c r="B4991" s="15"/>
      <c r="C4991" s="16"/>
      <c r="J4991" s="9"/>
    </row>
    <row r="4992">
      <c r="A4992" s="14"/>
      <c r="B4992" s="15"/>
      <c r="C4992" s="16"/>
      <c r="J4992" s="9"/>
    </row>
    <row r="4993">
      <c r="A4993" s="14"/>
      <c r="B4993" s="15"/>
      <c r="C4993" s="16"/>
      <c r="J4993" s="9"/>
    </row>
    <row r="4994">
      <c r="A4994" s="14"/>
      <c r="B4994" s="15"/>
      <c r="C4994" s="16"/>
      <c r="J4994" s="9"/>
    </row>
    <row r="4995">
      <c r="A4995" s="14"/>
      <c r="B4995" s="15"/>
      <c r="C4995" s="16"/>
      <c r="J4995" s="9"/>
    </row>
    <row r="4996">
      <c r="A4996" s="14"/>
      <c r="B4996" s="15"/>
      <c r="C4996" s="16"/>
      <c r="J4996" s="9"/>
    </row>
    <row r="4997">
      <c r="A4997" s="14"/>
      <c r="B4997" s="15"/>
      <c r="C4997" s="16"/>
      <c r="J4997" s="9"/>
    </row>
    <row r="4998">
      <c r="A4998" s="14"/>
      <c r="B4998" s="15"/>
      <c r="C4998" s="16"/>
      <c r="J4998" s="9"/>
    </row>
    <row r="4999">
      <c r="A4999" s="14"/>
      <c r="B4999" s="15"/>
      <c r="C4999" s="16"/>
      <c r="J4999" s="9"/>
    </row>
    <row r="5000">
      <c r="A5000" s="14"/>
      <c r="B5000" s="15"/>
      <c r="C5000" s="16"/>
      <c r="J5000" s="9"/>
    </row>
    <row r="5001">
      <c r="A5001" s="14"/>
      <c r="B5001" s="15"/>
      <c r="C5001" s="16"/>
      <c r="J5001" s="9"/>
    </row>
    <row r="5002">
      <c r="A5002" s="14"/>
      <c r="B5002" s="15"/>
      <c r="C5002" s="16"/>
      <c r="J5002" s="9"/>
    </row>
    <row r="5003">
      <c r="A5003" s="14"/>
      <c r="B5003" s="15"/>
      <c r="C5003" s="16"/>
      <c r="J5003" s="9"/>
    </row>
    <row r="5004">
      <c r="A5004" s="14"/>
      <c r="B5004" s="15"/>
      <c r="C5004" s="16"/>
      <c r="J5004" s="9"/>
    </row>
    <row r="5005">
      <c r="A5005" s="14"/>
      <c r="B5005" s="15"/>
      <c r="C5005" s="16"/>
      <c r="J5005" s="9"/>
    </row>
    <row r="5006">
      <c r="A5006" s="14"/>
      <c r="B5006" s="15"/>
      <c r="C5006" s="16"/>
      <c r="J5006" s="9"/>
    </row>
    <row r="5007">
      <c r="A5007" s="14"/>
      <c r="B5007" s="15"/>
      <c r="C5007" s="16"/>
      <c r="J5007" s="9"/>
    </row>
    <row r="5008">
      <c r="A5008" s="14"/>
      <c r="B5008" s="15"/>
      <c r="C5008" s="16"/>
      <c r="J5008" s="9"/>
    </row>
    <row r="5009">
      <c r="A5009" s="14"/>
      <c r="B5009" s="15"/>
      <c r="C5009" s="16"/>
      <c r="J5009" s="9"/>
    </row>
    <row r="5010">
      <c r="A5010" s="14"/>
      <c r="B5010" s="15"/>
      <c r="C5010" s="16"/>
      <c r="J5010" s="9"/>
    </row>
    <row r="5011">
      <c r="A5011" s="14"/>
      <c r="B5011" s="15"/>
      <c r="C5011" s="16"/>
      <c r="J5011" s="9"/>
    </row>
    <row r="5012">
      <c r="A5012" s="14"/>
      <c r="B5012" s="15"/>
      <c r="C5012" s="16"/>
      <c r="J5012" s="9"/>
    </row>
    <row r="5013">
      <c r="A5013" s="14"/>
      <c r="B5013" s="15"/>
      <c r="C5013" s="16"/>
      <c r="J5013" s="9"/>
    </row>
    <row r="5014">
      <c r="A5014" s="14"/>
      <c r="B5014" s="15"/>
      <c r="C5014" s="16"/>
      <c r="J5014" s="9"/>
    </row>
    <row r="5015">
      <c r="A5015" s="14"/>
      <c r="B5015" s="15"/>
      <c r="C5015" s="16"/>
      <c r="J5015" s="9"/>
    </row>
    <row r="5016">
      <c r="A5016" s="14"/>
      <c r="B5016" s="15"/>
      <c r="C5016" s="16"/>
      <c r="J5016" s="9"/>
    </row>
    <row r="5017">
      <c r="A5017" s="14"/>
      <c r="B5017" s="15"/>
      <c r="C5017" s="16"/>
      <c r="J5017" s="9"/>
    </row>
    <row r="5018">
      <c r="A5018" s="14"/>
      <c r="B5018" s="15"/>
      <c r="C5018" s="16"/>
      <c r="J5018" s="9"/>
    </row>
    <row r="5019">
      <c r="A5019" s="14"/>
      <c r="B5019" s="15"/>
      <c r="C5019" s="16"/>
      <c r="J5019" s="9"/>
    </row>
    <row r="5020">
      <c r="A5020" s="14"/>
      <c r="B5020" s="15"/>
      <c r="C5020" s="16"/>
      <c r="J5020" s="9"/>
    </row>
    <row r="5021">
      <c r="A5021" s="14"/>
      <c r="B5021" s="15"/>
      <c r="C5021" s="16"/>
      <c r="J5021" s="9"/>
    </row>
    <row r="5022">
      <c r="A5022" s="14"/>
      <c r="B5022" s="15"/>
      <c r="C5022" s="16"/>
      <c r="J5022" s="9"/>
    </row>
    <row r="5023">
      <c r="A5023" s="14"/>
      <c r="B5023" s="15"/>
      <c r="C5023" s="16"/>
      <c r="J5023" s="9"/>
    </row>
    <row r="5024">
      <c r="A5024" s="14"/>
      <c r="B5024" s="15"/>
      <c r="C5024" s="16"/>
      <c r="J5024" s="9"/>
    </row>
    <row r="5025">
      <c r="A5025" s="14"/>
      <c r="B5025" s="15"/>
      <c r="C5025" s="16"/>
      <c r="J5025" s="9"/>
    </row>
    <row r="5026">
      <c r="A5026" s="14"/>
      <c r="B5026" s="15"/>
      <c r="C5026" s="16"/>
      <c r="J5026" s="9"/>
    </row>
    <row r="5027">
      <c r="A5027" s="14"/>
      <c r="B5027" s="15"/>
      <c r="C5027" s="16"/>
      <c r="J5027" s="9"/>
    </row>
    <row r="5028">
      <c r="A5028" s="14"/>
      <c r="B5028" s="15"/>
      <c r="C5028" s="16"/>
      <c r="J5028" s="9"/>
    </row>
    <row r="5029">
      <c r="A5029" s="14"/>
      <c r="B5029" s="15"/>
      <c r="C5029" s="16"/>
      <c r="J5029" s="9"/>
    </row>
    <row r="5030">
      <c r="A5030" s="14"/>
      <c r="B5030" s="15"/>
      <c r="C5030" s="16"/>
      <c r="J5030" s="9"/>
    </row>
    <row r="5031">
      <c r="A5031" s="14"/>
      <c r="B5031" s="15"/>
      <c r="C5031" s="16"/>
      <c r="J5031" s="9"/>
    </row>
    <row r="5032">
      <c r="A5032" s="14"/>
      <c r="B5032" s="15"/>
      <c r="C5032" s="16"/>
      <c r="J5032" s="9"/>
    </row>
    <row r="5033">
      <c r="A5033" s="14"/>
      <c r="B5033" s="15"/>
      <c r="C5033" s="16"/>
      <c r="J5033" s="9"/>
    </row>
    <row r="5034">
      <c r="A5034" s="14"/>
      <c r="B5034" s="15"/>
      <c r="C5034" s="16"/>
      <c r="J5034" s="9"/>
    </row>
    <row r="5035">
      <c r="A5035" s="14"/>
      <c r="B5035" s="15"/>
      <c r="C5035" s="16"/>
      <c r="J5035" s="9"/>
    </row>
    <row r="5036">
      <c r="A5036" s="14"/>
      <c r="B5036" s="15"/>
      <c r="C5036" s="16"/>
      <c r="J5036" s="9"/>
    </row>
    <row r="5037">
      <c r="A5037" s="14"/>
      <c r="B5037" s="15"/>
      <c r="C5037" s="16"/>
      <c r="J5037" s="9"/>
    </row>
    <row r="5038">
      <c r="A5038" s="14"/>
      <c r="B5038" s="15"/>
      <c r="C5038" s="16"/>
      <c r="J5038" s="9"/>
    </row>
    <row r="5039">
      <c r="A5039" s="14"/>
      <c r="B5039" s="15"/>
      <c r="C5039" s="16"/>
      <c r="J5039" s="9"/>
    </row>
    <row r="5040">
      <c r="A5040" s="14"/>
      <c r="B5040" s="15"/>
      <c r="C5040" s="16"/>
      <c r="J5040" s="9"/>
    </row>
    <row r="5041">
      <c r="A5041" s="14"/>
      <c r="B5041" s="15"/>
      <c r="C5041" s="16"/>
      <c r="J5041" s="9"/>
    </row>
    <row r="5042">
      <c r="A5042" s="14"/>
      <c r="B5042" s="15"/>
      <c r="C5042" s="16"/>
      <c r="J5042" s="9"/>
    </row>
    <row r="5043">
      <c r="A5043" s="14"/>
      <c r="B5043" s="15"/>
      <c r="C5043" s="16"/>
      <c r="J5043" s="9"/>
    </row>
    <row r="5044">
      <c r="A5044" s="14"/>
      <c r="B5044" s="15"/>
      <c r="C5044" s="16"/>
      <c r="J5044" s="9"/>
    </row>
    <row r="5045">
      <c r="A5045" s="14"/>
      <c r="B5045" s="15"/>
      <c r="C5045" s="16"/>
      <c r="J5045" s="9"/>
    </row>
    <row r="5046">
      <c r="A5046" s="14"/>
      <c r="B5046" s="15"/>
      <c r="C5046" s="16"/>
      <c r="J5046" s="9"/>
    </row>
    <row r="5047">
      <c r="A5047" s="14"/>
      <c r="B5047" s="15"/>
      <c r="C5047" s="16"/>
      <c r="J5047" s="9"/>
    </row>
    <row r="5048">
      <c r="A5048" s="14"/>
      <c r="B5048" s="15"/>
      <c r="C5048" s="16"/>
      <c r="J5048" s="9"/>
    </row>
    <row r="5049">
      <c r="A5049" s="14"/>
      <c r="B5049" s="15"/>
      <c r="C5049" s="16"/>
      <c r="J5049" s="9"/>
    </row>
    <row r="5050">
      <c r="A5050" s="14"/>
      <c r="B5050" s="15"/>
      <c r="C5050" s="16"/>
      <c r="J5050" s="9"/>
    </row>
    <row r="5051">
      <c r="A5051" s="14"/>
      <c r="B5051" s="15"/>
      <c r="C5051" s="16"/>
      <c r="J5051" s="9"/>
    </row>
    <row r="5052">
      <c r="A5052" s="14"/>
      <c r="B5052" s="15"/>
      <c r="C5052" s="16"/>
      <c r="J5052" s="9"/>
    </row>
    <row r="5053">
      <c r="A5053" s="14"/>
      <c r="B5053" s="15"/>
      <c r="C5053" s="16"/>
      <c r="J5053" s="9"/>
    </row>
    <row r="5054">
      <c r="A5054" s="14"/>
      <c r="B5054" s="15"/>
      <c r="C5054" s="16"/>
      <c r="J5054" s="9"/>
    </row>
    <row r="5055">
      <c r="A5055" s="14"/>
      <c r="B5055" s="15"/>
      <c r="C5055" s="16"/>
      <c r="J5055" s="9"/>
    </row>
    <row r="5056">
      <c r="A5056" s="14"/>
      <c r="B5056" s="15"/>
      <c r="C5056" s="16"/>
      <c r="J5056" s="9"/>
    </row>
    <row r="5057">
      <c r="A5057" s="14"/>
      <c r="B5057" s="15"/>
      <c r="C5057" s="16"/>
      <c r="J5057" s="9"/>
    </row>
    <row r="5058">
      <c r="A5058" s="14"/>
      <c r="B5058" s="15"/>
      <c r="C5058" s="16"/>
      <c r="J5058" s="9"/>
    </row>
    <row r="5059">
      <c r="A5059" s="14"/>
      <c r="B5059" s="15"/>
      <c r="C5059" s="16"/>
      <c r="J5059" s="9"/>
    </row>
    <row r="5060">
      <c r="A5060" s="14"/>
      <c r="B5060" s="15"/>
      <c r="C5060" s="16"/>
      <c r="J5060" s="9"/>
    </row>
    <row r="5061">
      <c r="A5061" s="14"/>
      <c r="B5061" s="15"/>
      <c r="C5061" s="16"/>
      <c r="J5061" s="9"/>
    </row>
    <row r="5062">
      <c r="A5062" s="14"/>
      <c r="B5062" s="15"/>
      <c r="C5062" s="16"/>
      <c r="J5062" s="9"/>
    </row>
    <row r="5063">
      <c r="A5063" s="14"/>
      <c r="B5063" s="15"/>
      <c r="C5063" s="16"/>
      <c r="J5063" s="9"/>
    </row>
    <row r="5064">
      <c r="A5064" s="14"/>
      <c r="B5064" s="15"/>
      <c r="C5064" s="16"/>
      <c r="J5064" s="9"/>
    </row>
    <row r="5065">
      <c r="A5065" s="14"/>
      <c r="B5065" s="15"/>
      <c r="C5065" s="16"/>
      <c r="J5065" s="9"/>
    </row>
    <row r="5066">
      <c r="A5066" s="14"/>
      <c r="B5066" s="15"/>
      <c r="C5066" s="16"/>
      <c r="J5066" s="9"/>
    </row>
    <row r="5067">
      <c r="A5067" s="14"/>
      <c r="B5067" s="15"/>
      <c r="C5067" s="16"/>
      <c r="J5067" s="9"/>
    </row>
    <row r="5068">
      <c r="A5068" s="14"/>
      <c r="B5068" s="15"/>
      <c r="C5068" s="16"/>
      <c r="J5068" s="9"/>
    </row>
    <row r="5069">
      <c r="A5069" s="14"/>
      <c r="B5069" s="15"/>
      <c r="C5069" s="16"/>
      <c r="J5069" s="9"/>
    </row>
    <row r="5070">
      <c r="A5070" s="14"/>
      <c r="B5070" s="15"/>
      <c r="C5070" s="16"/>
      <c r="J5070" s="9"/>
    </row>
    <row r="5071">
      <c r="A5071" s="14"/>
      <c r="B5071" s="15"/>
      <c r="C5071" s="16"/>
      <c r="J5071" s="9"/>
    </row>
    <row r="5072">
      <c r="A5072" s="14"/>
      <c r="B5072" s="15"/>
      <c r="C5072" s="16"/>
      <c r="J5072" s="9"/>
    </row>
    <row r="5073">
      <c r="A5073" s="14"/>
      <c r="B5073" s="15"/>
      <c r="C5073" s="16"/>
      <c r="J5073" s="9"/>
    </row>
    <row r="5074">
      <c r="A5074" s="14"/>
      <c r="B5074" s="15"/>
      <c r="C5074" s="16"/>
      <c r="J5074" s="9"/>
    </row>
    <row r="5075">
      <c r="A5075" s="14"/>
      <c r="B5075" s="15"/>
      <c r="C5075" s="16"/>
      <c r="J5075" s="9"/>
    </row>
    <row r="5076">
      <c r="A5076" s="14"/>
      <c r="B5076" s="15"/>
      <c r="C5076" s="16"/>
      <c r="J5076" s="9"/>
    </row>
    <row r="5077">
      <c r="A5077" s="14"/>
      <c r="B5077" s="15"/>
      <c r="C5077" s="16"/>
      <c r="J5077" s="9"/>
    </row>
    <row r="5078">
      <c r="A5078" s="14"/>
      <c r="B5078" s="15"/>
      <c r="C5078" s="16"/>
      <c r="J5078" s="9"/>
    </row>
    <row r="5079">
      <c r="A5079" s="14"/>
      <c r="B5079" s="15"/>
      <c r="C5079" s="16"/>
      <c r="J5079" s="9"/>
    </row>
    <row r="5080">
      <c r="A5080" s="14"/>
      <c r="B5080" s="15"/>
      <c r="C5080" s="16"/>
      <c r="J5080" s="9"/>
    </row>
    <row r="5081">
      <c r="A5081" s="14"/>
      <c r="B5081" s="15"/>
      <c r="C5081" s="16"/>
      <c r="J5081" s="9"/>
    </row>
    <row r="5082">
      <c r="A5082" s="14"/>
      <c r="B5082" s="15"/>
      <c r="C5082" s="16"/>
      <c r="J5082" s="9"/>
    </row>
    <row r="5083">
      <c r="A5083" s="14"/>
      <c r="B5083" s="15"/>
      <c r="C5083" s="16"/>
      <c r="J5083" s="9"/>
    </row>
    <row r="5084">
      <c r="A5084" s="14"/>
      <c r="B5084" s="15"/>
      <c r="C5084" s="16"/>
      <c r="J5084" s="9"/>
    </row>
    <row r="5085">
      <c r="A5085" s="14"/>
      <c r="B5085" s="15"/>
      <c r="C5085" s="16"/>
      <c r="J5085" s="9"/>
    </row>
    <row r="5086">
      <c r="A5086" s="14"/>
      <c r="B5086" s="15"/>
      <c r="C5086" s="16"/>
      <c r="J5086" s="9"/>
    </row>
    <row r="5087">
      <c r="A5087" s="14"/>
      <c r="B5087" s="15"/>
      <c r="C5087" s="16"/>
      <c r="J5087" s="9"/>
    </row>
    <row r="5088">
      <c r="A5088" s="14"/>
      <c r="B5088" s="15"/>
      <c r="C5088" s="16"/>
      <c r="J5088" s="9"/>
    </row>
    <row r="5089">
      <c r="A5089" s="14"/>
      <c r="B5089" s="15"/>
      <c r="C5089" s="16"/>
      <c r="J5089" s="9"/>
    </row>
    <row r="5090">
      <c r="A5090" s="14"/>
      <c r="B5090" s="15"/>
      <c r="C5090" s="16"/>
      <c r="J5090" s="9"/>
    </row>
    <row r="5091">
      <c r="A5091" s="14"/>
      <c r="B5091" s="15"/>
      <c r="C5091" s="16"/>
      <c r="J5091" s="9"/>
    </row>
    <row r="5092">
      <c r="A5092" s="14"/>
      <c r="B5092" s="15"/>
      <c r="C5092" s="16"/>
      <c r="J5092" s="9"/>
    </row>
    <row r="5093">
      <c r="A5093" s="14"/>
      <c r="B5093" s="15"/>
      <c r="C5093" s="16"/>
      <c r="J5093" s="9"/>
    </row>
    <row r="5094">
      <c r="A5094" s="14"/>
      <c r="B5094" s="15"/>
      <c r="C5094" s="16"/>
      <c r="J5094" s="9"/>
    </row>
    <row r="5095">
      <c r="A5095" s="14"/>
      <c r="B5095" s="15"/>
      <c r="C5095" s="16"/>
      <c r="J5095" s="9"/>
    </row>
    <row r="5096">
      <c r="A5096" s="14"/>
      <c r="B5096" s="15"/>
      <c r="C5096" s="16"/>
      <c r="J5096" s="9"/>
    </row>
    <row r="5097">
      <c r="A5097" s="14"/>
      <c r="B5097" s="15"/>
      <c r="C5097" s="16"/>
      <c r="J5097" s="9"/>
    </row>
    <row r="5098">
      <c r="A5098" s="14"/>
      <c r="B5098" s="15"/>
      <c r="C5098" s="16"/>
      <c r="J5098" s="9"/>
    </row>
    <row r="5099">
      <c r="A5099" s="14"/>
      <c r="B5099" s="15"/>
      <c r="C5099" s="16"/>
      <c r="J5099" s="9"/>
    </row>
    <row r="5100">
      <c r="A5100" s="14"/>
      <c r="B5100" s="15"/>
      <c r="C5100" s="16"/>
      <c r="J5100" s="9"/>
    </row>
    <row r="5101">
      <c r="A5101" s="14"/>
      <c r="B5101" s="15"/>
      <c r="C5101" s="16"/>
      <c r="J5101" s="9"/>
    </row>
    <row r="5102">
      <c r="A5102" s="14"/>
      <c r="B5102" s="15"/>
      <c r="C5102" s="16"/>
      <c r="J5102" s="9"/>
    </row>
    <row r="5103">
      <c r="A5103" s="14"/>
      <c r="B5103" s="15"/>
      <c r="C5103" s="16"/>
      <c r="J5103" s="9"/>
    </row>
    <row r="5104">
      <c r="A5104" s="14"/>
      <c r="B5104" s="15"/>
      <c r="C5104" s="16"/>
      <c r="J5104" s="9"/>
    </row>
    <row r="5105">
      <c r="A5105" s="14"/>
      <c r="B5105" s="15"/>
      <c r="C5105" s="16"/>
      <c r="J5105" s="9"/>
    </row>
    <row r="5106">
      <c r="A5106" s="14"/>
      <c r="B5106" s="15"/>
      <c r="C5106" s="16"/>
      <c r="J5106" s="9"/>
    </row>
    <row r="5107">
      <c r="A5107" s="14"/>
      <c r="B5107" s="15"/>
      <c r="C5107" s="16"/>
      <c r="J5107" s="9"/>
    </row>
    <row r="5108">
      <c r="A5108" s="14"/>
      <c r="B5108" s="15"/>
      <c r="C5108" s="16"/>
      <c r="J5108" s="9"/>
    </row>
    <row r="5109">
      <c r="A5109" s="14"/>
      <c r="B5109" s="15"/>
      <c r="C5109" s="16"/>
      <c r="J5109" s="9"/>
    </row>
    <row r="5110">
      <c r="A5110" s="14"/>
      <c r="B5110" s="15"/>
      <c r="C5110" s="16"/>
      <c r="J5110" s="9"/>
    </row>
    <row r="5111">
      <c r="A5111" s="14"/>
      <c r="B5111" s="15"/>
      <c r="C5111" s="16"/>
      <c r="J5111" s="9"/>
    </row>
    <row r="5112">
      <c r="A5112" s="14"/>
      <c r="B5112" s="15"/>
      <c r="C5112" s="16"/>
      <c r="J5112" s="9"/>
    </row>
    <row r="5113">
      <c r="A5113" s="14"/>
      <c r="B5113" s="15"/>
      <c r="C5113" s="16"/>
      <c r="J5113" s="9"/>
    </row>
    <row r="5114">
      <c r="A5114" s="14"/>
      <c r="B5114" s="15"/>
      <c r="C5114" s="16"/>
      <c r="J5114" s="9"/>
    </row>
    <row r="5115">
      <c r="A5115" s="14"/>
      <c r="B5115" s="15"/>
      <c r="C5115" s="16"/>
      <c r="J5115" s="9"/>
    </row>
    <row r="5116">
      <c r="A5116" s="14"/>
      <c r="B5116" s="15"/>
      <c r="C5116" s="16"/>
      <c r="J5116" s="9"/>
    </row>
    <row r="5117">
      <c r="A5117" s="14"/>
      <c r="B5117" s="15"/>
      <c r="C5117" s="16"/>
      <c r="J5117" s="9"/>
    </row>
    <row r="5118">
      <c r="A5118" s="14"/>
      <c r="B5118" s="15"/>
      <c r="C5118" s="16"/>
      <c r="J5118" s="9"/>
    </row>
    <row r="5119">
      <c r="A5119" s="14"/>
      <c r="B5119" s="15"/>
      <c r="C5119" s="16"/>
      <c r="J5119" s="9"/>
    </row>
    <row r="5120">
      <c r="A5120" s="14"/>
      <c r="B5120" s="15"/>
      <c r="C5120" s="16"/>
      <c r="J5120" s="9"/>
    </row>
    <row r="5121">
      <c r="A5121" s="14"/>
      <c r="B5121" s="15"/>
      <c r="C5121" s="16"/>
      <c r="J5121" s="9"/>
    </row>
    <row r="5122">
      <c r="A5122" s="14"/>
      <c r="B5122" s="15"/>
      <c r="C5122" s="16"/>
      <c r="J5122" s="9"/>
    </row>
    <row r="5123">
      <c r="A5123" s="14"/>
      <c r="B5123" s="15"/>
      <c r="C5123" s="16"/>
      <c r="J5123" s="9"/>
    </row>
    <row r="5124">
      <c r="A5124" s="14"/>
      <c r="B5124" s="15"/>
      <c r="C5124" s="16"/>
      <c r="J5124" s="9"/>
    </row>
    <row r="5125">
      <c r="A5125" s="14"/>
      <c r="B5125" s="15"/>
      <c r="C5125" s="16"/>
      <c r="J5125" s="9"/>
    </row>
    <row r="5126">
      <c r="A5126" s="14"/>
      <c r="B5126" s="15"/>
      <c r="C5126" s="16"/>
      <c r="J5126" s="9"/>
    </row>
    <row r="5127">
      <c r="A5127" s="14"/>
      <c r="B5127" s="15"/>
      <c r="C5127" s="16"/>
      <c r="J5127" s="9"/>
    </row>
    <row r="5128">
      <c r="A5128" s="14"/>
      <c r="B5128" s="15"/>
      <c r="C5128" s="16"/>
      <c r="J5128" s="9"/>
    </row>
    <row r="5129">
      <c r="A5129" s="14"/>
      <c r="B5129" s="15"/>
      <c r="C5129" s="16"/>
      <c r="J5129" s="9"/>
    </row>
    <row r="5130">
      <c r="A5130" s="14"/>
      <c r="B5130" s="15"/>
      <c r="C5130" s="16"/>
      <c r="J5130" s="9"/>
    </row>
    <row r="5131">
      <c r="A5131" s="14"/>
      <c r="B5131" s="15"/>
      <c r="C5131" s="16"/>
      <c r="J5131" s="9"/>
    </row>
    <row r="5132">
      <c r="A5132" s="14"/>
      <c r="B5132" s="15"/>
      <c r="C5132" s="16"/>
      <c r="J5132" s="9"/>
    </row>
    <row r="5133">
      <c r="A5133" s="14"/>
      <c r="B5133" s="15"/>
      <c r="C5133" s="16"/>
      <c r="J5133" s="9"/>
    </row>
    <row r="5134">
      <c r="A5134" s="14"/>
      <c r="B5134" s="15"/>
      <c r="C5134" s="16"/>
      <c r="J5134" s="9"/>
    </row>
    <row r="5135">
      <c r="A5135" s="14"/>
      <c r="B5135" s="15"/>
      <c r="C5135" s="16"/>
      <c r="J5135" s="9"/>
    </row>
    <row r="5136">
      <c r="A5136" s="14"/>
      <c r="B5136" s="15"/>
      <c r="C5136" s="16"/>
      <c r="J5136" s="9"/>
    </row>
    <row r="5137">
      <c r="A5137" s="14"/>
      <c r="B5137" s="15"/>
      <c r="C5137" s="16"/>
      <c r="J5137" s="9"/>
    </row>
    <row r="5138">
      <c r="A5138" s="14"/>
      <c r="B5138" s="15"/>
      <c r="C5138" s="16"/>
      <c r="J5138" s="9"/>
    </row>
    <row r="5139">
      <c r="A5139" s="14"/>
      <c r="B5139" s="15"/>
      <c r="C5139" s="16"/>
      <c r="J5139" s="9"/>
    </row>
    <row r="5140">
      <c r="A5140" s="14"/>
      <c r="B5140" s="15"/>
      <c r="C5140" s="16"/>
      <c r="J5140" s="9"/>
    </row>
    <row r="5141">
      <c r="A5141" s="14"/>
      <c r="B5141" s="15"/>
      <c r="C5141" s="16"/>
      <c r="J5141" s="9"/>
    </row>
    <row r="5142">
      <c r="A5142" s="14"/>
      <c r="B5142" s="15"/>
      <c r="C5142" s="16"/>
      <c r="J5142" s="9"/>
    </row>
    <row r="5143">
      <c r="A5143" s="14"/>
      <c r="B5143" s="15"/>
      <c r="C5143" s="16"/>
      <c r="J5143" s="9"/>
    </row>
    <row r="5144">
      <c r="A5144" s="14"/>
      <c r="B5144" s="15"/>
      <c r="C5144" s="16"/>
      <c r="J5144" s="9"/>
    </row>
    <row r="5145">
      <c r="A5145" s="14"/>
      <c r="B5145" s="15"/>
      <c r="C5145" s="16"/>
      <c r="J5145" s="9"/>
    </row>
    <row r="5146">
      <c r="A5146" s="14"/>
      <c r="B5146" s="15"/>
      <c r="C5146" s="16"/>
      <c r="J5146" s="9"/>
    </row>
    <row r="5147">
      <c r="A5147" s="14"/>
      <c r="B5147" s="15"/>
      <c r="C5147" s="16"/>
      <c r="J5147" s="9"/>
    </row>
    <row r="5148">
      <c r="A5148" s="14"/>
      <c r="B5148" s="15"/>
      <c r="C5148" s="16"/>
      <c r="J5148" s="9"/>
    </row>
    <row r="5149">
      <c r="A5149" s="14"/>
      <c r="B5149" s="15"/>
      <c r="C5149" s="16"/>
      <c r="J5149" s="9"/>
    </row>
    <row r="5150">
      <c r="A5150" s="14"/>
      <c r="B5150" s="15"/>
      <c r="C5150" s="16"/>
      <c r="J5150" s="9"/>
    </row>
    <row r="5151">
      <c r="A5151" s="14"/>
      <c r="B5151" s="15"/>
      <c r="C5151" s="16"/>
      <c r="J5151" s="9"/>
    </row>
    <row r="5152">
      <c r="A5152" s="14"/>
      <c r="B5152" s="15"/>
      <c r="C5152" s="16"/>
      <c r="J5152" s="9"/>
    </row>
    <row r="5153">
      <c r="A5153" s="14"/>
      <c r="B5153" s="15"/>
      <c r="C5153" s="16"/>
      <c r="J5153" s="9"/>
    </row>
    <row r="5154">
      <c r="A5154" s="14"/>
      <c r="B5154" s="15"/>
      <c r="C5154" s="16"/>
      <c r="J5154" s="9"/>
    </row>
    <row r="5155">
      <c r="A5155" s="14"/>
      <c r="B5155" s="15"/>
      <c r="C5155" s="16"/>
      <c r="J5155" s="9"/>
    </row>
    <row r="5156">
      <c r="A5156" s="14"/>
      <c r="B5156" s="15"/>
      <c r="C5156" s="16"/>
      <c r="J5156" s="9"/>
    </row>
    <row r="5157">
      <c r="A5157" s="14"/>
      <c r="B5157" s="15"/>
      <c r="C5157" s="16"/>
      <c r="J5157" s="9"/>
    </row>
    <row r="5158">
      <c r="A5158" s="14"/>
      <c r="B5158" s="15"/>
      <c r="C5158" s="16"/>
      <c r="J5158" s="9"/>
    </row>
    <row r="5159">
      <c r="A5159" s="14"/>
      <c r="B5159" s="15"/>
      <c r="C5159" s="16"/>
      <c r="J5159" s="9"/>
    </row>
    <row r="5160">
      <c r="A5160" s="14"/>
      <c r="B5160" s="15"/>
      <c r="C5160" s="16"/>
      <c r="J5160" s="9"/>
    </row>
    <row r="5161">
      <c r="A5161" s="14"/>
      <c r="B5161" s="15"/>
      <c r="C5161" s="16"/>
      <c r="J5161" s="9"/>
    </row>
    <row r="5162">
      <c r="A5162" s="14"/>
      <c r="B5162" s="15"/>
      <c r="C5162" s="16"/>
      <c r="J5162" s="9"/>
    </row>
    <row r="5163">
      <c r="A5163" s="14"/>
      <c r="B5163" s="15"/>
      <c r="C5163" s="16"/>
      <c r="J5163" s="9"/>
    </row>
    <row r="5164">
      <c r="A5164" s="14"/>
      <c r="B5164" s="15"/>
      <c r="C5164" s="16"/>
      <c r="J5164" s="9"/>
    </row>
    <row r="5165">
      <c r="A5165" s="14"/>
      <c r="B5165" s="15"/>
      <c r="C5165" s="16"/>
      <c r="J5165" s="9"/>
    </row>
    <row r="5166">
      <c r="A5166" s="14"/>
      <c r="B5166" s="15"/>
      <c r="C5166" s="16"/>
      <c r="J5166" s="9"/>
    </row>
    <row r="5167">
      <c r="A5167" s="14"/>
      <c r="B5167" s="15"/>
      <c r="C5167" s="16"/>
      <c r="J5167" s="9"/>
    </row>
    <row r="5168">
      <c r="A5168" s="14"/>
      <c r="B5168" s="15"/>
      <c r="C5168" s="16"/>
      <c r="J5168" s="9"/>
    </row>
    <row r="5169">
      <c r="A5169" s="14"/>
      <c r="B5169" s="15"/>
      <c r="C5169" s="16"/>
      <c r="J5169" s="9"/>
    </row>
    <row r="5170">
      <c r="A5170" s="14"/>
      <c r="B5170" s="15"/>
      <c r="C5170" s="16"/>
      <c r="J5170" s="9"/>
    </row>
    <row r="5171">
      <c r="A5171" s="14"/>
      <c r="B5171" s="15"/>
      <c r="C5171" s="16"/>
      <c r="J5171" s="9"/>
    </row>
    <row r="5172">
      <c r="A5172" s="14"/>
      <c r="B5172" s="15"/>
      <c r="C5172" s="16"/>
      <c r="J5172" s="9"/>
    </row>
    <row r="5173">
      <c r="A5173" s="14"/>
      <c r="B5173" s="15"/>
      <c r="C5173" s="16"/>
      <c r="J5173" s="9"/>
    </row>
    <row r="5174">
      <c r="A5174" s="14"/>
      <c r="B5174" s="15"/>
      <c r="C5174" s="16"/>
      <c r="J5174" s="9"/>
    </row>
    <row r="5175">
      <c r="A5175" s="14"/>
      <c r="B5175" s="15"/>
      <c r="C5175" s="16"/>
      <c r="J5175" s="9"/>
    </row>
    <row r="5176">
      <c r="A5176" s="14"/>
      <c r="B5176" s="15"/>
      <c r="C5176" s="16"/>
      <c r="J5176" s="9"/>
    </row>
    <row r="5177">
      <c r="A5177" s="14"/>
      <c r="B5177" s="15"/>
      <c r="C5177" s="16"/>
      <c r="J5177" s="9"/>
    </row>
    <row r="5178">
      <c r="A5178" s="14"/>
      <c r="B5178" s="15"/>
      <c r="C5178" s="16"/>
      <c r="J5178" s="9"/>
    </row>
    <row r="5179">
      <c r="A5179" s="14"/>
      <c r="B5179" s="15"/>
      <c r="C5179" s="16"/>
      <c r="J5179" s="9"/>
    </row>
    <row r="5180">
      <c r="A5180" s="14"/>
      <c r="B5180" s="15"/>
      <c r="C5180" s="16"/>
      <c r="J5180" s="9"/>
    </row>
    <row r="5181">
      <c r="A5181" s="14"/>
      <c r="B5181" s="15"/>
      <c r="C5181" s="16"/>
      <c r="J5181" s="9"/>
    </row>
    <row r="5182">
      <c r="A5182" s="14"/>
      <c r="B5182" s="15"/>
      <c r="C5182" s="16"/>
      <c r="J5182" s="9"/>
    </row>
    <row r="5183">
      <c r="A5183" s="14"/>
      <c r="B5183" s="15"/>
      <c r="C5183" s="16"/>
      <c r="J5183" s="9"/>
    </row>
    <row r="5184">
      <c r="A5184" s="14"/>
      <c r="B5184" s="15"/>
      <c r="C5184" s="16"/>
      <c r="J5184" s="9"/>
    </row>
    <row r="5185">
      <c r="A5185" s="14"/>
      <c r="B5185" s="15"/>
      <c r="C5185" s="16"/>
      <c r="J5185" s="9"/>
    </row>
    <row r="5186">
      <c r="A5186" s="14"/>
      <c r="B5186" s="15"/>
      <c r="C5186" s="16"/>
      <c r="J5186" s="9"/>
    </row>
    <row r="5187">
      <c r="A5187" s="14"/>
      <c r="B5187" s="15"/>
      <c r="C5187" s="16"/>
      <c r="J5187" s="9"/>
    </row>
    <row r="5188">
      <c r="A5188" s="14"/>
      <c r="B5188" s="15"/>
      <c r="C5188" s="16"/>
      <c r="J5188" s="9"/>
    </row>
    <row r="5189">
      <c r="A5189" s="14"/>
      <c r="B5189" s="15"/>
      <c r="C5189" s="16"/>
      <c r="J5189" s="9"/>
    </row>
    <row r="5190">
      <c r="A5190" s="14"/>
      <c r="B5190" s="15"/>
      <c r="C5190" s="16"/>
      <c r="J5190" s="9"/>
    </row>
    <row r="5191">
      <c r="A5191" s="14"/>
      <c r="B5191" s="15"/>
      <c r="C5191" s="16"/>
      <c r="J5191" s="9"/>
    </row>
    <row r="5192">
      <c r="A5192" s="14"/>
      <c r="B5192" s="15"/>
      <c r="C5192" s="16"/>
      <c r="J5192" s="9"/>
    </row>
    <row r="5193">
      <c r="A5193" s="14"/>
      <c r="B5193" s="15"/>
      <c r="C5193" s="16"/>
      <c r="J5193" s="9"/>
    </row>
    <row r="5194">
      <c r="A5194" s="14"/>
      <c r="B5194" s="15"/>
      <c r="C5194" s="16"/>
      <c r="J5194" s="9"/>
    </row>
    <row r="5195">
      <c r="A5195" s="14"/>
      <c r="B5195" s="15"/>
      <c r="C5195" s="16"/>
      <c r="J5195" s="9"/>
    </row>
    <row r="5196">
      <c r="A5196" s="14"/>
      <c r="B5196" s="15"/>
      <c r="C5196" s="16"/>
      <c r="J5196" s="9"/>
    </row>
    <row r="5197">
      <c r="A5197" s="14"/>
      <c r="B5197" s="15"/>
      <c r="C5197" s="16"/>
      <c r="J5197" s="9"/>
    </row>
    <row r="5198">
      <c r="A5198" s="14"/>
      <c r="B5198" s="15"/>
      <c r="C5198" s="16"/>
      <c r="J5198" s="9"/>
    </row>
    <row r="5199">
      <c r="A5199" s="14"/>
      <c r="B5199" s="15"/>
      <c r="C5199" s="16"/>
      <c r="J5199" s="9"/>
    </row>
    <row r="5200">
      <c r="A5200" s="14"/>
      <c r="B5200" s="15"/>
      <c r="C5200" s="16"/>
      <c r="J5200" s="9"/>
    </row>
    <row r="5201">
      <c r="A5201" s="14"/>
      <c r="B5201" s="15"/>
      <c r="C5201" s="16"/>
      <c r="J5201" s="9"/>
    </row>
    <row r="5202">
      <c r="A5202" s="14"/>
      <c r="B5202" s="15"/>
      <c r="C5202" s="16"/>
      <c r="J5202" s="9"/>
    </row>
    <row r="5203">
      <c r="A5203" s="14"/>
      <c r="B5203" s="15"/>
      <c r="C5203" s="16"/>
      <c r="J5203" s="9"/>
    </row>
    <row r="5204">
      <c r="A5204" s="14"/>
      <c r="B5204" s="15"/>
      <c r="C5204" s="16"/>
      <c r="J5204" s="9"/>
    </row>
    <row r="5205">
      <c r="A5205" s="14"/>
      <c r="B5205" s="15"/>
      <c r="C5205" s="16"/>
      <c r="J5205" s="9"/>
    </row>
    <row r="5206">
      <c r="A5206" s="14"/>
      <c r="B5206" s="15"/>
      <c r="C5206" s="16"/>
      <c r="J5206" s="9"/>
    </row>
    <row r="5207">
      <c r="A5207" s="14"/>
      <c r="B5207" s="15"/>
      <c r="C5207" s="16"/>
      <c r="J5207" s="9"/>
    </row>
    <row r="5208">
      <c r="A5208" s="14"/>
      <c r="B5208" s="15"/>
      <c r="C5208" s="16"/>
      <c r="J5208" s="9"/>
    </row>
    <row r="5209">
      <c r="A5209" s="14"/>
      <c r="B5209" s="15"/>
      <c r="C5209" s="16"/>
      <c r="J5209" s="9"/>
    </row>
    <row r="5210">
      <c r="A5210" s="14"/>
      <c r="B5210" s="15"/>
      <c r="C5210" s="16"/>
      <c r="J5210" s="9"/>
    </row>
    <row r="5211">
      <c r="A5211" s="14"/>
      <c r="B5211" s="15"/>
      <c r="C5211" s="16"/>
      <c r="J5211" s="9"/>
    </row>
    <row r="5212">
      <c r="A5212" s="14"/>
      <c r="B5212" s="15"/>
      <c r="C5212" s="16"/>
      <c r="J5212" s="9"/>
    </row>
    <row r="5213">
      <c r="A5213" s="14"/>
      <c r="B5213" s="15"/>
      <c r="C5213" s="16"/>
      <c r="J5213" s="9"/>
    </row>
    <row r="5214">
      <c r="A5214" s="14"/>
      <c r="B5214" s="15"/>
      <c r="C5214" s="16"/>
      <c r="J5214" s="9"/>
    </row>
    <row r="5215">
      <c r="A5215" s="14"/>
      <c r="B5215" s="15"/>
      <c r="C5215" s="16"/>
      <c r="J5215" s="9"/>
    </row>
    <row r="5216">
      <c r="A5216" s="14"/>
      <c r="B5216" s="15"/>
      <c r="C5216" s="16"/>
      <c r="J5216" s="9"/>
    </row>
    <row r="5217">
      <c r="A5217" s="14"/>
      <c r="B5217" s="15"/>
      <c r="C5217" s="16"/>
      <c r="J5217" s="9"/>
    </row>
    <row r="5218">
      <c r="A5218" s="14"/>
      <c r="B5218" s="15"/>
      <c r="C5218" s="16"/>
      <c r="J5218" s="9"/>
    </row>
    <row r="5219">
      <c r="A5219" s="14"/>
      <c r="B5219" s="15"/>
      <c r="C5219" s="16"/>
      <c r="J5219" s="9"/>
    </row>
    <row r="5220">
      <c r="A5220" s="14"/>
      <c r="B5220" s="15"/>
      <c r="C5220" s="16"/>
      <c r="J5220" s="9"/>
    </row>
    <row r="5221">
      <c r="A5221" s="14"/>
      <c r="B5221" s="15"/>
      <c r="C5221" s="16"/>
      <c r="J5221" s="9"/>
    </row>
    <row r="5222">
      <c r="A5222" s="14"/>
      <c r="B5222" s="15"/>
      <c r="C5222" s="16"/>
      <c r="J5222" s="9"/>
    </row>
    <row r="5223">
      <c r="A5223" s="14"/>
      <c r="B5223" s="15"/>
      <c r="C5223" s="16"/>
      <c r="J5223" s="9"/>
    </row>
    <row r="5224">
      <c r="A5224" s="14"/>
      <c r="B5224" s="15"/>
      <c r="C5224" s="16"/>
      <c r="J5224" s="9"/>
    </row>
    <row r="5225">
      <c r="A5225" s="14"/>
      <c r="B5225" s="15"/>
      <c r="C5225" s="16"/>
      <c r="J5225" s="9"/>
    </row>
    <row r="5226">
      <c r="A5226" s="14"/>
      <c r="B5226" s="15"/>
      <c r="C5226" s="16"/>
      <c r="J5226" s="9"/>
    </row>
    <row r="5227">
      <c r="A5227" s="14"/>
      <c r="B5227" s="15"/>
      <c r="C5227" s="16"/>
      <c r="J5227" s="9"/>
    </row>
    <row r="5228">
      <c r="A5228" s="14"/>
      <c r="B5228" s="15"/>
      <c r="C5228" s="16"/>
      <c r="J5228" s="9"/>
    </row>
    <row r="5229">
      <c r="A5229" s="14"/>
      <c r="B5229" s="15"/>
      <c r="C5229" s="16"/>
      <c r="J5229" s="9"/>
    </row>
    <row r="5230">
      <c r="A5230" s="14"/>
      <c r="B5230" s="15"/>
      <c r="C5230" s="16"/>
      <c r="J5230" s="9"/>
    </row>
    <row r="5231">
      <c r="A5231" s="14"/>
      <c r="B5231" s="15"/>
      <c r="C5231" s="16"/>
      <c r="J5231" s="9"/>
    </row>
    <row r="5232">
      <c r="A5232" s="14"/>
      <c r="B5232" s="15"/>
      <c r="C5232" s="16"/>
      <c r="J5232" s="9"/>
    </row>
    <row r="5233">
      <c r="A5233" s="14"/>
      <c r="B5233" s="15"/>
      <c r="C5233" s="16"/>
      <c r="J5233" s="9"/>
    </row>
    <row r="5234">
      <c r="A5234" s="14"/>
      <c r="B5234" s="15"/>
      <c r="C5234" s="16"/>
      <c r="J5234" s="9"/>
    </row>
    <row r="5235">
      <c r="A5235" s="14"/>
      <c r="B5235" s="15"/>
      <c r="C5235" s="16"/>
      <c r="J5235" s="9"/>
    </row>
    <row r="5236">
      <c r="A5236" s="14"/>
      <c r="B5236" s="15"/>
      <c r="C5236" s="16"/>
      <c r="J5236" s="9"/>
    </row>
    <row r="5237">
      <c r="A5237" s="14"/>
      <c r="B5237" s="15"/>
      <c r="C5237" s="16"/>
      <c r="J5237" s="9"/>
    </row>
    <row r="5238">
      <c r="A5238" s="14"/>
      <c r="B5238" s="15"/>
      <c r="C5238" s="16"/>
      <c r="J5238" s="9"/>
    </row>
    <row r="5239">
      <c r="A5239" s="14"/>
      <c r="B5239" s="15"/>
      <c r="C5239" s="16"/>
      <c r="J5239" s="9"/>
    </row>
    <row r="5240">
      <c r="A5240" s="14"/>
      <c r="B5240" s="15"/>
      <c r="C5240" s="16"/>
      <c r="J5240" s="9"/>
    </row>
    <row r="5241">
      <c r="A5241" s="14"/>
      <c r="B5241" s="15"/>
      <c r="C5241" s="16"/>
      <c r="J5241" s="9"/>
    </row>
    <row r="5242">
      <c r="A5242" s="14"/>
      <c r="B5242" s="15"/>
      <c r="C5242" s="16"/>
      <c r="J5242" s="9"/>
    </row>
    <row r="5243">
      <c r="A5243" s="14"/>
      <c r="B5243" s="15"/>
      <c r="C5243" s="16"/>
      <c r="J5243" s="9"/>
    </row>
    <row r="5244">
      <c r="A5244" s="14"/>
      <c r="B5244" s="15"/>
      <c r="C5244" s="16"/>
      <c r="J5244" s="9"/>
    </row>
    <row r="5245">
      <c r="A5245" s="14"/>
      <c r="B5245" s="15"/>
      <c r="C5245" s="16"/>
      <c r="J5245" s="9"/>
    </row>
    <row r="5246">
      <c r="A5246" s="14"/>
      <c r="B5246" s="15"/>
      <c r="C5246" s="16"/>
      <c r="J5246" s="9"/>
    </row>
    <row r="5247">
      <c r="A5247" s="14"/>
      <c r="B5247" s="15"/>
      <c r="C5247" s="16"/>
      <c r="J5247" s="9"/>
    </row>
    <row r="5248">
      <c r="A5248" s="14"/>
      <c r="B5248" s="15"/>
      <c r="C5248" s="16"/>
      <c r="J5248" s="9"/>
    </row>
    <row r="5249">
      <c r="A5249" s="14"/>
      <c r="B5249" s="15"/>
      <c r="C5249" s="16"/>
      <c r="J5249" s="9"/>
    </row>
    <row r="5250">
      <c r="A5250" s="14"/>
      <c r="B5250" s="15"/>
      <c r="C5250" s="16"/>
      <c r="J5250" s="9"/>
    </row>
    <row r="5251">
      <c r="A5251" s="14"/>
      <c r="B5251" s="15"/>
      <c r="C5251" s="16"/>
      <c r="J5251" s="9"/>
    </row>
    <row r="5252">
      <c r="A5252" s="14"/>
      <c r="B5252" s="15"/>
      <c r="C5252" s="16"/>
      <c r="J5252" s="9"/>
    </row>
    <row r="5253">
      <c r="A5253" s="14"/>
      <c r="B5253" s="15"/>
      <c r="C5253" s="16"/>
      <c r="J5253" s="9"/>
    </row>
    <row r="5254">
      <c r="A5254" s="14"/>
      <c r="B5254" s="15"/>
      <c r="C5254" s="16"/>
      <c r="J5254" s="9"/>
    </row>
    <row r="5255">
      <c r="A5255" s="14"/>
      <c r="B5255" s="15"/>
      <c r="C5255" s="16"/>
      <c r="J5255" s="9"/>
    </row>
    <row r="5256">
      <c r="A5256" s="14"/>
      <c r="B5256" s="15"/>
      <c r="C5256" s="16"/>
      <c r="J5256" s="9"/>
    </row>
    <row r="5257">
      <c r="A5257" s="14"/>
      <c r="B5257" s="15"/>
      <c r="C5257" s="16"/>
      <c r="J5257" s="9"/>
    </row>
    <row r="5258">
      <c r="A5258" s="14"/>
      <c r="B5258" s="15"/>
      <c r="C5258" s="16"/>
      <c r="J5258" s="9"/>
    </row>
    <row r="5259">
      <c r="A5259" s="14"/>
      <c r="B5259" s="15"/>
      <c r="C5259" s="16"/>
      <c r="J5259" s="9"/>
    </row>
    <row r="5260">
      <c r="A5260" s="14"/>
      <c r="B5260" s="15"/>
      <c r="C5260" s="16"/>
      <c r="J5260" s="9"/>
    </row>
    <row r="5261">
      <c r="A5261" s="14"/>
      <c r="B5261" s="15"/>
      <c r="C5261" s="16"/>
      <c r="J5261" s="9"/>
    </row>
    <row r="5262">
      <c r="A5262" s="14"/>
      <c r="B5262" s="15"/>
      <c r="C5262" s="16"/>
      <c r="J5262" s="9"/>
    </row>
    <row r="5263">
      <c r="A5263" s="14"/>
      <c r="B5263" s="15"/>
      <c r="C5263" s="16"/>
      <c r="J5263" s="9"/>
    </row>
    <row r="5264">
      <c r="A5264" s="14"/>
      <c r="B5264" s="15"/>
      <c r="C5264" s="16"/>
      <c r="J5264" s="9"/>
    </row>
    <row r="5265">
      <c r="A5265" s="14"/>
      <c r="B5265" s="15"/>
      <c r="C5265" s="16"/>
      <c r="J5265" s="9"/>
    </row>
    <row r="5266">
      <c r="A5266" s="14"/>
      <c r="B5266" s="15"/>
      <c r="C5266" s="16"/>
      <c r="J5266" s="9"/>
    </row>
    <row r="5267">
      <c r="A5267" s="14"/>
      <c r="B5267" s="15"/>
      <c r="C5267" s="16"/>
      <c r="J5267" s="9"/>
    </row>
    <row r="5268">
      <c r="A5268" s="14"/>
      <c r="B5268" s="15"/>
      <c r="C5268" s="16"/>
      <c r="J5268" s="9"/>
    </row>
    <row r="5269">
      <c r="A5269" s="14"/>
      <c r="B5269" s="15"/>
      <c r="C5269" s="16"/>
      <c r="J5269" s="9"/>
    </row>
    <row r="5270">
      <c r="A5270" s="14"/>
      <c r="B5270" s="15"/>
      <c r="C5270" s="16"/>
      <c r="J5270" s="9"/>
    </row>
    <row r="5271">
      <c r="A5271" s="14"/>
      <c r="B5271" s="15"/>
      <c r="C5271" s="16"/>
      <c r="J5271" s="9"/>
    </row>
    <row r="5272">
      <c r="A5272" s="14"/>
      <c r="B5272" s="15"/>
      <c r="C5272" s="16"/>
      <c r="J5272" s="9"/>
    </row>
    <row r="5273">
      <c r="A5273" s="14"/>
      <c r="B5273" s="15"/>
      <c r="C5273" s="16"/>
      <c r="J5273" s="9"/>
    </row>
    <row r="5274">
      <c r="A5274" s="14"/>
      <c r="B5274" s="15"/>
      <c r="C5274" s="16"/>
      <c r="J5274" s="9"/>
    </row>
    <row r="5275">
      <c r="A5275" s="14"/>
      <c r="B5275" s="15"/>
      <c r="C5275" s="16"/>
      <c r="J5275" s="9"/>
    </row>
    <row r="5276">
      <c r="A5276" s="14"/>
      <c r="B5276" s="15"/>
      <c r="C5276" s="16"/>
      <c r="J5276" s="9"/>
    </row>
    <row r="5277">
      <c r="A5277" s="14"/>
      <c r="B5277" s="15"/>
      <c r="C5277" s="16"/>
      <c r="J5277" s="9"/>
    </row>
    <row r="5278">
      <c r="A5278" s="14"/>
      <c r="B5278" s="15"/>
      <c r="C5278" s="16"/>
      <c r="J5278" s="9"/>
    </row>
    <row r="5279">
      <c r="A5279" s="14"/>
      <c r="B5279" s="15"/>
      <c r="C5279" s="16"/>
      <c r="J5279" s="9"/>
    </row>
    <row r="5280">
      <c r="A5280" s="14"/>
      <c r="B5280" s="15"/>
      <c r="C5280" s="16"/>
      <c r="J5280" s="9"/>
    </row>
    <row r="5281">
      <c r="A5281" s="14"/>
      <c r="B5281" s="15"/>
      <c r="C5281" s="16"/>
      <c r="J5281" s="9"/>
    </row>
    <row r="5282">
      <c r="A5282" s="14"/>
      <c r="B5282" s="15"/>
      <c r="C5282" s="16"/>
      <c r="J5282" s="9"/>
    </row>
    <row r="5283">
      <c r="A5283" s="14"/>
      <c r="B5283" s="15"/>
      <c r="C5283" s="16"/>
      <c r="J5283" s="9"/>
    </row>
    <row r="5284">
      <c r="A5284" s="14"/>
      <c r="B5284" s="15"/>
      <c r="C5284" s="16"/>
      <c r="J5284" s="9"/>
    </row>
    <row r="5285">
      <c r="A5285" s="14"/>
      <c r="B5285" s="15"/>
      <c r="C5285" s="16"/>
      <c r="J5285" s="9"/>
    </row>
    <row r="5286">
      <c r="A5286" s="14"/>
      <c r="B5286" s="15"/>
      <c r="C5286" s="16"/>
      <c r="J5286" s="9"/>
    </row>
    <row r="5287">
      <c r="A5287" s="14"/>
      <c r="B5287" s="15"/>
      <c r="C5287" s="16"/>
      <c r="J5287" s="9"/>
    </row>
    <row r="5288">
      <c r="A5288" s="14"/>
      <c r="B5288" s="15"/>
      <c r="C5288" s="16"/>
      <c r="J5288" s="9"/>
    </row>
    <row r="5289">
      <c r="A5289" s="14"/>
      <c r="B5289" s="15"/>
      <c r="C5289" s="16"/>
      <c r="J5289" s="9"/>
    </row>
    <row r="5290">
      <c r="A5290" s="14"/>
      <c r="B5290" s="15"/>
      <c r="C5290" s="16"/>
      <c r="J5290" s="9"/>
    </row>
    <row r="5291">
      <c r="A5291" s="14"/>
      <c r="B5291" s="15"/>
      <c r="C5291" s="16"/>
      <c r="J5291" s="9"/>
    </row>
    <row r="5292">
      <c r="A5292" s="14"/>
      <c r="B5292" s="15"/>
      <c r="C5292" s="16"/>
      <c r="J5292" s="9"/>
    </row>
    <row r="5293">
      <c r="A5293" s="14"/>
      <c r="B5293" s="15"/>
      <c r="C5293" s="16"/>
      <c r="J5293" s="9"/>
    </row>
    <row r="5294">
      <c r="A5294" s="14"/>
      <c r="B5294" s="15"/>
      <c r="C5294" s="16"/>
      <c r="J5294" s="9"/>
    </row>
    <row r="5295">
      <c r="A5295" s="14"/>
      <c r="B5295" s="15"/>
      <c r="C5295" s="16"/>
      <c r="J5295" s="9"/>
    </row>
    <row r="5296">
      <c r="A5296" s="14"/>
      <c r="B5296" s="15"/>
      <c r="C5296" s="16"/>
      <c r="J5296" s="9"/>
    </row>
    <row r="5297">
      <c r="A5297" s="14"/>
      <c r="B5297" s="15"/>
      <c r="C5297" s="16"/>
      <c r="J5297" s="9"/>
    </row>
    <row r="5298">
      <c r="A5298" s="14"/>
      <c r="B5298" s="15"/>
      <c r="C5298" s="16"/>
      <c r="J5298" s="9"/>
    </row>
    <row r="5299">
      <c r="A5299" s="14"/>
      <c r="B5299" s="15"/>
      <c r="C5299" s="16"/>
      <c r="J5299" s="9"/>
    </row>
    <row r="5300">
      <c r="A5300" s="14"/>
      <c r="B5300" s="15"/>
      <c r="C5300" s="16"/>
      <c r="J5300" s="9"/>
    </row>
    <row r="5301">
      <c r="A5301" s="14"/>
      <c r="B5301" s="15"/>
      <c r="C5301" s="16"/>
      <c r="J5301" s="9"/>
    </row>
    <row r="5302">
      <c r="A5302" s="14"/>
      <c r="B5302" s="15"/>
      <c r="C5302" s="16"/>
      <c r="J5302" s="9"/>
    </row>
    <row r="5303">
      <c r="A5303" s="14"/>
      <c r="B5303" s="15"/>
      <c r="C5303" s="16"/>
      <c r="J5303" s="9"/>
    </row>
    <row r="5304">
      <c r="A5304" s="14"/>
      <c r="B5304" s="15"/>
      <c r="C5304" s="16"/>
      <c r="J5304" s="9"/>
    </row>
    <row r="5305">
      <c r="A5305" s="14"/>
      <c r="B5305" s="15"/>
      <c r="C5305" s="16"/>
      <c r="J5305" s="9"/>
    </row>
    <row r="5306">
      <c r="A5306" s="14"/>
      <c r="B5306" s="15"/>
      <c r="C5306" s="16"/>
      <c r="J5306" s="9"/>
    </row>
    <row r="5307">
      <c r="A5307" s="14"/>
      <c r="B5307" s="15"/>
      <c r="C5307" s="16"/>
      <c r="J5307" s="9"/>
    </row>
    <row r="5308">
      <c r="A5308" s="14"/>
      <c r="B5308" s="15"/>
      <c r="C5308" s="16"/>
      <c r="J5308" s="9"/>
    </row>
    <row r="5309">
      <c r="A5309" s="14"/>
      <c r="B5309" s="15"/>
      <c r="C5309" s="16"/>
      <c r="J5309" s="9"/>
    </row>
    <row r="5310">
      <c r="A5310" s="14"/>
      <c r="B5310" s="15"/>
      <c r="C5310" s="16"/>
      <c r="J5310" s="9"/>
    </row>
    <row r="5311">
      <c r="A5311" s="14"/>
      <c r="B5311" s="15"/>
      <c r="C5311" s="16"/>
      <c r="J5311" s="9"/>
    </row>
    <row r="5312">
      <c r="A5312" s="14"/>
      <c r="B5312" s="15"/>
      <c r="C5312" s="16"/>
      <c r="J5312" s="9"/>
    </row>
    <row r="5313">
      <c r="A5313" s="14"/>
      <c r="B5313" s="15"/>
      <c r="C5313" s="16"/>
      <c r="J5313" s="9"/>
    </row>
    <row r="5314">
      <c r="A5314" s="14"/>
      <c r="B5314" s="15"/>
      <c r="C5314" s="16"/>
      <c r="J5314" s="9"/>
    </row>
    <row r="5315">
      <c r="A5315" s="14"/>
      <c r="B5315" s="15"/>
      <c r="C5315" s="16"/>
      <c r="J5315" s="9"/>
    </row>
    <row r="5316">
      <c r="A5316" s="14"/>
      <c r="B5316" s="15"/>
      <c r="C5316" s="16"/>
      <c r="J5316" s="9"/>
    </row>
    <row r="5317">
      <c r="A5317" s="14"/>
      <c r="B5317" s="15"/>
      <c r="C5317" s="16"/>
      <c r="J5317" s="9"/>
    </row>
    <row r="5318">
      <c r="A5318" s="14"/>
      <c r="B5318" s="15"/>
      <c r="C5318" s="16"/>
      <c r="J5318" s="9"/>
    </row>
    <row r="5319">
      <c r="A5319" s="14"/>
      <c r="B5319" s="15"/>
      <c r="C5319" s="16"/>
      <c r="J5319" s="9"/>
    </row>
    <row r="5320">
      <c r="A5320" s="14"/>
      <c r="B5320" s="15"/>
      <c r="C5320" s="16"/>
      <c r="J5320" s="9"/>
    </row>
    <row r="5321">
      <c r="A5321" s="14"/>
      <c r="B5321" s="15"/>
      <c r="C5321" s="16"/>
      <c r="J5321" s="9"/>
    </row>
    <row r="5322">
      <c r="A5322" s="14"/>
      <c r="B5322" s="15"/>
      <c r="C5322" s="16"/>
      <c r="J5322" s="9"/>
    </row>
    <row r="5323">
      <c r="A5323" s="14"/>
      <c r="B5323" s="15"/>
      <c r="C5323" s="16"/>
      <c r="J5323" s="9"/>
    </row>
    <row r="5324">
      <c r="A5324" s="14"/>
      <c r="B5324" s="15"/>
      <c r="C5324" s="16"/>
      <c r="J5324" s="9"/>
    </row>
    <row r="5325">
      <c r="A5325" s="14"/>
      <c r="B5325" s="15"/>
      <c r="C5325" s="16"/>
      <c r="J5325" s="9"/>
    </row>
    <row r="5326">
      <c r="A5326" s="14"/>
      <c r="B5326" s="15"/>
      <c r="C5326" s="16"/>
      <c r="J5326" s="9"/>
    </row>
    <row r="5327">
      <c r="A5327" s="14"/>
      <c r="B5327" s="15"/>
      <c r="C5327" s="16"/>
      <c r="J5327" s="9"/>
    </row>
    <row r="5328">
      <c r="A5328" s="14"/>
      <c r="B5328" s="15"/>
      <c r="C5328" s="16"/>
      <c r="J5328" s="9"/>
    </row>
    <row r="5329">
      <c r="A5329" s="14"/>
      <c r="B5329" s="15"/>
      <c r="C5329" s="16"/>
      <c r="J5329" s="9"/>
    </row>
    <row r="5330">
      <c r="A5330" s="14"/>
      <c r="B5330" s="15"/>
      <c r="C5330" s="16"/>
      <c r="J5330" s="9"/>
    </row>
    <row r="5331">
      <c r="A5331" s="14"/>
      <c r="B5331" s="15"/>
      <c r="C5331" s="16"/>
      <c r="J5331" s="9"/>
    </row>
    <row r="5332">
      <c r="A5332" s="14"/>
      <c r="B5332" s="15"/>
      <c r="C5332" s="16"/>
      <c r="J5332" s="9"/>
    </row>
    <row r="5333">
      <c r="A5333" s="14"/>
      <c r="B5333" s="15"/>
      <c r="C5333" s="16"/>
      <c r="J5333" s="9"/>
    </row>
    <row r="5334">
      <c r="A5334" s="14"/>
      <c r="B5334" s="15"/>
      <c r="C5334" s="16"/>
      <c r="J5334" s="9"/>
    </row>
    <row r="5335">
      <c r="A5335" s="14"/>
      <c r="B5335" s="15"/>
      <c r="C5335" s="16"/>
      <c r="J5335" s="9"/>
    </row>
    <row r="5336">
      <c r="A5336" s="14"/>
      <c r="B5336" s="15"/>
      <c r="C5336" s="16"/>
      <c r="J5336" s="9"/>
    </row>
    <row r="5337">
      <c r="A5337" s="14"/>
      <c r="B5337" s="15"/>
      <c r="C5337" s="16"/>
      <c r="J5337" s="9"/>
    </row>
    <row r="5338">
      <c r="A5338" s="14"/>
      <c r="B5338" s="15"/>
      <c r="C5338" s="16"/>
      <c r="J5338" s="9"/>
    </row>
    <row r="5339">
      <c r="A5339" s="14"/>
      <c r="B5339" s="15"/>
      <c r="C5339" s="16"/>
      <c r="J5339" s="9"/>
    </row>
    <row r="5340">
      <c r="A5340" s="14"/>
      <c r="B5340" s="15"/>
      <c r="C5340" s="16"/>
      <c r="J5340" s="9"/>
    </row>
    <row r="5341">
      <c r="A5341" s="14"/>
      <c r="B5341" s="15"/>
      <c r="C5341" s="16"/>
      <c r="J5341" s="9"/>
    </row>
    <row r="5342">
      <c r="A5342" s="14"/>
      <c r="B5342" s="15"/>
      <c r="C5342" s="16"/>
      <c r="J5342" s="9"/>
    </row>
    <row r="5343">
      <c r="A5343" s="14"/>
      <c r="B5343" s="15"/>
      <c r="C5343" s="16"/>
      <c r="J5343" s="9"/>
    </row>
    <row r="5344">
      <c r="A5344" s="14"/>
      <c r="B5344" s="15"/>
      <c r="C5344" s="16"/>
      <c r="J5344" s="9"/>
    </row>
    <row r="5345">
      <c r="A5345" s="14"/>
      <c r="B5345" s="15"/>
      <c r="C5345" s="16"/>
      <c r="J5345" s="9"/>
    </row>
    <row r="5346">
      <c r="A5346" s="14"/>
      <c r="B5346" s="15"/>
      <c r="C5346" s="16"/>
      <c r="J5346" s="9"/>
    </row>
    <row r="5347">
      <c r="A5347" s="14"/>
      <c r="B5347" s="15"/>
      <c r="C5347" s="16"/>
      <c r="J5347" s="9"/>
    </row>
    <row r="5348">
      <c r="A5348" s="14"/>
      <c r="B5348" s="15"/>
      <c r="C5348" s="16"/>
      <c r="J5348" s="9"/>
    </row>
    <row r="5349">
      <c r="A5349" s="14"/>
      <c r="B5349" s="15"/>
      <c r="C5349" s="16"/>
      <c r="J5349" s="9"/>
    </row>
    <row r="5350">
      <c r="A5350" s="14"/>
      <c r="B5350" s="15"/>
      <c r="C5350" s="16"/>
      <c r="J5350" s="9"/>
    </row>
    <row r="5351">
      <c r="A5351" s="14"/>
      <c r="B5351" s="15"/>
      <c r="C5351" s="16"/>
      <c r="J5351" s="9"/>
    </row>
    <row r="5352">
      <c r="A5352" s="14"/>
      <c r="B5352" s="15"/>
      <c r="C5352" s="16"/>
      <c r="J5352" s="9"/>
    </row>
    <row r="5353">
      <c r="A5353" s="14"/>
      <c r="B5353" s="15"/>
      <c r="C5353" s="16"/>
      <c r="J5353" s="9"/>
    </row>
    <row r="5354">
      <c r="A5354" s="14"/>
      <c r="B5354" s="15"/>
      <c r="C5354" s="16"/>
      <c r="J5354" s="9"/>
    </row>
    <row r="5355">
      <c r="A5355" s="14"/>
      <c r="B5355" s="15"/>
      <c r="C5355" s="16"/>
      <c r="J5355" s="9"/>
    </row>
    <row r="5356">
      <c r="A5356" s="14"/>
      <c r="B5356" s="15"/>
      <c r="C5356" s="16"/>
      <c r="J5356" s="9"/>
    </row>
    <row r="5357">
      <c r="A5357" s="14"/>
      <c r="B5357" s="15"/>
      <c r="C5357" s="16"/>
      <c r="J5357" s="9"/>
    </row>
    <row r="5358">
      <c r="A5358" s="14"/>
      <c r="B5358" s="15"/>
      <c r="C5358" s="16"/>
      <c r="J5358" s="9"/>
    </row>
    <row r="5359">
      <c r="A5359" s="14"/>
      <c r="B5359" s="15"/>
      <c r="C5359" s="16"/>
      <c r="J5359" s="9"/>
    </row>
    <row r="5360">
      <c r="A5360" s="14"/>
      <c r="B5360" s="15"/>
      <c r="C5360" s="16"/>
      <c r="J5360" s="9"/>
    </row>
    <row r="5361">
      <c r="A5361" s="14"/>
      <c r="B5361" s="15"/>
      <c r="C5361" s="16"/>
      <c r="J5361" s="9"/>
    </row>
    <row r="5362">
      <c r="A5362" s="14"/>
      <c r="B5362" s="15"/>
      <c r="C5362" s="16"/>
      <c r="J5362" s="9"/>
    </row>
    <row r="5363">
      <c r="A5363" s="14"/>
      <c r="B5363" s="15"/>
      <c r="C5363" s="16"/>
      <c r="J5363" s="9"/>
    </row>
    <row r="5364">
      <c r="A5364" s="14"/>
      <c r="B5364" s="15"/>
      <c r="C5364" s="16"/>
      <c r="J5364" s="9"/>
    </row>
    <row r="5365">
      <c r="A5365" s="14"/>
      <c r="B5365" s="15"/>
      <c r="C5365" s="16"/>
      <c r="J5365" s="9"/>
    </row>
    <row r="5366">
      <c r="A5366" s="14"/>
      <c r="B5366" s="15"/>
      <c r="C5366" s="16"/>
      <c r="J5366" s="9"/>
    </row>
    <row r="5367">
      <c r="A5367" s="14"/>
      <c r="B5367" s="15"/>
      <c r="C5367" s="16"/>
      <c r="J5367" s="9"/>
    </row>
    <row r="5368">
      <c r="A5368" s="14"/>
      <c r="B5368" s="15"/>
      <c r="C5368" s="16"/>
      <c r="J5368" s="9"/>
    </row>
    <row r="5369">
      <c r="A5369" s="14"/>
      <c r="B5369" s="15"/>
      <c r="C5369" s="16"/>
      <c r="J5369" s="9"/>
    </row>
    <row r="5370">
      <c r="A5370" s="14"/>
      <c r="B5370" s="15"/>
      <c r="C5370" s="16"/>
      <c r="J5370" s="9"/>
    </row>
    <row r="5371">
      <c r="A5371" s="14"/>
      <c r="B5371" s="15"/>
      <c r="C5371" s="16"/>
      <c r="J5371" s="9"/>
    </row>
    <row r="5372">
      <c r="A5372" s="14"/>
      <c r="B5372" s="15"/>
      <c r="C5372" s="16"/>
      <c r="J5372" s="9"/>
    </row>
    <row r="5373">
      <c r="A5373" s="14"/>
      <c r="B5373" s="15"/>
      <c r="C5373" s="16"/>
      <c r="J5373" s="9"/>
    </row>
    <row r="5374">
      <c r="A5374" s="14"/>
      <c r="B5374" s="15"/>
      <c r="C5374" s="16"/>
      <c r="J5374" s="9"/>
    </row>
    <row r="5375">
      <c r="A5375" s="14"/>
      <c r="B5375" s="15"/>
      <c r="C5375" s="16"/>
      <c r="J5375" s="9"/>
    </row>
    <row r="5376">
      <c r="A5376" s="14"/>
      <c r="B5376" s="15"/>
      <c r="C5376" s="16"/>
      <c r="J5376" s="9"/>
    </row>
    <row r="5377">
      <c r="A5377" s="14"/>
      <c r="B5377" s="15"/>
      <c r="C5377" s="16"/>
      <c r="J5377" s="9"/>
    </row>
    <row r="5378">
      <c r="A5378" s="14"/>
      <c r="B5378" s="15"/>
      <c r="C5378" s="16"/>
      <c r="J5378" s="9"/>
    </row>
    <row r="5379">
      <c r="A5379" s="14"/>
      <c r="B5379" s="15"/>
      <c r="C5379" s="16"/>
      <c r="J5379" s="9"/>
    </row>
    <row r="5380">
      <c r="A5380" s="14"/>
      <c r="B5380" s="15"/>
      <c r="C5380" s="16"/>
      <c r="J5380" s="9"/>
    </row>
    <row r="5381">
      <c r="A5381" s="14"/>
      <c r="B5381" s="15"/>
      <c r="C5381" s="16"/>
      <c r="J5381" s="9"/>
    </row>
    <row r="5382">
      <c r="A5382" s="14"/>
      <c r="B5382" s="15"/>
      <c r="C5382" s="16"/>
      <c r="J5382" s="9"/>
    </row>
    <row r="5383">
      <c r="A5383" s="14"/>
      <c r="B5383" s="15"/>
      <c r="C5383" s="16"/>
      <c r="J5383" s="9"/>
    </row>
    <row r="5384">
      <c r="A5384" s="14"/>
      <c r="B5384" s="15"/>
      <c r="C5384" s="16"/>
      <c r="J5384" s="9"/>
    </row>
    <row r="5385">
      <c r="A5385" s="14"/>
      <c r="B5385" s="15"/>
      <c r="C5385" s="16"/>
      <c r="J5385" s="9"/>
    </row>
    <row r="5386">
      <c r="A5386" s="14"/>
      <c r="B5386" s="15"/>
      <c r="C5386" s="16"/>
      <c r="J5386" s="9"/>
    </row>
    <row r="5387">
      <c r="A5387" s="14"/>
      <c r="B5387" s="15"/>
      <c r="C5387" s="16"/>
      <c r="J5387" s="9"/>
    </row>
    <row r="5388">
      <c r="A5388" s="14"/>
      <c r="B5388" s="15"/>
      <c r="C5388" s="16"/>
      <c r="J5388" s="9"/>
    </row>
    <row r="5389">
      <c r="A5389" s="14"/>
      <c r="B5389" s="15"/>
      <c r="C5389" s="16"/>
      <c r="J5389" s="9"/>
    </row>
    <row r="5390">
      <c r="A5390" s="14"/>
      <c r="B5390" s="15"/>
      <c r="C5390" s="16"/>
      <c r="J5390" s="9"/>
    </row>
    <row r="5391">
      <c r="A5391" s="14"/>
      <c r="B5391" s="15"/>
      <c r="C5391" s="16"/>
      <c r="J5391" s="9"/>
    </row>
    <row r="5392">
      <c r="A5392" s="14"/>
      <c r="B5392" s="15"/>
      <c r="C5392" s="16"/>
      <c r="J5392" s="9"/>
    </row>
    <row r="5393">
      <c r="A5393" s="14"/>
      <c r="B5393" s="15"/>
      <c r="C5393" s="16"/>
      <c r="J5393" s="9"/>
    </row>
    <row r="5394">
      <c r="A5394" s="14"/>
      <c r="B5394" s="15"/>
      <c r="C5394" s="16"/>
      <c r="J5394" s="9"/>
    </row>
    <row r="5395">
      <c r="A5395" s="14"/>
      <c r="B5395" s="15"/>
      <c r="C5395" s="16"/>
      <c r="J5395" s="9"/>
    </row>
    <row r="5396">
      <c r="A5396" s="14"/>
      <c r="B5396" s="15"/>
      <c r="C5396" s="16"/>
      <c r="J5396" s="9"/>
    </row>
    <row r="5397">
      <c r="A5397" s="14"/>
      <c r="B5397" s="15"/>
      <c r="C5397" s="16"/>
      <c r="J5397" s="9"/>
    </row>
    <row r="5398">
      <c r="A5398" s="14"/>
      <c r="B5398" s="15"/>
      <c r="C5398" s="16"/>
      <c r="J5398" s="9"/>
    </row>
    <row r="5399">
      <c r="A5399" s="14"/>
      <c r="B5399" s="15"/>
      <c r="C5399" s="16"/>
      <c r="J5399" s="9"/>
    </row>
    <row r="5400">
      <c r="A5400" s="14"/>
      <c r="B5400" s="15"/>
      <c r="C5400" s="16"/>
      <c r="J5400" s="9"/>
    </row>
    <row r="5401">
      <c r="A5401" s="14"/>
      <c r="B5401" s="15"/>
      <c r="C5401" s="16"/>
      <c r="J5401" s="9"/>
    </row>
    <row r="5402">
      <c r="A5402" s="14"/>
      <c r="B5402" s="15"/>
      <c r="C5402" s="16"/>
      <c r="J5402" s="9"/>
    </row>
    <row r="5403">
      <c r="A5403" s="14"/>
      <c r="B5403" s="15"/>
      <c r="C5403" s="16"/>
      <c r="J5403" s="9"/>
    </row>
    <row r="5404">
      <c r="A5404" s="14"/>
      <c r="B5404" s="15"/>
      <c r="C5404" s="16"/>
      <c r="J5404" s="9"/>
    </row>
    <row r="5405">
      <c r="A5405" s="14"/>
      <c r="B5405" s="15"/>
      <c r="C5405" s="16"/>
      <c r="J5405" s="9"/>
    </row>
    <row r="5406">
      <c r="A5406" s="14"/>
      <c r="B5406" s="15"/>
      <c r="C5406" s="16"/>
      <c r="J5406" s="9"/>
    </row>
    <row r="5407">
      <c r="A5407" s="14"/>
      <c r="B5407" s="15"/>
      <c r="C5407" s="16"/>
      <c r="J5407" s="9"/>
    </row>
    <row r="5408">
      <c r="A5408" s="14"/>
      <c r="B5408" s="15"/>
      <c r="C5408" s="16"/>
      <c r="J5408" s="9"/>
    </row>
    <row r="5409">
      <c r="A5409" s="14"/>
      <c r="B5409" s="15"/>
      <c r="C5409" s="16"/>
      <c r="J5409" s="9"/>
    </row>
    <row r="5410">
      <c r="A5410" s="14"/>
      <c r="B5410" s="15"/>
      <c r="C5410" s="16"/>
      <c r="J5410" s="9"/>
    </row>
    <row r="5411">
      <c r="A5411" s="14"/>
      <c r="B5411" s="15"/>
      <c r="C5411" s="16"/>
      <c r="J5411" s="9"/>
    </row>
    <row r="5412">
      <c r="A5412" s="14"/>
      <c r="B5412" s="15"/>
      <c r="C5412" s="16"/>
      <c r="J5412" s="9"/>
    </row>
    <row r="5413">
      <c r="A5413" s="14"/>
      <c r="B5413" s="15"/>
      <c r="C5413" s="16"/>
      <c r="J5413" s="9"/>
    </row>
    <row r="5414">
      <c r="A5414" s="14"/>
      <c r="B5414" s="15"/>
      <c r="C5414" s="16"/>
      <c r="J5414" s="9"/>
    </row>
    <row r="5415">
      <c r="A5415" s="14"/>
      <c r="B5415" s="15"/>
      <c r="C5415" s="16"/>
      <c r="J5415" s="9"/>
    </row>
    <row r="5416">
      <c r="A5416" s="14"/>
      <c r="B5416" s="15"/>
      <c r="C5416" s="16"/>
      <c r="J5416" s="9"/>
    </row>
    <row r="5417">
      <c r="A5417" s="14"/>
      <c r="B5417" s="15"/>
      <c r="C5417" s="16"/>
      <c r="J5417" s="9"/>
    </row>
    <row r="5418">
      <c r="A5418" s="14"/>
      <c r="B5418" s="15"/>
      <c r="C5418" s="16"/>
      <c r="J5418" s="9"/>
    </row>
    <row r="5419">
      <c r="A5419" s="14"/>
      <c r="B5419" s="15"/>
      <c r="C5419" s="16"/>
      <c r="J5419" s="9"/>
    </row>
    <row r="5420">
      <c r="A5420" s="14"/>
      <c r="B5420" s="15"/>
      <c r="C5420" s="16"/>
      <c r="J5420" s="9"/>
    </row>
    <row r="5421">
      <c r="A5421" s="14"/>
      <c r="B5421" s="15"/>
      <c r="C5421" s="16"/>
      <c r="J5421" s="9"/>
    </row>
    <row r="5422">
      <c r="A5422" s="14"/>
      <c r="B5422" s="15"/>
      <c r="C5422" s="16"/>
      <c r="J5422" s="9"/>
    </row>
    <row r="5423">
      <c r="A5423" s="14"/>
      <c r="B5423" s="15"/>
      <c r="C5423" s="16"/>
      <c r="J5423" s="9"/>
    </row>
    <row r="5424">
      <c r="A5424" s="14"/>
      <c r="B5424" s="15"/>
      <c r="C5424" s="16"/>
      <c r="J5424" s="9"/>
    </row>
    <row r="5425">
      <c r="A5425" s="14"/>
      <c r="B5425" s="15"/>
      <c r="C5425" s="16"/>
      <c r="J5425" s="9"/>
    </row>
    <row r="5426">
      <c r="A5426" s="14"/>
      <c r="B5426" s="15"/>
      <c r="C5426" s="16"/>
      <c r="J5426" s="9"/>
    </row>
    <row r="5427">
      <c r="A5427" s="14"/>
      <c r="B5427" s="15"/>
      <c r="C5427" s="16"/>
      <c r="J5427" s="9"/>
    </row>
    <row r="5428">
      <c r="A5428" s="14"/>
      <c r="B5428" s="15"/>
      <c r="C5428" s="16"/>
      <c r="J5428" s="9"/>
    </row>
    <row r="5429">
      <c r="A5429" s="14"/>
      <c r="B5429" s="15"/>
      <c r="C5429" s="16"/>
      <c r="J5429" s="9"/>
    </row>
    <row r="5430">
      <c r="A5430" s="14"/>
      <c r="B5430" s="15"/>
      <c r="C5430" s="16"/>
      <c r="J5430" s="9"/>
    </row>
    <row r="5431">
      <c r="A5431" s="14"/>
      <c r="B5431" s="15"/>
      <c r="C5431" s="16"/>
      <c r="J5431" s="9"/>
    </row>
    <row r="5432">
      <c r="A5432" s="14"/>
      <c r="B5432" s="15"/>
      <c r="C5432" s="16"/>
      <c r="J5432" s="9"/>
    </row>
    <row r="5433">
      <c r="A5433" s="14"/>
      <c r="B5433" s="15"/>
      <c r="C5433" s="16"/>
      <c r="J5433" s="9"/>
    </row>
    <row r="5434">
      <c r="A5434" s="14"/>
      <c r="B5434" s="15"/>
      <c r="C5434" s="16"/>
      <c r="J5434" s="9"/>
    </row>
    <row r="5435">
      <c r="A5435" s="14"/>
      <c r="B5435" s="15"/>
      <c r="C5435" s="16"/>
      <c r="J5435" s="9"/>
    </row>
    <row r="5436">
      <c r="A5436" s="14"/>
      <c r="B5436" s="15"/>
      <c r="C5436" s="16"/>
      <c r="J5436" s="9"/>
    </row>
    <row r="5437">
      <c r="A5437" s="14"/>
      <c r="B5437" s="15"/>
      <c r="C5437" s="16"/>
      <c r="J5437" s="9"/>
    </row>
    <row r="5438">
      <c r="A5438" s="14"/>
      <c r="B5438" s="15"/>
      <c r="C5438" s="16"/>
      <c r="J5438" s="9"/>
    </row>
    <row r="5439">
      <c r="A5439" s="14"/>
      <c r="B5439" s="15"/>
      <c r="C5439" s="16"/>
      <c r="J5439" s="9"/>
    </row>
    <row r="5440">
      <c r="A5440" s="14"/>
      <c r="B5440" s="15"/>
      <c r="C5440" s="16"/>
      <c r="J5440" s="9"/>
    </row>
    <row r="5441">
      <c r="A5441" s="14"/>
      <c r="B5441" s="15"/>
      <c r="C5441" s="16"/>
      <c r="J5441" s="9"/>
    </row>
    <row r="5442">
      <c r="A5442" s="14"/>
      <c r="B5442" s="15"/>
      <c r="C5442" s="16"/>
      <c r="J5442" s="9"/>
    </row>
    <row r="5443">
      <c r="A5443" s="14"/>
      <c r="B5443" s="15"/>
      <c r="C5443" s="16"/>
      <c r="J5443" s="9"/>
    </row>
    <row r="5444">
      <c r="A5444" s="14"/>
      <c r="B5444" s="15"/>
      <c r="C5444" s="16"/>
      <c r="J5444" s="9"/>
    </row>
    <row r="5445">
      <c r="A5445" s="14"/>
      <c r="B5445" s="15"/>
      <c r="C5445" s="16"/>
      <c r="J5445" s="9"/>
    </row>
    <row r="5446">
      <c r="A5446" s="14"/>
      <c r="B5446" s="15"/>
      <c r="C5446" s="16"/>
      <c r="J5446" s="9"/>
    </row>
    <row r="5447">
      <c r="A5447" s="14"/>
      <c r="B5447" s="15"/>
      <c r="C5447" s="16"/>
      <c r="J5447" s="9"/>
    </row>
    <row r="5448">
      <c r="A5448" s="14"/>
      <c r="B5448" s="15"/>
      <c r="C5448" s="16"/>
      <c r="J5448" s="9"/>
    </row>
    <row r="5449">
      <c r="A5449" s="14"/>
      <c r="B5449" s="15"/>
      <c r="C5449" s="16"/>
      <c r="J5449" s="9"/>
    </row>
    <row r="5450">
      <c r="A5450" s="14"/>
      <c r="B5450" s="15"/>
      <c r="C5450" s="16"/>
      <c r="J5450" s="9"/>
    </row>
    <row r="5451">
      <c r="A5451" s="14"/>
      <c r="B5451" s="15"/>
      <c r="C5451" s="16"/>
      <c r="J5451" s="9"/>
    </row>
    <row r="5452">
      <c r="A5452" s="14"/>
      <c r="B5452" s="15"/>
      <c r="C5452" s="16"/>
      <c r="J5452" s="9"/>
    </row>
    <row r="5453">
      <c r="A5453" s="14"/>
      <c r="B5453" s="15"/>
      <c r="C5453" s="16"/>
      <c r="J5453" s="9"/>
    </row>
    <row r="5454">
      <c r="A5454" s="14"/>
      <c r="B5454" s="15"/>
      <c r="C5454" s="16"/>
      <c r="J5454" s="9"/>
    </row>
    <row r="5455">
      <c r="A5455" s="14"/>
      <c r="B5455" s="15"/>
      <c r="C5455" s="16"/>
      <c r="J5455" s="9"/>
    </row>
    <row r="5456">
      <c r="A5456" s="14"/>
      <c r="B5456" s="15"/>
      <c r="C5456" s="16"/>
      <c r="J5456" s="9"/>
    </row>
    <row r="5457">
      <c r="A5457" s="14"/>
      <c r="B5457" s="15"/>
      <c r="C5457" s="16"/>
      <c r="J5457" s="9"/>
    </row>
    <row r="5458">
      <c r="A5458" s="14"/>
      <c r="B5458" s="15"/>
      <c r="C5458" s="16"/>
      <c r="J5458" s="9"/>
    </row>
    <row r="5459">
      <c r="A5459" s="14"/>
      <c r="B5459" s="15"/>
      <c r="C5459" s="16"/>
      <c r="J5459" s="9"/>
    </row>
    <row r="5460">
      <c r="A5460" s="14"/>
      <c r="B5460" s="15"/>
      <c r="C5460" s="16"/>
      <c r="J5460" s="9"/>
    </row>
    <row r="5461">
      <c r="A5461" s="14"/>
      <c r="B5461" s="15"/>
      <c r="C5461" s="16"/>
      <c r="J5461" s="9"/>
    </row>
    <row r="5462">
      <c r="A5462" s="14"/>
      <c r="B5462" s="15"/>
      <c r="C5462" s="16"/>
      <c r="J5462" s="9"/>
    </row>
    <row r="5463">
      <c r="A5463" s="14"/>
      <c r="B5463" s="15"/>
      <c r="C5463" s="16"/>
      <c r="J5463" s="9"/>
    </row>
    <row r="5464">
      <c r="A5464" s="14"/>
      <c r="B5464" s="15"/>
      <c r="C5464" s="16"/>
      <c r="J5464" s="9"/>
    </row>
    <row r="5465">
      <c r="A5465" s="14"/>
      <c r="B5465" s="15"/>
      <c r="C5465" s="16"/>
      <c r="J5465" s="9"/>
    </row>
    <row r="5466">
      <c r="A5466" s="14"/>
      <c r="B5466" s="15"/>
      <c r="C5466" s="16"/>
      <c r="J5466" s="9"/>
    </row>
    <row r="5467">
      <c r="A5467" s="14"/>
      <c r="B5467" s="15"/>
      <c r="C5467" s="16"/>
      <c r="J5467" s="9"/>
    </row>
    <row r="5468">
      <c r="A5468" s="14"/>
      <c r="B5468" s="15"/>
      <c r="C5468" s="16"/>
      <c r="J5468" s="9"/>
    </row>
    <row r="5469">
      <c r="A5469" s="14"/>
      <c r="B5469" s="15"/>
      <c r="C5469" s="16"/>
      <c r="J5469" s="9"/>
    </row>
    <row r="5470">
      <c r="A5470" s="14"/>
      <c r="B5470" s="15"/>
      <c r="C5470" s="16"/>
      <c r="J5470" s="9"/>
    </row>
    <row r="5471">
      <c r="A5471" s="14"/>
      <c r="B5471" s="15"/>
      <c r="C5471" s="16"/>
      <c r="J5471" s="9"/>
    </row>
    <row r="5472">
      <c r="A5472" s="14"/>
      <c r="B5472" s="15"/>
      <c r="C5472" s="16"/>
      <c r="J5472" s="9"/>
    </row>
    <row r="5473">
      <c r="A5473" s="14"/>
      <c r="B5473" s="15"/>
      <c r="C5473" s="16"/>
      <c r="J5473" s="9"/>
    </row>
    <row r="5474">
      <c r="A5474" s="14"/>
      <c r="B5474" s="15"/>
      <c r="C5474" s="16"/>
      <c r="J5474" s="9"/>
    </row>
    <row r="5475">
      <c r="A5475" s="14"/>
      <c r="B5475" s="15"/>
      <c r="C5475" s="16"/>
      <c r="J5475" s="9"/>
    </row>
    <row r="5476">
      <c r="A5476" s="14"/>
      <c r="B5476" s="15"/>
      <c r="C5476" s="16"/>
      <c r="J5476" s="9"/>
    </row>
    <row r="5477">
      <c r="A5477" s="14"/>
      <c r="B5477" s="15"/>
      <c r="C5477" s="16"/>
      <c r="J5477" s="9"/>
    </row>
    <row r="5478">
      <c r="A5478" s="14"/>
      <c r="B5478" s="15"/>
      <c r="C5478" s="16"/>
      <c r="J5478" s="9"/>
    </row>
    <row r="5479">
      <c r="A5479" s="14"/>
      <c r="B5479" s="15"/>
      <c r="C5479" s="16"/>
      <c r="J5479" s="9"/>
    </row>
    <row r="5480">
      <c r="A5480" s="14"/>
      <c r="B5480" s="15"/>
      <c r="C5480" s="16"/>
      <c r="J5480" s="9"/>
    </row>
    <row r="5481">
      <c r="A5481" s="14"/>
      <c r="B5481" s="15"/>
      <c r="C5481" s="16"/>
      <c r="J5481" s="9"/>
    </row>
    <row r="5482">
      <c r="A5482" s="14"/>
      <c r="B5482" s="15"/>
      <c r="C5482" s="16"/>
      <c r="J5482" s="9"/>
    </row>
    <row r="5483">
      <c r="A5483" s="14"/>
      <c r="B5483" s="15"/>
      <c r="C5483" s="16"/>
      <c r="J5483" s="9"/>
    </row>
    <row r="5484">
      <c r="A5484" s="14"/>
      <c r="B5484" s="15"/>
      <c r="C5484" s="16"/>
      <c r="J5484" s="9"/>
    </row>
    <row r="5485">
      <c r="A5485" s="14"/>
      <c r="B5485" s="15"/>
      <c r="C5485" s="16"/>
      <c r="J5485" s="9"/>
    </row>
    <row r="5486">
      <c r="A5486" s="14"/>
      <c r="B5486" s="15"/>
      <c r="C5486" s="16"/>
      <c r="J5486" s="9"/>
    </row>
    <row r="5487">
      <c r="A5487" s="14"/>
      <c r="B5487" s="15"/>
      <c r="C5487" s="16"/>
      <c r="J5487" s="9"/>
    </row>
    <row r="5488">
      <c r="A5488" s="14"/>
      <c r="B5488" s="15"/>
      <c r="C5488" s="16"/>
      <c r="J5488" s="9"/>
    </row>
    <row r="5489">
      <c r="A5489" s="14"/>
      <c r="B5489" s="15"/>
      <c r="C5489" s="16"/>
      <c r="J5489" s="9"/>
    </row>
    <row r="5490">
      <c r="A5490" s="14"/>
      <c r="B5490" s="15"/>
      <c r="C5490" s="16"/>
      <c r="J5490" s="9"/>
    </row>
    <row r="5491">
      <c r="A5491" s="14"/>
      <c r="B5491" s="15"/>
      <c r="C5491" s="16"/>
      <c r="J5491" s="9"/>
    </row>
    <row r="5492">
      <c r="A5492" s="14"/>
      <c r="B5492" s="15"/>
      <c r="C5492" s="16"/>
      <c r="J5492" s="9"/>
    </row>
    <row r="5493">
      <c r="A5493" s="14"/>
      <c r="B5493" s="15"/>
      <c r="C5493" s="16"/>
      <c r="J5493" s="9"/>
    </row>
    <row r="5494">
      <c r="A5494" s="14"/>
      <c r="B5494" s="15"/>
      <c r="C5494" s="16"/>
      <c r="J5494" s="9"/>
    </row>
    <row r="5495">
      <c r="A5495" s="14"/>
      <c r="B5495" s="15"/>
      <c r="C5495" s="16"/>
      <c r="J5495" s="9"/>
    </row>
    <row r="5496">
      <c r="A5496" s="14"/>
      <c r="B5496" s="15"/>
      <c r="C5496" s="16"/>
      <c r="J5496" s="9"/>
    </row>
    <row r="5497">
      <c r="A5497" s="14"/>
      <c r="B5497" s="15"/>
      <c r="C5497" s="16"/>
      <c r="J5497" s="9"/>
    </row>
    <row r="5498">
      <c r="A5498" s="14"/>
      <c r="B5498" s="15"/>
      <c r="C5498" s="16"/>
      <c r="J5498" s="9"/>
    </row>
    <row r="5499">
      <c r="A5499" s="14"/>
      <c r="B5499" s="15"/>
      <c r="C5499" s="16"/>
      <c r="J5499" s="9"/>
    </row>
    <row r="5500">
      <c r="A5500" s="14"/>
      <c r="B5500" s="15"/>
      <c r="C5500" s="16"/>
      <c r="J5500" s="9"/>
    </row>
    <row r="5501">
      <c r="A5501" s="14"/>
      <c r="B5501" s="15"/>
      <c r="C5501" s="16"/>
      <c r="J5501" s="9"/>
    </row>
    <row r="5502">
      <c r="A5502" s="14"/>
      <c r="B5502" s="15"/>
      <c r="C5502" s="16"/>
      <c r="J5502" s="9"/>
    </row>
    <row r="5503">
      <c r="A5503" s="14"/>
      <c r="B5503" s="15"/>
      <c r="C5503" s="16"/>
      <c r="J5503" s="9"/>
    </row>
    <row r="5504">
      <c r="A5504" s="14"/>
      <c r="B5504" s="15"/>
      <c r="C5504" s="16"/>
      <c r="J5504" s="9"/>
    </row>
    <row r="5505">
      <c r="A5505" s="14"/>
      <c r="B5505" s="15"/>
      <c r="C5505" s="16"/>
      <c r="J5505" s="9"/>
    </row>
    <row r="5506">
      <c r="A5506" s="14"/>
      <c r="B5506" s="15"/>
      <c r="C5506" s="16"/>
      <c r="J5506" s="9"/>
    </row>
    <row r="5507">
      <c r="A5507" s="14"/>
      <c r="B5507" s="15"/>
      <c r="C5507" s="16"/>
      <c r="J5507" s="9"/>
    </row>
    <row r="5508">
      <c r="A5508" s="14"/>
      <c r="B5508" s="15"/>
      <c r="C5508" s="16"/>
      <c r="J5508" s="9"/>
    </row>
    <row r="5509">
      <c r="A5509" s="14"/>
      <c r="B5509" s="15"/>
      <c r="C5509" s="16"/>
      <c r="J5509" s="9"/>
    </row>
    <row r="5510">
      <c r="A5510" s="14"/>
      <c r="B5510" s="15"/>
      <c r="C5510" s="16"/>
      <c r="J5510" s="9"/>
    </row>
    <row r="5511">
      <c r="A5511" s="14"/>
      <c r="B5511" s="15"/>
      <c r="C5511" s="16"/>
      <c r="J5511" s="9"/>
    </row>
    <row r="5512">
      <c r="A5512" s="14"/>
      <c r="B5512" s="15"/>
      <c r="C5512" s="16"/>
      <c r="J5512" s="9"/>
    </row>
    <row r="5513">
      <c r="A5513" s="14"/>
      <c r="B5513" s="15"/>
      <c r="C5513" s="16"/>
      <c r="J5513" s="9"/>
    </row>
    <row r="5514">
      <c r="A5514" s="14"/>
      <c r="B5514" s="15"/>
      <c r="C5514" s="16"/>
      <c r="J5514" s="9"/>
    </row>
    <row r="5515">
      <c r="A5515" s="14"/>
      <c r="B5515" s="15"/>
      <c r="C5515" s="16"/>
      <c r="J5515" s="9"/>
    </row>
    <row r="5516">
      <c r="A5516" s="14"/>
      <c r="B5516" s="15"/>
      <c r="C5516" s="16"/>
      <c r="J5516" s="9"/>
    </row>
    <row r="5517">
      <c r="A5517" s="14"/>
      <c r="B5517" s="15"/>
      <c r="C5517" s="16"/>
      <c r="J5517" s="9"/>
    </row>
    <row r="5518">
      <c r="A5518" s="14"/>
      <c r="B5518" s="15"/>
      <c r="C5518" s="16"/>
      <c r="J5518" s="9"/>
    </row>
    <row r="5519">
      <c r="A5519" s="14"/>
      <c r="B5519" s="15"/>
      <c r="C5519" s="16"/>
      <c r="J5519" s="9"/>
    </row>
    <row r="5520">
      <c r="A5520" s="14"/>
      <c r="B5520" s="15"/>
      <c r="C5520" s="16"/>
      <c r="J5520" s="9"/>
    </row>
    <row r="5521">
      <c r="A5521" s="14"/>
      <c r="B5521" s="15"/>
      <c r="C5521" s="16"/>
      <c r="J5521" s="9"/>
    </row>
    <row r="5522">
      <c r="A5522" s="14"/>
      <c r="B5522" s="15"/>
      <c r="C5522" s="16"/>
      <c r="J5522" s="9"/>
    </row>
    <row r="5523">
      <c r="A5523" s="14"/>
      <c r="B5523" s="15"/>
      <c r="C5523" s="16"/>
      <c r="J5523" s="9"/>
    </row>
    <row r="5524">
      <c r="A5524" s="14"/>
      <c r="B5524" s="15"/>
      <c r="C5524" s="16"/>
      <c r="J5524" s="9"/>
    </row>
    <row r="5525">
      <c r="A5525" s="14"/>
      <c r="B5525" s="15"/>
      <c r="C5525" s="16"/>
      <c r="J5525" s="9"/>
    </row>
    <row r="5526">
      <c r="A5526" s="14"/>
      <c r="B5526" s="15"/>
      <c r="C5526" s="16"/>
      <c r="J5526" s="9"/>
    </row>
    <row r="5527">
      <c r="A5527" s="14"/>
      <c r="B5527" s="15"/>
      <c r="C5527" s="16"/>
      <c r="J5527" s="9"/>
    </row>
    <row r="5528">
      <c r="A5528" s="14"/>
      <c r="B5528" s="15"/>
      <c r="C5528" s="16"/>
      <c r="J5528" s="9"/>
    </row>
    <row r="5529">
      <c r="A5529" s="14"/>
      <c r="B5529" s="15"/>
      <c r="C5529" s="16"/>
      <c r="J5529" s="9"/>
    </row>
    <row r="5530">
      <c r="A5530" s="14"/>
      <c r="B5530" s="15"/>
      <c r="C5530" s="16"/>
      <c r="J5530" s="9"/>
    </row>
    <row r="5531">
      <c r="A5531" s="14"/>
      <c r="B5531" s="15"/>
      <c r="C5531" s="16"/>
      <c r="J5531" s="9"/>
    </row>
    <row r="5532">
      <c r="A5532" s="14"/>
      <c r="B5532" s="15"/>
      <c r="C5532" s="16"/>
      <c r="J5532" s="9"/>
    </row>
    <row r="5533">
      <c r="A5533" s="14"/>
      <c r="B5533" s="15"/>
      <c r="C5533" s="16"/>
      <c r="J5533" s="9"/>
    </row>
    <row r="5534">
      <c r="A5534" s="14"/>
      <c r="B5534" s="15"/>
      <c r="C5534" s="16"/>
      <c r="J5534" s="9"/>
    </row>
    <row r="5535">
      <c r="A5535" s="14"/>
      <c r="B5535" s="15"/>
      <c r="C5535" s="16"/>
      <c r="J5535" s="9"/>
    </row>
    <row r="5536">
      <c r="A5536" s="14"/>
      <c r="B5536" s="15"/>
      <c r="C5536" s="16"/>
      <c r="J5536" s="9"/>
    </row>
    <row r="5537">
      <c r="A5537" s="14"/>
      <c r="B5537" s="15"/>
      <c r="C5537" s="16"/>
      <c r="J5537" s="9"/>
    </row>
    <row r="5538">
      <c r="A5538" s="14"/>
      <c r="B5538" s="15"/>
      <c r="C5538" s="16"/>
      <c r="J5538" s="9"/>
    </row>
    <row r="5539">
      <c r="A5539" s="14"/>
      <c r="B5539" s="15"/>
      <c r="C5539" s="16"/>
      <c r="J5539" s="9"/>
    </row>
    <row r="5540">
      <c r="A5540" s="14"/>
      <c r="B5540" s="15"/>
      <c r="C5540" s="16"/>
      <c r="J5540" s="9"/>
    </row>
    <row r="5541">
      <c r="A5541" s="14"/>
      <c r="B5541" s="15"/>
      <c r="C5541" s="16"/>
      <c r="J5541" s="9"/>
    </row>
    <row r="5542">
      <c r="A5542" s="14"/>
      <c r="B5542" s="15"/>
      <c r="C5542" s="16"/>
      <c r="J5542" s="9"/>
    </row>
    <row r="5543">
      <c r="A5543" s="14"/>
      <c r="B5543" s="15"/>
      <c r="C5543" s="16"/>
      <c r="J5543" s="9"/>
    </row>
    <row r="5544">
      <c r="A5544" s="14"/>
      <c r="B5544" s="15"/>
      <c r="C5544" s="16"/>
      <c r="J5544" s="9"/>
    </row>
    <row r="5545">
      <c r="A5545" s="14"/>
      <c r="B5545" s="15"/>
      <c r="C5545" s="16"/>
      <c r="J5545" s="9"/>
    </row>
    <row r="5546">
      <c r="A5546" s="14"/>
      <c r="B5546" s="15"/>
      <c r="C5546" s="16"/>
      <c r="J5546" s="9"/>
    </row>
    <row r="5547">
      <c r="A5547" s="14"/>
      <c r="B5547" s="15"/>
      <c r="C5547" s="16"/>
      <c r="J5547" s="9"/>
    </row>
    <row r="5548">
      <c r="A5548" s="14"/>
      <c r="B5548" s="15"/>
      <c r="C5548" s="16"/>
      <c r="J5548" s="9"/>
    </row>
    <row r="5549">
      <c r="A5549" s="14"/>
      <c r="B5549" s="15"/>
      <c r="C5549" s="16"/>
      <c r="J5549" s="9"/>
    </row>
    <row r="5550">
      <c r="A5550" s="14"/>
      <c r="B5550" s="15"/>
      <c r="C5550" s="16"/>
      <c r="J5550" s="9"/>
    </row>
    <row r="5551">
      <c r="A5551" s="14"/>
      <c r="B5551" s="15"/>
      <c r="C5551" s="16"/>
      <c r="J5551" s="9"/>
    </row>
    <row r="5552">
      <c r="A5552" s="14"/>
      <c r="B5552" s="15"/>
      <c r="C5552" s="16"/>
      <c r="J5552" s="9"/>
    </row>
    <row r="5553">
      <c r="A5553" s="14"/>
      <c r="B5553" s="15"/>
      <c r="C5553" s="16"/>
      <c r="J5553" s="9"/>
    </row>
    <row r="5554">
      <c r="A5554" s="14"/>
      <c r="B5554" s="15"/>
      <c r="C5554" s="16"/>
      <c r="J5554" s="9"/>
    </row>
    <row r="5555">
      <c r="A5555" s="14"/>
      <c r="B5555" s="15"/>
      <c r="C5555" s="16"/>
      <c r="J5555" s="9"/>
    </row>
    <row r="5556">
      <c r="A5556" s="14"/>
      <c r="B5556" s="15"/>
      <c r="C5556" s="16"/>
      <c r="J5556" s="9"/>
    </row>
    <row r="5557">
      <c r="A5557" s="14"/>
      <c r="B5557" s="15"/>
      <c r="C5557" s="16"/>
      <c r="J5557" s="9"/>
    </row>
    <row r="5558">
      <c r="A5558" s="14"/>
      <c r="B5558" s="15"/>
      <c r="C5558" s="16"/>
      <c r="J5558" s="9"/>
    </row>
    <row r="5559">
      <c r="A5559" s="14"/>
      <c r="B5559" s="15"/>
      <c r="C5559" s="16"/>
      <c r="J5559" s="9"/>
    </row>
    <row r="5560">
      <c r="A5560" s="14"/>
      <c r="B5560" s="15"/>
      <c r="C5560" s="16"/>
      <c r="J5560" s="9"/>
    </row>
    <row r="5561">
      <c r="A5561" s="14"/>
      <c r="B5561" s="15"/>
      <c r="C5561" s="16"/>
      <c r="J5561" s="9"/>
    </row>
    <row r="5562">
      <c r="A5562" s="14"/>
      <c r="B5562" s="15"/>
      <c r="C5562" s="16"/>
      <c r="J5562" s="9"/>
    </row>
    <row r="5563">
      <c r="A5563" s="14"/>
      <c r="B5563" s="15"/>
      <c r="C5563" s="16"/>
      <c r="J5563" s="9"/>
    </row>
    <row r="5564">
      <c r="A5564" s="14"/>
      <c r="B5564" s="15"/>
      <c r="C5564" s="16"/>
      <c r="J5564" s="9"/>
    </row>
    <row r="5565">
      <c r="A5565" s="14"/>
      <c r="B5565" s="15"/>
      <c r="C5565" s="16"/>
      <c r="J5565" s="9"/>
    </row>
    <row r="5566">
      <c r="A5566" s="14"/>
      <c r="B5566" s="15"/>
      <c r="C5566" s="16"/>
      <c r="J5566" s="9"/>
    </row>
    <row r="5567">
      <c r="A5567" s="14"/>
      <c r="B5567" s="15"/>
      <c r="C5567" s="16"/>
      <c r="J5567" s="9"/>
    </row>
    <row r="5568">
      <c r="A5568" s="14"/>
      <c r="B5568" s="15"/>
      <c r="C5568" s="16"/>
      <c r="J5568" s="9"/>
    </row>
    <row r="5569">
      <c r="A5569" s="14"/>
      <c r="B5569" s="15"/>
      <c r="C5569" s="16"/>
      <c r="J5569" s="9"/>
    </row>
    <row r="5570">
      <c r="A5570" s="14"/>
      <c r="B5570" s="15"/>
      <c r="C5570" s="16"/>
      <c r="J5570" s="9"/>
    </row>
    <row r="5571">
      <c r="A5571" s="14"/>
      <c r="B5571" s="15"/>
      <c r="C5571" s="16"/>
      <c r="J5571" s="9"/>
    </row>
    <row r="5572">
      <c r="A5572" s="14"/>
      <c r="B5572" s="15"/>
      <c r="C5572" s="16"/>
      <c r="J5572" s="9"/>
    </row>
    <row r="5573">
      <c r="A5573" s="14"/>
      <c r="B5573" s="15"/>
      <c r="C5573" s="16"/>
      <c r="J5573" s="9"/>
    </row>
    <row r="5574">
      <c r="A5574" s="14"/>
      <c r="B5574" s="15"/>
      <c r="C5574" s="16"/>
      <c r="J5574" s="9"/>
    </row>
    <row r="5575">
      <c r="A5575" s="14"/>
      <c r="B5575" s="15"/>
      <c r="C5575" s="16"/>
      <c r="J5575" s="9"/>
    </row>
    <row r="5576">
      <c r="A5576" s="14"/>
      <c r="B5576" s="15"/>
      <c r="C5576" s="16"/>
      <c r="J5576" s="9"/>
    </row>
    <row r="5577">
      <c r="A5577" s="14"/>
      <c r="B5577" s="15"/>
      <c r="C5577" s="16"/>
      <c r="J5577" s="9"/>
    </row>
    <row r="5578">
      <c r="A5578" s="14"/>
      <c r="B5578" s="15"/>
      <c r="C5578" s="16"/>
      <c r="J5578" s="9"/>
    </row>
    <row r="5579">
      <c r="A5579" s="14"/>
      <c r="B5579" s="15"/>
      <c r="C5579" s="16"/>
      <c r="J5579" s="9"/>
    </row>
    <row r="5580">
      <c r="A5580" s="14"/>
      <c r="B5580" s="15"/>
      <c r="C5580" s="16"/>
      <c r="J5580" s="9"/>
    </row>
    <row r="5581">
      <c r="A5581" s="14"/>
      <c r="B5581" s="15"/>
      <c r="C5581" s="16"/>
      <c r="J5581" s="9"/>
    </row>
    <row r="5582">
      <c r="A5582" s="14"/>
      <c r="B5582" s="15"/>
      <c r="C5582" s="16"/>
      <c r="J5582" s="9"/>
    </row>
    <row r="5583">
      <c r="A5583" s="14"/>
      <c r="B5583" s="15"/>
      <c r="C5583" s="16"/>
      <c r="J5583" s="9"/>
    </row>
    <row r="5584">
      <c r="A5584" s="14"/>
      <c r="B5584" s="15"/>
      <c r="C5584" s="16"/>
      <c r="J5584" s="9"/>
    </row>
    <row r="5585">
      <c r="A5585" s="14"/>
      <c r="B5585" s="15"/>
      <c r="C5585" s="16"/>
      <c r="J5585" s="9"/>
    </row>
    <row r="5586">
      <c r="A5586" s="14"/>
      <c r="B5586" s="15"/>
      <c r="C5586" s="16"/>
      <c r="J5586" s="9"/>
    </row>
    <row r="5587">
      <c r="A5587" s="14"/>
      <c r="B5587" s="15"/>
      <c r="C5587" s="16"/>
      <c r="J5587" s="9"/>
    </row>
    <row r="5588">
      <c r="A5588" s="14"/>
      <c r="B5588" s="15"/>
      <c r="C5588" s="16"/>
      <c r="J5588" s="9"/>
    </row>
    <row r="5589">
      <c r="A5589" s="14"/>
      <c r="B5589" s="15"/>
      <c r="C5589" s="16"/>
      <c r="J5589" s="9"/>
    </row>
    <row r="5590">
      <c r="A5590" s="14"/>
      <c r="B5590" s="15"/>
      <c r="C5590" s="16"/>
      <c r="J5590" s="9"/>
    </row>
    <row r="5591">
      <c r="A5591" s="14"/>
      <c r="B5591" s="15"/>
      <c r="C5591" s="16"/>
      <c r="J5591" s="9"/>
    </row>
    <row r="5592">
      <c r="A5592" s="14"/>
      <c r="B5592" s="15"/>
      <c r="C5592" s="16"/>
      <c r="J5592" s="9"/>
    </row>
    <row r="5593">
      <c r="A5593" s="14"/>
      <c r="B5593" s="15"/>
      <c r="C5593" s="16"/>
      <c r="J5593" s="9"/>
    </row>
    <row r="5594">
      <c r="A5594" s="14"/>
      <c r="B5594" s="15"/>
      <c r="C5594" s="16"/>
      <c r="J5594" s="9"/>
    </row>
    <row r="5595">
      <c r="A5595" s="14"/>
      <c r="B5595" s="15"/>
      <c r="C5595" s="16"/>
      <c r="J5595" s="9"/>
    </row>
    <row r="5596">
      <c r="A5596" s="14"/>
      <c r="B5596" s="15"/>
      <c r="C5596" s="16"/>
      <c r="J5596" s="9"/>
    </row>
    <row r="5597">
      <c r="A5597" s="14"/>
      <c r="B5597" s="15"/>
      <c r="C5597" s="16"/>
      <c r="J5597" s="9"/>
    </row>
    <row r="5598">
      <c r="A5598" s="14"/>
      <c r="B5598" s="15"/>
      <c r="C5598" s="16"/>
      <c r="J5598" s="9"/>
    </row>
    <row r="5599">
      <c r="A5599" s="14"/>
      <c r="B5599" s="15"/>
      <c r="C5599" s="16"/>
      <c r="J5599" s="9"/>
    </row>
    <row r="5600">
      <c r="A5600" s="14"/>
      <c r="B5600" s="15"/>
      <c r="C5600" s="16"/>
      <c r="J5600" s="9"/>
    </row>
    <row r="5601">
      <c r="A5601" s="14"/>
      <c r="B5601" s="15"/>
      <c r="C5601" s="16"/>
      <c r="J5601" s="9"/>
    </row>
    <row r="5602">
      <c r="A5602" s="14"/>
      <c r="B5602" s="15"/>
      <c r="C5602" s="16"/>
      <c r="J5602" s="9"/>
    </row>
    <row r="5603">
      <c r="A5603" s="14"/>
      <c r="B5603" s="15"/>
      <c r="C5603" s="16"/>
      <c r="J5603" s="9"/>
    </row>
    <row r="5604">
      <c r="A5604" s="14"/>
      <c r="B5604" s="15"/>
      <c r="C5604" s="16"/>
      <c r="J5604" s="9"/>
    </row>
    <row r="5605">
      <c r="A5605" s="14"/>
      <c r="B5605" s="15"/>
      <c r="C5605" s="16"/>
      <c r="J5605" s="9"/>
    </row>
    <row r="5606">
      <c r="A5606" s="14"/>
      <c r="B5606" s="15"/>
      <c r="C5606" s="16"/>
      <c r="J5606" s="9"/>
    </row>
    <row r="5607">
      <c r="A5607" s="14"/>
      <c r="B5607" s="15"/>
      <c r="C5607" s="16"/>
      <c r="J5607" s="9"/>
    </row>
    <row r="5608">
      <c r="A5608" s="14"/>
      <c r="B5608" s="15"/>
      <c r="C5608" s="16"/>
      <c r="J5608" s="9"/>
    </row>
    <row r="5609">
      <c r="A5609" s="14"/>
      <c r="B5609" s="15"/>
      <c r="C5609" s="16"/>
      <c r="J5609" s="9"/>
    </row>
    <row r="5610">
      <c r="A5610" s="14"/>
      <c r="B5610" s="15"/>
      <c r="C5610" s="16"/>
      <c r="J5610" s="9"/>
    </row>
    <row r="5611">
      <c r="A5611" s="14"/>
      <c r="B5611" s="15"/>
      <c r="C5611" s="16"/>
      <c r="J5611" s="9"/>
    </row>
    <row r="5612">
      <c r="A5612" s="14"/>
      <c r="B5612" s="15"/>
      <c r="C5612" s="16"/>
      <c r="J5612" s="9"/>
    </row>
    <row r="5613">
      <c r="A5613" s="14"/>
      <c r="B5613" s="15"/>
      <c r="C5613" s="16"/>
      <c r="J5613" s="9"/>
    </row>
    <row r="5614">
      <c r="A5614" s="14"/>
      <c r="B5614" s="15"/>
      <c r="C5614" s="16"/>
      <c r="J5614" s="9"/>
    </row>
    <row r="5615">
      <c r="A5615" s="14"/>
      <c r="B5615" s="15"/>
      <c r="C5615" s="16"/>
      <c r="J5615" s="9"/>
    </row>
    <row r="5616">
      <c r="A5616" s="14"/>
      <c r="B5616" s="15"/>
      <c r="C5616" s="16"/>
      <c r="J5616" s="9"/>
    </row>
    <row r="5617">
      <c r="A5617" s="14"/>
      <c r="B5617" s="15"/>
      <c r="C5617" s="16"/>
      <c r="J5617" s="9"/>
    </row>
    <row r="5618">
      <c r="A5618" s="14"/>
      <c r="B5618" s="15"/>
      <c r="C5618" s="16"/>
      <c r="J5618" s="9"/>
    </row>
    <row r="5619">
      <c r="A5619" s="14"/>
      <c r="B5619" s="15"/>
      <c r="C5619" s="16"/>
      <c r="J5619" s="9"/>
    </row>
    <row r="5620">
      <c r="A5620" s="14"/>
      <c r="B5620" s="15"/>
      <c r="C5620" s="16"/>
      <c r="J5620" s="9"/>
    </row>
    <row r="5621">
      <c r="A5621" s="14"/>
      <c r="B5621" s="15"/>
      <c r="C5621" s="16"/>
      <c r="J5621" s="9"/>
    </row>
    <row r="5622">
      <c r="A5622" s="14"/>
      <c r="B5622" s="15"/>
      <c r="C5622" s="16"/>
      <c r="J5622" s="9"/>
    </row>
    <row r="5623">
      <c r="A5623" s="14"/>
      <c r="B5623" s="15"/>
      <c r="C5623" s="16"/>
      <c r="J5623" s="9"/>
    </row>
    <row r="5624">
      <c r="A5624" s="14"/>
      <c r="B5624" s="15"/>
      <c r="C5624" s="16"/>
      <c r="J5624" s="9"/>
    </row>
    <row r="5625">
      <c r="A5625" s="14"/>
      <c r="B5625" s="15"/>
      <c r="C5625" s="16"/>
      <c r="J5625" s="9"/>
    </row>
    <row r="5626">
      <c r="A5626" s="14"/>
      <c r="B5626" s="15"/>
      <c r="C5626" s="16"/>
      <c r="J5626" s="9"/>
    </row>
    <row r="5627">
      <c r="A5627" s="14"/>
      <c r="B5627" s="15"/>
      <c r="C5627" s="16"/>
      <c r="J5627" s="9"/>
    </row>
    <row r="5628">
      <c r="A5628" s="14"/>
      <c r="B5628" s="15"/>
      <c r="C5628" s="16"/>
      <c r="J5628" s="9"/>
    </row>
    <row r="5629">
      <c r="A5629" s="14"/>
      <c r="B5629" s="15"/>
      <c r="C5629" s="16"/>
      <c r="J5629" s="9"/>
    </row>
    <row r="5630">
      <c r="A5630" s="14"/>
      <c r="B5630" s="15"/>
      <c r="C5630" s="16"/>
      <c r="J5630" s="9"/>
    </row>
    <row r="5631">
      <c r="A5631" s="14"/>
      <c r="B5631" s="15"/>
      <c r="C5631" s="16"/>
      <c r="J5631" s="9"/>
    </row>
    <row r="5632">
      <c r="A5632" s="14"/>
      <c r="B5632" s="15"/>
      <c r="C5632" s="16"/>
      <c r="J5632" s="9"/>
    </row>
    <row r="5633">
      <c r="A5633" s="14"/>
      <c r="B5633" s="15"/>
      <c r="C5633" s="16"/>
      <c r="J5633" s="9"/>
    </row>
    <row r="5634">
      <c r="A5634" s="14"/>
      <c r="B5634" s="15"/>
      <c r="C5634" s="16"/>
      <c r="J5634" s="9"/>
    </row>
    <row r="5635">
      <c r="A5635" s="14"/>
      <c r="B5635" s="15"/>
      <c r="C5635" s="16"/>
      <c r="J5635" s="9"/>
    </row>
    <row r="5636">
      <c r="A5636" s="14"/>
      <c r="B5636" s="15"/>
      <c r="C5636" s="16"/>
      <c r="J5636" s="9"/>
    </row>
    <row r="5637">
      <c r="A5637" s="14"/>
      <c r="B5637" s="15"/>
      <c r="C5637" s="16"/>
      <c r="J5637" s="9"/>
    </row>
    <row r="5638">
      <c r="A5638" s="14"/>
      <c r="B5638" s="15"/>
      <c r="C5638" s="16"/>
      <c r="J5638" s="9"/>
    </row>
    <row r="5639">
      <c r="A5639" s="14"/>
      <c r="B5639" s="15"/>
      <c r="C5639" s="16"/>
      <c r="J5639" s="9"/>
    </row>
    <row r="5640">
      <c r="A5640" s="14"/>
      <c r="B5640" s="15"/>
      <c r="C5640" s="16"/>
      <c r="J5640" s="9"/>
    </row>
    <row r="5641">
      <c r="A5641" s="14"/>
      <c r="B5641" s="15"/>
      <c r="C5641" s="16"/>
      <c r="J5641" s="9"/>
    </row>
    <row r="5642">
      <c r="A5642" s="14"/>
      <c r="B5642" s="15"/>
      <c r="C5642" s="16"/>
      <c r="J5642" s="9"/>
    </row>
    <row r="5643">
      <c r="A5643" s="14"/>
      <c r="B5643" s="15"/>
      <c r="C5643" s="16"/>
      <c r="J5643" s="9"/>
    </row>
    <row r="5644">
      <c r="A5644" s="14"/>
      <c r="B5644" s="15"/>
      <c r="C5644" s="16"/>
      <c r="J5644" s="9"/>
    </row>
    <row r="5645">
      <c r="A5645" s="14"/>
      <c r="B5645" s="15"/>
      <c r="C5645" s="16"/>
      <c r="J5645" s="9"/>
    </row>
    <row r="5646">
      <c r="A5646" s="14"/>
      <c r="B5646" s="15"/>
      <c r="C5646" s="16"/>
      <c r="J5646" s="9"/>
    </row>
    <row r="5647">
      <c r="A5647" s="14"/>
      <c r="B5647" s="15"/>
      <c r="C5647" s="16"/>
      <c r="J5647" s="9"/>
    </row>
    <row r="5648">
      <c r="A5648" s="14"/>
      <c r="B5648" s="15"/>
      <c r="C5648" s="16"/>
      <c r="J5648" s="9"/>
    </row>
    <row r="5649">
      <c r="A5649" s="14"/>
      <c r="B5649" s="15"/>
      <c r="C5649" s="16"/>
      <c r="J5649" s="9"/>
    </row>
    <row r="5650">
      <c r="A5650" s="14"/>
      <c r="B5650" s="15"/>
      <c r="C5650" s="16"/>
      <c r="J5650" s="9"/>
    </row>
    <row r="5651">
      <c r="A5651" s="14"/>
      <c r="B5651" s="15"/>
      <c r="C5651" s="16"/>
      <c r="J5651" s="9"/>
    </row>
    <row r="5652">
      <c r="A5652" s="14"/>
      <c r="B5652" s="15"/>
      <c r="C5652" s="16"/>
      <c r="J5652" s="9"/>
    </row>
    <row r="5653">
      <c r="A5653" s="14"/>
      <c r="B5653" s="15"/>
      <c r="C5653" s="16"/>
      <c r="J5653" s="9"/>
    </row>
    <row r="5654">
      <c r="A5654" s="14"/>
      <c r="B5654" s="15"/>
      <c r="C5654" s="16"/>
      <c r="J5654" s="9"/>
    </row>
    <row r="5655">
      <c r="A5655" s="14"/>
      <c r="B5655" s="15"/>
      <c r="C5655" s="16"/>
      <c r="J5655" s="9"/>
    </row>
    <row r="5656">
      <c r="A5656" s="14"/>
      <c r="B5656" s="15"/>
      <c r="C5656" s="16"/>
      <c r="J5656" s="9"/>
    </row>
    <row r="5657">
      <c r="A5657" s="14"/>
      <c r="B5657" s="15"/>
      <c r="C5657" s="16"/>
      <c r="J5657" s="9"/>
    </row>
    <row r="5658">
      <c r="A5658" s="14"/>
      <c r="B5658" s="15"/>
      <c r="C5658" s="16"/>
      <c r="J5658" s="9"/>
    </row>
    <row r="5659">
      <c r="A5659" s="14"/>
      <c r="B5659" s="15"/>
      <c r="C5659" s="16"/>
      <c r="J5659" s="9"/>
    </row>
    <row r="5660">
      <c r="A5660" s="14"/>
      <c r="B5660" s="15"/>
      <c r="C5660" s="16"/>
      <c r="J5660" s="9"/>
    </row>
    <row r="5661">
      <c r="A5661" s="14"/>
      <c r="B5661" s="15"/>
      <c r="C5661" s="16"/>
      <c r="J5661" s="9"/>
    </row>
    <row r="5662">
      <c r="A5662" s="14"/>
      <c r="B5662" s="15"/>
      <c r="C5662" s="16"/>
      <c r="J5662" s="9"/>
    </row>
    <row r="5663">
      <c r="A5663" s="14"/>
      <c r="B5663" s="15"/>
      <c r="C5663" s="16"/>
      <c r="J5663" s="9"/>
    </row>
    <row r="5664">
      <c r="A5664" s="14"/>
      <c r="B5664" s="15"/>
      <c r="C5664" s="16"/>
      <c r="J5664" s="9"/>
    </row>
    <row r="5665">
      <c r="A5665" s="14"/>
      <c r="B5665" s="15"/>
      <c r="C5665" s="16"/>
      <c r="J5665" s="9"/>
    </row>
    <row r="5666">
      <c r="A5666" s="14"/>
      <c r="B5666" s="15"/>
      <c r="C5666" s="16"/>
      <c r="J5666" s="9"/>
    </row>
    <row r="5667">
      <c r="A5667" s="14"/>
      <c r="B5667" s="15"/>
      <c r="C5667" s="16"/>
      <c r="J5667" s="9"/>
    </row>
    <row r="5668">
      <c r="A5668" s="14"/>
      <c r="B5668" s="15"/>
      <c r="C5668" s="16"/>
      <c r="J5668" s="9"/>
    </row>
    <row r="5669">
      <c r="A5669" s="14"/>
      <c r="B5669" s="15"/>
      <c r="C5669" s="16"/>
      <c r="J5669" s="9"/>
    </row>
    <row r="5670">
      <c r="A5670" s="14"/>
      <c r="B5670" s="15"/>
      <c r="C5670" s="16"/>
      <c r="J5670" s="9"/>
    </row>
    <row r="5671">
      <c r="A5671" s="14"/>
      <c r="B5671" s="15"/>
      <c r="C5671" s="16"/>
      <c r="J5671" s="9"/>
    </row>
    <row r="5672">
      <c r="A5672" s="14"/>
      <c r="B5672" s="15"/>
      <c r="C5672" s="16"/>
      <c r="J5672" s="9"/>
    </row>
    <row r="5673">
      <c r="A5673" s="14"/>
      <c r="B5673" s="15"/>
      <c r="C5673" s="16"/>
      <c r="J5673" s="9"/>
    </row>
    <row r="5674">
      <c r="A5674" s="14"/>
      <c r="B5674" s="15"/>
      <c r="C5674" s="16"/>
      <c r="J5674" s="9"/>
    </row>
    <row r="5675">
      <c r="A5675" s="14"/>
      <c r="B5675" s="15"/>
      <c r="C5675" s="16"/>
      <c r="J5675" s="9"/>
    </row>
    <row r="5676">
      <c r="A5676" s="14"/>
      <c r="B5676" s="15"/>
      <c r="C5676" s="16"/>
      <c r="J5676" s="9"/>
    </row>
    <row r="5677">
      <c r="A5677" s="14"/>
      <c r="B5677" s="15"/>
      <c r="C5677" s="16"/>
      <c r="J5677" s="9"/>
    </row>
    <row r="5678">
      <c r="A5678" s="14"/>
      <c r="B5678" s="15"/>
      <c r="C5678" s="16"/>
      <c r="J5678" s="9"/>
    </row>
    <row r="5679">
      <c r="A5679" s="14"/>
      <c r="B5679" s="15"/>
      <c r="C5679" s="16"/>
      <c r="J5679" s="9"/>
    </row>
    <row r="5680">
      <c r="A5680" s="14"/>
      <c r="B5680" s="15"/>
      <c r="C5680" s="16"/>
      <c r="J5680" s="9"/>
    </row>
    <row r="5681">
      <c r="A5681" s="14"/>
      <c r="B5681" s="15"/>
      <c r="C5681" s="16"/>
      <c r="J5681" s="9"/>
    </row>
    <row r="5682">
      <c r="A5682" s="14"/>
      <c r="B5682" s="15"/>
      <c r="C5682" s="16"/>
      <c r="J5682" s="9"/>
    </row>
    <row r="5683">
      <c r="A5683" s="14"/>
      <c r="B5683" s="15"/>
      <c r="C5683" s="16"/>
      <c r="J5683" s="9"/>
    </row>
    <row r="5684">
      <c r="A5684" s="14"/>
      <c r="B5684" s="15"/>
      <c r="C5684" s="16"/>
      <c r="J5684" s="9"/>
    </row>
    <row r="5685">
      <c r="A5685" s="14"/>
      <c r="B5685" s="15"/>
      <c r="C5685" s="16"/>
      <c r="J5685" s="9"/>
    </row>
    <row r="5686">
      <c r="A5686" s="14"/>
      <c r="B5686" s="15"/>
      <c r="C5686" s="16"/>
      <c r="J5686" s="9"/>
    </row>
    <row r="5687">
      <c r="A5687" s="14"/>
      <c r="B5687" s="15"/>
      <c r="C5687" s="16"/>
      <c r="J5687" s="9"/>
    </row>
    <row r="5688">
      <c r="A5688" s="14"/>
      <c r="B5688" s="15"/>
      <c r="C5688" s="16"/>
      <c r="J5688" s="9"/>
    </row>
    <row r="5689">
      <c r="A5689" s="14"/>
      <c r="B5689" s="15"/>
      <c r="C5689" s="16"/>
      <c r="J5689" s="9"/>
    </row>
    <row r="5690">
      <c r="A5690" s="14"/>
      <c r="B5690" s="15"/>
      <c r="C5690" s="16"/>
      <c r="J5690" s="9"/>
    </row>
    <row r="5691">
      <c r="A5691" s="14"/>
      <c r="B5691" s="15"/>
      <c r="C5691" s="16"/>
      <c r="J5691" s="9"/>
    </row>
    <row r="5692">
      <c r="A5692" s="14"/>
      <c r="B5692" s="15"/>
      <c r="C5692" s="16"/>
      <c r="J5692" s="9"/>
    </row>
    <row r="5693">
      <c r="A5693" s="14"/>
      <c r="B5693" s="15"/>
      <c r="C5693" s="16"/>
      <c r="J5693" s="9"/>
    </row>
    <row r="5694">
      <c r="A5694" s="14"/>
      <c r="B5694" s="15"/>
      <c r="C5694" s="16"/>
      <c r="J5694" s="9"/>
    </row>
    <row r="5695">
      <c r="A5695" s="14"/>
      <c r="B5695" s="15"/>
      <c r="C5695" s="16"/>
      <c r="J5695" s="9"/>
    </row>
    <row r="5696">
      <c r="A5696" s="14"/>
      <c r="B5696" s="15"/>
      <c r="C5696" s="16"/>
      <c r="J5696" s="9"/>
    </row>
    <row r="5697">
      <c r="A5697" s="14"/>
      <c r="B5697" s="15"/>
      <c r="C5697" s="16"/>
      <c r="J5697" s="9"/>
    </row>
    <row r="5698">
      <c r="A5698" s="14"/>
      <c r="B5698" s="15"/>
      <c r="C5698" s="16"/>
      <c r="J5698" s="9"/>
    </row>
    <row r="5699">
      <c r="A5699" s="14"/>
      <c r="B5699" s="15"/>
      <c r="C5699" s="16"/>
      <c r="J5699" s="9"/>
    </row>
    <row r="5700">
      <c r="A5700" s="14"/>
      <c r="B5700" s="15"/>
      <c r="C5700" s="16"/>
      <c r="J5700" s="9"/>
    </row>
    <row r="5701">
      <c r="A5701" s="14"/>
      <c r="B5701" s="15"/>
      <c r="C5701" s="16"/>
      <c r="J5701" s="9"/>
    </row>
    <row r="5702">
      <c r="A5702" s="14"/>
      <c r="B5702" s="15"/>
      <c r="C5702" s="16"/>
      <c r="J5702" s="9"/>
    </row>
    <row r="5703">
      <c r="A5703" s="14"/>
      <c r="B5703" s="15"/>
      <c r="C5703" s="16"/>
      <c r="J5703" s="9"/>
    </row>
    <row r="5704">
      <c r="A5704" s="14"/>
      <c r="B5704" s="15"/>
      <c r="C5704" s="16"/>
      <c r="J5704" s="9"/>
    </row>
    <row r="5705">
      <c r="A5705" s="14"/>
      <c r="B5705" s="15"/>
      <c r="C5705" s="16"/>
      <c r="J5705" s="9"/>
    </row>
    <row r="5706">
      <c r="A5706" s="14"/>
      <c r="B5706" s="15"/>
      <c r="C5706" s="16"/>
      <c r="J5706" s="9"/>
    </row>
    <row r="5707">
      <c r="A5707" s="14"/>
      <c r="B5707" s="15"/>
      <c r="C5707" s="16"/>
      <c r="J5707" s="9"/>
    </row>
    <row r="5708">
      <c r="A5708" s="14"/>
      <c r="B5708" s="15"/>
      <c r="C5708" s="16"/>
      <c r="J5708" s="9"/>
    </row>
    <row r="5709">
      <c r="A5709" s="14"/>
      <c r="B5709" s="15"/>
      <c r="C5709" s="16"/>
      <c r="J5709" s="9"/>
    </row>
    <row r="5710">
      <c r="A5710" s="14"/>
      <c r="B5710" s="15"/>
      <c r="C5710" s="16"/>
      <c r="J5710" s="9"/>
    </row>
    <row r="5711">
      <c r="A5711" s="14"/>
      <c r="B5711" s="15"/>
      <c r="C5711" s="16"/>
      <c r="J5711" s="9"/>
    </row>
    <row r="5712">
      <c r="A5712" s="14"/>
      <c r="B5712" s="15"/>
      <c r="C5712" s="16"/>
      <c r="J5712" s="9"/>
    </row>
    <row r="5713">
      <c r="A5713" s="14"/>
      <c r="B5713" s="15"/>
      <c r="C5713" s="16"/>
      <c r="J5713" s="9"/>
    </row>
    <row r="5714">
      <c r="A5714" s="14"/>
      <c r="B5714" s="15"/>
      <c r="C5714" s="16"/>
      <c r="J5714" s="9"/>
    </row>
    <row r="5715">
      <c r="A5715" s="14"/>
      <c r="B5715" s="15"/>
      <c r="C5715" s="16"/>
      <c r="J5715" s="9"/>
    </row>
    <row r="5716">
      <c r="A5716" s="14"/>
      <c r="B5716" s="15"/>
      <c r="C5716" s="16"/>
      <c r="J5716" s="9"/>
    </row>
    <row r="5717">
      <c r="A5717" s="14"/>
      <c r="B5717" s="15"/>
      <c r="C5717" s="16"/>
      <c r="J5717" s="9"/>
    </row>
    <row r="5718">
      <c r="A5718" s="14"/>
      <c r="B5718" s="15"/>
      <c r="C5718" s="16"/>
      <c r="J5718" s="9"/>
    </row>
    <row r="5719">
      <c r="A5719" s="14"/>
      <c r="B5719" s="15"/>
      <c r="C5719" s="16"/>
      <c r="J5719" s="9"/>
    </row>
    <row r="5720">
      <c r="A5720" s="14"/>
      <c r="B5720" s="15"/>
      <c r="C5720" s="16"/>
      <c r="J5720" s="9"/>
    </row>
    <row r="5721">
      <c r="A5721" s="14"/>
      <c r="B5721" s="15"/>
      <c r="C5721" s="16"/>
      <c r="J5721" s="9"/>
    </row>
    <row r="5722">
      <c r="A5722" s="14"/>
      <c r="B5722" s="15"/>
      <c r="C5722" s="16"/>
      <c r="J5722" s="9"/>
    </row>
    <row r="5723">
      <c r="A5723" s="14"/>
      <c r="B5723" s="15"/>
      <c r="C5723" s="16"/>
      <c r="J5723" s="9"/>
    </row>
    <row r="5724">
      <c r="A5724" s="14"/>
      <c r="B5724" s="15"/>
      <c r="C5724" s="16"/>
      <c r="J5724" s="9"/>
    </row>
    <row r="5725">
      <c r="A5725" s="14"/>
      <c r="B5725" s="15"/>
      <c r="C5725" s="16"/>
      <c r="J5725" s="9"/>
    </row>
    <row r="5726">
      <c r="A5726" s="14"/>
      <c r="B5726" s="15"/>
      <c r="C5726" s="16"/>
      <c r="J5726" s="9"/>
    </row>
    <row r="5727">
      <c r="A5727" s="14"/>
      <c r="B5727" s="15"/>
      <c r="C5727" s="16"/>
      <c r="J5727" s="9"/>
    </row>
    <row r="5728">
      <c r="A5728" s="14"/>
      <c r="B5728" s="15"/>
      <c r="C5728" s="16"/>
      <c r="J5728" s="9"/>
    </row>
    <row r="5729">
      <c r="A5729" s="14"/>
      <c r="B5729" s="15"/>
      <c r="C5729" s="16"/>
      <c r="J5729" s="9"/>
    </row>
    <row r="5730">
      <c r="A5730" s="14"/>
      <c r="B5730" s="15"/>
      <c r="C5730" s="16"/>
      <c r="J5730" s="9"/>
    </row>
    <row r="5731">
      <c r="A5731" s="14"/>
      <c r="B5731" s="15"/>
      <c r="C5731" s="16"/>
      <c r="J5731" s="9"/>
    </row>
    <row r="5732">
      <c r="A5732" s="14"/>
      <c r="B5732" s="15"/>
      <c r="C5732" s="16"/>
      <c r="J5732" s="9"/>
    </row>
    <row r="5733">
      <c r="A5733" s="14"/>
      <c r="B5733" s="15"/>
      <c r="C5733" s="16"/>
      <c r="J5733" s="9"/>
    </row>
    <row r="5734">
      <c r="A5734" s="14"/>
      <c r="B5734" s="15"/>
      <c r="C5734" s="16"/>
      <c r="J5734" s="9"/>
    </row>
    <row r="5735">
      <c r="A5735" s="14"/>
      <c r="B5735" s="15"/>
      <c r="C5735" s="16"/>
      <c r="J5735" s="9"/>
    </row>
    <row r="5736">
      <c r="A5736" s="14"/>
      <c r="B5736" s="15"/>
      <c r="C5736" s="16"/>
      <c r="J5736" s="9"/>
    </row>
    <row r="5737">
      <c r="A5737" s="14"/>
      <c r="B5737" s="15"/>
      <c r="C5737" s="16"/>
      <c r="J5737" s="9"/>
    </row>
    <row r="5738">
      <c r="A5738" s="14"/>
      <c r="B5738" s="15"/>
      <c r="C5738" s="16"/>
      <c r="J5738" s="9"/>
    </row>
    <row r="5739">
      <c r="A5739" s="14"/>
      <c r="B5739" s="15"/>
      <c r="C5739" s="16"/>
      <c r="J5739" s="9"/>
    </row>
    <row r="5740">
      <c r="A5740" s="14"/>
      <c r="B5740" s="15"/>
      <c r="C5740" s="16"/>
      <c r="J5740" s="9"/>
    </row>
    <row r="5741">
      <c r="A5741" s="14"/>
      <c r="B5741" s="15"/>
      <c r="C5741" s="16"/>
      <c r="J5741" s="9"/>
    </row>
    <row r="5742">
      <c r="A5742" s="14"/>
      <c r="B5742" s="15"/>
      <c r="C5742" s="16"/>
      <c r="J5742" s="9"/>
    </row>
    <row r="5743">
      <c r="A5743" s="14"/>
      <c r="B5743" s="15"/>
      <c r="C5743" s="16"/>
      <c r="J5743" s="9"/>
    </row>
    <row r="5744">
      <c r="A5744" s="14"/>
      <c r="B5744" s="15"/>
      <c r="C5744" s="16"/>
      <c r="J5744" s="9"/>
    </row>
    <row r="5745">
      <c r="A5745" s="14"/>
      <c r="B5745" s="15"/>
      <c r="C5745" s="16"/>
      <c r="J5745" s="9"/>
    </row>
    <row r="5746">
      <c r="A5746" s="14"/>
      <c r="B5746" s="15"/>
      <c r="C5746" s="16"/>
      <c r="J5746" s="9"/>
    </row>
    <row r="5747">
      <c r="A5747" s="14"/>
      <c r="B5747" s="15"/>
      <c r="C5747" s="16"/>
      <c r="J5747" s="9"/>
    </row>
    <row r="5748">
      <c r="A5748" s="14"/>
      <c r="B5748" s="15"/>
      <c r="C5748" s="16"/>
      <c r="J5748" s="9"/>
    </row>
    <row r="5749">
      <c r="A5749" s="14"/>
      <c r="B5749" s="15"/>
      <c r="C5749" s="16"/>
      <c r="J5749" s="9"/>
    </row>
    <row r="5750">
      <c r="A5750" s="14"/>
      <c r="B5750" s="15"/>
      <c r="C5750" s="16"/>
      <c r="J5750" s="9"/>
    </row>
    <row r="5751">
      <c r="A5751" s="14"/>
      <c r="B5751" s="15"/>
      <c r="C5751" s="16"/>
      <c r="J5751" s="9"/>
    </row>
    <row r="5752">
      <c r="A5752" s="14"/>
      <c r="B5752" s="15"/>
      <c r="C5752" s="16"/>
      <c r="J5752" s="9"/>
    </row>
    <row r="5753">
      <c r="A5753" s="14"/>
      <c r="B5753" s="15"/>
      <c r="C5753" s="16"/>
      <c r="J5753" s="9"/>
    </row>
    <row r="5754">
      <c r="A5754" s="14"/>
      <c r="B5754" s="15"/>
      <c r="C5754" s="16"/>
      <c r="J5754" s="9"/>
    </row>
    <row r="5755">
      <c r="A5755" s="14"/>
      <c r="B5755" s="15"/>
      <c r="C5755" s="16"/>
      <c r="J5755" s="9"/>
    </row>
    <row r="5756">
      <c r="A5756" s="14"/>
      <c r="B5756" s="15"/>
      <c r="C5756" s="16"/>
      <c r="J5756" s="9"/>
    </row>
    <row r="5757">
      <c r="A5757" s="14"/>
      <c r="B5757" s="15"/>
      <c r="C5757" s="16"/>
      <c r="J5757" s="9"/>
    </row>
    <row r="5758">
      <c r="A5758" s="14"/>
      <c r="B5758" s="15"/>
      <c r="C5758" s="16"/>
      <c r="J5758" s="9"/>
    </row>
    <row r="5759">
      <c r="A5759" s="14"/>
      <c r="B5759" s="15"/>
      <c r="C5759" s="16"/>
      <c r="J5759" s="9"/>
    </row>
    <row r="5760">
      <c r="A5760" s="14"/>
      <c r="B5760" s="15"/>
      <c r="C5760" s="16"/>
      <c r="J5760" s="9"/>
    </row>
    <row r="5761">
      <c r="A5761" s="14"/>
      <c r="B5761" s="15"/>
      <c r="C5761" s="16"/>
      <c r="J5761" s="9"/>
    </row>
    <row r="5762">
      <c r="A5762" s="14"/>
      <c r="B5762" s="15"/>
      <c r="C5762" s="16"/>
      <c r="J5762" s="9"/>
    </row>
    <row r="5763">
      <c r="A5763" s="14"/>
      <c r="B5763" s="15"/>
      <c r="C5763" s="16"/>
      <c r="J5763" s="9"/>
    </row>
    <row r="5764">
      <c r="A5764" s="14"/>
      <c r="B5764" s="15"/>
      <c r="C5764" s="16"/>
      <c r="J5764" s="9"/>
    </row>
    <row r="5765">
      <c r="A5765" s="14"/>
      <c r="B5765" s="15"/>
      <c r="C5765" s="16"/>
      <c r="J5765" s="9"/>
    </row>
    <row r="5766">
      <c r="A5766" s="14"/>
      <c r="B5766" s="15"/>
      <c r="C5766" s="16"/>
      <c r="J5766" s="9"/>
    </row>
    <row r="5767">
      <c r="A5767" s="14"/>
      <c r="B5767" s="15"/>
      <c r="C5767" s="16"/>
      <c r="J5767" s="9"/>
    </row>
    <row r="5768">
      <c r="A5768" s="14"/>
      <c r="B5768" s="15"/>
      <c r="C5768" s="16"/>
      <c r="J5768" s="9"/>
    </row>
    <row r="5769">
      <c r="A5769" s="14"/>
      <c r="B5769" s="15"/>
      <c r="C5769" s="16"/>
      <c r="J5769" s="9"/>
    </row>
    <row r="5770">
      <c r="A5770" s="14"/>
      <c r="B5770" s="15"/>
      <c r="C5770" s="16"/>
      <c r="J5770" s="9"/>
    </row>
    <row r="5771">
      <c r="A5771" s="14"/>
      <c r="B5771" s="15"/>
      <c r="C5771" s="16"/>
      <c r="J5771" s="9"/>
    </row>
    <row r="5772">
      <c r="A5772" s="14"/>
      <c r="B5772" s="15"/>
      <c r="C5772" s="16"/>
      <c r="J5772" s="9"/>
    </row>
    <row r="5773">
      <c r="A5773" s="14"/>
      <c r="B5773" s="15"/>
      <c r="C5773" s="16"/>
      <c r="J5773" s="9"/>
    </row>
    <row r="5774">
      <c r="A5774" s="14"/>
      <c r="B5774" s="15"/>
      <c r="C5774" s="16"/>
      <c r="J5774" s="9"/>
    </row>
    <row r="5775">
      <c r="A5775" s="14"/>
      <c r="B5775" s="15"/>
      <c r="C5775" s="16"/>
      <c r="J5775" s="9"/>
    </row>
    <row r="5776">
      <c r="A5776" s="14"/>
      <c r="B5776" s="15"/>
      <c r="C5776" s="16"/>
      <c r="J5776" s="9"/>
    </row>
    <row r="5777">
      <c r="A5777" s="14"/>
      <c r="B5777" s="15"/>
      <c r="C5777" s="16"/>
      <c r="J5777" s="9"/>
    </row>
    <row r="5778">
      <c r="A5778" s="14"/>
      <c r="B5778" s="15"/>
      <c r="C5778" s="16"/>
      <c r="J5778" s="9"/>
    </row>
    <row r="5779">
      <c r="A5779" s="14"/>
      <c r="B5779" s="15"/>
      <c r="C5779" s="16"/>
      <c r="J5779" s="9"/>
    </row>
    <row r="5780">
      <c r="A5780" s="14"/>
      <c r="B5780" s="15"/>
      <c r="C5780" s="16"/>
      <c r="J5780" s="9"/>
    </row>
    <row r="5781">
      <c r="A5781" s="14"/>
      <c r="B5781" s="15"/>
      <c r="C5781" s="16"/>
      <c r="J5781" s="9"/>
    </row>
    <row r="5782">
      <c r="A5782" s="14"/>
      <c r="B5782" s="15"/>
      <c r="C5782" s="16"/>
      <c r="J5782" s="9"/>
    </row>
    <row r="5783">
      <c r="A5783" s="14"/>
      <c r="B5783" s="15"/>
      <c r="C5783" s="16"/>
      <c r="J5783" s="9"/>
    </row>
    <row r="5784">
      <c r="A5784" s="14"/>
      <c r="B5784" s="15"/>
      <c r="C5784" s="16"/>
      <c r="J5784" s="9"/>
    </row>
    <row r="5785">
      <c r="A5785" s="14"/>
      <c r="B5785" s="15"/>
      <c r="C5785" s="16"/>
      <c r="J5785" s="9"/>
    </row>
    <row r="5786">
      <c r="A5786" s="14"/>
      <c r="B5786" s="15"/>
      <c r="C5786" s="16"/>
      <c r="J5786" s="9"/>
    </row>
    <row r="5787">
      <c r="A5787" s="14"/>
      <c r="B5787" s="15"/>
      <c r="C5787" s="16"/>
      <c r="J5787" s="9"/>
    </row>
    <row r="5788">
      <c r="A5788" s="14"/>
      <c r="B5788" s="15"/>
      <c r="C5788" s="16"/>
      <c r="J5788" s="9"/>
    </row>
    <row r="5789">
      <c r="A5789" s="14"/>
      <c r="B5789" s="15"/>
      <c r="C5789" s="16"/>
      <c r="J5789" s="9"/>
    </row>
    <row r="5790">
      <c r="A5790" s="14"/>
      <c r="B5790" s="15"/>
      <c r="C5790" s="16"/>
      <c r="J5790" s="9"/>
    </row>
    <row r="5791">
      <c r="A5791" s="14"/>
      <c r="B5791" s="15"/>
      <c r="C5791" s="16"/>
      <c r="J5791" s="9"/>
    </row>
    <row r="5792">
      <c r="A5792" s="14"/>
      <c r="B5792" s="15"/>
      <c r="C5792" s="16"/>
      <c r="J5792" s="9"/>
    </row>
    <row r="5793">
      <c r="A5793" s="14"/>
      <c r="B5793" s="15"/>
      <c r="C5793" s="16"/>
      <c r="J5793" s="9"/>
    </row>
    <row r="5794">
      <c r="A5794" s="14"/>
      <c r="B5794" s="15"/>
      <c r="C5794" s="16"/>
      <c r="J5794" s="9"/>
    </row>
    <row r="5795">
      <c r="A5795" s="14"/>
      <c r="B5795" s="15"/>
      <c r="C5795" s="16"/>
      <c r="J5795" s="9"/>
    </row>
    <row r="5796">
      <c r="A5796" s="14"/>
      <c r="B5796" s="15"/>
      <c r="C5796" s="16"/>
      <c r="J5796" s="9"/>
    </row>
    <row r="5797">
      <c r="A5797" s="14"/>
      <c r="B5797" s="15"/>
      <c r="C5797" s="16"/>
      <c r="J5797" s="9"/>
    </row>
    <row r="5798">
      <c r="A5798" s="14"/>
      <c r="B5798" s="15"/>
      <c r="C5798" s="16"/>
      <c r="J5798" s="9"/>
    </row>
    <row r="5799">
      <c r="A5799" s="14"/>
      <c r="B5799" s="15"/>
      <c r="C5799" s="16"/>
      <c r="J5799" s="9"/>
    </row>
    <row r="5800">
      <c r="A5800" s="14"/>
      <c r="B5800" s="15"/>
      <c r="C5800" s="16"/>
      <c r="J5800" s="9"/>
    </row>
    <row r="5801">
      <c r="A5801" s="14"/>
      <c r="B5801" s="15"/>
      <c r="C5801" s="16"/>
      <c r="J5801" s="9"/>
    </row>
    <row r="5802">
      <c r="A5802" s="14"/>
      <c r="B5802" s="15"/>
      <c r="C5802" s="16"/>
      <c r="J5802" s="9"/>
    </row>
    <row r="5803">
      <c r="A5803" s="14"/>
      <c r="B5803" s="15"/>
      <c r="C5803" s="16"/>
      <c r="J5803" s="9"/>
    </row>
    <row r="5804">
      <c r="A5804" s="14"/>
      <c r="B5804" s="15"/>
      <c r="C5804" s="16"/>
      <c r="J5804" s="9"/>
    </row>
    <row r="5805">
      <c r="A5805" s="14"/>
      <c r="B5805" s="15"/>
      <c r="C5805" s="16"/>
      <c r="J5805" s="9"/>
    </row>
    <row r="5806">
      <c r="A5806" s="14"/>
      <c r="B5806" s="15"/>
      <c r="C5806" s="16"/>
      <c r="J5806" s="9"/>
    </row>
    <row r="5807">
      <c r="A5807" s="14"/>
      <c r="B5807" s="15"/>
      <c r="C5807" s="16"/>
      <c r="J5807" s="9"/>
    </row>
    <row r="5808">
      <c r="A5808" s="14"/>
      <c r="B5808" s="15"/>
      <c r="C5808" s="16"/>
      <c r="J5808" s="9"/>
    </row>
    <row r="5809">
      <c r="A5809" s="14"/>
      <c r="B5809" s="15"/>
      <c r="C5809" s="16"/>
      <c r="J5809" s="9"/>
    </row>
    <row r="5810">
      <c r="A5810" s="14"/>
      <c r="B5810" s="15"/>
      <c r="C5810" s="16"/>
      <c r="J5810" s="9"/>
    </row>
    <row r="5811">
      <c r="A5811" s="14"/>
      <c r="B5811" s="15"/>
      <c r="C5811" s="16"/>
      <c r="J5811" s="9"/>
    </row>
    <row r="5812">
      <c r="A5812" s="14"/>
      <c r="B5812" s="15"/>
      <c r="C5812" s="16"/>
      <c r="J5812" s="9"/>
    </row>
    <row r="5813">
      <c r="A5813" s="14"/>
      <c r="B5813" s="15"/>
      <c r="C5813" s="16"/>
      <c r="J5813" s="9"/>
    </row>
    <row r="5814">
      <c r="A5814" s="14"/>
      <c r="B5814" s="15"/>
      <c r="C5814" s="16"/>
      <c r="J5814" s="9"/>
    </row>
    <row r="5815">
      <c r="A5815" s="14"/>
      <c r="B5815" s="15"/>
      <c r="C5815" s="16"/>
      <c r="J5815" s="9"/>
    </row>
    <row r="5816">
      <c r="A5816" s="14"/>
      <c r="B5816" s="15"/>
      <c r="C5816" s="16"/>
      <c r="J5816" s="9"/>
    </row>
    <row r="5817">
      <c r="A5817" s="14"/>
      <c r="B5817" s="15"/>
      <c r="C5817" s="16"/>
      <c r="J5817" s="9"/>
    </row>
    <row r="5818">
      <c r="A5818" s="14"/>
      <c r="B5818" s="15"/>
      <c r="C5818" s="16"/>
      <c r="J5818" s="9"/>
    </row>
    <row r="5819">
      <c r="A5819" s="14"/>
      <c r="B5819" s="15"/>
      <c r="C5819" s="16"/>
      <c r="J5819" s="9"/>
    </row>
    <row r="5820">
      <c r="A5820" s="14"/>
      <c r="B5820" s="15"/>
      <c r="C5820" s="16"/>
      <c r="J5820" s="9"/>
    </row>
    <row r="5821">
      <c r="A5821" s="14"/>
      <c r="B5821" s="15"/>
      <c r="C5821" s="16"/>
      <c r="J5821" s="9"/>
    </row>
    <row r="5822">
      <c r="A5822" s="14"/>
      <c r="B5822" s="15"/>
      <c r="C5822" s="16"/>
      <c r="J5822" s="9"/>
    </row>
    <row r="5823">
      <c r="A5823" s="14"/>
      <c r="B5823" s="15"/>
      <c r="C5823" s="16"/>
      <c r="J5823" s="9"/>
    </row>
    <row r="5824">
      <c r="A5824" s="14"/>
      <c r="B5824" s="15"/>
      <c r="C5824" s="16"/>
      <c r="J5824" s="9"/>
    </row>
    <row r="5825">
      <c r="A5825" s="14"/>
      <c r="B5825" s="15"/>
      <c r="C5825" s="16"/>
      <c r="J5825" s="9"/>
    </row>
    <row r="5826">
      <c r="A5826" s="14"/>
      <c r="B5826" s="15"/>
      <c r="C5826" s="16"/>
      <c r="J5826" s="9"/>
    </row>
    <row r="5827">
      <c r="A5827" s="14"/>
      <c r="B5827" s="15"/>
      <c r="C5827" s="16"/>
      <c r="J5827" s="9"/>
    </row>
    <row r="5828">
      <c r="A5828" s="14"/>
      <c r="B5828" s="15"/>
      <c r="C5828" s="16"/>
      <c r="J5828" s="9"/>
    </row>
    <row r="5829">
      <c r="A5829" s="14"/>
      <c r="B5829" s="15"/>
      <c r="C5829" s="16"/>
      <c r="J5829" s="9"/>
    </row>
    <row r="5830">
      <c r="A5830" s="14"/>
      <c r="B5830" s="15"/>
      <c r="C5830" s="16"/>
      <c r="J5830" s="9"/>
    </row>
    <row r="5831">
      <c r="A5831" s="14"/>
      <c r="B5831" s="15"/>
      <c r="C5831" s="16"/>
      <c r="J5831" s="9"/>
    </row>
    <row r="5832">
      <c r="A5832" s="14"/>
      <c r="B5832" s="15"/>
      <c r="C5832" s="16"/>
      <c r="J5832" s="9"/>
    </row>
    <row r="5833">
      <c r="A5833" s="14"/>
      <c r="B5833" s="15"/>
      <c r="C5833" s="16"/>
      <c r="J5833" s="9"/>
    </row>
    <row r="5834">
      <c r="A5834" s="14"/>
      <c r="B5834" s="15"/>
      <c r="C5834" s="16"/>
      <c r="J5834" s="9"/>
    </row>
    <row r="5835">
      <c r="A5835" s="14"/>
      <c r="B5835" s="15"/>
      <c r="C5835" s="16"/>
      <c r="J5835" s="9"/>
    </row>
    <row r="5836">
      <c r="A5836" s="14"/>
      <c r="B5836" s="15"/>
      <c r="C5836" s="16"/>
      <c r="J5836" s="9"/>
    </row>
    <row r="5837">
      <c r="A5837" s="14"/>
      <c r="B5837" s="15"/>
      <c r="C5837" s="16"/>
      <c r="J5837" s="9"/>
    </row>
    <row r="5838">
      <c r="A5838" s="14"/>
      <c r="B5838" s="15"/>
      <c r="C5838" s="16"/>
      <c r="J5838" s="9"/>
    </row>
    <row r="5839">
      <c r="A5839" s="14"/>
      <c r="B5839" s="15"/>
      <c r="C5839" s="16"/>
      <c r="J5839" s="9"/>
    </row>
    <row r="5840">
      <c r="A5840" s="14"/>
      <c r="B5840" s="15"/>
      <c r="C5840" s="16"/>
      <c r="J5840" s="9"/>
    </row>
    <row r="5841">
      <c r="A5841" s="14"/>
      <c r="B5841" s="15"/>
      <c r="C5841" s="16"/>
      <c r="J5841" s="9"/>
    </row>
    <row r="5842">
      <c r="A5842" s="14"/>
      <c r="B5842" s="15"/>
      <c r="C5842" s="16"/>
      <c r="J5842" s="9"/>
    </row>
    <row r="5843">
      <c r="A5843" s="14"/>
      <c r="B5843" s="15"/>
      <c r="C5843" s="16"/>
      <c r="J5843" s="9"/>
    </row>
    <row r="5844">
      <c r="A5844" s="14"/>
      <c r="B5844" s="15"/>
      <c r="C5844" s="16"/>
      <c r="J5844" s="9"/>
    </row>
    <row r="5845">
      <c r="A5845" s="14"/>
      <c r="B5845" s="15"/>
      <c r="C5845" s="16"/>
      <c r="J5845" s="9"/>
    </row>
    <row r="5846">
      <c r="A5846" s="14"/>
      <c r="B5846" s="15"/>
      <c r="C5846" s="16"/>
      <c r="J5846" s="9"/>
    </row>
    <row r="5847">
      <c r="A5847" s="14"/>
      <c r="B5847" s="15"/>
      <c r="C5847" s="16"/>
      <c r="J5847" s="9"/>
    </row>
    <row r="5848">
      <c r="A5848" s="14"/>
      <c r="B5848" s="15"/>
      <c r="C5848" s="16"/>
      <c r="J5848" s="9"/>
    </row>
    <row r="5849">
      <c r="A5849" s="14"/>
      <c r="B5849" s="15"/>
      <c r="C5849" s="16"/>
      <c r="J5849" s="9"/>
    </row>
    <row r="5850">
      <c r="A5850" s="14"/>
      <c r="B5850" s="15"/>
      <c r="C5850" s="16"/>
      <c r="J5850" s="9"/>
    </row>
    <row r="5851">
      <c r="A5851" s="14"/>
      <c r="B5851" s="15"/>
      <c r="C5851" s="16"/>
      <c r="J5851" s="9"/>
    </row>
    <row r="5852">
      <c r="A5852" s="14"/>
      <c r="B5852" s="15"/>
      <c r="C5852" s="16"/>
      <c r="J5852" s="9"/>
    </row>
    <row r="5853">
      <c r="A5853" s="14"/>
      <c r="B5853" s="15"/>
      <c r="C5853" s="16"/>
      <c r="J5853" s="9"/>
    </row>
    <row r="5854">
      <c r="A5854" s="14"/>
      <c r="B5854" s="15"/>
      <c r="C5854" s="16"/>
      <c r="J5854" s="9"/>
    </row>
    <row r="5855">
      <c r="A5855" s="14"/>
      <c r="B5855" s="15"/>
      <c r="C5855" s="16"/>
      <c r="J5855" s="9"/>
    </row>
    <row r="5856">
      <c r="A5856" s="14"/>
      <c r="B5856" s="15"/>
      <c r="C5856" s="16"/>
      <c r="J5856" s="9"/>
    </row>
    <row r="5857">
      <c r="A5857" s="14"/>
      <c r="B5857" s="15"/>
      <c r="C5857" s="16"/>
      <c r="J5857" s="9"/>
    </row>
    <row r="5858">
      <c r="A5858" s="14"/>
      <c r="B5858" s="15"/>
      <c r="C5858" s="16"/>
      <c r="J5858" s="9"/>
    </row>
    <row r="5859">
      <c r="A5859" s="14"/>
      <c r="B5859" s="15"/>
      <c r="C5859" s="16"/>
      <c r="J5859" s="9"/>
    </row>
    <row r="5860">
      <c r="A5860" s="14"/>
      <c r="B5860" s="15"/>
      <c r="C5860" s="16"/>
      <c r="J5860" s="9"/>
    </row>
    <row r="5861">
      <c r="A5861" s="14"/>
      <c r="B5861" s="15"/>
      <c r="C5861" s="16"/>
      <c r="J5861" s="9"/>
    </row>
    <row r="5862">
      <c r="A5862" s="14"/>
      <c r="B5862" s="15"/>
      <c r="C5862" s="16"/>
      <c r="J5862" s="9"/>
    </row>
    <row r="5863">
      <c r="A5863" s="14"/>
      <c r="B5863" s="15"/>
      <c r="C5863" s="16"/>
      <c r="J5863" s="9"/>
    </row>
    <row r="5864">
      <c r="A5864" s="14"/>
      <c r="B5864" s="15"/>
      <c r="C5864" s="16"/>
      <c r="J5864" s="9"/>
    </row>
    <row r="5865">
      <c r="A5865" s="14"/>
      <c r="B5865" s="15"/>
      <c r="C5865" s="16"/>
      <c r="J5865" s="9"/>
    </row>
    <row r="5866">
      <c r="A5866" s="14"/>
      <c r="B5866" s="15"/>
      <c r="C5866" s="16"/>
      <c r="J5866" s="9"/>
    </row>
    <row r="5867">
      <c r="A5867" s="14"/>
      <c r="B5867" s="15"/>
      <c r="C5867" s="16"/>
      <c r="J5867" s="9"/>
    </row>
    <row r="5868">
      <c r="A5868" s="14"/>
      <c r="B5868" s="15"/>
      <c r="C5868" s="16"/>
      <c r="J5868" s="9"/>
    </row>
    <row r="5869">
      <c r="A5869" s="14"/>
      <c r="B5869" s="15"/>
      <c r="C5869" s="16"/>
      <c r="J5869" s="9"/>
    </row>
    <row r="5870">
      <c r="A5870" s="14"/>
      <c r="B5870" s="15"/>
      <c r="C5870" s="16"/>
      <c r="J5870" s="9"/>
    </row>
    <row r="5871">
      <c r="A5871" s="14"/>
      <c r="B5871" s="15"/>
      <c r="C5871" s="16"/>
      <c r="J5871" s="9"/>
    </row>
    <row r="5872">
      <c r="A5872" s="14"/>
      <c r="B5872" s="15"/>
      <c r="C5872" s="16"/>
      <c r="J5872" s="9"/>
    </row>
    <row r="5873">
      <c r="A5873" s="14"/>
      <c r="B5873" s="15"/>
      <c r="C5873" s="16"/>
      <c r="J5873" s="9"/>
    </row>
    <row r="5874">
      <c r="A5874" s="14"/>
      <c r="B5874" s="15"/>
      <c r="C5874" s="16"/>
      <c r="J5874" s="9"/>
    </row>
    <row r="5875">
      <c r="A5875" s="14"/>
      <c r="B5875" s="15"/>
      <c r="C5875" s="16"/>
      <c r="J5875" s="9"/>
    </row>
    <row r="5876">
      <c r="A5876" s="14"/>
      <c r="B5876" s="15"/>
      <c r="C5876" s="16"/>
      <c r="J5876" s="9"/>
    </row>
    <row r="5877">
      <c r="A5877" s="14"/>
      <c r="B5877" s="15"/>
      <c r="C5877" s="16"/>
      <c r="J5877" s="9"/>
    </row>
    <row r="5878">
      <c r="A5878" s="14"/>
      <c r="B5878" s="15"/>
      <c r="C5878" s="16"/>
      <c r="J5878" s="9"/>
    </row>
    <row r="5879">
      <c r="A5879" s="14"/>
      <c r="B5879" s="15"/>
      <c r="C5879" s="16"/>
      <c r="J5879" s="9"/>
    </row>
    <row r="5880">
      <c r="A5880" s="14"/>
      <c r="B5880" s="15"/>
      <c r="C5880" s="16"/>
      <c r="J5880" s="9"/>
    </row>
    <row r="5881">
      <c r="A5881" s="14"/>
      <c r="B5881" s="15"/>
      <c r="C5881" s="16"/>
      <c r="J5881" s="9"/>
    </row>
    <row r="5882">
      <c r="A5882" s="14"/>
      <c r="B5882" s="15"/>
      <c r="C5882" s="16"/>
      <c r="J5882" s="9"/>
    </row>
    <row r="5883">
      <c r="A5883" s="14"/>
      <c r="B5883" s="15"/>
      <c r="C5883" s="16"/>
      <c r="J5883" s="9"/>
    </row>
    <row r="5884">
      <c r="A5884" s="14"/>
      <c r="B5884" s="15"/>
      <c r="C5884" s="16"/>
      <c r="J5884" s="9"/>
    </row>
    <row r="5885">
      <c r="A5885" s="14"/>
      <c r="B5885" s="15"/>
      <c r="C5885" s="16"/>
      <c r="J5885" s="9"/>
    </row>
    <row r="5886">
      <c r="A5886" s="14"/>
      <c r="B5886" s="15"/>
      <c r="C5886" s="16"/>
      <c r="J5886" s="9"/>
    </row>
    <row r="5887">
      <c r="A5887" s="14"/>
      <c r="B5887" s="15"/>
      <c r="C5887" s="16"/>
      <c r="J5887" s="9"/>
    </row>
    <row r="5888">
      <c r="A5888" s="14"/>
      <c r="B5888" s="15"/>
      <c r="C5888" s="16"/>
      <c r="J5888" s="9"/>
    </row>
    <row r="5889">
      <c r="A5889" s="14"/>
      <c r="B5889" s="15"/>
      <c r="C5889" s="16"/>
      <c r="J5889" s="9"/>
    </row>
    <row r="5890">
      <c r="A5890" s="14"/>
      <c r="B5890" s="15"/>
      <c r="C5890" s="16"/>
      <c r="J5890" s="9"/>
    </row>
    <row r="5891">
      <c r="A5891" s="14"/>
      <c r="B5891" s="15"/>
      <c r="C5891" s="16"/>
      <c r="J5891" s="9"/>
    </row>
    <row r="5892">
      <c r="A5892" s="14"/>
      <c r="B5892" s="15"/>
      <c r="C5892" s="16"/>
      <c r="J5892" s="9"/>
    </row>
    <row r="5893">
      <c r="A5893" s="14"/>
      <c r="B5893" s="15"/>
      <c r="C5893" s="16"/>
      <c r="J5893" s="9"/>
    </row>
    <row r="5894">
      <c r="A5894" s="14"/>
      <c r="B5894" s="15"/>
      <c r="C5894" s="16"/>
      <c r="J5894" s="9"/>
    </row>
    <row r="5895">
      <c r="A5895" s="14"/>
      <c r="B5895" s="15"/>
      <c r="C5895" s="16"/>
      <c r="J5895" s="9"/>
    </row>
    <row r="5896">
      <c r="A5896" s="14"/>
      <c r="B5896" s="15"/>
      <c r="C5896" s="16"/>
      <c r="J5896" s="9"/>
    </row>
    <row r="5897">
      <c r="A5897" s="14"/>
      <c r="B5897" s="15"/>
      <c r="C5897" s="16"/>
      <c r="J5897" s="9"/>
    </row>
    <row r="5898">
      <c r="A5898" s="14"/>
      <c r="B5898" s="15"/>
      <c r="C5898" s="16"/>
      <c r="J5898" s="9"/>
    </row>
    <row r="5899">
      <c r="A5899" s="14"/>
      <c r="B5899" s="15"/>
      <c r="C5899" s="16"/>
      <c r="J5899" s="9"/>
    </row>
    <row r="5900">
      <c r="A5900" s="14"/>
      <c r="B5900" s="15"/>
      <c r="C5900" s="16"/>
      <c r="J5900" s="9"/>
    </row>
    <row r="5901">
      <c r="A5901" s="14"/>
      <c r="B5901" s="15"/>
      <c r="C5901" s="16"/>
      <c r="J5901" s="9"/>
    </row>
    <row r="5902">
      <c r="A5902" s="14"/>
      <c r="B5902" s="15"/>
      <c r="C5902" s="16"/>
      <c r="J5902" s="9"/>
    </row>
    <row r="5903">
      <c r="A5903" s="14"/>
      <c r="B5903" s="15"/>
      <c r="C5903" s="16"/>
      <c r="J5903" s="9"/>
    </row>
    <row r="5904">
      <c r="A5904" s="14"/>
      <c r="B5904" s="15"/>
      <c r="C5904" s="16"/>
      <c r="J5904" s="9"/>
    </row>
    <row r="5905">
      <c r="A5905" s="14"/>
      <c r="B5905" s="15"/>
      <c r="C5905" s="16"/>
      <c r="J5905" s="9"/>
    </row>
    <row r="5906">
      <c r="A5906" s="14"/>
      <c r="B5906" s="15"/>
      <c r="C5906" s="16"/>
      <c r="J5906" s="9"/>
    </row>
    <row r="5907">
      <c r="A5907" s="14"/>
      <c r="B5907" s="15"/>
      <c r="C5907" s="16"/>
      <c r="J5907" s="9"/>
    </row>
    <row r="5908">
      <c r="A5908" s="14"/>
      <c r="B5908" s="15"/>
      <c r="C5908" s="16"/>
      <c r="J5908" s="9"/>
    </row>
    <row r="5909">
      <c r="A5909" s="14"/>
      <c r="B5909" s="15"/>
      <c r="C5909" s="16"/>
      <c r="J5909" s="9"/>
    </row>
    <row r="5910">
      <c r="A5910" s="14"/>
      <c r="B5910" s="15"/>
      <c r="C5910" s="16"/>
      <c r="J5910" s="9"/>
    </row>
    <row r="5911">
      <c r="A5911" s="14"/>
      <c r="B5911" s="15"/>
      <c r="C5911" s="16"/>
      <c r="J5911" s="9"/>
    </row>
    <row r="5912">
      <c r="A5912" s="14"/>
      <c r="B5912" s="15"/>
      <c r="C5912" s="16"/>
      <c r="J5912" s="9"/>
    </row>
    <row r="5913">
      <c r="A5913" s="14"/>
      <c r="B5913" s="15"/>
      <c r="C5913" s="16"/>
      <c r="J5913" s="9"/>
    </row>
    <row r="5914">
      <c r="A5914" s="14"/>
      <c r="B5914" s="15"/>
      <c r="C5914" s="16"/>
      <c r="J5914" s="9"/>
    </row>
    <row r="5915">
      <c r="A5915" s="14"/>
      <c r="B5915" s="15"/>
      <c r="C5915" s="16"/>
      <c r="J5915" s="9"/>
    </row>
    <row r="5916">
      <c r="A5916" s="14"/>
      <c r="B5916" s="15"/>
      <c r="C5916" s="16"/>
      <c r="J5916" s="9"/>
    </row>
    <row r="5917">
      <c r="A5917" s="14"/>
      <c r="B5917" s="15"/>
      <c r="C5917" s="16"/>
      <c r="J5917" s="9"/>
    </row>
    <row r="5918">
      <c r="A5918" s="14"/>
      <c r="B5918" s="15"/>
      <c r="C5918" s="16"/>
      <c r="J5918" s="9"/>
    </row>
    <row r="5919">
      <c r="A5919" s="14"/>
      <c r="B5919" s="15"/>
      <c r="C5919" s="16"/>
      <c r="J5919" s="9"/>
    </row>
    <row r="5920">
      <c r="A5920" s="14"/>
      <c r="B5920" s="15"/>
      <c r="C5920" s="16"/>
      <c r="J5920" s="9"/>
    </row>
    <row r="5921">
      <c r="A5921" s="14"/>
      <c r="B5921" s="15"/>
      <c r="C5921" s="16"/>
      <c r="J5921" s="9"/>
    </row>
    <row r="5922">
      <c r="A5922" s="14"/>
      <c r="B5922" s="15"/>
      <c r="C5922" s="16"/>
      <c r="J5922" s="9"/>
    </row>
    <row r="5923">
      <c r="A5923" s="14"/>
      <c r="B5923" s="15"/>
      <c r="C5923" s="16"/>
      <c r="J5923" s="9"/>
    </row>
    <row r="5924">
      <c r="A5924" s="14"/>
      <c r="B5924" s="15"/>
      <c r="C5924" s="16"/>
      <c r="J5924" s="9"/>
    </row>
    <row r="5925">
      <c r="A5925" s="14"/>
      <c r="B5925" s="15"/>
      <c r="C5925" s="16"/>
      <c r="J5925" s="9"/>
    </row>
    <row r="5926">
      <c r="A5926" s="14"/>
      <c r="B5926" s="15"/>
      <c r="C5926" s="16"/>
      <c r="J5926" s="9"/>
    </row>
    <row r="5927">
      <c r="A5927" s="14"/>
      <c r="B5927" s="15"/>
      <c r="C5927" s="16"/>
      <c r="J5927" s="9"/>
    </row>
    <row r="5928">
      <c r="A5928" s="14"/>
      <c r="B5928" s="15"/>
      <c r="C5928" s="16"/>
      <c r="J5928" s="9"/>
    </row>
    <row r="5929">
      <c r="A5929" s="14"/>
      <c r="B5929" s="15"/>
      <c r="C5929" s="16"/>
      <c r="J5929" s="9"/>
    </row>
    <row r="5930">
      <c r="A5930" s="14"/>
      <c r="B5930" s="15"/>
      <c r="C5930" s="16"/>
      <c r="J5930" s="9"/>
    </row>
    <row r="5931">
      <c r="A5931" s="14"/>
      <c r="B5931" s="15"/>
      <c r="C5931" s="16"/>
      <c r="J5931" s="9"/>
    </row>
    <row r="5932">
      <c r="A5932" s="14"/>
      <c r="B5932" s="15"/>
      <c r="C5932" s="16"/>
      <c r="J5932" s="9"/>
    </row>
    <row r="5933">
      <c r="A5933" s="14"/>
      <c r="B5933" s="15"/>
      <c r="C5933" s="16"/>
      <c r="J5933" s="9"/>
    </row>
    <row r="5934">
      <c r="A5934" s="14"/>
      <c r="B5934" s="15"/>
      <c r="C5934" s="16"/>
      <c r="J5934" s="9"/>
    </row>
    <row r="5935">
      <c r="A5935" s="14"/>
      <c r="B5935" s="15"/>
      <c r="C5935" s="16"/>
      <c r="J5935" s="9"/>
    </row>
    <row r="5936">
      <c r="A5936" s="14"/>
      <c r="B5936" s="15"/>
      <c r="C5936" s="16"/>
      <c r="J5936" s="9"/>
    </row>
    <row r="5937">
      <c r="A5937" s="14"/>
      <c r="B5937" s="15"/>
      <c r="C5937" s="16"/>
      <c r="J5937" s="9"/>
    </row>
    <row r="5938">
      <c r="A5938" s="14"/>
      <c r="B5938" s="15"/>
      <c r="C5938" s="16"/>
      <c r="J5938" s="9"/>
    </row>
    <row r="5939">
      <c r="A5939" s="14"/>
      <c r="B5939" s="15"/>
      <c r="C5939" s="16"/>
      <c r="J5939" s="9"/>
    </row>
    <row r="5940">
      <c r="A5940" s="14"/>
      <c r="B5940" s="15"/>
      <c r="C5940" s="16"/>
      <c r="J5940" s="9"/>
    </row>
    <row r="5941">
      <c r="A5941" s="14"/>
      <c r="B5941" s="15"/>
      <c r="C5941" s="16"/>
      <c r="J5941" s="9"/>
    </row>
    <row r="5942">
      <c r="A5942" s="14"/>
      <c r="B5942" s="15"/>
      <c r="C5942" s="16"/>
      <c r="J5942" s="9"/>
    </row>
    <row r="5943">
      <c r="A5943" s="14"/>
      <c r="B5943" s="15"/>
      <c r="C5943" s="16"/>
      <c r="J5943" s="9"/>
    </row>
    <row r="5944">
      <c r="A5944" s="14"/>
      <c r="B5944" s="15"/>
      <c r="C5944" s="16"/>
      <c r="J5944" s="9"/>
    </row>
    <row r="5945">
      <c r="A5945" s="14"/>
      <c r="B5945" s="15"/>
      <c r="C5945" s="16"/>
      <c r="J5945" s="9"/>
    </row>
    <row r="5946">
      <c r="A5946" s="14"/>
      <c r="B5946" s="15"/>
      <c r="C5946" s="16"/>
      <c r="J5946" s="9"/>
    </row>
    <row r="5947">
      <c r="A5947" s="14"/>
      <c r="B5947" s="15"/>
      <c r="C5947" s="16"/>
      <c r="J5947" s="9"/>
    </row>
    <row r="5948">
      <c r="A5948" s="14"/>
      <c r="B5948" s="15"/>
      <c r="C5948" s="16"/>
      <c r="J5948" s="9"/>
    </row>
    <row r="5949">
      <c r="A5949" s="14"/>
      <c r="B5949" s="15"/>
      <c r="C5949" s="16"/>
      <c r="J5949" s="9"/>
    </row>
    <row r="5950">
      <c r="A5950" s="14"/>
      <c r="B5950" s="15"/>
      <c r="C5950" s="16"/>
      <c r="J5950" s="9"/>
    </row>
    <row r="5951">
      <c r="A5951" s="14"/>
      <c r="B5951" s="15"/>
      <c r="C5951" s="16"/>
      <c r="J5951" s="9"/>
    </row>
    <row r="5952">
      <c r="A5952" s="14"/>
      <c r="B5952" s="15"/>
      <c r="C5952" s="16"/>
      <c r="J5952" s="9"/>
    </row>
    <row r="5953">
      <c r="A5953" s="14"/>
      <c r="B5953" s="15"/>
      <c r="C5953" s="16"/>
      <c r="J5953" s="9"/>
    </row>
    <row r="5954">
      <c r="A5954" s="14"/>
      <c r="B5954" s="15"/>
      <c r="C5954" s="16"/>
      <c r="J5954" s="9"/>
    </row>
    <row r="5955">
      <c r="A5955" s="14"/>
      <c r="B5955" s="15"/>
      <c r="C5955" s="16"/>
      <c r="J5955" s="9"/>
    </row>
    <row r="5956">
      <c r="A5956" s="14"/>
      <c r="B5956" s="15"/>
      <c r="C5956" s="16"/>
      <c r="J5956" s="9"/>
    </row>
    <row r="5957">
      <c r="A5957" s="14"/>
      <c r="B5957" s="15"/>
      <c r="C5957" s="16"/>
      <c r="J5957" s="9"/>
    </row>
    <row r="5958">
      <c r="A5958" s="14"/>
      <c r="B5958" s="15"/>
      <c r="C5958" s="16"/>
      <c r="J5958" s="9"/>
    </row>
    <row r="5959">
      <c r="A5959" s="14"/>
      <c r="B5959" s="15"/>
      <c r="C5959" s="16"/>
      <c r="J5959" s="9"/>
    </row>
    <row r="5960">
      <c r="A5960" s="14"/>
      <c r="B5960" s="15"/>
      <c r="C5960" s="16"/>
      <c r="J5960" s="9"/>
    </row>
    <row r="5961">
      <c r="A5961" s="14"/>
      <c r="B5961" s="15"/>
      <c r="C5961" s="16"/>
      <c r="J5961" s="9"/>
    </row>
    <row r="5962">
      <c r="A5962" s="14"/>
      <c r="B5962" s="15"/>
      <c r="C5962" s="16"/>
      <c r="J5962" s="9"/>
    </row>
    <row r="5963">
      <c r="A5963" s="14"/>
      <c r="B5963" s="15"/>
      <c r="C5963" s="16"/>
      <c r="J5963" s="9"/>
    </row>
    <row r="5964">
      <c r="A5964" s="14"/>
      <c r="B5964" s="15"/>
      <c r="C5964" s="16"/>
      <c r="J5964" s="9"/>
    </row>
    <row r="5965">
      <c r="A5965" s="14"/>
      <c r="B5965" s="15"/>
      <c r="C5965" s="16"/>
      <c r="J5965" s="9"/>
    </row>
    <row r="5966">
      <c r="A5966" s="14"/>
      <c r="B5966" s="15"/>
      <c r="C5966" s="16"/>
      <c r="J5966" s="9"/>
    </row>
    <row r="5967">
      <c r="A5967" s="14"/>
      <c r="B5967" s="15"/>
      <c r="C5967" s="16"/>
      <c r="J5967" s="9"/>
    </row>
    <row r="5968">
      <c r="A5968" s="14"/>
      <c r="B5968" s="15"/>
      <c r="C5968" s="16"/>
      <c r="J5968" s="9"/>
    </row>
    <row r="5969">
      <c r="A5969" s="14"/>
      <c r="B5969" s="15"/>
      <c r="C5969" s="16"/>
      <c r="J5969" s="9"/>
    </row>
    <row r="5970">
      <c r="A5970" s="14"/>
      <c r="B5970" s="15"/>
      <c r="C5970" s="16"/>
      <c r="J5970" s="9"/>
    </row>
    <row r="5971">
      <c r="A5971" s="14"/>
      <c r="B5971" s="15"/>
      <c r="C5971" s="16"/>
      <c r="J5971" s="9"/>
    </row>
    <row r="5972">
      <c r="A5972" s="14"/>
      <c r="B5972" s="15"/>
      <c r="C5972" s="16"/>
      <c r="J5972" s="9"/>
    </row>
    <row r="5973">
      <c r="A5973" s="14"/>
      <c r="B5973" s="15"/>
      <c r="C5973" s="16"/>
      <c r="J5973" s="9"/>
    </row>
    <row r="5974">
      <c r="A5974" s="14"/>
      <c r="B5974" s="15"/>
      <c r="C5974" s="16"/>
      <c r="J5974" s="9"/>
    </row>
    <row r="5975">
      <c r="A5975" s="14"/>
      <c r="B5975" s="15"/>
      <c r="C5975" s="16"/>
      <c r="J5975" s="9"/>
    </row>
    <row r="5976">
      <c r="A5976" s="14"/>
      <c r="B5976" s="15"/>
      <c r="C5976" s="16"/>
      <c r="J5976" s="9"/>
    </row>
    <row r="5977">
      <c r="A5977" s="14"/>
      <c r="B5977" s="15"/>
      <c r="C5977" s="16"/>
      <c r="J5977" s="9"/>
    </row>
    <row r="5978">
      <c r="A5978" s="14"/>
      <c r="B5978" s="15"/>
      <c r="C5978" s="16"/>
      <c r="J5978" s="9"/>
    </row>
    <row r="5979">
      <c r="A5979" s="14"/>
      <c r="B5979" s="15"/>
      <c r="C5979" s="16"/>
      <c r="J5979" s="9"/>
    </row>
    <row r="5980">
      <c r="A5980" s="14"/>
      <c r="B5980" s="15"/>
      <c r="C5980" s="16"/>
      <c r="J5980" s="9"/>
    </row>
    <row r="5981">
      <c r="A5981" s="14"/>
      <c r="B5981" s="15"/>
      <c r="C5981" s="16"/>
      <c r="J5981" s="9"/>
    </row>
    <row r="5982">
      <c r="A5982" s="14"/>
      <c r="B5982" s="15"/>
      <c r="C5982" s="16"/>
      <c r="J5982" s="9"/>
    </row>
    <row r="5983">
      <c r="A5983" s="14"/>
      <c r="B5983" s="15"/>
      <c r="C5983" s="16"/>
      <c r="J5983" s="9"/>
    </row>
    <row r="5984">
      <c r="A5984" s="14"/>
      <c r="B5984" s="15"/>
      <c r="C5984" s="16"/>
      <c r="J5984" s="9"/>
    </row>
    <row r="5985">
      <c r="A5985" s="14"/>
      <c r="B5985" s="15"/>
      <c r="C5985" s="16"/>
      <c r="J5985" s="9"/>
    </row>
    <row r="5986">
      <c r="A5986" s="14"/>
      <c r="B5986" s="15"/>
      <c r="C5986" s="16"/>
      <c r="J5986" s="9"/>
    </row>
    <row r="5987">
      <c r="A5987" s="14"/>
      <c r="B5987" s="15"/>
      <c r="C5987" s="16"/>
      <c r="J5987" s="9"/>
    </row>
    <row r="5988">
      <c r="A5988" s="14"/>
      <c r="B5988" s="15"/>
      <c r="C5988" s="16"/>
      <c r="J5988" s="9"/>
    </row>
    <row r="5989">
      <c r="A5989" s="14"/>
      <c r="B5989" s="15"/>
      <c r="C5989" s="16"/>
      <c r="J5989" s="9"/>
    </row>
    <row r="5990">
      <c r="A5990" s="14"/>
      <c r="B5990" s="15"/>
      <c r="C5990" s="16"/>
      <c r="J5990" s="9"/>
    </row>
    <row r="5991">
      <c r="A5991" s="14"/>
      <c r="B5991" s="15"/>
      <c r="C5991" s="16"/>
      <c r="J5991" s="9"/>
    </row>
    <row r="5992">
      <c r="A5992" s="14"/>
      <c r="B5992" s="15"/>
      <c r="C5992" s="16"/>
      <c r="J5992" s="9"/>
    </row>
    <row r="5993">
      <c r="A5993" s="14"/>
      <c r="B5993" s="15"/>
      <c r="C5993" s="16"/>
      <c r="J5993" s="9"/>
    </row>
    <row r="5994">
      <c r="A5994" s="14"/>
      <c r="B5994" s="15"/>
      <c r="C5994" s="16"/>
      <c r="J5994" s="9"/>
    </row>
    <row r="5995">
      <c r="A5995" s="14"/>
      <c r="B5995" s="15"/>
      <c r="C5995" s="16"/>
      <c r="J5995" s="9"/>
    </row>
    <row r="5996">
      <c r="A5996" s="14"/>
      <c r="B5996" s="15"/>
      <c r="C5996" s="16"/>
      <c r="J5996" s="9"/>
    </row>
    <row r="5997">
      <c r="A5997" s="14"/>
      <c r="B5997" s="15"/>
      <c r="C5997" s="16"/>
      <c r="J5997" s="9"/>
    </row>
    <row r="5998">
      <c r="A5998" s="14"/>
      <c r="B5998" s="15"/>
      <c r="C5998" s="16"/>
      <c r="J5998" s="9"/>
    </row>
    <row r="5999">
      <c r="A5999" s="14"/>
      <c r="B5999" s="15"/>
      <c r="C5999" s="16"/>
      <c r="J5999" s="9"/>
    </row>
    <row r="6000">
      <c r="A6000" s="14"/>
      <c r="B6000" s="15"/>
      <c r="C6000" s="16"/>
      <c r="J6000" s="9"/>
    </row>
    <row r="6001">
      <c r="A6001" s="14"/>
      <c r="B6001" s="15"/>
      <c r="C6001" s="16"/>
      <c r="J6001" s="9"/>
    </row>
    <row r="6002">
      <c r="A6002" s="14"/>
      <c r="B6002" s="15"/>
      <c r="C6002" s="16"/>
      <c r="J6002" s="9"/>
    </row>
    <row r="6003">
      <c r="A6003" s="14"/>
      <c r="B6003" s="15"/>
      <c r="C6003" s="16"/>
      <c r="J6003" s="9"/>
    </row>
    <row r="6004">
      <c r="A6004" s="14"/>
      <c r="B6004" s="15"/>
      <c r="C6004" s="16"/>
      <c r="J6004" s="9"/>
    </row>
    <row r="6005">
      <c r="A6005" s="14"/>
      <c r="B6005" s="15"/>
      <c r="C6005" s="16"/>
      <c r="J6005" s="9"/>
    </row>
    <row r="6006">
      <c r="A6006" s="14"/>
      <c r="B6006" s="15"/>
      <c r="C6006" s="16"/>
      <c r="J6006" s="9"/>
    </row>
    <row r="6007">
      <c r="A6007" s="14"/>
      <c r="B6007" s="15"/>
      <c r="C6007" s="16"/>
      <c r="J6007" s="9"/>
    </row>
    <row r="6008">
      <c r="A6008" s="14"/>
      <c r="B6008" s="15"/>
      <c r="C6008" s="16"/>
      <c r="J6008" s="9"/>
    </row>
    <row r="6009">
      <c r="A6009" s="14"/>
      <c r="B6009" s="15"/>
      <c r="C6009" s="16"/>
      <c r="J6009" s="9"/>
    </row>
    <row r="6010">
      <c r="A6010" s="14"/>
      <c r="B6010" s="15"/>
      <c r="C6010" s="16"/>
      <c r="J6010" s="9"/>
    </row>
    <row r="6011">
      <c r="A6011" s="14"/>
      <c r="B6011" s="15"/>
      <c r="C6011" s="16"/>
      <c r="J6011" s="9"/>
    </row>
    <row r="6012">
      <c r="A6012" s="14"/>
      <c r="B6012" s="15"/>
      <c r="C6012" s="16"/>
      <c r="J6012" s="9"/>
    </row>
    <row r="6013">
      <c r="A6013" s="14"/>
      <c r="B6013" s="15"/>
      <c r="C6013" s="16"/>
      <c r="J6013" s="9"/>
    </row>
    <row r="6014">
      <c r="A6014" s="14"/>
      <c r="B6014" s="15"/>
      <c r="C6014" s="16"/>
      <c r="J6014" s="9"/>
    </row>
    <row r="6015">
      <c r="A6015" s="14"/>
      <c r="B6015" s="15"/>
      <c r="C6015" s="16"/>
      <c r="J6015" s="9"/>
    </row>
    <row r="6016">
      <c r="A6016" s="14"/>
      <c r="B6016" s="15"/>
      <c r="C6016" s="16"/>
      <c r="J6016" s="9"/>
    </row>
    <row r="6017">
      <c r="A6017" s="14"/>
      <c r="B6017" s="15"/>
      <c r="C6017" s="16"/>
      <c r="J6017" s="9"/>
    </row>
    <row r="6018">
      <c r="A6018" s="14"/>
      <c r="B6018" s="15"/>
      <c r="C6018" s="16"/>
      <c r="J6018" s="9"/>
    </row>
    <row r="6019">
      <c r="A6019" s="14"/>
      <c r="B6019" s="15"/>
      <c r="C6019" s="16"/>
      <c r="J6019" s="9"/>
    </row>
    <row r="6020">
      <c r="A6020" s="14"/>
      <c r="B6020" s="15"/>
      <c r="C6020" s="16"/>
      <c r="J6020" s="9"/>
    </row>
    <row r="6021">
      <c r="A6021" s="14"/>
      <c r="B6021" s="15"/>
      <c r="C6021" s="16"/>
      <c r="J6021" s="9"/>
    </row>
    <row r="6022">
      <c r="A6022" s="14"/>
      <c r="B6022" s="15"/>
      <c r="C6022" s="16"/>
      <c r="J6022" s="9"/>
    </row>
    <row r="6023">
      <c r="A6023" s="14"/>
      <c r="B6023" s="15"/>
      <c r="C6023" s="16"/>
      <c r="J6023" s="9"/>
    </row>
    <row r="6024">
      <c r="A6024" s="14"/>
      <c r="B6024" s="15"/>
      <c r="C6024" s="16"/>
      <c r="J6024" s="9"/>
    </row>
    <row r="6025">
      <c r="A6025" s="14"/>
      <c r="B6025" s="15"/>
      <c r="C6025" s="16"/>
      <c r="J6025" s="9"/>
    </row>
    <row r="6026">
      <c r="A6026" s="14"/>
      <c r="B6026" s="15"/>
      <c r="C6026" s="16"/>
      <c r="J6026" s="9"/>
    </row>
    <row r="6027">
      <c r="A6027" s="14"/>
      <c r="B6027" s="15"/>
      <c r="C6027" s="16"/>
      <c r="J6027" s="9"/>
    </row>
    <row r="6028">
      <c r="A6028" s="14"/>
      <c r="B6028" s="15"/>
      <c r="C6028" s="16"/>
      <c r="J6028" s="9"/>
    </row>
    <row r="6029">
      <c r="A6029" s="14"/>
      <c r="B6029" s="15"/>
      <c r="C6029" s="16"/>
      <c r="J6029" s="9"/>
    </row>
    <row r="6030">
      <c r="A6030" s="14"/>
      <c r="B6030" s="15"/>
      <c r="C6030" s="16"/>
      <c r="J6030" s="9"/>
    </row>
    <row r="6031">
      <c r="A6031" s="14"/>
      <c r="B6031" s="15"/>
      <c r="C6031" s="16"/>
      <c r="J6031" s="9"/>
    </row>
    <row r="6032">
      <c r="A6032" s="14"/>
      <c r="B6032" s="15"/>
      <c r="C6032" s="16"/>
      <c r="J6032" s="9"/>
    </row>
    <row r="6033">
      <c r="A6033" s="14"/>
      <c r="B6033" s="15"/>
      <c r="C6033" s="16"/>
      <c r="J6033" s="9"/>
    </row>
    <row r="6034">
      <c r="A6034" s="14"/>
      <c r="B6034" s="15"/>
      <c r="C6034" s="16"/>
      <c r="J6034" s="9"/>
    </row>
    <row r="6035">
      <c r="A6035" s="14"/>
      <c r="B6035" s="15"/>
      <c r="C6035" s="16"/>
      <c r="J6035" s="9"/>
    </row>
    <row r="6036">
      <c r="A6036" s="14"/>
      <c r="B6036" s="15"/>
      <c r="C6036" s="16"/>
      <c r="J6036" s="9"/>
    </row>
    <row r="6037">
      <c r="A6037" s="14"/>
      <c r="B6037" s="15"/>
      <c r="C6037" s="16"/>
      <c r="J6037" s="9"/>
    </row>
    <row r="6038">
      <c r="A6038" s="14"/>
      <c r="B6038" s="15"/>
      <c r="C6038" s="16"/>
      <c r="J6038" s="9"/>
    </row>
    <row r="6039">
      <c r="A6039" s="14"/>
      <c r="B6039" s="15"/>
      <c r="C6039" s="16"/>
      <c r="J6039" s="9"/>
    </row>
    <row r="6040">
      <c r="A6040" s="14"/>
      <c r="B6040" s="15"/>
      <c r="C6040" s="16"/>
      <c r="J6040" s="9"/>
    </row>
    <row r="6041">
      <c r="A6041" s="14"/>
      <c r="B6041" s="15"/>
      <c r="C6041" s="16"/>
      <c r="J6041" s="9"/>
    </row>
    <row r="6042">
      <c r="A6042" s="14"/>
      <c r="B6042" s="15"/>
      <c r="C6042" s="16"/>
      <c r="J6042" s="9"/>
    </row>
    <row r="6043">
      <c r="A6043" s="14"/>
      <c r="B6043" s="15"/>
      <c r="C6043" s="16"/>
      <c r="J6043" s="9"/>
    </row>
    <row r="6044">
      <c r="A6044" s="14"/>
      <c r="B6044" s="15"/>
      <c r="C6044" s="16"/>
      <c r="J6044" s="9"/>
    </row>
    <row r="6045">
      <c r="A6045" s="14"/>
      <c r="B6045" s="15"/>
      <c r="C6045" s="16"/>
      <c r="J6045" s="9"/>
    </row>
    <row r="6046">
      <c r="A6046" s="14"/>
      <c r="B6046" s="15"/>
      <c r="C6046" s="16"/>
      <c r="J6046" s="9"/>
    </row>
    <row r="6047">
      <c r="A6047" s="14"/>
      <c r="B6047" s="15"/>
      <c r="C6047" s="16"/>
      <c r="J6047" s="9"/>
    </row>
    <row r="6048">
      <c r="A6048" s="14"/>
      <c r="B6048" s="15"/>
      <c r="C6048" s="16"/>
      <c r="J6048" s="9"/>
    </row>
    <row r="6049">
      <c r="A6049" s="14"/>
      <c r="B6049" s="15"/>
      <c r="C6049" s="16"/>
      <c r="J6049" s="9"/>
    </row>
    <row r="6050">
      <c r="A6050" s="14"/>
      <c r="B6050" s="15"/>
      <c r="C6050" s="16"/>
      <c r="J6050" s="9"/>
    </row>
    <row r="6051">
      <c r="A6051" s="14"/>
      <c r="B6051" s="15"/>
      <c r="C6051" s="16"/>
      <c r="J6051" s="9"/>
    </row>
    <row r="6052">
      <c r="A6052" s="14"/>
      <c r="B6052" s="15"/>
      <c r="C6052" s="16"/>
      <c r="J6052" s="9"/>
    </row>
    <row r="6053">
      <c r="A6053" s="14"/>
      <c r="B6053" s="15"/>
      <c r="C6053" s="16"/>
      <c r="J6053" s="9"/>
    </row>
    <row r="6054">
      <c r="A6054" s="14"/>
      <c r="B6054" s="15"/>
      <c r="C6054" s="16"/>
      <c r="J6054" s="9"/>
    </row>
    <row r="6055">
      <c r="A6055" s="14"/>
      <c r="B6055" s="15"/>
      <c r="C6055" s="16"/>
      <c r="J6055" s="9"/>
    </row>
    <row r="6056">
      <c r="A6056" s="14"/>
      <c r="B6056" s="15"/>
      <c r="C6056" s="16"/>
      <c r="J6056" s="9"/>
    </row>
    <row r="6057">
      <c r="A6057" s="14"/>
      <c r="B6057" s="15"/>
      <c r="C6057" s="16"/>
      <c r="J6057" s="9"/>
    </row>
    <row r="6058">
      <c r="A6058" s="14"/>
      <c r="B6058" s="15"/>
      <c r="C6058" s="16"/>
      <c r="J6058" s="9"/>
    </row>
    <row r="6059">
      <c r="A6059" s="14"/>
      <c r="B6059" s="15"/>
      <c r="C6059" s="16"/>
      <c r="J6059" s="9"/>
    </row>
    <row r="6060">
      <c r="A6060" s="14"/>
      <c r="B6060" s="15"/>
      <c r="C6060" s="16"/>
      <c r="J6060" s="9"/>
    </row>
    <row r="6061">
      <c r="A6061" s="14"/>
      <c r="B6061" s="15"/>
      <c r="C6061" s="16"/>
      <c r="J6061" s="9"/>
    </row>
    <row r="6062">
      <c r="A6062" s="14"/>
      <c r="B6062" s="15"/>
      <c r="C6062" s="16"/>
      <c r="J6062" s="9"/>
    </row>
    <row r="6063">
      <c r="A6063" s="14"/>
      <c r="B6063" s="15"/>
      <c r="C6063" s="16"/>
      <c r="J6063" s="9"/>
    </row>
    <row r="6064">
      <c r="A6064" s="14"/>
      <c r="B6064" s="15"/>
      <c r="C6064" s="16"/>
      <c r="J6064" s="9"/>
    </row>
    <row r="6065">
      <c r="A6065" s="14"/>
      <c r="B6065" s="15"/>
      <c r="C6065" s="16"/>
      <c r="J6065" s="9"/>
    </row>
    <row r="6066">
      <c r="A6066" s="14"/>
      <c r="B6066" s="15"/>
      <c r="C6066" s="16"/>
      <c r="J6066" s="9"/>
    </row>
    <row r="6067">
      <c r="A6067" s="14"/>
      <c r="B6067" s="15"/>
      <c r="C6067" s="16"/>
      <c r="J6067" s="9"/>
    </row>
    <row r="6068">
      <c r="A6068" s="14"/>
      <c r="B6068" s="15"/>
      <c r="C6068" s="16"/>
      <c r="J6068" s="9"/>
    </row>
    <row r="6069">
      <c r="A6069" s="14"/>
      <c r="B6069" s="15"/>
      <c r="C6069" s="16"/>
      <c r="J6069" s="9"/>
    </row>
    <row r="6070">
      <c r="A6070" s="14"/>
      <c r="B6070" s="15"/>
      <c r="C6070" s="16"/>
      <c r="J6070" s="9"/>
    </row>
    <row r="6071">
      <c r="A6071" s="14"/>
      <c r="B6071" s="15"/>
      <c r="C6071" s="16"/>
      <c r="J6071" s="9"/>
    </row>
    <row r="6072">
      <c r="A6072" s="14"/>
      <c r="B6072" s="15"/>
      <c r="C6072" s="16"/>
      <c r="J6072" s="9"/>
    </row>
    <row r="6073">
      <c r="A6073" s="14"/>
      <c r="B6073" s="15"/>
      <c r="C6073" s="16"/>
      <c r="J6073" s="9"/>
    </row>
    <row r="6074">
      <c r="A6074" s="14"/>
      <c r="B6074" s="15"/>
      <c r="C6074" s="16"/>
      <c r="J6074" s="9"/>
    </row>
    <row r="6075">
      <c r="A6075" s="14"/>
      <c r="B6075" s="15"/>
      <c r="C6075" s="16"/>
      <c r="J6075" s="9"/>
    </row>
    <row r="6076">
      <c r="A6076" s="14"/>
      <c r="B6076" s="15"/>
      <c r="C6076" s="16"/>
      <c r="J6076" s="9"/>
    </row>
    <row r="6077">
      <c r="A6077" s="14"/>
      <c r="B6077" s="15"/>
      <c r="C6077" s="16"/>
      <c r="J6077" s="9"/>
    </row>
    <row r="6078">
      <c r="A6078" s="14"/>
      <c r="B6078" s="15"/>
      <c r="C6078" s="16"/>
      <c r="J6078" s="9"/>
    </row>
    <row r="6079">
      <c r="A6079" s="14"/>
      <c r="B6079" s="15"/>
      <c r="C6079" s="16"/>
      <c r="J6079" s="9"/>
    </row>
    <row r="6080">
      <c r="A6080" s="14"/>
      <c r="B6080" s="15"/>
      <c r="C6080" s="16"/>
      <c r="J6080" s="9"/>
    </row>
    <row r="6081">
      <c r="A6081" s="14"/>
      <c r="B6081" s="15"/>
      <c r="C6081" s="16"/>
      <c r="J6081" s="9"/>
    </row>
    <row r="6082">
      <c r="A6082" s="14"/>
      <c r="B6082" s="15"/>
      <c r="C6082" s="16"/>
      <c r="J6082" s="9"/>
    </row>
    <row r="6083">
      <c r="A6083" s="14"/>
      <c r="B6083" s="15"/>
      <c r="C6083" s="16"/>
      <c r="J6083" s="9"/>
    </row>
    <row r="6084">
      <c r="A6084" s="14"/>
      <c r="B6084" s="15"/>
      <c r="C6084" s="16"/>
      <c r="J6084" s="9"/>
    </row>
    <row r="6085">
      <c r="A6085" s="14"/>
      <c r="B6085" s="15"/>
      <c r="C6085" s="16"/>
      <c r="J6085" s="9"/>
    </row>
    <row r="6086">
      <c r="A6086" s="14"/>
      <c r="B6086" s="15"/>
      <c r="C6086" s="16"/>
      <c r="J6086" s="9"/>
    </row>
    <row r="6087">
      <c r="A6087" s="14"/>
      <c r="B6087" s="15"/>
      <c r="C6087" s="16"/>
      <c r="J6087" s="9"/>
    </row>
    <row r="6088">
      <c r="A6088" s="14"/>
      <c r="B6088" s="15"/>
      <c r="C6088" s="16"/>
      <c r="J6088" s="9"/>
    </row>
    <row r="6089">
      <c r="A6089" s="14"/>
      <c r="B6089" s="15"/>
      <c r="C6089" s="16"/>
      <c r="J6089" s="9"/>
    </row>
    <row r="6090">
      <c r="A6090" s="14"/>
      <c r="B6090" s="15"/>
      <c r="C6090" s="16"/>
      <c r="J6090" s="9"/>
    </row>
    <row r="6091">
      <c r="A6091" s="14"/>
      <c r="B6091" s="15"/>
      <c r="C6091" s="16"/>
      <c r="J6091" s="9"/>
    </row>
    <row r="6092">
      <c r="A6092" s="14"/>
      <c r="B6092" s="15"/>
      <c r="C6092" s="16"/>
      <c r="J6092" s="9"/>
    </row>
    <row r="6093">
      <c r="A6093" s="14"/>
      <c r="B6093" s="15"/>
      <c r="C6093" s="16"/>
      <c r="J6093" s="9"/>
    </row>
    <row r="6094">
      <c r="A6094" s="14"/>
      <c r="B6094" s="15"/>
      <c r="C6094" s="16"/>
      <c r="J6094" s="9"/>
    </row>
    <row r="6095">
      <c r="A6095" s="14"/>
      <c r="B6095" s="15"/>
      <c r="C6095" s="16"/>
      <c r="J6095" s="9"/>
    </row>
    <row r="6096">
      <c r="A6096" s="14"/>
      <c r="B6096" s="15"/>
      <c r="C6096" s="16"/>
      <c r="J6096" s="9"/>
    </row>
    <row r="6097">
      <c r="A6097" s="14"/>
      <c r="B6097" s="15"/>
      <c r="C6097" s="16"/>
      <c r="J6097" s="9"/>
    </row>
    <row r="6098">
      <c r="A6098" s="14"/>
      <c r="B6098" s="15"/>
      <c r="C6098" s="16"/>
      <c r="J6098" s="9"/>
    </row>
    <row r="6099">
      <c r="A6099" s="14"/>
      <c r="B6099" s="15"/>
      <c r="C6099" s="16"/>
      <c r="J6099" s="9"/>
    </row>
    <row r="6100">
      <c r="A6100" s="14"/>
      <c r="B6100" s="15"/>
      <c r="C6100" s="16"/>
      <c r="J6100" s="9"/>
    </row>
    <row r="6101">
      <c r="A6101" s="14"/>
      <c r="B6101" s="15"/>
      <c r="C6101" s="16"/>
      <c r="J6101" s="9"/>
    </row>
    <row r="6102">
      <c r="A6102" s="14"/>
      <c r="B6102" s="15"/>
      <c r="C6102" s="16"/>
      <c r="J6102" s="9"/>
    </row>
    <row r="6103">
      <c r="A6103" s="14"/>
      <c r="B6103" s="15"/>
      <c r="C6103" s="16"/>
      <c r="J6103" s="9"/>
    </row>
    <row r="6104">
      <c r="A6104" s="14"/>
      <c r="B6104" s="15"/>
      <c r="C6104" s="16"/>
      <c r="J6104" s="9"/>
    </row>
    <row r="6105">
      <c r="A6105" s="14"/>
      <c r="B6105" s="15"/>
      <c r="C6105" s="16"/>
      <c r="J6105" s="9"/>
    </row>
    <row r="6106">
      <c r="A6106" s="14"/>
      <c r="B6106" s="15"/>
      <c r="C6106" s="16"/>
      <c r="J6106" s="9"/>
    </row>
    <row r="6107">
      <c r="A6107" s="14"/>
      <c r="B6107" s="15"/>
      <c r="C6107" s="16"/>
      <c r="J6107" s="9"/>
    </row>
    <row r="6108">
      <c r="A6108" s="14"/>
      <c r="B6108" s="15"/>
      <c r="C6108" s="16"/>
      <c r="J6108" s="9"/>
    </row>
    <row r="6109">
      <c r="A6109" s="14"/>
      <c r="B6109" s="15"/>
      <c r="C6109" s="16"/>
      <c r="J6109" s="9"/>
    </row>
    <row r="6110">
      <c r="A6110" s="14"/>
      <c r="B6110" s="15"/>
      <c r="C6110" s="16"/>
      <c r="J6110" s="9"/>
    </row>
    <row r="6111">
      <c r="A6111" s="14"/>
      <c r="B6111" s="15"/>
      <c r="C6111" s="16"/>
      <c r="J6111" s="9"/>
    </row>
    <row r="6112">
      <c r="A6112" s="14"/>
      <c r="B6112" s="15"/>
      <c r="C6112" s="16"/>
      <c r="J6112" s="9"/>
    </row>
    <row r="6113">
      <c r="A6113" s="14"/>
      <c r="B6113" s="15"/>
      <c r="C6113" s="16"/>
      <c r="J6113" s="9"/>
    </row>
    <row r="6114">
      <c r="A6114" s="14"/>
      <c r="B6114" s="15"/>
      <c r="C6114" s="16"/>
      <c r="J6114" s="9"/>
    </row>
    <row r="6115">
      <c r="A6115" s="14"/>
      <c r="B6115" s="15"/>
      <c r="C6115" s="16"/>
      <c r="J6115" s="9"/>
    </row>
    <row r="6116">
      <c r="A6116" s="14"/>
      <c r="B6116" s="15"/>
      <c r="C6116" s="16"/>
      <c r="J6116" s="9"/>
    </row>
    <row r="6117">
      <c r="A6117" s="14"/>
      <c r="B6117" s="15"/>
      <c r="C6117" s="16"/>
      <c r="J6117" s="9"/>
    </row>
    <row r="6118">
      <c r="A6118" s="14"/>
      <c r="B6118" s="15"/>
      <c r="C6118" s="16"/>
      <c r="J6118" s="9"/>
    </row>
    <row r="6119">
      <c r="A6119" s="14"/>
      <c r="B6119" s="15"/>
      <c r="C6119" s="16"/>
      <c r="J6119" s="9"/>
    </row>
    <row r="6120">
      <c r="A6120" s="14"/>
      <c r="B6120" s="15"/>
      <c r="C6120" s="16"/>
      <c r="J6120" s="9"/>
    </row>
    <row r="6121">
      <c r="A6121" s="14"/>
      <c r="B6121" s="15"/>
      <c r="C6121" s="16"/>
      <c r="J6121" s="9"/>
    </row>
    <row r="6122">
      <c r="A6122" s="14"/>
      <c r="B6122" s="15"/>
      <c r="C6122" s="16"/>
      <c r="J6122" s="9"/>
    </row>
    <row r="6123">
      <c r="A6123" s="14"/>
      <c r="B6123" s="15"/>
      <c r="C6123" s="16"/>
      <c r="J6123" s="9"/>
    </row>
    <row r="6124">
      <c r="A6124" s="14"/>
      <c r="B6124" s="15"/>
      <c r="C6124" s="16"/>
      <c r="J6124" s="9"/>
    </row>
    <row r="6125">
      <c r="A6125" s="14"/>
      <c r="B6125" s="15"/>
      <c r="C6125" s="16"/>
      <c r="J6125" s="9"/>
    </row>
    <row r="6126">
      <c r="A6126" s="14"/>
      <c r="B6126" s="15"/>
      <c r="C6126" s="16"/>
      <c r="J6126" s="9"/>
    </row>
    <row r="6127">
      <c r="A6127" s="14"/>
      <c r="B6127" s="15"/>
      <c r="C6127" s="16"/>
      <c r="J6127" s="9"/>
    </row>
    <row r="6128">
      <c r="A6128" s="14"/>
      <c r="B6128" s="15"/>
      <c r="C6128" s="16"/>
      <c r="J6128" s="9"/>
    </row>
    <row r="6129">
      <c r="A6129" s="14"/>
      <c r="B6129" s="15"/>
      <c r="C6129" s="16"/>
      <c r="J6129" s="9"/>
    </row>
    <row r="6130">
      <c r="A6130" s="14"/>
      <c r="B6130" s="15"/>
      <c r="C6130" s="16"/>
      <c r="J6130" s="9"/>
    </row>
    <row r="6131">
      <c r="A6131" s="14"/>
      <c r="B6131" s="15"/>
      <c r="C6131" s="16"/>
      <c r="J6131" s="9"/>
    </row>
    <row r="6132">
      <c r="A6132" s="14"/>
      <c r="B6132" s="15"/>
      <c r="C6132" s="16"/>
      <c r="J6132" s="9"/>
    </row>
    <row r="6133">
      <c r="A6133" s="14"/>
      <c r="B6133" s="15"/>
      <c r="C6133" s="16"/>
      <c r="J6133" s="9"/>
    </row>
    <row r="6134">
      <c r="A6134" s="14"/>
      <c r="B6134" s="15"/>
      <c r="C6134" s="16"/>
      <c r="J6134" s="9"/>
    </row>
    <row r="6135">
      <c r="A6135" s="14"/>
      <c r="B6135" s="15"/>
      <c r="C6135" s="16"/>
      <c r="J6135" s="9"/>
    </row>
    <row r="6136">
      <c r="A6136" s="14"/>
      <c r="B6136" s="15"/>
      <c r="C6136" s="16"/>
      <c r="J6136" s="9"/>
    </row>
    <row r="6137">
      <c r="A6137" s="14"/>
      <c r="B6137" s="15"/>
      <c r="C6137" s="16"/>
      <c r="J6137" s="9"/>
    </row>
    <row r="6138">
      <c r="A6138" s="14"/>
      <c r="B6138" s="15"/>
      <c r="C6138" s="16"/>
      <c r="J6138" s="9"/>
    </row>
    <row r="6139">
      <c r="A6139" s="14"/>
      <c r="B6139" s="15"/>
      <c r="C6139" s="16"/>
      <c r="J6139" s="9"/>
    </row>
    <row r="6140">
      <c r="A6140" s="14"/>
      <c r="B6140" s="15"/>
      <c r="C6140" s="16"/>
      <c r="J6140" s="9"/>
    </row>
    <row r="6141">
      <c r="A6141" s="14"/>
      <c r="B6141" s="15"/>
      <c r="C6141" s="16"/>
      <c r="J6141" s="9"/>
    </row>
    <row r="6142">
      <c r="A6142" s="14"/>
      <c r="B6142" s="15"/>
      <c r="C6142" s="16"/>
      <c r="J6142" s="9"/>
    </row>
    <row r="6143">
      <c r="A6143" s="14"/>
      <c r="B6143" s="15"/>
      <c r="C6143" s="16"/>
      <c r="J6143" s="9"/>
    </row>
    <row r="6144">
      <c r="A6144" s="14"/>
      <c r="B6144" s="15"/>
      <c r="C6144" s="16"/>
      <c r="J6144" s="9"/>
    </row>
    <row r="6145">
      <c r="A6145" s="14"/>
      <c r="B6145" s="15"/>
      <c r="C6145" s="16"/>
      <c r="J6145" s="9"/>
    </row>
    <row r="6146">
      <c r="A6146" s="14"/>
      <c r="B6146" s="15"/>
      <c r="C6146" s="16"/>
      <c r="J6146" s="9"/>
    </row>
    <row r="6147">
      <c r="A6147" s="14"/>
      <c r="B6147" s="15"/>
      <c r="C6147" s="16"/>
      <c r="J6147" s="9"/>
    </row>
    <row r="6148">
      <c r="A6148" s="14"/>
      <c r="B6148" s="15"/>
      <c r="C6148" s="16"/>
      <c r="J6148" s="9"/>
    </row>
    <row r="6149">
      <c r="A6149" s="14"/>
      <c r="B6149" s="15"/>
      <c r="C6149" s="16"/>
      <c r="J6149" s="9"/>
    </row>
    <row r="6150">
      <c r="A6150" s="14"/>
      <c r="B6150" s="15"/>
      <c r="C6150" s="16"/>
      <c r="J6150" s="9"/>
    </row>
    <row r="6151">
      <c r="A6151" s="14"/>
      <c r="B6151" s="15"/>
      <c r="C6151" s="16"/>
      <c r="J6151" s="9"/>
    </row>
    <row r="6152">
      <c r="A6152" s="14"/>
      <c r="B6152" s="15"/>
      <c r="C6152" s="16"/>
      <c r="J6152" s="9"/>
    </row>
    <row r="6153">
      <c r="A6153" s="14"/>
      <c r="B6153" s="15"/>
      <c r="C6153" s="16"/>
      <c r="J6153" s="9"/>
    </row>
    <row r="6154">
      <c r="A6154" s="14"/>
      <c r="B6154" s="15"/>
      <c r="C6154" s="16"/>
      <c r="J6154" s="9"/>
    </row>
    <row r="6155">
      <c r="A6155" s="14"/>
      <c r="B6155" s="15"/>
      <c r="C6155" s="16"/>
      <c r="J6155" s="9"/>
    </row>
    <row r="6156">
      <c r="A6156" s="14"/>
      <c r="B6156" s="15"/>
      <c r="C6156" s="16"/>
      <c r="J6156" s="9"/>
    </row>
    <row r="6157">
      <c r="A6157" s="14"/>
      <c r="B6157" s="15"/>
      <c r="C6157" s="16"/>
      <c r="J6157" s="9"/>
    </row>
    <row r="6158">
      <c r="A6158" s="14"/>
      <c r="B6158" s="15"/>
      <c r="C6158" s="16"/>
      <c r="J6158" s="9"/>
    </row>
    <row r="6159">
      <c r="A6159" s="14"/>
      <c r="B6159" s="15"/>
      <c r="C6159" s="16"/>
      <c r="J6159" s="9"/>
    </row>
    <row r="6160">
      <c r="A6160" s="14"/>
      <c r="B6160" s="15"/>
      <c r="C6160" s="16"/>
      <c r="J6160" s="9"/>
    </row>
    <row r="6161">
      <c r="A6161" s="14"/>
      <c r="B6161" s="15"/>
      <c r="C6161" s="16"/>
      <c r="J6161" s="9"/>
    </row>
    <row r="6162">
      <c r="A6162" s="14"/>
      <c r="B6162" s="15"/>
      <c r="C6162" s="16"/>
      <c r="J6162" s="9"/>
    </row>
    <row r="6163">
      <c r="A6163" s="14"/>
      <c r="B6163" s="15"/>
      <c r="C6163" s="16"/>
      <c r="J6163" s="9"/>
    </row>
    <row r="6164">
      <c r="A6164" s="14"/>
      <c r="B6164" s="15"/>
      <c r="C6164" s="16"/>
      <c r="J6164" s="9"/>
    </row>
    <row r="6165">
      <c r="A6165" s="14"/>
      <c r="B6165" s="15"/>
      <c r="C6165" s="16"/>
      <c r="J6165" s="9"/>
    </row>
    <row r="6166">
      <c r="A6166" s="14"/>
      <c r="B6166" s="15"/>
      <c r="C6166" s="16"/>
      <c r="J6166" s="9"/>
    </row>
    <row r="6167">
      <c r="A6167" s="14"/>
      <c r="B6167" s="15"/>
      <c r="C6167" s="16"/>
      <c r="J6167" s="9"/>
    </row>
    <row r="6168">
      <c r="A6168" s="14"/>
      <c r="B6168" s="15"/>
      <c r="C6168" s="16"/>
      <c r="J6168" s="9"/>
    </row>
    <row r="6169">
      <c r="A6169" s="14"/>
      <c r="B6169" s="15"/>
      <c r="C6169" s="16"/>
      <c r="J6169" s="9"/>
    </row>
    <row r="6170">
      <c r="A6170" s="14"/>
      <c r="B6170" s="15"/>
      <c r="C6170" s="16"/>
      <c r="J6170" s="9"/>
    </row>
    <row r="6171">
      <c r="A6171" s="14"/>
      <c r="B6171" s="15"/>
      <c r="C6171" s="16"/>
      <c r="J6171" s="9"/>
    </row>
    <row r="6172">
      <c r="A6172" s="14"/>
      <c r="B6172" s="15"/>
      <c r="C6172" s="16"/>
      <c r="J6172" s="9"/>
    </row>
    <row r="6173">
      <c r="A6173" s="14"/>
      <c r="B6173" s="15"/>
      <c r="C6173" s="16"/>
      <c r="J6173" s="9"/>
    </row>
    <row r="6174">
      <c r="A6174" s="14"/>
      <c r="B6174" s="15"/>
      <c r="C6174" s="16"/>
      <c r="J6174" s="9"/>
    </row>
    <row r="6175">
      <c r="A6175" s="14"/>
      <c r="B6175" s="15"/>
      <c r="C6175" s="16"/>
      <c r="J6175" s="9"/>
    </row>
    <row r="6176">
      <c r="A6176" s="14"/>
      <c r="B6176" s="15"/>
      <c r="C6176" s="16"/>
      <c r="J6176" s="9"/>
    </row>
    <row r="6177">
      <c r="A6177" s="14"/>
      <c r="B6177" s="15"/>
      <c r="C6177" s="16"/>
      <c r="J6177" s="9"/>
    </row>
    <row r="6178">
      <c r="A6178" s="14"/>
      <c r="B6178" s="15"/>
      <c r="C6178" s="16"/>
      <c r="J6178" s="9"/>
    </row>
    <row r="6179">
      <c r="A6179" s="14"/>
      <c r="B6179" s="15"/>
      <c r="C6179" s="16"/>
      <c r="J6179" s="9"/>
    </row>
    <row r="6180">
      <c r="A6180" s="14"/>
      <c r="B6180" s="15"/>
      <c r="C6180" s="16"/>
      <c r="J6180" s="9"/>
    </row>
    <row r="6181">
      <c r="A6181" s="14"/>
      <c r="B6181" s="15"/>
      <c r="C6181" s="16"/>
      <c r="J6181" s="9"/>
    </row>
    <row r="6182">
      <c r="A6182" s="14"/>
      <c r="B6182" s="15"/>
      <c r="C6182" s="16"/>
      <c r="J6182" s="9"/>
    </row>
    <row r="6183">
      <c r="A6183" s="14"/>
      <c r="B6183" s="15"/>
      <c r="C6183" s="16"/>
      <c r="J6183" s="9"/>
    </row>
    <row r="6184">
      <c r="A6184" s="14"/>
      <c r="B6184" s="15"/>
      <c r="C6184" s="16"/>
      <c r="J6184" s="9"/>
    </row>
    <row r="6185">
      <c r="A6185" s="14"/>
      <c r="B6185" s="15"/>
      <c r="C6185" s="16"/>
      <c r="J6185" s="9"/>
    </row>
    <row r="6186">
      <c r="A6186" s="14"/>
      <c r="B6186" s="15"/>
      <c r="C6186" s="16"/>
      <c r="J6186" s="9"/>
    </row>
    <row r="6187">
      <c r="A6187" s="14"/>
      <c r="B6187" s="15"/>
      <c r="C6187" s="16"/>
      <c r="J6187" s="9"/>
    </row>
    <row r="6188">
      <c r="A6188" s="14"/>
      <c r="B6188" s="15"/>
      <c r="C6188" s="16"/>
      <c r="J6188" s="9"/>
    </row>
    <row r="6189">
      <c r="A6189" s="14"/>
      <c r="B6189" s="15"/>
      <c r="C6189" s="16"/>
      <c r="J6189" s="9"/>
    </row>
    <row r="6190">
      <c r="A6190" s="14"/>
      <c r="B6190" s="15"/>
      <c r="C6190" s="16"/>
      <c r="J6190" s="9"/>
    </row>
    <row r="6191">
      <c r="A6191" s="14"/>
      <c r="B6191" s="15"/>
      <c r="C6191" s="16"/>
      <c r="J6191" s="9"/>
    </row>
    <row r="6192">
      <c r="A6192" s="14"/>
      <c r="B6192" s="15"/>
      <c r="C6192" s="16"/>
      <c r="J6192" s="9"/>
    </row>
    <row r="6193">
      <c r="A6193" s="14"/>
      <c r="B6193" s="15"/>
      <c r="C6193" s="16"/>
      <c r="J6193" s="9"/>
    </row>
    <row r="6194">
      <c r="A6194" s="14"/>
      <c r="B6194" s="15"/>
      <c r="C6194" s="16"/>
      <c r="J6194" s="9"/>
    </row>
    <row r="6195">
      <c r="A6195" s="14"/>
      <c r="B6195" s="15"/>
      <c r="C6195" s="16"/>
      <c r="J6195" s="9"/>
    </row>
    <row r="6196">
      <c r="A6196" s="14"/>
      <c r="B6196" s="15"/>
      <c r="C6196" s="16"/>
      <c r="J6196" s="9"/>
    </row>
    <row r="6197">
      <c r="A6197" s="14"/>
      <c r="B6197" s="15"/>
      <c r="C6197" s="16"/>
      <c r="J6197" s="9"/>
    </row>
    <row r="6198">
      <c r="A6198" s="14"/>
      <c r="B6198" s="15"/>
      <c r="C6198" s="16"/>
      <c r="J6198" s="9"/>
    </row>
    <row r="6199">
      <c r="A6199" s="14"/>
      <c r="B6199" s="15"/>
      <c r="C6199" s="16"/>
      <c r="J6199" s="9"/>
    </row>
    <row r="6200">
      <c r="A6200" s="14"/>
      <c r="B6200" s="15"/>
      <c r="C6200" s="16"/>
      <c r="J6200" s="9"/>
    </row>
    <row r="6201">
      <c r="A6201" s="14"/>
      <c r="B6201" s="15"/>
      <c r="C6201" s="16"/>
      <c r="J6201" s="9"/>
    </row>
    <row r="6202">
      <c r="A6202" s="14"/>
      <c r="B6202" s="15"/>
      <c r="C6202" s="16"/>
      <c r="J6202" s="9"/>
    </row>
    <row r="6203">
      <c r="A6203" s="14"/>
      <c r="B6203" s="15"/>
      <c r="C6203" s="16"/>
      <c r="J6203" s="9"/>
    </row>
    <row r="6204">
      <c r="A6204" s="14"/>
      <c r="B6204" s="15"/>
      <c r="C6204" s="16"/>
      <c r="J6204" s="9"/>
    </row>
    <row r="6205">
      <c r="A6205" s="14"/>
      <c r="B6205" s="15"/>
      <c r="C6205" s="16"/>
      <c r="J6205" s="9"/>
    </row>
    <row r="6206">
      <c r="A6206" s="14"/>
      <c r="B6206" s="15"/>
      <c r="C6206" s="16"/>
      <c r="J6206" s="9"/>
    </row>
    <row r="6207">
      <c r="A6207" s="14"/>
      <c r="B6207" s="15"/>
      <c r="C6207" s="16"/>
      <c r="J6207" s="9"/>
    </row>
    <row r="6208">
      <c r="A6208" s="14"/>
      <c r="B6208" s="15"/>
      <c r="C6208" s="16"/>
      <c r="J6208" s="9"/>
    </row>
    <row r="6209">
      <c r="A6209" s="14"/>
      <c r="B6209" s="15"/>
      <c r="C6209" s="16"/>
      <c r="J6209" s="9"/>
    </row>
    <row r="6210">
      <c r="A6210" s="14"/>
      <c r="B6210" s="15"/>
      <c r="C6210" s="16"/>
      <c r="J6210" s="9"/>
    </row>
    <row r="6211">
      <c r="A6211" s="14"/>
      <c r="B6211" s="15"/>
      <c r="C6211" s="16"/>
      <c r="J6211" s="9"/>
    </row>
    <row r="6212">
      <c r="A6212" s="14"/>
      <c r="B6212" s="15"/>
      <c r="C6212" s="16"/>
      <c r="J6212" s="9"/>
    </row>
    <row r="6213">
      <c r="A6213" s="14"/>
      <c r="B6213" s="15"/>
      <c r="C6213" s="16"/>
      <c r="J6213" s="9"/>
    </row>
    <row r="6214">
      <c r="A6214" s="14"/>
      <c r="B6214" s="15"/>
      <c r="C6214" s="16"/>
      <c r="J6214" s="9"/>
    </row>
    <row r="6215">
      <c r="A6215" s="14"/>
      <c r="B6215" s="15"/>
      <c r="C6215" s="16"/>
      <c r="J6215" s="9"/>
    </row>
    <row r="6216">
      <c r="A6216" s="14"/>
      <c r="B6216" s="15"/>
      <c r="C6216" s="16"/>
      <c r="J6216" s="9"/>
    </row>
    <row r="6217">
      <c r="A6217" s="14"/>
      <c r="B6217" s="15"/>
      <c r="C6217" s="16"/>
      <c r="J6217" s="9"/>
    </row>
    <row r="6218">
      <c r="A6218" s="14"/>
      <c r="B6218" s="15"/>
      <c r="C6218" s="16"/>
      <c r="J6218" s="9"/>
    </row>
    <row r="6219">
      <c r="A6219" s="14"/>
      <c r="B6219" s="15"/>
      <c r="C6219" s="16"/>
      <c r="J6219" s="9"/>
    </row>
    <row r="6220">
      <c r="A6220" s="14"/>
      <c r="B6220" s="15"/>
      <c r="C6220" s="16"/>
      <c r="J6220" s="9"/>
    </row>
    <row r="6221">
      <c r="A6221" s="14"/>
      <c r="B6221" s="15"/>
      <c r="C6221" s="16"/>
      <c r="J6221" s="9"/>
    </row>
    <row r="6222">
      <c r="A6222" s="14"/>
      <c r="B6222" s="15"/>
      <c r="C6222" s="16"/>
      <c r="J6222" s="9"/>
    </row>
    <row r="6223">
      <c r="A6223" s="14"/>
      <c r="B6223" s="15"/>
      <c r="C6223" s="16"/>
      <c r="J6223" s="9"/>
    </row>
    <row r="6224">
      <c r="A6224" s="14"/>
      <c r="B6224" s="15"/>
      <c r="C6224" s="16"/>
      <c r="J6224" s="9"/>
    </row>
    <row r="6225">
      <c r="A6225" s="14"/>
      <c r="B6225" s="15"/>
      <c r="C6225" s="16"/>
      <c r="J6225" s="9"/>
    </row>
    <row r="6226">
      <c r="A6226" s="14"/>
      <c r="B6226" s="15"/>
      <c r="C6226" s="16"/>
      <c r="J6226" s="9"/>
    </row>
    <row r="6227">
      <c r="A6227" s="14"/>
      <c r="B6227" s="15"/>
      <c r="C6227" s="16"/>
      <c r="J6227" s="9"/>
    </row>
    <row r="6228">
      <c r="A6228" s="14"/>
      <c r="B6228" s="15"/>
      <c r="C6228" s="16"/>
      <c r="J6228" s="9"/>
    </row>
    <row r="6229">
      <c r="A6229" s="14"/>
      <c r="B6229" s="15"/>
      <c r="C6229" s="16"/>
      <c r="J6229" s="9"/>
    </row>
    <row r="6230">
      <c r="A6230" s="14"/>
      <c r="B6230" s="15"/>
      <c r="C6230" s="16"/>
      <c r="J6230" s="9"/>
    </row>
    <row r="6231">
      <c r="A6231" s="14"/>
      <c r="B6231" s="15"/>
      <c r="C6231" s="16"/>
      <c r="J6231" s="9"/>
    </row>
    <row r="6232">
      <c r="A6232" s="14"/>
      <c r="B6232" s="15"/>
      <c r="C6232" s="16"/>
      <c r="J6232" s="9"/>
    </row>
    <row r="6233">
      <c r="A6233" s="14"/>
      <c r="B6233" s="15"/>
      <c r="C6233" s="16"/>
      <c r="J6233" s="9"/>
    </row>
    <row r="6234">
      <c r="A6234" s="14"/>
      <c r="B6234" s="15"/>
      <c r="C6234" s="16"/>
      <c r="J6234" s="9"/>
    </row>
    <row r="6235">
      <c r="A6235" s="14"/>
      <c r="B6235" s="15"/>
      <c r="C6235" s="16"/>
      <c r="J6235" s="9"/>
    </row>
    <row r="6236">
      <c r="A6236" s="14"/>
      <c r="B6236" s="15"/>
      <c r="C6236" s="16"/>
      <c r="J6236" s="9"/>
    </row>
    <row r="6237">
      <c r="A6237" s="14"/>
      <c r="B6237" s="15"/>
      <c r="C6237" s="16"/>
      <c r="J6237" s="9"/>
    </row>
    <row r="6238">
      <c r="A6238" s="14"/>
      <c r="B6238" s="15"/>
      <c r="C6238" s="16"/>
      <c r="J6238" s="9"/>
    </row>
    <row r="6239">
      <c r="A6239" s="14"/>
      <c r="B6239" s="15"/>
      <c r="C6239" s="16"/>
      <c r="J6239" s="9"/>
    </row>
    <row r="6240">
      <c r="A6240" s="14"/>
      <c r="B6240" s="15"/>
      <c r="C6240" s="16"/>
      <c r="J6240" s="9"/>
    </row>
    <row r="6241">
      <c r="A6241" s="14"/>
      <c r="B6241" s="15"/>
      <c r="C6241" s="16"/>
      <c r="J6241" s="9"/>
    </row>
    <row r="6242">
      <c r="A6242" s="14"/>
      <c r="B6242" s="15"/>
      <c r="C6242" s="16"/>
      <c r="J6242" s="9"/>
    </row>
    <row r="6243">
      <c r="A6243" s="14"/>
      <c r="B6243" s="15"/>
      <c r="C6243" s="16"/>
      <c r="J6243" s="9"/>
    </row>
    <row r="6244">
      <c r="A6244" s="14"/>
      <c r="B6244" s="15"/>
      <c r="C6244" s="16"/>
      <c r="J6244" s="9"/>
    </row>
    <row r="6245">
      <c r="A6245" s="14"/>
      <c r="B6245" s="15"/>
      <c r="C6245" s="16"/>
      <c r="J6245" s="9"/>
    </row>
    <row r="6246">
      <c r="A6246" s="14"/>
      <c r="B6246" s="15"/>
      <c r="C6246" s="16"/>
      <c r="J6246" s="9"/>
    </row>
    <row r="6247">
      <c r="A6247" s="14"/>
      <c r="B6247" s="15"/>
      <c r="C6247" s="16"/>
      <c r="J6247" s="9"/>
    </row>
    <row r="6248">
      <c r="A6248" s="14"/>
      <c r="B6248" s="15"/>
      <c r="C6248" s="16"/>
      <c r="J6248" s="9"/>
    </row>
    <row r="6249">
      <c r="A6249" s="14"/>
      <c r="B6249" s="15"/>
      <c r="C6249" s="16"/>
      <c r="J6249" s="9"/>
    </row>
    <row r="6250">
      <c r="A6250" s="14"/>
      <c r="B6250" s="15"/>
      <c r="C6250" s="16"/>
      <c r="J6250" s="9"/>
    </row>
    <row r="6251">
      <c r="A6251" s="14"/>
      <c r="B6251" s="15"/>
      <c r="C6251" s="16"/>
      <c r="J6251" s="9"/>
    </row>
    <row r="6252">
      <c r="A6252" s="14"/>
      <c r="B6252" s="15"/>
      <c r="C6252" s="16"/>
      <c r="J6252" s="9"/>
    </row>
    <row r="6253">
      <c r="A6253" s="14"/>
      <c r="B6253" s="15"/>
      <c r="C6253" s="16"/>
      <c r="J6253" s="9"/>
    </row>
    <row r="6254">
      <c r="A6254" s="14"/>
      <c r="B6254" s="15"/>
      <c r="C6254" s="16"/>
      <c r="J6254" s="9"/>
    </row>
    <row r="6255">
      <c r="A6255" s="14"/>
      <c r="B6255" s="15"/>
      <c r="C6255" s="16"/>
      <c r="J6255" s="9"/>
    </row>
    <row r="6256">
      <c r="A6256" s="14"/>
      <c r="B6256" s="15"/>
      <c r="C6256" s="16"/>
      <c r="J6256" s="9"/>
    </row>
    <row r="6257">
      <c r="A6257" s="14"/>
      <c r="B6257" s="15"/>
      <c r="C6257" s="16"/>
      <c r="J6257" s="9"/>
    </row>
    <row r="6258">
      <c r="A6258" s="14"/>
      <c r="B6258" s="15"/>
      <c r="C6258" s="16"/>
      <c r="J6258" s="9"/>
    </row>
    <row r="6259">
      <c r="A6259" s="14"/>
      <c r="B6259" s="15"/>
      <c r="C6259" s="16"/>
      <c r="J6259" s="9"/>
    </row>
    <row r="6260">
      <c r="A6260" s="14"/>
      <c r="B6260" s="15"/>
      <c r="C6260" s="16"/>
      <c r="J6260" s="9"/>
    </row>
    <row r="6261">
      <c r="A6261" s="14"/>
      <c r="B6261" s="15"/>
      <c r="C6261" s="16"/>
      <c r="J6261" s="9"/>
    </row>
    <row r="6262">
      <c r="A6262" s="14"/>
      <c r="B6262" s="15"/>
      <c r="C6262" s="16"/>
      <c r="J6262" s="9"/>
    </row>
    <row r="6263">
      <c r="A6263" s="14"/>
      <c r="B6263" s="15"/>
      <c r="C6263" s="16"/>
      <c r="J6263" s="9"/>
    </row>
    <row r="6264">
      <c r="A6264" s="14"/>
      <c r="B6264" s="15"/>
      <c r="C6264" s="16"/>
      <c r="J6264" s="9"/>
    </row>
    <row r="6265">
      <c r="A6265" s="14"/>
      <c r="B6265" s="15"/>
      <c r="C6265" s="16"/>
      <c r="J6265" s="9"/>
    </row>
    <row r="6266">
      <c r="A6266" s="14"/>
      <c r="B6266" s="15"/>
      <c r="C6266" s="16"/>
      <c r="J6266" s="9"/>
    </row>
    <row r="6267">
      <c r="A6267" s="14"/>
      <c r="B6267" s="15"/>
      <c r="C6267" s="16"/>
      <c r="J6267" s="9"/>
    </row>
    <row r="6268">
      <c r="A6268" s="14"/>
      <c r="B6268" s="15"/>
      <c r="C6268" s="16"/>
      <c r="J6268" s="9"/>
    </row>
    <row r="6269">
      <c r="A6269" s="14"/>
      <c r="B6269" s="15"/>
      <c r="C6269" s="16"/>
      <c r="J6269" s="9"/>
    </row>
    <row r="6270">
      <c r="A6270" s="14"/>
      <c r="B6270" s="15"/>
      <c r="C6270" s="16"/>
      <c r="J6270" s="9"/>
    </row>
    <row r="6271">
      <c r="A6271" s="14"/>
      <c r="B6271" s="15"/>
      <c r="C6271" s="16"/>
      <c r="J6271" s="9"/>
    </row>
    <row r="6272">
      <c r="A6272" s="14"/>
      <c r="B6272" s="15"/>
      <c r="C6272" s="16"/>
      <c r="J6272" s="9"/>
    </row>
    <row r="6273">
      <c r="A6273" s="14"/>
      <c r="B6273" s="15"/>
      <c r="C6273" s="16"/>
      <c r="J6273" s="9"/>
    </row>
    <row r="6274">
      <c r="A6274" s="14"/>
      <c r="B6274" s="15"/>
      <c r="C6274" s="16"/>
      <c r="J6274" s="9"/>
    </row>
    <row r="6275">
      <c r="A6275" s="14"/>
      <c r="B6275" s="15"/>
      <c r="C6275" s="16"/>
      <c r="J6275" s="9"/>
    </row>
    <row r="6276">
      <c r="A6276" s="14"/>
      <c r="B6276" s="15"/>
      <c r="C6276" s="16"/>
      <c r="J6276" s="9"/>
    </row>
    <row r="6277">
      <c r="A6277" s="14"/>
      <c r="B6277" s="15"/>
      <c r="C6277" s="16"/>
      <c r="J6277" s="9"/>
    </row>
    <row r="6278">
      <c r="A6278" s="14"/>
      <c r="B6278" s="15"/>
      <c r="C6278" s="16"/>
      <c r="J6278" s="9"/>
    </row>
    <row r="6279">
      <c r="A6279" s="14"/>
      <c r="B6279" s="15"/>
      <c r="C6279" s="16"/>
      <c r="J6279" s="9"/>
    </row>
    <row r="6280">
      <c r="A6280" s="14"/>
      <c r="B6280" s="15"/>
      <c r="C6280" s="16"/>
      <c r="J6280" s="9"/>
    </row>
    <row r="6281">
      <c r="A6281" s="14"/>
      <c r="B6281" s="15"/>
      <c r="C6281" s="16"/>
      <c r="J6281" s="9"/>
    </row>
    <row r="6282">
      <c r="A6282" s="14"/>
      <c r="B6282" s="15"/>
      <c r="C6282" s="16"/>
      <c r="J6282" s="9"/>
    </row>
    <row r="6283">
      <c r="A6283" s="14"/>
      <c r="B6283" s="15"/>
      <c r="C6283" s="16"/>
      <c r="J6283" s="9"/>
    </row>
    <row r="6284">
      <c r="A6284" s="14"/>
      <c r="B6284" s="15"/>
      <c r="C6284" s="16"/>
      <c r="J6284" s="9"/>
    </row>
    <row r="6285">
      <c r="A6285" s="14"/>
      <c r="B6285" s="15"/>
      <c r="C6285" s="16"/>
      <c r="J6285" s="9"/>
    </row>
    <row r="6286">
      <c r="A6286" s="14"/>
      <c r="B6286" s="15"/>
      <c r="C6286" s="16"/>
      <c r="J6286" s="9"/>
    </row>
    <row r="6287">
      <c r="A6287" s="14"/>
      <c r="B6287" s="15"/>
      <c r="C6287" s="16"/>
      <c r="J6287" s="9"/>
    </row>
    <row r="6288">
      <c r="A6288" s="14"/>
      <c r="B6288" s="15"/>
      <c r="C6288" s="16"/>
      <c r="J6288" s="9"/>
    </row>
    <row r="6289">
      <c r="A6289" s="14"/>
      <c r="B6289" s="15"/>
      <c r="C6289" s="16"/>
      <c r="J6289" s="9"/>
    </row>
    <row r="6290">
      <c r="A6290" s="14"/>
      <c r="B6290" s="15"/>
      <c r="C6290" s="16"/>
      <c r="J6290" s="9"/>
    </row>
    <row r="6291">
      <c r="A6291" s="14"/>
      <c r="B6291" s="15"/>
      <c r="C6291" s="16"/>
      <c r="J6291" s="9"/>
    </row>
    <row r="6292">
      <c r="A6292" s="14"/>
      <c r="B6292" s="15"/>
      <c r="C6292" s="16"/>
      <c r="J6292" s="9"/>
    </row>
    <row r="6293">
      <c r="A6293" s="14"/>
      <c r="B6293" s="15"/>
      <c r="C6293" s="16"/>
      <c r="J6293" s="9"/>
    </row>
    <row r="6294">
      <c r="A6294" s="14"/>
      <c r="B6294" s="15"/>
      <c r="C6294" s="16"/>
      <c r="J6294" s="9"/>
    </row>
    <row r="6295">
      <c r="A6295" s="14"/>
      <c r="B6295" s="15"/>
      <c r="C6295" s="16"/>
      <c r="J6295" s="9"/>
    </row>
    <row r="6296">
      <c r="A6296" s="14"/>
      <c r="B6296" s="15"/>
      <c r="C6296" s="16"/>
      <c r="J6296" s="9"/>
    </row>
    <row r="6297">
      <c r="A6297" s="14"/>
      <c r="B6297" s="15"/>
      <c r="C6297" s="16"/>
      <c r="J6297" s="9"/>
    </row>
    <row r="6298">
      <c r="A6298" s="14"/>
      <c r="B6298" s="15"/>
      <c r="C6298" s="16"/>
      <c r="J6298" s="9"/>
    </row>
    <row r="6299">
      <c r="A6299" s="14"/>
      <c r="B6299" s="15"/>
      <c r="C6299" s="16"/>
      <c r="J6299" s="9"/>
    </row>
    <row r="6300">
      <c r="A6300" s="14"/>
      <c r="B6300" s="15"/>
      <c r="C6300" s="16"/>
      <c r="J6300" s="9"/>
    </row>
    <row r="6301">
      <c r="A6301" s="14"/>
      <c r="B6301" s="15"/>
      <c r="C6301" s="16"/>
      <c r="J6301" s="9"/>
    </row>
    <row r="6302">
      <c r="A6302" s="14"/>
      <c r="B6302" s="15"/>
      <c r="C6302" s="16"/>
      <c r="J6302" s="9"/>
    </row>
    <row r="6303">
      <c r="A6303" s="14"/>
      <c r="B6303" s="15"/>
      <c r="C6303" s="16"/>
      <c r="J6303" s="9"/>
    </row>
    <row r="6304">
      <c r="A6304" s="14"/>
      <c r="B6304" s="15"/>
      <c r="C6304" s="16"/>
      <c r="J6304" s="9"/>
    </row>
    <row r="6305">
      <c r="A6305" s="14"/>
      <c r="B6305" s="15"/>
      <c r="C6305" s="16"/>
      <c r="J6305" s="9"/>
    </row>
    <row r="6306">
      <c r="A6306" s="14"/>
      <c r="B6306" s="15"/>
      <c r="C6306" s="16"/>
      <c r="J6306" s="9"/>
    </row>
    <row r="6307">
      <c r="A6307" s="14"/>
      <c r="B6307" s="15"/>
      <c r="C6307" s="16"/>
      <c r="J6307" s="9"/>
    </row>
    <row r="6308">
      <c r="A6308" s="14"/>
      <c r="B6308" s="15"/>
      <c r="C6308" s="16"/>
      <c r="J6308" s="9"/>
    </row>
    <row r="6309">
      <c r="A6309" s="14"/>
      <c r="B6309" s="15"/>
      <c r="C6309" s="16"/>
      <c r="J6309" s="9"/>
    </row>
    <row r="6310">
      <c r="A6310" s="14"/>
      <c r="B6310" s="15"/>
      <c r="C6310" s="16"/>
      <c r="J6310" s="9"/>
    </row>
    <row r="6311">
      <c r="A6311" s="14"/>
      <c r="B6311" s="15"/>
      <c r="C6311" s="16"/>
      <c r="J6311" s="9"/>
    </row>
    <row r="6312">
      <c r="A6312" s="14"/>
      <c r="B6312" s="15"/>
      <c r="C6312" s="16"/>
      <c r="J6312" s="9"/>
    </row>
    <row r="6313">
      <c r="A6313" s="14"/>
      <c r="B6313" s="15"/>
      <c r="C6313" s="16"/>
      <c r="J6313" s="9"/>
    </row>
    <row r="6314">
      <c r="A6314" s="14"/>
      <c r="B6314" s="15"/>
      <c r="C6314" s="16"/>
      <c r="J6314" s="9"/>
    </row>
    <row r="6315">
      <c r="A6315" s="14"/>
      <c r="B6315" s="15"/>
      <c r="C6315" s="16"/>
      <c r="J6315" s="9"/>
    </row>
    <row r="6316">
      <c r="A6316" s="14"/>
      <c r="B6316" s="15"/>
      <c r="C6316" s="16"/>
      <c r="J6316" s="9"/>
    </row>
    <row r="6317">
      <c r="A6317" s="14"/>
      <c r="B6317" s="15"/>
      <c r="C6317" s="16"/>
      <c r="J6317" s="9"/>
    </row>
    <row r="6318">
      <c r="A6318" s="14"/>
      <c r="B6318" s="15"/>
      <c r="C6318" s="16"/>
      <c r="J6318" s="9"/>
    </row>
    <row r="6319">
      <c r="A6319" s="14"/>
      <c r="B6319" s="15"/>
      <c r="C6319" s="16"/>
      <c r="J6319" s="9"/>
    </row>
    <row r="6320">
      <c r="A6320" s="14"/>
      <c r="B6320" s="15"/>
      <c r="C6320" s="16"/>
      <c r="J6320" s="9"/>
    </row>
    <row r="6321">
      <c r="A6321" s="14"/>
      <c r="B6321" s="15"/>
      <c r="C6321" s="16"/>
      <c r="J6321" s="9"/>
    </row>
    <row r="6322">
      <c r="A6322" s="14"/>
      <c r="B6322" s="15"/>
      <c r="C6322" s="16"/>
      <c r="J6322" s="9"/>
    </row>
    <row r="6323">
      <c r="A6323" s="14"/>
      <c r="B6323" s="15"/>
      <c r="C6323" s="16"/>
      <c r="J6323" s="9"/>
    </row>
    <row r="6324">
      <c r="A6324" s="14"/>
      <c r="B6324" s="15"/>
      <c r="C6324" s="16"/>
      <c r="J6324" s="9"/>
    </row>
    <row r="6325">
      <c r="A6325" s="14"/>
      <c r="B6325" s="15"/>
      <c r="C6325" s="16"/>
      <c r="J6325" s="9"/>
    </row>
    <row r="6326">
      <c r="A6326" s="14"/>
      <c r="B6326" s="15"/>
      <c r="C6326" s="16"/>
      <c r="J6326" s="9"/>
    </row>
    <row r="6327">
      <c r="A6327" s="14"/>
      <c r="B6327" s="15"/>
      <c r="C6327" s="16"/>
      <c r="J6327" s="9"/>
    </row>
    <row r="6328">
      <c r="A6328" s="14"/>
      <c r="B6328" s="15"/>
      <c r="C6328" s="16"/>
      <c r="J6328" s="9"/>
    </row>
    <row r="6329">
      <c r="A6329" s="14"/>
      <c r="B6329" s="15"/>
      <c r="C6329" s="16"/>
      <c r="J6329" s="9"/>
    </row>
    <row r="6330">
      <c r="A6330" s="14"/>
      <c r="B6330" s="15"/>
      <c r="C6330" s="16"/>
      <c r="J6330" s="9"/>
    </row>
    <row r="6331">
      <c r="A6331" s="14"/>
      <c r="B6331" s="15"/>
      <c r="C6331" s="16"/>
      <c r="J6331" s="9"/>
    </row>
    <row r="6332">
      <c r="A6332" s="14"/>
      <c r="B6332" s="15"/>
      <c r="C6332" s="16"/>
      <c r="J6332" s="9"/>
    </row>
    <row r="6333">
      <c r="A6333" s="14"/>
      <c r="B6333" s="15"/>
      <c r="C6333" s="16"/>
      <c r="J6333" s="9"/>
    </row>
    <row r="6334">
      <c r="A6334" s="14"/>
      <c r="B6334" s="15"/>
      <c r="C6334" s="16"/>
      <c r="J6334" s="9"/>
    </row>
    <row r="6335">
      <c r="A6335" s="14"/>
      <c r="B6335" s="15"/>
      <c r="C6335" s="16"/>
      <c r="J6335" s="9"/>
    </row>
    <row r="6336">
      <c r="A6336" s="14"/>
      <c r="B6336" s="15"/>
      <c r="C6336" s="16"/>
      <c r="J6336" s="9"/>
    </row>
    <row r="6337">
      <c r="A6337" s="14"/>
      <c r="B6337" s="15"/>
      <c r="C6337" s="16"/>
      <c r="J6337" s="9"/>
    </row>
    <row r="6338">
      <c r="A6338" s="14"/>
      <c r="B6338" s="15"/>
      <c r="C6338" s="16"/>
      <c r="J6338" s="9"/>
    </row>
    <row r="6339">
      <c r="A6339" s="14"/>
      <c r="B6339" s="15"/>
      <c r="C6339" s="16"/>
      <c r="J6339" s="9"/>
    </row>
    <row r="6340">
      <c r="A6340" s="14"/>
      <c r="B6340" s="15"/>
      <c r="C6340" s="16"/>
      <c r="J6340" s="9"/>
    </row>
    <row r="6341">
      <c r="A6341" s="14"/>
      <c r="B6341" s="15"/>
      <c r="C6341" s="16"/>
      <c r="J6341" s="9"/>
    </row>
    <row r="6342">
      <c r="A6342" s="14"/>
      <c r="B6342" s="15"/>
      <c r="C6342" s="16"/>
      <c r="J6342" s="9"/>
    </row>
    <row r="6343">
      <c r="A6343" s="14"/>
      <c r="B6343" s="15"/>
      <c r="C6343" s="16"/>
      <c r="J6343" s="9"/>
    </row>
    <row r="6344">
      <c r="A6344" s="14"/>
      <c r="B6344" s="15"/>
      <c r="C6344" s="16"/>
      <c r="J6344" s="9"/>
    </row>
    <row r="6345">
      <c r="A6345" s="14"/>
      <c r="B6345" s="15"/>
      <c r="C6345" s="16"/>
      <c r="J6345" s="9"/>
    </row>
    <row r="6346">
      <c r="A6346" s="14"/>
      <c r="B6346" s="15"/>
      <c r="C6346" s="16"/>
      <c r="J6346" s="9"/>
    </row>
    <row r="6347">
      <c r="A6347" s="14"/>
      <c r="B6347" s="15"/>
      <c r="C6347" s="16"/>
      <c r="J6347" s="9"/>
    </row>
    <row r="6348">
      <c r="A6348" s="14"/>
      <c r="B6348" s="15"/>
      <c r="C6348" s="16"/>
      <c r="J6348" s="9"/>
    </row>
    <row r="6349">
      <c r="A6349" s="14"/>
      <c r="B6349" s="15"/>
      <c r="C6349" s="16"/>
      <c r="J6349" s="9"/>
    </row>
    <row r="6350">
      <c r="A6350" s="14"/>
      <c r="B6350" s="15"/>
      <c r="C6350" s="16"/>
      <c r="J6350" s="9"/>
    </row>
    <row r="6351">
      <c r="A6351" s="14"/>
      <c r="B6351" s="15"/>
      <c r="C6351" s="16"/>
      <c r="J6351" s="9"/>
    </row>
    <row r="6352">
      <c r="A6352" s="14"/>
      <c r="B6352" s="15"/>
      <c r="C6352" s="16"/>
      <c r="J6352" s="9"/>
    </row>
    <row r="6353">
      <c r="A6353" s="14"/>
      <c r="B6353" s="15"/>
      <c r="C6353" s="16"/>
      <c r="J6353" s="9"/>
    </row>
    <row r="6354">
      <c r="A6354" s="14"/>
      <c r="B6354" s="15"/>
      <c r="C6354" s="16"/>
      <c r="J6354" s="9"/>
    </row>
    <row r="6355">
      <c r="A6355" s="14"/>
      <c r="B6355" s="15"/>
      <c r="C6355" s="16"/>
      <c r="J6355" s="9"/>
    </row>
    <row r="6356">
      <c r="A6356" s="14"/>
      <c r="B6356" s="15"/>
      <c r="C6356" s="16"/>
      <c r="J6356" s="9"/>
    </row>
    <row r="6357">
      <c r="A6357" s="14"/>
      <c r="B6357" s="15"/>
      <c r="C6357" s="16"/>
      <c r="J6357" s="9"/>
    </row>
    <row r="6358">
      <c r="A6358" s="14"/>
      <c r="B6358" s="15"/>
      <c r="C6358" s="16"/>
      <c r="J6358" s="9"/>
    </row>
    <row r="6359">
      <c r="A6359" s="14"/>
      <c r="B6359" s="15"/>
      <c r="C6359" s="16"/>
      <c r="J6359" s="9"/>
    </row>
    <row r="6360">
      <c r="A6360" s="14"/>
      <c r="B6360" s="15"/>
      <c r="C6360" s="16"/>
      <c r="J6360" s="9"/>
    </row>
    <row r="6361">
      <c r="A6361" s="14"/>
      <c r="B6361" s="15"/>
      <c r="C6361" s="16"/>
      <c r="J6361" s="9"/>
    </row>
    <row r="6362">
      <c r="A6362" s="14"/>
      <c r="B6362" s="15"/>
      <c r="C6362" s="16"/>
      <c r="J6362" s="9"/>
    </row>
    <row r="6363">
      <c r="A6363" s="14"/>
      <c r="B6363" s="15"/>
      <c r="C6363" s="16"/>
      <c r="J6363" s="9"/>
    </row>
    <row r="6364">
      <c r="A6364" s="14"/>
      <c r="B6364" s="15"/>
      <c r="C6364" s="16"/>
      <c r="J6364" s="9"/>
    </row>
    <row r="6365">
      <c r="A6365" s="14"/>
      <c r="B6365" s="15"/>
      <c r="C6365" s="16"/>
      <c r="J6365" s="9"/>
    </row>
    <row r="6366">
      <c r="A6366" s="14"/>
      <c r="B6366" s="15"/>
      <c r="C6366" s="16"/>
      <c r="J6366" s="9"/>
    </row>
    <row r="6367">
      <c r="A6367" s="14"/>
      <c r="B6367" s="15"/>
      <c r="C6367" s="16"/>
      <c r="J6367" s="9"/>
    </row>
    <row r="6368">
      <c r="A6368" s="14"/>
      <c r="B6368" s="15"/>
      <c r="C6368" s="16"/>
      <c r="J6368" s="9"/>
    </row>
    <row r="6369">
      <c r="A6369" s="14"/>
      <c r="B6369" s="15"/>
      <c r="C6369" s="16"/>
      <c r="J6369" s="9"/>
    </row>
    <row r="6370">
      <c r="A6370" s="14"/>
      <c r="B6370" s="15"/>
      <c r="C6370" s="16"/>
      <c r="J6370" s="9"/>
    </row>
    <row r="6371">
      <c r="A6371" s="14"/>
      <c r="B6371" s="15"/>
      <c r="C6371" s="16"/>
      <c r="J6371" s="9"/>
    </row>
    <row r="6372">
      <c r="A6372" s="14"/>
      <c r="B6372" s="15"/>
      <c r="C6372" s="16"/>
      <c r="J6372" s="9"/>
    </row>
    <row r="6373">
      <c r="A6373" s="14"/>
      <c r="B6373" s="15"/>
      <c r="C6373" s="16"/>
      <c r="J6373" s="9"/>
    </row>
    <row r="6374">
      <c r="A6374" s="14"/>
      <c r="B6374" s="15"/>
      <c r="C6374" s="16"/>
      <c r="J6374" s="9"/>
    </row>
    <row r="6375">
      <c r="A6375" s="14"/>
      <c r="B6375" s="15"/>
      <c r="C6375" s="16"/>
      <c r="J6375" s="9"/>
    </row>
    <row r="6376">
      <c r="A6376" s="14"/>
      <c r="B6376" s="15"/>
      <c r="C6376" s="16"/>
      <c r="J6376" s="9"/>
    </row>
    <row r="6377">
      <c r="A6377" s="14"/>
      <c r="B6377" s="15"/>
      <c r="C6377" s="16"/>
      <c r="J6377" s="9"/>
    </row>
    <row r="6378">
      <c r="A6378" s="14"/>
      <c r="B6378" s="15"/>
      <c r="C6378" s="16"/>
      <c r="J6378" s="9"/>
    </row>
    <row r="6379">
      <c r="A6379" s="14"/>
      <c r="B6379" s="15"/>
      <c r="C6379" s="16"/>
      <c r="J6379" s="9"/>
    </row>
    <row r="6380">
      <c r="A6380" s="14"/>
      <c r="B6380" s="15"/>
      <c r="C6380" s="16"/>
      <c r="J6380" s="9"/>
    </row>
    <row r="6381">
      <c r="A6381" s="14"/>
      <c r="B6381" s="15"/>
      <c r="C6381" s="16"/>
      <c r="J6381" s="9"/>
    </row>
    <row r="6382">
      <c r="A6382" s="14"/>
      <c r="B6382" s="15"/>
      <c r="C6382" s="16"/>
      <c r="J6382" s="9"/>
    </row>
    <row r="6383">
      <c r="A6383" s="14"/>
      <c r="B6383" s="15"/>
      <c r="C6383" s="16"/>
      <c r="J6383" s="9"/>
    </row>
    <row r="6384">
      <c r="A6384" s="14"/>
      <c r="B6384" s="15"/>
      <c r="C6384" s="16"/>
      <c r="J6384" s="9"/>
    </row>
    <row r="6385">
      <c r="A6385" s="14"/>
      <c r="B6385" s="15"/>
      <c r="C6385" s="16"/>
      <c r="J6385" s="9"/>
    </row>
    <row r="6386">
      <c r="A6386" s="14"/>
      <c r="B6386" s="15"/>
      <c r="C6386" s="16"/>
      <c r="J6386" s="9"/>
    </row>
    <row r="6387">
      <c r="A6387" s="14"/>
      <c r="B6387" s="15"/>
      <c r="C6387" s="16"/>
      <c r="J6387" s="9"/>
    </row>
    <row r="6388">
      <c r="A6388" s="14"/>
      <c r="B6388" s="15"/>
      <c r="C6388" s="16"/>
      <c r="J6388" s="9"/>
    </row>
    <row r="6389">
      <c r="A6389" s="14"/>
      <c r="B6389" s="15"/>
      <c r="C6389" s="16"/>
      <c r="J6389" s="9"/>
    </row>
    <row r="6390">
      <c r="A6390" s="14"/>
      <c r="B6390" s="15"/>
      <c r="C6390" s="16"/>
      <c r="J6390" s="9"/>
    </row>
    <row r="6391">
      <c r="A6391" s="14"/>
      <c r="B6391" s="15"/>
      <c r="C6391" s="16"/>
      <c r="J6391" s="9"/>
    </row>
    <row r="6392">
      <c r="A6392" s="14"/>
      <c r="B6392" s="15"/>
      <c r="C6392" s="16"/>
      <c r="J6392" s="9"/>
    </row>
    <row r="6393">
      <c r="A6393" s="14"/>
      <c r="B6393" s="15"/>
      <c r="C6393" s="16"/>
      <c r="J6393" s="9"/>
    </row>
    <row r="6394">
      <c r="A6394" s="14"/>
      <c r="B6394" s="15"/>
      <c r="C6394" s="16"/>
      <c r="J6394" s="9"/>
    </row>
    <row r="6395">
      <c r="A6395" s="14"/>
      <c r="B6395" s="15"/>
      <c r="C6395" s="16"/>
      <c r="J6395" s="9"/>
    </row>
    <row r="6396">
      <c r="A6396" s="14"/>
      <c r="B6396" s="15"/>
      <c r="C6396" s="16"/>
      <c r="J6396" s="9"/>
    </row>
    <row r="6397">
      <c r="A6397" s="14"/>
      <c r="B6397" s="15"/>
      <c r="C6397" s="16"/>
      <c r="J6397" s="9"/>
    </row>
    <row r="6398">
      <c r="A6398" s="14"/>
      <c r="B6398" s="15"/>
      <c r="C6398" s="16"/>
      <c r="J6398" s="9"/>
    </row>
    <row r="6399">
      <c r="A6399" s="14"/>
      <c r="B6399" s="15"/>
      <c r="C6399" s="16"/>
      <c r="J6399" s="9"/>
    </row>
    <row r="6400">
      <c r="A6400" s="14"/>
      <c r="B6400" s="15"/>
      <c r="C6400" s="16"/>
      <c r="J6400" s="9"/>
    </row>
    <row r="6401">
      <c r="A6401" s="14"/>
      <c r="B6401" s="15"/>
      <c r="C6401" s="16"/>
      <c r="J6401" s="9"/>
    </row>
    <row r="6402">
      <c r="A6402" s="14"/>
      <c r="B6402" s="15"/>
      <c r="C6402" s="16"/>
      <c r="J6402" s="9"/>
    </row>
    <row r="6403">
      <c r="A6403" s="14"/>
      <c r="B6403" s="15"/>
      <c r="C6403" s="16"/>
      <c r="J6403" s="9"/>
    </row>
    <row r="6404">
      <c r="A6404" s="14"/>
      <c r="B6404" s="15"/>
      <c r="C6404" s="16"/>
      <c r="J6404" s="9"/>
    </row>
    <row r="6405">
      <c r="A6405" s="14"/>
      <c r="B6405" s="15"/>
      <c r="C6405" s="16"/>
      <c r="J6405" s="9"/>
    </row>
    <row r="6406">
      <c r="A6406" s="14"/>
      <c r="B6406" s="15"/>
      <c r="C6406" s="16"/>
      <c r="J6406" s="9"/>
    </row>
    <row r="6407">
      <c r="A6407" s="14"/>
      <c r="B6407" s="15"/>
      <c r="C6407" s="16"/>
      <c r="J6407" s="9"/>
    </row>
    <row r="6408">
      <c r="A6408" s="14"/>
      <c r="B6408" s="15"/>
      <c r="C6408" s="16"/>
      <c r="J6408" s="9"/>
    </row>
    <row r="6409">
      <c r="A6409" s="14"/>
      <c r="B6409" s="15"/>
      <c r="C6409" s="16"/>
      <c r="J6409" s="9"/>
    </row>
    <row r="6410">
      <c r="A6410" s="14"/>
      <c r="B6410" s="15"/>
      <c r="C6410" s="16"/>
      <c r="J6410" s="9"/>
    </row>
    <row r="6411">
      <c r="A6411" s="14"/>
      <c r="B6411" s="15"/>
      <c r="C6411" s="16"/>
      <c r="J6411" s="9"/>
    </row>
    <row r="6412">
      <c r="A6412" s="14"/>
      <c r="B6412" s="15"/>
      <c r="C6412" s="16"/>
      <c r="J6412" s="9"/>
    </row>
    <row r="6413">
      <c r="A6413" s="14"/>
      <c r="B6413" s="15"/>
      <c r="C6413" s="16"/>
      <c r="J6413" s="9"/>
    </row>
    <row r="6414">
      <c r="A6414" s="14"/>
      <c r="B6414" s="15"/>
      <c r="C6414" s="16"/>
      <c r="J6414" s="9"/>
    </row>
    <row r="6415">
      <c r="A6415" s="14"/>
      <c r="B6415" s="15"/>
      <c r="C6415" s="16"/>
      <c r="J6415" s="9"/>
    </row>
    <row r="6416">
      <c r="A6416" s="14"/>
      <c r="B6416" s="15"/>
      <c r="C6416" s="16"/>
      <c r="J6416" s="9"/>
    </row>
    <row r="6417">
      <c r="A6417" s="14"/>
      <c r="B6417" s="15"/>
      <c r="C6417" s="16"/>
      <c r="J6417" s="9"/>
    </row>
    <row r="6418">
      <c r="A6418" s="14"/>
      <c r="B6418" s="15"/>
      <c r="C6418" s="16"/>
      <c r="J6418" s="9"/>
    </row>
    <row r="6419">
      <c r="A6419" s="14"/>
      <c r="B6419" s="15"/>
      <c r="C6419" s="16"/>
      <c r="J6419" s="9"/>
    </row>
    <row r="6420">
      <c r="A6420" s="14"/>
      <c r="B6420" s="15"/>
      <c r="C6420" s="16"/>
      <c r="J6420" s="9"/>
    </row>
    <row r="6421">
      <c r="A6421" s="14"/>
      <c r="B6421" s="15"/>
      <c r="C6421" s="16"/>
      <c r="J6421" s="9"/>
    </row>
    <row r="6422">
      <c r="A6422" s="14"/>
      <c r="B6422" s="15"/>
      <c r="C6422" s="16"/>
      <c r="J6422" s="9"/>
    </row>
    <row r="6423">
      <c r="A6423" s="14"/>
      <c r="B6423" s="15"/>
      <c r="C6423" s="16"/>
      <c r="J6423" s="9"/>
    </row>
    <row r="6424">
      <c r="A6424" s="14"/>
      <c r="B6424" s="15"/>
      <c r="C6424" s="16"/>
      <c r="J6424" s="9"/>
    </row>
    <row r="6425">
      <c r="A6425" s="14"/>
      <c r="B6425" s="15"/>
      <c r="C6425" s="16"/>
      <c r="J6425" s="9"/>
    </row>
    <row r="6426">
      <c r="A6426" s="14"/>
      <c r="B6426" s="15"/>
      <c r="C6426" s="16"/>
      <c r="J6426" s="9"/>
    </row>
    <row r="6427">
      <c r="A6427" s="14"/>
      <c r="B6427" s="15"/>
      <c r="C6427" s="16"/>
      <c r="J6427" s="9"/>
    </row>
    <row r="6428">
      <c r="A6428" s="14"/>
      <c r="B6428" s="15"/>
      <c r="C6428" s="16"/>
      <c r="J6428" s="9"/>
    </row>
    <row r="6429">
      <c r="A6429" s="14"/>
      <c r="B6429" s="15"/>
      <c r="C6429" s="16"/>
      <c r="J6429" s="9"/>
    </row>
    <row r="6430">
      <c r="A6430" s="14"/>
      <c r="B6430" s="15"/>
      <c r="C6430" s="16"/>
      <c r="J6430" s="9"/>
    </row>
    <row r="6431">
      <c r="A6431" s="14"/>
      <c r="B6431" s="15"/>
      <c r="C6431" s="16"/>
      <c r="J6431" s="9"/>
    </row>
    <row r="6432">
      <c r="A6432" s="14"/>
      <c r="B6432" s="15"/>
      <c r="C6432" s="16"/>
      <c r="J6432" s="9"/>
    </row>
    <row r="6433">
      <c r="A6433" s="14"/>
      <c r="B6433" s="15"/>
      <c r="C6433" s="16"/>
      <c r="J6433" s="9"/>
    </row>
    <row r="6434">
      <c r="A6434" s="14"/>
      <c r="B6434" s="15"/>
      <c r="C6434" s="16"/>
      <c r="J6434" s="9"/>
    </row>
    <row r="6435">
      <c r="A6435" s="14"/>
      <c r="B6435" s="15"/>
      <c r="C6435" s="16"/>
      <c r="J6435" s="9"/>
    </row>
    <row r="6436">
      <c r="A6436" s="14"/>
      <c r="B6436" s="15"/>
      <c r="C6436" s="16"/>
      <c r="J6436" s="9"/>
    </row>
    <row r="6437">
      <c r="A6437" s="14"/>
      <c r="B6437" s="15"/>
      <c r="C6437" s="16"/>
      <c r="J6437" s="9"/>
    </row>
    <row r="6438">
      <c r="A6438" s="14"/>
      <c r="B6438" s="15"/>
      <c r="C6438" s="16"/>
      <c r="J6438" s="9"/>
    </row>
    <row r="6439">
      <c r="A6439" s="14"/>
      <c r="B6439" s="15"/>
      <c r="C6439" s="16"/>
      <c r="J6439" s="9"/>
    </row>
    <row r="6440">
      <c r="A6440" s="14"/>
      <c r="B6440" s="15"/>
      <c r="C6440" s="16"/>
      <c r="J6440" s="9"/>
    </row>
    <row r="6441">
      <c r="A6441" s="14"/>
      <c r="B6441" s="15"/>
      <c r="C6441" s="16"/>
      <c r="J6441" s="9"/>
    </row>
    <row r="6442">
      <c r="A6442" s="14"/>
      <c r="B6442" s="15"/>
      <c r="C6442" s="16"/>
      <c r="J6442" s="9"/>
    </row>
    <row r="6443">
      <c r="A6443" s="14"/>
      <c r="B6443" s="15"/>
      <c r="C6443" s="16"/>
      <c r="J6443" s="9"/>
    </row>
    <row r="6444">
      <c r="A6444" s="14"/>
      <c r="B6444" s="15"/>
      <c r="C6444" s="16"/>
      <c r="J6444" s="9"/>
    </row>
    <row r="6445">
      <c r="A6445" s="14"/>
      <c r="B6445" s="15"/>
      <c r="C6445" s="16"/>
      <c r="J6445" s="9"/>
    </row>
    <row r="6446">
      <c r="A6446" s="14"/>
      <c r="B6446" s="15"/>
      <c r="C6446" s="16"/>
      <c r="J6446" s="9"/>
    </row>
    <row r="6447">
      <c r="A6447" s="14"/>
      <c r="B6447" s="15"/>
      <c r="C6447" s="16"/>
      <c r="J6447" s="9"/>
    </row>
    <row r="6448">
      <c r="A6448" s="14"/>
      <c r="B6448" s="15"/>
      <c r="C6448" s="16"/>
      <c r="J6448" s="9"/>
    </row>
    <row r="6449">
      <c r="A6449" s="14"/>
      <c r="B6449" s="15"/>
      <c r="C6449" s="16"/>
      <c r="J6449" s="9"/>
    </row>
    <row r="6450">
      <c r="A6450" s="14"/>
      <c r="B6450" s="15"/>
      <c r="C6450" s="16"/>
      <c r="J6450" s="9"/>
    </row>
    <row r="6451">
      <c r="A6451" s="14"/>
      <c r="B6451" s="15"/>
      <c r="C6451" s="16"/>
      <c r="J6451" s="9"/>
    </row>
    <row r="6452">
      <c r="A6452" s="14"/>
      <c r="B6452" s="15"/>
      <c r="C6452" s="16"/>
      <c r="J6452" s="9"/>
    </row>
    <row r="6453">
      <c r="A6453" s="14"/>
      <c r="B6453" s="15"/>
      <c r="C6453" s="16"/>
      <c r="J6453" s="9"/>
    </row>
    <row r="6454">
      <c r="A6454" s="14"/>
      <c r="B6454" s="15"/>
      <c r="C6454" s="16"/>
      <c r="J6454" s="9"/>
    </row>
    <row r="6455">
      <c r="A6455" s="14"/>
      <c r="B6455" s="15"/>
      <c r="C6455" s="16"/>
      <c r="J6455" s="9"/>
    </row>
    <row r="6456">
      <c r="A6456" s="14"/>
      <c r="B6456" s="15"/>
      <c r="C6456" s="16"/>
      <c r="J6456" s="9"/>
    </row>
    <row r="6457">
      <c r="A6457" s="14"/>
      <c r="B6457" s="15"/>
      <c r="C6457" s="16"/>
      <c r="J6457" s="9"/>
    </row>
    <row r="6458">
      <c r="A6458" s="14"/>
      <c r="B6458" s="15"/>
      <c r="C6458" s="16"/>
      <c r="J6458" s="9"/>
    </row>
    <row r="6459">
      <c r="A6459" s="14"/>
      <c r="B6459" s="15"/>
      <c r="C6459" s="16"/>
      <c r="J6459" s="9"/>
    </row>
    <row r="6460">
      <c r="A6460" s="14"/>
      <c r="B6460" s="15"/>
      <c r="C6460" s="16"/>
      <c r="J6460" s="9"/>
    </row>
    <row r="6461">
      <c r="A6461" s="14"/>
      <c r="B6461" s="15"/>
      <c r="C6461" s="16"/>
      <c r="J6461" s="9"/>
    </row>
    <row r="6462">
      <c r="A6462" s="14"/>
      <c r="B6462" s="15"/>
      <c r="C6462" s="16"/>
      <c r="J6462" s="9"/>
    </row>
    <row r="6463">
      <c r="A6463" s="14"/>
      <c r="B6463" s="15"/>
      <c r="C6463" s="16"/>
      <c r="J6463" s="9"/>
    </row>
    <row r="6464">
      <c r="A6464" s="14"/>
      <c r="B6464" s="15"/>
      <c r="C6464" s="16"/>
      <c r="J6464" s="9"/>
    </row>
    <row r="6465">
      <c r="A6465" s="14"/>
      <c r="B6465" s="15"/>
      <c r="C6465" s="16"/>
      <c r="J6465" s="9"/>
    </row>
    <row r="6466">
      <c r="A6466" s="14"/>
      <c r="B6466" s="15"/>
      <c r="C6466" s="16"/>
      <c r="J6466" s="9"/>
    </row>
    <row r="6467">
      <c r="A6467" s="14"/>
      <c r="B6467" s="15"/>
      <c r="C6467" s="16"/>
      <c r="J6467" s="9"/>
    </row>
    <row r="6468">
      <c r="A6468" s="14"/>
      <c r="B6468" s="15"/>
      <c r="C6468" s="16"/>
      <c r="J6468" s="9"/>
    </row>
    <row r="6469">
      <c r="A6469" s="14"/>
      <c r="B6469" s="15"/>
      <c r="C6469" s="16"/>
      <c r="J6469" s="9"/>
    </row>
    <row r="6470">
      <c r="A6470" s="14"/>
      <c r="B6470" s="15"/>
      <c r="C6470" s="16"/>
      <c r="J6470" s="9"/>
    </row>
    <row r="6471">
      <c r="A6471" s="14"/>
      <c r="B6471" s="15"/>
      <c r="C6471" s="16"/>
      <c r="J6471" s="9"/>
    </row>
    <row r="6472">
      <c r="A6472" s="14"/>
      <c r="B6472" s="15"/>
      <c r="C6472" s="16"/>
      <c r="J6472" s="9"/>
    </row>
    <row r="6473">
      <c r="A6473" s="14"/>
      <c r="B6473" s="15"/>
      <c r="C6473" s="16"/>
      <c r="J6473" s="9"/>
    </row>
    <row r="6474">
      <c r="A6474" s="14"/>
      <c r="B6474" s="15"/>
      <c r="C6474" s="16"/>
      <c r="J6474" s="9"/>
    </row>
    <row r="6475">
      <c r="A6475" s="14"/>
      <c r="B6475" s="15"/>
      <c r="C6475" s="16"/>
      <c r="J6475" s="9"/>
    </row>
    <row r="6476">
      <c r="A6476" s="14"/>
      <c r="B6476" s="15"/>
      <c r="C6476" s="16"/>
      <c r="J6476" s="9"/>
    </row>
    <row r="6477">
      <c r="A6477" s="14"/>
      <c r="B6477" s="15"/>
      <c r="C6477" s="16"/>
      <c r="J6477" s="9"/>
    </row>
    <row r="6478">
      <c r="A6478" s="14"/>
      <c r="B6478" s="15"/>
      <c r="C6478" s="16"/>
      <c r="J6478" s="9"/>
    </row>
    <row r="6479">
      <c r="A6479" s="14"/>
      <c r="B6479" s="15"/>
      <c r="C6479" s="16"/>
      <c r="J6479" s="9"/>
    </row>
    <row r="6480">
      <c r="A6480" s="14"/>
      <c r="B6480" s="15"/>
      <c r="C6480" s="16"/>
      <c r="J6480" s="9"/>
    </row>
    <row r="6481">
      <c r="A6481" s="14"/>
      <c r="B6481" s="15"/>
      <c r="C6481" s="16"/>
      <c r="J6481" s="9"/>
    </row>
    <row r="6482">
      <c r="A6482" s="14"/>
      <c r="B6482" s="15"/>
      <c r="C6482" s="16"/>
      <c r="J6482" s="9"/>
    </row>
    <row r="6483">
      <c r="A6483" s="14"/>
      <c r="B6483" s="15"/>
      <c r="C6483" s="16"/>
      <c r="J6483" s="9"/>
    </row>
    <row r="6484">
      <c r="A6484" s="14"/>
      <c r="B6484" s="15"/>
      <c r="C6484" s="16"/>
      <c r="J6484" s="9"/>
    </row>
    <row r="6485">
      <c r="A6485" s="14"/>
      <c r="B6485" s="15"/>
      <c r="C6485" s="16"/>
      <c r="J6485" s="9"/>
    </row>
    <row r="6486">
      <c r="A6486" s="14"/>
      <c r="B6486" s="15"/>
      <c r="C6486" s="16"/>
      <c r="J6486" s="9"/>
    </row>
    <row r="6487">
      <c r="A6487" s="14"/>
      <c r="B6487" s="15"/>
      <c r="C6487" s="16"/>
      <c r="J6487" s="9"/>
    </row>
    <row r="6488">
      <c r="A6488" s="14"/>
      <c r="B6488" s="15"/>
      <c r="C6488" s="16"/>
      <c r="J6488" s="9"/>
    </row>
    <row r="6489">
      <c r="A6489" s="14"/>
      <c r="B6489" s="15"/>
      <c r="C6489" s="16"/>
      <c r="J6489" s="9"/>
    </row>
    <row r="6490">
      <c r="A6490" s="14"/>
      <c r="B6490" s="15"/>
      <c r="C6490" s="16"/>
      <c r="J6490" s="9"/>
    </row>
    <row r="6491">
      <c r="A6491" s="14"/>
      <c r="B6491" s="15"/>
      <c r="C6491" s="16"/>
      <c r="J6491" s="9"/>
    </row>
    <row r="6492">
      <c r="A6492" s="14"/>
      <c r="B6492" s="15"/>
      <c r="C6492" s="16"/>
      <c r="J6492" s="9"/>
    </row>
    <row r="6493">
      <c r="A6493" s="14"/>
      <c r="B6493" s="15"/>
      <c r="C6493" s="16"/>
      <c r="J6493" s="9"/>
    </row>
    <row r="6494">
      <c r="A6494" s="14"/>
      <c r="B6494" s="15"/>
      <c r="C6494" s="16"/>
      <c r="J6494" s="9"/>
    </row>
    <row r="6495">
      <c r="A6495" s="14"/>
      <c r="B6495" s="15"/>
      <c r="C6495" s="16"/>
      <c r="J6495" s="9"/>
    </row>
    <row r="6496">
      <c r="A6496" s="14"/>
      <c r="B6496" s="15"/>
      <c r="C6496" s="16"/>
      <c r="J6496" s="9"/>
    </row>
    <row r="6497">
      <c r="A6497" s="14"/>
      <c r="B6497" s="15"/>
      <c r="C6497" s="16"/>
      <c r="J6497" s="9"/>
    </row>
    <row r="6498">
      <c r="A6498" s="14"/>
      <c r="B6498" s="15"/>
      <c r="C6498" s="16"/>
      <c r="J6498" s="9"/>
    </row>
    <row r="6499">
      <c r="A6499" s="14"/>
      <c r="B6499" s="15"/>
      <c r="C6499" s="16"/>
      <c r="J6499" s="9"/>
    </row>
    <row r="6500">
      <c r="A6500" s="14"/>
      <c r="B6500" s="15"/>
      <c r="C6500" s="16"/>
      <c r="J6500" s="9"/>
    </row>
    <row r="6501">
      <c r="A6501" s="14"/>
      <c r="B6501" s="15"/>
      <c r="C6501" s="16"/>
      <c r="J6501" s="9"/>
    </row>
    <row r="6502">
      <c r="A6502" s="14"/>
      <c r="B6502" s="15"/>
      <c r="C6502" s="16"/>
      <c r="J6502" s="9"/>
    </row>
    <row r="6503">
      <c r="A6503" s="14"/>
      <c r="B6503" s="15"/>
      <c r="C6503" s="16"/>
      <c r="J6503" s="9"/>
    </row>
    <row r="6504">
      <c r="A6504" s="14"/>
      <c r="B6504" s="15"/>
      <c r="C6504" s="16"/>
      <c r="J6504" s="9"/>
    </row>
    <row r="6505">
      <c r="A6505" s="14"/>
      <c r="B6505" s="15"/>
      <c r="C6505" s="16"/>
      <c r="J6505" s="9"/>
    </row>
    <row r="6506">
      <c r="A6506" s="14"/>
      <c r="B6506" s="15"/>
      <c r="C6506" s="16"/>
      <c r="J6506" s="9"/>
    </row>
    <row r="6507">
      <c r="A6507" s="14"/>
      <c r="B6507" s="15"/>
      <c r="C6507" s="16"/>
      <c r="J6507" s="9"/>
    </row>
    <row r="6508">
      <c r="A6508" s="14"/>
      <c r="B6508" s="15"/>
      <c r="C6508" s="16"/>
      <c r="J6508" s="9"/>
    </row>
    <row r="6509">
      <c r="A6509" s="14"/>
      <c r="B6509" s="15"/>
      <c r="C6509" s="16"/>
      <c r="J6509" s="9"/>
    </row>
    <row r="6510">
      <c r="A6510" s="14"/>
      <c r="B6510" s="15"/>
      <c r="C6510" s="16"/>
      <c r="J6510" s="9"/>
    </row>
    <row r="6511">
      <c r="A6511" s="14"/>
      <c r="B6511" s="15"/>
      <c r="C6511" s="16"/>
      <c r="J6511" s="9"/>
    </row>
    <row r="6512">
      <c r="A6512" s="14"/>
      <c r="B6512" s="15"/>
      <c r="C6512" s="16"/>
      <c r="J6512" s="9"/>
    </row>
    <row r="6513">
      <c r="A6513" s="14"/>
      <c r="B6513" s="15"/>
      <c r="C6513" s="16"/>
      <c r="J6513" s="9"/>
    </row>
    <row r="6514">
      <c r="A6514" s="14"/>
      <c r="B6514" s="15"/>
      <c r="C6514" s="16"/>
      <c r="J6514" s="9"/>
    </row>
    <row r="6515">
      <c r="A6515" s="14"/>
      <c r="B6515" s="15"/>
      <c r="C6515" s="16"/>
      <c r="J6515" s="9"/>
    </row>
    <row r="6516">
      <c r="A6516" s="14"/>
      <c r="B6516" s="15"/>
      <c r="C6516" s="16"/>
      <c r="J6516" s="9"/>
    </row>
    <row r="6517">
      <c r="A6517" s="14"/>
      <c r="B6517" s="15"/>
      <c r="C6517" s="16"/>
      <c r="J6517" s="9"/>
    </row>
    <row r="6518">
      <c r="A6518" s="14"/>
      <c r="B6518" s="15"/>
      <c r="C6518" s="16"/>
      <c r="J6518" s="9"/>
    </row>
    <row r="6519">
      <c r="A6519" s="14"/>
      <c r="B6519" s="15"/>
      <c r="C6519" s="16"/>
      <c r="J6519" s="9"/>
    </row>
    <row r="6520">
      <c r="A6520" s="14"/>
      <c r="B6520" s="15"/>
      <c r="C6520" s="16"/>
      <c r="J6520" s="9"/>
    </row>
    <row r="6521">
      <c r="A6521" s="14"/>
      <c r="B6521" s="15"/>
      <c r="C6521" s="16"/>
      <c r="J6521" s="9"/>
    </row>
    <row r="6522">
      <c r="A6522" s="14"/>
      <c r="B6522" s="15"/>
      <c r="C6522" s="16"/>
      <c r="J6522" s="9"/>
    </row>
    <row r="6523">
      <c r="A6523" s="14"/>
      <c r="B6523" s="15"/>
      <c r="C6523" s="16"/>
      <c r="J6523" s="9"/>
    </row>
    <row r="6524">
      <c r="A6524" s="14"/>
      <c r="B6524" s="15"/>
      <c r="C6524" s="16"/>
      <c r="J6524" s="9"/>
    </row>
    <row r="6525">
      <c r="A6525" s="14"/>
      <c r="B6525" s="15"/>
      <c r="C6525" s="16"/>
      <c r="J6525" s="9"/>
    </row>
    <row r="6526">
      <c r="A6526" s="14"/>
      <c r="B6526" s="15"/>
      <c r="C6526" s="16"/>
      <c r="J6526" s="9"/>
    </row>
    <row r="6527">
      <c r="A6527" s="14"/>
      <c r="B6527" s="15"/>
      <c r="C6527" s="16"/>
      <c r="J6527" s="9"/>
    </row>
    <row r="6528">
      <c r="A6528" s="14"/>
      <c r="B6528" s="15"/>
      <c r="C6528" s="16"/>
      <c r="J6528" s="9"/>
    </row>
    <row r="6529">
      <c r="A6529" s="14"/>
      <c r="B6529" s="15"/>
      <c r="C6529" s="16"/>
      <c r="J6529" s="9"/>
    </row>
    <row r="6530">
      <c r="A6530" s="14"/>
      <c r="B6530" s="15"/>
      <c r="C6530" s="16"/>
      <c r="J6530" s="9"/>
    </row>
    <row r="6531">
      <c r="A6531" s="14"/>
      <c r="B6531" s="15"/>
      <c r="C6531" s="16"/>
      <c r="J6531" s="9"/>
    </row>
    <row r="6532">
      <c r="A6532" s="14"/>
      <c r="B6532" s="15"/>
      <c r="C6532" s="16"/>
      <c r="J6532" s="9"/>
    </row>
    <row r="6533">
      <c r="A6533" s="14"/>
      <c r="B6533" s="15"/>
      <c r="C6533" s="16"/>
      <c r="J6533" s="9"/>
    </row>
    <row r="6534">
      <c r="A6534" s="14"/>
      <c r="B6534" s="15"/>
      <c r="C6534" s="16"/>
      <c r="J6534" s="9"/>
    </row>
    <row r="6535">
      <c r="A6535" s="14"/>
      <c r="B6535" s="15"/>
      <c r="C6535" s="16"/>
      <c r="J6535" s="9"/>
    </row>
    <row r="6536">
      <c r="A6536" s="14"/>
      <c r="B6536" s="15"/>
      <c r="C6536" s="16"/>
      <c r="J6536" s="9"/>
    </row>
    <row r="6537">
      <c r="A6537" s="14"/>
      <c r="B6537" s="15"/>
      <c r="C6537" s="16"/>
      <c r="J6537" s="9"/>
    </row>
    <row r="6538">
      <c r="A6538" s="14"/>
      <c r="B6538" s="15"/>
      <c r="C6538" s="16"/>
      <c r="J6538" s="9"/>
    </row>
    <row r="6539">
      <c r="A6539" s="14"/>
      <c r="B6539" s="15"/>
      <c r="C6539" s="16"/>
      <c r="J6539" s="9"/>
    </row>
    <row r="6540">
      <c r="A6540" s="14"/>
      <c r="B6540" s="15"/>
      <c r="C6540" s="16"/>
      <c r="J6540" s="9"/>
    </row>
    <row r="6541">
      <c r="A6541" s="14"/>
      <c r="B6541" s="15"/>
      <c r="C6541" s="16"/>
      <c r="J6541" s="9"/>
    </row>
    <row r="6542">
      <c r="A6542" s="14"/>
      <c r="B6542" s="15"/>
      <c r="C6542" s="16"/>
      <c r="J6542" s="9"/>
    </row>
    <row r="6543">
      <c r="A6543" s="14"/>
      <c r="B6543" s="15"/>
      <c r="C6543" s="16"/>
      <c r="J6543" s="9"/>
    </row>
    <row r="6544">
      <c r="A6544" s="14"/>
      <c r="B6544" s="15"/>
      <c r="C6544" s="16"/>
      <c r="J6544" s="9"/>
    </row>
    <row r="6545">
      <c r="A6545" s="14"/>
      <c r="B6545" s="15"/>
      <c r="C6545" s="16"/>
      <c r="J6545" s="9"/>
    </row>
    <row r="6546">
      <c r="A6546" s="14"/>
      <c r="B6546" s="15"/>
      <c r="C6546" s="16"/>
      <c r="J6546" s="9"/>
    </row>
    <row r="6547">
      <c r="A6547" s="14"/>
      <c r="B6547" s="15"/>
      <c r="C6547" s="16"/>
      <c r="J6547" s="9"/>
    </row>
    <row r="6548">
      <c r="A6548" s="14"/>
      <c r="B6548" s="15"/>
      <c r="C6548" s="16"/>
      <c r="J6548" s="9"/>
    </row>
    <row r="6549">
      <c r="A6549" s="14"/>
      <c r="B6549" s="15"/>
      <c r="C6549" s="16"/>
      <c r="J6549" s="9"/>
    </row>
    <row r="6550">
      <c r="A6550" s="14"/>
      <c r="B6550" s="15"/>
      <c r="C6550" s="16"/>
      <c r="J6550" s="9"/>
    </row>
    <row r="6551">
      <c r="A6551" s="14"/>
      <c r="B6551" s="15"/>
      <c r="C6551" s="16"/>
      <c r="J6551" s="9"/>
    </row>
    <row r="6552">
      <c r="A6552" s="14"/>
      <c r="B6552" s="15"/>
      <c r="C6552" s="16"/>
      <c r="J6552" s="9"/>
    </row>
    <row r="6553">
      <c r="A6553" s="14"/>
      <c r="B6553" s="15"/>
      <c r="C6553" s="16"/>
      <c r="J6553" s="9"/>
    </row>
    <row r="6554">
      <c r="A6554" s="14"/>
      <c r="B6554" s="15"/>
      <c r="C6554" s="16"/>
      <c r="J6554" s="9"/>
    </row>
    <row r="6555">
      <c r="A6555" s="14"/>
      <c r="B6555" s="15"/>
      <c r="C6555" s="16"/>
      <c r="J6555" s="9"/>
    </row>
    <row r="6556">
      <c r="A6556" s="14"/>
      <c r="B6556" s="15"/>
      <c r="C6556" s="16"/>
      <c r="J6556" s="9"/>
    </row>
    <row r="6557">
      <c r="A6557" s="14"/>
      <c r="B6557" s="15"/>
      <c r="C6557" s="16"/>
      <c r="J6557" s="9"/>
    </row>
    <row r="6558">
      <c r="A6558" s="14"/>
      <c r="B6558" s="15"/>
      <c r="C6558" s="16"/>
      <c r="J6558" s="9"/>
    </row>
    <row r="6559">
      <c r="A6559" s="14"/>
      <c r="B6559" s="15"/>
      <c r="C6559" s="16"/>
      <c r="J6559" s="9"/>
    </row>
    <row r="6560">
      <c r="A6560" s="14"/>
      <c r="B6560" s="15"/>
      <c r="C6560" s="16"/>
      <c r="J6560" s="9"/>
    </row>
    <row r="6561">
      <c r="A6561" s="14"/>
      <c r="B6561" s="15"/>
      <c r="C6561" s="16"/>
      <c r="J6561" s="9"/>
    </row>
    <row r="6562">
      <c r="A6562" s="14"/>
      <c r="B6562" s="15"/>
      <c r="C6562" s="16"/>
      <c r="J6562" s="9"/>
    </row>
    <row r="6563">
      <c r="A6563" s="14"/>
      <c r="B6563" s="15"/>
      <c r="C6563" s="16"/>
      <c r="J6563" s="9"/>
    </row>
    <row r="6564">
      <c r="A6564" s="14"/>
      <c r="B6564" s="15"/>
      <c r="C6564" s="16"/>
      <c r="J6564" s="9"/>
    </row>
    <row r="6565">
      <c r="A6565" s="14"/>
      <c r="B6565" s="15"/>
      <c r="C6565" s="16"/>
      <c r="J6565" s="9"/>
    </row>
    <row r="6566">
      <c r="A6566" s="14"/>
      <c r="B6566" s="15"/>
      <c r="C6566" s="16"/>
      <c r="J6566" s="9"/>
    </row>
    <row r="6567">
      <c r="A6567" s="14"/>
      <c r="B6567" s="15"/>
      <c r="C6567" s="16"/>
      <c r="J6567" s="9"/>
    </row>
    <row r="6568">
      <c r="A6568" s="14"/>
      <c r="B6568" s="15"/>
      <c r="C6568" s="16"/>
      <c r="J6568" s="9"/>
    </row>
    <row r="6569">
      <c r="A6569" s="14"/>
      <c r="B6569" s="15"/>
      <c r="C6569" s="16"/>
      <c r="J6569" s="9"/>
    </row>
    <row r="6570">
      <c r="A6570" s="14"/>
      <c r="B6570" s="15"/>
      <c r="C6570" s="16"/>
      <c r="J6570" s="9"/>
    </row>
    <row r="6571">
      <c r="A6571" s="14"/>
      <c r="B6571" s="15"/>
      <c r="C6571" s="16"/>
      <c r="J6571" s="9"/>
    </row>
    <row r="6572">
      <c r="A6572" s="14"/>
      <c r="B6572" s="15"/>
      <c r="C6572" s="16"/>
      <c r="J6572" s="9"/>
    </row>
    <row r="6573">
      <c r="A6573" s="14"/>
      <c r="B6573" s="15"/>
      <c r="C6573" s="16"/>
      <c r="J6573" s="9"/>
    </row>
    <row r="6574">
      <c r="A6574" s="14"/>
      <c r="B6574" s="15"/>
      <c r="C6574" s="16"/>
      <c r="J6574" s="9"/>
    </row>
    <row r="6575">
      <c r="A6575" s="14"/>
      <c r="B6575" s="15"/>
      <c r="C6575" s="16"/>
      <c r="J6575" s="9"/>
    </row>
    <row r="6576">
      <c r="A6576" s="14"/>
      <c r="B6576" s="15"/>
      <c r="C6576" s="16"/>
      <c r="J6576" s="9"/>
    </row>
    <row r="6577">
      <c r="A6577" s="14"/>
      <c r="B6577" s="15"/>
      <c r="C6577" s="16"/>
      <c r="J6577" s="9"/>
    </row>
    <row r="6578">
      <c r="A6578" s="14"/>
      <c r="B6578" s="15"/>
      <c r="C6578" s="16"/>
      <c r="J6578" s="9"/>
    </row>
    <row r="6579">
      <c r="A6579" s="14"/>
      <c r="B6579" s="15"/>
      <c r="C6579" s="16"/>
      <c r="J6579" s="9"/>
    </row>
    <row r="6580">
      <c r="A6580" s="14"/>
      <c r="B6580" s="15"/>
      <c r="C6580" s="16"/>
      <c r="J6580" s="9"/>
    </row>
    <row r="6581">
      <c r="A6581" s="14"/>
      <c r="B6581" s="15"/>
      <c r="C6581" s="16"/>
      <c r="J6581" s="9"/>
    </row>
    <row r="6582">
      <c r="A6582" s="14"/>
      <c r="B6582" s="15"/>
      <c r="C6582" s="16"/>
      <c r="J6582" s="9"/>
    </row>
    <row r="6583">
      <c r="A6583" s="14"/>
      <c r="B6583" s="15"/>
      <c r="C6583" s="16"/>
      <c r="J6583" s="9"/>
    </row>
    <row r="6584">
      <c r="A6584" s="14"/>
      <c r="B6584" s="15"/>
      <c r="C6584" s="16"/>
      <c r="J6584" s="9"/>
    </row>
    <row r="6585">
      <c r="A6585" s="14"/>
      <c r="B6585" s="15"/>
      <c r="C6585" s="16"/>
      <c r="J6585" s="9"/>
    </row>
    <row r="6586">
      <c r="A6586" s="14"/>
      <c r="B6586" s="15"/>
      <c r="C6586" s="16"/>
      <c r="J6586" s="9"/>
    </row>
    <row r="6587">
      <c r="A6587" s="14"/>
      <c r="B6587" s="15"/>
      <c r="C6587" s="16"/>
      <c r="J6587" s="9"/>
    </row>
    <row r="6588">
      <c r="A6588" s="14"/>
      <c r="B6588" s="15"/>
      <c r="C6588" s="16"/>
      <c r="J6588" s="9"/>
    </row>
    <row r="6589">
      <c r="A6589" s="14"/>
      <c r="B6589" s="15"/>
      <c r="C6589" s="16"/>
      <c r="J6589" s="9"/>
    </row>
    <row r="6590">
      <c r="A6590" s="14"/>
      <c r="B6590" s="15"/>
      <c r="C6590" s="16"/>
      <c r="J6590" s="9"/>
    </row>
    <row r="6591">
      <c r="A6591" s="14"/>
      <c r="B6591" s="15"/>
      <c r="C6591" s="16"/>
      <c r="J6591" s="9"/>
    </row>
    <row r="6592">
      <c r="A6592" s="14"/>
      <c r="B6592" s="15"/>
      <c r="C6592" s="16"/>
      <c r="J6592" s="9"/>
    </row>
    <row r="6593">
      <c r="A6593" s="14"/>
      <c r="B6593" s="15"/>
      <c r="C6593" s="16"/>
      <c r="J6593" s="9"/>
    </row>
    <row r="6594">
      <c r="A6594" s="14"/>
      <c r="B6594" s="15"/>
      <c r="C6594" s="16"/>
      <c r="J6594" s="9"/>
    </row>
    <row r="6595">
      <c r="A6595" s="14"/>
      <c r="B6595" s="15"/>
      <c r="C6595" s="16"/>
      <c r="J6595" s="9"/>
    </row>
    <row r="6596">
      <c r="A6596" s="14"/>
      <c r="B6596" s="15"/>
      <c r="C6596" s="16"/>
      <c r="J6596" s="9"/>
    </row>
    <row r="6597">
      <c r="A6597" s="14"/>
      <c r="B6597" s="15"/>
      <c r="C6597" s="16"/>
      <c r="J6597" s="9"/>
    </row>
    <row r="6598">
      <c r="A6598" s="14"/>
      <c r="B6598" s="15"/>
      <c r="C6598" s="16"/>
      <c r="J6598" s="9"/>
    </row>
    <row r="6599">
      <c r="A6599" s="14"/>
      <c r="B6599" s="15"/>
      <c r="C6599" s="16"/>
      <c r="J6599" s="9"/>
    </row>
    <row r="6600">
      <c r="A6600" s="14"/>
      <c r="B6600" s="15"/>
      <c r="C6600" s="16"/>
      <c r="J6600" s="9"/>
    </row>
    <row r="6601">
      <c r="A6601" s="14"/>
      <c r="B6601" s="15"/>
      <c r="C6601" s="16"/>
      <c r="J6601" s="9"/>
    </row>
    <row r="6602">
      <c r="A6602" s="14"/>
      <c r="B6602" s="15"/>
      <c r="C6602" s="16"/>
      <c r="J6602" s="9"/>
    </row>
    <row r="6603">
      <c r="A6603" s="14"/>
      <c r="B6603" s="15"/>
      <c r="C6603" s="16"/>
      <c r="J6603" s="9"/>
    </row>
    <row r="6604">
      <c r="A6604" s="14"/>
      <c r="B6604" s="15"/>
      <c r="C6604" s="16"/>
      <c r="J6604" s="9"/>
    </row>
    <row r="6605">
      <c r="A6605" s="14"/>
      <c r="B6605" s="15"/>
      <c r="C6605" s="16"/>
      <c r="J6605" s="9"/>
    </row>
    <row r="6606">
      <c r="A6606" s="14"/>
      <c r="B6606" s="15"/>
      <c r="C6606" s="16"/>
      <c r="J6606" s="9"/>
    </row>
    <row r="6607">
      <c r="A6607" s="14"/>
      <c r="B6607" s="15"/>
      <c r="C6607" s="16"/>
      <c r="J6607" s="9"/>
    </row>
    <row r="6608">
      <c r="A6608" s="14"/>
      <c r="B6608" s="15"/>
      <c r="C6608" s="16"/>
      <c r="J6608" s="9"/>
    </row>
    <row r="6609">
      <c r="A6609" s="14"/>
      <c r="B6609" s="15"/>
      <c r="C6609" s="16"/>
      <c r="J6609" s="9"/>
    </row>
    <row r="6610">
      <c r="A6610" s="14"/>
      <c r="B6610" s="15"/>
      <c r="C6610" s="16"/>
      <c r="J6610" s="9"/>
    </row>
    <row r="6611">
      <c r="A6611" s="14"/>
      <c r="B6611" s="15"/>
      <c r="C6611" s="16"/>
      <c r="J6611" s="9"/>
    </row>
    <row r="6612">
      <c r="A6612" s="14"/>
      <c r="B6612" s="15"/>
      <c r="C6612" s="16"/>
      <c r="J6612" s="9"/>
    </row>
    <row r="6613">
      <c r="A6613" s="14"/>
      <c r="B6613" s="15"/>
      <c r="C6613" s="16"/>
      <c r="J6613" s="9"/>
    </row>
    <row r="6614">
      <c r="A6614" s="14"/>
      <c r="B6614" s="15"/>
      <c r="C6614" s="16"/>
      <c r="J6614" s="9"/>
    </row>
    <row r="6615">
      <c r="A6615" s="14"/>
      <c r="B6615" s="15"/>
      <c r="C6615" s="16"/>
      <c r="J6615" s="9"/>
    </row>
    <row r="6616">
      <c r="A6616" s="14"/>
      <c r="B6616" s="15"/>
      <c r="C6616" s="16"/>
      <c r="J6616" s="9"/>
    </row>
    <row r="6617">
      <c r="A6617" s="14"/>
      <c r="B6617" s="15"/>
      <c r="C6617" s="16"/>
      <c r="J6617" s="9"/>
    </row>
    <row r="6618">
      <c r="A6618" s="14"/>
      <c r="B6618" s="15"/>
      <c r="C6618" s="16"/>
      <c r="J6618" s="9"/>
    </row>
    <row r="6619">
      <c r="A6619" s="14"/>
      <c r="B6619" s="15"/>
      <c r="C6619" s="16"/>
      <c r="J6619" s="9"/>
    </row>
    <row r="6620">
      <c r="A6620" s="14"/>
      <c r="B6620" s="15"/>
      <c r="C6620" s="16"/>
      <c r="J6620" s="9"/>
    </row>
    <row r="6621">
      <c r="A6621" s="14"/>
      <c r="B6621" s="15"/>
      <c r="C6621" s="16"/>
      <c r="J6621" s="9"/>
    </row>
    <row r="6622">
      <c r="A6622" s="14"/>
      <c r="B6622" s="15"/>
      <c r="C6622" s="16"/>
      <c r="J6622" s="9"/>
    </row>
    <row r="6623">
      <c r="A6623" s="14"/>
      <c r="B6623" s="15"/>
      <c r="C6623" s="16"/>
      <c r="J6623" s="9"/>
    </row>
    <row r="6624">
      <c r="A6624" s="14"/>
      <c r="B6624" s="15"/>
      <c r="C6624" s="16"/>
      <c r="J6624" s="9"/>
    </row>
    <row r="6625">
      <c r="A6625" s="14"/>
      <c r="B6625" s="15"/>
      <c r="C6625" s="16"/>
      <c r="J6625" s="9"/>
    </row>
    <row r="6626">
      <c r="A6626" s="14"/>
      <c r="B6626" s="15"/>
      <c r="C6626" s="16"/>
      <c r="J6626" s="9"/>
    </row>
    <row r="6627">
      <c r="A6627" s="14"/>
      <c r="B6627" s="15"/>
      <c r="C6627" s="16"/>
      <c r="J6627" s="9"/>
    </row>
    <row r="6628">
      <c r="A6628" s="14"/>
      <c r="B6628" s="15"/>
      <c r="C6628" s="16"/>
      <c r="J6628" s="9"/>
    </row>
    <row r="6629">
      <c r="A6629" s="14"/>
      <c r="B6629" s="15"/>
      <c r="C6629" s="16"/>
      <c r="J6629" s="9"/>
    </row>
    <row r="6630">
      <c r="A6630" s="14"/>
      <c r="B6630" s="15"/>
      <c r="C6630" s="16"/>
      <c r="J6630" s="9"/>
    </row>
    <row r="6631">
      <c r="A6631" s="14"/>
      <c r="B6631" s="15"/>
      <c r="C6631" s="16"/>
      <c r="J6631" s="9"/>
    </row>
    <row r="6632">
      <c r="A6632" s="14"/>
      <c r="B6632" s="15"/>
      <c r="C6632" s="16"/>
      <c r="J6632" s="9"/>
    </row>
    <row r="6633">
      <c r="A6633" s="14"/>
      <c r="B6633" s="15"/>
      <c r="C6633" s="16"/>
      <c r="J6633" s="9"/>
    </row>
    <row r="6634">
      <c r="A6634" s="14"/>
      <c r="B6634" s="15"/>
      <c r="C6634" s="16"/>
      <c r="J6634" s="9"/>
    </row>
    <row r="6635">
      <c r="A6635" s="14"/>
      <c r="B6635" s="15"/>
      <c r="C6635" s="16"/>
      <c r="J6635" s="9"/>
    </row>
    <row r="6636">
      <c r="A6636" s="14"/>
      <c r="B6636" s="15"/>
      <c r="C6636" s="16"/>
      <c r="J6636" s="9"/>
    </row>
    <row r="6637">
      <c r="A6637" s="14"/>
      <c r="B6637" s="15"/>
      <c r="C6637" s="16"/>
      <c r="J6637" s="9"/>
    </row>
    <row r="6638">
      <c r="A6638" s="14"/>
      <c r="B6638" s="15"/>
      <c r="C6638" s="16"/>
      <c r="J6638" s="9"/>
    </row>
    <row r="6639">
      <c r="A6639" s="14"/>
      <c r="B6639" s="15"/>
      <c r="C6639" s="16"/>
      <c r="J6639" s="9"/>
    </row>
    <row r="6640">
      <c r="A6640" s="14"/>
      <c r="B6640" s="15"/>
      <c r="C6640" s="16"/>
      <c r="J6640" s="9"/>
    </row>
    <row r="6641">
      <c r="A6641" s="14"/>
      <c r="B6641" s="15"/>
      <c r="C6641" s="16"/>
      <c r="J6641" s="9"/>
    </row>
    <row r="6642">
      <c r="A6642" s="14"/>
      <c r="B6642" s="15"/>
      <c r="C6642" s="16"/>
      <c r="J6642" s="9"/>
    </row>
    <row r="6643">
      <c r="A6643" s="14"/>
      <c r="B6643" s="15"/>
      <c r="C6643" s="16"/>
      <c r="J6643" s="9"/>
    </row>
    <row r="6644">
      <c r="A6644" s="14"/>
      <c r="B6644" s="15"/>
      <c r="C6644" s="16"/>
      <c r="J6644" s="9"/>
    </row>
    <row r="6645">
      <c r="A6645" s="14"/>
      <c r="B6645" s="15"/>
      <c r="C6645" s="16"/>
      <c r="J6645" s="9"/>
    </row>
    <row r="6646">
      <c r="A6646" s="14"/>
      <c r="B6646" s="15"/>
      <c r="C6646" s="16"/>
      <c r="J6646" s="9"/>
    </row>
    <row r="6647">
      <c r="A6647" s="14"/>
      <c r="B6647" s="15"/>
      <c r="C6647" s="16"/>
      <c r="J6647" s="9"/>
    </row>
    <row r="6648">
      <c r="A6648" s="14"/>
      <c r="B6648" s="15"/>
      <c r="C6648" s="16"/>
      <c r="J6648" s="9"/>
    </row>
    <row r="6649">
      <c r="A6649" s="14"/>
      <c r="B6649" s="15"/>
      <c r="C6649" s="16"/>
      <c r="J6649" s="9"/>
    </row>
    <row r="6650">
      <c r="A6650" s="14"/>
      <c r="B6650" s="15"/>
      <c r="C6650" s="16"/>
      <c r="J6650" s="9"/>
    </row>
    <row r="6651">
      <c r="A6651" s="14"/>
      <c r="B6651" s="15"/>
      <c r="C6651" s="16"/>
      <c r="J6651" s="9"/>
    </row>
    <row r="6652">
      <c r="A6652" s="14"/>
      <c r="B6652" s="15"/>
      <c r="C6652" s="16"/>
      <c r="J6652" s="9"/>
    </row>
    <row r="6653">
      <c r="A6653" s="14"/>
      <c r="B6653" s="15"/>
      <c r="C6653" s="16"/>
      <c r="J6653" s="9"/>
    </row>
    <row r="6654">
      <c r="A6654" s="14"/>
      <c r="B6654" s="15"/>
      <c r="C6654" s="16"/>
      <c r="J6654" s="9"/>
    </row>
    <row r="6655">
      <c r="A6655" s="14"/>
      <c r="B6655" s="15"/>
      <c r="C6655" s="16"/>
      <c r="J6655" s="9"/>
    </row>
    <row r="6656">
      <c r="A6656" s="14"/>
      <c r="B6656" s="15"/>
      <c r="C6656" s="16"/>
      <c r="J6656" s="9"/>
    </row>
    <row r="6657">
      <c r="A6657" s="14"/>
      <c r="B6657" s="15"/>
      <c r="C6657" s="16"/>
      <c r="J6657" s="9"/>
    </row>
    <row r="6658">
      <c r="A6658" s="14"/>
      <c r="B6658" s="15"/>
      <c r="C6658" s="16"/>
      <c r="J6658" s="9"/>
    </row>
    <row r="6659">
      <c r="A6659" s="14"/>
      <c r="B6659" s="15"/>
      <c r="C6659" s="16"/>
      <c r="J6659" s="9"/>
    </row>
    <row r="6660">
      <c r="A6660" s="14"/>
      <c r="B6660" s="15"/>
      <c r="C6660" s="16"/>
      <c r="J6660" s="9"/>
    </row>
    <row r="6661">
      <c r="A6661" s="14"/>
      <c r="B6661" s="15"/>
      <c r="C6661" s="16"/>
      <c r="J6661" s="9"/>
    </row>
    <row r="6662">
      <c r="A6662" s="14"/>
      <c r="B6662" s="15"/>
      <c r="C6662" s="16"/>
      <c r="J6662" s="9"/>
    </row>
    <row r="6663">
      <c r="A6663" s="14"/>
      <c r="B6663" s="15"/>
      <c r="C6663" s="16"/>
      <c r="J6663" s="9"/>
    </row>
    <row r="6664">
      <c r="A6664" s="14"/>
      <c r="B6664" s="15"/>
      <c r="C6664" s="16"/>
      <c r="J6664" s="9"/>
    </row>
    <row r="6665">
      <c r="A6665" s="14"/>
      <c r="B6665" s="15"/>
      <c r="C6665" s="16"/>
      <c r="J6665" s="9"/>
    </row>
    <row r="6666">
      <c r="A6666" s="14"/>
      <c r="B6666" s="15"/>
      <c r="C6666" s="16"/>
      <c r="J6666" s="9"/>
    </row>
    <row r="6667">
      <c r="A6667" s="14"/>
      <c r="B6667" s="15"/>
      <c r="C6667" s="16"/>
      <c r="J6667" s="9"/>
    </row>
    <row r="6668">
      <c r="A6668" s="14"/>
      <c r="B6668" s="15"/>
      <c r="C6668" s="16"/>
      <c r="J6668" s="9"/>
    </row>
    <row r="6669">
      <c r="A6669" s="14"/>
      <c r="B6669" s="15"/>
      <c r="C6669" s="16"/>
      <c r="J6669" s="9"/>
    </row>
    <row r="6670">
      <c r="A6670" s="14"/>
      <c r="B6670" s="15"/>
      <c r="C6670" s="16"/>
      <c r="J6670" s="9"/>
    </row>
    <row r="6671">
      <c r="A6671" s="14"/>
      <c r="B6671" s="15"/>
      <c r="C6671" s="16"/>
      <c r="J6671" s="9"/>
    </row>
    <row r="6672">
      <c r="A6672" s="14"/>
      <c r="B6672" s="15"/>
      <c r="C6672" s="16"/>
      <c r="J6672" s="9"/>
    </row>
    <row r="6673">
      <c r="A6673" s="14"/>
      <c r="B6673" s="15"/>
      <c r="C6673" s="16"/>
      <c r="J6673" s="9"/>
    </row>
    <row r="6674">
      <c r="A6674" s="14"/>
      <c r="B6674" s="15"/>
      <c r="C6674" s="16"/>
      <c r="J6674" s="9"/>
    </row>
    <row r="6675">
      <c r="A6675" s="14"/>
      <c r="B6675" s="15"/>
      <c r="C6675" s="16"/>
      <c r="J6675" s="9"/>
    </row>
    <row r="6676">
      <c r="A6676" s="14"/>
      <c r="B6676" s="15"/>
      <c r="C6676" s="16"/>
      <c r="J6676" s="9"/>
    </row>
    <row r="6677">
      <c r="A6677" s="14"/>
      <c r="B6677" s="15"/>
      <c r="C6677" s="16"/>
      <c r="J6677" s="9"/>
    </row>
    <row r="6678">
      <c r="A6678" s="14"/>
      <c r="B6678" s="15"/>
      <c r="C6678" s="16"/>
      <c r="J6678" s="9"/>
    </row>
    <row r="6679">
      <c r="A6679" s="14"/>
      <c r="B6679" s="15"/>
      <c r="C6679" s="16"/>
      <c r="J6679" s="9"/>
    </row>
    <row r="6680">
      <c r="A6680" s="14"/>
      <c r="B6680" s="15"/>
      <c r="C6680" s="16"/>
      <c r="J6680" s="9"/>
    </row>
    <row r="6681">
      <c r="A6681" s="14"/>
      <c r="B6681" s="15"/>
      <c r="C6681" s="16"/>
      <c r="J6681" s="9"/>
    </row>
    <row r="6682">
      <c r="A6682" s="14"/>
      <c r="B6682" s="15"/>
      <c r="C6682" s="16"/>
      <c r="J6682" s="9"/>
    </row>
    <row r="6683">
      <c r="A6683" s="14"/>
      <c r="B6683" s="15"/>
      <c r="C6683" s="16"/>
      <c r="J6683" s="9"/>
    </row>
    <row r="6684">
      <c r="A6684" s="14"/>
      <c r="B6684" s="15"/>
      <c r="C6684" s="16"/>
      <c r="J6684" s="9"/>
    </row>
    <row r="6685">
      <c r="A6685" s="14"/>
      <c r="B6685" s="15"/>
      <c r="C6685" s="16"/>
      <c r="J6685" s="9"/>
    </row>
    <row r="6686">
      <c r="A6686" s="14"/>
      <c r="B6686" s="15"/>
      <c r="C6686" s="16"/>
      <c r="J6686" s="9"/>
    </row>
    <row r="6687">
      <c r="A6687" s="14"/>
      <c r="B6687" s="15"/>
      <c r="C6687" s="16"/>
      <c r="J6687" s="9"/>
    </row>
    <row r="6688">
      <c r="A6688" s="14"/>
      <c r="B6688" s="15"/>
      <c r="C6688" s="16"/>
      <c r="J6688" s="9"/>
    </row>
    <row r="6689">
      <c r="A6689" s="14"/>
      <c r="B6689" s="15"/>
      <c r="C6689" s="16"/>
      <c r="J6689" s="9"/>
    </row>
    <row r="6690">
      <c r="A6690" s="14"/>
      <c r="B6690" s="15"/>
      <c r="C6690" s="16"/>
      <c r="J6690" s="9"/>
    </row>
    <row r="6691">
      <c r="A6691" s="14"/>
      <c r="B6691" s="15"/>
      <c r="C6691" s="16"/>
      <c r="J6691" s="9"/>
    </row>
    <row r="6692">
      <c r="A6692" s="14"/>
      <c r="B6692" s="15"/>
      <c r="C6692" s="16"/>
      <c r="J6692" s="9"/>
    </row>
    <row r="6693">
      <c r="A6693" s="14"/>
      <c r="B6693" s="15"/>
      <c r="C6693" s="16"/>
      <c r="J6693" s="9"/>
    </row>
    <row r="6694">
      <c r="A6694" s="14"/>
      <c r="B6694" s="15"/>
      <c r="C6694" s="16"/>
      <c r="J6694" s="9"/>
    </row>
    <row r="6695">
      <c r="A6695" s="14"/>
      <c r="B6695" s="15"/>
      <c r="C6695" s="16"/>
      <c r="J6695" s="9"/>
    </row>
    <row r="6696">
      <c r="A6696" s="14"/>
      <c r="B6696" s="15"/>
      <c r="C6696" s="16"/>
      <c r="J6696" s="9"/>
    </row>
    <row r="6697">
      <c r="A6697" s="14"/>
      <c r="B6697" s="15"/>
      <c r="C6697" s="16"/>
      <c r="J6697" s="9"/>
    </row>
    <row r="6698">
      <c r="A6698" s="14"/>
      <c r="B6698" s="15"/>
      <c r="C6698" s="16"/>
      <c r="J6698" s="9"/>
    </row>
    <row r="6699">
      <c r="A6699" s="14"/>
      <c r="B6699" s="15"/>
      <c r="C6699" s="16"/>
      <c r="J6699" s="9"/>
    </row>
    <row r="6700">
      <c r="A6700" s="14"/>
      <c r="B6700" s="15"/>
      <c r="C6700" s="16"/>
      <c r="J6700" s="9"/>
    </row>
    <row r="6701">
      <c r="A6701" s="14"/>
      <c r="B6701" s="15"/>
      <c r="C6701" s="16"/>
      <c r="J6701" s="9"/>
    </row>
    <row r="6702">
      <c r="A6702" s="14"/>
      <c r="B6702" s="15"/>
      <c r="C6702" s="16"/>
      <c r="J6702" s="9"/>
    </row>
    <row r="6703">
      <c r="A6703" s="14"/>
      <c r="B6703" s="15"/>
      <c r="C6703" s="16"/>
      <c r="J6703" s="9"/>
    </row>
    <row r="6704">
      <c r="A6704" s="14"/>
      <c r="B6704" s="15"/>
      <c r="C6704" s="16"/>
      <c r="J6704" s="9"/>
    </row>
    <row r="6705">
      <c r="A6705" s="14"/>
      <c r="B6705" s="15"/>
      <c r="C6705" s="16"/>
      <c r="J6705" s="9"/>
    </row>
    <row r="6706">
      <c r="A6706" s="14"/>
      <c r="B6706" s="15"/>
      <c r="C6706" s="16"/>
      <c r="J6706" s="9"/>
    </row>
    <row r="6707">
      <c r="A6707" s="14"/>
      <c r="B6707" s="15"/>
      <c r="C6707" s="16"/>
      <c r="J6707" s="9"/>
    </row>
    <row r="6708">
      <c r="A6708" s="14"/>
      <c r="B6708" s="15"/>
      <c r="C6708" s="16"/>
      <c r="J6708" s="9"/>
    </row>
    <row r="6709">
      <c r="A6709" s="14"/>
      <c r="B6709" s="15"/>
      <c r="C6709" s="16"/>
      <c r="J6709" s="9"/>
    </row>
    <row r="6710">
      <c r="A6710" s="14"/>
      <c r="B6710" s="15"/>
      <c r="C6710" s="16"/>
      <c r="J6710" s="9"/>
    </row>
    <row r="6711">
      <c r="A6711" s="14"/>
      <c r="B6711" s="15"/>
      <c r="C6711" s="16"/>
      <c r="J6711" s="9"/>
    </row>
    <row r="6712">
      <c r="A6712" s="14"/>
      <c r="B6712" s="15"/>
      <c r="C6712" s="16"/>
      <c r="J6712" s="9"/>
    </row>
    <row r="6713">
      <c r="A6713" s="14"/>
      <c r="B6713" s="15"/>
      <c r="C6713" s="16"/>
      <c r="J6713" s="9"/>
    </row>
    <row r="6714">
      <c r="A6714" s="14"/>
      <c r="B6714" s="15"/>
      <c r="C6714" s="16"/>
      <c r="J6714" s="9"/>
    </row>
    <row r="6715">
      <c r="A6715" s="14"/>
      <c r="B6715" s="15"/>
      <c r="C6715" s="16"/>
      <c r="J6715" s="9"/>
    </row>
    <row r="6716">
      <c r="A6716" s="14"/>
      <c r="B6716" s="15"/>
      <c r="C6716" s="16"/>
      <c r="J6716" s="9"/>
    </row>
    <row r="6717">
      <c r="A6717" s="14"/>
      <c r="B6717" s="15"/>
      <c r="C6717" s="16"/>
      <c r="J6717" s="9"/>
    </row>
    <row r="6718">
      <c r="A6718" s="14"/>
      <c r="B6718" s="15"/>
      <c r="C6718" s="16"/>
      <c r="J6718" s="9"/>
    </row>
    <row r="6719">
      <c r="A6719" s="14"/>
      <c r="B6719" s="15"/>
      <c r="C6719" s="16"/>
      <c r="J6719" s="9"/>
    </row>
    <row r="6720">
      <c r="A6720" s="14"/>
      <c r="B6720" s="15"/>
      <c r="C6720" s="16"/>
      <c r="J6720" s="9"/>
    </row>
    <row r="6721">
      <c r="A6721" s="14"/>
      <c r="B6721" s="15"/>
      <c r="C6721" s="16"/>
      <c r="J6721" s="9"/>
    </row>
    <row r="6722">
      <c r="A6722" s="14"/>
      <c r="B6722" s="15"/>
      <c r="C6722" s="16"/>
      <c r="J6722" s="9"/>
    </row>
    <row r="6723">
      <c r="A6723" s="14"/>
      <c r="B6723" s="15"/>
      <c r="C6723" s="16"/>
      <c r="J6723" s="9"/>
    </row>
    <row r="6724">
      <c r="A6724" s="14"/>
      <c r="B6724" s="15"/>
      <c r="C6724" s="16"/>
      <c r="J6724" s="9"/>
    </row>
    <row r="6725">
      <c r="A6725" s="14"/>
      <c r="B6725" s="15"/>
      <c r="C6725" s="16"/>
      <c r="J6725" s="9"/>
    </row>
    <row r="6726">
      <c r="A6726" s="14"/>
      <c r="B6726" s="15"/>
      <c r="C6726" s="16"/>
      <c r="J6726" s="9"/>
    </row>
    <row r="6727">
      <c r="A6727" s="14"/>
      <c r="B6727" s="15"/>
      <c r="C6727" s="16"/>
      <c r="J6727" s="9"/>
    </row>
    <row r="6728">
      <c r="A6728" s="14"/>
      <c r="B6728" s="15"/>
      <c r="C6728" s="16"/>
      <c r="J6728" s="9"/>
    </row>
    <row r="6729">
      <c r="A6729" s="14"/>
      <c r="B6729" s="15"/>
      <c r="C6729" s="16"/>
      <c r="J6729" s="9"/>
    </row>
    <row r="6730">
      <c r="A6730" s="14"/>
      <c r="B6730" s="15"/>
      <c r="C6730" s="16"/>
      <c r="J6730" s="9"/>
    </row>
    <row r="6731">
      <c r="A6731" s="14"/>
      <c r="B6731" s="15"/>
      <c r="C6731" s="16"/>
      <c r="J6731" s="9"/>
    </row>
    <row r="6732">
      <c r="A6732" s="14"/>
      <c r="B6732" s="15"/>
      <c r="C6732" s="16"/>
      <c r="J6732" s="9"/>
    </row>
    <row r="6733">
      <c r="A6733" s="14"/>
      <c r="B6733" s="15"/>
      <c r="C6733" s="16"/>
      <c r="J6733" s="9"/>
    </row>
    <row r="6734">
      <c r="A6734" s="14"/>
      <c r="B6734" s="15"/>
      <c r="C6734" s="16"/>
      <c r="J6734" s="9"/>
    </row>
    <row r="6735">
      <c r="A6735" s="14"/>
      <c r="B6735" s="15"/>
      <c r="C6735" s="16"/>
      <c r="J6735" s="9"/>
    </row>
    <row r="6736">
      <c r="A6736" s="14"/>
      <c r="B6736" s="15"/>
      <c r="C6736" s="16"/>
      <c r="J6736" s="9"/>
    </row>
    <row r="6737">
      <c r="A6737" s="14"/>
      <c r="B6737" s="15"/>
      <c r="C6737" s="16"/>
      <c r="J6737" s="9"/>
    </row>
    <row r="6738">
      <c r="A6738" s="14"/>
      <c r="B6738" s="15"/>
      <c r="C6738" s="16"/>
      <c r="J6738" s="9"/>
    </row>
    <row r="6739">
      <c r="A6739" s="14"/>
      <c r="B6739" s="15"/>
      <c r="C6739" s="16"/>
      <c r="J6739" s="9"/>
    </row>
    <row r="6740">
      <c r="A6740" s="14"/>
      <c r="B6740" s="15"/>
      <c r="C6740" s="16"/>
      <c r="J6740" s="9"/>
    </row>
    <row r="6741">
      <c r="A6741" s="14"/>
      <c r="B6741" s="15"/>
      <c r="C6741" s="16"/>
      <c r="J6741" s="9"/>
    </row>
    <row r="6742">
      <c r="A6742" s="14"/>
      <c r="B6742" s="15"/>
      <c r="C6742" s="16"/>
      <c r="J6742" s="9"/>
    </row>
    <row r="6743">
      <c r="A6743" s="14"/>
      <c r="B6743" s="15"/>
      <c r="C6743" s="16"/>
      <c r="J6743" s="9"/>
    </row>
    <row r="6744">
      <c r="A6744" s="14"/>
      <c r="B6744" s="15"/>
      <c r="C6744" s="16"/>
      <c r="J6744" s="9"/>
    </row>
    <row r="6745">
      <c r="A6745" s="14"/>
      <c r="B6745" s="15"/>
      <c r="C6745" s="16"/>
      <c r="J6745" s="9"/>
    </row>
    <row r="6746">
      <c r="A6746" s="14"/>
      <c r="B6746" s="15"/>
      <c r="C6746" s="16"/>
      <c r="J6746" s="9"/>
    </row>
    <row r="6747">
      <c r="A6747" s="14"/>
      <c r="B6747" s="15"/>
      <c r="C6747" s="16"/>
      <c r="J6747" s="9"/>
    </row>
    <row r="6748">
      <c r="A6748" s="14"/>
      <c r="B6748" s="15"/>
      <c r="C6748" s="16"/>
      <c r="J6748" s="9"/>
    </row>
    <row r="6749">
      <c r="A6749" s="14"/>
      <c r="B6749" s="15"/>
      <c r="C6749" s="16"/>
      <c r="J6749" s="9"/>
    </row>
    <row r="6750">
      <c r="A6750" s="14"/>
      <c r="B6750" s="15"/>
      <c r="C6750" s="16"/>
      <c r="J6750" s="9"/>
    </row>
    <row r="6751">
      <c r="A6751" s="14"/>
      <c r="B6751" s="15"/>
      <c r="C6751" s="16"/>
      <c r="J6751" s="9"/>
    </row>
    <row r="6752">
      <c r="A6752" s="14"/>
      <c r="B6752" s="15"/>
      <c r="C6752" s="16"/>
      <c r="J6752" s="9"/>
    </row>
    <row r="6753">
      <c r="A6753" s="14"/>
      <c r="B6753" s="15"/>
      <c r="C6753" s="16"/>
      <c r="J6753" s="9"/>
    </row>
    <row r="6754">
      <c r="A6754" s="14"/>
      <c r="B6754" s="15"/>
      <c r="C6754" s="16"/>
      <c r="J6754" s="9"/>
    </row>
    <row r="6755">
      <c r="A6755" s="14"/>
      <c r="B6755" s="15"/>
      <c r="C6755" s="16"/>
      <c r="J6755" s="9"/>
    </row>
    <row r="6756">
      <c r="A6756" s="14"/>
      <c r="B6756" s="15"/>
      <c r="C6756" s="16"/>
      <c r="J6756" s="9"/>
    </row>
    <row r="6757">
      <c r="A6757" s="14"/>
      <c r="B6757" s="15"/>
      <c r="C6757" s="16"/>
      <c r="J6757" s="9"/>
    </row>
    <row r="6758">
      <c r="A6758" s="14"/>
      <c r="B6758" s="15"/>
      <c r="C6758" s="16"/>
      <c r="J6758" s="9"/>
    </row>
    <row r="6759">
      <c r="A6759" s="14"/>
      <c r="B6759" s="15"/>
      <c r="C6759" s="16"/>
      <c r="J6759" s="9"/>
    </row>
    <row r="6760">
      <c r="A6760" s="14"/>
      <c r="B6760" s="15"/>
      <c r="C6760" s="16"/>
      <c r="J6760" s="9"/>
    </row>
    <row r="6761">
      <c r="A6761" s="14"/>
      <c r="B6761" s="15"/>
      <c r="C6761" s="16"/>
      <c r="J6761" s="9"/>
    </row>
    <row r="6762">
      <c r="A6762" s="14"/>
      <c r="B6762" s="15"/>
      <c r="C6762" s="16"/>
      <c r="J6762" s="9"/>
    </row>
    <row r="6763">
      <c r="A6763" s="14"/>
      <c r="B6763" s="15"/>
      <c r="C6763" s="16"/>
      <c r="J6763" s="9"/>
    </row>
    <row r="6764">
      <c r="A6764" s="14"/>
      <c r="B6764" s="15"/>
      <c r="C6764" s="16"/>
      <c r="J6764" s="9"/>
    </row>
    <row r="6765">
      <c r="A6765" s="14"/>
      <c r="B6765" s="15"/>
      <c r="C6765" s="16"/>
      <c r="J6765" s="9"/>
    </row>
    <row r="6766">
      <c r="A6766" s="14"/>
      <c r="B6766" s="15"/>
      <c r="C6766" s="16"/>
      <c r="J6766" s="9"/>
    </row>
    <row r="6767">
      <c r="A6767" s="14"/>
      <c r="B6767" s="15"/>
      <c r="C6767" s="16"/>
      <c r="J6767" s="9"/>
    </row>
    <row r="6768">
      <c r="A6768" s="14"/>
      <c r="B6768" s="15"/>
      <c r="C6768" s="16"/>
      <c r="J6768" s="9"/>
    </row>
    <row r="6769">
      <c r="A6769" s="14"/>
      <c r="B6769" s="15"/>
      <c r="C6769" s="16"/>
      <c r="J6769" s="9"/>
    </row>
    <row r="6770">
      <c r="A6770" s="14"/>
      <c r="B6770" s="15"/>
      <c r="C6770" s="16"/>
      <c r="J6770" s="9"/>
    </row>
    <row r="6771">
      <c r="A6771" s="14"/>
      <c r="B6771" s="15"/>
      <c r="C6771" s="16"/>
      <c r="J6771" s="9"/>
    </row>
    <row r="6772">
      <c r="A6772" s="14"/>
      <c r="B6772" s="15"/>
      <c r="C6772" s="16"/>
      <c r="J6772" s="9"/>
    </row>
    <row r="6773">
      <c r="A6773" s="14"/>
      <c r="B6773" s="15"/>
      <c r="C6773" s="16"/>
      <c r="J6773" s="9"/>
    </row>
    <row r="6774">
      <c r="A6774" s="14"/>
      <c r="B6774" s="15"/>
      <c r="C6774" s="16"/>
      <c r="J6774" s="9"/>
    </row>
    <row r="6775">
      <c r="A6775" s="14"/>
      <c r="B6775" s="15"/>
      <c r="C6775" s="16"/>
      <c r="J6775" s="9"/>
    </row>
    <row r="6776">
      <c r="A6776" s="14"/>
      <c r="B6776" s="15"/>
      <c r="C6776" s="16"/>
      <c r="J6776" s="9"/>
    </row>
    <row r="6777">
      <c r="A6777" s="14"/>
      <c r="B6777" s="15"/>
      <c r="C6777" s="16"/>
      <c r="J6777" s="9"/>
    </row>
    <row r="6778">
      <c r="A6778" s="14"/>
      <c r="B6778" s="15"/>
      <c r="C6778" s="16"/>
      <c r="J6778" s="9"/>
    </row>
    <row r="6779">
      <c r="A6779" s="14"/>
      <c r="B6779" s="15"/>
      <c r="C6779" s="16"/>
      <c r="J6779" s="9"/>
    </row>
    <row r="6780">
      <c r="A6780" s="14"/>
      <c r="B6780" s="15"/>
      <c r="C6780" s="16"/>
      <c r="J6780" s="9"/>
    </row>
    <row r="6781">
      <c r="A6781" s="14"/>
      <c r="B6781" s="15"/>
      <c r="C6781" s="16"/>
      <c r="J6781" s="9"/>
    </row>
    <row r="6782">
      <c r="A6782" s="14"/>
      <c r="B6782" s="15"/>
      <c r="C6782" s="16"/>
      <c r="J6782" s="9"/>
    </row>
    <row r="6783">
      <c r="A6783" s="14"/>
      <c r="B6783" s="15"/>
      <c r="C6783" s="16"/>
      <c r="J6783" s="9"/>
    </row>
    <row r="6784">
      <c r="A6784" s="14"/>
      <c r="B6784" s="15"/>
      <c r="C6784" s="16"/>
      <c r="J6784" s="9"/>
    </row>
    <row r="6785">
      <c r="A6785" s="14"/>
      <c r="B6785" s="15"/>
      <c r="C6785" s="16"/>
      <c r="J6785" s="9"/>
    </row>
    <row r="6786">
      <c r="A6786" s="14"/>
      <c r="B6786" s="15"/>
      <c r="C6786" s="16"/>
      <c r="J6786" s="9"/>
    </row>
    <row r="6787">
      <c r="A6787" s="14"/>
      <c r="B6787" s="15"/>
      <c r="C6787" s="16"/>
      <c r="J6787" s="9"/>
    </row>
    <row r="6788">
      <c r="A6788" s="14"/>
      <c r="B6788" s="15"/>
      <c r="C6788" s="16"/>
      <c r="J6788" s="9"/>
    </row>
    <row r="6789">
      <c r="A6789" s="14"/>
      <c r="B6789" s="15"/>
      <c r="C6789" s="16"/>
      <c r="J6789" s="9"/>
    </row>
    <row r="6790">
      <c r="A6790" s="14"/>
      <c r="B6790" s="15"/>
      <c r="C6790" s="16"/>
      <c r="J6790" s="9"/>
    </row>
    <row r="6791">
      <c r="A6791" s="14"/>
      <c r="B6791" s="15"/>
      <c r="C6791" s="16"/>
      <c r="J6791" s="9"/>
    </row>
    <row r="6792">
      <c r="A6792" s="14"/>
      <c r="B6792" s="15"/>
      <c r="C6792" s="16"/>
      <c r="J6792" s="9"/>
    </row>
    <row r="6793">
      <c r="A6793" s="14"/>
      <c r="B6793" s="15"/>
      <c r="C6793" s="16"/>
      <c r="J6793" s="9"/>
    </row>
    <row r="6794">
      <c r="A6794" s="14"/>
      <c r="B6794" s="15"/>
      <c r="C6794" s="16"/>
      <c r="J6794" s="9"/>
    </row>
    <row r="6795">
      <c r="A6795" s="14"/>
      <c r="B6795" s="15"/>
      <c r="C6795" s="16"/>
      <c r="J6795" s="9"/>
    </row>
    <row r="6796">
      <c r="A6796" s="14"/>
      <c r="B6796" s="15"/>
      <c r="C6796" s="16"/>
      <c r="J6796" s="9"/>
    </row>
    <row r="6797">
      <c r="A6797" s="14"/>
      <c r="B6797" s="15"/>
      <c r="C6797" s="16"/>
      <c r="J6797" s="9"/>
    </row>
    <row r="6798">
      <c r="A6798" s="14"/>
      <c r="B6798" s="15"/>
      <c r="C6798" s="16"/>
      <c r="J6798" s="9"/>
    </row>
    <row r="6799">
      <c r="A6799" s="14"/>
      <c r="B6799" s="15"/>
      <c r="C6799" s="16"/>
      <c r="J6799" s="9"/>
    </row>
    <row r="6800">
      <c r="A6800" s="14"/>
      <c r="B6800" s="15"/>
      <c r="C6800" s="16"/>
      <c r="J6800" s="9"/>
    </row>
    <row r="6801">
      <c r="A6801" s="14"/>
      <c r="B6801" s="15"/>
      <c r="C6801" s="16"/>
      <c r="J6801" s="9"/>
    </row>
    <row r="6802">
      <c r="A6802" s="14"/>
      <c r="B6802" s="15"/>
      <c r="C6802" s="16"/>
      <c r="J6802" s="9"/>
    </row>
    <row r="6803">
      <c r="A6803" s="14"/>
      <c r="B6803" s="15"/>
      <c r="C6803" s="16"/>
      <c r="J6803" s="9"/>
    </row>
    <row r="6804">
      <c r="A6804" s="14"/>
      <c r="B6804" s="15"/>
      <c r="C6804" s="16"/>
      <c r="J6804" s="9"/>
    </row>
    <row r="6805">
      <c r="A6805" s="14"/>
      <c r="B6805" s="15"/>
      <c r="C6805" s="16"/>
      <c r="J6805" s="9"/>
    </row>
    <row r="6806">
      <c r="A6806" s="14"/>
      <c r="B6806" s="15"/>
      <c r="C6806" s="16"/>
      <c r="J6806" s="9"/>
    </row>
    <row r="6807">
      <c r="A6807" s="14"/>
      <c r="B6807" s="15"/>
      <c r="C6807" s="16"/>
      <c r="J6807" s="9"/>
    </row>
    <row r="6808">
      <c r="A6808" s="14"/>
      <c r="B6808" s="15"/>
      <c r="C6808" s="16"/>
      <c r="J6808" s="9"/>
    </row>
    <row r="6809">
      <c r="A6809" s="14"/>
      <c r="B6809" s="15"/>
      <c r="C6809" s="16"/>
      <c r="J6809" s="9"/>
    </row>
    <row r="6810">
      <c r="A6810" s="14"/>
      <c r="B6810" s="15"/>
      <c r="C6810" s="16"/>
      <c r="J6810" s="9"/>
    </row>
    <row r="6811">
      <c r="A6811" s="14"/>
      <c r="B6811" s="15"/>
      <c r="C6811" s="16"/>
      <c r="J6811" s="9"/>
    </row>
    <row r="6812">
      <c r="A6812" s="14"/>
      <c r="B6812" s="15"/>
      <c r="C6812" s="16"/>
      <c r="J6812" s="9"/>
    </row>
    <row r="6813">
      <c r="A6813" s="14"/>
      <c r="B6813" s="15"/>
      <c r="C6813" s="16"/>
      <c r="J6813" s="9"/>
    </row>
    <row r="6814">
      <c r="A6814" s="14"/>
      <c r="B6814" s="15"/>
      <c r="C6814" s="16"/>
      <c r="J6814" s="9"/>
    </row>
    <row r="6815">
      <c r="A6815" s="14"/>
      <c r="B6815" s="15"/>
      <c r="C6815" s="16"/>
      <c r="J6815" s="9"/>
    </row>
    <row r="6816">
      <c r="A6816" s="14"/>
      <c r="B6816" s="15"/>
      <c r="C6816" s="16"/>
      <c r="J6816" s="9"/>
    </row>
    <row r="6817">
      <c r="A6817" s="14"/>
      <c r="B6817" s="15"/>
      <c r="C6817" s="16"/>
      <c r="J6817" s="9"/>
    </row>
    <row r="6818">
      <c r="A6818" s="14"/>
      <c r="B6818" s="15"/>
      <c r="C6818" s="16"/>
      <c r="J6818" s="9"/>
    </row>
    <row r="6819">
      <c r="A6819" s="14"/>
      <c r="B6819" s="15"/>
      <c r="C6819" s="16"/>
      <c r="J6819" s="9"/>
    </row>
    <row r="6820">
      <c r="A6820" s="14"/>
      <c r="B6820" s="15"/>
      <c r="C6820" s="16"/>
      <c r="J6820" s="9"/>
    </row>
    <row r="6821">
      <c r="A6821" s="14"/>
      <c r="B6821" s="15"/>
      <c r="C6821" s="16"/>
      <c r="J6821" s="9"/>
    </row>
    <row r="6822">
      <c r="A6822" s="14"/>
      <c r="B6822" s="15"/>
      <c r="C6822" s="16"/>
      <c r="J6822" s="9"/>
    </row>
    <row r="6823">
      <c r="A6823" s="14"/>
      <c r="B6823" s="15"/>
      <c r="C6823" s="16"/>
      <c r="J6823" s="9"/>
    </row>
    <row r="6824">
      <c r="A6824" s="14"/>
      <c r="B6824" s="15"/>
      <c r="C6824" s="16"/>
      <c r="J6824" s="9"/>
    </row>
    <row r="6825">
      <c r="A6825" s="14"/>
      <c r="B6825" s="15"/>
      <c r="C6825" s="16"/>
      <c r="J6825" s="9"/>
    </row>
    <row r="6826">
      <c r="A6826" s="14"/>
      <c r="B6826" s="15"/>
      <c r="C6826" s="16"/>
      <c r="J6826" s="9"/>
    </row>
    <row r="6827">
      <c r="A6827" s="14"/>
      <c r="B6827" s="15"/>
      <c r="C6827" s="16"/>
      <c r="J6827" s="9"/>
    </row>
    <row r="6828">
      <c r="A6828" s="14"/>
      <c r="B6828" s="15"/>
      <c r="C6828" s="16"/>
      <c r="J6828" s="9"/>
    </row>
    <row r="6829">
      <c r="A6829" s="14"/>
      <c r="B6829" s="15"/>
      <c r="C6829" s="16"/>
      <c r="J6829" s="9"/>
    </row>
    <row r="6830">
      <c r="A6830" s="14"/>
      <c r="B6830" s="15"/>
      <c r="C6830" s="16"/>
      <c r="J6830" s="9"/>
    </row>
    <row r="6831">
      <c r="A6831" s="14"/>
      <c r="B6831" s="15"/>
      <c r="C6831" s="16"/>
      <c r="J6831" s="9"/>
    </row>
    <row r="6832">
      <c r="A6832" s="14"/>
      <c r="B6832" s="15"/>
      <c r="C6832" s="16"/>
      <c r="J6832" s="9"/>
    </row>
    <row r="6833">
      <c r="A6833" s="14"/>
      <c r="B6833" s="15"/>
      <c r="C6833" s="16"/>
      <c r="J6833" s="9"/>
    </row>
    <row r="6834">
      <c r="A6834" s="14"/>
      <c r="B6834" s="15"/>
      <c r="C6834" s="16"/>
      <c r="J6834" s="9"/>
    </row>
    <row r="6835">
      <c r="A6835" s="14"/>
      <c r="B6835" s="15"/>
      <c r="C6835" s="16"/>
      <c r="J6835" s="9"/>
    </row>
    <row r="6836">
      <c r="A6836" s="14"/>
      <c r="B6836" s="15"/>
      <c r="C6836" s="16"/>
      <c r="J6836" s="9"/>
    </row>
    <row r="6837">
      <c r="A6837" s="14"/>
      <c r="B6837" s="15"/>
      <c r="C6837" s="16"/>
      <c r="J6837" s="9"/>
    </row>
    <row r="6838">
      <c r="A6838" s="14"/>
      <c r="B6838" s="15"/>
      <c r="C6838" s="16"/>
      <c r="J6838" s="9"/>
    </row>
    <row r="6839">
      <c r="A6839" s="14"/>
      <c r="B6839" s="15"/>
      <c r="C6839" s="16"/>
      <c r="J6839" s="9"/>
    </row>
    <row r="6840">
      <c r="A6840" s="14"/>
      <c r="B6840" s="15"/>
      <c r="C6840" s="16"/>
      <c r="J6840" s="9"/>
    </row>
    <row r="6841">
      <c r="A6841" s="14"/>
      <c r="B6841" s="15"/>
      <c r="C6841" s="16"/>
      <c r="J6841" s="9"/>
    </row>
    <row r="6842">
      <c r="A6842" s="14"/>
      <c r="B6842" s="15"/>
      <c r="C6842" s="16"/>
      <c r="J6842" s="9"/>
    </row>
    <row r="6843">
      <c r="A6843" s="14"/>
      <c r="B6843" s="15"/>
      <c r="C6843" s="16"/>
      <c r="J6843" s="9"/>
    </row>
    <row r="6844">
      <c r="A6844" s="14"/>
      <c r="B6844" s="15"/>
      <c r="C6844" s="16"/>
      <c r="J6844" s="9"/>
    </row>
    <row r="6845">
      <c r="A6845" s="14"/>
      <c r="B6845" s="15"/>
      <c r="C6845" s="16"/>
      <c r="J6845" s="9"/>
    </row>
    <row r="6846">
      <c r="A6846" s="14"/>
      <c r="B6846" s="15"/>
      <c r="C6846" s="16"/>
      <c r="J6846" s="9"/>
    </row>
    <row r="6847">
      <c r="A6847" s="14"/>
      <c r="B6847" s="15"/>
      <c r="C6847" s="16"/>
      <c r="J6847" s="9"/>
    </row>
    <row r="6848">
      <c r="A6848" s="14"/>
      <c r="B6848" s="15"/>
      <c r="C6848" s="16"/>
      <c r="J6848" s="9"/>
    </row>
    <row r="6849">
      <c r="A6849" s="14"/>
      <c r="B6849" s="15"/>
      <c r="C6849" s="16"/>
      <c r="J6849" s="9"/>
    </row>
    <row r="6850">
      <c r="A6850" s="14"/>
      <c r="B6850" s="15"/>
      <c r="C6850" s="16"/>
      <c r="J6850" s="9"/>
    </row>
    <row r="6851">
      <c r="A6851" s="14"/>
      <c r="B6851" s="15"/>
      <c r="C6851" s="16"/>
      <c r="J6851" s="9"/>
    </row>
    <row r="6852">
      <c r="A6852" s="14"/>
      <c r="B6852" s="15"/>
      <c r="C6852" s="16"/>
      <c r="J6852" s="9"/>
    </row>
    <row r="6853">
      <c r="A6853" s="14"/>
      <c r="B6853" s="15"/>
      <c r="C6853" s="16"/>
      <c r="J6853" s="9"/>
    </row>
    <row r="6854">
      <c r="A6854" s="14"/>
      <c r="B6854" s="15"/>
      <c r="C6854" s="16"/>
      <c r="J6854" s="9"/>
    </row>
    <row r="6855">
      <c r="A6855" s="14"/>
      <c r="B6855" s="15"/>
      <c r="C6855" s="16"/>
      <c r="J6855" s="9"/>
    </row>
    <row r="6856">
      <c r="A6856" s="14"/>
      <c r="B6856" s="15"/>
      <c r="C6856" s="16"/>
      <c r="J6856" s="9"/>
    </row>
    <row r="6857">
      <c r="A6857" s="14"/>
      <c r="B6857" s="15"/>
      <c r="C6857" s="16"/>
      <c r="J6857" s="9"/>
    </row>
    <row r="6858">
      <c r="A6858" s="14"/>
      <c r="B6858" s="15"/>
      <c r="C6858" s="16"/>
      <c r="J6858" s="9"/>
    </row>
    <row r="6859">
      <c r="A6859" s="14"/>
      <c r="B6859" s="15"/>
      <c r="C6859" s="16"/>
      <c r="J6859" s="9"/>
    </row>
    <row r="6860">
      <c r="A6860" s="14"/>
      <c r="B6860" s="15"/>
      <c r="C6860" s="16"/>
      <c r="J6860" s="9"/>
    </row>
    <row r="6861">
      <c r="A6861" s="14"/>
      <c r="B6861" s="15"/>
      <c r="C6861" s="16"/>
      <c r="J6861" s="9"/>
    </row>
    <row r="6862">
      <c r="A6862" s="14"/>
      <c r="B6862" s="15"/>
      <c r="C6862" s="16"/>
      <c r="J6862" s="9"/>
    </row>
    <row r="6863">
      <c r="A6863" s="14"/>
      <c r="B6863" s="15"/>
      <c r="C6863" s="16"/>
      <c r="J6863" s="9"/>
    </row>
    <row r="6864">
      <c r="A6864" s="14"/>
      <c r="B6864" s="15"/>
      <c r="C6864" s="16"/>
      <c r="J6864" s="9"/>
    </row>
    <row r="6865">
      <c r="A6865" s="14"/>
      <c r="B6865" s="15"/>
      <c r="C6865" s="16"/>
      <c r="J6865" s="9"/>
    </row>
    <row r="6866">
      <c r="A6866" s="14"/>
      <c r="B6866" s="15"/>
      <c r="C6866" s="16"/>
      <c r="J6866" s="9"/>
    </row>
    <row r="6867">
      <c r="A6867" s="14"/>
      <c r="B6867" s="15"/>
      <c r="C6867" s="16"/>
      <c r="J6867" s="9"/>
    </row>
    <row r="6868">
      <c r="A6868" s="14"/>
      <c r="B6868" s="15"/>
      <c r="C6868" s="16"/>
      <c r="J6868" s="9"/>
    </row>
    <row r="6869">
      <c r="A6869" s="14"/>
      <c r="B6869" s="15"/>
      <c r="C6869" s="16"/>
      <c r="J6869" s="9"/>
    </row>
    <row r="6870">
      <c r="A6870" s="14"/>
      <c r="B6870" s="15"/>
      <c r="C6870" s="16"/>
      <c r="J6870" s="9"/>
    </row>
    <row r="6871">
      <c r="A6871" s="14"/>
      <c r="B6871" s="15"/>
      <c r="C6871" s="16"/>
      <c r="J6871" s="9"/>
    </row>
    <row r="6872">
      <c r="A6872" s="14"/>
      <c r="B6872" s="15"/>
      <c r="C6872" s="16"/>
      <c r="J6872" s="9"/>
    </row>
    <row r="6873">
      <c r="A6873" s="14"/>
      <c r="B6873" s="15"/>
      <c r="C6873" s="16"/>
      <c r="J6873" s="9"/>
    </row>
    <row r="6874">
      <c r="A6874" s="14"/>
      <c r="B6874" s="15"/>
      <c r="C6874" s="16"/>
      <c r="J6874" s="9"/>
    </row>
    <row r="6875">
      <c r="A6875" s="14"/>
      <c r="B6875" s="15"/>
      <c r="C6875" s="16"/>
      <c r="J6875" s="9"/>
    </row>
    <row r="6876">
      <c r="A6876" s="14"/>
      <c r="B6876" s="15"/>
      <c r="C6876" s="16"/>
      <c r="J6876" s="9"/>
    </row>
    <row r="6877">
      <c r="A6877" s="14"/>
      <c r="B6877" s="15"/>
      <c r="C6877" s="16"/>
      <c r="J6877" s="9"/>
    </row>
    <row r="6878">
      <c r="A6878" s="14"/>
      <c r="B6878" s="15"/>
      <c r="C6878" s="16"/>
      <c r="J6878" s="9"/>
    </row>
    <row r="6879">
      <c r="A6879" s="14"/>
      <c r="B6879" s="15"/>
      <c r="C6879" s="16"/>
      <c r="J6879" s="9"/>
    </row>
    <row r="6880">
      <c r="A6880" s="14"/>
      <c r="B6880" s="15"/>
      <c r="C6880" s="16"/>
      <c r="J6880" s="9"/>
    </row>
    <row r="6881">
      <c r="A6881" s="14"/>
      <c r="B6881" s="15"/>
      <c r="C6881" s="16"/>
      <c r="J6881" s="9"/>
    </row>
    <row r="6882">
      <c r="A6882" s="14"/>
      <c r="B6882" s="15"/>
      <c r="C6882" s="16"/>
      <c r="J6882" s="9"/>
    </row>
    <row r="6883">
      <c r="A6883" s="14"/>
      <c r="B6883" s="15"/>
      <c r="C6883" s="16"/>
      <c r="J6883" s="9"/>
    </row>
    <row r="6884">
      <c r="A6884" s="14"/>
      <c r="B6884" s="15"/>
      <c r="C6884" s="16"/>
      <c r="J6884" s="9"/>
    </row>
    <row r="6885">
      <c r="A6885" s="14"/>
      <c r="B6885" s="15"/>
      <c r="C6885" s="16"/>
      <c r="J6885" s="9"/>
    </row>
    <row r="6886">
      <c r="A6886" s="14"/>
      <c r="B6886" s="15"/>
      <c r="C6886" s="16"/>
      <c r="J6886" s="9"/>
    </row>
    <row r="6887">
      <c r="A6887" s="14"/>
      <c r="B6887" s="15"/>
      <c r="C6887" s="16"/>
      <c r="J6887" s="9"/>
    </row>
    <row r="6888">
      <c r="A6888" s="14"/>
      <c r="B6888" s="15"/>
      <c r="C6888" s="16"/>
      <c r="J6888" s="9"/>
    </row>
    <row r="6889">
      <c r="A6889" s="14"/>
      <c r="B6889" s="15"/>
      <c r="C6889" s="16"/>
      <c r="J6889" s="9"/>
    </row>
    <row r="6890">
      <c r="A6890" s="14"/>
      <c r="B6890" s="15"/>
      <c r="C6890" s="16"/>
      <c r="J6890" s="9"/>
    </row>
    <row r="6891">
      <c r="A6891" s="14"/>
      <c r="B6891" s="15"/>
      <c r="C6891" s="16"/>
      <c r="J6891" s="9"/>
    </row>
    <row r="6892">
      <c r="A6892" s="14"/>
      <c r="B6892" s="15"/>
      <c r="C6892" s="16"/>
      <c r="J6892" s="9"/>
    </row>
    <row r="6893">
      <c r="A6893" s="14"/>
      <c r="B6893" s="15"/>
      <c r="C6893" s="16"/>
      <c r="J6893" s="9"/>
    </row>
    <row r="6894">
      <c r="A6894" s="14"/>
      <c r="B6894" s="15"/>
      <c r="C6894" s="16"/>
      <c r="J6894" s="9"/>
    </row>
    <row r="6895">
      <c r="A6895" s="14"/>
      <c r="B6895" s="15"/>
      <c r="C6895" s="16"/>
      <c r="J6895" s="9"/>
    </row>
    <row r="6896">
      <c r="A6896" s="14"/>
      <c r="B6896" s="15"/>
      <c r="C6896" s="16"/>
      <c r="J6896" s="9"/>
    </row>
    <row r="6897">
      <c r="A6897" s="14"/>
      <c r="B6897" s="15"/>
      <c r="C6897" s="16"/>
      <c r="J6897" s="9"/>
    </row>
    <row r="6898">
      <c r="A6898" s="14"/>
      <c r="B6898" s="15"/>
      <c r="C6898" s="16"/>
      <c r="J6898" s="9"/>
    </row>
    <row r="6899">
      <c r="A6899" s="14"/>
      <c r="B6899" s="15"/>
      <c r="C6899" s="16"/>
      <c r="J6899" s="9"/>
    </row>
    <row r="6900">
      <c r="A6900" s="14"/>
      <c r="B6900" s="15"/>
      <c r="C6900" s="16"/>
      <c r="J6900" s="9"/>
    </row>
    <row r="6901">
      <c r="A6901" s="14"/>
      <c r="B6901" s="15"/>
      <c r="C6901" s="16"/>
      <c r="J6901" s="9"/>
    </row>
    <row r="6902">
      <c r="A6902" s="14"/>
      <c r="B6902" s="15"/>
      <c r="C6902" s="16"/>
      <c r="J6902" s="9"/>
    </row>
    <row r="6903">
      <c r="A6903" s="14"/>
      <c r="B6903" s="15"/>
      <c r="C6903" s="16"/>
      <c r="J6903" s="9"/>
    </row>
    <row r="6904">
      <c r="A6904" s="14"/>
      <c r="B6904" s="15"/>
      <c r="C6904" s="16"/>
      <c r="J6904" s="9"/>
    </row>
    <row r="6905">
      <c r="A6905" s="14"/>
      <c r="B6905" s="15"/>
      <c r="C6905" s="16"/>
      <c r="J6905" s="9"/>
    </row>
    <row r="6906">
      <c r="A6906" s="14"/>
      <c r="B6906" s="15"/>
      <c r="C6906" s="16"/>
      <c r="J6906" s="9"/>
    </row>
    <row r="6907">
      <c r="A6907" s="14"/>
      <c r="B6907" s="15"/>
      <c r="C6907" s="16"/>
      <c r="J6907" s="9"/>
    </row>
    <row r="6908">
      <c r="A6908" s="14"/>
      <c r="B6908" s="15"/>
      <c r="C6908" s="16"/>
      <c r="J6908" s="9"/>
    </row>
    <row r="6909">
      <c r="A6909" s="14"/>
      <c r="B6909" s="15"/>
      <c r="C6909" s="16"/>
      <c r="J6909" s="9"/>
    </row>
    <row r="6910">
      <c r="A6910" s="14"/>
      <c r="B6910" s="15"/>
      <c r="C6910" s="16"/>
      <c r="J6910" s="9"/>
    </row>
    <row r="6911">
      <c r="A6911" s="14"/>
      <c r="B6911" s="15"/>
      <c r="C6911" s="16"/>
      <c r="J6911" s="9"/>
    </row>
    <row r="6912">
      <c r="A6912" s="14"/>
      <c r="B6912" s="15"/>
      <c r="C6912" s="16"/>
      <c r="J6912" s="9"/>
    </row>
    <row r="6913">
      <c r="A6913" s="14"/>
      <c r="B6913" s="15"/>
      <c r="C6913" s="16"/>
      <c r="J6913" s="9"/>
    </row>
    <row r="6914">
      <c r="A6914" s="14"/>
      <c r="B6914" s="15"/>
      <c r="C6914" s="16"/>
      <c r="J6914" s="9"/>
    </row>
    <row r="6915">
      <c r="A6915" s="14"/>
      <c r="B6915" s="15"/>
      <c r="C6915" s="16"/>
      <c r="J6915" s="9"/>
    </row>
    <row r="6916">
      <c r="A6916" s="14"/>
      <c r="B6916" s="15"/>
      <c r="C6916" s="16"/>
      <c r="J6916" s="9"/>
    </row>
    <row r="6917">
      <c r="A6917" s="14"/>
      <c r="B6917" s="15"/>
      <c r="C6917" s="16"/>
      <c r="J6917" s="9"/>
    </row>
    <row r="6918">
      <c r="A6918" s="14"/>
      <c r="B6918" s="15"/>
      <c r="C6918" s="16"/>
      <c r="J6918" s="9"/>
    </row>
    <row r="6919">
      <c r="A6919" s="14"/>
      <c r="B6919" s="15"/>
      <c r="C6919" s="16"/>
      <c r="J6919" s="9"/>
    </row>
    <row r="6920">
      <c r="A6920" s="14"/>
      <c r="B6920" s="15"/>
      <c r="C6920" s="16"/>
      <c r="J6920" s="9"/>
    </row>
    <row r="6921">
      <c r="A6921" s="14"/>
      <c r="B6921" s="15"/>
      <c r="C6921" s="16"/>
      <c r="J6921" s="9"/>
    </row>
    <row r="6922">
      <c r="A6922" s="14"/>
      <c r="B6922" s="15"/>
      <c r="C6922" s="16"/>
      <c r="J6922" s="9"/>
    </row>
    <row r="6923">
      <c r="A6923" s="14"/>
      <c r="B6923" s="15"/>
      <c r="C6923" s="16"/>
      <c r="J6923" s="9"/>
    </row>
    <row r="6924">
      <c r="A6924" s="14"/>
      <c r="B6924" s="15"/>
      <c r="C6924" s="16"/>
      <c r="J6924" s="9"/>
    </row>
    <row r="6925">
      <c r="A6925" s="14"/>
      <c r="B6925" s="15"/>
      <c r="C6925" s="16"/>
      <c r="J6925" s="9"/>
    </row>
    <row r="6926">
      <c r="A6926" s="14"/>
      <c r="B6926" s="15"/>
      <c r="C6926" s="16"/>
      <c r="J6926" s="9"/>
    </row>
    <row r="6927">
      <c r="A6927" s="14"/>
      <c r="B6927" s="15"/>
      <c r="C6927" s="16"/>
      <c r="J6927" s="9"/>
    </row>
    <row r="6928">
      <c r="A6928" s="14"/>
      <c r="B6928" s="15"/>
      <c r="C6928" s="16"/>
      <c r="J6928" s="9"/>
    </row>
    <row r="6929">
      <c r="A6929" s="14"/>
      <c r="B6929" s="15"/>
      <c r="C6929" s="16"/>
      <c r="J6929" s="9"/>
    </row>
    <row r="6930">
      <c r="A6930" s="14"/>
      <c r="B6930" s="15"/>
      <c r="C6930" s="16"/>
      <c r="J6930" s="9"/>
    </row>
    <row r="6931">
      <c r="A6931" s="14"/>
      <c r="B6931" s="15"/>
      <c r="C6931" s="16"/>
      <c r="J6931" s="9"/>
    </row>
    <row r="6932">
      <c r="A6932" s="14"/>
      <c r="B6932" s="15"/>
      <c r="C6932" s="16"/>
      <c r="J6932" s="9"/>
    </row>
    <row r="6933">
      <c r="A6933" s="14"/>
      <c r="B6933" s="15"/>
      <c r="C6933" s="16"/>
      <c r="J6933" s="9"/>
    </row>
    <row r="6934">
      <c r="A6934" s="14"/>
      <c r="B6934" s="15"/>
      <c r="C6934" s="16"/>
      <c r="J6934" s="9"/>
    </row>
    <row r="6935">
      <c r="A6935" s="14"/>
      <c r="B6935" s="15"/>
      <c r="C6935" s="16"/>
      <c r="J6935" s="9"/>
    </row>
    <row r="6936">
      <c r="A6936" s="14"/>
      <c r="B6936" s="15"/>
      <c r="C6936" s="16"/>
      <c r="J6936" s="9"/>
    </row>
    <row r="6937">
      <c r="A6937" s="14"/>
      <c r="B6937" s="15"/>
      <c r="C6937" s="16"/>
      <c r="J6937" s="9"/>
    </row>
    <row r="6938">
      <c r="A6938" s="14"/>
      <c r="B6938" s="15"/>
      <c r="C6938" s="16"/>
      <c r="J6938" s="9"/>
    </row>
    <row r="6939">
      <c r="A6939" s="14"/>
      <c r="B6939" s="15"/>
      <c r="C6939" s="16"/>
      <c r="J6939" s="9"/>
    </row>
    <row r="6940">
      <c r="A6940" s="14"/>
      <c r="B6940" s="15"/>
      <c r="C6940" s="16"/>
      <c r="J6940" s="9"/>
    </row>
    <row r="6941">
      <c r="A6941" s="14"/>
      <c r="B6941" s="15"/>
      <c r="C6941" s="16"/>
      <c r="J6941" s="9"/>
    </row>
    <row r="6942">
      <c r="A6942" s="14"/>
      <c r="B6942" s="15"/>
      <c r="C6942" s="16"/>
      <c r="J6942" s="9"/>
    </row>
    <row r="6943">
      <c r="A6943" s="14"/>
      <c r="B6943" s="15"/>
      <c r="C6943" s="16"/>
      <c r="J6943" s="9"/>
    </row>
    <row r="6944">
      <c r="A6944" s="14"/>
      <c r="B6944" s="15"/>
      <c r="C6944" s="16"/>
      <c r="J6944" s="9"/>
    </row>
    <row r="6945">
      <c r="A6945" s="14"/>
      <c r="B6945" s="15"/>
      <c r="C6945" s="16"/>
      <c r="J6945" s="9"/>
    </row>
    <row r="6946">
      <c r="A6946" s="14"/>
      <c r="B6946" s="15"/>
      <c r="C6946" s="16"/>
      <c r="J6946" s="9"/>
    </row>
    <row r="6947">
      <c r="A6947" s="14"/>
      <c r="B6947" s="15"/>
      <c r="C6947" s="16"/>
      <c r="J6947" s="9"/>
    </row>
    <row r="6948">
      <c r="A6948" s="14"/>
      <c r="B6948" s="15"/>
      <c r="C6948" s="16"/>
      <c r="J6948" s="9"/>
    </row>
    <row r="6949">
      <c r="A6949" s="14"/>
      <c r="B6949" s="15"/>
      <c r="C6949" s="16"/>
      <c r="J6949" s="9"/>
    </row>
    <row r="6950">
      <c r="A6950" s="14"/>
      <c r="B6950" s="15"/>
      <c r="C6950" s="16"/>
      <c r="J6950" s="9"/>
    </row>
    <row r="6951">
      <c r="A6951" s="14"/>
      <c r="B6951" s="15"/>
      <c r="C6951" s="16"/>
      <c r="J6951" s="9"/>
    </row>
    <row r="6952">
      <c r="A6952" s="14"/>
      <c r="B6952" s="15"/>
      <c r="C6952" s="16"/>
      <c r="J6952" s="9"/>
    </row>
    <row r="6953">
      <c r="A6953" s="14"/>
      <c r="B6953" s="15"/>
      <c r="C6953" s="16"/>
      <c r="J6953" s="9"/>
    </row>
    <row r="6954">
      <c r="A6954" s="14"/>
      <c r="B6954" s="15"/>
      <c r="C6954" s="16"/>
      <c r="J6954" s="9"/>
    </row>
    <row r="6955">
      <c r="A6955" s="14"/>
      <c r="B6955" s="15"/>
      <c r="C6955" s="16"/>
      <c r="J6955" s="9"/>
    </row>
    <row r="6956">
      <c r="A6956" s="14"/>
      <c r="B6956" s="15"/>
      <c r="C6956" s="16"/>
      <c r="J6956" s="9"/>
    </row>
    <row r="6957">
      <c r="A6957" s="14"/>
      <c r="B6957" s="15"/>
      <c r="C6957" s="16"/>
      <c r="J6957" s="9"/>
    </row>
    <row r="6958">
      <c r="A6958" s="14"/>
      <c r="B6958" s="15"/>
      <c r="C6958" s="16"/>
      <c r="J6958" s="9"/>
    </row>
    <row r="6959">
      <c r="A6959" s="14"/>
      <c r="B6959" s="15"/>
      <c r="C6959" s="16"/>
      <c r="J6959" s="9"/>
    </row>
    <row r="6960">
      <c r="A6960" s="14"/>
      <c r="B6960" s="15"/>
      <c r="C6960" s="16"/>
      <c r="J6960" s="9"/>
    </row>
    <row r="6961">
      <c r="A6961" s="14"/>
      <c r="B6961" s="15"/>
      <c r="C6961" s="16"/>
      <c r="J6961" s="9"/>
    </row>
    <row r="6962">
      <c r="A6962" s="14"/>
      <c r="B6962" s="15"/>
      <c r="C6962" s="16"/>
      <c r="J6962" s="9"/>
    </row>
    <row r="6963">
      <c r="A6963" s="14"/>
      <c r="B6963" s="15"/>
      <c r="C6963" s="16"/>
      <c r="J6963" s="9"/>
    </row>
    <row r="6964">
      <c r="A6964" s="14"/>
      <c r="B6964" s="15"/>
      <c r="C6964" s="16"/>
      <c r="J6964" s="9"/>
    </row>
    <row r="6965">
      <c r="A6965" s="14"/>
      <c r="B6965" s="15"/>
      <c r="C6965" s="16"/>
      <c r="J6965" s="9"/>
    </row>
    <row r="6966">
      <c r="A6966" s="14"/>
      <c r="B6966" s="15"/>
      <c r="C6966" s="16"/>
      <c r="J6966" s="9"/>
    </row>
    <row r="6967">
      <c r="A6967" s="14"/>
      <c r="B6967" s="15"/>
      <c r="C6967" s="16"/>
      <c r="J6967" s="9"/>
    </row>
    <row r="6968">
      <c r="A6968" s="14"/>
      <c r="B6968" s="15"/>
      <c r="C6968" s="16"/>
      <c r="J6968" s="9"/>
    </row>
    <row r="6969">
      <c r="A6969" s="14"/>
      <c r="B6969" s="15"/>
      <c r="C6969" s="16"/>
      <c r="J6969" s="9"/>
    </row>
    <row r="6970">
      <c r="A6970" s="14"/>
      <c r="B6970" s="15"/>
      <c r="C6970" s="16"/>
      <c r="J6970" s="9"/>
    </row>
    <row r="6971">
      <c r="A6971" s="14"/>
      <c r="B6971" s="15"/>
      <c r="C6971" s="16"/>
      <c r="J6971" s="9"/>
    </row>
    <row r="6972">
      <c r="A6972" s="14"/>
      <c r="B6972" s="15"/>
      <c r="C6972" s="16"/>
      <c r="J6972" s="9"/>
    </row>
    <row r="6973">
      <c r="A6973" s="14"/>
      <c r="B6973" s="15"/>
      <c r="C6973" s="16"/>
      <c r="J6973" s="9"/>
    </row>
    <row r="6974">
      <c r="A6974" s="14"/>
      <c r="B6974" s="15"/>
      <c r="C6974" s="16"/>
      <c r="J6974" s="9"/>
    </row>
    <row r="6975">
      <c r="A6975" s="14"/>
      <c r="B6975" s="15"/>
      <c r="C6975" s="16"/>
      <c r="J6975" s="9"/>
    </row>
    <row r="6976">
      <c r="A6976" s="14"/>
      <c r="B6976" s="15"/>
      <c r="C6976" s="16"/>
      <c r="J6976" s="9"/>
    </row>
    <row r="6977">
      <c r="A6977" s="14"/>
      <c r="B6977" s="15"/>
      <c r="C6977" s="16"/>
      <c r="J6977" s="9"/>
    </row>
    <row r="6978">
      <c r="A6978" s="14"/>
      <c r="B6978" s="15"/>
      <c r="C6978" s="16"/>
      <c r="J6978" s="9"/>
    </row>
    <row r="6979">
      <c r="A6979" s="14"/>
      <c r="B6979" s="15"/>
      <c r="C6979" s="16"/>
      <c r="J6979" s="9"/>
    </row>
    <row r="6980">
      <c r="A6980" s="14"/>
      <c r="B6980" s="15"/>
      <c r="C6980" s="16"/>
      <c r="J6980" s="9"/>
    </row>
    <row r="6981">
      <c r="A6981" s="14"/>
      <c r="B6981" s="15"/>
      <c r="C6981" s="16"/>
      <c r="J6981" s="9"/>
    </row>
    <row r="6982">
      <c r="A6982" s="14"/>
      <c r="B6982" s="15"/>
      <c r="C6982" s="16"/>
      <c r="J6982" s="9"/>
    </row>
    <row r="6983">
      <c r="A6983" s="14"/>
      <c r="B6983" s="15"/>
      <c r="C6983" s="16"/>
      <c r="J6983" s="9"/>
    </row>
    <row r="6984">
      <c r="A6984" s="14"/>
      <c r="B6984" s="15"/>
      <c r="C6984" s="16"/>
      <c r="J6984" s="9"/>
    </row>
    <row r="6985">
      <c r="A6985" s="14"/>
      <c r="B6985" s="15"/>
      <c r="C6985" s="16"/>
      <c r="J6985" s="9"/>
    </row>
    <row r="6986">
      <c r="A6986" s="14"/>
      <c r="B6986" s="15"/>
      <c r="C6986" s="16"/>
      <c r="J6986" s="9"/>
    </row>
    <row r="6987">
      <c r="A6987" s="14"/>
      <c r="B6987" s="15"/>
      <c r="C6987" s="16"/>
      <c r="J6987" s="9"/>
    </row>
    <row r="6988">
      <c r="A6988" s="14"/>
      <c r="B6988" s="15"/>
      <c r="C6988" s="16"/>
      <c r="J6988" s="9"/>
    </row>
    <row r="6989">
      <c r="A6989" s="14"/>
      <c r="B6989" s="15"/>
      <c r="C6989" s="16"/>
      <c r="J6989" s="9"/>
    </row>
    <row r="6990">
      <c r="A6990" s="14"/>
      <c r="B6990" s="15"/>
      <c r="C6990" s="16"/>
      <c r="J6990" s="9"/>
    </row>
    <row r="6991">
      <c r="A6991" s="14"/>
      <c r="B6991" s="15"/>
      <c r="C6991" s="16"/>
      <c r="J6991" s="9"/>
    </row>
    <row r="6992">
      <c r="A6992" s="14"/>
      <c r="B6992" s="15"/>
      <c r="C6992" s="16"/>
      <c r="J6992" s="9"/>
    </row>
    <row r="6993">
      <c r="A6993" s="14"/>
      <c r="B6993" s="15"/>
      <c r="C6993" s="16"/>
      <c r="J6993" s="9"/>
    </row>
    <row r="6994">
      <c r="A6994" s="14"/>
      <c r="B6994" s="15"/>
      <c r="C6994" s="16"/>
      <c r="J6994" s="9"/>
    </row>
    <row r="6995">
      <c r="A6995" s="14"/>
      <c r="B6995" s="15"/>
      <c r="C6995" s="16"/>
      <c r="J6995" s="9"/>
    </row>
    <row r="6996">
      <c r="A6996" s="14"/>
      <c r="B6996" s="15"/>
      <c r="C6996" s="16"/>
      <c r="J6996" s="9"/>
    </row>
    <row r="6997">
      <c r="A6997" s="14"/>
      <c r="B6997" s="15"/>
      <c r="C6997" s="16"/>
      <c r="J6997" s="9"/>
    </row>
    <row r="6998">
      <c r="A6998" s="14"/>
      <c r="B6998" s="15"/>
      <c r="C6998" s="16"/>
      <c r="J6998" s="9"/>
    </row>
    <row r="6999">
      <c r="A6999" s="14"/>
      <c r="B6999" s="15"/>
      <c r="C6999" s="16"/>
      <c r="J6999" s="9"/>
    </row>
    <row r="7000">
      <c r="A7000" s="14"/>
      <c r="B7000" s="15"/>
      <c r="C7000" s="16"/>
      <c r="J7000" s="9"/>
    </row>
    <row r="7001">
      <c r="A7001" s="14"/>
      <c r="B7001" s="15"/>
      <c r="C7001" s="16"/>
      <c r="J7001" s="9"/>
    </row>
    <row r="7002">
      <c r="A7002" s="14"/>
      <c r="B7002" s="15"/>
      <c r="C7002" s="16"/>
      <c r="J7002" s="9"/>
    </row>
    <row r="7003">
      <c r="A7003" s="14"/>
      <c r="B7003" s="15"/>
      <c r="C7003" s="16"/>
      <c r="J7003" s="9"/>
    </row>
    <row r="7004">
      <c r="A7004" s="14"/>
      <c r="B7004" s="15"/>
      <c r="C7004" s="16"/>
      <c r="J7004" s="9"/>
    </row>
    <row r="7005">
      <c r="A7005" s="14"/>
      <c r="B7005" s="15"/>
      <c r="C7005" s="16"/>
      <c r="J7005" s="9"/>
    </row>
    <row r="7006">
      <c r="A7006" s="14"/>
      <c r="B7006" s="15"/>
      <c r="C7006" s="16"/>
      <c r="J7006" s="9"/>
    </row>
    <row r="7007">
      <c r="A7007" s="14"/>
      <c r="B7007" s="15"/>
      <c r="C7007" s="16"/>
      <c r="J7007" s="9"/>
    </row>
    <row r="7008">
      <c r="A7008" s="14"/>
      <c r="B7008" s="15"/>
      <c r="C7008" s="16"/>
      <c r="J7008" s="9"/>
    </row>
    <row r="7009">
      <c r="A7009" s="14"/>
      <c r="B7009" s="15"/>
      <c r="C7009" s="16"/>
      <c r="J7009" s="9"/>
    </row>
    <row r="7010">
      <c r="A7010" s="14"/>
      <c r="B7010" s="15"/>
      <c r="C7010" s="16"/>
      <c r="J7010" s="9"/>
    </row>
    <row r="7011">
      <c r="A7011" s="14"/>
      <c r="B7011" s="15"/>
      <c r="C7011" s="16"/>
      <c r="J7011" s="9"/>
    </row>
    <row r="7012">
      <c r="A7012" s="14"/>
      <c r="B7012" s="15"/>
      <c r="C7012" s="16"/>
      <c r="J7012" s="9"/>
    </row>
    <row r="7013">
      <c r="A7013" s="14"/>
      <c r="B7013" s="15"/>
      <c r="C7013" s="16"/>
      <c r="J7013" s="9"/>
    </row>
    <row r="7014">
      <c r="A7014" s="14"/>
      <c r="B7014" s="15"/>
      <c r="C7014" s="16"/>
      <c r="J7014" s="9"/>
    </row>
    <row r="7015">
      <c r="A7015" s="14"/>
      <c r="B7015" s="15"/>
      <c r="C7015" s="16"/>
      <c r="J7015" s="9"/>
    </row>
    <row r="7016">
      <c r="A7016" s="14"/>
      <c r="B7016" s="15"/>
      <c r="C7016" s="16"/>
      <c r="J7016" s="9"/>
    </row>
    <row r="7017">
      <c r="A7017" s="14"/>
      <c r="B7017" s="15"/>
      <c r="C7017" s="16"/>
      <c r="J7017" s="9"/>
    </row>
    <row r="7018">
      <c r="A7018" s="14"/>
      <c r="B7018" s="15"/>
      <c r="C7018" s="16"/>
      <c r="J7018" s="9"/>
    </row>
    <row r="7019">
      <c r="A7019" s="14"/>
      <c r="B7019" s="15"/>
      <c r="C7019" s="16"/>
      <c r="J7019" s="9"/>
    </row>
    <row r="7020">
      <c r="A7020" s="14"/>
      <c r="B7020" s="15"/>
      <c r="C7020" s="16"/>
      <c r="J7020" s="9"/>
    </row>
    <row r="7021">
      <c r="A7021" s="14"/>
      <c r="B7021" s="15"/>
      <c r="C7021" s="16"/>
      <c r="J7021" s="9"/>
    </row>
    <row r="7022">
      <c r="A7022" s="14"/>
      <c r="B7022" s="15"/>
      <c r="C7022" s="16"/>
      <c r="J7022" s="9"/>
    </row>
    <row r="7023">
      <c r="A7023" s="14"/>
      <c r="B7023" s="15"/>
      <c r="C7023" s="16"/>
      <c r="J7023" s="9"/>
    </row>
    <row r="7024">
      <c r="A7024" s="14"/>
      <c r="B7024" s="15"/>
      <c r="C7024" s="16"/>
      <c r="J7024" s="9"/>
    </row>
    <row r="7025">
      <c r="A7025" s="14"/>
      <c r="B7025" s="15"/>
      <c r="C7025" s="16"/>
      <c r="J7025" s="9"/>
    </row>
    <row r="7026">
      <c r="A7026" s="14"/>
      <c r="B7026" s="15"/>
      <c r="C7026" s="16"/>
      <c r="J7026" s="9"/>
    </row>
    <row r="7027">
      <c r="A7027" s="14"/>
      <c r="B7027" s="15"/>
      <c r="C7027" s="16"/>
      <c r="J7027" s="9"/>
    </row>
    <row r="7028">
      <c r="A7028" s="14"/>
      <c r="B7028" s="15"/>
      <c r="C7028" s="16"/>
      <c r="J7028" s="9"/>
    </row>
    <row r="7029">
      <c r="A7029" s="14"/>
      <c r="B7029" s="15"/>
      <c r="C7029" s="16"/>
      <c r="J7029" s="9"/>
    </row>
    <row r="7030">
      <c r="A7030" s="14"/>
      <c r="B7030" s="15"/>
      <c r="C7030" s="16"/>
      <c r="J7030" s="9"/>
    </row>
    <row r="7031">
      <c r="A7031" s="14"/>
      <c r="B7031" s="15"/>
      <c r="C7031" s="16"/>
      <c r="J7031" s="9"/>
    </row>
    <row r="7032">
      <c r="A7032" s="14"/>
      <c r="B7032" s="15"/>
      <c r="C7032" s="16"/>
      <c r="J7032" s="9"/>
    </row>
    <row r="7033">
      <c r="A7033" s="14"/>
      <c r="B7033" s="15"/>
      <c r="C7033" s="16"/>
      <c r="J7033" s="9"/>
    </row>
    <row r="7034">
      <c r="A7034" s="14"/>
      <c r="B7034" s="15"/>
      <c r="C7034" s="16"/>
      <c r="J7034" s="9"/>
    </row>
    <row r="7035">
      <c r="A7035" s="14"/>
      <c r="B7035" s="15"/>
      <c r="C7035" s="16"/>
      <c r="J7035" s="9"/>
    </row>
    <row r="7036">
      <c r="A7036" s="14"/>
      <c r="B7036" s="15"/>
      <c r="C7036" s="16"/>
      <c r="J7036" s="9"/>
    </row>
    <row r="7037">
      <c r="A7037" s="14"/>
      <c r="B7037" s="15"/>
      <c r="C7037" s="16"/>
      <c r="J7037" s="9"/>
    </row>
    <row r="7038">
      <c r="A7038" s="14"/>
      <c r="B7038" s="15"/>
      <c r="C7038" s="16"/>
      <c r="J7038" s="9"/>
    </row>
    <row r="7039">
      <c r="A7039" s="14"/>
      <c r="B7039" s="15"/>
      <c r="C7039" s="16"/>
      <c r="J7039" s="9"/>
    </row>
    <row r="7040">
      <c r="A7040" s="14"/>
      <c r="B7040" s="15"/>
      <c r="C7040" s="16"/>
      <c r="J7040" s="9"/>
    </row>
    <row r="7041">
      <c r="A7041" s="14"/>
      <c r="B7041" s="15"/>
      <c r="C7041" s="16"/>
      <c r="J7041" s="9"/>
    </row>
    <row r="7042">
      <c r="A7042" s="14"/>
      <c r="B7042" s="15"/>
      <c r="C7042" s="16"/>
      <c r="J7042" s="9"/>
    </row>
    <row r="7043">
      <c r="A7043" s="14"/>
      <c r="B7043" s="15"/>
      <c r="C7043" s="16"/>
      <c r="J7043" s="9"/>
    </row>
    <row r="7044">
      <c r="A7044" s="14"/>
      <c r="B7044" s="15"/>
      <c r="C7044" s="16"/>
      <c r="J7044" s="9"/>
    </row>
    <row r="7045">
      <c r="A7045" s="14"/>
      <c r="B7045" s="15"/>
      <c r="C7045" s="16"/>
      <c r="J7045" s="9"/>
    </row>
    <row r="7046">
      <c r="A7046" s="14"/>
      <c r="B7046" s="15"/>
      <c r="C7046" s="16"/>
      <c r="J7046" s="9"/>
    </row>
    <row r="7047">
      <c r="A7047" s="14"/>
      <c r="B7047" s="15"/>
      <c r="C7047" s="16"/>
      <c r="J7047" s="9"/>
    </row>
    <row r="7048">
      <c r="A7048" s="14"/>
      <c r="B7048" s="15"/>
      <c r="C7048" s="16"/>
      <c r="J7048" s="9"/>
    </row>
    <row r="7049">
      <c r="A7049" s="14"/>
      <c r="B7049" s="15"/>
      <c r="C7049" s="16"/>
      <c r="J7049" s="9"/>
    </row>
    <row r="7050">
      <c r="A7050" s="14"/>
      <c r="B7050" s="15"/>
      <c r="C7050" s="16"/>
      <c r="J7050" s="9"/>
    </row>
    <row r="7051">
      <c r="A7051" s="14"/>
      <c r="B7051" s="15"/>
      <c r="C7051" s="16"/>
      <c r="J7051" s="9"/>
    </row>
    <row r="7052">
      <c r="A7052" s="14"/>
      <c r="B7052" s="15"/>
      <c r="C7052" s="16"/>
      <c r="J7052" s="9"/>
    </row>
    <row r="7053">
      <c r="A7053" s="14"/>
      <c r="B7053" s="15"/>
      <c r="C7053" s="16"/>
      <c r="J7053" s="9"/>
    </row>
    <row r="7054">
      <c r="A7054" s="14"/>
      <c r="B7054" s="15"/>
      <c r="C7054" s="16"/>
      <c r="J7054" s="9"/>
    </row>
    <row r="7055">
      <c r="A7055" s="14"/>
      <c r="B7055" s="15"/>
      <c r="C7055" s="16"/>
      <c r="J7055" s="9"/>
    </row>
    <row r="7056">
      <c r="A7056" s="14"/>
      <c r="B7056" s="15"/>
      <c r="C7056" s="16"/>
      <c r="J7056" s="9"/>
    </row>
    <row r="7057">
      <c r="A7057" s="14"/>
      <c r="B7057" s="15"/>
      <c r="C7057" s="16"/>
      <c r="J7057" s="9"/>
    </row>
    <row r="7058">
      <c r="A7058" s="14"/>
      <c r="B7058" s="15"/>
      <c r="C7058" s="16"/>
      <c r="J7058" s="9"/>
    </row>
    <row r="7059">
      <c r="A7059" s="14"/>
      <c r="B7059" s="15"/>
      <c r="C7059" s="16"/>
      <c r="J7059" s="9"/>
    </row>
    <row r="7060">
      <c r="A7060" s="14"/>
      <c r="B7060" s="15"/>
      <c r="C7060" s="16"/>
      <c r="J7060" s="9"/>
    </row>
    <row r="7061">
      <c r="A7061" s="14"/>
      <c r="B7061" s="15"/>
      <c r="C7061" s="16"/>
      <c r="J7061" s="9"/>
    </row>
    <row r="7062">
      <c r="A7062" s="14"/>
      <c r="B7062" s="15"/>
      <c r="C7062" s="16"/>
      <c r="J7062" s="9"/>
    </row>
    <row r="7063">
      <c r="A7063" s="14"/>
      <c r="B7063" s="15"/>
      <c r="C7063" s="16"/>
      <c r="J7063" s="9"/>
    </row>
    <row r="7064">
      <c r="A7064" s="14"/>
      <c r="B7064" s="15"/>
      <c r="C7064" s="16"/>
      <c r="J7064" s="9"/>
    </row>
    <row r="7065">
      <c r="A7065" s="14"/>
      <c r="B7065" s="15"/>
      <c r="C7065" s="16"/>
      <c r="J7065" s="9"/>
    </row>
    <row r="7066">
      <c r="A7066" s="14"/>
      <c r="B7066" s="15"/>
      <c r="C7066" s="16"/>
      <c r="J7066" s="9"/>
    </row>
    <row r="7067">
      <c r="A7067" s="14"/>
      <c r="B7067" s="15"/>
      <c r="C7067" s="16"/>
      <c r="J7067" s="9"/>
    </row>
    <row r="7068">
      <c r="A7068" s="14"/>
      <c r="B7068" s="15"/>
      <c r="C7068" s="16"/>
      <c r="J7068" s="9"/>
    </row>
    <row r="7069">
      <c r="A7069" s="14"/>
      <c r="B7069" s="15"/>
      <c r="C7069" s="16"/>
      <c r="J7069" s="9"/>
    </row>
    <row r="7070">
      <c r="A7070" s="14"/>
      <c r="B7070" s="15"/>
      <c r="C7070" s="16"/>
      <c r="J7070" s="9"/>
    </row>
    <row r="7071">
      <c r="A7071" s="14"/>
      <c r="B7071" s="15"/>
      <c r="C7071" s="16"/>
      <c r="J7071" s="9"/>
    </row>
    <row r="7072">
      <c r="A7072" s="14"/>
      <c r="B7072" s="15"/>
      <c r="C7072" s="16"/>
      <c r="J7072" s="9"/>
    </row>
    <row r="7073">
      <c r="A7073" s="14"/>
      <c r="B7073" s="15"/>
      <c r="C7073" s="16"/>
      <c r="J7073" s="9"/>
    </row>
    <row r="7074">
      <c r="A7074" s="14"/>
      <c r="B7074" s="15"/>
      <c r="C7074" s="16"/>
      <c r="J7074" s="9"/>
    </row>
    <row r="7075">
      <c r="A7075" s="14"/>
      <c r="B7075" s="15"/>
      <c r="C7075" s="16"/>
      <c r="J7075" s="9"/>
    </row>
    <row r="7076">
      <c r="A7076" s="14"/>
      <c r="B7076" s="15"/>
      <c r="C7076" s="16"/>
      <c r="J7076" s="9"/>
    </row>
    <row r="7077">
      <c r="A7077" s="14"/>
      <c r="B7077" s="15"/>
      <c r="C7077" s="16"/>
      <c r="J7077" s="9"/>
    </row>
    <row r="7078">
      <c r="A7078" s="14"/>
      <c r="B7078" s="15"/>
      <c r="C7078" s="16"/>
      <c r="J7078" s="9"/>
    </row>
    <row r="7079">
      <c r="A7079" s="14"/>
      <c r="B7079" s="15"/>
      <c r="C7079" s="16"/>
      <c r="J7079" s="9"/>
    </row>
    <row r="7080">
      <c r="A7080" s="14"/>
      <c r="B7080" s="15"/>
      <c r="C7080" s="16"/>
      <c r="J7080" s="9"/>
    </row>
    <row r="7081">
      <c r="A7081" s="14"/>
      <c r="B7081" s="15"/>
      <c r="C7081" s="16"/>
      <c r="J7081" s="9"/>
    </row>
    <row r="7082">
      <c r="A7082" s="14"/>
      <c r="B7082" s="15"/>
      <c r="C7082" s="16"/>
      <c r="J7082" s="9"/>
    </row>
    <row r="7083">
      <c r="A7083" s="14"/>
      <c r="B7083" s="15"/>
      <c r="C7083" s="16"/>
      <c r="J7083" s="9"/>
    </row>
    <row r="7084">
      <c r="A7084" s="14"/>
      <c r="B7084" s="15"/>
      <c r="C7084" s="16"/>
      <c r="J7084" s="9"/>
    </row>
    <row r="7085">
      <c r="A7085" s="14"/>
      <c r="B7085" s="15"/>
      <c r="C7085" s="16"/>
      <c r="J7085" s="9"/>
    </row>
    <row r="7086">
      <c r="A7086" s="14"/>
      <c r="B7086" s="15"/>
      <c r="C7086" s="16"/>
      <c r="J7086" s="9"/>
    </row>
    <row r="7087">
      <c r="A7087" s="14"/>
      <c r="B7087" s="15"/>
      <c r="C7087" s="16"/>
      <c r="J7087" s="9"/>
    </row>
    <row r="7088">
      <c r="A7088" s="14"/>
      <c r="B7088" s="15"/>
      <c r="C7088" s="16"/>
      <c r="J7088" s="9"/>
    </row>
    <row r="7089">
      <c r="A7089" s="14"/>
      <c r="B7089" s="15"/>
      <c r="C7089" s="16"/>
      <c r="J7089" s="9"/>
    </row>
    <row r="7090">
      <c r="A7090" s="14"/>
      <c r="B7090" s="15"/>
      <c r="C7090" s="16"/>
      <c r="J7090" s="9"/>
    </row>
    <row r="7091">
      <c r="A7091" s="14"/>
      <c r="B7091" s="15"/>
      <c r="C7091" s="16"/>
      <c r="J7091" s="9"/>
    </row>
    <row r="7092">
      <c r="A7092" s="14"/>
      <c r="B7092" s="15"/>
      <c r="C7092" s="16"/>
      <c r="J7092" s="9"/>
    </row>
    <row r="7093">
      <c r="A7093" s="14"/>
      <c r="B7093" s="15"/>
      <c r="C7093" s="16"/>
      <c r="J7093" s="9"/>
    </row>
    <row r="7094">
      <c r="A7094" s="14"/>
      <c r="B7094" s="15"/>
      <c r="C7094" s="16"/>
      <c r="J7094" s="9"/>
    </row>
    <row r="7095">
      <c r="A7095" s="14"/>
      <c r="B7095" s="15"/>
      <c r="C7095" s="16"/>
      <c r="J7095" s="9"/>
    </row>
    <row r="7096">
      <c r="A7096" s="14"/>
      <c r="B7096" s="15"/>
      <c r="C7096" s="16"/>
      <c r="J7096" s="9"/>
    </row>
    <row r="7097">
      <c r="A7097" s="14"/>
      <c r="B7097" s="15"/>
      <c r="C7097" s="16"/>
      <c r="J7097" s="9"/>
    </row>
    <row r="7098">
      <c r="A7098" s="14"/>
      <c r="B7098" s="15"/>
      <c r="C7098" s="16"/>
      <c r="J7098" s="9"/>
    </row>
    <row r="7099">
      <c r="A7099" s="14"/>
      <c r="B7099" s="15"/>
      <c r="C7099" s="16"/>
      <c r="J7099" s="9"/>
    </row>
    <row r="7100">
      <c r="A7100" s="14"/>
      <c r="B7100" s="15"/>
      <c r="C7100" s="16"/>
      <c r="J7100" s="9"/>
    </row>
    <row r="7101">
      <c r="A7101" s="14"/>
      <c r="B7101" s="15"/>
      <c r="C7101" s="16"/>
      <c r="J7101" s="9"/>
    </row>
    <row r="7102">
      <c r="A7102" s="14"/>
      <c r="B7102" s="15"/>
      <c r="C7102" s="16"/>
      <c r="J7102" s="9"/>
    </row>
    <row r="7103">
      <c r="A7103" s="14"/>
      <c r="B7103" s="15"/>
      <c r="C7103" s="16"/>
      <c r="J7103" s="9"/>
    </row>
    <row r="7104">
      <c r="A7104" s="14"/>
      <c r="B7104" s="15"/>
      <c r="C7104" s="16"/>
      <c r="J7104" s="9"/>
    </row>
    <row r="7105">
      <c r="A7105" s="14"/>
      <c r="B7105" s="15"/>
      <c r="C7105" s="16"/>
      <c r="J7105" s="9"/>
    </row>
    <row r="7106">
      <c r="A7106" s="14"/>
      <c r="B7106" s="15"/>
      <c r="C7106" s="16"/>
      <c r="J7106" s="9"/>
    </row>
    <row r="7107">
      <c r="A7107" s="14"/>
      <c r="B7107" s="15"/>
      <c r="C7107" s="16"/>
      <c r="J7107" s="9"/>
    </row>
    <row r="7108">
      <c r="A7108" s="14"/>
      <c r="B7108" s="15"/>
      <c r="C7108" s="16"/>
      <c r="J7108" s="9"/>
    </row>
    <row r="7109">
      <c r="A7109" s="14"/>
      <c r="B7109" s="15"/>
      <c r="C7109" s="16"/>
      <c r="J7109" s="9"/>
    </row>
    <row r="7110">
      <c r="A7110" s="14"/>
      <c r="B7110" s="15"/>
      <c r="C7110" s="16"/>
      <c r="J7110" s="9"/>
    </row>
    <row r="7111">
      <c r="A7111" s="14"/>
      <c r="B7111" s="15"/>
      <c r="C7111" s="16"/>
      <c r="J7111" s="9"/>
    </row>
    <row r="7112">
      <c r="A7112" s="14"/>
      <c r="B7112" s="15"/>
      <c r="C7112" s="16"/>
      <c r="J7112" s="9"/>
    </row>
    <row r="7113">
      <c r="A7113" s="14"/>
      <c r="B7113" s="15"/>
      <c r="C7113" s="16"/>
      <c r="J7113" s="9"/>
    </row>
    <row r="7114">
      <c r="A7114" s="14"/>
      <c r="B7114" s="15"/>
      <c r="C7114" s="16"/>
      <c r="J7114" s="9"/>
    </row>
    <row r="7115">
      <c r="A7115" s="14"/>
      <c r="B7115" s="15"/>
      <c r="C7115" s="16"/>
      <c r="J7115" s="9"/>
    </row>
    <row r="7116">
      <c r="A7116" s="14"/>
      <c r="B7116" s="15"/>
      <c r="C7116" s="16"/>
      <c r="J7116" s="9"/>
    </row>
    <row r="7117">
      <c r="A7117" s="14"/>
      <c r="B7117" s="15"/>
      <c r="C7117" s="16"/>
      <c r="J7117" s="9"/>
    </row>
    <row r="7118">
      <c r="A7118" s="14"/>
      <c r="B7118" s="15"/>
      <c r="C7118" s="16"/>
      <c r="J7118" s="9"/>
    </row>
    <row r="7119">
      <c r="A7119" s="14"/>
      <c r="B7119" s="15"/>
      <c r="C7119" s="16"/>
      <c r="J7119" s="9"/>
    </row>
    <row r="7120">
      <c r="A7120" s="14"/>
      <c r="B7120" s="15"/>
      <c r="C7120" s="16"/>
      <c r="J7120" s="9"/>
    </row>
    <row r="7121">
      <c r="A7121" s="14"/>
      <c r="B7121" s="15"/>
      <c r="C7121" s="16"/>
      <c r="J7121" s="9"/>
    </row>
    <row r="7122">
      <c r="A7122" s="14"/>
      <c r="B7122" s="15"/>
      <c r="C7122" s="16"/>
      <c r="J7122" s="9"/>
    </row>
    <row r="7123">
      <c r="A7123" s="14"/>
      <c r="B7123" s="15"/>
      <c r="C7123" s="16"/>
      <c r="J7123" s="9"/>
    </row>
    <row r="7124">
      <c r="A7124" s="14"/>
      <c r="B7124" s="15"/>
      <c r="C7124" s="16"/>
      <c r="J7124" s="9"/>
    </row>
    <row r="7125">
      <c r="A7125" s="14"/>
      <c r="B7125" s="15"/>
      <c r="C7125" s="16"/>
      <c r="J7125" s="9"/>
    </row>
    <row r="7126">
      <c r="A7126" s="14"/>
      <c r="B7126" s="15"/>
      <c r="C7126" s="16"/>
      <c r="J7126" s="9"/>
    </row>
    <row r="7127">
      <c r="A7127" s="14"/>
      <c r="B7127" s="15"/>
      <c r="C7127" s="16"/>
      <c r="J7127" s="9"/>
    </row>
    <row r="7128">
      <c r="A7128" s="14"/>
      <c r="B7128" s="15"/>
      <c r="C7128" s="16"/>
      <c r="J7128" s="9"/>
    </row>
    <row r="7129">
      <c r="A7129" s="14"/>
      <c r="B7129" s="15"/>
      <c r="C7129" s="16"/>
      <c r="J7129" s="9"/>
    </row>
    <row r="7130">
      <c r="A7130" s="14"/>
      <c r="B7130" s="15"/>
      <c r="C7130" s="16"/>
      <c r="J7130" s="9"/>
    </row>
    <row r="7131">
      <c r="A7131" s="14"/>
      <c r="B7131" s="15"/>
      <c r="C7131" s="16"/>
      <c r="J7131" s="9"/>
    </row>
    <row r="7132">
      <c r="A7132" s="14"/>
      <c r="B7132" s="15"/>
      <c r="C7132" s="16"/>
      <c r="J7132" s="9"/>
    </row>
    <row r="7133">
      <c r="A7133" s="14"/>
      <c r="B7133" s="15"/>
      <c r="C7133" s="16"/>
      <c r="J7133" s="9"/>
    </row>
    <row r="7134">
      <c r="A7134" s="14"/>
      <c r="B7134" s="15"/>
      <c r="C7134" s="16"/>
      <c r="J7134" s="9"/>
    </row>
    <row r="7135">
      <c r="A7135" s="14"/>
      <c r="B7135" s="15"/>
      <c r="C7135" s="16"/>
      <c r="J7135" s="9"/>
    </row>
    <row r="7136">
      <c r="A7136" s="14"/>
      <c r="B7136" s="15"/>
      <c r="C7136" s="16"/>
      <c r="J7136" s="9"/>
    </row>
    <row r="7137">
      <c r="A7137" s="14"/>
      <c r="B7137" s="15"/>
      <c r="C7137" s="16"/>
      <c r="J7137" s="9"/>
    </row>
    <row r="7138">
      <c r="A7138" s="14"/>
      <c r="B7138" s="15"/>
      <c r="C7138" s="16"/>
      <c r="J7138" s="9"/>
    </row>
    <row r="7139">
      <c r="A7139" s="14"/>
      <c r="B7139" s="15"/>
      <c r="C7139" s="16"/>
      <c r="J7139" s="9"/>
    </row>
    <row r="7140">
      <c r="A7140" s="14"/>
      <c r="B7140" s="15"/>
      <c r="C7140" s="16"/>
      <c r="J7140" s="9"/>
    </row>
    <row r="7141">
      <c r="A7141" s="14"/>
      <c r="B7141" s="15"/>
      <c r="C7141" s="16"/>
      <c r="J7141" s="9"/>
    </row>
    <row r="7142">
      <c r="A7142" s="14"/>
      <c r="B7142" s="15"/>
      <c r="C7142" s="16"/>
      <c r="J7142" s="9"/>
    </row>
    <row r="7143">
      <c r="A7143" s="14"/>
      <c r="B7143" s="15"/>
      <c r="C7143" s="16"/>
      <c r="J7143" s="9"/>
    </row>
    <row r="7144">
      <c r="A7144" s="14"/>
      <c r="B7144" s="15"/>
      <c r="C7144" s="16"/>
      <c r="J7144" s="9"/>
    </row>
    <row r="7145">
      <c r="A7145" s="14"/>
      <c r="B7145" s="15"/>
      <c r="C7145" s="16"/>
      <c r="J7145" s="9"/>
    </row>
    <row r="7146">
      <c r="A7146" s="14"/>
      <c r="B7146" s="15"/>
      <c r="C7146" s="16"/>
      <c r="J7146" s="9"/>
    </row>
    <row r="7147">
      <c r="A7147" s="14"/>
      <c r="B7147" s="15"/>
      <c r="C7147" s="16"/>
      <c r="J7147" s="9"/>
    </row>
    <row r="7148">
      <c r="A7148" s="14"/>
      <c r="B7148" s="15"/>
      <c r="C7148" s="16"/>
      <c r="J7148" s="9"/>
    </row>
    <row r="7149">
      <c r="A7149" s="14"/>
      <c r="B7149" s="15"/>
      <c r="C7149" s="16"/>
      <c r="J7149" s="9"/>
    </row>
    <row r="7150">
      <c r="A7150" s="14"/>
      <c r="B7150" s="15"/>
      <c r="C7150" s="16"/>
      <c r="J7150" s="9"/>
    </row>
    <row r="7151">
      <c r="A7151" s="14"/>
      <c r="B7151" s="15"/>
      <c r="C7151" s="16"/>
      <c r="J7151" s="9"/>
    </row>
    <row r="7152">
      <c r="A7152" s="14"/>
      <c r="B7152" s="15"/>
      <c r="C7152" s="16"/>
      <c r="J7152" s="9"/>
    </row>
    <row r="7153">
      <c r="A7153" s="14"/>
      <c r="B7153" s="15"/>
      <c r="C7153" s="16"/>
      <c r="J7153" s="9"/>
    </row>
    <row r="7154">
      <c r="A7154" s="14"/>
      <c r="B7154" s="15"/>
      <c r="C7154" s="16"/>
      <c r="J7154" s="9"/>
    </row>
    <row r="7155">
      <c r="A7155" s="14"/>
      <c r="B7155" s="15"/>
      <c r="C7155" s="16"/>
      <c r="J7155" s="9"/>
    </row>
    <row r="7156">
      <c r="A7156" s="14"/>
      <c r="B7156" s="15"/>
      <c r="C7156" s="16"/>
      <c r="J7156" s="9"/>
    </row>
    <row r="7157">
      <c r="A7157" s="14"/>
      <c r="B7157" s="15"/>
      <c r="C7157" s="16"/>
      <c r="J7157" s="9"/>
    </row>
    <row r="7158">
      <c r="A7158" s="14"/>
      <c r="B7158" s="15"/>
      <c r="C7158" s="16"/>
      <c r="J7158" s="9"/>
    </row>
    <row r="7159">
      <c r="A7159" s="14"/>
      <c r="B7159" s="15"/>
      <c r="C7159" s="16"/>
      <c r="J7159" s="9"/>
    </row>
    <row r="7160">
      <c r="A7160" s="14"/>
      <c r="B7160" s="15"/>
      <c r="C7160" s="16"/>
      <c r="J7160" s="9"/>
    </row>
    <row r="7161">
      <c r="A7161" s="14"/>
      <c r="B7161" s="15"/>
      <c r="C7161" s="16"/>
      <c r="J7161" s="9"/>
    </row>
    <row r="7162">
      <c r="A7162" s="14"/>
      <c r="B7162" s="15"/>
      <c r="C7162" s="16"/>
      <c r="J7162" s="9"/>
    </row>
    <row r="7163">
      <c r="A7163" s="14"/>
      <c r="B7163" s="15"/>
      <c r="C7163" s="16"/>
      <c r="J7163" s="9"/>
    </row>
    <row r="7164">
      <c r="A7164" s="14"/>
      <c r="B7164" s="15"/>
      <c r="C7164" s="16"/>
      <c r="J7164" s="9"/>
    </row>
    <row r="7165">
      <c r="A7165" s="14"/>
      <c r="B7165" s="15"/>
      <c r="C7165" s="16"/>
      <c r="J7165" s="9"/>
    </row>
    <row r="7166">
      <c r="A7166" s="14"/>
      <c r="B7166" s="15"/>
      <c r="C7166" s="16"/>
      <c r="J7166" s="9"/>
    </row>
    <row r="7167">
      <c r="A7167" s="14"/>
      <c r="B7167" s="15"/>
      <c r="C7167" s="16"/>
      <c r="J7167" s="9"/>
    </row>
    <row r="7168">
      <c r="A7168" s="14"/>
      <c r="B7168" s="15"/>
      <c r="C7168" s="16"/>
      <c r="J7168" s="9"/>
    </row>
    <row r="7169">
      <c r="A7169" s="14"/>
      <c r="B7169" s="15"/>
      <c r="C7169" s="16"/>
      <c r="J7169" s="9"/>
    </row>
    <row r="7170">
      <c r="A7170" s="14"/>
      <c r="B7170" s="15"/>
      <c r="C7170" s="16"/>
      <c r="J7170" s="9"/>
    </row>
    <row r="7171">
      <c r="A7171" s="14"/>
      <c r="B7171" s="15"/>
      <c r="C7171" s="16"/>
      <c r="J7171" s="9"/>
    </row>
    <row r="7172">
      <c r="A7172" s="14"/>
      <c r="B7172" s="15"/>
      <c r="C7172" s="16"/>
      <c r="J7172" s="9"/>
    </row>
    <row r="7173">
      <c r="A7173" s="14"/>
      <c r="B7173" s="15"/>
      <c r="C7173" s="16"/>
      <c r="J7173" s="9"/>
    </row>
    <row r="7174">
      <c r="A7174" s="14"/>
      <c r="B7174" s="15"/>
      <c r="C7174" s="16"/>
      <c r="J7174" s="9"/>
    </row>
    <row r="7175">
      <c r="A7175" s="14"/>
      <c r="B7175" s="15"/>
      <c r="C7175" s="16"/>
      <c r="J7175" s="9"/>
    </row>
    <row r="7176">
      <c r="A7176" s="14"/>
      <c r="B7176" s="15"/>
      <c r="C7176" s="16"/>
      <c r="J7176" s="9"/>
    </row>
    <row r="7177">
      <c r="A7177" s="14"/>
      <c r="B7177" s="15"/>
      <c r="C7177" s="16"/>
      <c r="J7177" s="9"/>
    </row>
    <row r="7178">
      <c r="A7178" s="14"/>
      <c r="B7178" s="15"/>
      <c r="C7178" s="16"/>
      <c r="J7178" s="9"/>
    </row>
    <row r="7179">
      <c r="A7179" s="14"/>
      <c r="B7179" s="15"/>
      <c r="C7179" s="16"/>
      <c r="J7179" s="9"/>
    </row>
    <row r="7180">
      <c r="A7180" s="14"/>
      <c r="B7180" s="15"/>
      <c r="C7180" s="16"/>
      <c r="J7180" s="9"/>
    </row>
    <row r="7181">
      <c r="A7181" s="14"/>
      <c r="B7181" s="15"/>
      <c r="C7181" s="16"/>
      <c r="J7181" s="9"/>
    </row>
    <row r="7182">
      <c r="A7182" s="14"/>
      <c r="B7182" s="15"/>
      <c r="C7182" s="16"/>
      <c r="J7182" s="9"/>
    </row>
    <row r="7183">
      <c r="A7183" s="14"/>
      <c r="B7183" s="15"/>
      <c r="C7183" s="16"/>
      <c r="J7183" s="9"/>
    </row>
    <row r="7184">
      <c r="A7184" s="14"/>
      <c r="B7184" s="15"/>
      <c r="C7184" s="16"/>
      <c r="J7184" s="9"/>
    </row>
    <row r="7185">
      <c r="A7185" s="14"/>
      <c r="B7185" s="15"/>
      <c r="C7185" s="16"/>
      <c r="J7185" s="9"/>
    </row>
    <row r="7186">
      <c r="A7186" s="14"/>
      <c r="B7186" s="15"/>
      <c r="C7186" s="16"/>
      <c r="J7186" s="9"/>
    </row>
    <row r="7187">
      <c r="A7187" s="14"/>
      <c r="B7187" s="15"/>
      <c r="C7187" s="16"/>
      <c r="J7187" s="9"/>
    </row>
    <row r="7188">
      <c r="A7188" s="14"/>
      <c r="B7188" s="15"/>
      <c r="C7188" s="16"/>
      <c r="J7188" s="9"/>
    </row>
    <row r="7189">
      <c r="A7189" s="14"/>
      <c r="B7189" s="15"/>
      <c r="C7189" s="16"/>
      <c r="J7189" s="9"/>
    </row>
    <row r="7190">
      <c r="A7190" s="14"/>
      <c r="B7190" s="15"/>
      <c r="C7190" s="16"/>
      <c r="J7190" s="9"/>
    </row>
    <row r="7191">
      <c r="A7191" s="14"/>
      <c r="B7191" s="15"/>
      <c r="C7191" s="16"/>
      <c r="J7191" s="9"/>
    </row>
    <row r="7192">
      <c r="A7192" s="14"/>
      <c r="B7192" s="15"/>
      <c r="C7192" s="16"/>
      <c r="J7192" s="9"/>
    </row>
    <row r="7193">
      <c r="A7193" s="14"/>
      <c r="B7193" s="15"/>
      <c r="C7193" s="16"/>
      <c r="J7193" s="9"/>
    </row>
    <row r="7194">
      <c r="A7194" s="14"/>
      <c r="B7194" s="15"/>
      <c r="C7194" s="16"/>
      <c r="J7194" s="9"/>
    </row>
    <row r="7195">
      <c r="A7195" s="14"/>
      <c r="B7195" s="15"/>
      <c r="C7195" s="16"/>
      <c r="J7195" s="9"/>
    </row>
    <row r="7196">
      <c r="A7196" s="14"/>
      <c r="B7196" s="15"/>
      <c r="C7196" s="16"/>
      <c r="J7196" s="9"/>
    </row>
    <row r="7197">
      <c r="A7197" s="14"/>
      <c r="B7197" s="15"/>
      <c r="C7197" s="16"/>
      <c r="J7197" s="9"/>
    </row>
    <row r="7198">
      <c r="A7198" s="14"/>
      <c r="B7198" s="15"/>
      <c r="C7198" s="16"/>
      <c r="J7198" s="9"/>
    </row>
    <row r="7199">
      <c r="A7199" s="14"/>
      <c r="B7199" s="15"/>
      <c r="C7199" s="16"/>
      <c r="J7199" s="9"/>
    </row>
    <row r="7200">
      <c r="A7200" s="14"/>
      <c r="B7200" s="15"/>
      <c r="C7200" s="16"/>
      <c r="J7200" s="9"/>
    </row>
    <row r="7201">
      <c r="A7201" s="14"/>
      <c r="B7201" s="15"/>
      <c r="C7201" s="16"/>
      <c r="J7201" s="9"/>
    </row>
    <row r="7202">
      <c r="A7202" s="14"/>
      <c r="B7202" s="15"/>
      <c r="C7202" s="16"/>
      <c r="J7202" s="9"/>
    </row>
    <row r="7203">
      <c r="A7203" s="14"/>
      <c r="B7203" s="15"/>
      <c r="C7203" s="16"/>
      <c r="J7203" s="9"/>
    </row>
    <row r="7204">
      <c r="A7204" s="14"/>
      <c r="B7204" s="15"/>
      <c r="C7204" s="16"/>
      <c r="J7204" s="9"/>
    </row>
    <row r="7205">
      <c r="A7205" s="14"/>
      <c r="B7205" s="15"/>
      <c r="C7205" s="16"/>
      <c r="J7205" s="9"/>
    </row>
    <row r="7206">
      <c r="A7206" s="14"/>
      <c r="B7206" s="15"/>
      <c r="C7206" s="16"/>
      <c r="J7206" s="9"/>
    </row>
    <row r="7207">
      <c r="A7207" s="14"/>
      <c r="B7207" s="15"/>
      <c r="C7207" s="16"/>
      <c r="J7207" s="9"/>
    </row>
    <row r="7208">
      <c r="A7208" s="14"/>
      <c r="B7208" s="15"/>
      <c r="C7208" s="16"/>
      <c r="J7208" s="9"/>
    </row>
    <row r="7209">
      <c r="A7209" s="14"/>
      <c r="B7209" s="15"/>
      <c r="C7209" s="16"/>
      <c r="J7209" s="9"/>
    </row>
    <row r="7210">
      <c r="A7210" s="14"/>
      <c r="B7210" s="15"/>
      <c r="C7210" s="16"/>
      <c r="J7210" s="9"/>
    </row>
    <row r="7211">
      <c r="A7211" s="14"/>
      <c r="B7211" s="15"/>
      <c r="C7211" s="16"/>
      <c r="J7211" s="9"/>
    </row>
    <row r="7212">
      <c r="A7212" s="14"/>
      <c r="B7212" s="15"/>
      <c r="C7212" s="16"/>
      <c r="J7212" s="9"/>
    </row>
    <row r="7213">
      <c r="A7213" s="14"/>
      <c r="B7213" s="15"/>
      <c r="C7213" s="16"/>
      <c r="J7213" s="9"/>
    </row>
    <row r="7214">
      <c r="A7214" s="14"/>
      <c r="B7214" s="15"/>
      <c r="C7214" s="16"/>
      <c r="J7214" s="9"/>
    </row>
    <row r="7215">
      <c r="A7215" s="14"/>
      <c r="B7215" s="15"/>
      <c r="C7215" s="16"/>
      <c r="J7215" s="9"/>
    </row>
    <row r="7216">
      <c r="A7216" s="14"/>
      <c r="B7216" s="15"/>
      <c r="C7216" s="16"/>
      <c r="J7216" s="9"/>
    </row>
    <row r="7217">
      <c r="A7217" s="14"/>
      <c r="B7217" s="15"/>
      <c r="C7217" s="16"/>
      <c r="J7217" s="9"/>
    </row>
    <row r="7218">
      <c r="A7218" s="14"/>
      <c r="B7218" s="15"/>
      <c r="C7218" s="16"/>
      <c r="J7218" s="9"/>
    </row>
    <row r="7219">
      <c r="A7219" s="14"/>
      <c r="B7219" s="15"/>
      <c r="C7219" s="16"/>
      <c r="J7219" s="9"/>
    </row>
    <row r="7220">
      <c r="A7220" s="14"/>
      <c r="B7220" s="15"/>
      <c r="C7220" s="16"/>
      <c r="J7220" s="9"/>
    </row>
    <row r="7221">
      <c r="A7221" s="14"/>
      <c r="B7221" s="15"/>
      <c r="C7221" s="16"/>
      <c r="J7221" s="9"/>
    </row>
    <row r="7222">
      <c r="A7222" s="14"/>
      <c r="B7222" s="15"/>
      <c r="C7222" s="16"/>
      <c r="J7222" s="9"/>
    </row>
    <row r="7223">
      <c r="A7223" s="14"/>
      <c r="B7223" s="15"/>
      <c r="C7223" s="16"/>
      <c r="J7223" s="9"/>
    </row>
    <row r="7224">
      <c r="A7224" s="14"/>
      <c r="B7224" s="15"/>
      <c r="C7224" s="16"/>
      <c r="J7224" s="9"/>
    </row>
    <row r="7225">
      <c r="A7225" s="14"/>
      <c r="B7225" s="15"/>
      <c r="C7225" s="16"/>
      <c r="J7225" s="9"/>
    </row>
    <row r="7226">
      <c r="A7226" s="14"/>
      <c r="B7226" s="15"/>
      <c r="C7226" s="16"/>
      <c r="J7226" s="9"/>
    </row>
    <row r="7227">
      <c r="A7227" s="14"/>
      <c r="B7227" s="15"/>
      <c r="C7227" s="16"/>
      <c r="J7227" s="9"/>
    </row>
    <row r="7228">
      <c r="A7228" s="14"/>
      <c r="B7228" s="15"/>
      <c r="C7228" s="16"/>
      <c r="J7228" s="9"/>
    </row>
    <row r="7229">
      <c r="A7229" s="14"/>
      <c r="B7229" s="15"/>
      <c r="C7229" s="16"/>
      <c r="J7229" s="9"/>
    </row>
    <row r="7230">
      <c r="A7230" s="14"/>
      <c r="B7230" s="15"/>
      <c r="C7230" s="16"/>
      <c r="J7230" s="9"/>
    </row>
    <row r="7231">
      <c r="A7231" s="14"/>
      <c r="B7231" s="15"/>
      <c r="C7231" s="16"/>
      <c r="J7231" s="9"/>
    </row>
    <row r="7232">
      <c r="A7232" s="14"/>
      <c r="B7232" s="15"/>
      <c r="C7232" s="16"/>
      <c r="J7232" s="9"/>
    </row>
    <row r="7233">
      <c r="A7233" s="14"/>
      <c r="B7233" s="15"/>
      <c r="C7233" s="16"/>
      <c r="J7233" s="9"/>
    </row>
    <row r="7234">
      <c r="A7234" s="14"/>
      <c r="B7234" s="15"/>
      <c r="C7234" s="16"/>
      <c r="J7234" s="9"/>
    </row>
    <row r="7235">
      <c r="A7235" s="14"/>
      <c r="B7235" s="15"/>
      <c r="C7235" s="16"/>
      <c r="J7235" s="9"/>
    </row>
    <row r="7236">
      <c r="A7236" s="14"/>
      <c r="B7236" s="15"/>
      <c r="C7236" s="16"/>
      <c r="J7236" s="9"/>
    </row>
    <row r="7237">
      <c r="A7237" s="14"/>
      <c r="B7237" s="15"/>
      <c r="C7237" s="16"/>
      <c r="J7237" s="9"/>
    </row>
    <row r="7238">
      <c r="A7238" s="14"/>
      <c r="B7238" s="15"/>
      <c r="C7238" s="16"/>
      <c r="J7238" s="9"/>
    </row>
    <row r="7239">
      <c r="A7239" s="14"/>
      <c r="B7239" s="15"/>
      <c r="C7239" s="16"/>
      <c r="J7239" s="9"/>
    </row>
    <row r="7240">
      <c r="A7240" s="14"/>
      <c r="B7240" s="15"/>
      <c r="C7240" s="16"/>
      <c r="J7240" s="9"/>
    </row>
    <row r="7241">
      <c r="A7241" s="14"/>
      <c r="B7241" s="15"/>
      <c r="C7241" s="16"/>
      <c r="J7241" s="9"/>
    </row>
    <row r="7242">
      <c r="A7242" s="14"/>
      <c r="B7242" s="15"/>
      <c r="C7242" s="16"/>
      <c r="J7242" s="9"/>
    </row>
    <row r="7243">
      <c r="A7243" s="14"/>
      <c r="B7243" s="15"/>
      <c r="C7243" s="16"/>
      <c r="J7243" s="9"/>
    </row>
    <row r="7244">
      <c r="A7244" s="14"/>
      <c r="B7244" s="15"/>
      <c r="C7244" s="16"/>
      <c r="J7244" s="9"/>
    </row>
    <row r="7245">
      <c r="A7245" s="14"/>
      <c r="B7245" s="15"/>
      <c r="C7245" s="16"/>
      <c r="J7245" s="9"/>
    </row>
    <row r="7246">
      <c r="A7246" s="14"/>
      <c r="B7246" s="15"/>
      <c r="C7246" s="16"/>
      <c r="J7246" s="9"/>
    </row>
    <row r="7247">
      <c r="A7247" s="14"/>
      <c r="B7247" s="15"/>
      <c r="C7247" s="16"/>
      <c r="J7247" s="9"/>
    </row>
    <row r="7248">
      <c r="A7248" s="14"/>
      <c r="B7248" s="15"/>
      <c r="C7248" s="16"/>
      <c r="J7248" s="9"/>
    </row>
    <row r="7249">
      <c r="A7249" s="14"/>
      <c r="B7249" s="15"/>
      <c r="C7249" s="16"/>
      <c r="J7249" s="9"/>
    </row>
    <row r="7250">
      <c r="A7250" s="14"/>
      <c r="B7250" s="15"/>
      <c r="C7250" s="16"/>
      <c r="J7250" s="9"/>
    </row>
    <row r="7251">
      <c r="A7251" s="14"/>
      <c r="B7251" s="15"/>
      <c r="C7251" s="16"/>
      <c r="J7251" s="9"/>
    </row>
    <row r="7252">
      <c r="A7252" s="14"/>
      <c r="B7252" s="15"/>
      <c r="C7252" s="16"/>
      <c r="J7252" s="9"/>
    </row>
    <row r="7253">
      <c r="A7253" s="14"/>
      <c r="B7253" s="15"/>
      <c r="C7253" s="16"/>
      <c r="J7253" s="9"/>
    </row>
    <row r="7254">
      <c r="A7254" s="14"/>
      <c r="B7254" s="15"/>
      <c r="C7254" s="16"/>
      <c r="J7254" s="9"/>
    </row>
    <row r="7255">
      <c r="A7255" s="14"/>
      <c r="B7255" s="15"/>
      <c r="C7255" s="16"/>
      <c r="J7255" s="9"/>
    </row>
    <row r="7256">
      <c r="A7256" s="14"/>
      <c r="B7256" s="15"/>
      <c r="C7256" s="16"/>
      <c r="J7256" s="9"/>
    </row>
    <row r="7257">
      <c r="A7257" s="14"/>
      <c r="B7257" s="15"/>
      <c r="C7257" s="16"/>
      <c r="J7257" s="9"/>
    </row>
    <row r="7258">
      <c r="A7258" s="14"/>
      <c r="B7258" s="15"/>
      <c r="C7258" s="16"/>
      <c r="J7258" s="9"/>
    </row>
    <row r="7259">
      <c r="A7259" s="14"/>
      <c r="B7259" s="15"/>
      <c r="C7259" s="16"/>
      <c r="J7259" s="9"/>
    </row>
    <row r="7260">
      <c r="A7260" s="14"/>
      <c r="B7260" s="15"/>
      <c r="C7260" s="16"/>
      <c r="J7260" s="9"/>
    </row>
    <row r="7261">
      <c r="A7261" s="14"/>
      <c r="B7261" s="15"/>
      <c r="C7261" s="16"/>
      <c r="J7261" s="9"/>
    </row>
    <row r="7262">
      <c r="A7262" s="14"/>
      <c r="B7262" s="15"/>
      <c r="C7262" s="16"/>
      <c r="J7262" s="9"/>
    </row>
    <row r="7263">
      <c r="A7263" s="14"/>
      <c r="B7263" s="15"/>
      <c r="C7263" s="16"/>
      <c r="J7263" s="9"/>
    </row>
    <row r="7264">
      <c r="A7264" s="14"/>
      <c r="B7264" s="15"/>
      <c r="C7264" s="16"/>
      <c r="J7264" s="9"/>
    </row>
    <row r="7265">
      <c r="A7265" s="14"/>
      <c r="B7265" s="15"/>
      <c r="C7265" s="16"/>
      <c r="J7265" s="9"/>
    </row>
    <row r="7266">
      <c r="A7266" s="14"/>
      <c r="B7266" s="15"/>
      <c r="C7266" s="16"/>
      <c r="J7266" s="9"/>
    </row>
    <row r="7267">
      <c r="A7267" s="14"/>
      <c r="B7267" s="15"/>
      <c r="C7267" s="16"/>
      <c r="J7267" s="9"/>
    </row>
    <row r="7268">
      <c r="A7268" s="14"/>
      <c r="B7268" s="15"/>
      <c r="C7268" s="16"/>
      <c r="J7268" s="9"/>
    </row>
    <row r="7269">
      <c r="A7269" s="14"/>
      <c r="B7269" s="15"/>
      <c r="C7269" s="16"/>
      <c r="J7269" s="9"/>
    </row>
    <row r="7270">
      <c r="A7270" s="14"/>
      <c r="B7270" s="15"/>
      <c r="C7270" s="16"/>
      <c r="J7270" s="9"/>
    </row>
    <row r="7271">
      <c r="A7271" s="14"/>
      <c r="B7271" s="15"/>
      <c r="C7271" s="16"/>
      <c r="J7271" s="9"/>
    </row>
    <row r="7272">
      <c r="A7272" s="14"/>
      <c r="B7272" s="15"/>
      <c r="C7272" s="16"/>
      <c r="J7272" s="9"/>
    </row>
    <row r="7273">
      <c r="A7273" s="14"/>
      <c r="B7273" s="15"/>
      <c r="C7273" s="16"/>
      <c r="J7273" s="9"/>
    </row>
    <row r="7274">
      <c r="A7274" s="14"/>
      <c r="B7274" s="15"/>
      <c r="C7274" s="16"/>
      <c r="J7274" s="9"/>
    </row>
    <row r="7275">
      <c r="A7275" s="14"/>
      <c r="B7275" s="15"/>
      <c r="C7275" s="16"/>
      <c r="J7275" s="9"/>
    </row>
    <row r="7276">
      <c r="A7276" s="14"/>
      <c r="B7276" s="15"/>
      <c r="C7276" s="16"/>
      <c r="J7276" s="9"/>
    </row>
    <row r="7277">
      <c r="A7277" s="14"/>
      <c r="B7277" s="15"/>
      <c r="C7277" s="16"/>
      <c r="J7277" s="9"/>
    </row>
    <row r="7278">
      <c r="A7278" s="14"/>
      <c r="B7278" s="15"/>
      <c r="C7278" s="16"/>
      <c r="J7278" s="9"/>
    </row>
    <row r="7279">
      <c r="A7279" s="14"/>
      <c r="B7279" s="15"/>
      <c r="C7279" s="16"/>
      <c r="J7279" s="9"/>
    </row>
    <row r="7280">
      <c r="A7280" s="14"/>
      <c r="B7280" s="15"/>
      <c r="C7280" s="16"/>
      <c r="J7280" s="9"/>
    </row>
    <row r="7281">
      <c r="A7281" s="14"/>
      <c r="B7281" s="15"/>
      <c r="C7281" s="16"/>
      <c r="J7281" s="9"/>
    </row>
    <row r="7282">
      <c r="A7282" s="14"/>
      <c r="B7282" s="15"/>
      <c r="C7282" s="16"/>
      <c r="J7282" s="9"/>
    </row>
    <row r="7283">
      <c r="A7283" s="14"/>
      <c r="B7283" s="15"/>
      <c r="C7283" s="16"/>
      <c r="J7283" s="9"/>
    </row>
    <row r="7284">
      <c r="A7284" s="14"/>
      <c r="B7284" s="15"/>
      <c r="C7284" s="16"/>
      <c r="J7284" s="9"/>
    </row>
    <row r="7285">
      <c r="A7285" s="14"/>
      <c r="B7285" s="15"/>
      <c r="C7285" s="16"/>
      <c r="J7285" s="9"/>
    </row>
    <row r="7286">
      <c r="A7286" s="14"/>
      <c r="B7286" s="15"/>
      <c r="C7286" s="16"/>
      <c r="J7286" s="9"/>
    </row>
    <row r="7287">
      <c r="A7287" s="14"/>
      <c r="B7287" s="15"/>
      <c r="C7287" s="16"/>
      <c r="J7287" s="9"/>
    </row>
    <row r="7288">
      <c r="A7288" s="14"/>
      <c r="B7288" s="15"/>
      <c r="C7288" s="16"/>
      <c r="J7288" s="9"/>
    </row>
    <row r="7289">
      <c r="A7289" s="14"/>
      <c r="B7289" s="15"/>
      <c r="C7289" s="16"/>
      <c r="J7289" s="9"/>
    </row>
    <row r="7290">
      <c r="A7290" s="14"/>
      <c r="B7290" s="15"/>
      <c r="C7290" s="16"/>
      <c r="J7290" s="9"/>
    </row>
    <row r="7291">
      <c r="A7291" s="14"/>
      <c r="B7291" s="15"/>
      <c r="C7291" s="16"/>
      <c r="J7291" s="9"/>
    </row>
    <row r="7292">
      <c r="A7292" s="14"/>
      <c r="B7292" s="15"/>
      <c r="C7292" s="16"/>
      <c r="J7292" s="9"/>
    </row>
    <row r="7293">
      <c r="A7293" s="14"/>
      <c r="B7293" s="15"/>
      <c r="C7293" s="16"/>
      <c r="J7293" s="9"/>
    </row>
    <row r="7294">
      <c r="A7294" s="14"/>
      <c r="B7294" s="15"/>
      <c r="C7294" s="16"/>
      <c r="J7294" s="9"/>
    </row>
    <row r="7295">
      <c r="A7295" s="14"/>
      <c r="B7295" s="15"/>
      <c r="C7295" s="16"/>
      <c r="J7295" s="9"/>
    </row>
    <row r="7296">
      <c r="A7296" s="14"/>
      <c r="B7296" s="15"/>
      <c r="C7296" s="16"/>
      <c r="J7296" s="9"/>
    </row>
    <row r="7297">
      <c r="A7297" s="14"/>
      <c r="B7297" s="15"/>
      <c r="C7297" s="16"/>
      <c r="J7297" s="9"/>
    </row>
    <row r="7298">
      <c r="A7298" s="14"/>
      <c r="B7298" s="15"/>
      <c r="C7298" s="16"/>
      <c r="J7298" s="9"/>
    </row>
    <row r="7299">
      <c r="A7299" s="14"/>
      <c r="B7299" s="15"/>
      <c r="C7299" s="16"/>
      <c r="J7299" s="9"/>
    </row>
    <row r="7300">
      <c r="A7300" s="14"/>
      <c r="B7300" s="15"/>
      <c r="C7300" s="16"/>
      <c r="J7300" s="9"/>
    </row>
    <row r="7301">
      <c r="A7301" s="14"/>
      <c r="B7301" s="15"/>
      <c r="C7301" s="16"/>
      <c r="J7301" s="9"/>
    </row>
    <row r="7302">
      <c r="A7302" s="14"/>
      <c r="B7302" s="15"/>
      <c r="C7302" s="16"/>
      <c r="J7302" s="9"/>
    </row>
    <row r="7303">
      <c r="A7303" s="14"/>
      <c r="B7303" s="15"/>
      <c r="C7303" s="16"/>
      <c r="J7303" s="9"/>
    </row>
    <row r="7304">
      <c r="A7304" s="14"/>
      <c r="B7304" s="15"/>
      <c r="C7304" s="16"/>
      <c r="J7304" s="9"/>
    </row>
    <row r="7305">
      <c r="A7305" s="14"/>
      <c r="B7305" s="15"/>
      <c r="C7305" s="16"/>
      <c r="J7305" s="9"/>
    </row>
    <row r="7306">
      <c r="A7306" s="14"/>
      <c r="B7306" s="15"/>
      <c r="C7306" s="16"/>
      <c r="J7306" s="9"/>
    </row>
    <row r="7307">
      <c r="A7307" s="14"/>
      <c r="B7307" s="15"/>
      <c r="C7307" s="16"/>
      <c r="J7307" s="9"/>
    </row>
    <row r="7308">
      <c r="A7308" s="14"/>
      <c r="B7308" s="15"/>
      <c r="C7308" s="16"/>
      <c r="J7308" s="9"/>
    </row>
    <row r="7309">
      <c r="A7309" s="14"/>
      <c r="B7309" s="15"/>
      <c r="C7309" s="16"/>
      <c r="J7309" s="9"/>
    </row>
    <row r="7310">
      <c r="A7310" s="14"/>
      <c r="B7310" s="15"/>
      <c r="C7310" s="16"/>
      <c r="J7310" s="9"/>
    </row>
    <row r="7311">
      <c r="A7311" s="14"/>
      <c r="B7311" s="15"/>
      <c r="C7311" s="16"/>
      <c r="J7311" s="9"/>
    </row>
    <row r="7312">
      <c r="A7312" s="14"/>
      <c r="B7312" s="15"/>
      <c r="C7312" s="16"/>
      <c r="J7312" s="9"/>
    </row>
    <row r="7313">
      <c r="A7313" s="14"/>
      <c r="B7313" s="15"/>
      <c r="C7313" s="16"/>
      <c r="J7313" s="9"/>
    </row>
    <row r="7314">
      <c r="A7314" s="14"/>
      <c r="B7314" s="15"/>
      <c r="C7314" s="16"/>
      <c r="J7314" s="9"/>
    </row>
    <row r="7315">
      <c r="A7315" s="14"/>
      <c r="B7315" s="15"/>
      <c r="C7315" s="16"/>
      <c r="J7315" s="9"/>
    </row>
    <row r="7316">
      <c r="A7316" s="14"/>
      <c r="B7316" s="15"/>
      <c r="C7316" s="16"/>
      <c r="J7316" s="9"/>
    </row>
    <row r="7317">
      <c r="A7317" s="14"/>
      <c r="B7317" s="15"/>
      <c r="C7317" s="16"/>
      <c r="J7317" s="9"/>
    </row>
    <row r="7318">
      <c r="A7318" s="14"/>
      <c r="B7318" s="15"/>
      <c r="C7318" s="16"/>
      <c r="J7318" s="9"/>
    </row>
    <row r="7319">
      <c r="A7319" s="14"/>
      <c r="B7319" s="15"/>
      <c r="C7319" s="16"/>
      <c r="J7319" s="9"/>
    </row>
    <row r="7320">
      <c r="A7320" s="14"/>
      <c r="B7320" s="15"/>
      <c r="C7320" s="16"/>
      <c r="J7320" s="9"/>
    </row>
    <row r="7321">
      <c r="A7321" s="14"/>
      <c r="B7321" s="15"/>
      <c r="C7321" s="16"/>
      <c r="J7321" s="9"/>
    </row>
    <row r="7322">
      <c r="A7322" s="14"/>
      <c r="B7322" s="15"/>
      <c r="C7322" s="16"/>
      <c r="J7322" s="9"/>
    </row>
    <row r="7323">
      <c r="A7323" s="14"/>
      <c r="B7323" s="15"/>
      <c r="C7323" s="16"/>
      <c r="J7323" s="9"/>
    </row>
    <row r="7324">
      <c r="A7324" s="14"/>
      <c r="B7324" s="15"/>
      <c r="C7324" s="16"/>
      <c r="J7324" s="9"/>
    </row>
    <row r="7325">
      <c r="A7325" s="14"/>
      <c r="B7325" s="15"/>
      <c r="C7325" s="16"/>
      <c r="J7325" s="9"/>
    </row>
    <row r="7326">
      <c r="A7326" s="14"/>
      <c r="B7326" s="15"/>
      <c r="C7326" s="16"/>
      <c r="J7326" s="9"/>
    </row>
    <row r="7327">
      <c r="A7327" s="14"/>
      <c r="B7327" s="15"/>
      <c r="C7327" s="16"/>
      <c r="J7327" s="9"/>
    </row>
    <row r="7328">
      <c r="A7328" s="14"/>
      <c r="B7328" s="15"/>
      <c r="C7328" s="16"/>
      <c r="J7328" s="9"/>
    </row>
    <row r="7329">
      <c r="A7329" s="14"/>
      <c r="B7329" s="15"/>
      <c r="C7329" s="16"/>
      <c r="J7329" s="9"/>
    </row>
    <row r="7330">
      <c r="A7330" s="14"/>
      <c r="B7330" s="15"/>
      <c r="C7330" s="16"/>
      <c r="J7330" s="9"/>
    </row>
    <row r="7331">
      <c r="A7331" s="14"/>
      <c r="B7331" s="15"/>
      <c r="C7331" s="16"/>
      <c r="J7331" s="9"/>
    </row>
    <row r="7332">
      <c r="A7332" s="14"/>
      <c r="B7332" s="15"/>
      <c r="C7332" s="16"/>
      <c r="J7332" s="9"/>
    </row>
    <row r="7333">
      <c r="A7333" s="14"/>
      <c r="B7333" s="15"/>
      <c r="C7333" s="16"/>
      <c r="J7333" s="9"/>
    </row>
    <row r="7334">
      <c r="A7334" s="14"/>
      <c r="B7334" s="15"/>
      <c r="C7334" s="16"/>
      <c r="J7334" s="9"/>
    </row>
    <row r="7335">
      <c r="A7335" s="14"/>
      <c r="B7335" s="15"/>
      <c r="C7335" s="16"/>
      <c r="J7335" s="9"/>
    </row>
    <row r="7336">
      <c r="A7336" s="14"/>
      <c r="B7336" s="15"/>
      <c r="C7336" s="16"/>
      <c r="J7336" s="9"/>
    </row>
    <row r="7337">
      <c r="A7337" s="14"/>
      <c r="B7337" s="15"/>
      <c r="C7337" s="16"/>
      <c r="J7337" s="9"/>
    </row>
    <row r="7338">
      <c r="A7338" s="14"/>
      <c r="B7338" s="15"/>
      <c r="C7338" s="16"/>
      <c r="J7338" s="9"/>
    </row>
    <row r="7339">
      <c r="A7339" s="14"/>
      <c r="B7339" s="15"/>
      <c r="C7339" s="16"/>
      <c r="J7339" s="9"/>
    </row>
    <row r="7340">
      <c r="A7340" s="14"/>
      <c r="B7340" s="15"/>
      <c r="C7340" s="16"/>
      <c r="J7340" s="9"/>
    </row>
    <row r="7341">
      <c r="A7341" s="14"/>
      <c r="B7341" s="15"/>
      <c r="C7341" s="16"/>
      <c r="J7341" s="9"/>
    </row>
    <row r="7342">
      <c r="A7342" s="14"/>
      <c r="B7342" s="15"/>
      <c r="C7342" s="16"/>
      <c r="J7342" s="9"/>
    </row>
    <row r="7343">
      <c r="A7343" s="14"/>
      <c r="B7343" s="15"/>
      <c r="C7343" s="16"/>
      <c r="J7343" s="9"/>
    </row>
    <row r="7344">
      <c r="A7344" s="14"/>
      <c r="B7344" s="15"/>
      <c r="C7344" s="16"/>
      <c r="J7344" s="9"/>
    </row>
    <row r="7345">
      <c r="A7345" s="14"/>
      <c r="B7345" s="15"/>
      <c r="C7345" s="16"/>
      <c r="J7345" s="9"/>
    </row>
    <row r="7346">
      <c r="A7346" s="14"/>
      <c r="B7346" s="15"/>
      <c r="C7346" s="16"/>
      <c r="J7346" s="9"/>
    </row>
    <row r="7347">
      <c r="A7347" s="14"/>
      <c r="B7347" s="15"/>
      <c r="C7347" s="16"/>
      <c r="J7347" s="9"/>
    </row>
    <row r="7348">
      <c r="A7348" s="14"/>
      <c r="B7348" s="15"/>
      <c r="C7348" s="16"/>
      <c r="J7348" s="9"/>
    </row>
    <row r="7349">
      <c r="A7349" s="14"/>
      <c r="B7349" s="15"/>
      <c r="C7349" s="16"/>
      <c r="J7349" s="9"/>
    </row>
    <row r="7350">
      <c r="A7350" s="14"/>
      <c r="B7350" s="15"/>
      <c r="C7350" s="16"/>
      <c r="J7350" s="9"/>
    </row>
    <row r="7351">
      <c r="A7351" s="14"/>
      <c r="B7351" s="15"/>
      <c r="C7351" s="16"/>
      <c r="J7351" s="9"/>
    </row>
    <row r="7352">
      <c r="A7352" s="14"/>
      <c r="B7352" s="15"/>
      <c r="C7352" s="16"/>
      <c r="J7352" s="9"/>
    </row>
    <row r="7353">
      <c r="A7353" s="14"/>
      <c r="B7353" s="15"/>
      <c r="C7353" s="16"/>
      <c r="J7353" s="9"/>
    </row>
    <row r="7354">
      <c r="A7354" s="14"/>
      <c r="B7354" s="15"/>
      <c r="C7354" s="16"/>
      <c r="J7354" s="9"/>
    </row>
    <row r="7355">
      <c r="A7355" s="14"/>
      <c r="B7355" s="15"/>
      <c r="C7355" s="16"/>
      <c r="J7355" s="9"/>
    </row>
    <row r="7356">
      <c r="A7356" s="14"/>
      <c r="B7356" s="15"/>
      <c r="C7356" s="16"/>
      <c r="J7356" s="9"/>
    </row>
    <row r="7357">
      <c r="A7357" s="14"/>
      <c r="B7357" s="15"/>
      <c r="C7357" s="16"/>
      <c r="J7357" s="9"/>
    </row>
    <row r="7358">
      <c r="A7358" s="14"/>
      <c r="B7358" s="15"/>
      <c r="C7358" s="16"/>
      <c r="J7358" s="9"/>
    </row>
    <row r="7359">
      <c r="A7359" s="14"/>
      <c r="B7359" s="15"/>
      <c r="C7359" s="16"/>
      <c r="J7359" s="9"/>
    </row>
    <row r="7360">
      <c r="A7360" s="14"/>
      <c r="B7360" s="15"/>
      <c r="C7360" s="16"/>
      <c r="J7360" s="9"/>
    </row>
    <row r="7361">
      <c r="A7361" s="14"/>
      <c r="B7361" s="15"/>
      <c r="C7361" s="16"/>
      <c r="J7361" s="9"/>
    </row>
    <row r="7362">
      <c r="A7362" s="14"/>
      <c r="B7362" s="15"/>
      <c r="C7362" s="16"/>
      <c r="J7362" s="9"/>
    </row>
    <row r="7363">
      <c r="A7363" s="14"/>
      <c r="B7363" s="15"/>
      <c r="C7363" s="16"/>
      <c r="J7363" s="9"/>
    </row>
    <row r="7364">
      <c r="A7364" s="14"/>
      <c r="B7364" s="15"/>
      <c r="C7364" s="16"/>
      <c r="J7364" s="9"/>
    </row>
    <row r="7365">
      <c r="A7365" s="14"/>
      <c r="B7365" s="15"/>
      <c r="C7365" s="16"/>
      <c r="J7365" s="9"/>
    </row>
    <row r="7366">
      <c r="A7366" s="14"/>
      <c r="B7366" s="15"/>
      <c r="C7366" s="16"/>
      <c r="J7366" s="9"/>
    </row>
    <row r="7367">
      <c r="A7367" s="14"/>
      <c r="B7367" s="15"/>
      <c r="C7367" s="16"/>
      <c r="J7367" s="9"/>
    </row>
    <row r="7368">
      <c r="A7368" s="14"/>
      <c r="B7368" s="15"/>
      <c r="C7368" s="16"/>
      <c r="J7368" s="9"/>
    </row>
    <row r="7369">
      <c r="A7369" s="14"/>
      <c r="B7369" s="15"/>
      <c r="C7369" s="16"/>
      <c r="J7369" s="9"/>
    </row>
    <row r="7370">
      <c r="A7370" s="14"/>
      <c r="B7370" s="15"/>
      <c r="C7370" s="16"/>
      <c r="J7370" s="9"/>
    </row>
    <row r="7371">
      <c r="A7371" s="14"/>
      <c r="B7371" s="15"/>
      <c r="C7371" s="16"/>
      <c r="J7371" s="9"/>
    </row>
    <row r="7372">
      <c r="A7372" s="14"/>
      <c r="B7372" s="15"/>
      <c r="C7372" s="16"/>
      <c r="J7372" s="9"/>
    </row>
    <row r="7373">
      <c r="A7373" s="14"/>
      <c r="B7373" s="15"/>
      <c r="C7373" s="16"/>
      <c r="J7373" s="9"/>
    </row>
    <row r="7374">
      <c r="A7374" s="14"/>
      <c r="B7374" s="15"/>
      <c r="C7374" s="16"/>
      <c r="J7374" s="9"/>
    </row>
    <row r="7375">
      <c r="A7375" s="14"/>
      <c r="B7375" s="15"/>
      <c r="C7375" s="16"/>
      <c r="J7375" s="9"/>
    </row>
    <row r="7376">
      <c r="A7376" s="14"/>
      <c r="B7376" s="15"/>
      <c r="C7376" s="16"/>
      <c r="J7376" s="9"/>
    </row>
    <row r="7377">
      <c r="A7377" s="14"/>
      <c r="B7377" s="15"/>
      <c r="C7377" s="16"/>
      <c r="J7377" s="9"/>
    </row>
    <row r="7378">
      <c r="A7378" s="14"/>
      <c r="B7378" s="15"/>
      <c r="C7378" s="16"/>
      <c r="J7378" s="9"/>
    </row>
    <row r="7379">
      <c r="A7379" s="14"/>
      <c r="B7379" s="15"/>
      <c r="C7379" s="16"/>
      <c r="J7379" s="9"/>
    </row>
    <row r="7380">
      <c r="A7380" s="14"/>
      <c r="B7380" s="15"/>
      <c r="C7380" s="16"/>
      <c r="J7380" s="9"/>
    </row>
    <row r="7381">
      <c r="A7381" s="14"/>
      <c r="B7381" s="15"/>
      <c r="C7381" s="16"/>
      <c r="J7381" s="9"/>
    </row>
    <row r="7382">
      <c r="A7382" s="14"/>
      <c r="B7382" s="15"/>
      <c r="C7382" s="16"/>
      <c r="J7382" s="9"/>
    </row>
    <row r="7383">
      <c r="A7383" s="14"/>
      <c r="B7383" s="15"/>
      <c r="C7383" s="16"/>
      <c r="J7383" s="9"/>
    </row>
    <row r="7384">
      <c r="A7384" s="14"/>
      <c r="B7384" s="15"/>
      <c r="C7384" s="16"/>
      <c r="J7384" s="9"/>
    </row>
    <row r="7385">
      <c r="A7385" s="14"/>
      <c r="B7385" s="15"/>
      <c r="C7385" s="16"/>
      <c r="J7385" s="9"/>
    </row>
    <row r="7386">
      <c r="A7386" s="14"/>
      <c r="B7386" s="15"/>
      <c r="C7386" s="16"/>
      <c r="J7386" s="9"/>
    </row>
    <row r="7387">
      <c r="A7387" s="14"/>
      <c r="B7387" s="15"/>
      <c r="C7387" s="16"/>
      <c r="J7387" s="9"/>
    </row>
    <row r="7388">
      <c r="A7388" s="14"/>
      <c r="B7388" s="15"/>
      <c r="C7388" s="16"/>
      <c r="J7388" s="9"/>
    </row>
    <row r="7389">
      <c r="A7389" s="14"/>
      <c r="B7389" s="15"/>
      <c r="C7389" s="16"/>
      <c r="J7389" s="9"/>
    </row>
    <row r="7390">
      <c r="A7390" s="14"/>
      <c r="B7390" s="15"/>
      <c r="C7390" s="16"/>
      <c r="J7390" s="9"/>
    </row>
    <row r="7391">
      <c r="A7391" s="14"/>
      <c r="B7391" s="15"/>
      <c r="C7391" s="16"/>
      <c r="J7391" s="9"/>
    </row>
    <row r="7392">
      <c r="A7392" s="14"/>
      <c r="B7392" s="15"/>
      <c r="C7392" s="16"/>
      <c r="J7392" s="9"/>
    </row>
    <row r="7393">
      <c r="A7393" s="14"/>
      <c r="B7393" s="15"/>
      <c r="C7393" s="16"/>
      <c r="J7393" s="9"/>
    </row>
    <row r="7394">
      <c r="A7394" s="14"/>
      <c r="B7394" s="15"/>
      <c r="C7394" s="16"/>
      <c r="J7394" s="9"/>
    </row>
    <row r="7395">
      <c r="A7395" s="14"/>
      <c r="B7395" s="15"/>
      <c r="C7395" s="16"/>
      <c r="J7395" s="9"/>
    </row>
    <row r="7396">
      <c r="A7396" s="14"/>
      <c r="B7396" s="15"/>
      <c r="C7396" s="16"/>
      <c r="J7396" s="9"/>
    </row>
    <row r="7397">
      <c r="A7397" s="14"/>
      <c r="B7397" s="15"/>
      <c r="C7397" s="16"/>
      <c r="J7397" s="9"/>
    </row>
    <row r="7398">
      <c r="A7398" s="14"/>
      <c r="B7398" s="15"/>
      <c r="C7398" s="16"/>
      <c r="J7398" s="9"/>
    </row>
    <row r="7399">
      <c r="A7399" s="14"/>
      <c r="B7399" s="15"/>
      <c r="C7399" s="16"/>
      <c r="J7399" s="9"/>
    </row>
    <row r="7400">
      <c r="A7400" s="14"/>
      <c r="B7400" s="15"/>
      <c r="C7400" s="16"/>
      <c r="J7400" s="9"/>
    </row>
    <row r="7401">
      <c r="A7401" s="14"/>
      <c r="B7401" s="15"/>
      <c r="C7401" s="16"/>
      <c r="J7401" s="9"/>
    </row>
    <row r="7402">
      <c r="A7402" s="14"/>
      <c r="B7402" s="15"/>
      <c r="C7402" s="16"/>
      <c r="J7402" s="9"/>
    </row>
    <row r="7403">
      <c r="A7403" s="14"/>
      <c r="B7403" s="15"/>
      <c r="C7403" s="16"/>
      <c r="J7403" s="9"/>
    </row>
    <row r="7404">
      <c r="A7404" s="14"/>
      <c r="B7404" s="15"/>
      <c r="C7404" s="16"/>
      <c r="J7404" s="9"/>
    </row>
    <row r="7405">
      <c r="A7405" s="14"/>
      <c r="B7405" s="15"/>
      <c r="C7405" s="16"/>
      <c r="J7405" s="9"/>
    </row>
    <row r="7406">
      <c r="A7406" s="14"/>
      <c r="B7406" s="15"/>
      <c r="C7406" s="16"/>
      <c r="J7406" s="9"/>
    </row>
    <row r="7407">
      <c r="A7407" s="14"/>
      <c r="B7407" s="15"/>
      <c r="C7407" s="16"/>
      <c r="J7407" s="9"/>
    </row>
    <row r="7408">
      <c r="A7408" s="14"/>
      <c r="B7408" s="15"/>
      <c r="C7408" s="16"/>
      <c r="J7408" s="9"/>
    </row>
    <row r="7409">
      <c r="A7409" s="14"/>
      <c r="B7409" s="15"/>
      <c r="C7409" s="16"/>
      <c r="J7409" s="9"/>
    </row>
    <row r="7410">
      <c r="A7410" s="14"/>
      <c r="B7410" s="15"/>
      <c r="C7410" s="16"/>
      <c r="J7410" s="9"/>
    </row>
    <row r="7411">
      <c r="A7411" s="14"/>
      <c r="B7411" s="15"/>
      <c r="C7411" s="16"/>
      <c r="J7411" s="9"/>
    </row>
    <row r="7412">
      <c r="A7412" s="14"/>
      <c r="B7412" s="15"/>
      <c r="C7412" s="16"/>
      <c r="J7412" s="9"/>
    </row>
    <row r="7413">
      <c r="A7413" s="14"/>
      <c r="B7413" s="15"/>
      <c r="C7413" s="16"/>
      <c r="J7413" s="9"/>
    </row>
    <row r="7414">
      <c r="A7414" s="14"/>
      <c r="B7414" s="15"/>
      <c r="C7414" s="16"/>
      <c r="J7414" s="9"/>
    </row>
    <row r="7415">
      <c r="A7415" s="14"/>
      <c r="B7415" s="15"/>
      <c r="C7415" s="16"/>
      <c r="J7415" s="9"/>
    </row>
    <row r="7416">
      <c r="A7416" s="14"/>
      <c r="B7416" s="15"/>
      <c r="C7416" s="16"/>
      <c r="J7416" s="9"/>
    </row>
    <row r="7417">
      <c r="A7417" s="14"/>
      <c r="B7417" s="15"/>
      <c r="C7417" s="16"/>
      <c r="J7417" s="9"/>
    </row>
    <row r="7418">
      <c r="A7418" s="14"/>
      <c r="B7418" s="15"/>
      <c r="C7418" s="16"/>
      <c r="J7418" s="9"/>
    </row>
    <row r="7419">
      <c r="A7419" s="14"/>
      <c r="B7419" s="15"/>
      <c r="C7419" s="16"/>
      <c r="J7419" s="9"/>
    </row>
    <row r="7420">
      <c r="A7420" s="14"/>
      <c r="B7420" s="15"/>
      <c r="C7420" s="16"/>
      <c r="J7420" s="9"/>
    </row>
    <row r="7421">
      <c r="A7421" s="14"/>
      <c r="B7421" s="15"/>
      <c r="C7421" s="16"/>
      <c r="J7421" s="9"/>
    </row>
    <row r="7422">
      <c r="A7422" s="14"/>
      <c r="B7422" s="15"/>
      <c r="C7422" s="16"/>
      <c r="J7422" s="9"/>
    </row>
    <row r="7423">
      <c r="A7423" s="14"/>
      <c r="B7423" s="15"/>
      <c r="C7423" s="16"/>
      <c r="J7423" s="9"/>
    </row>
    <row r="7424">
      <c r="A7424" s="14"/>
      <c r="B7424" s="15"/>
      <c r="C7424" s="16"/>
      <c r="J7424" s="9"/>
    </row>
    <row r="7425">
      <c r="A7425" s="14"/>
      <c r="B7425" s="15"/>
      <c r="C7425" s="16"/>
      <c r="J7425" s="9"/>
    </row>
    <row r="7426">
      <c r="A7426" s="14"/>
      <c r="B7426" s="15"/>
      <c r="C7426" s="16"/>
      <c r="J7426" s="9"/>
    </row>
    <row r="7427">
      <c r="A7427" s="14"/>
      <c r="B7427" s="15"/>
      <c r="C7427" s="16"/>
      <c r="J7427" s="9"/>
    </row>
    <row r="7428">
      <c r="A7428" s="14"/>
      <c r="B7428" s="15"/>
      <c r="C7428" s="16"/>
      <c r="J7428" s="9"/>
    </row>
    <row r="7429">
      <c r="A7429" s="14"/>
      <c r="B7429" s="15"/>
      <c r="C7429" s="16"/>
      <c r="J7429" s="9"/>
    </row>
    <row r="7430">
      <c r="A7430" s="14"/>
      <c r="B7430" s="15"/>
      <c r="C7430" s="16"/>
      <c r="J7430" s="9"/>
    </row>
    <row r="7431">
      <c r="A7431" s="14"/>
      <c r="B7431" s="15"/>
      <c r="C7431" s="16"/>
      <c r="J7431" s="9"/>
    </row>
    <row r="7432">
      <c r="A7432" s="14"/>
      <c r="B7432" s="15"/>
      <c r="C7432" s="16"/>
      <c r="J7432" s="9"/>
    </row>
    <row r="7433">
      <c r="A7433" s="14"/>
      <c r="B7433" s="15"/>
      <c r="C7433" s="16"/>
      <c r="J7433" s="9"/>
    </row>
    <row r="7434">
      <c r="A7434" s="14"/>
      <c r="B7434" s="15"/>
      <c r="C7434" s="16"/>
      <c r="J7434" s="9"/>
    </row>
    <row r="7435">
      <c r="A7435" s="14"/>
      <c r="B7435" s="15"/>
      <c r="C7435" s="16"/>
      <c r="J7435" s="9"/>
    </row>
    <row r="7436">
      <c r="A7436" s="14"/>
      <c r="B7436" s="15"/>
      <c r="C7436" s="16"/>
      <c r="J7436" s="9"/>
    </row>
    <row r="7437">
      <c r="A7437" s="14"/>
      <c r="B7437" s="15"/>
      <c r="C7437" s="16"/>
      <c r="J7437" s="9"/>
    </row>
    <row r="7438">
      <c r="A7438" s="14"/>
      <c r="B7438" s="15"/>
      <c r="C7438" s="16"/>
      <c r="J7438" s="9"/>
    </row>
    <row r="7439">
      <c r="A7439" s="14"/>
      <c r="B7439" s="15"/>
      <c r="C7439" s="16"/>
      <c r="J7439" s="9"/>
    </row>
    <row r="7440">
      <c r="A7440" s="14"/>
      <c r="B7440" s="15"/>
      <c r="C7440" s="16"/>
      <c r="J7440" s="9"/>
    </row>
    <row r="7441">
      <c r="A7441" s="14"/>
      <c r="B7441" s="15"/>
      <c r="C7441" s="16"/>
      <c r="J7441" s="9"/>
    </row>
    <row r="7442">
      <c r="A7442" s="14"/>
      <c r="B7442" s="15"/>
      <c r="C7442" s="16"/>
      <c r="J7442" s="9"/>
    </row>
    <row r="7443">
      <c r="A7443" s="14"/>
      <c r="B7443" s="15"/>
      <c r="C7443" s="16"/>
      <c r="J7443" s="9"/>
    </row>
    <row r="7444">
      <c r="A7444" s="14"/>
      <c r="B7444" s="15"/>
      <c r="C7444" s="16"/>
      <c r="J7444" s="9"/>
    </row>
    <row r="7445">
      <c r="A7445" s="14"/>
      <c r="B7445" s="15"/>
      <c r="C7445" s="16"/>
      <c r="J7445" s="9"/>
    </row>
    <row r="7446">
      <c r="A7446" s="14"/>
      <c r="B7446" s="15"/>
      <c r="C7446" s="16"/>
      <c r="J7446" s="9"/>
    </row>
    <row r="7447">
      <c r="A7447" s="14"/>
      <c r="B7447" s="15"/>
      <c r="C7447" s="16"/>
      <c r="J7447" s="9"/>
    </row>
    <row r="7448">
      <c r="A7448" s="14"/>
      <c r="B7448" s="15"/>
      <c r="C7448" s="16"/>
      <c r="J7448" s="9"/>
    </row>
    <row r="7449">
      <c r="A7449" s="14"/>
      <c r="B7449" s="15"/>
      <c r="C7449" s="16"/>
      <c r="J7449" s="9"/>
    </row>
    <row r="7450">
      <c r="A7450" s="14"/>
      <c r="B7450" s="15"/>
      <c r="C7450" s="16"/>
      <c r="J7450" s="9"/>
    </row>
    <row r="7451">
      <c r="A7451" s="14"/>
      <c r="B7451" s="15"/>
      <c r="C7451" s="16"/>
      <c r="J7451" s="9"/>
    </row>
    <row r="7452">
      <c r="A7452" s="14"/>
      <c r="B7452" s="15"/>
      <c r="C7452" s="16"/>
      <c r="J7452" s="9"/>
    </row>
    <row r="7453">
      <c r="A7453" s="14"/>
      <c r="B7453" s="15"/>
      <c r="C7453" s="16"/>
      <c r="J7453" s="9"/>
    </row>
    <row r="7454">
      <c r="A7454" s="14"/>
      <c r="B7454" s="15"/>
      <c r="C7454" s="16"/>
      <c r="J7454" s="9"/>
    </row>
    <row r="7455">
      <c r="A7455" s="14"/>
      <c r="B7455" s="15"/>
      <c r="C7455" s="16"/>
      <c r="J7455" s="9"/>
    </row>
    <row r="7456">
      <c r="A7456" s="14"/>
      <c r="B7456" s="15"/>
      <c r="C7456" s="16"/>
      <c r="J7456" s="9"/>
    </row>
    <row r="7457">
      <c r="A7457" s="14"/>
      <c r="B7457" s="15"/>
      <c r="C7457" s="16"/>
      <c r="J7457" s="9"/>
    </row>
    <row r="7458">
      <c r="A7458" s="14"/>
      <c r="B7458" s="15"/>
      <c r="C7458" s="16"/>
      <c r="J7458" s="9"/>
    </row>
    <row r="7459">
      <c r="A7459" s="14"/>
      <c r="B7459" s="15"/>
      <c r="C7459" s="16"/>
      <c r="J7459" s="9"/>
    </row>
    <row r="7460">
      <c r="A7460" s="14"/>
      <c r="B7460" s="15"/>
      <c r="C7460" s="16"/>
      <c r="J7460" s="9"/>
    </row>
    <row r="7461">
      <c r="A7461" s="14"/>
      <c r="B7461" s="15"/>
      <c r="C7461" s="16"/>
      <c r="J7461" s="9"/>
    </row>
    <row r="7462">
      <c r="A7462" s="14"/>
      <c r="B7462" s="15"/>
      <c r="C7462" s="16"/>
      <c r="J7462" s="9"/>
    </row>
    <row r="7463">
      <c r="A7463" s="14"/>
      <c r="B7463" s="15"/>
      <c r="C7463" s="16"/>
      <c r="J7463" s="9"/>
    </row>
    <row r="7464">
      <c r="A7464" s="14"/>
      <c r="B7464" s="15"/>
      <c r="C7464" s="16"/>
      <c r="J7464" s="9"/>
    </row>
    <row r="7465">
      <c r="A7465" s="14"/>
      <c r="B7465" s="15"/>
      <c r="C7465" s="16"/>
      <c r="J7465" s="9"/>
    </row>
    <row r="7466">
      <c r="A7466" s="14"/>
      <c r="B7466" s="15"/>
      <c r="C7466" s="16"/>
      <c r="J7466" s="9"/>
    </row>
    <row r="7467">
      <c r="A7467" s="14"/>
      <c r="B7467" s="15"/>
      <c r="C7467" s="16"/>
      <c r="J7467" s="9"/>
    </row>
    <row r="7468">
      <c r="A7468" s="14"/>
      <c r="B7468" s="15"/>
      <c r="C7468" s="16"/>
      <c r="J7468" s="9"/>
    </row>
    <row r="7469">
      <c r="A7469" s="14"/>
      <c r="B7469" s="15"/>
      <c r="C7469" s="16"/>
      <c r="J7469" s="9"/>
    </row>
    <row r="7470">
      <c r="A7470" s="14"/>
      <c r="B7470" s="15"/>
      <c r="C7470" s="16"/>
      <c r="J7470" s="9"/>
    </row>
    <row r="7471">
      <c r="A7471" s="14"/>
      <c r="B7471" s="15"/>
      <c r="C7471" s="16"/>
      <c r="J7471" s="9"/>
    </row>
    <row r="7472">
      <c r="A7472" s="14"/>
      <c r="B7472" s="15"/>
      <c r="C7472" s="16"/>
      <c r="J7472" s="9"/>
    </row>
    <row r="7473">
      <c r="A7473" s="14"/>
      <c r="B7473" s="15"/>
      <c r="C7473" s="16"/>
      <c r="J7473" s="9"/>
    </row>
    <row r="7474">
      <c r="A7474" s="14"/>
      <c r="B7474" s="15"/>
      <c r="C7474" s="16"/>
      <c r="J7474" s="9"/>
    </row>
    <row r="7475">
      <c r="A7475" s="14"/>
      <c r="B7475" s="15"/>
      <c r="C7475" s="16"/>
      <c r="J7475" s="9"/>
    </row>
    <row r="7476">
      <c r="A7476" s="14"/>
      <c r="B7476" s="15"/>
      <c r="C7476" s="16"/>
      <c r="J7476" s="9"/>
    </row>
    <row r="7477">
      <c r="A7477" s="14"/>
      <c r="B7477" s="15"/>
      <c r="C7477" s="16"/>
      <c r="J7477" s="9"/>
    </row>
    <row r="7478">
      <c r="A7478" s="14"/>
      <c r="B7478" s="15"/>
      <c r="C7478" s="16"/>
      <c r="J7478" s="9"/>
    </row>
    <row r="7479">
      <c r="A7479" s="14"/>
      <c r="B7479" s="15"/>
      <c r="C7479" s="16"/>
      <c r="J7479" s="9"/>
    </row>
    <row r="7480">
      <c r="A7480" s="14"/>
      <c r="B7480" s="15"/>
      <c r="C7480" s="16"/>
      <c r="J7480" s="9"/>
    </row>
    <row r="7481">
      <c r="A7481" s="14"/>
      <c r="B7481" s="15"/>
      <c r="C7481" s="16"/>
      <c r="J7481" s="9"/>
    </row>
    <row r="7482">
      <c r="A7482" s="14"/>
      <c r="B7482" s="15"/>
      <c r="C7482" s="16"/>
      <c r="J7482" s="9"/>
    </row>
    <row r="7483">
      <c r="A7483" s="14"/>
      <c r="B7483" s="15"/>
      <c r="C7483" s="16"/>
      <c r="J7483" s="9"/>
    </row>
    <row r="7484">
      <c r="A7484" s="14"/>
      <c r="B7484" s="15"/>
      <c r="C7484" s="16"/>
      <c r="J7484" s="9"/>
    </row>
    <row r="7485">
      <c r="A7485" s="14"/>
      <c r="B7485" s="15"/>
      <c r="C7485" s="16"/>
      <c r="J7485" s="9"/>
    </row>
    <row r="7486">
      <c r="A7486" s="14"/>
      <c r="B7486" s="15"/>
      <c r="C7486" s="16"/>
      <c r="J7486" s="9"/>
    </row>
    <row r="7487">
      <c r="A7487" s="14"/>
      <c r="B7487" s="15"/>
      <c r="C7487" s="16"/>
      <c r="J7487" s="9"/>
    </row>
    <row r="7488">
      <c r="A7488" s="14"/>
      <c r="B7488" s="15"/>
      <c r="C7488" s="16"/>
      <c r="J7488" s="9"/>
    </row>
    <row r="7489">
      <c r="A7489" s="14"/>
      <c r="B7489" s="15"/>
      <c r="C7489" s="16"/>
      <c r="J7489" s="9"/>
    </row>
    <row r="7490">
      <c r="A7490" s="14"/>
      <c r="B7490" s="15"/>
      <c r="C7490" s="16"/>
      <c r="J7490" s="9"/>
    </row>
    <row r="7491">
      <c r="A7491" s="14"/>
      <c r="B7491" s="15"/>
      <c r="C7491" s="16"/>
      <c r="J7491" s="9"/>
    </row>
    <row r="7492">
      <c r="A7492" s="14"/>
      <c r="B7492" s="15"/>
      <c r="C7492" s="16"/>
      <c r="J7492" s="9"/>
    </row>
    <row r="7493">
      <c r="A7493" s="14"/>
      <c r="B7493" s="15"/>
      <c r="C7493" s="16"/>
      <c r="J7493" s="9"/>
    </row>
    <row r="7494">
      <c r="A7494" s="14"/>
      <c r="B7494" s="15"/>
      <c r="C7494" s="16"/>
      <c r="J7494" s="9"/>
    </row>
    <row r="7495">
      <c r="A7495" s="14"/>
      <c r="B7495" s="15"/>
      <c r="C7495" s="16"/>
      <c r="J7495" s="9"/>
    </row>
    <row r="7496">
      <c r="A7496" s="14"/>
      <c r="B7496" s="15"/>
      <c r="C7496" s="16"/>
      <c r="J7496" s="9"/>
    </row>
    <row r="7497">
      <c r="A7497" s="14"/>
      <c r="B7497" s="15"/>
      <c r="C7497" s="16"/>
      <c r="J7497" s="9"/>
    </row>
    <row r="7498">
      <c r="A7498" s="14"/>
      <c r="B7498" s="15"/>
      <c r="C7498" s="16"/>
      <c r="J7498" s="9"/>
    </row>
    <row r="7499">
      <c r="A7499" s="14"/>
      <c r="B7499" s="15"/>
      <c r="C7499" s="16"/>
      <c r="J7499" s="9"/>
    </row>
    <row r="7500">
      <c r="A7500" s="14"/>
      <c r="B7500" s="15"/>
      <c r="C7500" s="16"/>
      <c r="J7500" s="9"/>
    </row>
    <row r="7501">
      <c r="A7501" s="14"/>
      <c r="B7501" s="15"/>
      <c r="C7501" s="16"/>
      <c r="J7501" s="9"/>
    </row>
    <row r="7502">
      <c r="A7502" s="14"/>
      <c r="B7502" s="15"/>
      <c r="C7502" s="16"/>
      <c r="J7502" s="9"/>
    </row>
    <row r="7503">
      <c r="A7503" s="14"/>
      <c r="B7503" s="15"/>
      <c r="C7503" s="16"/>
      <c r="J7503" s="9"/>
    </row>
    <row r="7504">
      <c r="A7504" s="14"/>
      <c r="B7504" s="15"/>
      <c r="C7504" s="16"/>
      <c r="J7504" s="9"/>
    </row>
    <row r="7505">
      <c r="A7505" s="14"/>
      <c r="B7505" s="15"/>
      <c r="C7505" s="16"/>
      <c r="J7505" s="9"/>
    </row>
    <row r="7506">
      <c r="A7506" s="14"/>
      <c r="B7506" s="15"/>
      <c r="C7506" s="16"/>
      <c r="J7506" s="9"/>
    </row>
    <row r="7507">
      <c r="A7507" s="14"/>
      <c r="B7507" s="15"/>
      <c r="C7507" s="16"/>
      <c r="J7507" s="9"/>
    </row>
    <row r="7508">
      <c r="A7508" s="14"/>
      <c r="B7508" s="15"/>
      <c r="C7508" s="16"/>
      <c r="J7508" s="9"/>
    </row>
    <row r="7509">
      <c r="A7509" s="14"/>
      <c r="B7509" s="15"/>
      <c r="C7509" s="16"/>
      <c r="J7509" s="9"/>
    </row>
    <row r="7510">
      <c r="A7510" s="14"/>
      <c r="B7510" s="15"/>
      <c r="C7510" s="16"/>
      <c r="J7510" s="9"/>
    </row>
    <row r="7511">
      <c r="A7511" s="14"/>
      <c r="B7511" s="15"/>
      <c r="C7511" s="16"/>
      <c r="J7511" s="9"/>
    </row>
    <row r="7512">
      <c r="A7512" s="14"/>
      <c r="B7512" s="15"/>
      <c r="C7512" s="16"/>
      <c r="J7512" s="9"/>
    </row>
    <row r="7513">
      <c r="A7513" s="14"/>
      <c r="B7513" s="15"/>
      <c r="C7513" s="16"/>
      <c r="J7513" s="9"/>
    </row>
    <row r="7514">
      <c r="A7514" s="14"/>
      <c r="B7514" s="15"/>
      <c r="C7514" s="16"/>
      <c r="J7514" s="9"/>
    </row>
    <row r="7515">
      <c r="A7515" s="14"/>
      <c r="B7515" s="15"/>
      <c r="C7515" s="16"/>
      <c r="J7515" s="9"/>
    </row>
    <row r="7516">
      <c r="A7516" s="14"/>
      <c r="B7516" s="15"/>
      <c r="C7516" s="16"/>
      <c r="J7516" s="9"/>
    </row>
    <row r="7517">
      <c r="A7517" s="14"/>
      <c r="B7517" s="15"/>
      <c r="C7517" s="16"/>
      <c r="J7517" s="9"/>
    </row>
    <row r="7518">
      <c r="A7518" s="14"/>
      <c r="B7518" s="15"/>
      <c r="C7518" s="16"/>
      <c r="J7518" s="9"/>
    </row>
    <row r="7519">
      <c r="A7519" s="14"/>
      <c r="B7519" s="15"/>
      <c r="C7519" s="16"/>
      <c r="J7519" s="9"/>
    </row>
    <row r="7520">
      <c r="A7520" s="14"/>
      <c r="B7520" s="15"/>
      <c r="C7520" s="16"/>
      <c r="J7520" s="9"/>
    </row>
    <row r="7521">
      <c r="A7521" s="14"/>
      <c r="B7521" s="15"/>
      <c r="C7521" s="16"/>
      <c r="J7521" s="9"/>
    </row>
    <row r="7522">
      <c r="A7522" s="14"/>
      <c r="B7522" s="15"/>
      <c r="C7522" s="16"/>
      <c r="J7522" s="9"/>
    </row>
    <row r="7523">
      <c r="A7523" s="14"/>
      <c r="B7523" s="15"/>
      <c r="C7523" s="16"/>
      <c r="J7523" s="9"/>
    </row>
    <row r="7524">
      <c r="A7524" s="14"/>
      <c r="B7524" s="15"/>
      <c r="C7524" s="16"/>
      <c r="J7524" s="9"/>
    </row>
    <row r="7525">
      <c r="A7525" s="14"/>
      <c r="B7525" s="15"/>
      <c r="C7525" s="16"/>
      <c r="J7525" s="9"/>
    </row>
    <row r="7526">
      <c r="A7526" s="14"/>
      <c r="B7526" s="15"/>
      <c r="C7526" s="16"/>
      <c r="J7526" s="9"/>
    </row>
    <row r="7527">
      <c r="A7527" s="14"/>
      <c r="B7527" s="15"/>
      <c r="C7527" s="16"/>
      <c r="J7527" s="9"/>
    </row>
    <row r="7528">
      <c r="A7528" s="14"/>
      <c r="B7528" s="15"/>
      <c r="C7528" s="16"/>
      <c r="J7528" s="9"/>
    </row>
    <row r="7529">
      <c r="A7529" s="14"/>
      <c r="B7529" s="15"/>
      <c r="C7529" s="16"/>
      <c r="J7529" s="9"/>
    </row>
    <row r="7530">
      <c r="A7530" s="14"/>
      <c r="B7530" s="15"/>
      <c r="C7530" s="16"/>
      <c r="J7530" s="9"/>
    </row>
    <row r="7531">
      <c r="A7531" s="14"/>
      <c r="B7531" s="15"/>
      <c r="C7531" s="16"/>
      <c r="J7531" s="9"/>
    </row>
    <row r="7532">
      <c r="A7532" s="14"/>
      <c r="B7532" s="15"/>
      <c r="C7532" s="16"/>
      <c r="J7532" s="9"/>
    </row>
    <row r="7533">
      <c r="A7533" s="14"/>
      <c r="B7533" s="15"/>
      <c r="C7533" s="16"/>
      <c r="J7533" s="9"/>
    </row>
    <row r="7534">
      <c r="A7534" s="14"/>
      <c r="B7534" s="15"/>
      <c r="C7534" s="16"/>
      <c r="J7534" s="9"/>
    </row>
    <row r="7535">
      <c r="A7535" s="14"/>
      <c r="B7535" s="15"/>
      <c r="C7535" s="16"/>
      <c r="J7535" s="9"/>
    </row>
    <row r="7536">
      <c r="A7536" s="14"/>
      <c r="B7536" s="15"/>
      <c r="C7536" s="16"/>
      <c r="J7536" s="9"/>
    </row>
    <row r="7537">
      <c r="A7537" s="14"/>
      <c r="B7537" s="15"/>
      <c r="C7537" s="16"/>
      <c r="J7537" s="9"/>
    </row>
    <row r="7538">
      <c r="A7538" s="14"/>
      <c r="B7538" s="15"/>
      <c r="C7538" s="16"/>
      <c r="J7538" s="9"/>
    </row>
    <row r="7539">
      <c r="A7539" s="14"/>
      <c r="B7539" s="15"/>
      <c r="C7539" s="16"/>
      <c r="J7539" s="9"/>
    </row>
    <row r="7540">
      <c r="A7540" s="14"/>
      <c r="B7540" s="15"/>
      <c r="C7540" s="16"/>
      <c r="J7540" s="9"/>
    </row>
    <row r="7541">
      <c r="A7541" s="14"/>
      <c r="B7541" s="15"/>
      <c r="C7541" s="16"/>
      <c r="J7541" s="9"/>
    </row>
    <row r="7542">
      <c r="A7542" s="14"/>
      <c r="B7542" s="15"/>
      <c r="C7542" s="16"/>
      <c r="J7542" s="9"/>
    </row>
    <row r="7543">
      <c r="A7543" s="14"/>
      <c r="B7543" s="15"/>
      <c r="C7543" s="16"/>
      <c r="J7543" s="9"/>
    </row>
    <row r="7544">
      <c r="A7544" s="14"/>
      <c r="B7544" s="15"/>
      <c r="C7544" s="16"/>
      <c r="J7544" s="9"/>
    </row>
    <row r="7545">
      <c r="A7545" s="14"/>
      <c r="B7545" s="15"/>
      <c r="C7545" s="16"/>
      <c r="J7545" s="9"/>
    </row>
    <row r="7546">
      <c r="A7546" s="14"/>
      <c r="B7546" s="15"/>
      <c r="C7546" s="16"/>
      <c r="J7546" s="9"/>
    </row>
    <row r="7547">
      <c r="A7547" s="14"/>
      <c r="B7547" s="15"/>
      <c r="C7547" s="16"/>
      <c r="J7547" s="9"/>
    </row>
    <row r="7548">
      <c r="A7548" s="14"/>
      <c r="B7548" s="15"/>
      <c r="C7548" s="16"/>
      <c r="J7548" s="9"/>
    </row>
    <row r="7549">
      <c r="A7549" s="14"/>
      <c r="B7549" s="15"/>
      <c r="C7549" s="16"/>
      <c r="J7549" s="9"/>
    </row>
    <row r="7550">
      <c r="A7550" s="14"/>
      <c r="B7550" s="15"/>
      <c r="C7550" s="16"/>
      <c r="J7550" s="9"/>
    </row>
    <row r="7551">
      <c r="A7551" s="14"/>
      <c r="B7551" s="15"/>
      <c r="C7551" s="16"/>
      <c r="J7551" s="9"/>
    </row>
    <row r="7552">
      <c r="A7552" s="14"/>
      <c r="B7552" s="15"/>
      <c r="C7552" s="16"/>
      <c r="J7552" s="9"/>
    </row>
    <row r="7553">
      <c r="A7553" s="14"/>
      <c r="B7553" s="15"/>
      <c r="C7553" s="16"/>
      <c r="J7553" s="9"/>
    </row>
    <row r="7554">
      <c r="A7554" s="14"/>
      <c r="B7554" s="15"/>
      <c r="C7554" s="16"/>
      <c r="J7554" s="9"/>
    </row>
    <row r="7555">
      <c r="A7555" s="14"/>
      <c r="B7555" s="15"/>
      <c r="C7555" s="16"/>
      <c r="J7555" s="9"/>
    </row>
    <row r="7556">
      <c r="A7556" s="14"/>
      <c r="B7556" s="15"/>
      <c r="C7556" s="16"/>
      <c r="J7556" s="9"/>
    </row>
    <row r="7557">
      <c r="A7557" s="14"/>
      <c r="B7557" s="15"/>
      <c r="C7557" s="16"/>
      <c r="J7557" s="9"/>
    </row>
    <row r="7558">
      <c r="A7558" s="14"/>
      <c r="B7558" s="15"/>
      <c r="C7558" s="16"/>
      <c r="J7558" s="9"/>
    </row>
    <row r="7559">
      <c r="A7559" s="14"/>
      <c r="B7559" s="15"/>
      <c r="C7559" s="16"/>
      <c r="J7559" s="9"/>
    </row>
    <row r="7560">
      <c r="A7560" s="14"/>
      <c r="B7560" s="15"/>
      <c r="C7560" s="16"/>
      <c r="J7560" s="9"/>
    </row>
    <row r="7561">
      <c r="A7561" s="14"/>
      <c r="B7561" s="15"/>
      <c r="C7561" s="16"/>
      <c r="J7561" s="9"/>
    </row>
    <row r="7562">
      <c r="A7562" s="14"/>
      <c r="B7562" s="15"/>
      <c r="C7562" s="16"/>
      <c r="J7562" s="9"/>
    </row>
    <row r="7563">
      <c r="A7563" s="14"/>
      <c r="B7563" s="15"/>
      <c r="C7563" s="16"/>
      <c r="J7563" s="9"/>
    </row>
    <row r="7564">
      <c r="A7564" s="14"/>
      <c r="B7564" s="15"/>
      <c r="C7564" s="16"/>
      <c r="J7564" s="9"/>
    </row>
    <row r="7565">
      <c r="A7565" s="14"/>
      <c r="B7565" s="15"/>
      <c r="C7565" s="16"/>
      <c r="J7565" s="9"/>
    </row>
    <row r="7566">
      <c r="A7566" s="14"/>
      <c r="B7566" s="15"/>
      <c r="C7566" s="16"/>
      <c r="J7566" s="9"/>
    </row>
    <row r="7567">
      <c r="A7567" s="14"/>
      <c r="B7567" s="15"/>
      <c r="C7567" s="16"/>
      <c r="J7567" s="9"/>
    </row>
    <row r="7568">
      <c r="A7568" s="14"/>
      <c r="B7568" s="15"/>
      <c r="C7568" s="16"/>
      <c r="J7568" s="9"/>
    </row>
    <row r="7569">
      <c r="A7569" s="14"/>
      <c r="B7569" s="15"/>
      <c r="C7569" s="16"/>
      <c r="J7569" s="9"/>
    </row>
    <row r="7570">
      <c r="A7570" s="14"/>
      <c r="B7570" s="15"/>
      <c r="C7570" s="16"/>
      <c r="J7570" s="9"/>
    </row>
    <row r="7571">
      <c r="A7571" s="14"/>
      <c r="B7571" s="15"/>
      <c r="C7571" s="16"/>
      <c r="J7571" s="9"/>
    </row>
    <row r="7572">
      <c r="A7572" s="14"/>
      <c r="B7572" s="15"/>
      <c r="C7572" s="16"/>
      <c r="J7572" s="9"/>
    </row>
    <row r="7573">
      <c r="A7573" s="14"/>
      <c r="B7573" s="15"/>
      <c r="C7573" s="16"/>
      <c r="J7573" s="9"/>
    </row>
    <row r="7574">
      <c r="A7574" s="14"/>
      <c r="B7574" s="15"/>
      <c r="C7574" s="16"/>
      <c r="J7574" s="9"/>
    </row>
    <row r="7575">
      <c r="A7575" s="14"/>
      <c r="B7575" s="15"/>
      <c r="C7575" s="16"/>
      <c r="J7575" s="9"/>
    </row>
    <row r="7576">
      <c r="A7576" s="14"/>
      <c r="B7576" s="15"/>
      <c r="C7576" s="16"/>
      <c r="J7576" s="9"/>
    </row>
    <row r="7577">
      <c r="A7577" s="14"/>
      <c r="B7577" s="15"/>
      <c r="C7577" s="16"/>
      <c r="J7577" s="9"/>
    </row>
    <row r="7578">
      <c r="A7578" s="14"/>
      <c r="B7578" s="15"/>
      <c r="C7578" s="16"/>
      <c r="J7578" s="9"/>
    </row>
    <row r="7579">
      <c r="A7579" s="14"/>
      <c r="B7579" s="15"/>
      <c r="C7579" s="16"/>
      <c r="J7579" s="9"/>
    </row>
    <row r="7580">
      <c r="A7580" s="14"/>
      <c r="B7580" s="15"/>
      <c r="C7580" s="16"/>
      <c r="J7580" s="9"/>
    </row>
    <row r="7581">
      <c r="A7581" s="14"/>
      <c r="B7581" s="15"/>
      <c r="C7581" s="16"/>
      <c r="J7581" s="9"/>
    </row>
    <row r="7582">
      <c r="A7582" s="14"/>
      <c r="B7582" s="15"/>
      <c r="C7582" s="16"/>
      <c r="J7582" s="9"/>
    </row>
    <row r="7583">
      <c r="A7583" s="14"/>
      <c r="B7583" s="15"/>
      <c r="C7583" s="16"/>
      <c r="J7583" s="9"/>
    </row>
    <row r="7584">
      <c r="A7584" s="14"/>
      <c r="B7584" s="15"/>
      <c r="C7584" s="16"/>
      <c r="J7584" s="9"/>
    </row>
    <row r="7585">
      <c r="A7585" s="14"/>
      <c r="B7585" s="15"/>
      <c r="C7585" s="16"/>
      <c r="J7585" s="9"/>
    </row>
    <row r="7586">
      <c r="A7586" s="14"/>
      <c r="B7586" s="15"/>
      <c r="C7586" s="16"/>
      <c r="J7586" s="9"/>
    </row>
    <row r="7587">
      <c r="A7587" s="14"/>
      <c r="B7587" s="15"/>
      <c r="C7587" s="16"/>
      <c r="J7587" s="9"/>
    </row>
    <row r="7588">
      <c r="A7588" s="14"/>
      <c r="B7588" s="15"/>
      <c r="C7588" s="16"/>
      <c r="J7588" s="9"/>
    </row>
    <row r="7589">
      <c r="A7589" s="14"/>
      <c r="B7589" s="15"/>
      <c r="C7589" s="16"/>
      <c r="J7589" s="9"/>
    </row>
    <row r="7590">
      <c r="A7590" s="14"/>
      <c r="B7590" s="15"/>
      <c r="C7590" s="16"/>
      <c r="J7590" s="9"/>
    </row>
    <row r="7591">
      <c r="A7591" s="14"/>
      <c r="B7591" s="15"/>
      <c r="C7591" s="16"/>
      <c r="J7591" s="9"/>
    </row>
    <row r="7592">
      <c r="A7592" s="14"/>
      <c r="B7592" s="15"/>
      <c r="C7592" s="16"/>
      <c r="J7592" s="9"/>
    </row>
    <row r="7593">
      <c r="A7593" s="14"/>
      <c r="B7593" s="15"/>
      <c r="C7593" s="16"/>
      <c r="J7593" s="9"/>
    </row>
    <row r="7594">
      <c r="A7594" s="14"/>
      <c r="B7594" s="15"/>
      <c r="C7594" s="16"/>
      <c r="J7594" s="9"/>
    </row>
    <row r="7595">
      <c r="A7595" s="14"/>
      <c r="B7595" s="15"/>
      <c r="C7595" s="16"/>
      <c r="J7595" s="9"/>
    </row>
    <row r="7596">
      <c r="A7596" s="14"/>
      <c r="B7596" s="15"/>
      <c r="C7596" s="16"/>
      <c r="J7596" s="9"/>
    </row>
    <row r="7597">
      <c r="A7597" s="14"/>
      <c r="B7597" s="15"/>
      <c r="C7597" s="16"/>
      <c r="J7597" s="9"/>
    </row>
    <row r="7598">
      <c r="A7598" s="14"/>
      <c r="B7598" s="15"/>
      <c r="C7598" s="16"/>
      <c r="J7598" s="9"/>
    </row>
    <row r="7599">
      <c r="A7599" s="14"/>
      <c r="B7599" s="15"/>
      <c r="C7599" s="16"/>
      <c r="J7599" s="9"/>
    </row>
    <row r="7600">
      <c r="A7600" s="14"/>
      <c r="B7600" s="15"/>
      <c r="C7600" s="16"/>
      <c r="J7600" s="9"/>
    </row>
    <row r="7601">
      <c r="A7601" s="14"/>
      <c r="B7601" s="15"/>
      <c r="C7601" s="16"/>
      <c r="J7601" s="9"/>
    </row>
    <row r="7602">
      <c r="A7602" s="14"/>
      <c r="B7602" s="15"/>
      <c r="C7602" s="16"/>
      <c r="J7602" s="9"/>
    </row>
    <row r="7603">
      <c r="A7603" s="14"/>
      <c r="B7603" s="15"/>
      <c r="C7603" s="16"/>
      <c r="J7603" s="9"/>
    </row>
    <row r="7604">
      <c r="A7604" s="14"/>
      <c r="B7604" s="15"/>
      <c r="C7604" s="16"/>
      <c r="J7604" s="9"/>
    </row>
    <row r="7605">
      <c r="A7605" s="14"/>
      <c r="B7605" s="15"/>
      <c r="C7605" s="16"/>
      <c r="J7605" s="9"/>
    </row>
    <row r="7606">
      <c r="A7606" s="14"/>
      <c r="B7606" s="15"/>
      <c r="C7606" s="16"/>
      <c r="J7606" s="9"/>
    </row>
    <row r="7607">
      <c r="A7607" s="14"/>
      <c r="B7607" s="15"/>
      <c r="C7607" s="16"/>
      <c r="J7607" s="9"/>
    </row>
    <row r="7608">
      <c r="A7608" s="14"/>
      <c r="B7608" s="15"/>
      <c r="C7608" s="16"/>
      <c r="J7608" s="9"/>
    </row>
    <row r="7609">
      <c r="A7609" s="14"/>
      <c r="B7609" s="15"/>
      <c r="C7609" s="16"/>
      <c r="J7609" s="9"/>
    </row>
    <row r="7610">
      <c r="A7610" s="14"/>
      <c r="B7610" s="15"/>
      <c r="C7610" s="16"/>
      <c r="J7610" s="9"/>
    </row>
    <row r="7611">
      <c r="A7611" s="14"/>
      <c r="B7611" s="15"/>
      <c r="C7611" s="16"/>
      <c r="J7611" s="9"/>
    </row>
    <row r="7612">
      <c r="A7612" s="14"/>
      <c r="B7612" s="15"/>
      <c r="C7612" s="16"/>
      <c r="J7612" s="9"/>
    </row>
    <row r="7613">
      <c r="A7613" s="14"/>
      <c r="B7613" s="15"/>
      <c r="C7613" s="16"/>
      <c r="J7613" s="9"/>
    </row>
    <row r="7614">
      <c r="A7614" s="14"/>
      <c r="B7614" s="15"/>
      <c r="C7614" s="16"/>
      <c r="J7614" s="9"/>
    </row>
    <row r="7615">
      <c r="A7615" s="14"/>
      <c r="B7615" s="15"/>
      <c r="C7615" s="16"/>
      <c r="J7615" s="9"/>
    </row>
    <row r="7616">
      <c r="A7616" s="14"/>
      <c r="B7616" s="15"/>
      <c r="C7616" s="16"/>
      <c r="J7616" s="9"/>
    </row>
    <row r="7617">
      <c r="A7617" s="14"/>
      <c r="B7617" s="15"/>
      <c r="C7617" s="16"/>
      <c r="J7617" s="9"/>
    </row>
    <row r="7618">
      <c r="A7618" s="14"/>
      <c r="B7618" s="15"/>
      <c r="C7618" s="16"/>
      <c r="J7618" s="9"/>
    </row>
    <row r="7619">
      <c r="A7619" s="14"/>
      <c r="B7619" s="15"/>
      <c r="C7619" s="16"/>
      <c r="J7619" s="9"/>
    </row>
    <row r="7620">
      <c r="A7620" s="14"/>
      <c r="B7620" s="15"/>
      <c r="C7620" s="16"/>
      <c r="J7620" s="9"/>
    </row>
    <row r="7621">
      <c r="A7621" s="14"/>
      <c r="B7621" s="15"/>
      <c r="C7621" s="16"/>
      <c r="J7621" s="9"/>
    </row>
    <row r="7622">
      <c r="A7622" s="14"/>
      <c r="B7622" s="15"/>
      <c r="C7622" s="16"/>
      <c r="J7622" s="9"/>
    </row>
    <row r="7623">
      <c r="A7623" s="14"/>
      <c r="B7623" s="15"/>
      <c r="C7623" s="16"/>
      <c r="J7623" s="9"/>
    </row>
    <row r="7624">
      <c r="A7624" s="14"/>
      <c r="B7624" s="15"/>
      <c r="C7624" s="16"/>
      <c r="J7624" s="9"/>
    </row>
    <row r="7625">
      <c r="A7625" s="14"/>
      <c r="B7625" s="15"/>
      <c r="C7625" s="16"/>
      <c r="J7625" s="9"/>
    </row>
    <row r="7626">
      <c r="A7626" s="14"/>
      <c r="B7626" s="15"/>
      <c r="C7626" s="16"/>
      <c r="J7626" s="9"/>
    </row>
    <row r="7627">
      <c r="A7627" s="14"/>
      <c r="B7627" s="15"/>
      <c r="C7627" s="16"/>
      <c r="J7627" s="9"/>
    </row>
    <row r="7628">
      <c r="A7628" s="14"/>
      <c r="B7628" s="15"/>
      <c r="C7628" s="16"/>
      <c r="J7628" s="9"/>
    </row>
    <row r="7629">
      <c r="A7629" s="14"/>
      <c r="B7629" s="15"/>
      <c r="C7629" s="16"/>
      <c r="J7629" s="9"/>
    </row>
    <row r="7630">
      <c r="A7630" s="14"/>
      <c r="B7630" s="15"/>
      <c r="C7630" s="16"/>
      <c r="J7630" s="9"/>
    </row>
    <row r="7631">
      <c r="A7631" s="14"/>
      <c r="B7631" s="15"/>
      <c r="C7631" s="16"/>
      <c r="J7631" s="9"/>
    </row>
    <row r="7632">
      <c r="A7632" s="14"/>
      <c r="B7632" s="15"/>
      <c r="C7632" s="16"/>
      <c r="J7632" s="9"/>
    </row>
    <row r="7633">
      <c r="A7633" s="14"/>
      <c r="B7633" s="15"/>
      <c r="C7633" s="16"/>
      <c r="J7633" s="9"/>
    </row>
    <row r="7634">
      <c r="A7634" s="14"/>
      <c r="B7634" s="15"/>
      <c r="C7634" s="16"/>
      <c r="J7634" s="9"/>
    </row>
    <row r="7635">
      <c r="A7635" s="14"/>
      <c r="B7635" s="15"/>
      <c r="C7635" s="16"/>
      <c r="J7635" s="9"/>
    </row>
    <row r="7636">
      <c r="A7636" s="14"/>
      <c r="B7636" s="15"/>
      <c r="C7636" s="16"/>
      <c r="J7636" s="9"/>
    </row>
    <row r="7637">
      <c r="A7637" s="14"/>
      <c r="B7637" s="15"/>
      <c r="C7637" s="16"/>
      <c r="J7637" s="9"/>
    </row>
    <row r="7638">
      <c r="A7638" s="14"/>
      <c r="B7638" s="15"/>
      <c r="C7638" s="16"/>
      <c r="J7638" s="9"/>
    </row>
    <row r="7639">
      <c r="A7639" s="14"/>
      <c r="B7639" s="15"/>
      <c r="C7639" s="16"/>
      <c r="J7639" s="9"/>
    </row>
    <row r="7640">
      <c r="A7640" s="14"/>
      <c r="B7640" s="15"/>
      <c r="C7640" s="16"/>
      <c r="J7640" s="9"/>
    </row>
    <row r="7641">
      <c r="A7641" s="14"/>
      <c r="B7641" s="15"/>
      <c r="C7641" s="16"/>
      <c r="J7641" s="9"/>
    </row>
    <row r="7642">
      <c r="A7642" s="14"/>
      <c r="B7642" s="15"/>
      <c r="C7642" s="16"/>
      <c r="J7642" s="9"/>
    </row>
    <row r="7643">
      <c r="A7643" s="14"/>
      <c r="B7643" s="15"/>
      <c r="C7643" s="16"/>
      <c r="J7643" s="9"/>
    </row>
    <row r="7644">
      <c r="A7644" s="14"/>
      <c r="B7644" s="15"/>
      <c r="C7644" s="16"/>
      <c r="J7644" s="9"/>
    </row>
    <row r="7645">
      <c r="A7645" s="14"/>
      <c r="B7645" s="15"/>
      <c r="C7645" s="16"/>
      <c r="J7645" s="9"/>
    </row>
    <row r="7646">
      <c r="A7646" s="14"/>
      <c r="B7646" s="15"/>
      <c r="C7646" s="16"/>
      <c r="J7646" s="9"/>
    </row>
    <row r="7647">
      <c r="A7647" s="14"/>
      <c r="B7647" s="15"/>
      <c r="C7647" s="16"/>
      <c r="J7647" s="9"/>
    </row>
    <row r="7648">
      <c r="A7648" s="14"/>
      <c r="B7648" s="15"/>
      <c r="C7648" s="16"/>
      <c r="J7648" s="9"/>
    </row>
    <row r="7649">
      <c r="A7649" s="14"/>
      <c r="B7649" s="15"/>
      <c r="C7649" s="16"/>
      <c r="J7649" s="9"/>
    </row>
    <row r="7650">
      <c r="A7650" s="14"/>
      <c r="B7650" s="15"/>
      <c r="C7650" s="16"/>
      <c r="J7650" s="9"/>
    </row>
    <row r="7651">
      <c r="A7651" s="14"/>
      <c r="B7651" s="15"/>
      <c r="C7651" s="16"/>
      <c r="J7651" s="9"/>
    </row>
    <row r="7652">
      <c r="A7652" s="14"/>
      <c r="B7652" s="15"/>
      <c r="C7652" s="16"/>
      <c r="J7652" s="9"/>
    </row>
    <row r="7653">
      <c r="A7653" s="14"/>
      <c r="B7653" s="15"/>
      <c r="C7653" s="16"/>
      <c r="J7653" s="9"/>
    </row>
    <row r="7654">
      <c r="A7654" s="14"/>
      <c r="B7654" s="15"/>
      <c r="C7654" s="16"/>
      <c r="J7654" s="9"/>
    </row>
    <row r="7655">
      <c r="A7655" s="14"/>
      <c r="B7655" s="15"/>
      <c r="C7655" s="16"/>
      <c r="J7655" s="9"/>
    </row>
    <row r="7656">
      <c r="A7656" s="14"/>
      <c r="B7656" s="15"/>
      <c r="C7656" s="16"/>
      <c r="J7656" s="9"/>
    </row>
    <row r="7657">
      <c r="A7657" s="14"/>
      <c r="B7657" s="15"/>
      <c r="C7657" s="16"/>
      <c r="J7657" s="9"/>
    </row>
    <row r="7658">
      <c r="A7658" s="14"/>
      <c r="B7658" s="15"/>
      <c r="C7658" s="16"/>
      <c r="J7658" s="9"/>
    </row>
    <row r="7659">
      <c r="A7659" s="14"/>
      <c r="B7659" s="15"/>
      <c r="C7659" s="16"/>
      <c r="J7659" s="9"/>
    </row>
    <row r="7660">
      <c r="A7660" s="14"/>
      <c r="B7660" s="15"/>
      <c r="C7660" s="16"/>
      <c r="J7660" s="9"/>
    </row>
    <row r="7661">
      <c r="A7661" s="14"/>
      <c r="B7661" s="15"/>
      <c r="C7661" s="16"/>
      <c r="J7661" s="9"/>
    </row>
    <row r="7662">
      <c r="A7662" s="14"/>
      <c r="B7662" s="15"/>
      <c r="C7662" s="16"/>
      <c r="J7662" s="9"/>
    </row>
    <row r="7663">
      <c r="A7663" s="14"/>
      <c r="B7663" s="15"/>
      <c r="C7663" s="16"/>
      <c r="J7663" s="9"/>
    </row>
    <row r="7664">
      <c r="A7664" s="14"/>
      <c r="B7664" s="15"/>
      <c r="C7664" s="16"/>
      <c r="J7664" s="9"/>
    </row>
    <row r="7665">
      <c r="A7665" s="14"/>
      <c r="B7665" s="15"/>
      <c r="C7665" s="16"/>
      <c r="J7665" s="9"/>
    </row>
    <row r="7666">
      <c r="A7666" s="14"/>
      <c r="B7666" s="15"/>
      <c r="C7666" s="16"/>
      <c r="J7666" s="9"/>
    </row>
    <row r="7667">
      <c r="A7667" s="14"/>
      <c r="B7667" s="15"/>
      <c r="C7667" s="16"/>
      <c r="J7667" s="9"/>
    </row>
    <row r="7668">
      <c r="A7668" s="14"/>
      <c r="B7668" s="15"/>
      <c r="C7668" s="16"/>
      <c r="J7668" s="9"/>
    </row>
    <row r="7669">
      <c r="A7669" s="14"/>
      <c r="B7669" s="15"/>
      <c r="C7669" s="16"/>
      <c r="J7669" s="9"/>
    </row>
    <row r="7670">
      <c r="A7670" s="14"/>
      <c r="B7670" s="15"/>
      <c r="C7670" s="16"/>
      <c r="J7670" s="9"/>
    </row>
    <row r="7671">
      <c r="A7671" s="14"/>
      <c r="B7671" s="15"/>
      <c r="C7671" s="16"/>
      <c r="J7671" s="9"/>
    </row>
    <row r="7672">
      <c r="A7672" s="14"/>
      <c r="B7672" s="15"/>
      <c r="C7672" s="16"/>
      <c r="J7672" s="9"/>
    </row>
    <row r="7673">
      <c r="A7673" s="14"/>
      <c r="B7673" s="15"/>
      <c r="C7673" s="16"/>
      <c r="J7673" s="9"/>
    </row>
    <row r="7674">
      <c r="A7674" s="14"/>
      <c r="B7674" s="15"/>
      <c r="C7674" s="16"/>
      <c r="J7674" s="9"/>
    </row>
    <row r="7675">
      <c r="A7675" s="14"/>
      <c r="B7675" s="15"/>
      <c r="C7675" s="16"/>
      <c r="J7675" s="9"/>
    </row>
    <row r="7676">
      <c r="A7676" s="14"/>
      <c r="B7676" s="15"/>
      <c r="C7676" s="16"/>
      <c r="J7676" s="9"/>
    </row>
    <row r="7677">
      <c r="A7677" s="14"/>
      <c r="B7677" s="15"/>
      <c r="C7677" s="16"/>
      <c r="J7677" s="9"/>
    </row>
    <row r="7678">
      <c r="A7678" s="14"/>
      <c r="B7678" s="15"/>
      <c r="C7678" s="16"/>
      <c r="J7678" s="9"/>
    </row>
    <row r="7679">
      <c r="A7679" s="14"/>
      <c r="B7679" s="15"/>
      <c r="C7679" s="16"/>
      <c r="J7679" s="9"/>
    </row>
    <row r="7680">
      <c r="A7680" s="14"/>
      <c r="B7680" s="15"/>
      <c r="C7680" s="16"/>
      <c r="J7680" s="9"/>
    </row>
    <row r="7681">
      <c r="A7681" s="14"/>
      <c r="B7681" s="15"/>
      <c r="C7681" s="16"/>
      <c r="J7681" s="9"/>
    </row>
    <row r="7682">
      <c r="A7682" s="14"/>
      <c r="B7682" s="15"/>
      <c r="C7682" s="16"/>
      <c r="J7682" s="9"/>
    </row>
    <row r="7683">
      <c r="A7683" s="14"/>
      <c r="B7683" s="15"/>
      <c r="C7683" s="16"/>
      <c r="J7683" s="9"/>
    </row>
    <row r="7684">
      <c r="A7684" s="14"/>
      <c r="B7684" s="15"/>
      <c r="C7684" s="16"/>
      <c r="J7684" s="9"/>
    </row>
    <row r="7685">
      <c r="A7685" s="14"/>
      <c r="B7685" s="15"/>
      <c r="C7685" s="16"/>
      <c r="J7685" s="9"/>
    </row>
    <row r="7686">
      <c r="A7686" s="14"/>
      <c r="B7686" s="15"/>
      <c r="C7686" s="16"/>
      <c r="J7686" s="9"/>
    </row>
    <row r="7687">
      <c r="A7687" s="14"/>
      <c r="B7687" s="15"/>
      <c r="C7687" s="16"/>
      <c r="J7687" s="9"/>
    </row>
    <row r="7688">
      <c r="A7688" s="14"/>
      <c r="B7688" s="15"/>
      <c r="C7688" s="16"/>
      <c r="J7688" s="9"/>
    </row>
    <row r="7689">
      <c r="A7689" s="14"/>
      <c r="B7689" s="15"/>
      <c r="C7689" s="16"/>
      <c r="J7689" s="9"/>
    </row>
    <row r="7690">
      <c r="A7690" s="14"/>
      <c r="B7690" s="15"/>
      <c r="C7690" s="16"/>
      <c r="J7690" s="9"/>
    </row>
    <row r="7691">
      <c r="A7691" s="14"/>
      <c r="B7691" s="15"/>
      <c r="C7691" s="16"/>
      <c r="J7691" s="9"/>
    </row>
    <row r="7692">
      <c r="A7692" s="14"/>
      <c r="B7692" s="15"/>
      <c r="C7692" s="16"/>
      <c r="J7692" s="9"/>
    </row>
    <row r="7693">
      <c r="A7693" s="14"/>
      <c r="B7693" s="15"/>
      <c r="C7693" s="16"/>
      <c r="J7693" s="9"/>
    </row>
    <row r="7694">
      <c r="A7694" s="14"/>
      <c r="B7694" s="15"/>
      <c r="C7694" s="16"/>
      <c r="J7694" s="9"/>
    </row>
    <row r="7695">
      <c r="A7695" s="14"/>
      <c r="B7695" s="15"/>
      <c r="C7695" s="16"/>
      <c r="J7695" s="9"/>
    </row>
    <row r="7696">
      <c r="A7696" s="14"/>
      <c r="B7696" s="15"/>
      <c r="C7696" s="16"/>
      <c r="J7696" s="9"/>
    </row>
    <row r="7697">
      <c r="A7697" s="14"/>
      <c r="B7697" s="15"/>
      <c r="C7697" s="16"/>
      <c r="J7697" s="9"/>
    </row>
    <row r="7698">
      <c r="A7698" s="14"/>
      <c r="B7698" s="15"/>
      <c r="C7698" s="16"/>
      <c r="J7698" s="9"/>
    </row>
    <row r="7699">
      <c r="A7699" s="14"/>
      <c r="B7699" s="15"/>
      <c r="C7699" s="16"/>
      <c r="J7699" s="9"/>
    </row>
    <row r="7700">
      <c r="A7700" s="14"/>
      <c r="B7700" s="15"/>
      <c r="C7700" s="16"/>
      <c r="J7700" s="9"/>
    </row>
    <row r="7701">
      <c r="A7701" s="14"/>
      <c r="B7701" s="15"/>
      <c r="C7701" s="16"/>
      <c r="J7701" s="9"/>
    </row>
    <row r="7702">
      <c r="A7702" s="14"/>
      <c r="B7702" s="15"/>
      <c r="C7702" s="16"/>
      <c r="J7702" s="9"/>
    </row>
    <row r="7703">
      <c r="A7703" s="14"/>
      <c r="B7703" s="15"/>
      <c r="C7703" s="16"/>
      <c r="J7703" s="9"/>
    </row>
    <row r="7704">
      <c r="A7704" s="14"/>
      <c r="B7704" s="15"/>
      <c r="C7704" s="16"/>
      <c r="J7704" s="9"/>
    </row>
    <row r="7705">
      <c r="A7705" s="14"/>
      <c r="B7705" s="15"/>
      <c r="C7705" s="16"/>
      <c r="J7705" s="9"/>
    </row>
    <row r="7706">
      <c r="A7706" s="14"/>
      <c r="B7706" s="15"/>
      <c r="C7706" s="16"/>
      <c r="J7706" s="9"/>
    </row>
    <row r="7707">
      <c r="A7707" s="14"/>
      <c r="B7707" s="15"/>
      <c r="C7707" s="16"/>
      <c r="J7707" s="9"/>
    </row>
    <row r="7708">
      <c r="A7708" s="14"/>
      <c r="B7708" s="15"/>
      <c r="C7708" s="16"/>
      <c r="J7708" s="9"/>
    </row>
    <row r="7709">
      <c r="A7709" s="14"/>
      <c r="B7709" s="15"/>
      <c r="C7709" s="16"/>
      <c r="J7709" s="9"/>
    </row>
    <row r="7710">
      <c r="A7710" s="14"/>
      <c r="B7710" s="15"/>
      <c r="C7710" s="16"/>
      <c r="J7710" s="9"/>
    </row>
    <row r="7711">
      <c r="A7711" s="14"/>
      <c r="B7711" s="15"/>
      <c r="C7711" s="16"/>
      <c r="J7711" s="9"/>
    </row>
    <row r="7712">
      <c r="A7712" s="14"/>
      <c r="B7712" s="15"/>
      <c r="C7712" s="16"/>
      <c r="J7712" s="9"/>
    </row>
    <row r="7713">
      <c r="A7713" s="14"/>
      <c r="B7713" s="15"/>
      <c r="C7713" s="16"/>
      <c r="J7713" s="9"/>
    </row>
    <row r="7714">
      <c r="A7714" s="14"/>
      <c r="B7714" s="15"/>
      <c r="C7714" s="16"/>
      <c r="J7714" s="9"/>
    </row>
    <row r="7715">
      <c r="A7715" s="14"/>
      <c r="B7715" s="15"/>
      <c r="C7715" s="16"/>
      <c r="J7715" s="9"/>
    </row>
    <row r="7716">
      <c r="A7716" s="14"/>
      <c r="B7716" s="15"/>
      <c r="C7716" s="16"/>
      <c r="J7716" s="9"/>
    </row>
    <row r="7717">
      <c r="A7717" s="14"/>
      <c r="B7717" s="15"/>
      <c r="C7717" s="16"/>
      <c r="J7717" s="9"/>
    </row>
    <row r="7718">
      <c r="A7718" s="14"/>
      <c r="B7718" s="15"/>
      <c r="C7718" s="16"/>
      <c r="J7718" s="9"/>
    </row>
    <row r="7719">
      <c r="A7719" s="14"/>
      <c r="B7719" s="15"/>
      <c r="C7719" s="16"/>
      <c r="J7719" s="9"/>
    </row>
    <row r="7720">
      <c r="A7720" s="14"/>
      <c r="B7720" s="15"/>
      <c r="C7720" s="16"/>
      <c r="J7720" s="9"/>
    </row>
    <row r="7721">
      <c r="A7721" s="14"/>
      <c r="B7721" s="15"/>
      <c r="C7721" s="16"/>
      <c r="J7721" s="9"/>
    </row>
    <row r="7722">
      <c r="A7722" s="14"/>
      <c r="B7722" s="15"/>
      <c r="C7722" s="16"/>
      <c r="J7722" s="9"/>
    </row>
    <row r="7723">
      <c r="A7723" s="14"/>
      <c r="B7723" s="15"/>
      <c r="C7723" s="16"/>
      <c r="J7723" s="9"/>
    </row>
    <row r="7724">
      <c r="A7724" s="14"/>
      <c r="B7724" s="15"/>
      <c r="C7724" s="16"/>
      <c r="J7724" s="9"/>
    </row>
    <row r="7725">
      <c r="A7725" s="14"/>
      <c r="B7725" s="15"/>
      <c r="C7725" s="16"/>
      <c r="J7725" s="9"/>
    </row>
    <row r="7726">
      <c r="A7726" s="14"/>
      <c r="B7726" s="15"/>
      <c r="C7726" s="16"/>
      <c r="J7726" s="9"/>
    </row>
    <row r="7727">
      <c r="A7727" s="14"/>
      <c r="B7727" s="15"/>
      <c r="C7727" s="16"/>
      <c r="J7727" s="9"/>
    </row>
    <row r="7728">
      <c r="A7728" s="14"/>
      <c r="B7728" s="15"/>
      <c r="C7728" s="16"/>
      <c r="J7728" s="9"/>
    </row>
    <row r="7729">
      <c r="A7729" s="14"/>
      <c r="B7729" s="15"/>
      <c r="C7729" s="16"/>
      <c r="J7729" s="9"/>
    </row>
    <row r="7730">
      <c r="A7730" s="14"/>
      <c r="B7730" s="15"/>
      <c r="C7730" s="16"/>
      <c r="J7730" s="9"/>
    </row>
    <row r="7731">
      <c r="A7731" s="14"/>
      <c r="B7731" s="15"/>
      <c r="C7731" s="16"/>
      <c r="J7731" s="9"/>
    </row>
    <row r="7732">
      <c r="A7732" s="14"/>
      <c r="B7732" s="15"/>
      <c r="C7732" s="16"/>
      <c r="J7732" s="9"/>
    </row>
    <row r="7733">
      <c r="A7733" s="14"/>
      <c r="B7733" s="15"/>
      <c r="C7733" s="16"/>
      <c r="J7733" s="9"/>
    </row>
    <row r="7734">
      <c r="A7734" s="14"/>
      <c r="B7734" s="15"/>
      <c r="C7734" s="16"/>
      <c r="J7734" s="9"/>
    </row>
    <row r="7735">
      <c r="A7735" s="14"/>
      <c r="B7735" s="15"/>
      <c r="C7735" s="16"/>
      <c r="J7735" s="9"/>
    </row>
    <row r="7736">
      <c r="A7736" s="14"/>
      <c r="B7736" s="15"/>
      <c r="C7736" s="16"/>
      <c r="J7736" s="9"/>
    </row>
    <row r="7737">
      <c r="A7737" s="14"/>
      <c r="B7737" s="15"/>
      <c r="C7737" s="16"/>
      <c r="J7737" s="9"/>
    </row>
    <row r="7738">
      <c r="A7738" s="14"/>
      <c r="B7738" s="15"/>
      <c r="C7738" s="16"/>
      <c r="J7738" s="9"/>
    </row>
    <row r="7739">
      <c r="A7739" s="14"/>
      <c r="B7739" s="15"/>
      <c r="C7739" s="16"/>
      <c r="J7739" s="9"/>
    </row>
    <row r="7740">
      <c r="A7740" s="14"/>
      <c r="B7740" s="15"/>
      <c r="C7740" s="16"/>
      <c r="J7740" s="9"/>
    </row>
    <row r="7741">
      <c r="A7741" s="14"/>
      <c r="B7741" s="15"/>
      <c r="C7741" s="16"/>
      <c r="J7741" s="9"/>
    </row>
    <row r="7742">
      <c r="A7742" s="14"/>
      <c r="B7742" s="15"/>
      <c r="C7742" s="16"/>
      <c r="J7742" s="9"/>
    </row>
    <row r="7743">
      <c r="A7743" s="14"/>
      <c r="B7743" s="15"/>
      <c r="C7743" s="16"/>
      <c r="J7743" s="9"/>
    </row>
    <row r="7744">
      <c r="A7744" s="14"/>
      <c r="B7744" s="15"/>
      <c r="C7744" s="16"/>
      <c r="J7744" s="9"/>
    </row>
    <row r="7745">
      <c r="A7745" s="14"/>
      <c r="B7745" s="15"/>
      <c r="C7745" s="16"/>
      <c r="J7745" s="9"/>
    </row>
    <row r="7746">
      <c r="A7746" s="14"/>
      <c r="B7746" s="15"/>
      <c r="C7746" s="16"/>
      <c r="J7746" s="9"/>
    </row>
    <row r="7747">
      <c r="A7747" s="14"/>
      <c r="B7747" s="15"/>
      <c r="C7747" s="16"/>
      <c r="J7747" s="9"/>
    </row>
    <row r="7748">
      <c r="A7748" s="14"/>
      <c r="B7748" s="15"/>
      <c r="C7748" s="16"/>
      <c r="J7748" s="9"/>
    </row>
    <row r="7749">
      <c r="A7749" s="14"/>
      <c r="B7749" s="15"/>
      <c r="C7749" s="16"/>
      <c r="J7749" s="9"/>
    </row>
    <row r="7750">
      <c r="A7750" s="14"/>
      <c r="B7750" s="15"/>
      <c r="C7750" s="16"/>
      <c r="J7750" s="9"/>
    </row>
    <row r="7751">
      <c r="A7751" s="14"/>
      <c r="B7751" s="15"/>
      <c r="C7751" s="16"/>
      <c r="J7751" s="9"/>
    </row>
    <row r="7752">
      <c r="A7752" s="14"/>
      <c r="B7752" s="15"/>
      <c r="C7752" s="16"/>
      <c r="J7752" s="9"/>
    </row>
    <row r="7753">
      <c r="A7753" s="14"/>
      <c r="B7753" s="15"/>
      <c r="C7753" s="16"/>
      <c r="J7753" s="9"/>
    </row>
    <row r="7754">
      <c r="A7754" s="14"/>
      <c r="B7754" s="15"/>
      <c r="C7754" s="16"/>
      <c r="J7754" s="9"/>
    </row>
    <row r="7755">
      <c r="A7755" s="14"/>
      <c r="B7755" s="15"/>
      <c r="C7755" s="16"/>
      <c r="J7755" s="9"/>
    </row>
    <row r="7756">
      <c r="A7756" s="14"/>
      <c r="B7756" s="15"/>
      <c r="C7756" s="16"/>
      <c r="J7756" s="9"/>
    </row>
    <row r="7757">
      <c r="A7757" s="14"/>
      <c r="B7757" s="15"/>
      <c r="C7757" s="16"/>
      <c r="J7757" s="9"/>
    </row>
    <row r="7758">
      <c r="A7758" s="14"/>
      <c r="B7758" s="15"/>
      <c r="C7758" s="16"/>
      <c r="J7758" s="9"/>
    </row>
    <row r="7759">
      <c r="A7759" s="14"/>
      <c r="B7759" s="15"/>
      <c r="C7759" s="16"/>
      <c r="J7759" s="9"/>
    </row>
    <row r="7760">
      <c r="A7760" s="14"/>
      <c r="B7760" s="15"/>
      <c r="C7760" s="16"/>
      <c r="J7760" s="9"/>
    </row>
    <row r="7761">
      <c r="A7761" s="14"/>
      <c r="B7761" s="15"/>
      <c r="C7761" s="16"/>
      <c r="J7761" s="9"/>
    </row>
    <row r="7762">
      <c r="A7762" s="14"/>
      <c r="B7762" s="15"/>
      <c r="C7762" s="16"/>
      <c r="J7762" s="9"/>
    </row>
    <row r="7763">
      <c r="A7763" s="14"/>
      <c r="B7763" s="15"/>
      <c r="C7763" s="16"/>
      <c r="J7763" s="9"/>
    </row>
    <row r="7764">
      <c r="A7764" s="14"/>
      <c r="B7764" s="15"/>
      <c r="C7764" s="16"/>
      <c r="J7764" s="9"/>
    </row>
    <row r="7765">
      <c r="A7765" s="14"/>
      <c r="B7765" s="15"/>
      <c r="C7765" s="16"/>
      <c r="J7765" s="9"/>
    </row>
    <row r="7766">
      <c r="A7766" s="14"/>
      <c r="B7766" s="15"/>
      <c r="C7766" s="16"/>
      <c r="J7766" s="9"/>
    </row>
    <row r="7767">
      <c r="A7767" s="14"/>
      <c r="B7767" s="15"/>
      <c r="C7767" s="16"/>
      <c r="J7767" s="9"/>
    </row>
    <row r="7768">
      <c r="A7768" s="14"/>
      <c r="B7768" s="15"/>
      <c r="C7768" s="16"/>
      <c r="J7768" s="9"/>
    </row>
    <row r="7769">
      <c r="A7769" s="14"/>
      <c r="B7769" s="15"/>
      <c r="C7769" s="16"/>
      <c r="J7769" s="9"/>
    </row>
    <row r="7770">
      <c r="A7770" s="14"/>
      <c r="B7770" s="15"/>
      <c r="C7770" s="16"/>
      <c r="J7770" s="9"/>
    </row>
    <row r="7771">
      <c r="A7771" s="14"/>
      <c r="B7771" s="15"/>
      <c r="C7771" s="16"/>
      <c r="J7771" s="9"/>
    </row>
    <row r="7772">
      <c r="A7772" s="14"/>
      <c r="B7772" s="15"/>
      <c r="C7772" s="16"/>
      <c r="J7772" s="9"/>
    </row>
    <row r="7773">
      <c r="A7773" s="14"/>
      <c r="B7773" s="15"/>
      <c r="C7773" s="16"/>
      <c r="J7773" s="9"/>
    </row>
    <row r="7774">
      <c r="A7774" s="14"/>
      <c r="B7774" s="15"/>
      <c r="C7774" s="16"/>
      <c r="J7774" s="9"/>
    </row>
    <row r="7775">
      <c r="A7775" s="14"/>
      <c r="B7775" s="15"/>
      <c r="C7775" s="16"/>
      <c r="J7775" s="9"/>
    </row>
    <row r="7776">
      <c r="A7776" s="14"/>
      <c r="B7776" s="15"/>
      <c r="C7776" s="16"/>
      <c r="J7776" s="9"/>
    </row>
    <row r="7777">
      <c r="A7777" s="14"/>
      <c r="B7777" s="15"/>
      <c r="C7777" s="16"/>
      <c r="J7777" s="9"/>
    </row>
    <row r="7778">
      <c r="A7778" s="14"/>
      <c r="B7778" s="15"/>
      <c r="C7778" s="16"/>
      <c r="J7778" s="9"/>
    </row>
    <row r="7779">
      <c r="A7779" s="14"/>
      <c r="B7779" s="15"/>
      <c r="C7779" s="16"/>
      <c r="J7779" s="9"/>
    </row>
    <row r="7780">
      <c r="A7780" s="14"/>
      <c r="B7780" s="15"/>
      <c r="C7780" s="16"/>
      <c r="J7780" s="9"/>
    </row>
    <row r="7781">
      <c r="A7781" s="14"/>
      <c r="B7781" s="15"/>
      <c r="C7781" s="16"/>
      <c r="J7781" s="9"/>
    </row>
    <row r="7782">
      <c r="A7782" s="14"/>
      <c r="B7782" s="15"/>
      <c r="C7782" s="16"/>
      <c r="J7782" s="9"/>
    </row>
    <row r="7783">
      <c r="A7783" s="14"/>
      <c r="B7783" s="15"/>
      <c r="C7783" s="16"/>
      <c r="J7783" s="9"/>
    </row>
    <row r="7784">
      <c r="A7784" s="14"/>
      <c r="B7784" s="15"/>
      <c r="C7784" s="16"/>
      <c r="J7784" s="9"/>
    </row>
    <row r="7785">
      <c r="A7785" s="14"/>
      <c r="B7785" s="15"/>
      <c r="C7785" s="16"/>
      <c r="J7785" s="9"/>
    </row>
    <row r="7786">
      <c r="A7786" s="14"/>
      <c r="B7786" s="15"/>
      <c r="C7786" s="16"/>
      <c r="J7786" s="9"/>
    </row>
    <row r="7787">
      <c r="A7787" s="14"/>
      <c r="B7787" s="15"/>
      <c r="C7787" s="16"/>
      <c r="J7787" s="9"/>
    </row>
    <row r="7788">
      <c r="A7788" s="14"/>
      <c r="B7788" s="15"/>
      <c r="C7788" s="16"/>
      <c r="J7788" s="9"/>
    </row>
    <row r="7789">
      <c r="A7789" s="14"/>
      <c r="B7789" s="15"/>
      <c r="C7789" s="16"/>
      <c r="J7789" s="9"/>
    </row>
    <row r="7790">
      <c r="A7790" s="14"/>
      <c r="B7790" s="15"/>
      <c r="C7790" s="16"/>
      <c r="J7790" s="9"/>
    </row>
    <row r="7791">
      <c r="A7791" s="14"/>
      <c r="B7791" s="15"/>
      <c r="C7791" s="16"/>
      <c r="J7791" s="9"/>
    </row>
    <row r="7792">
      <c r="A7792" s="14"/>
      <c r="B7792" s="15"/>
      <c r="C7792" s="16"/>
      <c r="J7792" s="9"/>
    </row>
    <row r="7793">
      <c r="A7793" s="14"/>
      <c r="B7793" s="15"/>
      <c r="C7793" s="16"/>
      <c r="J7793" s="9"/>
    </row>
    <row r="7794">
      <c r="A7794" s="14"/>
      <c r="B7794" s="15"/>
      <c r="C7794" s="16"/>
      <c r="J7794" s="9"/>
    </row>
    <row r="7795">
      <c r="A7795" s="14"/>
      <c r="B7795" s="15"/>
      <c r="C7795" s="16"/>
      <c r="J7795" s="9"/>
    </row>
    <row r="7796">
      <c r="A7796" s="14"/>
      <c r="B7796" s="15"/>
      <c r="C7796" s="16"/>
      <c r="J7796" s="9"/>
    </row>
    <row r="7797">
      <c r="A7797" s="14"/>
      <c r="B7797" s="15"/>
      <c r="C7797" s="16"/>
      <c r="J7797" s="9"/>
    </row>
    <row r="7798">
      <c r="A7798" s="14"/>
      <c r="B7798" s="15"/>
      <c r="C7798" s="16"/>
      <c r="J7798" s="9"/>
    </row>
    <row r="7799">
      <c r="A7799" s="14"/>
      <c r="B7799" s="15"/>
      <c r="C7799" s="16"/>
      <c r="J7799" s="9"/>
    </row>
    <row r="7800">
      <c r="A7800" s="14"/>
      <c r="B7800" s="15"/>
      <c r="C7800" s="16"/>
      <c r="J7800" s="9"/>
    </row>
    <row r="7801">
      <c r="A7801" s="14"/>
      <c r="B7801" s="15"/>
      <c r="C7801" s="16"/>
      <c r="J7801" s="9"/>
    </row>
    <row r="7802">
      <c r="A7802" s="14"/>
      <c r="B7802" s="15"/>
      <c r="C7802" s="16"/>
      <c r="J7802" s="9"/>
    </row>
    <row r="7803">
      <c r="A7803" s="14"/>
      <c r="B7803" s="15"/>
      <c r="C7803" s="16"/>
      <c r="J7803" s="9"/>
    </row>
    <row r="7804">
      <c r="A7804" s="14"/>
      <c r="B7804" s="15"/>
      <c r="C7804" s="16"/>
      <c r="J7804" s="9"/>
    </row>
    <row r="7805">
      <c r="A7805" s="14"/>
      <c r="B7805" s="15"/>
      <c r="C7805" s="16"/>
      <c r="J7805" s="9"/>
    </row>
    <row r="7806">
      <c r="A7806" s="14"/>
      <c r="B7806" s="15"/>
      <c r="C7806" s="16"/>
      <c r="J7806" s="9"/>
    </row>
    <row r="7807">
      <c r="A7807" s="14"/>
      <c r="B7807" s="15"/>
      <c r="C7807" s="16"/>
      <c r="J7807" s="9"/>
    </row>
    <row r="7808">
      <c r="A7808" s="14"/>
      <c r="B7808" s="15"/>
      <c r="C7808" s="16"/>
      <c r="J7808" s="9"/>
    </row>
    <row r="7809">
      <c r="A7809" s="14"/>
      <c r="B7809" s="15"/>
      <c r="C7809" s="16"/>
      <c r="J7809" s="9"/>
    </row>
    <row r="7810">
      <c r="A7810" s="14"/>
      <c r="B7810" s="15"/>
      <c r="C7810" s="16"/>
      <c r="J7810" s="9"/>
    </row>
    <row r="7811">
      <c r="A7811" s="14"/>
      <c r="B7811" s="15"/>
      <c r="C7811" s="16"/>
      <c r="J7811" s="9"/>
    </row>
    <row r="7812">
      <c r="A7812" s="14"/>
      <c r="B7812" s="15"/>
      <c r="C7812" s="16"/>
      <c r="J7812" s="9"/>
    </row>
    <row r="7813">
      <c r="A7813" s="14"/>
      <c r="B7813" s="15"/>
      <c r="C7813" s="16"/>
      <c r="J7813" s="9"/>
    </row>
    <row r="7814">
      <c r="A7814" s="14"/>
      <c r="B7814" s="15"/>
      <c r="C7814" s="16"/>
      <c r="J7814" s="9"/>
    </row>
    <row r="7815">
      <c r="A7815" s="14"/>
      <c r="B7815" s="15"/>
      <c r="C7815" s="16"/>
      <c r="J7815" s="9"/>
    </row>
    <row r="7816">
      <c r="A7816" s="14"/>
      <c r="B7816" s="15"/>
      <c r="C7816" s="16"/>
      <c r="J7816" s="9"/>
    </row>
    <row r="7817">
      <c r="A7817" s="14"/>
      <c r="B7817" s="15"/>
      <c r="C7817" s="16"/>
      <c r="J7817" s="9"/>
    </row>
    <row r="7818">
      <c r="A7818" s="14"/>
      <c r="B7818" s="15"/>
      <c r="C7818" s="16"/>
      <c r="J7818" s="9"/>
    </row>
    <row r="7819">
      <c r="A7819" s="14"/>
      <c r="B7819" s="15"/>
      <c r="C7819" s="16"/>
      <c r="J7819" s="9"/>
    </row>
    <row r="7820">
      <c r="A7820" s="14"/>
      <c r="B7820" s="15"/>
      <c r="C7820" s="16"/>
      <c r="J7820" s="9"/>
    </row>
    <row r="7821">
      <c r="A7821" s="14"/>
      <c r="B7821" s="15"/>
      <c r="C7821" s="16"/>
      <c r="J7821" s="9"/>
    </row>
    <row r="7822">
      <c r="A7822" s="14"/>
      <c r="B7822" s="15"/>
      <c r="C7822" s="16"/>
      <c r="J7822" s="9"/>
    </row>
    <row r="7823">
      <c r="A7823" s="14"/>
      <c r="B7823" s="15"/>
      <c r="C7823" s="16"/>
      <c r="J7823" s="9"/>
    </row>
    <row r="7824">
      <c r="A7824" s="14"/>
      <c r="B7824" s="15"/>
      <c r="C7824" s="16"/>
      <c r="J7824" s="9"/>
    </row>
    <row r="7825">
      <c r="A7825" s="14"/>
      <c r="B7825" s="15"/>
      <c r="C7825" s="16"/>
      <c r="J7825" s="9"/>
    </row>
    <row r="7826">
      <c r="A7826" s="14"/>
      <c r="B7826" s="15"/>
      <c r="C7826" s="16"/>
      <c r="J7826" s="9"/>
    </row>
    <row r="7827">
      <c r="A7827" s="14"/>
      <c r="B7827" s="15"/>
      <c r="C7827" s="16"/>
      <c r="J7827" s="9"/>
    </row>
    <row r="7828">
      <c r="A7828" s="14"/>
      <c r="B7828" s="15"/>
      <c r="C7828" s="16"/>
      <c r="J7828" s="9"/>
    </row>
    <row r="7829">
      <c r="A7829" s="14"/>
      <c r="B7829" s="15"/>
      <c r="C7829" s="16"/>
      <c r="J7829" s="9"/>
    </row>
    <row r="7830">
      <c r="A7830" s="14"/>
      <c r="B7830" s="15"/>
      <c r="C7830" s="16"/>
      <c r="J7830" s="9"/>
    </row>
    <row r="7831">
      <c r="A7831" s="14"/>
      <c r="B7831" s="15"/>
      <c r="C7831" s="16"/>
      <c r="J7831" s="9"/>
    </row>
    <row r="7832">
      <c r="A7832" s="14"/>
      <c r="B7832" s="15"/>
      <c r="C7832" s="16"/>
      <c r="J7832" s="9"/>
    </row>
    <row r="7833">
      <c r="A7833" s="14"/>
      <c r="B7833" s="15"/>
      <c r="C7833" s="16"/>
      <c r="J7833" s="9"/>
    </row>
    <row r="7834">
      <c r="A7834" s="14"/>
      <c r="B7834" s="15"/>
      <c r="C7834" s="16"/>
      <c r="J7834" s="9"/>
    </row>
    <row r="7835">
      <c r="A7835" s="14"/>
      <c r="B7835" s="15"/>
      <c r="C7835" s="16"/>
      <c r="J7835" s="9"/>
    </row>
    <row r="7836">
      <c r="A7836" s="14"/>
      <c r="B7836" s="15"/>
      <c r="C7836" s="16"/>
      <c r="J7836" s="9"/>
    </row>
    <row r="7837">
      <c r="A7837" s="14"/>
      <c r="B7837" s="15"/>
      <c r="C7837" s="16"/>
      <c r="J7837" s="9"/>
    </row>
    <row r="7838">
      <c r="A7838" s="14"/>
      <c r="B7838" s="15"/>
      <c r="C7838" s="16"/>
      <c r="J7838" s="9"/>
    </row>
    <row r="7839">
      <c r="A7839" s="14"/>
      <c r="B7839" s="15"/>
      <c r="C7839" s="16"/>
      <c r="J7839" s="9"/>
    </row>
    <row r="7840">
      <c r="A7840" s="14"/>
      <c r="B7840" s="15"/>
      <c r="C7840" s="16"/>
      <c r="J7840" s="9"/>
    </row>
    <row r="7841">
      <c r="A7841" s="14"/>
      <c r="B7841" s="15"/>
      <c r="C7841" s="16"/>
      <c r="J7841" s="9"/>
    </row>
    <row r="7842">
      <c r="A7842" s="14"/>
      <c r="B7842" s="15"/>
      <c r="C7842" s="16"/>
      <c r="J7842" s="9"/>
    </row>
    <row r="7843">
      <c r="A7843" s="14"/>
      <c r="B7843" s="15"/>
      <c r="C7843" s="16"/>
      <c r="J7843" s="9"/>
    </row>
    <row r="7844">
      <c r="A7844" s="14"/>
      <c r="B7844" s="15"/>
      <c r="C7844" s="16"/>
      <c r="J7844" s="9"/>
    </row>
    <row r="7845">
      <c r="A7845" s="14"/>
      <c r="B7845" s="15"/>
      <c r="C7845" s="16"/>
      <c r="J7845" s="9"/>
    </row>
    <row r="7846">
      <c r="A7846" s="14"/>
      <c r="B7846" s="15"/>
      <c r="C7846" s="16"/>
      <c r="J7846" s="9"/>
    </row>
    <row r="7847">
      <c r="A7847" s="14"/>
      <c r="B7847" s="15"/>
      <c r="C7847" s="16"/>
      <c r="J7847" s="9"/>
    </row>
    <row r="7848">
      <c r="A7848" s="14"/>
      <c r="B7848" s="15"/>
      <c r="C7848" s="16"/>
      <c r="J7848" s="9"/>
    </row>
    <row r="7849">
      <c r="A7849" s="14"/>
      <c r="B7849" s="15"/>
      <c r="C7849" s="16"/>
      <c r="J7849" s="9"/>
    </row>
    <row r="7850">
      <c r="A7850" s="14"/>
      <c r="B7850" s="15"/>
      <c r="C7850" s="16"/>
      <c r="J7850" s="9"/>
    </row>
    <row r="7851">
      <c r="A7851" s="14"/>
      <c r="B7851" s="15"/>
      <c r="C7851" s="16"/>
      <c r="J7851" s="9"/>
    </row>
    <row r="7852">
      <c r="A7852" s="14"/>
      <c r="B7852" s="15"/>
      <c r="C7852" s="16"/>
      <c r="J7852" s="9"/>
    </row>
    <row r="7853">
      <c r="A7853" s="14"/>
      <c r="B7853" s="15"/>
      <c r="C7853" s="16"/>
      <c r="J7853" s="9"/>
    </row>
    <row r="7854">
      <c r="A7854" s="14"/>
      <c r="B7854" s="15"/>
      <c r="C7854" s="16"/>
      <c r="J7854" s="9"/>
    </row>
    <row r="7855">
      <c r="A7855" s="14"/>
      <c r="B7855" s="15"/>
      <c r="C7855" s="16"/>
      <c r="J7855" s="9"/>
    </row>
    <row r="7856">
      <c r="A7856" s="14"/>
      <c r="B7856" s="15"/>
      <c r="C7856" s="16"/>
      <c r="J7856" s="9"/>
    </row>
    <row r="7857">
      <c r="A7857" s="14"/>
      <c r="B7857" s="15"/>
      <c r="C7857" s="16"/>
      <c r="J7857" s="9"/>
    </row>
    <row r="7858">
      <c r="A7858" s="14"/>
      <c r="B7858" s="15"/>
      <c r="C7858" s="16"/>
      <c r="J7858" s="9"/>
    </row>
    <row r="7859">
      <c r="A7859" s="14"/>
      <c r="B7859" s="15"/>
      <c r="C7859" s="16"/>
      <c r="J7859" s="9"/>
    </row>
    <row r="7860">
      <c r="A7860" s="14"/>
      <c r="B7860" s="15"/>
      <c r="C7860" s="16"/>
      <c r="J7860" s="9"/>
    </row>
    <row r="7861">
      <c r="A7861" s="14"/>
      <c r="B7861" s="15"/>
      <c r="C7861" s="16"/>
      <c r="J7861" s="9"/>
    </row>
    <row r="7862">
      <c r="A7862" s="14"/>
      <c r="B7862" s="15"/>
      <c r="C7862" s="16"/>
      <c r="J7862" s="9"/>
    </row>
    <row r="7863">
      <c r="A7863" s="14"/>
      <c r="B7863" s="15"/>
      <c r="C7863" s="16"/>
      <c r="J7863" s="9"/>
    </row>
    <row r="7864">
      <c r="A7864" s="14"/>
      <c r="B7864" s="15"/>
      <c r="C7864" s="16"/>
      <c r="J7864" s="9"/>
    </row>
    <row r="7865">
      <c r="A7865" s="14"/>
      <c r="B7865" s="15"/>
      <c r="C7865" s="16"/>
      <c r="J7865" s="9"/>
    </row>
    <row r="7866">
      <c r="A7866" s="14"/>
      <c r="B7866" s="15"/>
      <c r="C7866" s="16"/>
      <c r="J7866" s="9"/>
    </row>
    <row r="7867">
      <c r="A7867" s="14"/>
      <c r="B7867" s="15"/>
      <c r="C7867" s="16"/>
      <c r="J7867" s="9"/>
    </row>
    <row r="7868">
      <c r="A7868" s="14"/>
      <c r="B7868" s="15"/>
      <c r="C7868" s="16"/>
      <c r="J7868" s="9"/>
    </row>
    <row r="7869">
      <c r="A7869" s="14"/>
      <c r="B7869" s="15"/>
      <c r="C7869" s="16"/>
      <c r="J7869" s="9"/>
    </row>
    <row r="7870">
      <c r="A7870" s="14"/>
      <c r="B7870" s="15"/>
      <c r="C7870" s="16"/>
      <c r="J7870" s="9"/>
    </row>
    <row r="7871">
      <c r="A7871" s="14"/>
      <c r="B7871" s="15"/>
      <c r="C7871" s="16"/>
      <c r="J7871" s="9"/>
    </row>
    <row r="7872">
      <c r="A7872" s="14"/>
      <c r="B7872" s="15"/>
      <c r="C7872" s="16"/>
      <c r="J7872" s="9"/>
    </row>
    <row r="7873">
      <c r="A7873" s="14"/>
      <c r="B7873" s="15"/>
      <c r="C7873" s="16"/>
      <c r="J7873" s="9"/>
    </row>
    <row r="7874">
      <c r="A7874" s="14"/>
      <c r="B7874" s="15"/>
      <c r="C7874" s="16"/>
      <c r="J7874" s="9"/>
    </row>
    <row r="7875">
      <c r="A7875" s="14"/>
      <c r="B7875" s="15"/>
      <c r="C7875" s="16"/>
      <c r="J7875" s="9"/>
    </row>
    <row r="7876">
      <c r="A7876" s="14"/>
      <c r="B7876" s="15"/>
      <c r="C7876" s="16"/>
      <c r="J7876" s="9"/>
    </row>
    <row r="7877">
      <c r="A7877" s="14"/>
      <c r="B7877" s="15"/>
      <c r="C7877" s="16"/>
      <c r="J7877" s="9"/>
    </row>
    <row r="7878">
      <c r="A7878" s="14"/>
      <c r="B7878" s="15"/>
      <c r="C7878" s="16"/>
      <c r="J7878" s="9"/>
    </row>
    <row r="7879">
      <c r="A7879" s="14"/>
      <c r="B7879" s="15"/>
      <c r="C7879" s="16"/>
      <c r="J7879" s="9"/>
    </row>
    <row r="7880">
      <c r="A7880" s="14"/>
      <c r="B7880" s="15"/>
      <c r="C7880" s="16"/>
      <c r="J7880" s="9"/>
    </row>
    <row r="7881">
      <c r="A7881" s="14"/>
      <c r="B7881" s="15"/>
      <c r="C7881" s="16"/>
      <c r="J7881" s="9"/>
    </row>
    <row r="7882">
      <c r="A7882" s="14"/>
      <c r="B7882" s="15"/>
      <c r="C7882" s="16"/>
      <c r="J7882" s="9"/>
    </row>
    <row r="7883">
      <c r="A7883" s="14"/>
      <c r="B7883" s="15"/>
      <c r="C7883" s="16"/>
      <c r="J7883" s="9"/>
    </row>
    <row r="7884">
      <c r="A7884" s="14"/>
      <c r="B7884" s="15"/>
      <c r="C7884" s="16"/>
      <c r="J7884" s="9"/>
    </row>
    <row r="7885">
      <c r="A7885" s="14"/>
      <c r="B7885" s="15"/>
      <c r="C7885" s="16"/>
      <c r="J7885" s="9"/>
    </row>
    <row r="7886">
      <c r="A7886" s="14"/>
      <c r="B7886" s="15"/>
      <c r="C7886" s="16"/>
      <c r="J7886" s="9"/>
    </row>
    <row r="7887">
      <c r="A7887" s="14"/>
      <c r="B7887" s="15"/>
      <c r="C7887" s="16"/>
      <c r="J7887" s="9"/>
    </row>
    <row r="7888">
      <c r="A7888" s="14"/>
      <c r="B7888" s="15"/>
      <c r="C7888" s="16"/>
      <c r="J7888" s="9"/>
    </row>
    <row r="7889">
      <c r="A7889" s="14"/>
      <c r="B7889" s="15"/>
      <c r="C7889" s="16"/>
      <c r="J7889" s="9"/>
    </row>
    <row r="7890">
      <c r="A7890" s="14"/>
      <c r="B7890" s="15"/>
      <c r="C7890" s="16"/>
      <c r="J7890" s="9"/>
    </row>
    <row r="7891">
      <c r="A7891" s="14"/>
      <c r="B7891" s="15"/>
      <c r="C7891" s="16"/>
      <c r="J7891" s="9"/>
    </row>
    <row r="7892">
      <c r="A7892" s="14"/>
      <c r="B7892" s="15"/>
      <c r="C7892" s="16"/>
      <c r="J7892" s="9"/>
    </row>
    <row r="7893">
      <c r="A7893" s="14"/>
      <c r="B7893" s="15"/>
      <c r="C7893" s="16"/>
      <c r="J7893" s="9"/>
    </row>
    <row r="7894">
      <c r="A7894" s="14"/>
      <c r="B7894" s="15"/>
      <c r="C7894" s="16"/>
      <c r="J7894" s="9"/>
    </row>
    <row r="7895">
      <c r="A7895" s="14"/>
      <c r="B7895" s="15"/>
      <c r="C7895" s="16"/>
      <c r="J7895" s="9"/>
    </row>
    <row r="7896">
      <c r="A7896" s="14"/>
      <c r="B7896" s="15"/>
      <c r="C7896" s="16"/>
      <c r="J7896" s="9"/>
    </row>
    <row r="7897">
      <c r="A7897" s="14"/>
      <c r="B7897" s="15"/>
      <c r="C7897" s="16"/>
      <c r="J7897" s="9"/>
    </row>
    <row r="7898">
      <c r="A7898" s="14"/>
      <c r="B7898" s="15"/>
      <c r="C7898" s="16"/>
      <c r="J7898" s="9"/>
    </row>
    <row r="7899">
      <c r="A7899" s="14"/>
      <c r="B7899" s="15"/>
      <c r="C7899" s="16"/>
      <c r="J7899" s="9"/>
    </row>
    <row r="7900">
      <c r="A7900" s="14"/>
      <c r="B7900" s="15"/>
      <c r="C7900" s="16"/>
      <c r="J7900" s="9"/>
    </row>
    <row r="7901">
      <c r="A7901" s="14"/>
      <c r="B7901" s="15"/>
      <c r="C7901" s="16"/>
      <c r="J7901" s="9"/>
    </row>
    <row r="7902">
      <c r="A7902" s="14"/>
      <c r="B7902" s="15"/>
      <c r="C7902" s="16"/>
      <c r="J7902" s="9"/>
    </row>
    <row r="7903">
      <c r="A7903" s="14"/>
      <c r="B7903" s="15"/>
      <c r="C7903" s="16"/>
      <c r="J7903" s="9"/>
    </row>
    <row r="7904">
      <c r="A7904" s="14"/>
      <c r="B7904" s="15"/>
      <c r="C7904" s="16"/>
      <c r="J7904" s="9"/>
    </row>
    <row r="7905">
      <c r="A7905" s="14"/>
      <c r="B7905" s="15"/>
      <c r="C7905" s="16"/>
      <c r="J7905" s="9"/>
    </row>
    <row r="7906">
      <c r="A7906" s="14"/>
      <c r="B7906" s="15"/>
      <c r="C7906" s="16"/>
      <c r="J7906" s="9"/>
    </row>
    <row r="7907">
      <c r="A7907" s="14"/>
      <c r="B7907" s="15"/>
      <c r="C7907" s="16"/>
      <c r="J7907" s="9"/>
    </row>
    <row r="7908">
      <c r="A7908" s="14"/>
      <c r="B7908" s="15"/>
      <c r="C7908" s="16"/>
      <c r="J7908" s="9"/>
    </row>
    <row r="7909">
      <c r="A7909" s="14"/>
      <c r="B7909" s="15"/>
      <c r="C7909" s="16"/>
      <c r="J7909" s="9"/>
    </row>
    <row r="7910">
      <c r="A7910" s="14"/>
      <c r="B7910" s="15"/>
      <c r="C7910" s="16"/>
      <c r="J7910" s="9"/>
    </row>
    <row r="7911">
      <c r="A7911" s="14"/>
      <c r="B7911" s="15"/>
      <c r="C7911" s="16"/>
      <c r="J7911" s="9"/>
    </row>
    <row r="7912">
      <c r="A7912" s="14"/>
      <c r="B7912" s="15"/>
      <c r="C7912" s="16"/>
      <c r="J7912" s="9"/>
    </row>
    <row r="7913">
      <c r="A7913" s="14"/>
      <c r="B7913" s="15"/>
      <c r="C7913" s="16"/>
      <c r="J7913" s="9"/>
    </row>
    <row r="7914">
      <c r="A7914" s="14"/>
      <c r="B7914" s="15"/>
      <c r="C7914" s="16"/>
      <c r="J7914" s="9"/>
    </row>
    <row r="7915">
      <c r="A7915" s="14"/>
      <c r="B7915" s="15"/>
      <c r="C7915" s="16"/>
      <c r="J7915" s="9"/>
    </row>
    <row r="7916">
      <c r="A7916" s="14"/>
      <c r="B7916" s="15"/>
      <c r="C7916" s="16"/>
      <c r="J7916" s="9"/>
    </row>
    <row r="7917">
      <c r="A7917" s="14"/>
      <c r="B7917" s="15"/>
      <c r="C7917" s="16"/>
      <c r="J7917" s="9"/>
    </row>
    <row r="7918">
      <c r="A7918" s="14"/>
      <c r="B7918" s="15"/>
      <c r="C7918" s="16"/>
      <c r="J7918" s="9"/>
    </row>
    <row r="7919">
      <c r="A7919" s="14"/>
      <c r="B7919" s="15"/>
      <c r="C7919" s="16"/>
      <c r="J7919" s="9"/>
    </row>
    <row r="7920">
      <c r="A7920" s="14"/>
      <c r="B7920" s="15"/>
      <c r="C7920" s="16"/>
      <c r="J7920" s="9"/>
    </row>
    <row r="7921">
      <c r="A7921" s="14"/>
      <c r="B7921" s="15"/>
      <c r="C7921" s="16"/>
      <c r="J7921" s="9"/>
    </row>
    <row r="7922">
      <c r="A7922" s="14"/>
      <c r="B7922" s="15"/>
      <c r="C7922" s="16"/>
      <c r="J7922" s="9"/>
    </row>
    <row r="7923">
      <c r="A7923" s="14"/>
      <c r="B7923" s="15"/>
      <c r="C7923" s="16"/>
      <c r="J7923" s="9"/>
    </row>
    <row r="7924">
      <c r="A7924" s="14"/>
      <c r="B7924" s="15"/>
      <c r="C7924" s="16"/>
      <c r="J7924" s="9"/>
    </row>
    <row r="7925">
      <c r="A7925" s="14"/>
      <c r="B7925" s="15"/>
      <c r="C7925" s="16"/>
      <c r="J7925" s="9"/>
    </row>
    <row r="7926">
      <c r="A7926" s="14"/>
      <c r="B7926" s="15"/>
      <c r="C7926" s="16"/>
      <c r="J7926" s="9"/>
    </row>
    <row r="7927">
      <c r="A7927" s="14"/>
      <c r="B7927" s="15"/>
      <c r="C7927" s="16"/>
      <c r="J7927" s="9"/>
    </row>
    <row r="7928">
      <c r="A7928" s="14"/>
      <c r="B7928" s="15"/>
      <c r="C7928" s="16"/>
      <c r="J7928" s="9"/>
    </row>
    <row r="7929">
      <c r="A7929" s="14"/>
      <c r="B7929" s="15"/>
      <c r="C7929" s="16"/>
      <c r="J7929" s="9"/>
    </row>
    <row r="7930">
      <c r="A7930" s="14"/>
      <c r="B7930" s="15"/>
      <c r="C7930" s="16"/>
      <c r="J7930" s="9"/>
    </row>
    <row r="7931">
      <c r="A7931" s="14"/>
      <c r="B7931" s="15"/>
      <c r="C7931" s="16"/>
      <c r="J7931" s="9"/>
    </row>
    <row r="7932">
      <c r="A7932" s="14"/>
      <c r="B7932" s="15"/>
      <c r="C7932" s="16"/>
      <c r="J7932" s="9"/>
    </row>
    <row r="7933">
      <c r="A7933" s="14"/>
      <c r="B7933" s="15"/>
      <c r="C7933" s="16"/>
      <c r="J7933" s="9"/>
    </row>
    <row r="7934">
      <c r="A7934" s="14"/>
      <c r="B7934" s="15"/>
      <c r="C7934" s="16"/>
      <c r="J7934" s="9"/>
    </row>
    <row r="7935">
      <c r="A7935" s="14"/>
      <c r="B7935" s="15"/>
      <c r="C7935" s="16"/>
      <c r="J7935" s="9"/>
    </row>
    <row r="7936">
      <c r="A7936" s="14"/>
      <c r="B7936" s="15"/>
      <c r="C7936" s="16"/>
      <c r="J7936" s="9"/>
    </row>
    <row r="7937">
      <c r="A7937" s="14"/>
      <c r="B7937" s="15"/>
      <c r="C7937" s="16"/>
      <c r="J7937" s="9"/>
    </row>
    <row r="7938">
      <c r="A7938" s="14"/>
      <c r="B7938" s="15"/>
      <c r="C7938" s="16"/>
      <c r="J7938" s="9"/>
    </row>
    <row r="7939">
      <c r="A7939" s="14"/>
      <c r="B7939" s="15"/>
      <c r="C7939" s="16"/>
      <c r="J7939" s="9"/>
    </row>
    <row r="7940">
      <c r="A7940" s="14"/>
      <c r="B7940" s="15"/>
      <c r="C7940" s="16"/>
      <c r="J7940" s="9"/>
    </row>
    <row r="7941">
      <c r="A7941" s="14"/>
      <c r="B7941" s="15"/>
      <c r="C7941" s="16"/>
      <c r="J7941" s="9"/>
    </row>
    <row r="7942">
      <c r="A7942" s="14"/>
      <c r="B7942" s="15"/>
      <c r="C7942" s="16"/>
      <c r="J7942" s="9"/>
    </row>
    <row r="7943">
      <c r="A7943" s="14"/>
      <c r="B7943" s="15"/>
      <c r="C7943" s="16"/>
      <c r="J7943" s="9"/>
    </row>
    <row r="7944">
      <c r="A7944" s="14"/>
      <c r="B7944" s="15"/>
      <c r="C7944" s="16"/>
      <c r="J7944" s="9"/>
    </row>
    <row r="7945">
      <c r="A7945" s="14"/>
      <c r="B7945" s="15"/>
      <c r="C7945" s="16"/>
      <c r="J7945" s="9"/>
    </row>
    <row r="7946">
      <c r="A7946" s="14"/>
      <c r="B7946" s="15"/>
      <c r="C7946" s="16"/>
      <c r="J7946" s="9"/>
    </row>
    <row r="7947">
      <c r="A7947" s="14"/>
      <c r="B7947" s="15"/>
      <c r="C7947" s="16"/>
      <c r="J7947" s="9"/>
    </row>
    <row r="7948">
      <c r="A7948" s="14"/>
      <c r="B7948" s="15"/>
      <c r="C7948" s="16"/>
      <c r="J7948" s="9"/>
    </row>
    <row r="7949">
      <c r="A7949" s="14"/>
      <c r="B7949" s="15"/>
      <c r="C7949" s="16"/>
      <c r="J7949" s="9"/>
    </row>
    <row r="7950">
      <c r="A7950" s="14"/>
      <c r="B7950" s="15"/>
      <c r="C7950" s="16"/>
      <c r="J7950" s="9"/>
    </row>
    <row r="7951">
      <c r="A7951" s="14"/>
      <c r="B7951" s="15"/>
      <c r="C7951" s="16"/>
      <c r="J7951" s="9"/>
    </row>
    <row r="7952">
      <c r="A7952" s="14"/>
      <c r="B7952" s="15"/>
      <c r="C7952" s="16"/>
      <c r="J7952" s="9"/>
    </row>
    <row r="7953">
      <c r="A7953" s="14"/>
      <c r="B7953" s="15"/>
      <c r="C7953" s="16"/>
      <c r="J7953" s="9"/>
    </row>
    <row r="7954">
      <c r="A7954" s="14"/>
      <c r="B7954" s="15"/>
      <c r="C7954" s="16"/>
      <c r="J7954" s="9"/>
    </row>
    <row r="7955">
      <c r="A7955" s="14"/>
      <c r="B7955" s="15"/>
      <c r="C7955" s="16"/>
      <c r="J7955" s="9"/>
    </row>
    <row r="7956">
      <c r="A7956" s="14"/>
      <c r="B7956" s="15"/>
      <c r="C7956" s="16"/>
      <c r="J7956" s="9"/>
    </row>
    <row r="7957">
      <c r="A7957" s="14"/>
      <c r="B7957" s="15"/>
      <c r="C7957" s="16"/>
      <c r="J7957" s="9"/>
    </row>
    <row r="7958">
      <c r="A7958" s="14"/>
      <c r="B7958" s="15"/>
      <c r="C7958" s="16"/>
      <c r="J7958" s="9"/>
    </row>
    <row r="7959">
      <c r="A7959" s="14"/>
      <c r="B7959" s="15"/>
      <c r="C7959" s="16"/>
      <c r="J7959" s="9"/>
    </row>
    <row r="7960">
      <c r="A7960" s="14"/>
      <c r="B7960" s="15"/>
      <c r="C7960" s="16"/>
      <c r="J7960" s="9"/>
    </row>
    <row r="7961">
      <c r="A7961" s="14"/>
      <c r="B7961" s="15"/>
      <c r="C7961" s="16"/>
      <c r="J7961" s="9"/>
    </row>
    <row r="7962">
      <c r="A7962" s="14"/>
      <c r="B7962" s="15"/>
      <c r="C7962" s="16"/>
      <c r="J7962" s="9"/>
    </row>
    <row r="7963">
      <c r="A7963" s="14"/>
      <c r="B7963" s="15"/>
      <c r="C7963" s="16"/>
      <c r="J7963" s="9"/>
    </row>
    <row r="7964">
      <c r="A7964" s="14"/>
      <c r="B7964" s="15"/>
      <c r="C7964" s="16"/>
      <c r="J7964" s="9"/>
    </row>
    <row r="7965">
      <c r="A7965" s="14"/>
      <c r="B7965" s="15"/>
      <c r="C7965" s="16"/>
      <c r="J7965" s="9"/>
    </row>
    <row r="7966">
      <c r="A7966" s="14"/>
      <c r="B7966" s="15"/>
      <c r="C7966" s="16"/>
      <c r="J7966" s="9"/>
    </row>
    <row r="7967">
      <c r="A7967" s="14"/>
      <c r="B7967" s="15"/>
      <c r="C7967" s="16"/>
      <c r="J7967" s="9"/>
    </row>
    <row r="7968">
      <c r="A7968" s="14"/>
      <c r="B7968" s="15"/>
      <c r="C7968" s="16"/>
      <c r="J7968" s="9"/>
    </row>
    <row r="7969">
      <c r="A7969" s="14"/>
      <c r="B7969" s="15"/>
      <c r="C7969" s="16"/>
      <c r="J7969" s="9"/>
    </row>
    <row r="7970">
      <c r="A7970" s="14"/>
      <c r="B7970" s="15"/>
      <c r="C7970" s="16"/>
      <c r="J7970" s="9"/>
    </row>
    <row r="7971">
      <c r="A7971" s="14"/>
      <c r="B7971" s="15"/>
      <c r="C7971" s="16"/>
      <c r="J7971" s="9"/>
    </row>
    <row r="7972">
      <c r="A7972" s="14"/>
      <c r="B7972" s="15"/>
      <c r="C7972" s="16"/>
      <c r="J7972" s="9"/>
    </row>
    <row r="7973">
      <c r="A7973" s="14"/>
      <c r="B7973" s="15"/>
      <c r="C7973" s="16"/>
      <c r="J7973" s="9"/>
    </row>
    <row r="7974">
      <c r="A7974" s="14"/>
      <c r="B7974" s="15"/>
      <c r="C7974" s="16"/>
      <c r="J7974" s="9"/>
    </row>
    <row r="7975">
      <c r="A7975" s="14"/>
      <c r="B7975" s="15"/>
      <c r="C7975" s="16"/>
      <c r="J7975" s="9"/>
    </row>
    <row r="7976">
      <c r="A7976" s="14"/>
      <c r="B7976" s="15"/>
      <c r="C7976" s="16"/>
      <c r="J7976" s="9"/>
    </row>
    <row r="7977">
      <c r="A7977" s="14"/>
      <c r="B7977" s="15"/>
      <c r="C7977" s="16"/>
      <c r="J7977" s="9"/>
    </row>
    <row r="7978">
      <c r="A7978" s="14"/>
      <c r="B7978" s="15"/>
      <c r="C7978" s="16"/>
      <c r="J7978" s="9"/>
    </row>
    <row r="7979">
      <c r="A7979" s="14"/>
      <c r="B7979" s="15"/>
      <c r="C7979" s="16"/>
      <c r="J7979" s="9"/>
    </row>
    <row r="7980">
      <c r="A7980" s="14"/>
      <c r="B7980" s="15"/>
      <c r="C7980" s="16"/>
      <c r="J7980" s="9"/>
    </row>
    <row r="7981">
      <c r="A7981" s="14"/>
      <c r="B7981" s="15"/>
      <c r="C7981" s="16"/>
      <c r="J7981" s="9"/>
    </row>
    <row r="7982">
      <c r="A7982" s="14"/>
      <c r="B7982" s="15"/>
      <c r="C7982" s="16"/>
      <c r="J7982" s="9"/>
    </row>
    <row r="7983">
      <c r="A7983" s="14"/>
      <c r="B7983" s="15"/>
      <c r="C7983" s="16"/>
      <c r="J7983" s="9"/>
    </row>
    <row r="7984">
      <c r="A7984" s="14"/>
      <c r="B7984" s="15"/>
      <c r="C7984" s="16"/>
      <c r="J7984" s="9"/>
    </row>
    <row r="7985">
      <c r="A7985" s="14"/>
      <c r="B7985" s="15"/>
      <c r="C7985" s="16"/>
      <c r="J7985" s="9"/>
    </row>
    <row r="7986">
      <c r="A7986" s="14"/>
      <c r="B7986" s="15"/>
      <c r="C7986" s="16"/>
      <c r="J7986" s="9"/>
    </row>
    <row r="7987">
      <c r="A7987" s="14"/>
      <c r="B7987" s="15"/>
      <c r="C7987" s="16"/>
      <c r="J7987" s="9"/>
    </row>
    <row r="7988">
      <c r="A7988" s="14"/>
      <c r="B7988" s="15"/>
      <c r="C7988" s="16"/>
      <c r="J7988" s="9"/>
    </row>
    <row r="7989">
      <c r="A7989" s="14"/>
      <c r="B7989" s="15"/>
      <c r="C7989" s="16"/>
      <c r="J7989" s="9"/>
    </row>
    <row r="7990">
      <c r="A7990" s="14"/>
      <c r="B7990" s="15"/>
      <c r="C7990" s="16"/>
      <c r="J7990" s="9"/>
    </row>
    <row r="7991">
      <c r="A7991" s="14"/>
      <c r="B7991" s="15"/>
      <c r="C7991" s="16"/>
      <c r="J7991" s="9"/>
    </row>
    <row r="7992">
      <c r="A7992" s="14"/>
      <c r="B7992" s="15"/>
      <c r="C7992" s="16"/>
      <c r="J7992" s="9"/>
    </row>
    <row r="7993">
      <c r="A7993" s="14"/>
      <c r="B7993" s="15"/>
      <c r="C7993" s="16"/>
      <c r="J7993" s="9"/>
    </row>
    <row r="7994">
      <c r="A7994" s="14"/>
      <c r="B7994" s="15"/>
      <c r="C7994" s="16"/>
      <c r="J7994" s="9"/>
    </row>
    <row r="7995">
      <c r="A7995" s="14"/>
      <c r="B7995" s="15"/>
      <c r="C7995" s="16"/>
      <c r="J7995" s="9"/>
    </row>
    <row r="7996">
      <c r="A7996" s="14"/>
      <c r="B7996" s="15"/>
      <c r="C7996" s="16"/>
      <c r="J7996" s="9"/>
    </row>
    <row r="7997">
      <c r="A7997" s="14"/>
      <c r="B7997" s="15"/>
      <c r="C7997" s="16"/>
      <c r="J7997" s="9"/>
    </row>
    <row r="7998">
      <c r="A7998" s="14"/>
      <c r="B7998" s="15"/>
      <c r="C7998" s="16"/>
      <c r="J7998" s="9"/>
    </row>
    <row r="7999">
      <c r="A7999" s="14"/>
      <c r="B7999" s="15"/>
      <c r="C7999" s="16"/>
      <c r="J7999" s="9"/>
    </row>
    <row r="8000">
      <c r="A8000" s="14"/>
      <c r="B8000" s="15"/>
      <c r="C8000" s="16"/>
      <c r="J8000" s="9"/>
    </row>
    <row r="8001">
      <c r="A8001" s="14"/>
      <c r="B8001" s="15"/>
      <c r="C8001" s="16"/>
      <c r="J8001" s="9"/>
    </row>
    <row r="8002">
      <c r="A8002" s="14"/>
      <c r="B8002" s="15"/>
      <c r="C8002" s="16"/>
      <c r="J8002" s="9"/>
    </row>
    <row r="8003">
      <c r="A8003" s="14"/>
      <c r="B8003" s="15"/>
      <c r="C8003" s="16"/>
      <c r="J8003" s="9"/>
    </row>
    <row r="8004">
      <c r="A8004" s="14"/>
      <c r="B8004" s="15"/>
      <c r="C8004" s="16"/>
      <c r="J8004" s="9"/>
    </row>
    <row r="8005">
      <c r="A8005" s="14"/>
      <c r="B8005" s="15"/>
      <c r="C8005" s="16"/>
      <c r="J8005" s="9"/>
    </row>
    <row r="8006">
      <c r="A8006" s="14"/>
      <c r="B8006" s="15"/>
      <c r="C8006" s="16"/>
      <c r="J8006" s="9"/>
    </row>
    <row r="8007">
      <c r="A8007" s="14"/>
      <c r="B8007" s="15"/>
      <c r="C8007" s="16"/>
      <c r="J8007" s="9"/>
    </row>
    <row r="8008">
      <c r="A8008" s="14"/>
      <c r="B8008" s="15"/>
      <c r="C8008" s="16"/>
      <c r="J8008" s="9"/>
    </row>
    <row r="8009">
      <c r="A8009" s="14"/>
      <c r="B8009" s="15"/>
      <c r="C8009" s="16"/>
      <c r="J8009" s="9"/>
    </row>
    <row r="8010">
      <c r="A8010" s="14"/>
      <c r="B8010" s="15"/>
      <c r="C8010" s="16"/>
      <c r="J8010" s="9"/>
    </row>
    <row r="8011">
      <c r="A8011" s="14"/>
      <c r="B8011" s="15"/>
      <c r="C8011" s="16"/>
      <c r="J8011" s="9"/>
    </row>
    <row r="8012">
      <c r="A8012" s="14"/>
      <c r="B8012" s="15"/>
      <c r="C8012" s="16"/>
      <c r="J8012" s="9"/>
    </row>
    <row r="8013">
      <c r="A8013" s="14"/>
      <c r="B8013" s="15"/>
      <c r="C8013" s="16"/>
      <c r="J8013" s="9"/>
    </row>
    <row r="8014">
      <c r="A8014" s="14"/>
      <c r="B8014" s="15"/>
      <c r="C8014" s="16"/>
      <c r="J8014" s="9"/>
    </row>
    <row r="8015">
      <c r="A8015" s="14"/>
      <c r="B8015" s="15"/>
      <c r="C8015" s="16"/>
      <c r="J8015" s="9"/>
    </row>
    <row r="8016">
      <c r="A8016" s="14"/>
      <c r="B8016" s="15"/>
      <c r="C8016" s="16"/>
      <c r="J8016" s="9"/>
    </row>
    <row r="8017">
      <c r="A8017" s="14"/>
      <c r="B8017" s="15"/>
      <c r="C8017" s="16"/>
      <c r="J8017" s="9"/>
    </row>
    <row r="8018">
      <c r="A8018" s="14"/>
      <c r="B8018" s="15"/>
      <c r="C8018" s="16"/>
      <c r="J8018" s="9"/>
    </row>
    <row r="8019">
      <c r="A8019" s="14"/>
      <c r="B8019" s="15"/>
      <c r="C8019" s="16"/>
      <c r="J8019" s="9"/>
    </row>
    <row r="8020">
      <c r="A8020" s="14"/>
      <c r="B8020" s="15"/>
      <c r="C8020" s="16"/>
      <c r="J8020" s="9"/>
    </row>
    <row r="8021">
      <c r="A8021" s="14"/>
      <c r="B8021" s="15"/>
      <c r="C8021" s="16"/>
      <c r="J8021" s="9"/>
    </row>
    <row r="8022">
      <c r="A8022" s="14"/>
      <c r="B8022" s="15"/>
      <c r="C8022" s="16"/>
      <c r="J8022" s="9"/>
    </row>
    <row r="8023">
      <c r="A8023" s="14"/>
      <c r="B8023" s="15"/>
      <c r="C8023" s="16"/>
      <c r="J8023" s="9"/>
    </row>
    <row r="8024">
      <c r="A8024" s="14"/>
      <c r="B8024" s="15"/>
      <c r="C8024" s="16"/>
      <c r="J8024" s="9"/>
    </row>
    <row r="8025">
      <c r="A8025" s="14"/>
      <c r="B8025" s="15"/>
      <c r="C8025" s="16"/>
      <c r="J8025" s="9"/>
    </row>
    <row r="8026">
      <c r="A8026" s="14"/>
      <c r="B8026" s="15"/>
      <c r="C8026" s="16"/>
      <c r="J8026" s="9"/>
    </row>
    <row r="8027">
      <c r="A8027" s="14"/>
      <c r="B8027" s="15"/>
      <c r="C8027" s="16"/>
      <c r="J8027" s="9"/>
    </row>
    <row r="8028">
      <c r="A8028" s="14"/>
      <c r="B8028" s="15"/>
      <c r="C8028" s="16"/>
      <c r="J8028" s="9"/>
    </row>
    <row r="8029">
      <c r="A8029" s="14"/>
      <c r="B8029" s="15"/>
      <c r="C8029" s="16"/>
      <c r="J8029" s="9"/>
    </row>
    <row r="8030">
      <c r="A8030" s="14"/>
      <c r="B8030" s="15"/>
      <c r="C8030" s="16"/>
      <c r="J8030" s="9"/>
    </row>
    <row r="8031">
      <c r="A8031" s="14"/>
      <c r="B8031" s="15"/>
      <c r="C8031" s="16"/>
      <c r="J8031" s="9"/>
    </row>
    <row r="8032">
      <c r="A8032" s="14"/>
      <c r="B8032" s="15"/>
      <c r="C8032" s="16"/>
      <c r="J8032" s="9"/>
    </row>
    <row r="8033">
      <c r="A8033" s="14"/>
      <c r="B8033" s="15"/>
      <c r="C8033" s="16"/>
      <c r="J8033" s="9"/>
    </row>
    <row r="8034">
      <c r="A8034" s="14"/>
      <c r="B8034" s="15"/>
      <c r="C8034" s="16"/>
      <c r="J8034" s="9"/>
    </row>
    <row r="8035">
      <c r="A8035" s="14"/>
      <c r="B8035" s="15"/>
      <c r="C8035" s="16"/>
      <c r="J8035" s="9"/>
    </row>
    <row r="8036">
      <c r="A8036" s="14"/>
      <c r="B8036" s="15"/>
      <c r="C8036" s="16"/>
      <c r="J8036" s="9"/>
    </row>
    <row r="8037">
      <c r="A8037" s="14"/>
      <c r="B8037" s="15"/>
      <c r="C8037" s="16"/>
      <c r="J8037" s="9"/>
    </row>
    <row r="8038">
      <c r="A8038" s="14"/>
      <c r="B8038" s="15"/>
      <c r="C8038" s="16"/>
      <c r="J8038" s="9"/>
    </row>
    <row r="8039">
      <c r="A8039" s="14"/>
      <c r="B8039" s="15"/>
      <c r="C8039" s="16"/>
      <c r="J8039" s="9"/>
    </row>
    <row r="8040">
      <c r="A8040" s="14"/>
      <c r="B8040" s="15"/>
      <c r="C8040" s="16"/>
      <c r="J8040" s="9"/>
    </row>
    <row r="8041">
      <c r="A8041" s="14"/>
      <c r="B8041" s="15"/>
      <c r="C8041" s="16"/>
      <c r="J8041" s="9"/>
    </row>
    <row r="8042">
      <c r="A8042" s="14"/>
      <c r="B8042" s="15"/>
      <c r="C8042" s="16"/>
      <c r="J8042" s="9"/>
    </row>
    <row r="8043">
      <c r="A8043" s="14"/>
      <c r="B8043" s="15"/>
      <c r="C8043" s="16"/>
      <c r="J8043" s="9"/>
    </row>
    <row r="8044">
      <c r="A8044" s="14"/>
      <c r="B8044" s="15"/>
      <c r="C8044" s="16"/>
      <c r="J8044" s="9"/>
    </row>
    <row r="8045">
      <c r="A8045" s="14"/>
      <c r="B8045" s="15"/>
      <c r="C8045" s="16"/>
      <c r="J8045" s="9"/>
    </row>
    <row r="8046">
      <c r="A8046" s="14"/>
      <c r="B8046" s="15"/>
      <c r="C8046" s="16"/>
      <c r="J8046" s="9"/>
    </row>
    <row r="8047">
      <c r="A8047" s="14"/>
      <c r="B8047" s="15"/>
      <c r="C8047" s="16"/>
      <c r="J8047" s="9"/>
    </row>
    <row r="8048">
      <c r="A8048" s="14"/>
      <c r="B8048" s="15"/>
      <c r="C8048" s="16"/>
      <c r="J8048" s="9"/>
    </row>
    <row r="8049">
      <c r="A8049" s="14"/>
      <c r="B8049" s="15"/>
      <c r="C8049" s="16"/>
      <c r="J8049" s="9"/>
    </row>
    <row r="8050">
      <c r="A8050" s="14"/>
      <c r="B8050" s="15"/>
      <c r="C8050" s="16"/>
      <c r="J8050" s="9"/>
    </row>
    <row r="8051">
      <c r="A8051" s="14"/>
      <c r="B8051" s="15"/>
      <c r="C8051" s="16"/>
      <c r="J8051" s="9"/>
    </row>
    <row r="8052">
      <c r="A8052" s="14"/>
      <c r="B8052" s="15"/>
      <c r="C8052" s="16"/>
      <c r="J8052" s="9"/>
    </row>
    <row r="8053">
      <c r="A8053" s="14"/>
      <c r="B8053" s="15"/>
      <c r="C8053" s="16"/>
      <c r="J8053" s="9"/>
    </row>
    <row r="8054">
      <c r="A8054" s="14"/>
      <c r="B8054" s="15"/>
      <c r="C8054" s="16"/>
      <c r="J8054" s="9"/>
    </row>
    <row r="8055">
      <c r="A8055" s="14"/>
      <c r="B8055" s="15"/>
      <c r="C8055" s="16"/>
      <c r="J8055" s="9"/>
    </row>
    <row r="8056">
      <c r="A8056" s="14"/>
      <c r="B8056" s="15"/>
      <c r="C8056" s="16"/>
      <c r="J8056" s="9"/>
    </row>
    <row r="8057">
      <c r="A8057" s="14"/>
      <c r="B8057" s="15"/>
      <c r="C8057" s="16"/>
      <c r="J8057" s="9"/>
    </row>
    <row r="8058">
      <c r="A8058" s="14"/>
      <c r="B8058" s="15"/>
      <c r="C8058" s="16"/>
      <c r="J8058" s="9"/>
    </row>
    <row r="8059">
      <c r="A8059" s="14"/>
      <c r="B8059" s="15"/>
      <c r="C8059" s="16"/>
      <c r="J8059" s="9"/>
    </row>
    <row r="8060">
      <c r="A8060" s="14"/>
      <c r="B8060" s="15"/>
      <c r="C8060" s="16"/>
      <c r="J8060" s="9"/>
    </row>
    <row r="8061">
      <c r="A8061" s="14"/>
      <c r="B8061" s="15"/>
      <c r="C8061" s="16"/>
      <c r="J8061" s="9"/>
    </row>
    <row r="8062">
      <c r="A8062" s="14"/>
      <c r="B8062" s="15"/>
      <c r="C8062" s="16"/>
      <c r="J8062" s="9"/>
    </row>
    <row r="8063">
      <c r="A8063" s="14"/>
      <c r="B8063" s="15"/>
      <c r="C8063" s="16"/>
      <c r="J8063" s="9"/>
    </row>
    <row r="8064">
      <c r="A8064" s="14"/>
      <c r="B8064" s="15"/>
      <c r="C8064" s="16"/>
      <c r="J8064" s="9"/>
    </row>
    <row r="8065">
      <c r="A8065" s="14"/>
      <c r="B8065" s="15"/>
      <c r="C8065" s="16"/>
      <c r="J8065" s="9"/>
    </row>
    <row r="8066">
      <c r="A8066" s="14"/>
      <c r="B8066" s="15"/>
      <c r="C8066" s="16"/>
      <c r="J8066" s="9"/>
    </row>
    <row r="8067">
      <c r="A8067" s="14"/>
      <c r="B8067" s="15"/>
      <c r="C8067" s="16"/>
      <c r="J8067" s="9"/>
    </row>
    <row r="8068">
      <c r="A8068" s="14"/>
      <c r="B8068" s="15"/>
      <c r="C8068" s="16"/>
      <c r="J8068" s="9"/>
    </row>
    <row r="8069">
      <c r="A8069" s="14"/>
      <c r="B8069" s="15"/>
      <c r="C8069" s="16"/>
      <c r="J8069" s="9"/>
    </row>
    <row r="8070">
      <c r="A8070" s="14"/>
      <c r="B8070" s="15"/>
      <c r="C8070" s="16"/>
      <c r="J8070" s="9"/>
    </row>
    <row r="8071">
      <c r="A8071" s="14"/>
      <c r="B8071" s="15"/>
      <c r="C8071" s="16"/>
      <c r="J8071" s="9"/>
    </row>
    <row r="8072">
      <c r="A8072" s="14"/>
      <c r="B8072" s="15"/>
      <c r="C8072" s="16"/>
      <c r="J8072" s="9"/>
    </row>
    <row r="8073">
      <c r="A8073" s="14"/>
      <c r="B8073" s="15"/>
      <c r="C8073" s="16"/>
      <c r="J8073" s="9"/>
    </row>
    <row r="8074">
      <c r="A8074" s="14"/>
      <c r="B8074" s="15"/>
      <c r="C8074" s="16"/>
      <c r="J8074" s="9"/>
    </row>
    <row r="8075">
      <c r="A8075" s="14"/>
      <c r="B8075" s="15"/>
      <c r="C8075" s="16"/>
      <c r="J8075" s="9"/>
    </row>
    <row r="8076">
      <c r="A8076" s="14"/>
      <c r="B8076" s="15"/>
      <c r="C8076" s="16"/>
      <c r="J8076" s="9"/>
    </row>
    <row r="8077">
      <c r="A8077" s="14"/>
      <c r="B8077" s="15"/>
      <c r="C8077" s="16"/>
      <c r="J8077" s="9"/>
    </row>
    <row r="8078">
      <c r="A8078" s="14"/>
      <c r="B8078" s="15"/>
      <c r="C8078" s="16"/>
      <c r="J8078" s="9"/>
    </row>
    <row r="8079">
      <c r="A8079" s="14"/>
      <c r="B8079" s="15"/>
      <c r="C8079" s="16"/>
      <c r="J8079" s="9"/>
    </row>
    <row r="8080">
      <c r="A8080" s="14"/>
      <c r="B8080" s="15"/>
      <c r="C8080" s="16"/>
      <c r="J8080" s="9"/>
    </row>
    <row r="8081">
      <c r="A8081" s="14"/>
      <c r="B8081" s="15"/>
      <c r="C8081" s="16"/>
      <c r="J8081" s="9"/>
    </row>
    <row r="8082">
      <c r="A8082" s="14"/>
      <c r="B8082" s="15"/>
      <c r="C8082" s="16"/>
      <c r="J8082" s="9"/>
    </row>
    <row r="8083">
      <c r="A8083" s="14"/>
      <c r="B8083" s="15"/>
      <c r="C8083" s="16"/>
      <c r="J8083" s="9"/>
    </row>
    <row r="8084">
      <c r="A8084" s="14"/>
      <c r="B8084" s="15"/>
      <c r="C8084" s="16"/>
      <c r="J8084" s="9"/>
    </row>
    <row r="8085">
      <c r="A8085" s="14"/>
      <c r="B8085" s="15"/>
      <c r="C8085" s="16"/>
      <c r="J8085" s="9"/>
    </row>
    <row r="8086">
      <c r="A8086" s="14"/>
      <c r="B8086" s="15"/>
      <c r="C8086" s="16"/>
      <c r="J8086" s="9"/>
    </row>
    <row r="8087">
      <c r="A8087" s="14"/>
      <c r="B8087" s="15"/>
      <c r="C8087" s="16"/>
      <c r="J8087" s="9"/>
    </row>
    <row r="8088">
      <c r="A8088" s="14"/>
      <c r="B8088" s="15"/>
      <c r="C8088" s="16"/>
      <c r="J8088" s="9"/>
    </row>
    <row r="8089">
      <c r="A8089" s="14"/>
      <c r="B8089" s="15"/>
      <c r="C8089" s="16"/>
      <c r="J8089" s="9"/>
    </row>
    <row r="8090">
      <c r="A8090" s="14"/>
      <c r="B8090" s="15"/>
      <c r="C8090" s="16"/>
      <c r="J8090" s="9"/>
    </row>
    <row r="8091">
      <c r="A8091" s="14"/>
      <c r="B8091" s="15"/>
      <c r="C8091" s="16"/>
      <c r="J8091" s="9"/>
    </row>
    <row r="8092">
      <c r="A8092" s="14"/>
      <c r="B8092" s="15"/>
      <c r="C8092" s="16"/>
      <c r="J8092" s="9"/>
    </row>
    <row r="8093">
      <c r="A8093" s="14"/>
      <c r="B8093" s="15"/>
      <c r="C8093" s="16"/>
      <c r="J8093" s="9"/>
    </row>
    <row r="8094">
      <c r="A8094" s="14"/>
      <c r="B8094" s="15"/>
      <c r="C8094" s="16"/>
      <c r="J8094" s="9"/>
    </row>
    <row r="8095">
      <c r="A8095" s="14"/>
      <c r="B8095" s="15"/>
      <c r="C8095" s="16"/>
      <c r="J8095" s="9"/>
    </row>
    <row r="8096">
      <c r="A8096" s="14"/>
      <c r="B8096" s="15"/>
      <c r="C8096" s="16"/>
      <c r="J8096" s="9"/>
    </row>
    <row r="8097">
      <c r="A8097" s="14"/>
      <c r="B8097" s="15"/>
      <c r="C8097" s="16"/>
      <c r="J8097" s="9"/>
    </row>
    <row r="8098">
      <c r="A8098" s="14"/>
      <c r="B8098" s="15"/>
      <c r="C8098" s="16"/>
      <c r="J8098" s="9"/>
    </row>
    <row r="8099">
      <c r="A8099" s="14"/>
      <c r="B8099" s="15"/>
      <c r="C8099" s="16"/>
      <c r="J8099" s="9"/>
    </row>
    <row r="8100">
      <c r="A8100" s="14"/>
      <c r="B8100" s="15"/>
      <c r="C8100" s="16"/>
      <c r="J8100" s="9"/>
    </row>
    <row r="8101">
      <c r="A8101" s="14"/>
      <c r="B8101" s="15"/>
      <c r="C8101" s="16"/>
      <c r="J8101" s="9"/>
    </row>
    <row r="8102">
      <c r="A8102" s="14"/>
      <c r="B8102" s="15"/>
      <c r="C8102" s="16"/>
      <c r="J8102" s="9"/>
    </row>
    <row r="8103">
      <c r="A8103" s="14"/>
      <c r="B8103" s="15"/>
      <c r="C8103" s="16"/>
      <c r="J8103" s="9"/>
    </row>
    <row r="8104">
      <c r="A8104" s="14"/>
      <c r="B8104" s="15"/>
      <c r="C8104" s="16"/>
      <c r="J8104" s="9"/>
    </row>
    <row r="8105">
      <c r="A8105" s="14"/>
      <c r="B8105" s="15"/>
      <c r="C8105" s="16"/>
      <c r="J8105" s="9"/>
    </row>
    <row r="8106">
      <c r="A8106" s="14"/>
      <c r="B8106" s="15"/>
      <c r="C8106" s="16"/>
      <c r="J8106" s="9"/>
    </row>
    <row r="8107">
      <c r="A8107" s="14"/>
      <c r="B8107" s="15"/>
      <c r="C8107" s="16"/>
      <c r="J8107" s="9"/>
    </row>
    <row r="8108">
      <c r="A8108" s="14"/>
      <c r="B8108" s="15"/>
      <c r="C8108" s="16"/>
      <c r="J8108" s="9"/>
    </row>
    <row r="8109">
      <c r="A8109" s="14"/>
      <c r="B8109" s="15"/>
      <c r="C8109" s="16"/>
      <c r="J8109" s="9"/>
    </row>
    <row r="8110">
      <c r="A8110" s="14"/>
      <c r="B8110" s="15"/>
      <c r="C8110" s="16"/>
      <c r="J8110" s="9"/>
    </row>
    <row r="8111">
      <c r="A8111" s="14"/>
      <c r="B8111" s="15"/>
      <c r="C8111" s="16"/>
      <c r="J8111" s="9"/>
    </row>
    <row r="8112">
      <c r="A8112" s="14"/>
      <c r="B8112" s="15"/>
      <c r="C8112" s="16"/>
      <c r="J8112" s="9"/>
    </row>
    <row r="8113">
      <c r="A8113" s="14"/>
      <c r="B8113" s="15"/>
      <c r="C8113" s="16"/>
      <c r="J8113" s="9"/>
    </row>
    <row r="8114">
      <c r="A8114" s="14"/>
      <c r="B8114" s="15"/>
      <c r="C8114" s="16"/>
      <c r="J8114" s="9"/>
    </row>
    <row r="8115">
      <c r="A8115" s="14"/>
      <c r="B8115" s="15"/>
      <c r="C8115" s="16"/>
      <c r="J8115" s="9"/>
    </row>
    <row r="8116">
      <c r="A8116" s="14"/>
      <c r="B8116" s="15"/>
      <c r="C8116" s="16"/>
      <c r="J8116" s="9"/>
    </row>
    <row r="8117">
      <c r="A8117" s="14"/>
      <c r="B8117" s="15"/>
      <c r="C8117" s="16"/>
      <c r="J8117" s="9"/>
    </row>
    <row r="8118">
      <c r="A8118" s="14"/>
      <c r="B8118" s="15"/>
      <c r="C8118" s="16"/>
      <c r="J8118" s="9"/>
    </row>
    <row r="8119">
      <c r="A8119" s="14"/>
      <c r="B8119" s="15"/>
      <c r="C8119" s="16"/>
      <c r="J8119" s="9"/>
    </row>
    <row r="8120">
      <c r="A8120" s="14"/>
      <c r="B8120" s="15"/>
      <c r="C8120" s="16"/>
      <c r="J8120" s="9"/>
    </row>
    <row r="8121">
      <c r="A8121" s="14"/>
      <c r="B8121" s="15"/>
      <c r="C8121" s="16"/>
      <c r="J8121" s="9"/>
    </row>
    <row r="8122">
      <c r="A8122" s="14"/>
      <c r="B8122" s="15"/>
      <c r="C8122" s="16"/>
      <c r="J8122" s="9"/>
    </row>
    <row r="8123">
      <c r="A8123" s="14"/>
      <c r="B8123" s="15"/>
      <c r="C8123" s="16"/>
      <c r="J8123" s="9"/>
    </row>
    <row r="8124">
      <c r="A8124" s="14"/>
      <c r="B8124" s="15"/>
      <c r="C8124" s="16"/>
      <c r="J8124" s="9"/>
    </row>
    <row r="8125">
      <c r="A8125" s="14"/>
      <c r="B8125" s="15"/>
      <c r="C8125" s="16"/>
      <c r="J8125" s="9"/>
    </row>
    <row r="8126">
      <c r="A8126" s="14"/>
      <c r="B8126" s="15"/>
      <c r="C8126" s="16"/>
      <c r="J8126" s="9"/>
    </row>
    <row r="8127">
      <c r="A8127" s="14"/>
      <c r="B8127" s="15"/>
      <c r="C8127" s="16"/>
      <c r="J8127" s="9"/>
    </row>
    <row r="8128">
      <c r="A8128" s="14"/>
      <c r="B8128" s="15"/>
      <c r="C8128" s="16"/>
      <c r="J8128" s="9"/>
    </row>
    <row r="8129">
      <c r="A8129" s="14"/>
      <c r="B8129" s="15"/>
      <c r="C8129" s="16"/>
      <c r="J8129" s="9"/>
    </row>
    <row r="8130">
      <c r="A8130" s="14"/>
      <c r="B8130" s="15"/>
      <c r="C8130" s="16"/>
      <c r="J8130" s="9"/>
    </row>
    <row r="8131">
      <c r="A8131" s="14"/>
      <c r="B8131" s="15"/>
      <c r="C8131" s="16"/>
      <c r="J8131" s="9"/>
    </row>
    <row r="8132">
      <c r="A8132" s="14"/>
      <c r="B8132" s="15"/>
      <c r="C8132" s="16"/>
      <c r="J8132" s="9"/>
    </row>
    <row r="8133">
      <c r="A8133" s="14"/>
      <c r="B8133" s="15"/>
      <c r="C8133" s="16"/>
      <c r="J8133" s="9"/>
    </row>
    <row r="8134">
      <c r="A8134" s="14"/>
      <c r="B8134" s="15"/>
      <c r="C8134" s="16"/>
      <c r="J8134" s="9"/>
    </row>
    <row r="8135">
      <c r="A8135" s="14"/>
      <c r="B8135" s="15"/>
      <c r="C8135" s="16"/>
      <c r="J8135" s="9"/>
    </row>
    <row r="8136">
      <c r="A8136" s="14"/>
      <c r="B8136" s="15"/>
      <c r="C8136" s="16"/>
      <c r="J8136" s="9"/>
    </row>
    <row r="8137">
      <c r="A8137" s="14"/>
      <c r="B8137" s="15"/>
      <c r="C8137" s="16"/>
      <c r="J8137" s="9"/>
    </row>
    <row r="8138">
      <c r="A8138" s="14"/>
      <c r="B8138" s="15"/>
      <c r="C8138" s="16"/>
      <c r="J8138" s="9"/>
    </row>
    <row r="8139">
      <c r="A8139" s="14"/>
      <c r="B8139" s="15"/>
      <c r="C8139" s="16"/>
      <c r="J8139" s="9"/>
    </row>
    <row r="8140">
      <c r="A8140" s="14"/>
      <c r="B8140" s="15"/>
      <c r="C8140" s="16"/>
      <c r="J8140" s="9"/>
    </row>
    <row r="8141">
      <c r="A8141" s="14"/>
      <c r="B8141" s="15"/>
      <c r="C8141" s="16"/>
      <c r="J8141" s="9"/>
    </row>
    <row r="8142">
      <c r="A8142" s="14"/>
      <c r="B8142" s="15"/>
      <c r="C8142" s="16"/>
      <c r="J8142" s="9"/>
    </row>
    <row r="8143">
      <c r="A8143" s="14"/>
      <c r="B8143" s="15"/>
      <c r="C8143" s="16"/>
      <c r="J8143" s="9"/>
    </row>
    <row r="8144">
      <c r="A8144" s="14"/>
      <c r="B8144" s="15"/>
      <c r="C8144" s="16"/>
      <c r="J8144" s="9"/>
    </row>
    <row r="8145">
      <c r="A8145" s="14"/>
      <c r="B8145" s="15"/>
      <c r="C8145" s="16"/>
      <c r="J8145" s="9"/>
    </row>
    <row r="8146">
      <c r="A8146" s="14"/>
      <c r="B8146" s="15"/>
      <c r="C8146" s="16"/>
      <c r="J8146" s="9"/>
    </row>
    <row r="8147">
      <c r="A8147" s="14"/>
      <c r="B8147" s="15"/>
      <c r="C8147" s="16"/>
      <c r="J8147" s="9"/>
    </row>
    <row r="8148">
      <c r="A8148" s="14"/>
      <c r="B8148" s="15"/>
      <c r="C8148" s="16"/>
      <c r="J8148" s="9"/>
    </row>
    <row r="8149">
      <c r="A8149" s="14"/>
      <c r="B8149" s="15"/>
      <c r="C8149" s="16"/>
      <c r="J8149" s="9"/>
    </row>
    <row r="8150">
      <c r="A8150" s="14"/>
      <c r="B8150" s="15"/>
      <c r="C8150" s="16"/>
      <c r="J8150" s="9"/>
    </row>
    <row r="8151">
      <c r="A8151" s="14"/>
      <c r="B8151" s="15"/>
      <c r="C8151" s="16"/>
      <c r="J8151" s="9"/>
    </row>
    <row r="8152">
      <c r="A8152" s="14"/>
      <c r="B8152" s="15"/>
      <c r="C8152" s="16"/>
      <c r="J8152" s="9"/>
    </row>
    <row r="8153">
      <c r="A8153" s="14"/>
      <c r="B8153" s="15"/>
      <c r="C8153" s="16"/>
      <c r="J8153" s="9"/>
    </row>
    <row r="8154">
      <c r="A8154" s="14"/>
      <c r="B8154" s="15"/>
      <c r="C8154" s="16"/>
      <c r="J8154" s="9"/>
    </row>
    <row r="8155">
      <c r="A8155" s="14"/>
      <c r="B8155" s="15"/>
      <c r="C8155" s="16"/>
      <c r="J8155" s="9"/>
    </row>
    <row r="8156">
      <c r="A8156" s="14"/>
      <c r="B8156" s="15"/>
      <c r="C8156" s="16"/>
      <c r="J8156" s="9"/>
    </row>
    <row r="8157">
      <c r="A8157" s="14"/>
      <c r="B8157" s="15"/>
      <c r="C8157" s="16"/>
      <c r="J8157" s="9"/>
    </row>
    <row r="8158">
      <c r="A8158" s="14"/>
      <c r="B8158" s="15"/>
      <c r="C8158" s="16"/>
      <c r="J8158" s="9"/>
    </row>
    <row r="8159">
      <c r="A8159" s="14"/>
      <c r="B8159" s="15"/>
      <c r="C8159" s="16"/>
      <c r="J8159" s="9"/>
    </row>
    <row r="8160">
      <c r="A8160" s="14"/>
      <c r="B8160" s="15"/>
      <c r="C8160" s="16"/>
      <c r="J8160" s="9"/>
    </row>
    <row r="8161">
      <c r="A8161" s="14"/>
      <c r="B8161" s="15"/>
      <c r="C8161" s="16"/>
      <c r="J8161" s="9"/>
    </row>
    <row r="8162">
      <c r="A8162" s="14"/>
      <c r="B8162" s="15"/>
      <c r="C8162" s="16"/>
      <c r="J8162" s="9"/>
    </row>
    <row r="8163">
      <c r="A8163" s="14"/>
      <c r="B8163" s="15"/>
      <c r="C8163" s="16"/>
      <c r="J8163" s="9"/>
    </row>
    <row r="8164">
      <c r="A8164" s="14"/>
      <c r="B8164" s="15"/>
      <c r="C8164" s="16"/>
      <c r="J8164" s="9"/>
    </row>
    <row r="8165">
      <c r="A8165" s="14"/>
      <c r="B8165" s="15"/>
      <c r="C8165" s="16"/>
      <c r="J8165" s="9"/>
    </row>
    <row r="8166">
      <c r="A8166" s="14"/>
      <c r="B8166" s="15"/>
      <c r="C8166" s="16"/>
      <c r="J8166" s="9"/>
    </row>
    <row r="8167">
      <c r="A8167" s="14"/>
      <c r="B8167" s="15"/>
      <c r="C8167" s="16"/>
      <c r="J8167" s="9"/>
    </row>
    <row r="8168">
      <c r="A8168" s="14"/>
      <c r="B8168" s="15"/>
      <c r="C8168" s="16"/>
      <c r="J8168" s="9"/>
    </row>
    <row r="8169">
      <c r="A8169" s="14"/>
      <c r="B8169" s="15"/>
      <c r="C8169" s="16"/>
      <c r="J8169" s="9"/>
    </row>
    <row r="8170">
      <c r="A8170" s="14"/>
      <c r="B8170" s="15"/>
      <c r="C8170" s="16"/>
      <c r="J8170" s="9"/>
    </row>
    <row r="8171">
      <c r="A8171" s="14"/>
      <c r="B8171" s="15"/>
      <c r="C8171" s="16"/>
      <c r="J8171" s="9"/>
    </row>
    <row r="8172">
      <c r="A8172" s="14"/>
      <c r="B8172" s="15"/>
      <c r="C8172" s="16"/>
      <c r="J8172" s="9"/>
    </row>
    <row r="8173">
      <c r="A8173" s="14"/>
      <c r="B8173" s="15"/>
      <c r="C8173" s="16"/>
      <c r="J8173" s="9"/>
    </row>
    <row r="8174">
      <c r="A8174" s="14"/>
      <c r="B8174" s="15"/>
      <c r="C8174" s="16"/>
      <c r="J8174" s="9"/>
    </row>
    <row r="8175">
      <c r="A8175" s="14"/>
      <c r="B8175" s="15"/>
      <c r="C8175" s="16"/>
      <c r="J8175" s="9"/>
    </row>
    <row r="8176">
      <c r="A8176" s="14"/>
      <c r="B8176" s="15"/>
      <c r="C8176" s="16"/>
      <c r="J8176" s="9"/>
    </row>
    <row r="8177">
      <c r="A8177" s="14"/>
      <c r="B8177" s="15"/>
      <c r="C8177" s="16"/>
      <c r="J8177" s="9"/>
    </row>
    <row r="8178">
      <c r="A8178" s="14"/>
      <c r="B8178" s="15"/>
      <c r="C8178" s="16"/>
      <c r="J8178" s="9"/>
    </row>
    <row r="8179">
      <c r="A8179" s="14"/>
      <c r="B8179" s="15"/>
      <c r="C8179" s="16"/>
      <c r="J8179" s="9"/>
    </row>
    <row r="8180">
      <c r="A8180" s="14"/>
      <c r="B8180" s="15"/>
      <c r="C8180" s="16"/>
      <c r="J8180" s="9"/>
    </row>
    <row r="8181">
      <c r="A8181" s="14"/>
      <c r="B8181" s="15"/>
      <c r="C8181" s="16"/>
      <c r="J8181" s="9"/>
    </row>
    <row r="8182">
      <c r="A8182" s="14"/>
      <c r="B8182" s="15"/>
      <c r="C8182" s="16"/>
      <c r="J8182" s="9"/>
    </row>
    <row r="8183">
      <c r="A8183" s="14"/>
      <c r="B8183" s="15"/>
      <c r="C8183" s="16"/>
      <c r="J8183" s="9"/>
    </row>
    <row r="8184">
      <c r="A8184" s="14"/>
      <c r="B8184" s="15"/>
      <c r="C8184" s="16"/>
      <c r="J8184" s="9"/>
    </row>
    <row r="8185">
      <c r="A8185" s="14"/>
      <c r="B8185" s="15"/>
      <c r="C8185" s="16"/>
      <c r="J8185" s="9"/>
    </row>
    <row r="8186">
      <c r="A8186" s="14"/>
      <c r="B8186" s="15"/>
      <c r="C8186" s="16"/>
      <c r="J8186" s="9"/>
    </row>
    <row r="8187">
      <c r="A8187" s="14"/>
      <c r="B8187" s="15"/>
      <c r="C8187" s="16"/>
      <c r="J8187" s="9"/>
    </row>
    <row r="8188">
      <c r="A8188" s="14"/>
      <c r="B8188" s="15"/>
      <c r="C8188" s="16"/>
      <c r="J8188" s="9"/>
    </row>
    <row r="8189">
      <c r="A8189" s="14"/>
      <c r="B8189" s="15"/>
      <c r="C8189" s="16"/>
      <c r="J8189" s="9"/>
    </row>
    <row r="8190">
      <c r="A8190" s="14"/>
      <c r="B8190" s="15"/>
      <c r="C8190" s="16"/>
      <c r="J8190" s="9"/>
    </row>
    <row r="8191">
      <c r="A8191" s="14"/>
      <c r="B8191" s="15"/>
      <c r="C8191" s="16"/>
      <c r="J8191" s="9"/>
    </row>
    <row r="8192">
      <c r="A8192" s="14"/>
      <c r="B8192" s="15"/>
      <c r="C8192" s="16"/>
      <c r="J8192" s="9"/>
    </row>
    <row r="8193">
      <c r="A8193" s="14"/>
      <c r="B8193" s="15"/>
      <c r="C8193" s="16"/>
      <c r="J8193" s="9"/>
    </row>
    <row r="8194">
      <c r="A8194" s="14"/>
      <c r="B8194" s="15"/>
      <c r="C8194" s="16"/>
      <c r="J8194" s="9"/>
    </row>
    <row r="8195">
      <c r="A8195" s="14"/>
      <c r="B8195" s="15"/>
      <c r="C8195" s="16"/>
      <c r="J8195" s="9"/>
    </row>
    <row r="8196">
      <c r="A8196" s="14"/>
      <c r="B8196" s="15"/>
      <c r="C8196" s="16"/>
      <c r="J8196" s="9"/>
    </row>
    <row r="8197">
      <c r="A8197" s="14"/>
      <c r="B8197" s="15"/>
      <c r="C8197" s="16"/>
      <c r="J8197" s="9"/>
    </row>
    <row r="8198">
      <c r="A8198" s="14"/>
      <c r="B8198" s="15"/>
      <c r="C8198" s="16"/>
      <c r="J8198" s="9"/>
    </row>
    <row r="8199">
      <c r="A8199" s="14"/>
      <c r="B8199" s="15"/>
      <c r="C8199" s="16"/>
      <c r="J8199" s="9"/>
    </row>
    <row r="8200">
      <c r="A8200" s="14"/>
      <c r="B8200" s="15"/>
      <c r="C8200" s="16"/>
      <c r="J8200" s="9"/>
    </row>
    <row r="8201">
      <c r="A8201" s="14"/>
      <c r="B8201" s="15"/>
      <c r="C8201" s="16"/>
      <c r="J8201" s="9"/>
    </row>
    <row r="8202">
      <c r="A8202" s="14"/>
      <c r="B8202" s="15"/>
      <c r="C8202" s="16"/>
      <c r="J8202" s="9"/>
    </row>
    <row r="8203">
      <c r="A8203" s="14"/>
      <c r="B8203" s="15"/>
      <c r="C8203" s="16"/>
      <c r="J8203" s="9"/>
    </row>
    <row r="8204">
      <c r="A8204" s="14"/>
      <c r="B8204" s="15"/>
      <c r="C8204" s="16"/>
      <c r="J8204" s="9"/>
    </row>
    <row r="8205">
      <c r="A8205" s="14"/>
      <c r="B8205" s="15"/>
      <c r="C8205" s="16"/>
      <c r="J8205" s="9"/>
    </row>
    <row r="8206">
      <c r="A8206" s="17"/>
      <c r="B8206" s="18"/>
      <c r="C8206" s="19"/>
      <c r="J8206" s="2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25"/>
    <col customWidth="1" min="3" max="3" width="14.5"/>
    <col customWidth="1" min="6" max="6" width="14.63"/>
    <col customWidth="1" min="7" max="7" width="17.5"/>
    <col customWidth="1" min="27" max="27" width="15.25"/>
  </cols>
  <sheetData>
    <row r="1">
      <c r="A1" s="1" t="s">
        <v>0</v>
      </c>
      <c r="B1" s="2" t="s">
        <v>1</v>
      </c>
      <c r="C1" s="3" t="s">
        <v>2</v>
      </c>
      <c r="D1" s="21" t="s">
        <v>3</v>
      </c>
      <c r="F1" s="22" t="s">
        <v>3205</v>
      </c>
      <c r="G1" s="23" t="s">
        <v>3206</v>
      </c>
      <c r="J1" s="24" t="s">
        <v>3207</v>
      </c>
      <c r="K1" s="25" t="s">
        <v>5</v>
      </c>
      <c r="L1" s="25" t="s">
        <v>8</v>
      </c>
      <c r="M1" s="25" t="s">
        <v>33</v>
      </c>
      <c r="N1" s="25" t="s">
        <v>35</v>
      </c>
      <c r="O1" s="25" t="s">
        <v>44</v>
      </c>
      <c r="P1" s="25" t="s">
        <v>50</v>
      </c>
      <c r="Q1" s="25" t="s">
        <v>106</v>
      </c>
      <c r="R1" s="25" t="s">
        <v>126</v>
      </c>
      <c r="S1" s="25" t="s">
        <v>142</v>
      </c>
      <c r="T1" s="25" t="s">
        <v>241</v>
      </c>
      <c r="U1" s="25" t="s">
        <v>353</v>
      </c>
      <c r="V1" s="25" t="s">
        <v>362</v>
      </c>
      <c r="W1" s="25" t="s">
        <v>375</v>
      </c>
      <c r="X1" s="25" t="s">
        <v>627</v>
      </c>
      <c r="Y1" s="25" t="s">
        <v>629</v>
      </c>
      <c r="Z1" s="25" t="s">
        <v>634</v>
      </c>
      <c r="AA1" s="25" t="s">
        <v>636</v>
      </c>
      <c r="AB1" s="25" t="s">
        <v>643</v>
      </c>
      <c r="AC1" s="25" t="s">
        <v>649</v>
      </c>
      <c r="AD1" s="25" t="s">
        <v>931</v>
      </c>
      <c r="AE1" s="25" t="s">
        <v>955</v>
      </c>
      <c r="AF1" s="25" t="s">
        <v>1005</v>
      </c>
      <c r="AG1" s="25" t="s">
        <v>1054</v>
      </c>
      <c r="AH1" s="25" t="s">
        <v>1060</v>
      </c>
      <c r="AI1" s="25" t="s">
        <v>1065</v>
      </c>
      <c r="AJ1" s="25" t="s">
        <v>1148</v>
      </c>
      <c r="AK1" s="25" t="s">
        <v>1151</v>
      </c>
      <c r="AL1" s="25" t="s">
        <v>1238</v>
      </c>
      <c r="AM1" s="25" t="s">
        <v>1568</v>
      </c>
      <c r="AN1" s="25" t="s">
        <v>1577</v>
      </c>
      <c r="AO1" s="25" t="s">
        <v>1580</v>
      </c>
      <c r="AP1" s="25" t="s">
        <v>1582</v>
      </c>
      <c r="AQ1" s="25" t="s">
        <v>1650</v>
      </c>
      <c r="AR1" s="25" t="s">
        <v>2039</v>
      </c>
      <c r="AS1" s="25" t="s">
        <v>2055</v>
      </c>
      <c r="AT1" s="25" t="s">
        <v>2125</v>
      </c>
    </row>
    <row r="2">
      <c r="A2" s="5" t="s">
        <v>4</v>
      </c>
      <c r="B2" s="6">
        <v>250.0</v>
      </c>
      <c r="C2" s="7" t="s">
        <v>5</v>
      </c>
      <c r="D2" s="15">
        <v>75230.0</v>
      </c>
      <c r="F2" s="15">
        <f>IFERROR(__xludf.DUMMYFUNCTION("UNIQUE(D2:D8206)"),75230.0)</f>
        <v>75230</v>
      </c>
      <c r="G2" s="26">
        <f t="shared" ref="G2:G260" si="2">SUMIF(D:D,F2,B:B)</f>
        <v>166577.7</v>
      </c>
      <c r="J2" s="27">
        <f>IFERROR(__xludf.DUMMYFUNCTION("unique(D2:D8206)"),75230.0)</f>
        <v>75230</v>
      </c>
      <c r="K2" s="28">
        <f t="shared" ref="K2:AT2" si="1">sumifs($B:$B,$D:$D,$J2,$C:$C,K$1)</f>
        <v>5180</v>
      </c>
      <c r="L2" s="28">
        <f t="shared" si="1"/>
        <v>5216</v>
      </c>
      <c r="M2" s="28">
        <f t="shared" si="1"/>
        <v>1800</v>
      </c>
      <c r="N2" s="28">
        <f t="shared" si="1"/>
        <v>50</v>
      </c>
      <c r="O2" s="28">
        <f t="shared" si="1"/>
        <v>0</v>
      </c>
      <c r="P2" s="28">
        <f t="shared" si="1"/>
        <v>500</v>
      </c>
      <c r="Q2" s="28">
        <f t="shared" si="1"/>
        <v>0</v>
      </c>
      <c r="R2" s="28">
        <f t="shared" si="1"/>
        <v>0</v>
      </c>
      <c r="S2" s="28">
        <f t="shared" si="1"/>
        <v>0</v>
      </c>
      <c r="T2" s="28">
        <f t="shared" si="1"/>
        <v>0</v>
      </c>
      <c r="U2" s="28">
        <f t="shared" si="1"/>
        <v>0</v>
      </c>
      <c r="V2" s="28">
        <f t="shared" si="1"/>
        <v>0</v>
      </c>
      <c r="W2" s="28">
        <f t="shared" si="1"/>
        <v>150</v>
      </c>
      <c r="X2" s="28">
        <f t="shared" si="1"/>
        <v>1000</v>
      </c>
      <c r="Y2" s="28">
        <f t="shared" si="1"/>
        <v>500</v>
      </c>
      <c r="Z2" s="28">
        <f t="shared" si="1"/>
        <v>52383</v>
      </c>
      <c r="AA2" s="28">
        <f t="shared" si="1"/>
        <v>204</v>
      </c>
      <c r="AB2" s="28">
        <f t="shared" si="1"/>
        <v>0</v>
      </c>
      <c r="AC2" s="28">
        <f t="shared" si="1"/>
        <v>7444.7</v>
      </c>
      <c r="AD2" s="28">
        <f t="shared" si="1"/>
        <v>250</v>
      </c>
      <c r="AE2" s="28">
        <f t="shared" si="1"/>
        <v>0</v>
      </c>
      <c r="AF2" s="28">
        <f t="shared" si="1"/>
        <v>4150</v>
      </c>
      <c r="AG2" s="28">
        <f t="shared" si="1"/>
        <v>0</v>
      </c>
      <c r="AH2" s="28">
        <f t="shared" si="1"/>
        <v>500</v>
      </c>
      <c r="AI2" s="28">
        <f t="shared" si="1"/>
        <v>78125</v>
      </c>
      <c r="AJ2" s="28">
        <f t="shared" si="1"/>
        <v>1750</v>
      </c>
      <c r="AK2" s="28">
        <f t="shared" si="1"/>
        <v>3750</v>
      </c>
      <c r="AL2" s="28">
        <f t="shared" si="1"/>
        <v>1100</v>
      </c>
      <c r="AM2" s="28">
        <f t="shared" si="1"/>
        <v>0</v>
      </c>
      <c r="AN2" s="28">
        <f t="shared" si="1"/>
        <v>0</v>
      </c>
      <c r="AO2" s="28">
        <f t="shared" si="1"/>
        <v>0</v>
      </c>
      <c r="AP2" s="28">
        <f t="shared" si="1"/>
        <v>0</v>
      </c>
      <c r="AQ2" s="28">
        <f t="shared" si="1"/>
        <v>25</v>
      </c>
      <c r="AR2" s="28">
        <f t="shared" si="1"/>
        <v>0</v>
      </c>
      <c r="AS2" s="28">
        <f t="shared" si="1"/>
        <v>500</v>
      </c>
      <c r="AT2" s="28">
        <f t="shared" si="1"/>
        <v>2000</v>
      </c>
    </row>
    <row r="3">
      <c r="A3" s="10" t="s">
        <v>6</v>
      </c>
      <c r="B3" s="11">
        <v>500.0</v>
      </c>
      <c r="C3" s="12" t="s">
        <v>5</v>
      </c>
      <c r="D3" s="15">
        <v>75209.0</v>
      </c>
      <c r="F3" s="15">
        <f>IFERROR(__xludf.DUMMYFUNCTION("""COMPUTED_VALUE"""),75209.0)</f>
        <v>75209</v>
      </c>
      <c r="G3" s="26">
        <f t="shared" si="2"/>
        <v>57024.7</v>
      </c>
      <c r="J3" s="27">
        <f>IFERROR(__xludf.DUMMYFUNCTION("""COMPUTED_VALUE"""),75209.0)</f>
        <v>75209</v>
      </c>
      <c r="K3" s="28">
        <f t="shared" ref="K3:AT3" si="3">sumifs($B:$B,$D:$D,$J3,$C:$C,K$1)</f>
        <v>4425</v>
      </c>
      <c r="L3" s="28">
        <f t="shared" si="3"/>
        <v>0</v>
      </c>
      <c r="M3" s="28">
        <f t="shared" si="3"/>
        <v>2600</v>
      </c>
      <c r="N3" s="28">
        <f t="shared" si="3"/>
        <v>1350</v>
      </c>
      <c r="O3" s="28">
        <f t="shared" si="3"/>
        <v>0</v>
      </c>
      <c r="P3" s="28">
        <f t="shared" si="3"/>
        <v>2500</v>
      </c>
      <c r="Q3" s="28">
        <f t="shared" si="3"/>
        <v>0</v>
      </c>
      <c r="R3" s="28">
        <f t="shared" si="3"/>
        <v>200</v>
      </c>
      <c r="S3" s="28">
        <f t="shared" si="3"/>
        <v>350</v>
      </c>
      <c r="T3" s="28">
        <f t="shared" si="3"/>
        <v>0</v>
      </c>
      <c r="U3" s="28">
        <f t="shared" si="3"/>
        <v>0</v>
      </c>
      <c r="V3" s="28">
        <f t="shared" si="3"/>
        <v>0</v>
      </c>
      <c r="W3" s="28">
        <f t="shared" si="3"/>
        <v>500</v>
      </c>
      <c r="X3" s="28">
        <f t="shared" si="3"/>
        <v>0</v>
      </c>
      <c r="Y3" s="28">
        <f t="shared" si="3"/>
        <v>0</v>
      </c>
      <c r="Z3" s="28">
        <f t="shared" si="3"/>
        <v>2200</v>
      </c>
      <c r="AA3" s="28">
        <f t="shared" si="3"/>
        <v>0</v>
      </c>
      <c r="AB3" s="28">
        <f t="shared" si="3"/>
        <v>2000</v>
      </c>
      <c r="AC3" s="28">
        <f t="shared" si="3"/>
        <v>4299.7</v>
      </c>
      <c r="AD3" s="28">
        <f t="shared" si="3"/>
        <v>600</v>
      </c>
      <c r="AE3" s="28">
        <f t="shared" si="3"/>
        <v>0</v>
      </c>
      <c r="AF3" s="28">
        <f t="shared" si="3"/>
        <v>3600</v>
      </c>
      <c r="AG3" s="28">
        <f t="shared" si="3"/>
        <v>0</v>
      </c>
      <c r="AH3" s="28">
        <f t="shared" si="3"/>
        <v>350</v>
      </c>
      <c r="AI3" s="28">
        <f t="shared" si="3"/>
        <v>27450</v>
      </c>
      <c r="AJ3" s="28">
        <f t="shared" si="3"/>
        <v>0</v>
      </c>
      <c r="AK3" s="28">
        <f t="shared" si="3"/>
        <v>0</v>
      </c>
      <c r="AL3" s="28">
        <f t="shared" si="3"/>
        <v>600</v>
      </c>
      <c r="AM3" s="28">
        <f t="shared" si="3"/>
        <v>3000</v>
      </c>
      <c r="AN3" s="28">
        <f t="shared" si="3"/>
        <v>0</v>
      </c>
      <c r="AO3" s="28">
        <f t="shared" si="3"/>
        <v>0</v>
      </c>
      <c r="AP3" s="28">
        <f t="shared" si="3"/>
        <v>0</v>
      </c>
      <c r="AQ3" s="28">
        <f t="shared" si="3"/>
        <v>1000</v>
      </c>
      <c r="AR3" s="28">
        <f t="shared" si="3"/>
        <v>0</v>
      </c>
      <c r="AS3" s="28">
        <f t="shared" si="3"/>
        <v>0</v>
      </c>
      <c r="AT3" s="28">
        <f t="shared" si="3"/>
        <v>0</v>
      </c>
    </row>
    <row r="4">
      <c r="A4" s="10" t="s">
        <v>7</v>
      </c>
      <c r="B4" s="11">
        <v>100.0</v>
      </c>
      <c r="C4" s="12" t="s">
        <v>8</v>
      </c>
      <c r="D4" s="15">
        <v>75230.0</v>
      </c>
      <c r="F4" s="15">
        <f>IFERROR(__xludf.DUMMYFUNCTION("""COMPUTED_VALUE"""),75218.0)</f>
        <v>75218</v>
      </c>
      <c r="G4" s="26">
        <f t="shared" si="2"/>
        <v>20571.44</v>
      </c>
      <c r="J4" s="27">
        <f>IFERROR(__xludf.DUMMYFUNCTION("""COMPUTED_VALUE"""),75218.0)</f>
        <v>75218</v>
      </c>
      <c r="K4" s="28">
        <f t="shared" ref="K4:AT4" si="4">sumifs($B:$B,$D:$D,$J4,$C:$C,K$1)</f>
        <v>0</v>
      </c>
      <c r="L4" s="28">
        <f t="shared" si="4"/>
        <v>2000</v>
      </c>
      <c r="M4" s="28">
        <f t="shared" si="4"/>
        <v>0</v>
      </c>
      <c r="N4" s="28">
        <f t="shared" si="4"/>
        <v>350</v>
      </c>
      <c r="O4" s="28">
        <f t="shared" si="4"/>
        <v>0</v>
      </c>
      <c r="P4" s="28">
        <f t="shared" si="4"/>
        <v>450</v>
      </c>
      <c r="Q4" s="28">
        <f t="shared" si="4"/>
        <v>0</v>
      </c>
      <c r="R4" s="28">
        <f t="shared" si="4"/>
        <v>0</v>
      </c>
      <c r="S4" s="28">
        <f t="shared" si="4"/>
        <v>750</v>
      </c>
      <c r="T4" s="28">
        <f t="shared" si="4"/>
        <v>0</v>
      </c>
      <c r="U4" s="28">
        <f t="shared" si="4"/>
        <v>0</v>
      </c>
      <c r="V4" s="28">
        <f t="shared" si="4"/>
        <v>0</v>
      </c>
      <c r="W4" s="28">
        <f t="shared" si="4"/>
        <v>25</v>
      </c>
      <c r="X4" s="28">
        <f t="shared" si="4"/>
        <v>1000</v>
      </c>
      <c r="Y4" s="28">
        <f t="shared" si="4"/>
        <v>0</v>
      </c>
      <c r="Z4" s="28">
        <f t="shared" si="4"/>
        <v>1100</v>
      </c>
      <c r="AA4" s="28">
        <f t="shared" si="4"/>
        <v>1252</v>
      </c>
      <c r="AB4" s="28">
        <f t="shared" si="4"/>
        <v>0</v>
      </c>
      <c r="AC4" s="28">
        <f t="shared" si="4"/>
        <v>700</v>
      </c>
      <c r="AD4" s="28">
        <f t="shared" si="4"/>
        <v>0</v>
      </c>
      <c r="AE4" s="28">
        <f t="shared" si="4"/>
        <v>0</v>
      </c>
      <c r="AF4" s="28">
        <f t="shared" si="4"/>
        <v>5900</v>
      </c>
      <c r="AG4" s="28">
        <f t="shared" si="4"/>
        <v>0</v>
      </c>
      <c r="AH4" s="28">
        <f t="shared" si="4"/>
        <v>357.94</v>
      </c>
      <c r="AI4" s="28">
        <f t="shared" si="4"/>
        <v>4450</v>
      </c>
      <c r="AJ4" s="28">
        <f t="shared" si="4"/>
        <v>350</v>
      </c>
      <c r="AK4" s="28">
        <f t="shared" si="4"/>
        <v>50</v>
      </c>
      <c r="AL4" s="28">
        <f t="shared" si="4"/>
        <v>1250</v>
      </c>
      <c r="AM4" s="28">
        <f t="shared" si="4"/>
        <v>0</v>
      </c>
      <c r="AN4" s="28">
        <f t="shared" si="4"/>
        <v>0</v>
      </c>
      <c r="AO4" s="28">
        <f t="shared" si="4"/>
        <v>0</v>
      </c>
      <c r="AP4" s="28">
        <f t="shared" si="4"/>
        <v>0</v>
      </c>
      <c r="AQ4" s="28">
        <f t="shared" si="4"/>
        <v>0</v>
      </c>
      <c r="AR4" s="28">
        <f t="shared" si="4"/>
        <v>0</v>
      </c>
      <c r="AS4" s="28">
        <f t="shared" si="4"/>
        <v>586.5</v>
      </c>
      <c r="AT4" s="28">
        <f t="shared" si="4"/>
        <v>0</v>
      </c>
    </row>
    <row r="5">
      <c r="A5" s="10" t="s">
        <v>9</v>
      </c>
      <c r="B5" s="11">
        <v>1000.0</v>
      </c>
      <c r="C5" s="12" t="s">
        <v>8</v>
      </c>
      <c r="D5" s="15">
        <v>75218.0</v>
      </c>
      <c r="F5" s="15">
        <f>IFERROR(__xludf.DUMMYFUNCTION("""COMPUTED_VALUE"""),75244.0)</f>
        <v>75244</v>
      </c>
      <c r="G5" s="26">
        <f t="shared" si="2"/>
        <v>10152</v>
      </c>
      <c r="J5" s="27">
        <f>IFERROR(__xludf.DUMMYFUNCTION("""COMPUTED_VALUE"""),75244.0)</f>
        <v>75244</v>
      </c>
      <c r="K5" s="28">
        <f t="shared" ref="K5:AT5" si="5">sumifs($B:$B,$D:$D,$J5,$C:$C,K$1)</f>
        <v>2750</v>
      </c>
      <c r="L5" s="28">
        <f t="shared" si="5"/>
        <v>0</v>
      </c>
      <c r="M5" s="28">
        <f t="shared" si="5"/>
        <v>100</v>
      </c>
      <c r="N5" s="28">
        <f t="shared" si="5"/>
        <v>0</v>
      </c>
      <c r="O5" s="28">
        <f t="shared" si="5"/>
        <v>0</v>
      </c>
      <c r="P5" s="28">
        <f t="shared" si="5"/>
        <v>50</v>
      </c>
      <c r="Q5" s="28">
        <f t="shared" si="5"/>
        <v>0</v>
      </c>
      <c r="R5" s="28">
        <f t="shared" si="5"/>
        <v>0</v>
      </c>
      <c r="S5" s="28">
        <f t="shared" si="5"/>
        <v>0</v>
      </c>
      <c r="T5" s="28">
        <f t="shared" si="5"/>
        <v>0</v>
      </c>
      <c r="U5" s="28">
        <f t="shared" si="5"/>
        <v>0</v>
      </c>
      <c r="V5" s="28">
        <f t="shared" si="5"/>
        <v>0</v>
      </c>
      <c r="W5" s="28">
        <f t="shared" si="5"/>
        <v>0</v>
      </c>
      <c r="X5" s="28">
        <f t="shared" si="5"/>
        <v>0</v>
      </c>
      <c r="Y5" s="28">
        <f t="shared" si="5"/>
        <v>0</v>
      </c>
      <c r="Z5" s="28">
        <f t="shared" si="5"/>
        <v>0</v>
      </c>
      <c r="AA5" s="28">
        <f t="shared" si="5"/>
        <v>102</v>
      </c>
      <c r="AB5" s="28">
        <f t="shared" si="5"/>
        <v>0</v>
      </c>
      <c r="AC5" s="28">
        <f t="shared" si="5"/>
        <v>2000</v>
      </c>
      <c r="AD5" s="28">
        <f t="shared" si="5"/>
        <v>750</v>
      </c>
      <c r="AE5" s="28">
        <f t="shared" si="5"/>
        <v>1000</v>
      </c>
      <c r="AF5" s="28">
        <f t="shared" si="5"/>
        <v>1000</v>
      </c>
      <c r="AG5" s="28">
        <f t="shared" si="5"/>
        <v>0</v>
      </c>
      <c r="AH5" s="28">
        <f t="shared" si="5"/>
        <v>50</v>
      </c>
      <c r="AI5" s="28">
        <f t="shared" si="5"/>
        <v>600</v>
      </c>
      <c r="AJ5" s="28">
        <f t="shared" si="5"/>
        <v>1000</v>
      </c>
      <c r="AK5" s="28">
        <f t="shared" si="5"/>
        <v>500</v>
      </c>
      <c r="AL5" s="28">
        <f t="shared" si="5"/>
        <v>0</v>
      </c>
      <c r="AM5" s="28">
        <f t="shared" si="5"/>
        <v>0</v>
      </c>
      <c r="AN5" s="28">
        <f t="shared" si="5"/>
        <v>0</v>
      </c>
      <c r="AO5" s="28">
        <f t="shared" si="5"/>
        <v>0</v>
      </c>
      <c r="AP5" s="28">
        <f t="shared" si="5"/>
        <v>250</v>
      </c>
      <c r="AQ5" s="28">
        <f t="shared" si="5"/>
        <v>0</v>
      </c>
      <c r="AR5" s="28">
        <f t="shared" si="5"/>
        <v>0</v>
      </c>
      <c r="AS5" s="28">
        <f t="shared" si="5"/>
        <v>0</v>
      </c>
      <c r="AT5" s="28">
        <f t="shared" si="5"/>
        <v>0</v>
      </c>
    </row>
    <row r="6">
      <c r="A6" s="10" t="s">
        <v>10</v>
      </c>
      <c r="B6" s="11">
        <v>50.0</v>
      </c>
      <c r="C6" s="12" t="s">
        <v>5</v>
      </c>
      <c r="D6" s="15">
        <v>75230.0</v>
      </c>
      <c r="F6" s="15">
        <f>IFERROR(__xludf.DUMMYFUNCTION("""COMPUTED_VALUE"""),75203.0)</f>
        <v>75203</v>
      </c>
      <c r="G6" s="26">
        <f t="shared" si="2"/>
        <v>5089.7</v>
      </c>
      <c r="J6" s="27">
        <f>IFERROR(__xludf.DUMMYFUNCTION("""COMPUTED_VALUE"""),75203.0)</f>
        <v>75203</v>
      </c>
      <c r="K6" s="28">
        <f t="shared" ref="K6:AT6" si="6">sumifs($B:$B,$D:$D,$J6,$C:$C,K$1)</f>
        <v>250</v>
      </c>
      <c r="L6" s="28">
        <f t="shared" si="6"/>
        <v>0</v>
      </c>
      <c r="M6" s="28">
        <f t="shared" si="6"/>
        <v>500</v>
      </c>
      <c r="N6" s="28">
        <f t="shared" si="6"/>
        <v>50</v>
      </c>
      <c r="O6" s="28">
        <f t="shared" si="6"/>
        <v>0</v>
      </c>
      <c r="P6" s="28">
        <f t="shared" si="6"/>
        <v>750</v>
      </c>
      <c r="Q6" s="28">
        <f t="shared" si="6"/>
        <v>340</v>
      </c>
      <c r="R6" s="28">
        <f t="shared" si="6"/>
        <v>0</v>
      </c>
      <c r="S6" s="28">
        <f t="shared" si="6"/>
        <v>0</v>
      </c>
      <c r="T6" s="28">
        <f t="shared" si="6"/>
        <v>0</v>
      </c>
      <c r="U6" s="28">
        <f t="shared" si="6"/>
        <v>0</v>
      </c>
      <c r="V6" s="28">
        <f t="shared" si="6"/>
        <v>0</v>
      </c>
      <c r="W6" s="28">
        <f t="shared" si="6"/>
        <v>0</v>
      </c>
      <c r="X6" s="28">
        <f t="shared" si="6"/>
        <v>0</v>
      </c>
      <c r="Y6" s="28">
        <f t="shared" si="6"/>
        <v>0</v>
      </c>
      <c r="Z6" s="28">
        <f t="shared" si="6"/>
        <v>0</v>
      </c>
      <c r="AA6" s="28">
        <f t="shared" si="6"/>
        <v>0</v>
      </c>
      <c r="AB6" s="28">
        <f t="shared" si="6"/>
        <v>0</v>
      </c>
      <c r="AC6" s="28">
        <f t="shared" si="6"/>
        <v>1449.7</v>
      </c>
      <c r="AD6" s="28">
        <f t="shared" si="6"/>
        <v>0</v>
      </c>
      <c r="AE6" s="28">
        <f t="shared" si="6"/>
        <v>0</v>
      </c>
      <c r="AF6" s="28">
        <f t="shared" si="6"/>
        <v>100</v>
      </c>
      <c r="AG6" s="28">
        <f t="shared" si="6"/>
        <v>0</v>
      </c>
      <c r="AH6" s="28">
        <f t="shared" si="6"/>
        <v>0</v>
      </c>
      <c r="AI6" s="28">
        <f t="shared" si="6"/>
        <v>250</v>
      </c>
      <c r="AJ6" s="28">
        <f t="shared" si="6"/>
        <v>100</v>
      </c>
      <c r="AK6" s="28">
        <f t="shared" si="6"/>
        <v>1000</v>
      </c>
      <c r="AL6" s="28">
        <f t="shared" si="6"/>
        <v>100</v>
      </c>
      <c r="AM6" s="28">
        <f t="shared" si="6"/>
        <v>0</v>
      </c>
      <c r="AN6" s="28">
        <f t="shared" si="6"/>
        <v>0</v>
      </c>
      <c r="AO6" s="28">
        <f t="shared" si="6"/>
        <v>0</v>
      </c>
      <c r="AP6" s="28">
        <f t="shared" si="6"/>
        <v>0</v>
      </c>
      <c r="AQ6" s="28">
        <f t="shared" si="6"/>
        <v>200</v>
      </c>
      <c r="AR6" s="28">
        <f t="shared" si="6"/>
        <v>0</v>
      </c>
      <c r="AS6" s="28">
        <f t="shared" si="6"/>
        <v>0</v>
      </c>
      <c r="AT6" s="28">
        <f t="shared" si="6"/>
        <v>0</v>
      </c>
    </row>
    <row r="7">
      <c r="A7" s="10" t="s">
        <v>11</v>
      </c>
      <c r="B7" s="11">
        <v>1000.0</v>
      </c>
      <c r="C7" s="12" t="s">
        <v>8</v>
      </c>
      <c r="D7" s="15">
        <v>75218.0</v>
      </c>
      <c r="F7" s="15">
        <f>IFERROR(__xludf.DUMMYFUNCTION("""COMPUTED_VALUE"""),75248.0)</f>
        <v>75248</v>
      </c>
      <c r="G7" s="26">
        <f t="shared" si="2"/>
        <v>25065</v>
      </c>
      <c r="J7" s="27">
        <f>IFERROR(__xludf.DUMMYFUNCTION("""COMPUTED_VALUE"""),75248.0)</f>
        <v>75248</v>
      </c>
      <c r="K7" s="28">
        <f t="shared" ref="K7:AT7" si="7">sumifs($B:$B,$D:$D,$J7,$C:$C,K$1)</f>
        <v>25</v>
      </c>
      <c r="L7" s="28">
        <f t="shared" si="7"/>
        <v>0</v>
      </c>
      <c r="M7" s="28">
        <f t="shared" si="7"/>
        <v>2500</v>
      </c>
      <c r="N7" s="28">
        <f t="shared" si="7"/>
        <v>1050</v>
      </c>
      <c r="O7" s="28">
        <f t="shared" si="7"/>
        <v>0</v>
      </c>
      <c r="P7" s="28">
        <f t="shared" si="7"/>
        <v>250</v>
      </c>
      <c r="Q7" s="28">
        <f t="shared" si="7"/>
        <v>0</v>
      </c>
      <c r="R7" s="28">
        <f t="shared" si="7"/>
        <v>0</v>
      </c>
      <c r="S7" s="28">
        <f t="shared" si="7"/>
        <v>0</v>
      </c>
      <c r="T7" s="28">
        <f t="shared" si="7"/>
        <v>0</v>
      </c>
      <c r="U7" s="28">
        <f t="shared" si="7"/>
        <v>0</v>
      </c>
      <c r="V7" s="28">
        <f t="shared" si="7"/>
        <v>0</v>
      </c>
      <c r="W7" s="28">
        <f t="shared" si="7"/>
        <v>500</v>
      </c>
      <c r="X7" s="28">
        <f t="shared" si="7"/>
        <v>0</v>
      </c>
      <c r="Y7" s="28">
        <f t="shared" si="7"/>
        <v>0</v>
      </c>
      <c r="Z7" s="28">
        <f t="shared" si="7"/>
        <v>4515</v>
      </c>
      <c r="AA7" s="28">
        <f t="shared" si="7"/>
        <v>75</v>
      </c>
      <c r="AB7" s="28">
        <f t="shared" si="7"/>
        <v>0</v>
      </c>
      <c r="AC7" s="28">
        <f t="shared" si="7"/>
        <v>500</v>
      </c>
      <c r="AD7" s="28">
        <f t="shared" si="7"/>
        <v>0</v>
      </c>
      <c r="AE7" s="28">
        <f t="shared" si="7"/>
        <v>0</v>
      </c>
      <c r="AF7" s="28">
        <f t="shared" si="7"/>
        <v>600</v>
      </c>
      <c r="AG7" s="28">
        <f t="shared" si="7"/>
        <v>0</v>
      </c>
      <c r="AH7" s="28">
        <f t="shared" si="7"/>
        <v>0</v>
      </c>
      <c r="AI7" s="28">
        <f t="shared" si="7"/>
        <v>11050</v>
      </c>
      <c r="AJ7" s="28">
        <f t="shared" si="7"/>
        <v>0</v>
      </c>
      <c r="AK7" s="28">
        <f t="shared" si="7"/>
        <v>0</v>
      </c>
      <c r="AL7" s="28">
        <f t="shared" si="7"/>
        <v>0</v>
      </c>
      <c r="AM7" s="28">
        <f t="shared" si="7"/>
        <v>0</v>
      </c>
      <c r="AN7" s="28">
        <f t="shared" si="7"/>
        <v>0</v>
      </c>
      <c r="AO7" s="28">
        <f t="shared" si="7"/>
        <v>0</v>
      </c>
      <c r="AP7" s="28">
        <f t="shared" si="7"/>
        <v>0</v>
      </c>
      <c r="AQ7" s="28">
        <f t="shared" si="7"/>
        <v>0</v>
      </c>
      <c r="AR7" s="28">
        <f t="shared" si="7"/>
        <v>0</v>
      </c>
      <c r="AS7" s="28">
        <f t="shared" si="7"/>
        <v>0</v>
      </c>
      <c r="AT7" s="28">
        <f t="shared" si="7"/>
        <v>4000</v>
      </c>
    </row>
    <row r="8">
      <c r="A8" s="10" t="s">
        <v>12</v>
      </c>
      <c r="B8" s="11">
        <v>200.0</v>
      </c>
      <c r="C8" s="12" t="s">
        <v>5</v>
      </c>
      <c r="D8" s="15">
        <v>75244.0</v>
      </c>
      <c r="F8" s="15">
        <f>IFERROR(__xludf.DUMMYFUNCTION("""COMPUTED_VALUE"""),75048.0)</f>
        <v>75048</v>
      </c>
      <c r="G8" s="26">
        <f t="shared" si="2"/>
        <v>5000</v>
      </c>
      <c r="J8" s="27">
        <f>IFERROR(__xludf.DUMMYFUNCTION("""COMPUTED_VALUE"""),75048.0)</f>
        <v>75048</v>
      </c>
      <c r="K8" s="28">
        <f t="shared" ref="K8:AT8" si="8">sumifs($B:$B,$D:$D,$J8,$C:$C,K$1)</f>
        <v>500</v>
      </c>
      <c r="L8" s="28">
        <f t="shared" si="8"/>
        <v>0</v>
      </c>
      <c r="M8" s="28">
        <f t="shared" si="8"/>
        <v>0</v>
      </c>
      <c r="N8" s="28">
        <f t="shared" si="8"/>
        <v>1000</v>
      </c>
      <c r="O8" s="28">
        <f t="shared" si="8"/>
        <v>0</v>
      </c>
      <c r="P8" s="28">
        <f t="shared" si="8"/>
        <v>0</v>
      </c>
      <c r="Q8" s="28">
        <f t="shared" si="8"/>
        <v>0</v>
      </c>
      <c r="R8" s="28">
        <f t="shared" si="8"/>
        <v>0</v>
      </c>
      <c r="S8" s="28">
        <f t="shared" si="8"/>
        <v>0</v>
      </c>
      <c r="T8" s="28">
        <f t="shared" si="8"/>
        <v>0</v>
      </c>
      <c r="U8" s="28">
        <f t="shared" si="8"/>
        <v>0</v>
      </c>
      <c r="V8" s="28">
        <f t="shared" si="8"/>
        <v>0</v>
      </c>
      <c r="W8" s="28">
        <f t="shared" si="8"/>
        <v>0</v>
      </c>
      <c r="X8" s="28">
        <f t="shared" si="8"/>
        <v>0</v>
      </c>
      <c r="Y8" s="28">
        <f t="shared" si="8"/>
        <v>2000</v>
      </c>
      <c r="Z8" s="28">
        <f t="shared" si="8"/>
        <v>250</v>
      </c>
      <c r="AA8" s="28">
        <f t="shared" si="8"/>
        <v>0</v>
      </c>
      <c r="AB8" s="28">
        <f t="shared" si="8"/>
        <v>0</v>
      </c>
      <c r="AC8" s="28">
        <f t="shared" si="8"/>
        <v>0</v>
      </c>
      <c r="AD8" s="28">
        <f t="shared" si="8"/>
        <v>0</v>
      </c>
      <c r="AE8" s="28">
        <f t="shared" si="8"/>
        <v>0</v>
      </c>
      <c r="AF8" s="28">
        <f t="shared" si="8"/>
        <v>0</v>
      </c>
      <c r="AG8" s="28">
        <f t="shared" si="8"/>
        <v>0</v>
      </c>
      <c r="AH8" s="28">
        <f t="shared" si="8"/>
        <v>250</v>
      </c>
      <c r="AI8" s="28">
        <f t="shared" si="8"/>
        <v>1000</v>
      </c>
      <c r="AJ8" s="28">
        <f t="shared" si="8"/>
        <v>0</v>
      </c>
      <c r="AK8" s="28">
        <f t="shared" si="8"/>
        <v>0</v>
      </c>
      <c r="AL8" s="28">
        <f t="shared" si="8"/>
        <v>0</v>
      </c>
      <c r="AM8" s="28">
        <f t="shared" si="8"/>
        <v>0</v>
      </c>
      <c r="AN8" s="28">
        <f t="shared" si="8"/>
        <v>0</v>
      </c>
      <c r="AO8" s="28">
        <f t="shared" si="8"/>
        <v>0</v>
      </c>
      <c r="AP8" s="28">
        <f t="shared" si="8"/>
        <v>0</v>
      </c>
      <c r="AQ8" s="28">
        <f t="shared" si="8"/>
        <v>0</v>
      </c>
      <c r="AR8" s="28">
        <f t="shared" si="8"/>
        <v>0</v>
      </c>
      <c r="AS8" s="28">
        <f t="shared" si="8"/>
        <v>0</v>
      </c>
      <c r="AT8" s="28">
        <f t="shared" si="8"/>
        <v>0</v>
      </c>
    </row>
    <row r="9">
      <c r="A9" s="10" t="s">
        <v>13</v>
      </c>
      <c r="B9" s="11">
        <v>250.0</v>
      </c>
      <c r="C9" s="12" t="s">
        <v>5</v>
      </c>
      <c r="D9" s="15">
        <v>75203.0</v>
      </c>
      <c r="F9" s="15">
        <f>IFERROR(__xludf.DUMMYFUNCTION("""COMPUTED_VALUE"""),75220.0)</f>
        <v>75220</v>
      </c>
      <c r="G9" s="26">
        <f t="shared" si="2"/>
        <v>84308.2</v>
      </c>
      <c r="J9" s="27">
        <f>IFERROR(__xludf.DUMMYFUNCTION("""COMPUTED_VALUE"""),75220.0)</f>
        <v>75220</v>
      </c>
      <c r="K9" s="28">
        <f t="shared" ref="K9:AT9" si="9">sumifs($B:$B,$D:$D,$J9,$C:$C,K$1)</f>
        <v>6610</v>
      </c>
      <c r="L9" s="28">
        <f t="shared" si="9"/>
        <v>0</v>
      </c>
      <c r="M9" s="28">
        <f t="shared" si="9"/>
        <v>2500</v>
      </c>
      <c r="N9" s="28">
        <f t="shared" si="9"/>
        <v>3556</v>
      </c>
      <c r="O9" s="28">
        <f t="shared" si="9"/>
        <v>0</v>
      </c>
      <c r="P9" s="28">
        <f t="shared" si="9"/>
        <v>1650</v>
      </c>
      <c r="Q9" s="28">
        <f t="shared" si="9"/>
        <v>0</v>
      </c>
      <c r="R9" s="28">
        <f t="shared" si="9"/>
        <v>0</v>
      </c>
      <c r="S9" s="28">
        <f t="shared" si="9"/>
        <v>0</v>
      </c>
      <c r="T9" s="28">
        <f t="shared" si="9"/>
        <v>0</v>
      </c>
      <c r="U9" s="28">
        <f t="shared" si="9"/>
        <v>0</v>
      </c>
      <c r="V9" s="28">
        <f t="shared" si="9"/>
        <v>0</v>
      </c>
      <c r="W9" s="28">
        <f t="shared" si="9"/>
        <v>1250</v>
      </c>
      <c r="X9" s="28">
        <f t="shared" si="9"/>
        <v>0</v>
      </c>
      <c r="Y9" s="28">
        <f t="shared" si="9"/>
        <v>0</v>
      </c>
      <c r="Z9" s="28">
        <f t="shared" si="9"/>
        <v>6350</v>
      </c>
      <c r="AA9" s="28">
        <f t="shared" si="9"/>
        <v>0</v>
      </c>
      <c r="AB9" s="28">
        <f t="shared" si="9"/>
        <v>0</v>
      </c>
      <c r="AC9" s="28">
        <f t="shared" si="9"/>
        <v>1142.2</v>
      </c>
      <c r="AD9" s="28">
        <f t="shared" si="9"/>
        <v>0</v>
      </c>
      <c r="AE9" s="28">
        <f t="shared" si="9"/>
        <v>0</v>
      </c>
      <c r="AF9" s="28">
        <f t="shared" si="9"/>
        <v>1150</v>
      </c>
      <c r="AG9" s="28">
        <f t="shared" si="9"/>
        <v>0</v>
      </c>
      <c r="AH9" s="28">
        <f t="shared" si="9"/>
        <v>1500</v>
      </c>
      <c r="AI9" s="28">
        <f t="shared" si="9"/>
        <v>42500</v>
      </c>
      <c r="AJ9" s="28">
        <f t="shared" si="9"/>
        <v>2100</v>
      </c>
      <c r="AK9" s="28">
        <f t="shared" si="9"/>
        <v>0</v>
      </c>
      <c r="AL9" s="28">
        <f t="shared" si="9"/>
        <v>0</v>
      </c>
      <c r="AM9" s="28">
        <f t="shared" si="9"/>
        <v>8000</v>
      </c>
      <c r="AN9" s="28">
        <f t="shared" si="9"/>
        <v>0</v>
      </c>
      <c r="AO9" s="28">
        <f t="shared" si="9"/>
        <v>0</v>
      </c>
      <c r="AP9" s="28">
        <f t="shared" si="9"/>
        <v>0</v>
      </c>
      <c r="AQ9" s="28">
        <f t="shared" si="9"/>
        <v>0</v>
      </c>
      <c r="AR9" s="28">
        <f t="shared" si="9"/>
        <v>0</v>
      </c>
      <c r="AS9" s="28">
        <f t="shared" si="9"/>
        <v>0</v>
      </c>
      <c r="AT9" s="28">
        <f t="shared" si="9"/>
        <v>6000</v>
      </c>
    </row>
    <row r="10">
      <c r="A10" s="10" t="s">
        <v>14</v>
      </c>
      <c r="B10" s="11">
        <v>250.0</v>
      </c>
      <c r="C10" s="12" t="s">
        <v>5</v>
      </c>
      <c r="D10" s="15">
        <v>75244.0</v>
      </c>
      <c r="F10" s="15">
        <f>IFERROR(__xludf.DUMMYFUNCTION("""COMPUTED_VALUE"""),75201.0)</f>
        <v>75201</v>
      </c>
      <c r="G10" s="26">
        <f t="shared" si="2"/>
        <v>173072.18</v>
      </c>
      <c r="J10" s="27">
        <f>IFERROR(__xludf.DUMMYFUNCTION("""COMPUTED_VALUE"""),75201.0)</f>
        <v>75201</v>
      </c>
      <c r="K10" s="28">
        <f t="shared" ref="K10:AT10" si="10">sumifs($B:$B,$D:$D,$J10,$C:$C,K$1)</f>
        <v>1500</v>
      </c>
      <c r="L10" s="28">
        <f t="shared" si="10"/>
        <v>0</v>
      </c>
      <c r="M10" s="28">
        <f t="shared" si="10"/>
        <v>1500</v>
      </c>
      <c r="N10" s="28">
        <f t="shared" si="10"/>
        <v>8450</v>
      </c>
      <c r="O10" s="28">
        <f t="shared" si="10"/>
        <v>0</v>
      </c>
      <c r="P10" s="28">
        <f t="shared" si="10"/>
        <v>3477</v>
      </c>
      <c r="Q10" s="28">
        <f t="shared" si="10"/>
        <v>250</v>
      </c>
      <c r="R10" s="28">
        <f t="shared" si="10"/>
        <v>0</v>
      </c>
      <c r="S10" s="28">
        <f t="shared" si="10"/>
        <v>0</v>
      </c>
      <c r="T10" s="28">
        <f t="shared" si="10"/>
        <v>0</v>
      </c>
      <c r="U10" s="28">
        <f t="shared" si="10"/>
        <v>0</v>
      </c>
      <c r="V10" s="28">
        <f t="shared" si="10"/>
        <v>0</v>
      </c>
      <c r="W10" s="28">
        <f t="shared" si="10"/>
        <v>2450</v>
      </c>
      <c r="X10" s="28">
        <f t="shared" si="10"/>
        <v>2000</v>
      </c>
      <c r="Y10" s="28">
        <f t="shared" si="10"/>
        <v>1000</v>
      </c>
      <c r="Z10" s="28">
        <f t="shared" si="10"/>
        <v>4200</v>
      </c>
      <c r="AA10" s="28">
        <f t="shared" si="10"/>
        <v>200</v>
      </c>
      <c r="AB10" s="28">
        <f t="shared" si="10"/>
        <v>0</v>
      </c>
      <c r="AC10" s="28">
        <f t="shared" si="10"/>
        <v>29802.3</v>
      </c>
      <c r="AD10" s="28">
        <f t="shared" si="10"/>
        <v>0</v>
      </c>
      <c r="AE10" s="28">
        <f t="shared" si="10"/>
        <v>0</v>
      </c>
      <c r="AF10" s="28">
        <f t="shared" si="10"/>
        <v>6500</v>
      </c>
      <c r="AG10" s="28">
        <f t="shared" si="10"/>
        <v>0</v>
      </c>
      <c r="AH10" s="28">
        <f t="shared" si="10"/>
        <v>7867.88</v>
      </c>
      <c r="AI10" s="28">
        <f t="shared" si="10"/>
        <v>84150</v>
      </c>
      <c r="AJ10" s="28">
        <f t="shared" si="10"/>
        <v>1250</v>
      </c>
      <c r="AK10" s="28">
        <f t="shared" si="10"/>
        <v>7750</v>
      </c>
      <c r="AL10" s="28">
        <f t="shared" si="10"/>
        <v>3025</v>
      </c>
      <c r="AM10" s="28">
        <f t="shared" si="10"/>
        <v>0</v>
      </c>
      <c r="AN10" s="28">
        <f t="shared" si="10"/>
        <v>0</v>
      </c>
      <c r="AO10" s="28">
        <f t="shared" si="10"/>
        <v>0</v>
      </c>
      <c r="AP10" s="28">
        <f t="shared" si="10"/>
        <v>0</v>
      </c>
      <c r="AQ10" s="28">
        <f t="shared" si="10"/>
        <v>0</v>
      </c>
      <c r="AR10" s="28">
        <f t="shared" si="10"/>
        <v>0</v>
      </c>
      <c r="AS10" s="28">
        <f t="shared" si="10"/>
        <v>2000</v>
      </c>
      <c r="AT10" s="28">
        <f t="shared" si="10"/>
        <v>2000</v>
      </c>
    </row>
    <row r="11">
      <c r="A11" s="10" t="s">
        <v>15</v>
      </c>
      <c r="B11" s="11">
        <v>500.0</v>
      </c>
      <c r="C11" s="12" t="s">
        <v>8</v>
      </c>
      <c r="D11" s="15">
        <v>75230.0</v>
      </c>
      <c r="F11" s="15">
        <f>IFERROR(__xludf.DUMMYFUNCTION("""COMPUTED_VALUE"""),75229.0)</f>
        <v>75229</v>
      </c>
      <c r="G11" s="26">
        <f t="shared" si="2"/>
        <v>110514.7</v>
      </c>
      <c r="J11" s="27">
        <f>IFERROR(__xludf.DUMMYFUNCTION("""COMPUTED_VALUE"""),75229.0)</f>
        <v>75229</v>
      </c>
      <c r="K11" s="28">
        <f t="shared" ref="K11:AT11" si="11">sumifs($B:$B,$D:$D,$J11,$C:$C,K$1)</f>
        <v>15205</v>
      </c>
      <c r="L11" s="28">
        <f t="shared" si="11"/>
        <v>2000</v>
      </c>
      <c r="M11" s="28">
        <f t="shared" si="11"/>
        <v>1750</v>
      </c>
      <c r="N11" s="28">
        <f t="shared" si="11"/>
        <v>5250</v>
      </c>
      <c r="O11" s="28">
        <f t="shared" si="11"/>
        <v>0</v>
      </c>
      <c r="P11" s="28">
        <f t="shared" si="11"/>
        <v>1150</v>
      </c>
      <c r="Q11" s="28">
        <f t="shared" si="11"/>
        <v>0</v>
      </c>
      <c r="R11" s="28">
        <f t="shared" si="11"/>
        <v>0</v>
      </c>
      <c r="S11" s="28">
        <f t="shared" si="11"/>
        <v>0</v>
      </c>
      <c r="T11" s="28">
        <f t="shared" si="11"/>
        <v>0</v>
      </c>
      <c r="U11" s="28">
        <f t="shared" si="11"/>
        <v>500</v>
      </c>
      <c r="V11" s="28">
        <f t="shared" si="11"/>
        <v>0</v>
      </c>
      <c r="W11" s="28">
        <f t="shared" si="11"/>
        <v>1500</v>
      </c>
      <c r="X11" s="28">
        <f t="shared" si="11"/>
        <v>0</v>
      </c>
      <c r="Y11" s="28">
        <f t="shared" si="11"/>
        <v>0</v>
      </c>
      <c r="Z11" s="28">
        <f t="shared" si="11"/>
        <v>9675</v>
      </c>
      <c r="AA11" s="28">
        <f t="shared" si="11"/>
        <v>0</v>
      </c>
      <c r="AB11" s="28">
        <f t="shared" si="11"/>
        <v>4000</v>
      </c>
      <c r="AC11" s="28">
        <f t="shared" si="11"/>
        <v>5214.7</v>
      </c>
      <c r="AD11" s="28">
        <f t="shared" si="11"/>
        <v>1020</v>
      </c>
      <c r="AE11" s="28">
        <f t="shared" si="11"/>
        <v>0</v>
      </c>
      <c r="AF11" s="28">
        <f t="shared" si="11"/>
        <v>5700</v>
      </c>
      <c r="AG11" s="28">
        <f t="shared" si="11"/>
        <v>0</v>
      </c>
      <c r="AH11" s="28">
        <f t="shared" si="11"/>
        <v>1000</v>
      </c>
      <c r="AI11" s="28">
        <f t="shared" si="11"/>
        <v>50100</v>
      </c>
      <c r="AJ11" s="28">
        <f t="shared" si="11"/>
        <v>3450</v>
      </c>
      <c r="AK11" s="28">
        <f t="shared" si="11"/>
        <v>3000</v>
      </c>
      <c r="AL11" s="28">
        <f t="shared" si="11"/>
        <v>0</v>
      </c>
      <c r="AM11" s="28">
        <f t="shared" si="11"/>
        <v>0</v>
      </c>
      <c r="AN11" s="28">
        <f t="shared" si="11"/>
        <v>0</v>
      </c>
      <c r="AO11" s="28">
        <f t="shared" si="11"/>
        <v>0</v>
      </c>
      <c r="AP11" s="28">
        <f t="shared" si="11"/>
        <v>0</v>
      </c>
      <c r="AQ11" s="28">
        <f t="shared" si="11"/>
        <v>0</v>
      </c>
      <c r="AR11" s="28">
        <f t="shared" si="11"/>
        <v>0</v>
      </c>
      <c r="AS11" s="28">
        <f t="shared" si="11"/>
        <v>0</v>
      </c>
      <c r="AT11" s="28">
        <f t="shared" si="11"/>
        <v>0</v>
      </c>
    </row>
    <row r="12">
      <c r="A12" s="10" t="s">
        <v>16</v>
      </c>
      <c r="B12" s="11">
        <v>25.0</v>
      </c>
      <c r="C12" s="12" t="s">
        <v>5</v>
      </c>
      <c r="D12" s="15">
        <v>75248.0</v>
      </c>
      <c r="F12" s="15">
        <f>IFERROR(__xludf.DUMMYFUNCTION("""COMPUTED_VALUE"""),75223.0)</f>
        <v>75223</v>
      </c>
      <c r="G12" s="26">
        <f t="shared" si="2"/>
        <v>11042.23</v>
      </c>
      <c r="J12" s="27">
        <f>IFERROR(__xludf.DUMMYFUNCTION("""COMPUTED_VALUE"""),75223.0)</f>
        <v>75223</v>
      </c>
      <c r="K12" s="28">
        <f t="shared" ref="K12:AT12" si="12">sumifs($B:$B,$D:$D,$J12,$C:$C,K$1)</f>
        <v>150</v>
      </c>
      <c r="L12" s="28">
        <f t="shared" si="12"/>
        <v>0</v>
      </c>
      <c r="M12" s="28">
        <f t="shared" si="12"/>
        <v>0</v>
      </c>
      <c r="N12" s="28">
        <f t="shared" si="12"/>
        <v>600</v>
      </c>
      <c r="O12" s="28">
        <f t="shared" si="12"/>
        <v>0</v>
      </c>
      <c r="P12" s="28">
        <f t="shared" si="12"/>
        <v>950</v>
      </c>
      <c r="Q12" s="28">
        <f t="shared" si="12"/>
        <v>0</v>
      </c>
      <c r="R12" s="28">
        <f t="shared" si="12"/>
        <v>0</v>
      </c>
      <c r="S12" s="28">
        <f t="shared" si="12"/>
        <v>0</v>
      </c>
      <c r="T12" s="28">
        <f t="shared" si="12"/>
        <v>0</v>
      </c>
      <c r="U12" s="28">
        <f t="shared" si="12"/>
        <v>0</v>
      </c>
      <c r="V12" s="28">
        <f t="shared" si="12"/>
        <v>0</v>
      </c>
      <c r="W12" s="28">
        <f t="shared" si="12"/>
        <v>1850</v>
      </c>
      <c r="X12" s="28">
        <f t="shared" si="12"/>
        <v>0</v>
      </c>
      <c r="Y12" s="28">
        <f t="shared" si="12"/>
        <v>0</v>
      </c>
      <c r="Z12" s="28">
        <f t="shared" si="12"/>
        <v>150</v>
      </c>
      <c r="AA12" s="28">
        <f t="shared" si="12"/>
        <v>0</v>
      </c>
      <c r="AB12" s="28">
        <f t="shared" si="12"/>
        <v>0</v>
      </c>
      <c r="AC12" s="28">
        <f t="shared" si="12"/>
        <v>1300</v>
      </c>
      <c r="AD12" s="28">
        <f t="shared" si="12"/>
        <v>0</v>
      </c>
      <c r="AE12" s="28">
        <f t="shared" si="12"/>
        <v>0</v>
      </c>
      <c r="AF12" s="28">
        <f t="shared" si="12"/>
        <v>850</v>
      </c>
      <c r="AG12" s="28">
        <f t="shared" si="12"/>
        <v>0</v>
      </c>
      <c r="AH12" s="28">
        <f t="shared" si="12"/>
        <v>3242.23</v>
      </c>
      <c r="AI12" s="28">
        <f t="shared" si="12"/>
        <v>1000</v>
      </c>
      <c r="AJ12" s="28">
        <f t="shared" si="12"/>
        <v>950</v>
      </c>
      <c r="AK12" s="28">
        <f t="shared" si="12"/>
        <v>0</v>
      </c>
      <c r="AL12" s="28">
        <f t="shared" si="12"/>
        <v>0</v>
      </c>
      <c r="AM12" s="28">
        <f t="shared" si="12"/>
        <v>0</v>
      </c>
      <c r="AN12" s="28">
        <f t="shared" si="12"/>
        <v>0</v>
      </c>
      <c r="AO12" s="28">
        <f t="shared" si="12"/>
        <v>0</v>
      </c>
      <c r="AP12" s="28">
        <f t="shared" si="12"/>
        <v>0</v>
      </c>
      <c r="AQ12" s="28">
        <f t="shared" si="12"/>
        <v>0</v>
      </c>
      <c r="AR12" s="28">
        <f t="shared" si="12"/>
        <v>0</v>
      </c>
      <c r="AS12" s="28">
        <f t="shared" si="12"/>
        <v>0</v>
      </c>
      <c r="AT12" s="28">
        <f t="shared" si="12"/>
        <v>0</v>
      </c>
    </row>
    <row r="13">
      <c r="A13" s="10" t="s">
        <v>17</v>
      </c>
      <c r="B13" s="11">
        <v>50.0</v>
      </c>
      <c r="C13" s="12" t="s">
        <v>5</v>
      </c>
      <c r="D13" s="15">
        <v>75230.0</v>
      </c>
      <c r="F13" s="15">
        <f>IFERROR(__xludf.DUMMYFUNCTION("""COMPUTED_VALUE"""),75219.0)</f>
        <v>75219</v>
      </c>
      <c r="G13" s="26">
        <f t="shared" si="2"/>
        <v>117020.81</v>
      </c>
      <c r="J13" s="27">
        <f>IFERROR(__xludf.DUMMYFUNCTION("""COMPUTED_VALUE"""),75219.0)</f>
        <v>75219</v>
      </c>
      <c r="K13" s="28">
        <f t="shared" ref="K13:AT13" si="13">sumifs($B:$B,$D:$D,$J13,$C:$C,K$1)</f>
        <v>4525</v>
      </c>
      <c r="L13" s="28">
        <f t="shared" si="13"/>
        <v>2000</v>
      </c>
      <c r="M13" s="28">
        <f t="shared" si="13"/>
        <v>4100</v>
      </c>
      <c r="N13" s="28">
        <f t="shared" si="13"/>
        <v>4077</v>
      </c>
      <c r="O13" s="28">
        <f t="shared" si="13"/>
        <v>0</v>
      </c>
      <c r="P13" s="28">
        <f t="shared" si="13"/>
        <v>2300</v>
      </c>
      <c r="Q13" s="28">
        <f t="shared" si="13"/>
        <v>0</v>
      </c>
      <c r="R13" s="28">
        <f t="shared" si="13"/>
        <v>0</v>
      </c>
      <c r="S13" s="28">
        <f t="shared" si="13"/>
        <v>0</v>
      </c>
      <c r="T13" s="28">
        <f t="shared" si="13"/>
        <v>0</v>
      </c>
      <c r="U13" s="28">
        <f t="shared" si="13"/>
        <v>0</v>
      </c>
      <c r="V13" s="28">
        <f t="shared" si="13"/>
        <v>0</v>
      </c>
      <c r="W13" s="28">
        <f t="shared" si="13"/>
        <v>3375</v>
      </c>
      <c r="X13" s="28">
        <f t="shared" si="13"/>
        <v>0</v>
      </c>
      <c r="Y13" s="28">
        <f t="shared" si="13"/>
        <v>1100</v>
      </c>
      <c r="Z13" s="28">
        <f t="shared" si="13"/>
        <v>6050</v>
      </c>
      <c r="AA13" s="28">
        <f t="shared" si="13"/>
        <v>0</v>
      </c>
      <c r="AB13" s="28">
        <f t="shared" si="13"/>
        <v>4000</v>
      </c>
      <c r="AC13" s="28">
        <f t="shared" si="13"/>
        <v>7648.95</v>
      </c>
      <c r="AD13" s="28">
        <f t="shared" si="13"/>
        <v>0</v>
      </c>
      <c r="AE13" s="28">
        <f t="shared" si="13"/>
        <v>0</v>
      </c>
      <c r="AF13" s="28">
        <f t="shared" si="13"/>
        <v>3000</v>
      </c>
      <c r="AG13" s="28">
        <f t="shared" si="13"/>
        <v>0</v>
      </c>
      <c r="AH13" s="28">
        <f t="shared" si="13"/>
        <v>14144.86</v>
      </c>
      <c r="AI13" s="28">
        <f t="shared" si="13"/>
        <v>52800</v>
      </c>
      <c r="AJ13" s="28">
        <f t="shared" si="13"/>
        <v>150</v>
      </c>
      <c r="AK13" s="28">
        <f t="shared" si="13"/>
        <v>3250</v>
      </c>
      <c r="AL13" s="28">
        <f t="shared" si="13"/>
        <v>500</v>
      </c>
      <c r="AM13" s="28">
        <f t="shared" si="13"/>
        <v>0</v>
      </c>
      <c r="AN13" s="28">
        <f t="shared" si="13"/>
        <v>0</v>
      </c>
      <c r="AO13" s="28">
        <f t="shared" si="13"/>
        <v>0</v>
      </c>
      <c r="AP13" s="28">
        <f t="shared" si="13"/>
        <v>0</v>
      </c>
      <c r="AQ13" s="28">
        <f t="shared" si="13"/>
        <v>4000</v>
      </c>
      <c r="AR13" s="28">
        <f t="shared" si="13"/>
        <v>0</v>
      </c>
      <c r="AS13" s="28">
        <f t="shared" si="13"/>
        <v>0</v>
      </c>
      <c r="AT13" s="28">
        <f t="shared" si="13"/>
        <v>0</v>
      </c>
    </row>
    <row r="14">
      <c r="A14" s="10" t="s">
        <v>18</v>
      </c>
      <c r="B14" s="11">
        <v>1000.0</v>
      </c>
      <c r="C14" s="12" t="s">
        <v>8</v>
      </c>
      <c r="D14" s="15">
        <v>75230.0</v>
      </c>
      <c r="F14" s="15">
        <f>IFERROR(__xludf.DUMMYFUNCTION("""COMPUTED_VALUE"""),75225.0)</f>
        <v>75225</v>
      </c>
      <c r="G14" s="26">
        <f t="shared" si="2"/>
        <v>94078.34</v>
      </c>
      <c r="J14" s="27">
        <f>IFERROR(__xludf.DUMMYFUNCTION("""COMPUTED_VALUE"""),75225.0)</f>
        <v>75225</v>
      </c>
      <c r="K14" s="28">
        <f t="shared" ref="K14:AT14" si="14">sumifs($B:$B,$D:$D,$J14,$C:$C,K$1)</f>
        <v>10075</v>
      </c>
      <c r="L14" s="28">
        <f t="shared" si="14"/>
        <v>0</v>
      </c>
      <c r="M14" s="28">
        <f t="shared" si="14"/>
        <v>4750</v>
      </c>
      <c r="N14" s="28">
        <f t="shared" si="14"/>
        <v>150</v>
      </c>
      <c r="O14" s="28">
        <f t="shared" si="14"/>
        <v>0</v>
      </c>
      <c r="P14" s="28">
        <f t="shared" si="14"/>
        <v>200</v>
      </c>
      <c r="Q14" s="28">
        <f t="shared" si="14"/>
        <v>0</v>
      </c>
      <c r="R14" s="28">
        <f t="shared" si="14"/>
        <v>0</v>
      </c>
      <c r="S14" s="28">
        <f t="shared" si="14"/>
        <v>0</v>
      </c>
      <c r="T14" s="28">
        <f t="shared" si="14"/>
        <v>0</v>
      </c>
      <c r="U14" s="28">
        <f t="shared" si="14"/>
        <v>0</v>
      </c>
      <c r="V14" s="28">
        <f t="shared" si="14"/>
        <v>0</v>
      </c>
      <c r="W14" s="28">
        <f t="shared" si="14"/>
        <v>500</v>
      </c>
      <c r="X14" s="28">
        <f t="shared" si="14"/>
        <v>0</v>
      </c>
      <c r="Y14" s="28">
        <f t="shared" si="14"/>
        <v>0</v>
      </c>
      <c r="Z14" s="28">
        <f t="shared" si="14"/>
        <v>7228.18</v>
      </c>
      <c r="AA14" s="28">
        <f t="shared" si="14"/>
        <v>0</v>
      </c>
      <c r="AB14" s="28">
        <f t="shared" si="14"/>
        <v>0</v>
      </c>
      <c r="AC14" s="28">
        <f t="shared" si="14"/>
        <v>8799.4</v>
      </c>
      <c r="AD14" s="28">
        <f t="shared" si="14"/>
        <v>0</v>
      </c>
      <c r="AE14" s="28">
        <f t="shared" si="14"/>
        <v>3000</v>
      </c>
      <c r="AF14" s="28">
        <f t="shared" si="14"/>
        <v>3000</v>
      </c>
      <c r="AG14" s="28">
        <f t="shared" si="14"/>
        <v>0</v>
      </c>
      <c r="AH14" s="28">
        <f t="shared" si="14"/>
        <v>3530.76</v>
      </c>
      <c r="AI14" s="28">
        <f t="shared" si="14"/>
        <v>48895</v>
      </c>
      <c r="AJ14" s="28">
        <f t="shared" si="14"/>
        <v>100</v>
      </c>
      <c r="AK14" s="28">
        <f t="shared" si="14"/>
        <v>1750</v>
      </c>
      <c r="AL14" s="28">
        <f t="shared" si="14"/>
        <v>1000</v>
      </c>
      <c r="AM14" s="28">
        <f t="shared" si="14"/>
        <v>0</v>
      </c>
      <c r="AN14" s="28">
        <f t="shared" si="14"/>
        <v>0</v>
      </c>
      <c r="AO14" s="28">
        <f t="shared" si="14"/>
        <v>0</v>
      </c>
      <c r="AP14" s="28">
        <f t="shared" si="14"/>
        <v>0</v>
      </c>
      <c r="AQ14" s="28">
        <f t="shared" si="14"/>
        <v>0</v>
      </c>
      <c r="AR14" s="28">
        <f t="shared" si="14"/>
        <v>0</v>
      </c>
      <c r="AS14" s="28">
        <f t="shared" si="14"/>
        <v>1100</v>
      </c>
      <c r="AT14" s="28">
        <f t="shared" si="14"/>
        <v>0</v>
      </c>
    </row>
    <row r="15">
      <c r="A15" s="10" t="s">
        <v>19</v>
      </c>
      <c r="B15" s="11">
        <v>500.0</v>
      </c>
      <c r="C15" s="12" t="s">
        <v>5</v>
      </c>
      <c r="D15" s="15">
        <v>75048.0</v>
      </c>
      <c r="F15" s="15">
        <f>IFERROR(__xludf.DUMMYFUNCTION("""COMPUTED_VALUE"""),75231.0)</f>
        <v>75231</v>
      </c>
      <c r="G15" s="26">
        <f t="shared" si="2"/>
        <v>21259.7</v>
      </c>
      <c r="J15" s="27">
        <f>IFERROR(__xludf.DUMMYFUNCTION("""COMPUTED_VALUE"""),75231.0)</f>
        <v>75231</v>
      </c>
      <c r="K15" s="28">
        <f t="shared" ref="K15:AT15" si="15">sumifs($B:$B,$D:$D,$J15,$C:$C,K$1)</f>
        <v>780</v>
      </c>
      <c r="L15" s="28">
        <f t="shared" si="15"/>
        <v>0</v>
      </c>
      <c r="M15" s="28">
        <f t="shared" si="15"/>
        <v>125</v>
      </c>
      <c r="N15" s="28">
        <f t="shared" si="15"/>
        <v>250</v>
      </c>
      <c r="O15" s="28">
        <f t="shared" si="15"/>
        <v>0</v>
      </c>
      <c r="P15" s="28">
        <f t="shared" si="15"/>
        <v>100</v>
      </c>
      <c r="Q15" s="28">
        <f t="shared" si="15"/>
        <v>350</v>
      </c>
      <c r="R15" s="28">
        <f t="shared" si="15"/>
        <v>0</v>
      </c>
      <c r="S15" s="28">
        <f t="shared" si="15"/>
        <v>100</v>
      </c>
      <c r="T15" s="28">
        <f t="shared" si="15"/>
        <v>0</v>
      </c>
      <c r="U15" s="28">
        <f t="shared" si="15"/>
        <v>100</v>
      </c>
      <c r="V15" s="28">
        <f t="shared" si="15"/>
        <v>0</v>
      </c>
      <c r="W15" s="28">
        <f t="shared" si="15"/>
        <v>0</v>
      </c>
      <c r="X15" s="28">
        <f t="shared" si="15"/>
        <v>0</v>
      </c>
      <c r="Y15" s="28">
        <f t="shared" si="15"/>
        <v>0</v>
      </c>
      <c r="Z15" s="28">
        <f t="shared" si="15"/>
        <v>2780</v>
      </c>
      <c r="AA15" s="28">
        <f t="shared" si="15"/>
        <v>325</v>
      </c>
      <c r="AB15" s="28">
        <f t="shared" si="15"/>
        <v>0</v>
      </c>
      <c r="AC15" s="28">
        <f t="shared" si="15"/>
        <v>1424.7</v>
      </c>
      <c r="AD15" s="28">
        <f t="shared" si="15"/>
        <v>200</v>
      </c>
      <c r="AE15" s="28">
        <f t="shared" si="15"/>
        <v>0</v>
      </c>
      <c r="AF15" s="28">
        <f t="shared" si="15"/>
        <v>250</v>
      </c>
      <c r="AG15" s="28">
        <f t="shared" si="15"/>
        <v>0</v>
      </c>
      <c r="AH15" s="28">
        <f t="shared" si="15"/>
        <v>1500</v>
      </c>
      <c r="AI15" s="28">
        <f t="shared" si="15"/>
        <v>5050</v>
      </c>
      <c r="AJ15" s="28">
        <f t="shared" si="15"/>
        <v>100</v>
      </c>
      <c r="AK15" s="28">
        <f t="shared" si="15"/>
        <v>0</v>
      </c>
      <c r="AL15" s="28">
        <f t="shared" si="15"/>
        <v>5625</v>
      </c>
      <c r="AM15" s="28">
        <f t="shared" si="15"/>
        <v>2000</v>
      </c>
      <c r="AN15" s="28">
        <f t="shared" si="15"/>
        <v>0</v>
      </c>
      <c r="AO15" s="28">
        <f t="shared" si="15"/>
        <v>0</v>
      </c>
      <c r="AP15" s="28">
        <f t="shared" si="15"/>
        <v>0</v>
      </c>
      <c r="AQ15" s="28">
        <f t="shared" si="15"/>
        <v>0</v>
      </c>
      <c r="AR15" s="28">
        <f t="shared" si="15"/>
        <v>0</v>
      </c>
      <c r="AS15" s="28">
        <f t="shared" si="15"/>
        <v>200</v>
      </c>
      <c r="AT15" s="28">
        <f t="shared" si="15"/>
        <v>0</v>
      </c>
    </row>
    <row r="16">
      <c r="A16" s="10" t="s">
        <v>20</v>
      </c>
      <c r="B16" s="11">
        <v>100.0</v>
      </c>
      <c r="C16" s="12" t="s">
        <v>5</v>
      </c>
      <c r="D16" s="15">
        <v>75220.0</v>
      </c>
      <c r="F16" s="15">
        <f>IFERROR(__xludf.DUMMYFUNCTION("""COMPUTED_VALUE"""),75226.0)</f>
        <v>75226</v>
      </c>
      <c r="G16" s="26">
        <f t="shared" si="2"/>
        <v>7699.7</v>
      </c>
      <c r="J16" s="27">
        <f>IFERROR(__xludf.DUMMYFUNCTION("""COMPUTED_VALUE"""),75226.0)</f>
        <v>75226</v>
      </c>
      <c r="K16" s="28">
        <f t="shared" ref="K16:AT16" si="16">sumifs($B:$B,$D:$D,$J16,$C:$C,K$1)</f>
        <v>0</v>
      </c>
      <c r="L16" s="28">
        <f t="shared" si="16"/>
        <v>0</v>
      </c>
      <c r="M16" s="28">
        <f t="shared" si="16"/>
        <v>0</v>
      </c>
      <c r="N16" s="28">
        <f t="shared" si="16"/>
        <v>2000</v>
      </c>
      <c r="O16" s="28">
        <f t="shared" si="16"/>
        <v>0</v>
      </c>
      <c r="P16" s="28">
        <f t="shared" si="16"/>
        <v>500</v>
      </c>
      <c r="Q16" s="28">
        <f t="shared" si="16"/>
        <v>0</v>
      </c>
      <c r="R16" s="28">
        <f t="shared" si="16"/>
        <v>0</v>
      </c>
      <c r="S16" s="28">
        <f t="shared" si="16"/>
        <v>0</v>
      </c>
      <c r="T16" s="28">
        <f t="shared" si="16"/>
        <v>0</v>
      </c>
      <c r="U16" s="28">
        <f t="shared" si="16"/>
        <v>0</v>
      </c>
      <c r="V16" s="28">
        <f t="shared" si="16"/>
        <v>0</v>
      </c>
      <c r="W16" s="28">
        <f t="shared" si="16"/>
        <v>500</v>
      </c>
      <c r="X16" s="28">
        <f t="shared" si="16"/>
        <v>0</v>
      </c>
      <c r="Y16" s="28">
        <f t="shared" si="16"/>
        <v>0</v>
      </c>
      <c r="Z16" s="28">
        <f t="shared" si="16"/>
        <v>0</v>
      </c>
      <c r="AA16" s="28">
        <f t="shared" si="16"/>
        <v>25</v>
      </c>
      <c r="AB16" s="28">
        <f t="shared" si="16"/>
        <v>0</v>
      </c>
      <c r="AC16" s="28">
        <f t="shared" si="16"/>
        <v>2549.7</v>
      </c>
      <c r="AD16" s="28">
        <f t="shared" si="16"/>
        <v>0</v>
      </c>
      <c r="AE16" s="28">
        <f t="shared" si="16"/>
        <v>0</v>
      </c>
      <c r="AF16" s="28">
        <f t="shared" si="16"/>
        <v>1350</v>
      </c>
      <c r="AG16" s="28">
        <f t="shared" si="16"/>
        <v>0</v>
      </c>
      <c r="AH16" s="28">
        <f t="shared" si="16"/>
        <v>0</v>
      </c>
      <c r="AI16" s="28">
        <f t="shared" si="16"/>
        <v>750</v>
      </c>
      <c r="AJ16" s="28">
        <f t="shared" si="16"/>
        <v>0</v>
      </c>
      <c r="AK16" s="28">
        <f t="shared" si="16"/>
        <v>0</v>
      </c>
      <c r="AL16" s="28">
        <f t="shared" si="16"/>
        <v>0</v>
      </c>
      <c r="AM16" s="28">
        <f t="shared" si="16"/>
        <v>0</v>
      </c>
      <c r="AN16" s="28">
        <f t="shared" si="16"/>
        <v>0</v>
      </c>
      <c r="AO16" s="28">
        <f t="shared" si="16"/>
        <v>0</v>
      </c>
      <c r="AP16" s="28">
        <f t="shared" si="16"/>
        <v>0</v>
      </c>
      <c r="AQ16" s="28">
        <f t="shared" si="16"/>
        <v>25</v>
      </c>
      <c r="AR16" s="28">
        <f t="shared" si="16"/>
        <v>0</v>
      </c>
      <c r="AS16" s="28">
        <f t="shared" si="16"/>
        <v>0</v>
      </c>
      <c r="AT16" s="28">
        <f t="shared" si="16"/>
        <v>0</v>
      </c>
    </row>
    <row r="17">
      <c r="A17" s="10" t="s">
        <v>21</v>
      </c>
      <c r="B17" s="11">
        <v>500.0</v>
      </c>
      <c r="C17" s="12" t="s">
        <v>8</v>
      </c>
      <c r="D17" s="15">
        <v>75230.0</v>
      </c>
      <c r="F17" s="15">
        <f>IFERROR(__xludf.DUMMYFUNCTION("""COMPUTED_VALUE"""),78746.0)</f>
        <v>78746</v>
      </c>
      <c r="G17" s="26">
        <f t="shared" si="2"/>
        <v>11574.7</v>
      </c>
      <c r="J17" s="27">
        <f>IFERROR(__xludf.DUMMYFUNCTION("""COMPUTED_VALUE"""),78746.0)</f>
        <v>78746</v>
      </c>
      <c r="K17" s="28">
        <f t="shared" ref="K17:AT17" si="17">sumifs($B:$B,$D:$D,$J17,$C:$C,K$1)</f>
        <v>0</v>
      </c>
      <c r="L17" s="28">
        <f t="shared" si="17"/>
        <v>0</v>
      </c>
      <c r="M17" s="28">
        <f t="shared" si="17"/>
        <v>0</v>
      </c>
      <c r="N17" s="28">
        <f t="shared" si="17"/>
        <v>2000</v>
      </c>
      <c r="O17" s="28">
        <f t="shared" si="17"/>
        <v>0</v>
      </c>
      <c r="P17" s="28">
        <f t="shared" si="17"/>
        <v>0</v>
      </c>
      <c r="Q17" s="28">
        <f t="shared" si="17"/>
        <v>0</v>
      </c>
      <c r="R17" s="28">
        <f t="shared" si="17"/>
        <v>0</v>
      </c>
      <c r="S17" s="28">
        <f t="shared" si="17"/>
        <v>0</v>
      </c>
      <c r="T17" s="28">
        <f t="shared" si="17"/>
        <v>0</v>
      </c>
      <c r="U17" s="28">
        <f t="shared" si="17"/>
        <v>0</v>
      </c>
      <c r="V17" s="28">
        <f t="shared" si="17"/>
        <v>0</v>
      </c>
      <c r="W17" s="28">
        <f t="shared" si="17"/>
        <v>0</v>
      </c>
      <c r="X17" s="28">
        <f t="shared" si="17"/>
        <v>0</v>
      </c>
      <c r="Y17" s="28">
        <f t="shared" si="17"/>
        <v>0</v>
      </c>
      <c r="Z17" s="28">
        <f t="shared" si="17"/>
        <v>0</v>
      </c>
      <c r="AA17" s="28">
        <f t="shared" si="17"/>
        <v>0</v>
      </c>
      <c r="AB17" s="28">
        <f t="shared" si="17"/>
        <v>0</v>
      </c>
      <c r="AC17" s="28">
        <f t="shared" si="17"/>
        <v>2374.7</v>
      </c>
      <c r="AD17" s="28">
        <f t="shared" si="17"/>
        <v>0</v>
      </c>
      <c r="AE17" s="28">
        <f t="shared" si="17"/>
        <v>0</v>
      </c>
      <c r="AF17" s="28">
        <f t="shared" si="17"/>
        <v>0</v>
      </c>
      <c r="AG17" s="28">
        <f t="shared" si="17"/>
        <v>0</v>
      </c>
      <c r="AH17" s="28">
        <f t="shared" si="17"/>
        <v>0</v>
      </c>
      <c r="AI17" s="28">
        <f t="shared" si="17"/>
        <v>7200</v>
      </c>
      <c r="AJ17" s="28">
        <f t="shared" si="17"/>
        <v>0</v>
      </c>
      <c r="AK17" s="28">
        <f t="shared" si="17"/>
        <v>0</v>
      </c>
      <c r="AL17" s="28">
        <f t="shared" si="17"/>
        <v>0</v>
      </c>
      <c r="AM17" s="28">
        <f t="shared" si="17"/>
        <v>0</v>
      </c>
      <c r="AN17" s="28">
        <f t="shared" si="17"/>
        <v>0</v>
      </c>
      <c r="AO17" s="28">
        <f t="shared" si="17"/>
        <v>0</v>
      </c>
      <c r="AP17" s="28">
        <f t="shared" si="17"/>
        <v>0</v>
      </c>
      <c r="AQ17" s="28">
        <f t="shared" si="17"/>
        <v>0</v>
      </c>
      <c r="AR17" s="28">
        <f t="shared" si="17"/>
        <v>0</v>
      </c>
      <c r="AS17" s="28">
        <f t="shared" si="17"/>
        <v>0</v>
      </c>
      <c r="AT17" s="28">
        <f t="shared" si="17"/>
        <v>0</v>
      </c>
    </row>
    <row r="18">
      <c r="A18" s="10" t="s">
        <v>22</v>
      </c>
      <c r="B18" s="11">
        <v>500.0</v>
      </c>
      <c r="C18" s="12" t="s">
        <v>5</v>
      </c>
      <c r="D18" s="15">
        <v>75201.0</v>
      </c>
      <c r="F18" s="15">
        <f>IFERROR(__xludf.DUMMYFUNCTION("""COMPUTED_VALUE"""),78727.0)</f>
        <v>78727</v>
      </c>
      <c r="G18" s="26">
        <f t="shared" si="2"/>
        <v>4500</v>
      </c>
      <c r="J18" s="27">
        <f>IFERROR(__xludf.DUMMYFUNCTION("""COMPUTED_VALUE"""),78727.0)</f>
        <v>78727</v>
      </c>
      <c r="K18" s="28">
        <f t="shared" ref="K18:AT18" si="18">sumifs($B:$B,$D:$D,$J18,$C:$C,K$1)</f>
        <v>0</v>
      </c>
      <c r="L18" s="28">
        <f t="shared" si="18"/>
        <v>0</v>
      </c>
      <c r="M18" s="28">
        <f t="shared" si="18"/>
        <v>0</v>
      </c>
      <c r="N18" s="28">
        <f t="shared" si="18"/>
        <v>2000</v>
      </c>
      <c r="O18" s="28">
        <f t="shared" si="18"/>
        <v>0</v>
      </c>
      <c r="P18" s="28">
        <f t="shared" si="18"/>
        <v>0</v>
      </c>
      <c r="Q18" s="28">
        <f t="shared" si="18"/>
        <v>0</v>
      </c>
      <c r="R18" s="28">
        <f t="shared" si="18"/>
        <v>0</v>
      </c>
      <c r="S18" s="28">
        <f t="shared" si="18"/>
        <v>0</v>
      </c>
      <c r="T18" s="28">
        <f t="shared" si="18"/>
        <v>0</v>
      </c>
      <c r="U18" s="28">
        <f t="shared" si="18"/>
        <v>0</v>
      </c>
      <c r="V18" s="28">
        <f t="shared" si="18"/>
        <v>0</v>
      </c>
      <c r="W18" s="28">
        <f t="shared" si="18"/>
        <v>0</v>
      </c>
      <c r="X18" s="28">
        <f t="shared" si="18"/>
        <v>0</v>
      </c>
      <c r="Y18" s="28">
        <f t="shared" si="18"/>
        <v>0</v>
      </c>
      <c r="Z18" s="28">
        <f t="shared" si="18"/>
        <v>0</v>
      </c>
      <c r="AA18" s="28">
        <f t="shared" si="18"/>
        <v>0</v>
      </c>
      <c r="AB18" s="28">
        <f t="shared" si="18"/>
        <v>0</v>
      </c>
      <c r="AC18" s="28">
        <f t="shared" si="18"/>
        <v>2500</v>
      </c>
      <c r="AD18" s="28">
        <f t="shared" si="18"/>
        <v>0</v>
      </c>
      <c r="AE18" s="28">
        <f t="shared" si="18"/>
        <v>0</v>
      </c>
      <c r="AF18" s="28">
        <f t="shared" si="18"/>
        <v>0</v>
      </c>
      <c r="AG18" s="28">
        <f t="shared" si="18"/>
        <v>0</v>
      </c>
      <c r="AH18" s="28">
        <f t="shared" si="18"/>
        <v>0</v>
      </c>
      <c r="AI18" s="28">
        <f t="shared" si="18"/>
        <v>0</v>
      </c>
      <c r="AJ18" s="28">
        <f t="shared" si="18"/>
        <v>0</v>
      </c>
      <c r="AK18" s="28">
        <f t="shared" si="18"/>
        <v>0</v>
      </c>
      <c r="AL18" s="28">
        <f t="shared" si="18"/>
        <v>0</v>
      </c>
      <c r="AM18" s="28">
        <f t="shared" si="18"/>
        <v>0</v>
      </c>
      <c r="AN18" s="28">
        <f t="shared" si="18"/>
        <v>0</v>
      </c>
      <c r="AO18" s="28">
        <f t="shared" si="18"/>
        <v>0</v>
      </c>
      <c r="AP18" s="28">
        <f t="shared" si="18"/>
        <v>0</v>
      </c>
      <c r="AQ18" s="28">
        <f t="shared" si="18"/>
        <v>0</v>
      </c>
      <c r="AR18" s="28">
        <f t="shared" si="18"/>
        <v>0</v>
      </c>
      <c r="AS18" s="28">
        <f t="shared" si="18"/>
        <v>0</v>
      </c>
      <c r="AT18" s="28">
        <f t="shared" si="18"/>
        <v>0</v>
      </c>
    </row>
    <row r="19">
      <c r="A19" s="10" t="s">
        <v>23</v>
      </c>
      <c r="B19" s="11">
        <v>500.0</v>
      </c>
      <c r="C19" s="12" t="s">
        <v>5</v>
      </c>
      <c r="D19" s="15">
        <v>75229.0</v>
      </c>
      <c r="F19" s="15">
        <f>IFERROR(__xludf.DUMMYFUNCTION("""COMPUTED_VALUE"""),78664.0)</f>
        <v>78664</v>
      </c>
      <c r="G19" s="26">
        <f t="shared" si="2"/>
        <v>4384.7</v>
      </c>
      <c r="J19" s="27">
        <f>IFERROR(__xludf.DUMMYFUNCTION("""COMPUTED_VALUE"""),78664.0)</f>
        <v>78664</v>
      </c>
      <c r="K19" s="28">
        <f t="shared" ref="K19:AT19" si="19">sumifs($B:$B,$D:$D,$J19,$C:$C,K$1)</f>
        <v>0</v>
      </c>
      <c r="L19" s="28">
        <f t="shared" si="19"/>
        <v>0</v>
      </c>
      <c r="M19" s="28">
        <f t="shared" si="19"/>
        <v>0</v>
      </c>
      <c r="N19" s="28">
        <f t="shared" si="19"/>
        <v>2000</v>
      </c>
      <c r="O19" s="28">
        <f t="shared" si="19"/>
        <v>0</v>
      </c>
      <c r="P19" s="28">
        <f t="shared" si="19"/>
        <v>0</v>
      </c>
      <c r="Q19" s="28">
        <f t="shared" si="19"/>
        <v>10</v>
      </c>
      <c r="R19" s="28">
        <f t="shared" si="19"/>
        <v>0</v>
      </c>
      <c r="S19" s="28">
        <f t="shared" si="19"/>
        <v>0</v>
      </c>
      <c r="T19" s="28">
        <f t="shared" si="19"/>
        <v>0</v>
      </c>
      <c r="U19" s="28">
        <f t="shared" si="19"/>
        <v>0</v>
      </c>
      <c r="V19" s="28">
        <f t="shared" si="19"/>
        <v>0</v>
      </c>
      <c r="W19" s="28">
        <f t="shared" si="19"/>
        <v>0</v>
      </c>
      <c r="X19" s="28">
        <f t="shared" si="19"/>
        <v>0</v>
      </c>
      <c r="Y19" s="28">
        <f t="shared" si="19"/>
        <v>0</v>
      </c>
      <c r="Z19" s="28">
        <f t="shared" si="19"/>
        <v>0</v>
      </c>
      <c r="AA19" s="28">
        <f t="shared" si="19"/>
        <v>0</v>
      </c>
      <c r="AB19" s="28">
        <f t="shared" si="19"/>
        <v>0</v>
      </c>
      <c r="AC19" s="28">
        <f t="shared" si="19"/>
        <v>2374.7</v>
      </c>
      <c r="AD19" s="28">
        <f t="shared" si="19"/>
        <v>0</v>
      </c>
      <c r="AE19" s="28">
        <f t="shared" si="19"/>
        <v>0</v>
      </c>
      <c r="AF19" s="28">
        <f t="shared" si="19"/>
        <v>0</v>
      </c>
      <c r="AG19" s="28">
        <f t="shared" si="19"/>
        <v>0</v>
      </c>
      <c r="AH19" s="28">
        <f t="shared" si="19"/>
        <v>0</v>
      </c>
      <c r="AI19" s="28">
        <f t="shared" si="19"/>
        <v>0</v>
      </c>
      <c r="AJ19" s="28">
        <f t="shared" si="19"/>
        <v>0</v>
      </c>
      <c r="AK19" s="28">
        <f t="shared" si="19"/>
        <v>0</v>
      </c>
      <c r="AL19" s="28">
        <f t="shared" si="19"/>
        <v>0</v>
      </c>
      <c r="AM19" s="28">
        <f t="shared" si="19"/>
        <v>0</v>
      </c>
      <c r="AN19" s="28">
        <f t="shared" si="19"/>
        <v>0</v>
      </c>
      <c r="AO19" s="28">
        <f t="shared" si="19"/>
        <v>0</v>
      </c>
      <c r="AP19" s="28">
        <f t="shared" si="19"/>
        <v>0</v>
      </c>
      <c r="AQ19" s="28">
        <f t="shared" si="19"/>
        <v>0</v>
      </c>
      <c r="AR19" s="28">
        <f t="shared" si="19"/>
        <v>0</v>
      </c>
      <c r="AS19" s="28">
        <f t="shared" si="19"/>
        <v>0</v>
      </c>
      <c r="AT19" s="28">
        <f t="shared" si="19"/>
        <v>0</v>
      </c>
    </row>
    <row r="20">
      <c r="A20" s="10" t="s">
        <v>24</v>
      </c>
      <c r="B20" s="11">
        <v>1000.0</v>
      </c>
      <c r="C20" s="12" t="s">
        <v>5</v>
      </c>
      <c r="D20" s="15">
        <v>75229.0</v>
      </c>
      <c r="F20" s="15">
        <f>IFERROR(__xludf.DUMMYFUNCTION("""COMPUTED_VALUE"""),75024.0)</f>
        <v>75024</v>
      </c>
      <c r="G20" s="26">
        <f t="shared" si="2"/>
        <v>6992.7</v>
      </c>
      <c r="J20" s="27">
        <f>IFERROR(__xludf.DUMMYFUNCTION("""COMPUTED_VALUE"""),75024.0)</f>
        <v>75024</v>
      </c>
      <c r="K20" s="28">
        <f t="shared" ref="K20:AT20" si="20">sumifs($B:$B,$D:$D,$J20,$C:$C,K$1)</f>
        <v>0</v>
      </c>
      <c r="L20" s="28">
        <f t="shared" si="20"/>
        <v>0</v>
      </c>
      <c r="M20" s="28">
        <f t="shared" si="20"/>
        <v>0</v>
      </c>
      <c r="N20" s="28">
        <f t="shared" si="20"/>
        <v>2000</v>
      </c>
      <c r="O20" s="28">
        <f t="shared" si="20"/>
        <v>0</v>
      </c>
      <c r="P20" s="28">
        <f t="shared" si="20"/>
        <v>0</v>
      </c>
      <c r="Q20" s="28">
        <f t="shared" si="20"/>
        <v>0</v>
      </c>
      <c r="R20" s="28">
        <f t="shared" si="20"/>
        <v>0</v>
      </c>
      <c r="S20" s="28">
        <f t="shared" si="20"/>
        <v>0</v>
      </c>
      <c r="T20" s="28">
        <f t="shared" si="20"/>
        <v>0</v>
      </c>
      <c r="U20" s="28">
        <f t="shared" si="20"/>
        <v>0</v>
      </c>
      <c r="V20" s="28">
        <f t="shared" si="20"/>
        <v>0</v>
      </c>
      <c r="W20" s="28">
        <f t="shared" si="20"/>
        <v>0</v>
      </c>
      <c r="X20" s="28">
        <f t="shared" si="20"/>
        <v>0</v>
      </c>
      <c r="Y20" s="28">
        <f t="shared" si="20"/>
        <v>0</v>
      </c>
      <c r="Z20" s="28">
        <f t="shared" si="20"/>
        <v>118</v>
      </c>
      <c r="AA20" s="28">
        <f t="shared" si="20"/>
        <v>0</v>
      </c>
      <c r="AB20" s="28">
        <f t="shared" si="20"/>
        <v>0</v>
      </c>
      <c r="AC20" s="28">
        <f t="shared" si="20"/>
        <v>2374.7</v>
      </c>
      <c r="AD20" s="28">
        <f t="shared" si="20"/>
        <v>0</v>
      </c>
      <c r="AE20" s="28">
        <f t="shared" si="20"/>
        <v>2000</v>
      </c>
      <c r="AF20" s="28">
        <f t="shared" si="20"/>
        <v>0</v>
      </c>
      <c r="AG20" s="28">
        <f t="shared" si="20"/>
        <v>0</v>
      </c>
      <c r="AH20" s="28">
        <f t="shared" si="20"/>
        <v>0</v>
      </c>
      <c r="AI20" s="28">
        <f t="shared" si="20"/>
        <v>500</v>
      </c>
      <c r="AJ20" s="28">
        <f t="shared" si="20"/>
        <v>0</v>
      </c>
      <c r="AK20" s="28">
        <f t="shared" si="20"/>
        <v>0</v>
      </c>
      <c r="AL20" s="28">
        <f t="shared" si="20"/>
        <v>0</v>
      </c>
      <c r="AM20" s="28">
        <f t="shared" si="20"/>
        <v>0</v>
      </c>
      <c r="AN20" s="28">
        <f t="shared" si="20"/>
        <v>0</v>
      </c>
      <c r="AO20" s="28">
        <f t="shared" si="20"/>
        <v>0</v>
      </c>
      <c r="AP20" s="28">
        <f t="shared" si="20"/>
        <v>0</v>
      </c>
      <c r="AQ20" s="28">
        <f t="shared" si="20"/>
        <v>0</v>
      </c>
      <c r="AR20" s="28">
        <f t="shared" si="20"/>
        <v>0</v>
      </c>
      <c r="AS20" s="28">
        <f t="shared" si="20"/>
        <v>0</v>
      </c>
      <c r="AT20" s="28">
        <f t="shared" si="20"/>
        <v>0</v>
      </c>
    </row>
    <row r="21">
      <c r="A21" s="10" t="s">
        <v>25</v>
      </c>
      <c r="B21" s="11">
        <v>150.0</v>
      </c>
      <c r="C21" s="12" t="s">
        <v>5</v>
      </c>
      <c r="D21" s="15">
        <v>75223.0</v>
      </c>
      <c r="F21" s="15">
        <f>IFERROR(__xludf.DUMMYFUNCTION("""COMPUTED_VALUE"""),75001.0)</f>
        <v>75001</v>
      </c>
      <c r="G21" s="26">
        <f t="shared" si="2"/>
        <v>3100</v>
      </c>
      <c r="J21" s="27">
        <f>IFERROR(__xludf.DUMMYFUNCTION("""COMPUTED_VALUE"""),75001.0)</f>
        <v>75001</v>
      </c>
      <c r="K21" s="28">
        <f t="shared" ref="K21:AT21" si="21">sumifs($B:$B,$D:$D,$J21,$C:$C,K$1)</f>
        <v>0</v>
      </c>
      <c r="L21" s="28">
        <f t="shared" si="21"/>
        <v>0</v>
      </c>
      <c r="M21" s="28">
        <f t="shared" si="21"/>
        <v>0</v>
      </c>
      <c r="N21" s="28">
        <f t="shared" si="21"/>
        <v>500</v>
      </c>
      <c r="O21" s="28">
        <f t="shared" si="21"/>
        <v>0</v>
      </c>
      <c r="P21" s="28">
        <f t="shared" si="21"/>
        <v>100</v>
      </c>
      <c r="Q21" s="28">
        <f t="shared" si="21"/>
        <v>0</v>
      </c>
      <c r="R21" s="28">
        <f t="shared" si="21"/>
        <v>0</v>
      </c>
      <c r="S21" s="28">
        <f t="shared" si="21"/>
        <v>0</v>
      </c>
      <c r="T21" s="28">
        <f t="shared" si="21"/>
        <v>0</v>
      </c>
      <c r="U21" s="28">
        <f t="shared" si="21"/>
        <v>0</v>
      </c>
      <c r="V21" s="28">
        <f t="shared" si="21"/>
        <v>0</v>
      </c>
      <c r="W21" s="28">
        <f t="shared" si="21"/>
        <v>0</v>
      </c>
      <c r="X21" s="28">
        <f t="shared" si="21"/>
        <v>0</v>
      </c>
      <c r="Y21" s="28">
        <f t="shared" si="21"/>
        <v>0</v>
      </c>
      <c r="Z21" s="28">
        <f t="shared" si="21"/>
        <v>0</v>
      </c>
      <c r="AA21" s="28">
        <f t="shared" si="21"/>
        <v>0</v>
      </c>
      <c r="AB21" s="28">
        <f t="shared" si="21"/>
        <v>0</v>
      </c>
      <c r="AC21" s="28">
        <f t="shared" si="21"/>
        <v>500</v>
      </c>
      <c r="AD21" s="28">
        <f t="shared" si="21"/>
        <v>0</v>
      </c>
      <c r="AE21" s="28">
        <f t="shared" si="21"/>
        <v>0</v>
      </c>
      <c r="AF21" s="28">
        <f t="shared" si="21"/>
        <v>0</v>
      </c>
      <c r="AG21" s="28">
        <f t="shared" si="21"/>
        <v>0</v>
      </c>
      <c r="AH21" s="28">
        <f t="shared" si="21"/>
        <v>0</v>
      </c>
      <c r="AI21" s="28">
        <f t="shared" si="21"/>
        <v>1000</v>
      </c>
      <c r="AJ21" s="28">
        <f t="shared" si="21"/>
        <v>300</v>
      </c>
      <c r="AK21" s="28">
        <f t="shared" si="21"/>
        <v>700</v>
      </c>
      <c r="AL21" s="28">
        <f t="shared" si="21"/>
        <v>0</v>
      </c>
      <c r="AM21" s="28">
        <f t="shared" si="21"/>
        <v>0</v>
      </c>
      <c r="AN21" s="28">
        <f t="shared" si="21"/>
        <v>0</v>
      </c>
      <c r="AO21" s="28">
        <f t="shared" si="21"/>
        <v>0</v>
      </c>
      <c r="AP21" s="28">
        <f t="shared" si="21"/>
        <v>0</v>
      </c>
      <c r="AQ21" s="28">
        <f t="shared" si="21"/>
        <v>0</v>
      </c>
      <c r="AR21" s="28">
        <f t="shared" si="21"/>
        <v>0</v>
      </c>
      <c r="AS21" s="28">
        <f t="shared" si="21"/>
        <v>0</v>
      </c>
      <c r="AT21" s="28">
        <f t="shared" si="21"/>
        <v>0</v>
      </c>
    </row>
    <row r="22">
      <c r="A22" s="10" t="s">
        <v>26</v>
      </c>
      <c r="B22" s="11">
        <v>1000.0</v>
      </c>
      <c r="C22" s="12" t="s">
        <v>5</v>
      </c>
      <c r="D22" s="15">
        <v>75219.0</v>
      </c>
      <c r="F22" s="15">
        <f>IFERROR(__xludf.DUMMYFUNCTION("""COMPUTED_VALUE"""),75206.0)</f>
        <v>75206</v>
      </c>
      <c r="G22" s="26">
        <f t="shared" si="2"/>
        <v>38549.37</v>
      </c>
      <c r="J22" s="27">
        <f>IFERROR(__xludf.DUMMYFUNCTION("""COMPUTED_VALUE"""),75206.0)</f>
        <v>75206</v>
      </c>
      <c r="K22" s="28">
        <f t="shared" ref="K22:AT22" si="22">sumifs($B:$B,$D:$D,$J22,$C:$C,K$1)</f>
        <v>150</v>
      </c>
      <c r="L22" s="28">
        <f t="shared" si="22"/>
        <v>0</v>
      </c>
      <c r="M22" s="28">
        <f t="shared" si="22"/>
        <v>0</v>
      </c>
      <c r="N22" s="28">
        <f t="shared" si="22"/>
        <v>600</v>
      </c>
      <c r="O22" s="28">
        <f t="shared" si="22"/>
        <v>2000</v>
      </c>
      <c r="P22" s="28">
        <f t="shared" si="22"/>
        <v>1200</v>
      </c>
      <c r="Q22" s="28">
        <f t="shared" si="22"/>
        <v>500</v>
      </c>
      <c r="R22" s="28">
        <f t="shared" si="22"/>
        <v>0</v>
      </c>
      <c r="S22" s="28">
        <f t="shared" si="22"/>
        <v>1</v>
      </c>
      <c r="T22" s="28">
        <f t="shared" si="22"/>
        <v>0</v>
      </c>
      <c r="U22" s="28">
        <f t="shared" si="22"/>
        <v>250</v>
      </c>
      <c r="V22" s="28">
        <f t="shared" si="22"/>
        <v>0</v>
      </c>
      <c r="W22" s="28">
        <f t="shared" si="22"/>
        <v>650</v>
      </c>
      <c r="X22" s="28">
        <f t="shared" si="22"/>
        <v>1300</v>
      </c>
      <c r="Y22" s="28">
        <f t="shared" si="22"/>
        <v>500</v>
      </c>
      <c r="Z22" s="28">
        <f t="shared" si="22"/>
        <v>100</v>
      </c>
      <c r="AA22" s="28">
        <f t="shared" si="22"/>
        <v>102</v>
      </c>
      <c r="AB22" s="28">
        <f t="shared" si="22"/>
        <v>4000</v>
      </c>
      <c r="AC22" s="28">
        <f t="shared" si="22"/>
        <v>4285.04</v>
      </c>
      <c r="AD22" s="28">
        <f t="shared" si="22"/>
        <v>3000</v>
      </c>
      <c r="AE22" s="28">
        <f t="shared" si="22"/>
        <v>0</v>
      </c>
      <c r="AF22" s="28">
        <f t="shared" si="22"/>
        <v>2350</v>
      </c>
      <c r="AG22" s="28">
        <f t="shared" si="22"/>
        <v>0</v>
      </c>
      <c r="AH22" s="28">
        <f t="shared" si="22"/>
        <v>4856.33</v>
      </c>
      <c r="AI22" s="28">
        <f t="shared" si="22"/>
        <v>5920</v>
      </c>
      <c r="AJ22" s="28">
        <f t="shared" si="22"/>
        <v>2485</v>
      </c>
      <c r="AK22" s="28">
        <f t="shared" si="22"/>
        <v>1200</v>
      </c>
      <c r="AL22" s="28">
        <f t="shared" si="22"/>
        <v>1000</v>
      </c>
      <c r="AM22" s="28">
        <f t="shared" si="22"/>
        <v>0</v>
      </c>
      <c r="AN22" s="28">
        <f t="shared" si="22"/>
        <v>0</v>
      </c>
      <c r="AO22" s="28">
        <f t="shared" si="22"/>
        <v>0</v>
      </c>
      <c r="AP22" s="28">
        <f t="shared" si="22"/>
        <v>0</v>
      </c>
      <c r="AQ22" s="28">
        <f t="shared" si="22"/>
        <v>2000</v>
      </c>
      <c r="AR22" s="28">
        <f t="shared" si="22"/>
        <v>0</v>
      </c>
      <c r="AS22" s="28">
        <f t="shared" si="22"/>
        <v>100</v>
      </c>
      <c r="AT22" s="28">
        <f t="shared" si="22"/>
        <v>0</v>
      </c>
    </row>
    <row r="23">
      <c r="A23" s="10" t="s">
        <v>27</v>
      </c>
      <c r="B23" s="11">
        <v>1000.0</v>
      </c>
      <c r="C23" s="12" t="s">
        <v>5</v>
      </c>
      <c r="D23" s="15">
        <v>75229.0</v>
      </c>
      <c r="F23" s="15">
        <f>IFERROR(__xludf.DUMMYFUNCTION("""COMPUTED_VALUE"""),75165.0)</f>
        <v>75165</v>
      </c>
      <c r="G23" s="26">
        <f t="shared" si="2"/>
        <v>200</v>
      </c>
      <c r="J23" s="27">
        <f>IFERROR(__xludf.DUMMYFUNCTION("""COMPUTED_VALUE"""),75165.0)</f>
        <v>75165</v>
      </c>
      <c r="K23" s="28">
        <f t="shared" ref="K23:AT23" si="23">sumifs($B:$B,$D:$D,$J23,$C:$C,K$1)</f>
        <v>0</v>
      </c>
      <c r="L23" s="28">
        <f t="shared" si="23"/>
        <v>0</v>
      </c>
      <c r="M23" s="28">
        <f t="shared" si="23"/>
        <v>0</v>
      </c>
      <c r="N23" s="28">
        <f t="shared" si="23"/>
        <v>0</v>
      </c>
      <c r="O23" s="28">
        <f t="shared" si="23"/>
        <v>200</v>
      </c>
      <c r="P23" s="28">
        <f t="shared" si="23"/>
        <v>0</v>
      </c>
      <c r="Q23" s="28">
        <f t="shared" si="23"/>
        <v>0</v>
      </c>
      <c r="R23" s="28">
        <f t="shared" si="23"/>
        <v>0</v>
      </c>
      <c r="S23" s="28">
        <f t="shared" si="23"/>
        <v>0</v>
      </c>
      <c r="T23" s="28">
        <f t="shared" si="23"/>
        <v>0</v>
      </c>
      <c r="U23" s="28">
        <f t="shared" si="23"/>
        <v>0</v>
      </c>
      <c r="V23" s="28">
        <f t="shared" si="23"/>
        <v>0</v>
      </c>
      <c r="W23" s="28">
        <f t="shared" si="23"/>
        <v>0</v>
      </c>
      <c r="X23" s="28">
        <f t="shared" si="23"/>
        <v>0</v>
      </c>
      <c r="Y23" s="28">
        <f t="shared" si="23"/>
        <v>0</v>
      </c>
      <c r="Z23" s="28">
        <f t="shared" si="23"/>
        <v>0</v>
      </c>
      <c r="AA23" s="28">
        <f t="shared" si="23"/>
        <v>0</v>
      </c>
      <c r="AB23" s="28">
        <f t="shared" si="23"/>
        <v>0</v>
      </c>
      <c r="AC23" s="28">
        <f t="shared" si="23"/>
        <v>0</v>
      </c>
      <c r="AD23" s="28">
        <f t="shared" si="23"/>
        <v>0</v>
      </c>
      <c r="AE23" s="28">
        <f t="shared" si="23"/>
        <v>0</v>
      </c>
      <c r="AF23" s="28">
        <f t="shared" si="23"/>
        <v>0</v>
      </c>
      <c r="AG23" s="28">
        <f t="shared" si="23"/>
        <v>0</v>
      </c>
      <c r="AH23" s="28">
        <f t="shared" si="23"/>
        <v>0</v>
      </c>
      <c r="AI23" s="28">
        <f t="shared" si="23"/>
        <v>0</v>
      </c>
      <c r="AJ23" s="28">
        <f t="shared" si="23"/>
        <v>0</v>
      </c>
      <c r="AK23" s="28">
        <f t="shared" si="23"/>
        <v>0</v>
      </c>
      <c r="AL23" s="28">
        <f t="shared" si="23"/>
        <v>0</v>
      </c>
      <c r="AM23" s="28">
        <f t="shared" si="23"/>
        <v>0</v>
      </c>
      <c r="AN23" s="28">
        <f t="shared" si="23"/>
        <v>0</v>
      </c>
      <c r="AO23" s="28">
        <f t="shared" si="23"/>
        <v>0</v>
      </c>
      <c r="AP23" s="28">
        <f t="shared" si="23"/>
        <v>0</v>
      </c>
      <c r="AQ23" s="28">
        <f t="shared" si="23"/>
        <v>0</v>
      </c>
      <c r="AR23" s="28">
        <f t="shared" si="23"/>
        <v>0</v>
      </c>
      <c r="AS23" s="28">
        <f t="shared" si="23"/>
        <v>0</v>
      </c>
      <c r="AT23" s="28">
        <f t="shared" si="23"/>
        <v>0</v>
      </c>
    </row>
    <row r="24">
      <c r="A24" s="10" t="s">
        <v>28</v>
      </c>
      <c r="B24" s="11">
        <v>1000.0</v>
      </c>
      <c r="C24" s="12" t="s">
        <v>5</v>
      </c>
      <c r="D24" s="15">
        <v>75229.0</v>
      </c>
      <c r="F24" s="15">
        <f>IFERROR(__xludf.DUMMYFUNCTION("""COMPUTED_VALUE"""),76179.0)</f>
        <v>76179</v>
      </c>
      <c r="G24" s="26">
        <f t="shared" si="2"/>
        <v>150</v>
      </c>
      <c r="J24" s="27">
        <f>IFERROR(__xludf.DUMMYFUNCTION("""COMPUTED_VALUE"""),76179.0)</f>
        <v>76179</v>
      </c>
      <c r="K24" s="28">
        <f t="shared" ref="K24:AT24" si="24">sumifs($B:$B,$D:$D,$J24,$C:$C,K$1)</f>
        <v>0</v>
      </c>
      <c r="L24" s="28">
        <f t="shared" si="24"/>
        <v>0</v>
      </c>
      <c r="M24" s="28">
        <f t="shared" si="24"/>
        <v>0</v>
      </c>
      <c r="N24" s="28">
        <f t="shared" si="24"/>
        <v>0</v>
      </c>
      <c r="O24" s="28">
        <f t="shared" si="24"/>
        <v>50</v>
      </c>
      <c r="P24" s="28">
        <f t="shared" si="24"/>
        <v>0</v>
      </c>
      <c r="Q24" s="28">
        <f t="shared" si="24"/>
        <v>0</v>
      </c>
      <c r="R24" s="28">
        <f t="shared" si="24"/>
        <v>0</v>
      </c>
      <c r="S24" s="28">
        <f t="shared" si="24"/>
        <v>0</v>
      </c>
      <c r="T24" s="28">
        <f t="shared" si="24"/>
        <v>0</v>
      </c>
      <c r="U24" s="28">
        <f t="shared" si="24"/>
        <v>0</v>
      </c>
      <c r="V24" s="28">
        <f t="shared" si="24"/>
        <v>0</v>
      </c>
      <c r="W24" s="28">
        <f t="shared" si="24"/>
        <v>0</v>
      </c>
      <c r="X24" s="28">
        <f t="shared" si="24"/>
        <v>0</v>
      </c>
      <c r="Y24" s="28">
        <f t="shared" si="24"/>
        <v>0</v>
      </c>
      <c r="Z24" s="28">
        <f t="shared" si="24"/>
        <v>0</v>
      </c>
      <c r="AA24" s="28">
        <f t="shared" si="24"/>
        <v>0</v>
      </c>
      <c r="AB24" s="28">
        <f t="shared" si="24"/>
        <v>0</v>
      </c>
      <c r="AC24" s="28">
        <f t="shared" si="24"/>
        <v>0</v>
      </c>
      <c r="AD24" s="28">
        <f t="shared" si="24"/>
        <v>0</v>
      </c>
      <c r="AE24" s="28">
        <f t="shared" si="24"/>
        <v>0</v>
      </c>
      <c r="AF24" s="28">
        <f t="shared" si="24"/>
        <v>0</v>
      </c>
      <c r="AG24" s="28">
        <f t="shared" si="24"/>
        <v>0</v>
      </c>
      <c r="AH24" s="28">
        <f t="shared" si="24"/>
        <v>0</v>
      </c>
      <c r="AI24" s="28">
        <f t="shared" si="24"/>
        <v>0</v>
      </c>
      <c r="AJ24" s="28">
        <f t="shared" si="24"/>
        <v>0</v>
      </c>
      <c r="AK24" s="28">
        <f t="shared" si="24"/>
        <v>0</v>
      </c>
      <c r="AL24" s="28">
        <f t="shared" si="24"/>
        <v>0</v>
      </c>
      <c r="AM24" s="28">
        <f t="shared" si="24"/>
        <v>0</v>
      </c>
      <c r="AN24" s="28">
        <f t="shared" si="24"/>
        <v>0</v>
      </c>
      <c r="AO24" s="28">
        <f t="shared" si="24"/>
        <v>0</v>
      </c>
      <c r="AP24" s="28">
        <f t="shared" si="24"/>
        <v>0</v>
      </c>
      <c r="AQ24" s="28">
        <f t="shared" si="24"/>
        <v>100</v>
      </c>
      <c r="AR24" s="28">
        <f t="shared" si="24"/>
        <v>0</v>
      </c>
      <c r="AS24" s="28">
        <f t="shared" si="24"/>
        <v>0</v>
      </c>
      <c r="AT24" s="28">
        <f t="shared" si="24"/>
        <v>0</v>
      </c>
    </row>
    <row r="25">
      <c r="A25" s="10" t="s">
        <v>29</v>
      </c>
      <c r="B25" s="11">
        <v>100.0</v>
      </c>
      <c r="C25" s="12" t="s">
        <v>5</v>
      </c>
      <c r="D25" s="15">
        <v>75225.0</v>
      </c>
      <c r="F25" s="15">
        <f>IFERROR(__xludf.DUMMYFUNCTION("""COMPUTED_VALUE"""),75237.0)</f>
        <v>75237</v>
      </c>
      <c r="G25" s="26">
        <f t="shared" si="2"/>
        <v>4220</v>
      </c>
      <c r="J25" s="27">
        <f>IFERROR(__xludf.DUMMYFUNCTION("""COMPUTED_VALUE"""),75237.0)</f>
        <v>75237</v>
      </c>
      <c r="K25" s="28">
        <f t="shared" ref="K25:AT25" si="25">sumifs($B:$B,$D:$D,$J25,$C:$C,K$1)</f>
        <v>0</v>
      </c>
      <c r="L25" s="28">
        <f t="shared" si="25"/>
        <v>0</v>
      </c>
      <c r="M25" s="28">
        <f t="shared" si="25"/>
        <v>0</v>
      </c>
      <c r="N25" s="28">
        <f t="shared" si="25"/>
        <v>500</v>
      </c>
      <c r="O25" s="28">
        <f t="shared" si="25"/>
        <v>500</v>
      </c>
      <c r="P25" s="28">
        <f t="shared" si="25"/>
        <v>0</v>
      </c>
      <c r="Q25" s="28">
        <f t="shared" si="25"/>
        <v>60</v>
      </c>
      <c r="R25" s="28">
        <f t="shared" si="25"/>
        <v>0</v>
      </c>
      <c r="S25" s="28">
        <f t="shared" si="25"/>
        <v>0</v>
      </c>
      <c r="T25" s="28">
        <f t="shared" si="25"/>
        <v>0</v>
      </c>
      <c r="U25" s="28">
        <f t="shared" si="25"/>
        <v>0</v>
      </c>
      <c r="V25" s="28">
        <f t="shared" si="25"/>
        <v>0</v>
      </c>
      <c r="W25" s="28">
        <f t="shared" si="25"/>
        <v>0</v>
      </c>
      <c r="X25" s="28">
        <f t="shared" si="25"/>
        <v>0</v>
      </c>
      <c r="Y25" s="28">
        <f t="shared" si="25"/>
        <v>0</v>
      </c>
      <c r="Z25" s="28">
        <f t="shared" si="25"/>
        <v>0</v>
      </c>
      <c r="AA25" s="28">
        <f t="shared" si="25"/>
        <v>0</v>
      </c>
      <c r="AB25" s="28">
        <f t="shared" si="25"/>
        <v>0</v>
      </c>
      <c r="AC25" s="28">
        <f t="shared" si="25"/>
        <v>0</v>
      </c>
      <c r="AD25" s="28">
        <f t="shared" si="25"/>
        <v>0</v>
      </c>
      <c r="AE25" s="28">
        <f t="shared" si="25"/>
        <v>0</v>
      </c>
      <c r="AF25" s="28">
        <f t="shared" si="25"/>
        <v>0</v>
      </c>
      <c r="AG25" s="28">
        <f t="shared" si="25"/>
        <v>0</v>
      </c>
      <c r="AH25" s="28">
        <f t="shared" si="25"/>
        <v>0</v>
      </c>
      <c r="AI25" s="28">
        <f t="shared" si="25"/>
        <v>2160</v>
      </c>
      <c r="AJ25" s="28">
        <f t="shared" si="25"/>
        <v>0</v>
      </c>
      <c r="AK25" s="28">
        <f t="shared" si="25"/>
        <v>1000</v>
      </c>
      <c r="AL25" s="28">
        <f t="shared" si="25"/>
        <v>0</v>
      </c>
      <c r="AM25" s="28">
        <f t="shared" si="25"/>
        <v>0</v>
      </c>
      <c r="AN25" s="28">
        <f t="shared" si="25"/>
        <v>0</v>
      </c>
      <c r="AO25" s="28">
        <f t="shared" si="25"/>
        <v>0</v>
      </c>
      <c r="AP25" s="28">
        <f t="shared" si="25"/>
        <v>0</v>
      </c>
      <c r="AQ25" s="28">
        <f t="shared" si="25"/>
        <v>0</v>
      </c>
      <c r="AR25" s="28">
        <f t="shared" si="25"/>
        <v>0</v>
      </c>
      <c r="AS25" s="28">
        <f t="shared" si="25"/>
        <v>0</v>
      </c>
      <c r="AT25" s="28">
        <f t="shared" si="25"/>
        <v>0</v>
      </c>
    </row>
    <row r="26">
      <c r="A26" s="10" t="s">
        <v>30</v>
      </c>
      <c r="B26" s="11">
        <v>1000.0</v>
      </c>
      <c r="C26" s="12" t="s">
        <v>5</v>
      </c>
      <c r="D26" s="15">
        <v>75220.0</v>
      </c>
      <c r="F26" s="15">
        <f>IFERROR(__xludf.DUMMYFUNCTION("""COMPUTED_VALUE"""),75115.0)</f>
        <v>75115</v>
      </c>
      <c r="G26" s="26">
        <f t="shared" si="2"/>
        <v>25035</v>
      </c>
      <c r="J26" s="27">
        <f>IFERROR(__xludf.DUMMYFUNCTION("""COMPUTED_VALUE"""),75115.0)</f>
        <v>75115</v>
      </c>
      <c r="K26" s="28">
        <f t="shared" ref="K26:AT26" si="26">sumifs($B:$B,$D:$D,$J26,$C:$C,K$1)</f>
        <v>0</v>
      </c>
      <c r="L26" s="28">
        <f t="shared" si="26"/>
        <v>0</v>
      </c>
      <c r="M26" s="28">
        <f t="shared" si="26"/>
        <v>200</v>
      </c>
      <c r="N26" s="28">
        <f t="shared" si="26"/>
        <v>850</v>
      </c>
      <c r="O26" s="28">
        <f t="shared" si="26"/>
        <v>0</v>
      </c>
      <c r="P26" s="28">
        <f t="shared" si="26"/>
        <v>4800</v>
      </c>
      <c r="Q26" s="28">
        <f t="shared" si="26"/>
        <v>275</v>
      </c>
      <c r="R26" s="28">
        <f t="shared" si="26"/>
        <v>0</v>
      </c>
      <c r="S26" s="28">
        <f t="shared" si="26"/>
        <v>0</v>
      </c>
      <c r="T26" s="28">
        <f t="shared" si="26"/>
        <v>0</v>
      </c>
      <c r="U26" s="28">
        <f t="shared" si="26"/>
        <v>1800</v>
      </c>
      <c r="V26" s="28">
        <f t="shared" si="26"/>
        <v>400</v>
      </c>
      <c r="W26" s="28">
        <f t="shared" si="26"/>
        <v>1000</v>
      </c>
      <c r="X26" s="28">
        <f t="shared" si="26"/>
        <v>0</v>
      </c>
      <c r="Y26" s="28">
        <f t="shared" si="26"/>
        <v>0</v>
      </c>
      <c r="Z26" s="28">
        <f t="shared" si="26"/>
        <v>0</v>
      </c>
      <c r="AA26" s="28">
        <f t="shared" si="26"/>
        <v>0</v>
      </c>
      <c r="AB26" s="28">
        <f t="shared" si="26"/>
        <v>0</v>
      </c>
      <c r="AC26" s="28">
        <f t="shared" si="26"/>
        <v>2000</v>
      </c>
      <c r="AD26" s="28">
        <f t="shared" si="26"/>
        <v>0</v>
      </c>
      <c r="AE26" s="28">
        <f t="shared" si="26"/>
        <v>0</v>
      </c>
      <c r="AF26" s="28">
        <f t="shared" si="26"/>
        <v>0</v>
      </c>
      <c r="AG26" s="28">
        <f t="shared" si="26"/>
        <v>0</v>
      </c>
      <c r="AH26" s="28">
        <f t="shared" si="26"/>
        <v>0</v>
      </c>
      <c r="AI26" s="28">
        <f t="shared" si="26"/>
        <v>7210</v>
      </c>
      <c r="AJ26" s="28">
        <f t="shared" si="26"/>
        <v>0</v>
      </c>
      <c r="AK26" s="28">
        <f t="shared" si="26"/>
        <v>6500</v>
      </c>
      <c r="AL26" s="28">
        <f t="shared" si="26"/>
        <v>0</v>
      </c>
      <c r="AM26" s="28">
        <f t="shared" si="26"/>
        <v>0</v>
      </c>
      <c r="AN26" s="28">
        <f t="shared" si="26"/>
        <v>0</v>
      </c>
      <c r="AO26" s="28">
        <f t="shared" si="26"/>
        <v>0</v>
      </c>
      <c r="AP26" s="28">
        <f t="shared" si="26"/>
        <v>0</v>
      </c>
      <c r="AQ26" s="28">
        <f t="shared" si="26"/>
        <v>0</v>
      </c>
      <c r="AR26" s="28">
        <f t="shared" si="26"/>
        <v>0</v>
      </c>
      <c r="AS26" s="28">
        <f t="shared" si="26"/>
        <v>0</v>
      </c>
      <c r="AT26" s="28">
        <f t="shared" si="26"/>
        <v>0</v>
      </c>
    </row>
    <row r="27">
      <c r="A27" s="10" t="s">
        <v>31</v>
      </c>
      <c r="B27" s="11">
        <v>100.0</v>
      </c>
      <c r="C27" s="12" t="s">
        <v>5</v>
      </c>
      <c r="D27" s="15">
        <v>75244.0</v>
      </c>
      <c r="F27" s="15">
        <f>IFERROR(__xludf.DUMMYFUNCTION("""COMPUTED_VALUE"""),75204.0)</f>
        <v>75204</v>
      </c>
      <c r="G27" s="26">
        <f t="shared" si="2"/>
        <v>33366.54</v>
      </c>
      <c r="J27" s="27">
        <f>IFERROR(__xludf.DUMMYFUNCTION("""COMPUTED_VALUE"""),75204.0)</f>
        <v>75204</v>
      </c>
      <c r="K27" s="28">
        <f t="shared" ref="K27:AT27" si="27">sumifs($B:$B,$D:$D,$J27,$C:$C,K$1)</f>
        <v>1250</v>
      </c>
      <c r="L27" s="28">
        <f t="shared" si="27"/>
        <v>0</v>
      </c>
      <c r="M27" s="28">
        <f t="shared" si="27"/>
        <v>500</v>
      </c>
      <c r="N27" s="28">
        <f t="shared" si="27"/>
        <v>1650</v>
      </c>
      <c r="O27" s="28">
        <f t="shared" si="27"/>
        <v>0</v>
      </c>
      <c r="P27" s="28">
        <f t="shared" si="27"/>
        <v>2150</v>
      </c>
      <c r="Q27" s="28">
        <f t="shared" si="27"/>
        <v>20</v>
      </c>
      <c r="R27" s="28">
        <f t="shared" si="27"/>
        <v>0</v>
      </c>
      <c r="S27" s="28">
        <f t="shared" si="27"/>
        <v>0</v>
      </c>
      <c r="T27" s="28">
        <f t="shared" si="27"/>
        <v>0</v>
      </c>
      <c r="U27" s="28">
        <f t="shared" si="27"/>
        <v>0</v>
      </c>
      <c r="V27" s="28">
        <f t="shared" si="27"/>
        <v>0</v>
      </c>
      <c r="W27" s="28">
        <f t="shared" si="27"/>
        <v>2275</v>
      </c>
      <c r="X27" s="28">
        <f t="shared" si="27"/>
        <v>0</v>
      </c>
      <c r="Y27" s="28">
        <f t="shared" si="27"/>
        <v>0</v>
      </c>
      <c r="Z27" s="28">
        <f t="shared" si="27"/>
        <v>825</v>
      </c>
      <c r="AA27" s="28">
        <f t="shared" si="27"/>
        <v>0</v>
      </c>
      <c r="AB27" s="28">
        <f t="shared" si="27"/>
        <v>0</v>
      </c>
      <c r="AC27" s="28">
        <f t="shared" si="27"/>
        <v>3924.7</v>
      </c>
      <c r="AD27" s="28">
        <f t="shared" si="27"/>
        <v>0</v>
      </c>
      <c r="AE27" s="28">
        <f t="shared" si="27"/>
        <v>0</v>
      </c>
      <c r="AF27" s="28">
        <f t="shared" si="27"/>
        <v>2200</v>
      </c>
      <c r="AG27" s="28">
        <f t="shared" si="27"/>
        <v>0</v>
      </c>
      <c r="AH27" s="28">
        <f t="shared" si="27"/>
        <v>4221.84</v>
      </c>
      <c r="AI27" s="28">
        <f t="shared" si="27"/>
        <v>12050</v>
      </c>
      <c r="AJ27" s="28">
        <f t="shared" si="27"/>
        <v>50</v>
      </c>
      <c r="AK27" s="28">
        <f t="shared" si="27"/>
        <v>1000</v>
      </c>
      <c r="AL27" s="28">
        <f t="shared" si="27"/>
        <v>1250</v>
      </c>
      <c r="AM27" s="28">
        <f t="shared" si="27"/>
        <v>0</v>
      </c>
      <c r="AN27" s="28">
        <f t="shared" si="27"/>
        <v>0</v>
      </c>
      <c r="AO27" s="28">
        <f t="shared" si="27"/>
        <v>0</v>
      </c>
      <c r="AP27" s="28">
        <f t="shared" si="27"/>
        <v>0</v>
      </c>
      <c r="AQ27" s="28">
        <f t="shared" si="27"/>
        <v>0</v>
      </c>
      <c r="AR27" s="28">
        <f t="shared" si="27"/>
        <v>0</v>
      </c>
      <c r="AS27" s="28">
        <f t="shared" si="27"/>
        <v>0</v>
      </c>
      <c r="AT27" s="28">
        <f t="shared" si="27"/>
        <v>0</v>
      </c>
    </row>
    <row r="28">
      <c r="A28" s="10" t="s">
        <v>32</v>
      </c>
      <c r="B28" s="11">
        <v>100.0</v>
      </c>
      <c r="C28" s="12" t="s">
        <v>33</v>
      </c>
      <c r="D28" s="15">
        <v>75231.0</v>
      </c>
      <c r="F28" s="15">
        <f>IFERROR(__xludf.DUMMYFUNCTION("""COMPUTED_VALUE"""),76226.0)</f>
        <v>76226</v>
      </c>
      <c r="G28" s="26">
        <f t="shared" si="2"/>
        <v>8048</v>
      </c>
      <c r="J28" s="27">
        <f>IFERROR(__xludf.DUMMYFUNCTION("""COMPUTED_VALUE"""),76226.0)</f>
        <v>76226</v>
      </c>
      <c r="K28" s="28">
        <f t="shared" ref="K28:AT28" si="28">sumifs($B:$B,$D:$D,$J28,$C:$C,K$1)</f>
        <v>0</v>
      </c>
      <c r="L28" s="28">
        <f t="shared" si="28"/>
        <v>0</v>
      </c>
      <c r="M28" s="28">
        <f t="shared" si="28"/>
        <v>0</v>
      </c>
      <c r="N28" s="28">
        <f t="shared" si="28"/>
        <v>0</v>
      </c>
      <c r="O28" s="28">
        <f t="shared" si="28"/>
        <v>0</v>
      </c>
      <c r="P28" s="28">
        <f t="shared" si="28"/>
        <v>1000</v>
      </c>
      <c r="Q28" s="28">
        <f t="shared" si="28"/>
        <v>0</v>
      </c>
      <c r="R28" s="28">
        <f t="shared" si="28"/>
        <v>0</v>
      </c>
      <c r="S28" s="28">
        <f t="shared" si="28"/>
        <v>0</v>
      </c>
      <c r="T28" s="28">
        <f t="shared" si="28"/>
        <v>0</v>
      </c>
      <c r="U28" s="28">
        <f t="shared" si="28"/>
        <v>0</v>
      </c>
      <c r="V28" s="28">
        <f t="shared" si="28"/>
        <v>0</v>
      </c>
      <c r="W28" s="28">
        <f t="shared" si="28"/>
        <v>0</v>
      </c>
      <c r="X28" s="28">
        <f t="shared" si="28"/>
        <v>0</v>
      </c>
      <c r="Y28" s="28">
        <f t="shared" si="28"/>
        <v>0</v>
      </c>
      <c r="Z28" s="28">
        <f t="shared" si="28"/>
        <v>0</v>
      </c>
      <c r="AA28" s="28">
        <f t="shared" si="28"/>
        <v>0</v>
      </c>
      <c r="AB28" s="28">
        <f t="shared" si="28"/>
        <v>0</v>
      </c>
      <c r="AC28" s="28">
        <f t="shared" si="28"/>
        <v>948</v>
      </c>
      <c r="AD28" s="28">
        <f t="shared" si="28"/>
        <v>0</v>
      </c>
      <c r="AE28" s="28">
        <f t="shared" si="28"/>
        <v>0</v>
      </c>
      <c r="AF28" s="28">
        <f t="shared" si="28"/>
        <v>1000</v>
      </c>
      <c r="AG28" s="28">
        <f t="shared" si="28"/>
        <v>0</v>
      </c>
      <c r="AH28" s="28">
        <f t="shared" si="28"/>
        <v>0</v>
      </c>
      <c r="AI28" s="28">
        <f t="shared" si="28"/>
        <v>5000</v>
      </c>
      <c r="AJ28" s="28">
        <f t="shared" si="28"/>
        <v>0</v>
      </c>
      <c r="AK28" s="28">
        <f t="shared" si="28"/>
        <v>0</v>
      </c>
      <c r="AL28" s="28">
        <f t="shared" si="28"/>
        <v>100</v>
      </c>
      <c r="AM28" s="28">
        <f t="shared" si="28"/>
        <v>0</v>
      </c>
      <c r="AN28" s="28">
        <f t="shared" si="28"/>
        <v>0</v>
      </c>
      <c r="AO28" s="28">
        <f t="shared" si="28"/>
        <v>0</v>
      </c>
      <c r="AP28" s="28">
        <f t="shared" si="28"/>
        <v>0</v>
      </c>
      <c r="AQ28" s="28">
        <f t="shared" si="28"/>
        <v>0</v>
      </c>
      <c r="AR28" s="28">
        <f t="shared" si="28"/>
        <v>0</v>
      </c>
      <c r="AS28" s="28">
        <f t="shared" si="28"/>
        <v>0</v>
      </c>
      <c r="AT28" s="28">
        <f t="shared" si="28"/>
        <v>0</v>
      </c>
    </row>
    <row r="29">
      <c r="A29" s="10" t="s">
        <v>34</v>
      </c>
      <c r="B29" s="11">
        <v>2000.0</v>
      </c>
      <c r="C29" s="12" t="s">
        <v>35</v>
      </c>
      <c r="D29" s="15">
        <v>75226.0</v>
      </c>
      <c r="F29" s="15">
        <f>IFERROR(__xludf.DUMMYFUNCTION("""COMPUTED_VALUE"""),75382.0)</f>
        <v>75382</v>
      </c>
      <c r="G29" s="26">
        <f t="shared" si="2"/>
        <v>100</v>
      </c>
      <c r="J29" s="27">
        <f>IFERROR(__xludf.DUMMYFUNCTION("""COMPUTED_VALUE"""),75382.0)</f>
        <v>75382</v>
      </c>
      <c r="K29" s="28">
        <f t="shared" ref="K29:AT29" si="29">sumifs($B:$B,$D:$D,$J29,$C:$C,K$1)</f>
        <v>0</v>
      </c>
      <c r="L29" s="28">
        <f t="shared" si="29"/>
        <v>0</v>
      </c>
      <c r="M29" s="28">
        <f t="shared" si="29"/>
        <v>0</v>
      </c>
      <c r="N29" s="28">
        <f t="shared" si="29"/>
        <v>0</v>
      </c>
      <c r="O29" s="28">
        <f t="shared" si="29"/>
        <v>0</v>
      </c>
      <c r="P29" s="28">
        <f t="shared" si="29"/>
        <v>100</v>
      </c>
      <c r="Q29" s="28">
        <f t="shared" si="29"/>
        <v>0</v>
      </c>
      <c r="R29" s="28">
        <f t="shared" si="29"/>
        <v>0</v>
      </c>
      <c r="S29" s="28">
        <f t="shared" si="29"/>
        <v>0</v>
      </c>
      <c r="T29" s="28">
        <f t="shared" si="29"/>
        <v>0</v>
      </c>
      <c r="U29" s="28">
        <f t="shared" si="29"/>
        <v>0</v>
      </c>
      <c r="V29" s="28">
        <f t="shared" si="29"/>
        <v>0</v>
      </c>
      <c r="W29" s="28">
        <f t="shared" si="29"/>
        <v>0</v>
      </c>
      <c r="X29" s="28">
        <f t="shared" si="29"/>
        <v>0</v>
      </c>
      <c r="Y29" s="28">
        <f t="shared" si="29"/>
        <v>0</v>
      </c>
      <c r="Z29" s="28">
        <f t="shared" si="29"/>
        <v>0</v>
      </c>
      <c r="AA29" s="28">
        <f t="shared" si="29"/>
        <v>0</v>
      </c>
      <c r="AB29" s="28">
        <f t="shared" si="29"/>
        <v>0</v>
      </c>
      <c r="AC29" s="28">
        <f t="shared" si="29"/>
        <v>0</v>
      </c>
      <c r="AD29" s="28">
        <f t="shared" si="29"/>
        <v>0</v>
      </c>
      <c r="AE29" s="28">
        <f t="shared" si="29"/>
        <v>0</v>
      </c>
      <c r="AF29" s="28">
        <f t="shared" si="29"/>
        <v>0</v>
      </c>
      <c r="AG29" s="28">
        <f t="shared" si="29"/>
        <v>0</v>
      </c>
      <c r="AH29" s="28">
        <f t="shared" si="29"/>
        <v>0</v>
      </c>
      <c r="AI29" s="28">
        <f t="shared" si="29"/>
        <v>0</v>
      </c>
      <c r="AJ29" s="28">
        <f t="shared" si="29"/>
        <v>0</v>
      </c>
      <c r="AK29" s="28">
        <f t="shared" si="29"/>
        <v>0</v>
      </c>
      <c r="AL29" s="28">
        <f t="shared" si="29"/>
        <v>0</v>
      </c>
      <c r="AM29" s="28">
        <f t="shared" si="29"/>
        <v>0</v>
      </c>
      <c r="AN29" s="28">
        <f t="shared" si="29"/>
        <v>0</v>
      </c>
      <c r="AO29" s="28">
        <f t="shared" si="29"/>
        <v>0</v>
      </c>
      <c r="AP29" s="28">
        <f t="shared" si="29"/>
        <v>0</v>
      </c>
      <c r="AQ29" s="28">
        <f t="shared" si="29"/>
        <v>0</v>
      </c>
      <c r="AR29" s="28">
        <f t="shared" si="29"/>
        <v>0</v>
      </c>
      <c r="AS29" s="28">
        <f t="shared" si="29"/>
        <v>0</v>
      </c>
      <c r="AT29" s="28">
        <f t="shared" si="29"/>
        <v>0</v>
      </c>
    </row>
    <row r="30">
      <c r="A30" s="5" t="s">
        <v>36</v>
      </c>
      <c r="B30" s="6">
        <v>2000.0</v>
      </c>
      <c r="C30" s="7" t="s">
        <v>35</v>
      </c>
      <c r="D30" s="15">
        <v>78746.0</v>
      </c>
      <c r="F30" s="15">
        <f>IFERROR(__xludf.DUMMYFUNCTION("""COMPUTED_VALUE"""),75228.0)</f>
        <v>75228</v>
      </c>
      <c r="G30" s="26">
        <f t="shared" si="2"/>
        <v>8890</v>
      </c>
      <c r="J30" s="27">
        <f>IFERROR(__xludf.DUMMYFUNCTION("""COMPUTED_VALUE"""),75228.0)</f>
        <v>75228</v>
      </c>
      <c r="K30" s="28">
        <f t="shared" ref="K30:AT30" si="30">sumifs($B:$B,$D:$D,$J30,$C:$C,K$1)</f>
        <v>250</v>
      </c>
      <c r="L30" s="28">
        <f t="shared" si="30"/>
        <v>0</v>
      </c>
      <c r="M30" s="28">
        <f t="shared" si="30"/>
        <v>0</v>
      </c>
      <c r="N30" s="28">
        <f t="shared" si="30"/>
        <v>0</v>
      </c>
      <c r="O30" s="28">
        <f t="shared" si="30"/>
        <v>0</v>
      </c>
      <c r="P30" s="28">
        <f t="shared" si="30"/>
        <v>3150</v>
      </c>
      <c r="Q30" s="28">
        <f t="shared" si="30"/>
        <v>0</v>
      </c>
      <c r="R30" s="28">
        <f t="shared" si="30"/>
        <v>0</v>
      </c>
      <c r="S30" s="28">
        <f t="shared" si="30"/>
        <v>0</v>
      </c>
      <c r="T30" s="28">
        <f t="shared" si="30"/>
        <v>0</v>
      </c>
      <c r="U30" s="28">
        <f t="shared" si="30"/>
        <v>0</v>
      </c>
      <c r="V30" s="28">
        <f t="shared" si="30"/>
        <v>0</v>
      </c>
      <c r="W30" s="28">
        <f t="shared" si="30"/>
        <v>175</v>
      </c>
      <c r="X30" s="28">
        <f t="shared" si="30"/>
        <v>0</v>
      </c>
      <c r="Y30" s="28">
        <f t="shared" si="30"/>
        <v>0</v>
      </c>
      <c r="Z30" s="28">
        <f t="shared" si="30"/>
        <v>50</v>
      </c>
      <c r="AA30" s="28">
        <f t="shared" si="30"/>
        <v>1930</v>
      </c>
      <c r="AB30" s="28">
        <f t="shared" si="30"/>
        <v>0</v>
      </c>
      <c r="AC30" s="28">
        <f t="shared" si="30"/>
        <v>1550</v>
      </c>
      <c r="AD30" s="28">
        <f t="shared" si="30"/>
        <v>0</v>
      </c>
      <c r="AE30" s="28">
        <f t="shared" si="30"/>
        <v>0</v>
      </c>
      <c r="AF30" s="28">
        <f t="shared" si="30"/>
        <v>1100</v>
      </c>
      <c r="AG30" s="28">
        <f t="shared" si="30"/>
        <v>0</v>
      </c>
      <c r="AH30" s="28">
        <f t="shared" si="30"/>
        <v>50</v>
      </c>
      <c r="AI30" s="28">
        <f t="shared" si="30"/>
        <v>585</v>
      </c>
      <c r="AJ30" s="28">
        <f t="shared" si="30"/>
        <v>50</v>
      </c>
      <c r="AK30" s="28">
        <f t="shared" si="30"/>
        <v>0</v>
      </c>
      <c r="AL30" s="28">
        <f t="shared" si="30"/>
        <v>0</v>
      </c>
      <c r="AM30" s="28">
        <f t="shared" si="30"/>
        <v>0</v>
      </c>
      <c r="AN30" s="28">
        <f t="shared" si="30"/>
        <v>0</v>
      </c>
      <c r="AO30" s="28">
        <f t="shared" si="30"/>
        <v>0</v>
      </c>
      <c r="AP30" s="28">
        <f t="shared" si="30"/>
        <v>0</v>
      </c>
      <c r="AQ30" s="28">
        <f t="shared" si="30"/>
        <v>0</v>
      </c>
      <c r="AR30" s="28">
        <f t="shared" si="30"/>
        <v>0</v>
      </c>
      <c r="AS30" s="28">
        <f t="shared" si="30"/>
        <v>0</v>
      </c>
      <c r="AT30" s="28">
        <f t="shared" si="30"/>
        <v>0</v>
      </c>
    </row>
    <row r="31">
      <c r="A31" s="10" t="s">
        <v>37</v>
      </c>
      <c r="B31" s="11">
        <v>2000.0</v>
      </c>
      <c r="C31" s="12" t="s">
        <v>35</v>
      </c>
      <c r="D31" s="15">
        <v>78727.0</v>
      </c>
      <c r="F31" s="15">
        <f>IFERROR(__xludf.DUMMYFUNCTION("""COMPUTED_VALUE"""),75227.0)</f>
        <v>75227</v>
      </c>
      <c r="G31" s="26">
        <f t="shared" si="2"/>
        <v>3850</v>
      </c>
      <c r="J31" s="27">
        <f>IFERROR(__xludf.DUMMYFUNCTION("""COMPUTED_VALUE"""),75227.0)</f>
        <v>75227</v>
      </c>
      <c r="K31" s="28">
        <f t="shared" ref="K31:AT31" si="31">sumifs($B:$B,$D:$D,$J31,$C:$C,K$1)</f>
        <v>0</v>
      </c>
      <c r="L31" s="28">
        <f t="shared" si="31"/>
        <v>0</v>
      </c>
      <c r="M31" s="28">
        <f t="shared" si="31"/>
        <v>150</v>
      </c>
      <c r="N31" s="28">
        <f t="shared" si="31"/>
        <v>0</v>
      </c>
      <c r="O31" s="28">
        <f t="shared" si="31"/>
        <v>0</v>
      </c>
      <c r="P31" s="28">
        <f t="shared" si="31"/>
        <v>1125</v>
      </c>
      <c r="Q31" s="28">
        <f t="shared" si="31"/>
        <v>25</v>
      </c>
      <c r="R31" s="28">
        <f t="shared" si="31"/>
        <v>0</v>
      </c>
      <c r="S31" s="28">
        <f t="shared" si="31"/>
        <v>0</v>
      </c>
      <c r="T31" s="28">
        <f t="shared" si="31"/>
        <v>0</v>
      </c>
      <c r="U31" s="28">
        <f t="shared" si="31"/>
        <v>0</v>
      </c>
      <c r="V31" s="28">
        <f t="shared" si="31"/>
        <v>0</v>
      </c>
      <c r="W31" s="28">
        <f t="shared" si="31"/>
        <v>100</v>
      </c>
      <c r="X31" s="28">
        <f t="shared" si="31"/>
        <v>100</v>
      </c>
      <c r="Y31" s="28">
        <f t="shared" si="31"/>
        <v>0</v>
      </c>
      <c r="Z31" s="28">
        <f t="shared" si="31"/>
        <v>50</v>
      </c>
      <c r="AA31" s="28">
        <f t="shared" si="31"/>
        <v>0</v>
      </c>
      <c r="AB31" s="28">
        <f t="shared" si="31"/>
        <v>0</v>
      </c>
      <c r="AC31" s="28">
        <f t="shared" si="31"/>
        <v>0</v>
      </c>
      <c r="AD31" s="28">
        <f t="shared" si="31"/>
        <v>0</v>
      </c>
      <c r="AE31" s="28">
        <f t="shared" si="31"/>
        <v>0</v>
      </c>
      <c r="AF31" s="28">
        <f t="shared" si="31"/>
        <v>200</v>
      </c>
      <c r="AG31" s="28">
        <f t="shared" si="31"/>
        <v>0</v>
      </c>
      <c r="AH31" s="28">
        <f t="shared" si="31"/>
        <v>0</v>
      </c>
      <c r="AI31" s="28">
        <f t="shared" si="31"/>
        <v>100</v>
      </c>
      <c r="AJ31" s="28">
        <f t="shared" si="31"/>
        <v>0</v>
      </c>
      <c r="AK31" s="28">
        <f t="shared" si="31"/>
        <v>0</v>
      </c>
      <c r="AL31" s="28">
        <f t="shared" si="31"/>
        <v>0</v>
      </c>
      <c r="AM31" s="28">
        <f t="shared" si="31"/>
        <v>2000</v>
      </c>
      <c r="AN31" s="28">
        <f t="shared" si="31"/>
        <v>0</v>
      </c>
      <c r="AO31" s="28">
        <f t="shared" si="31"/>
        <v>0</v>
      </c>
      <c r="AP31" s="28">
        <f t="shared" si="31"/>
        <v>0</v>
      </c>
      <c r="AQ31" s="28">
        <f t="shared" si="31"/>
        <v>0</v>
      </c>
      <c r="AR31" s="28">
        <f t="shared" si="31"/>
        <v>0</v>
      </c>
      <c r="AS31" s="28">
        <f t="shared" si="31"/>
        <v>0</v>
      </c>
      <c r="AT31" s="28">
        <f t="shared" si="31"/>
        <v>0</v>
      </c>
    </row>
    <row r="32">
      <c r="A32" s="5" t="s">
        <v>38</v>
      </c>
      <c r="B32" s="6">
        <v>2000.0</v>
      </c>
      <c r="C32" s="7" t="s">
        <v>35</v>
      </c>
      <c r="D32" s="15">
        <v>78664.0</v>
      </c>
      <c r="F32" s="15">
        <f>IFERROR(__xludf.DUMMYFUNCTION("""COMPUTED_VALUE"""),75002.0)</f>
        <v>75002</v>
      </c>
      <c r="G32" s="26">
        <f t="shared" si="2"/>
        <v>2500</v>
      </c>
      <c r="J32" s="27">
        <f>IFERROR(__xludf.DUMMYFUNCTION("""COMPUTED_VALUE"""),75002.0)</f>
        <v>75002</v>
      </c>
      <c r="K32" s="28">
        <f t="shared" ref="K32:AT32" si="32">sumifs($B:$B,$D:$D,$J32,$C:$C,K$1)</f>
        <v>0</v>
      </c>
      <c r="L32" s="28">
        <f t="shared" si="32"/>
        <v>0</v>
      </c>
      <c r="M32" s="28">
        <f t="shared" si="32"/>
        <v>100</v>
      </c>
      <c r="N32" s="28">
        <f t="shared" si="32"/>
        <v>0</v>
      </c>
      <c r="O32" s="28">
        <f t="shared" si="32"/>
        <v>0</v>
      </c>
      <c r="P32" s="28">
        <f t="shared" si="32"/>
        <v>400</v>
      </c>
      <c r="Q32" s="28">
        <f t="shared" si="32"/>
        <v>0</v>
      </c>
      <c r="R32" s="28">
        <f t="shared" si="32"/>
        <v>0</v>
      </c>
      <c r="S32" s="28">
        <f t="shared" si="32"/>
        <v>0</v>
      </c>
      <c r="T32" s="28">
        <f t="shared" si="32"/>
        <v>0</v>
      </c>
      <c r="U32" s="28">
        <f t="shared" si="32"/>
        <v>0</v>
      </c>
      <c r="V32" s="28">
        <f t="shared" si="32"/>
        <v>0</v>
      </c>
      <c r="W32" s="28">
        <f t="shared" si="32"/>
        <v>0</v>
      </c>
      <c r="X32" s="28">
        <f t="shared" si="32"/>
        <v>0</v>
      </c>
      <c r="Y32" s="28">
        <f t="shared" si="32"/>
        <v>0</v>
      </c>
      <c r="Z32" s="28">
        <f t="shared" si="32"/>
        <v>0</v>
      </c>
      <c r="AA32" s="28">
        <f t="shared" si="32"/>
        <v>0</v>
      </c>
      <c r="AB32" s="28">
        <f t="shared" si="32"/>
        <v>0</v>
      </c>
      <c r="AC32" s="28">
        <f t="shared" si="32"/>
        <v>0</v>
      </c>
      <c r="AD32" s="28">
        <f t="shared" si="32"/>
        <v>0</v>
      </c>
      <c r="AE32" s="28">
        <f t="shared" si="32"/>
        <v>0</v>
      </c>
      <c r="AF32" s="28">
        <f t="shared" si="32"/>
        <v>1000</v>
      </c>
      <c r="AG32" s="28">
        <f t="shared" si="32"/>
        <v>0</v>
      </c>
      <c r="AH32" s="28">
        <f t="shared" si="32"/>
        <v>500</v>
      </c>
      <c r="AI32" s="28">
        <f t="shared" si="32"/>
        <v>0</v>
      </c>
      <c r="AJ32" s="28">
        <f t="shared" si="32"/>
        <v>0</v>
      </c>
      <c r="AK32" s="28">
        <f t="shared" si="32"/>
        <v>500</v>
      </c>
      <c r="AL32" s="28">
        <f t="shared" si="32"/>
        <v>0</v>
      </c>
      <c r="AM32" s="28">
        <f t="shared" si="32"/>
        <v>0</v>
      </c>
      <c r="AN32" s="28">
        <f t="shared" si="32"/>
        <v>0</v>
      </c>
      <c r="AO32" s="28">
        <f t="shared" si="32"/>
        <v>0</v>
      </c>
      <c r="AP32" s="28">
        <f t="shared" si="32"/>
        <v>0</v>
      </c>
      <c r="AQ32" s="28">
        <f t="shared" si="32"/>
        <v>0</v>
      </c>
      <c r="AR32" s="28">
        <f t="shared" si="32"/>
        <v>0</v>
      </c>
      <c r="AS32" s="28">
        <f t="shared" si="32"/>
        <v>0</v>
      </c>
      <c r="AT32" s="28">
        <f t="shared" si="32"/>
        <v>0</v>
      </c>
    </row>
    <row r="33">
      <c r="A33" s="10" t="s">
        <v>39</v>
      </c>
      <c r="B33" s="11">
        <v>2000.0</v>
      </c>
      <c r="C33" s="12" t="s">
        <v>35</v>
      </c>
      <c r="D33" s="15">
        <v>75024.0</v>
      </c>
      <c r="F33" s="15">
        <f>IFERROR(__xludf.DUMMYFUNCTION("""COMPUTED_VALUE"""),75202.0)</f>
        <v>75202</v>
      </c>
      <c r="G33" s="26">
        <f t="shared" si="2"/>
        <v>7252</v>
      </c>
      <c r="J33" s="27">
        <f>IFERROR(__xludf.DUMMYFUNCTION("""COMPUTED_VALUE"""),75202.0)</f>
        <v>75202</v>
      </c>
      <c r="K33" s="28">
        <f t="shared" ref="K33:AT33" si="33">sumifs($B:$B,$D:$D,$J33,$C:$C,K$1)</f>
        <v>0</v>
      </c>
      <c r="L33" s="28">
        <f t="shared" si="33"/>
        <v>0</v>
      </c>
      <c r="M33" s="28">
        <f t="shared" si="33"/>
        <v>1</v>
      </c>
      <c r="N33" s="28">
        <f t="shared" si="33"/>
        <v>100</v>
      </c>
      <c r="O33" s="28">
        <f t="shared" si="33"/>
        <v>0</v>
      </c>
      <c r="P33" s="28">
        <f t="shared" si="33"/>
        <v>450</v>
      </c>
      <c r="Q33" s="28">
        <f t="shared" si="33"/>
        <v>0</v>
      </c>
      <c r="R33" s="28">
        <f t="shared" si="33"/>
        <v>0</v>
      </c>
      <c r="S33" s="28">
        <f t="shared" si="33"/>
        <v>0</v>
      </c>
      <c r="T33" s="28">
        <f t="shared" si="33"/>
        <v>0</v>
      </c>
      <c r="U33" s="28">
        <f t="shared" si="33"/>
        <v>0</v>
      </c>
      <c r="V33" s="28">
        <f t="shared" si="33"/>
        <v>0</v>
      </c>
      <c r="W33" s="28">
        <f t="shared" si="33"/>
        <v>100</v>
      </c>
      <c r="X33" s="28">
        <f t="shared" si="33"/>
        <v>0</v>
      </c>
      <c r="Y33" s="28">
        <f t="shared" si="33"/>
        <v>0</v>
      </c>
      <c r="Z33" s="28">
        <f t="shared" si="33"/>
        <v>250</v>
      </c>
      <c r="AA33" s="28">
        <f t="shared" si="33"/>
        <v>51</v>
      </c>
      <c r="AB33" s="28">
        <f t="shared" si="33"/>
        <v>0</v>
      </c>
      <c r="AC33" s="28">
        <f t="shared" si="33"/>
        <v>200</v>
      </c>
      <c r="AD33" s="28">
        <f t="shared" si="33"/>
        <v>0</v>
      </c>
      <c r="AE33" s="28">
        <f t="shared" si="33"/>
        <v>0</v>
      </c>
      <c r="AF33" s="28">
        <f t="shared" si="33"/>
        <v>0</v>
      </c>
      <c r="AG33" s="28">
        <f t="shared" si="33"/>
        <v>0</v>
      </c>
      <c r="AH33" s="28">
        <f t="shared" si="33"/>
        <v>0</v>
      </c>
      <c r="AI33" s="28">
        <f t="shared" si="33"/>
        <v>5100</v>
      </c>
      <c r="AJ33" s="28">
        <f t="shared" si="33"/>
        <v>0</v>
      </c>
      <c r="AK33" s="28">
        <f t="shared" si="33"/>
        <v>1000</v>
      </c>
      <c r="AL33" s="28">
        <f t="shared" si="33"/>
        <v>0</v>
      </c>
      <c r="AM33" s="28">
        <f t="shared" si="33"/>
        <v>0</v>
      </c>
      <c r="AN33" s="28">
        <f t="shared" si="33"/>
        <v>0</v>
      </c>
      <c r="AO33" s="28">
        <f t="shared" si="33"/>
        <v>0</v>
      </c>
      <c r="AP33" s="28">
        <f t="shared" si="33"/>
        <v>0</v>
      </c>
      <c r="AQ33" s="28">
        <f t="shared" si="33"/>
        <v>0</v>
      </c>
      <c r="AR33" s="28">
        <f t="shared" si="33"/>
        <v>0</v>
      </c>
      <c r="AS33" s="28">
        <f t="shared" si="33"/>
        <v>0</v>
      </c>
      <c r="AT33" s="28">
        <f t="shared" si="33"/>
        <v>0</v>
      </c>
    </row>
    <row r="34">
      <c r="A34" s="5" t="s">
        <v>40</v>
      </c>
      <c r="B34" s="6">
        <v>750.0</v>
      </c>
      <c r="C34" s="7" t="s">
        <v>35</v>
      </c>
      <c r="D34" s="15">
        <v>75219.0</v>
      </c>
      <c r="F34" s="15"/>
      <c r="G34" s="26">
        <f t="shared" si="2"/>
        <v>0</v>
      </c>
      <c r="J34" s="27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</row>
    <row r="35">
      <c r="A35" s="10" t="s">
        <v>41</v>
      </c>
      <c r="B35" s="11">
        <v>1000.0</v>
      </c>
      <c r="C35" s="12" t="s">
        <v>35</v>
      </c>
      <c r="D35" s="15">
        <v>75219.0</v>
      </c>
      <c r="F35" s="15">
        <f>IFERROR(__xludf.DUMMYFUNCTION("""COMPUTED_VALUE"""),75207.0)</f>
        <v>75207</v>
      </c>
      <c r="G35" s="26">
        <f t="shared" si="2"/>
        <v>26430</v>
      </c>
      <c r="J35" s="27">
        <f>IFERROR(__xludf.DUMMYFUNCTION("""COMPUTED_VALUE"""),75207.0)</f>
        <v>75207</v>
      </c>
      <c r="K35" s="28">
        <f t="shared" ref="K35:AT35" si="34">sumifs($B:$B,$D:$D,$J35,$C:$C,K$1)</f>
        <v>1000</v>
      </c>
      <c r="L35" s="28">
        <f t="shared" si="34"/>
        <v>0</v>
      </c>
      <c r="M35" s="28">
        <f t="shared" si="34"/>
        <v>0</v>
      </c>
      <c r="N35" s="28">
        <f t="shared" si="34"/>
        <v>1530</v>
      </c>
      <c r="O35" s="28">
        <f t="shared" si="34"/>
        <v>0</v>
      </c>
      <c r="P35" s="28">
        <f t="shared" si="34"/>
        <v>1050</v>
      </c>
      <c r="Q35" s="28">
        <f t="shared" si="34"/>
        <v>50</v>
      </c>
      <c r="R35" s="28">
        <f t="shared" si="34"/>
        <v>0</v>
      </c>
      <c r="S35" s="28">
        <f t="shared" si="34"/>
        <v>0</v>
      </c>
      <c r="T35" s="28">
        <f t="shared" si="34"/>
        <v>0</v>
      </c>
      <c r="U35" s="28">
        <f t="shared" si="34"/>
        <v>0</v>
      </c>
      <c r="V35" s="28">
        <f t="shared" si="34"/>
        <v>0</v>
      </c>
      <c r="W35" s="28">
        <f t="shared" si="34"/>
        <v>0</v>
      </c>
      <c r="X35" s="28">
        <f t="shared" si="34"/>
        <v>0</v>
      </c>
      <c r="Y35" s="28">
        <f t="shared" si="34"/>
        <v>200</v>
      </c>
      <c r="Z35" s="28">
        <f t="shared" si="34"/>
        <v>250</v>
      </c>
      <c r="AA35" s="28">
        <f t="shared" si="34"/>
        <v>0</v>
      </c>
      <c r="AB35" s="28">
        <f t="shared" si="34"/>
        <v>0</v>
      </c>
      <c r="AC35" s="28">
        <f t="shared" si="34"/>
        <v>2750</v>
      </c>
      <c r="AD35" s="28">
        <f t="shared" si="34"/>
        <v>0</v>
      </c>
      <c r="AE35" s="28">
        <f t="shared" si="34"/>
        <v>0</v>
      </c>
      <c r="AF35" s="28">
        <f t="shared" si="34"/>
        <v>2000</v>
      </c>
      <c r="AG35" s="28">
        <f t="shared" si="34"/>
        <v>0</v>
      </c>
      <c r="AH35" s="28">
        <f t="shared" si="34"/>
        <v>0</v>
      </c>
      <c r="AI35" s="28">
        <f t="shared" si="34"/>
        <v>17600</v>
      </c>
      <c r="AJ35" s="28">
        <f t="shared" si="34"/>
        <v>0</v>
      </c>
      <c r="AK35" s="28">
        <f t="shared" si="34"/>
        <v>0</v>
      </c>
      <c r="AL35" s="28">
        <f t="shared" si="34"/>
        <v>0</v>
      </c>
      <c r="AM35" s="28">
        <f t="shared" si="34"/>
        <v>0</v>
      </c>
      <c r="AN35" s="28">
        <f t="shared" si="34"/>
        <v>0</v>
      </c>
      <c r="AO35" s="28">
        <f t="shared" si="34"/>
        <v>0</v>
      </c>
      <c r="AP35" s="28">
        <f t="shared" si="34"/>
        <v>0</v>
      </c>
      <c r="AQ35" s="28">
        <f t="shared" si="34"/>
        <v>0</v>
      </c>
      <c r="AR35" s="28">
        <f t="shared" si="34"/>
        <v>0</v>
      </c>
      <c r="AS35" s="28">
        <f t="shared" si="34"/>
        <v>0</v>
      </c>
      <c r="AT35" s="28">
        <f t="shared" si="34"/>
        <v>0</v>
      </c>
    </row>
    <row r="36">
      <c r="A36" s="5" t="s">
        <v>42</v>
      </c>
      <c r="B36" s="6">
        <v>500.0</v>
      </c>
      <c r="C36" s="7" t="s">
        <v>35</v>
      </c>
      <c r="D36" s="15">
        <v>75001.0</v>
      </c>
      <c r="F36" s="15">
        <f>IFERROR(__xludf.DUMMYFUNCTION("""COMPUTED_VALUE"""),75088.0)</f>
        <v>75088</v>
      </c>
      <c r="G36" s="26">
        <f t="shared" si="2"/>
        <v>2450</v>
      </c>
      <c r="J36" s="27">
        <f>IFERROR(__xludf.DUMMYFUNCTION("""COMPUTED_VALUE"""),75088.0)</f>
        <v>75088</v>
      </c>
      <c r="K36" s="28">
        <f t="shared" ref="K36:AT36" si="35">sumifs($B:$B,$D:$D,$J36,$C:$C,K$1)</f>
        <v>0</v>
      </c>
      <c r="L36" s="28">
        <f t="shared" si="35"/>
        <v>0</v>
      </c>
      <c r="M36" s="28">
        <f t="shared" si="35"/>
        <v>0</v>
      </c>
      <c r="N36" s="28">
        <f t="shared" si="35"/>
        <v>50</v>
      </c>
      <c r="O36" s="28">
        <f t="shared" si="35"/>
        <v>0</v>
      </c>
      <c r="P36" s="28">
        <f t="shared" si="35"/>
        <v>1000</v>
      </c>
      <c r="Q36" s="28">
        <f t="shared" si="35"/>
        <v>0</v>
      </c>
      <c r="R36" s="28">
        <f t="shared" si="35"/>
        <v>0</v>
      </c>
      <c r="S36" s="28">
        <f t="shared" si="35"/>
        <v>0</v>
      </c>
      <c r="T36" s="28">
        <f t="shared" si="35"/>
        <v>0</v>
      </c>
      <c r="U36" s="28">
        <f t="shared" si="35"/>
        <v>0</v>
      </c>
      <c r="V36" s="28">
        <f t="shared" si="35"/>
        <v>0</v>
      </c>
      <c r="W36" s="28">
        <f t="shared" si="35"/>
        <v>1000</v>
      </c>
      <c r="X36" s="28">
        <f t="shared" si="35"/>
        <v>0</v>
      </c>
      <c r="Y36" s="28">
        <f t="shared" si="35"/>
        <v>300</v>
      </c>
      <c r="Z36" s="28">
        <f t="shared" si="35"/>
        <v>0</v>
      </c>
      <c r="AA36" s="28">
        <f t="shared" si="35"/>
        <v>0</v>
      </c>
      <c r="AB36" s="28">
        <f t="shared" si="35"/>
        <v>0</v>
      </c>
      <c r="AC36" s="28">
        <f t="shared" si="35"/>
        <v>0</v>
      </c>
      <c r="AD36" s="28">
        <f t="shared" si="35"/>
        <v>0</v>
      </c>
      <c r="AE36" s="28">
        <f t="shared" si="35"/>
        <v>0</v>
      </c>
      <c r="AF36" s="28">
        <f t="shared" si="35"/>
        <v>0</v>
      </c>
      <c r="AG36" s="28">
        <f t="shared" si="35"/>
        <v>0</v>
      </c>
      <c r="AH36" s="28">
        <f t="shared" si="35"/>
        <v>0</v>
      </c>
      <c r="AI36" s="28">
        <f t="shared" si="35"/>
        <v>0</v>
      </c>
      <c r="AJ36" s="28">
        <f t="shared" si="35"/>
        <v>100</v>
      </c>
      <c r="AK36" s="28">
        <f t="shared" si="35"/>
        <v>0</v>
      </c>
      <c r="AL36" s="28">
        <f t="shared" si="35"/>
        <v>0</v>
      </c>
      <c r="AM36" s="28">
        <f t="shared" si="35"/>
        <v>0</v>
      </c>
      <c r="AN36" s="28">
        <f t="shared" si="35"/>
        <v>0</v>
      </c>
      <c r="AO36" s="28">
        <f t="shared" si="35"/>
        <v>0</v>
      </c>
      <c r="AP36" s="28">
        <f t="shared" si="35"/>
        <v>0</v>
      </c>
      <c r="AQ36" s="28">
        <f t="shared" si="35"/>
        <v>0</v>
      </c>
      <c r="AR36" s="28">
        <f t="shared" si="35"/>
        <v>0</v>
      </c>
      <c r="AS36" s="28">
        <f t="shared" si="35"/>
        <v>0</v>
      </c>
      <c r="AT36" s="28">
        <f t="shared" si="35"/>
        <v>0</v>
      </c>
    </row>
    <row r="37">
      <c r="A37" s="10" t="s">
        <v>43</v>
      </c>
      <c r="B37" s="11">
        <v>1000.0</v>
      </c>
      <c r="C37" s="12" t="s">
        <v>44</v>
      </c>
      <c r="D37" s="15">
        <v>75206.0</v>
      </c>
      <c r="F37" s="15">
        <f>IFERROR(__xludf.DUMMYFUNCTION("""COMPUTED_VALUE"""),75137.0)</f>
        <v>75137</v>
      </c>
      <c r="G37" s="26">
        <f t="shared" si="2"/>
        <v>2120</v>
      </c>
      <c r="J37" s="27">
        <f>IFERROR(__xludf.DUMMYFUNCTION("""COMPUTED_VALUE"""),75137.0)</f>
        <v>75137</v>
      </c>
      <c r="K37" s="28">
        <f t="shared" ref="K37:AT37" si="36">sumifs($B:$B,$D:$D,$J37,$C:$C,K$1)</f>
        <v>0</v>
      </c>
      <c r="L37" s="28">
        <f t="shared" si="36"/>
        <v>0</v>
      </c>
      <c r="M37" s="28">
        <f t="shared" si="36"/>
        <v>250</v>
      </c>
      <c r="N37" s="28">
        <f t="shared" si="36"/>
        <v>200</v>
      </c>
      <c r="O37" s="28">
        <f t="shared" si="36"/>
        <v>0</v>
      </c>
      <c r="P37" s="28">
        <f t="shared" si="36"/>
        <v>100</v>
      </c>
      <c r="Q37" s="28">
        <f t="shared" si="36"/>
        <v>150</v>
      </c>
      <c r="R37" s="28">
        <f t="shared" si="36"/>
        <v>0</v>
      </c>
      <c r="S37" s="28">
        <f t="shared" si="36"/>
        <v>0</v>
      </c>
      <c r="T37" s="28">
        <f t="shared" si="36"/>
        <v>0</v>
      </c>
      <c r="U37" s="28">
        <f t="shared" si="36"/>
        <v>0</v>
      </c>
      <c r="V37" s="28">
        <f t="shared" si="36"/>
        <v>0</v>
      </c>
      <c r="W37" s="28">
        <f t="shared" si="36"/>
        <v>0</v>
      </c>
      <c r="X37" s="28">
        <f t="shared" si="36"/>
        <v>100</v>
      </c>
      <c r="Y37" s="28">
        <f t="shared" si="36"/>
        <v>0</v>
      </c>
      <c r="Z37" s="28">
        <f t="shared" si="36"/>
        <v>0</v>
      </c>
      <c r="AA37" s="28">
        <f t="shared" si="36"/>
        <v>0</v>
      </c>
      <c r="AB37" s="28">
        <f t="shared" si="36"/>
        <v>0</v>
      </c>
      <c r="AC37" s="28">
        <f t="shared" si="36"/>
        <v>0</v>
      </c>
      <c r="AD37" s="28">
        <f t="shared" si="36"/>
        <v>0</v>
      </c>
      <c r="AE37" s="28">
        <f t="shared" si="36"/>
        <v>0</v>
      </c>
      <c r="AF37" s="28">
        <f t="shared" si="36"/>
        <v>0</v>
      </c>
      <c r="AG37" s="28">
        <f t="shared" si="36"/>
        <v>0</v>
      </c>
      <c r="AH37" s="28">
        <f t="shared" si="36"/>
        <v>0</v>
      </c>
      <c r="AI37" s="28">
        <f t="shared" si="36"/>
        <v>750</v>
      </c>
      <c r="AJ37" s="28">
        <f t="shared" si="36"/>
        <v>500</v>
      </c>
      <c r="AK37" s="28">
        <f t="shared" si="36"/>
        <v>0</v>
      </c>
      <c r="AL37" s="28">
        <f t="shared" si="36"/>
        <v>0</v>
      </c>
      <c r="AM37" s="28">
        <f t="shared" si="36"/>
        <v>0</v>
      </c>
      <c r="AN37" s="28">
        <f t="shared" si="36"/>
        <v>0</v>
      </c>
      <c r="AO37" s="28">
        <f t="shared" si="36"/>
        <v>0</v>
      </c>
      <c r="AP37" s="28">
        <f t="shared" si="36"/>
        <v>0</v>
      </c>
      <c r="AQ37" s="28">
        <f t="shared" si="36"/>
        <v>70</v>
      </c>
      <c r="AR37" s="28">
        <f t="shared" si="36"/>
        <v>0</v>
      </c>
      <c r="AS37" s="28">
        <f t="shared" si="36"/>
        <v>0</v>
      </c>
      <c r="AT37" s="28">
        <f t="shared" si="36"/>
        <v>0</v>
      </c>
    </row>
    <row r="38">
      <c r="A38" s="10" t="s">
        <v>45</v>
      </c>
      <c r="B38" s="11">
        <v>1000.0</v>
      </c>
      <c r="C38" s="12" t="s">
        <v>44</v>
      </c>
      <c r="D38" s="15">
        <v>75206.0</v>
      </c>
      <c r="F38" s="15">
        <f>IFERROR(__xludf.DUMMYFUNCTION("""COMPUTED_VALUE"""),75208.0)</f>
        <v>75208</v>
      </c>
      <c r="G38" s="26">
        <f t="shared" si="2"/>
        <v>81968.24</v>
      </c>
      <c r="J38" s="27">
        <f>IFERROR(__xludf.DUMMYFUNCTION("""COMPUTED_VALUE"""),75208.0)</f>
        <v>75208</v>
      </c>
      <c r="K38" s="28">
        <f t="shared" ref="K38:AT38" si="37">sumifs($B:$B,$D:$D,$J38,$C:$C,K$1)</f>
        <v>0</v>
      </c>
      <c r="L38" s="28">
        <f t="shared" si="37"/>
        <v>0</v>
      </c>
      <c r="M38" s="28">
        <f t="shared" si="37"/>
        <v>0</v>
      </c>
      <c r="N38" s="28">
        <f t="shared" si="37"/>
        <v>3525</v>
      </c>
      <c r="O38" s="28">
        <f t="shared" si="37"/>
        <v>0</v>
      </c>
      <c r="P38" s="28">
        <f t="shared" si="37"/>
        <v>2600</v>
      </c>
      <c r="Q38" s="28">
        <f t="shared" si="37"/>
        <v>7140</v>
      </c>
      <c r="R38" s="28">
        <f t="shared" si="37"/>
        <v>0</v>
      </c>
      <c r="S38" s="28">
        <f t="shared" si="37"/>
        <v>0</v>
      </c>
      <c r="T38" s="28">
        <f t="shared" si="37"/>
        <v>0</v>
      </c>
      <c r="U38" s="28">
        <f t="shared" si="37"/>
        <v>0</v>
      </c>
      <c r="V38" s="28">
        <f t="shared" si="37"/>
        <v>0</v>
      </c>
      <c r="W38" s="28">
        <f t="shared" si="37"/>
        <v>2550</v>
      </c>
      <c r="X38" s="28">
        <f t="shared" si="37"/>
        <v>0</v>
      </c>
      <c r="Y38" s="28">
        <f t="shared" si="37"/>
        <v>2100</v>
      </c>
      <c r="Z38" s="28">
        <f t="shared" si="37"/>
        <v>2725</v>
      </c>
      <c r="AA38" s="28">
        <f t="shared" si="37"/>
        <v>0</v>
      </c>
      <c r="AB38" s="28">
        <f t="shared" si="37"/>
        <v>0</v>
      </c>
      <c r="AC38" s="28">
        <f t="shared" si="37"/>
        <v>44424.76</v>
      </c>
      <c r="AD38" s="28">
        <f t="shared" si="37"/>
        <v>0</v>
      </c>
      <c r="AE38" s="28">
        <f t="shared" si="37"/>
        <v>0</v>
      </c>
      <c r="AF38" s="28">
        <f t="shared" si="37"/>
        <v>5700</v>
      </c>
      <c r="AG38" s="28">
        <f t="shared" si="37"/>
        <v>2000</v>
      </c>
      <c r="AH38" s="28">
        <f t="shared" si="37"/>
        <v>353.48</v>
      </c>
      <c r="AI38" s="28">
        <f t="shared" si="37"/>
        <v>4300</v>
      </c>
      <c r="AJ38" s="28">
        <f t="shared" si="37"/>
        <v>500</v>
      </c>
      <c r="AK38" s="28">
        <f t="shared" si="37"/>
        <v>3050</v>
      </c>
      <c r="AL38" s="28">
        <f t="shared" si="37"/>
        <v>0</v>
      </c>
      <c r="AM38" s="28">
        <f t="shared" si="37"/>
        <v>1000</v>
      </c>
      <c r="AN38" s="28">
        <f t="shared" si="37"/>
        <v>0</v>
      </c>
      <c r="AO38" s="28">
        <f t="shared" si="37"/>
        <v>0</v>
      </c>
      <c r="AP38" s="28">
        <f t="shared" si="37"/>
        <v>0</v>
      </c>
      <c r="AQ38" s="28">
        <f t="shared" si="37"/>
        <v>0</v>
      </c>
      <c r="AR38" s="28">
        <f t="shared" si="37"/>
        <v>0</v>
      </c>
      <c r="AS38" s="28">
        <f t="shared" si="37"/>
        <v>0</v>
      </c>
      <c r="AT38" s="28">
        <f t="shared" si="37"/>
        <v>0</v>
      </c>
    </row>
    <row r="39">
      <c r="A39" s="10" t="s">
        <v>46</v>
      </c>
      <c r="B39" s="11">
        <v>200.0</v>
      </c>
      <c r="C39" s="12" t="s">
        <v>44</v>
      </c>
      <c r="D39" s="15">
        <v>75165.0</v>
      </c>
      <c r="F39" s="15">
        <f>IFERROR(__xludf.DUMMYFUNCTION("""COMPUTED_VALUE"""),77493.0)</f>
        <v>77493</v>
      </c>
      <c r="G39" s="26">
        <f t="shared" si="2"/>
        <v>5000</v>
      </c>
      <c r="J39" s="27">
        <f>IFERROR(__xludf.DUMMYFUNCTION("""COMPUTED_VALUE"""),77493.0)</f>
        <v>77493</v>
      </c>
      <c r="K39" s="28">
        <f t="shared" ref="K39:AT39" si="38">sumifs($B:$B,$D:$D,$J39,$C:$C,K$1)</f>
        <v>0</v>
      </c>
      <c r="L39" s="28">
        <f t="shared" si="38"/>
        <v>0</v>
      </c>
      <c r="M39" s="28">
        <f t="shared" si="38"/>
        <v>0</v>
      </c>
      <c r="N39" s="28">
        <f t="shared" si="38"/>
        <v>1000</v>
      </c>
      <c r="O39" s="28">
        <f t="shared" si="38"/>
        <v>0</v>
      </c>
      <c r="P39" s="28">
        <f t="shared" si="38"/>
        <v>1000</v>
      </c>
      <c r="Q39" s="28">
        <f t="shared" si="38"/>
        <v>0</v>
      </c>
      <c r="R39" s="28">
        <f t="shared" si="38"/>
        <v>0</v>
      </c>
      <c r="S39" s="28">
        <f t="shared" si="38"/>
        <v>0</v>
      </c>
      <c r="T39" s="28">
        <f t="shared" si="38"/>
        <v>0</v>
      </c>
      <c r="U39" s="28">
        <f t="shared" si="38"/>
        <v>0</v>
      </c>
      <c r="V39" s="28">
        <f t="shared" si="38"/>
        <v>0</v>
      </c>
      <c r="W39" s="28">
        <f t="shared" si="38"/>
        <v>1000</v>
      </c>
      <c r="X39" s="28">
        <f t="shared" si="38"/>
        <v>0</v>
      </c>
      <c r="Y39" s="28">
        <f t="shared" si="38"/>
        <v>0</v>
      </c>
      <c r="Z39" s="28">
        <f t="shared" si="38"/>
        <v>0</v>
      </c>
      <c r="AA39" s="28">
        <f t="shared" si="38"/>
        <v>0</v>
      </c>
      <c r="AB39" s="28">
        <f t="shared" si="38"/>
        <v>0</v>
      </c>
      <c r="AC39" s="28">
        <f t="shared" si="38"/>
        <v>0</v>
      </c>
      <c r="AD39" s="28">
        <f t="shared" si="38"/>
        <v>0</v>
      </c>
      <c r="AE39" s="28">
        <f t="shared" si="38"/>
        <v>0</v>
      </c>
      <c r="AF39" s="28">
        <f t="shared" si="38"/>
        <v>0</v>
      </c>
      <c r="AG39" s="28">
        <f t="shared" si="38"/>
        <v>0</v>
      </c>
      <c r="AH39" s="28">
        <f t="shared" si="38"/>
        <v>0</v>
      </c>
      <c r="AI39" s="28">
        <f t="shared" si="38"/>
        <v>0</v>
      </c>
      <c r="AJ39" s="28">
        <f t="shared" si="38"/>
        <v>0</v>
      </c>
      <c r="AK39" s="28">
        <f t="shared" si="38"/>
        <v>1000</v>
      </c>
      <c r="AL39" s="28">
        <f t="shared" si="38"/>
        <v>1000</v>
      </c>
      <c r="AM39" s="28">
        <f t="shared" si="38"/>
        <v>0</v>
      </c>
      <c r="AN39" s="28">
        <f t="shared" si="38"/>
        <v>0</v>
      </c>
      <c r="AO39" s="28">
        <f t="shared" si="38"/>
        <v>0</v>
      </c>
      <c r="AP39" s="28">
        <f t="shared" si="38"/>
        <v>0</v>
      </c>
      <c r="AQ39" s="28">
        <f t="shared" si="38"/>
        <v>0</v>
      </c>
      <c r="AR39" s="28">
        <f t="shared" si="38"/>
        <v>0</v>
      </c>
      <c r="AS39" s="28">
        <f t="shared" si="38"/>
        <v>0</v>
      </c>
      <c r="AT39" s="28">
        <f t="shared" si="38"/>
        <v>0</v>
      </c>
    </row>
    <row r="40">
      <c r="A40" s="10" t="s">
        <v>47</v>
      </c>
      <c r="B40" s="11">
        <v>50.0</v>
      </c>
      <c r="C40" s="12" t="s">
        <v>44</v>
      </c>
      <c r="D40" s="15">
        <v>76179.0</v>
      </c>
      <c r="F40" s="15">
        <f>IFERROR(__xludf.DUMMYFUNCTION("""COMPUTED_VALUE"""),76051.0)</f>
        <v>76051</v>
      </c>
      <c r="G40" s="26">
        <f t="shared" si="2"/>
        <v>8750</v>
      </c>
      <c r="J40" s="27">
        <f>IFERROR(__xludf.DUMMYFUNCTION("""COMPUTED_VALUE"""),76051.0)</f>
        <v>76051</v>
      </c>
      <c r="K40" s="28">
        <f t="shared" ref="K40:AT40" si="39">sumifs($B:$B,$D:$D,$J40,$C:$C,K$1)</f>
        <v>0</v>
      </c>
      <c r="L40" s="28">
        <f t="shared" si="39"/>
        <v>0</v>
      </c>
      <c r="M40" s="28">
        <f t="shared" si="39"/>
        <v>0</v>
      </c>
      <c r="N40" s="28">
        <f t="shared" si="39"/>
        <v>150</v>
      </c>
      <c r="O40" s="28">
        <f t="shared" si="39"/>
        <v>0</v>
      </c>
      <c r="P40" s="28">
        <f t="shared" si="39"/>
        <v>2100</v>
      </c>
      <c r="Q40" s="28">
        <f t="shared" si="39"/>
        <v>0</v>
      </c>
      <c r="R40" s="28">
        <f t="shared" si="39"/>
        <v>0</v>
      </c>
      <c r="S40" s="28">
        <f t="shared" si="39"/>
        <v>0</v>
      </c>
      <c r="T40" s="28">
        <f t="shared" si="39"/>
        <v>0</v>
      </c>
      <c r="U40" s="28">
        <f t="shared" si="39"/>
        <v>0</v>
      </c>
      <c r="V40" s="28">
        <f t="shared" si="39"/>
        <v>0</v>
      </c>
      <c r="W40" s="28">
        <f t="shared" si="39"/>
        <v>2000</v>
      </c>
      <c r="X40" s="28">
        <f t="shared" si="39"/>
        <v>0</v>
      </c>
      <c r="Y40" s="28">
        <f t="shared" si="39"/>
        <v>0</v>
      </c>
      <c r="Z40" s="28">
        <f t="shared" si="39"/>
        <v>0</v>
      </c>
      <c r="AA40" s="28">
        <f t="shared" si="39"/>
        <v>0</v>
      </c>
      <c r="AB40" s="28">
        <f t="shared" si="39"/>
        <v>0</v>
      </c>
      <c r="AC40" s="28">
        <f t="shared" si="39"/>
        <v>0</v>
      </c>
      <c r="AD40" s="28">
        <f t="shared" si="39"/>
        <v>0</v>
      </c>
      <c r="AE40" s="28">
        <f t="shared" si="39"/>
        <v>0</v>
      </c>
      <c r="AF40" s="28">
        <f t="shared" si="39"/>
        <v>500</v>
      </c>
      <c r="AG40" s="28">
        <f t="shared" si="39"/>
        <v>0</v>
      </c>
      <c r="AH40" s="28">
        <f t="shared" si="39"/>
        <v>1000</v>
      </c>
      <c r="AI40" s="28">
        <f t="shared" si="39"/>
        <v>0</v>
      </c>
      <c r="AJ40" s="28">
        <f t="shared" si="39"/>
        <v>0</v>
      </c>
      <c r="AK40" s="28">
        <f t="shared" si="39"/>
        <v>1000</v>
      </c>
      <c r="AL40" s="28">
        <f t="shared" si="39"/>
        <v>2000</v>
      </c>
      <c r="AM40" s="28">
        <f t="shared" si="39"/>
        <v>0</v>
      </c>
      <c r="AN40" s="28">
        <f t="shared" si="39"/>
        <v>0</v>
      </c>
      <c r="AO40" s="28">
        <f t="shared" si="39"/>
        <v>0</v>
      </c>
      <c r="AP40" s="28">
        <f t="shared" si="39"/>
        <v>0</v>
      </c>
      <c r="AQ40" s="28">
        <f t="shared" si="39"/>
        <v>0</v>
      </c>
      <c r="AR40" s="28">
        <f t="shared" si="39"/>
        <v>0</v>
      </c>
      <c r="AS40" s="28">
        <f t="shared" si="39"/>
        <v>0</v>
      </c>
      <c r="AT40" s="28">
        <f t="shared" si="39"/>
        <v>0</v>
      </c>
    </row>
    <row r="41">
      <c r="A41" s="10" t="s">
        <v>48</v>
      </c>
      <c r="B41" s="11">
        <v>500.0</v>
      </c>
      <c r="C41" s="12" t="s">
        <v>44</v>
      </c>
      <c r="D41" s="15">
        <v>75237.0</v>
      </c>
      <c r="F41" s="15">
        <f>IFERROR(__xludf.DUMMYFUNCTION("""COMPUTED_VALUE"""),75360.0)</f>
        <v>75360</v>
      </c>
      <c r="G41" s="26">
        <f t="shared" si="2"/>
        <v>8000</v>
      </c>
      <c r="J41" s="27">
        <f>IFERROR(__xludf.DUMMYFUNCTION("""COMPUTED_VALUE"""),75360.0)</f>
        <v>75360</v>
      </c>
      <c r="K41" s="28">
        <f t="shared" ref="K41:AT41" si="40">sumifs($B:$B,$D:$D,$J41,$C:$C,K$1)</f>
        <v>0</v>
      </c>
      <c r="L41" s="28">
        <f t="shared" si="40"/>
        <v>0</v>
      </c>
      <c r="M41" s="28">
        <f t="shared" si="40"/>
        <v>0</v>
      </c>
      <c r="N41" s="28">
        <f t="shared" si="40"/>
        <v>2000</v>
      </c>
      <c r="O41" s="28">
        <f t="shared" si="40"/>
        <v>0</v>
      </c>
      <c r="P41" s="28">
        <f t="shared" si="40"/>
        <v>1000</v>
      </c>
      <c r="Q41" s="28">
        <f t="shared" si="40"/>
        <v>0</v>
      </c>
      <c r="R41" s="28">
        <f t="shared" si="40"/>
        <v>0</v>
      </c>
      <c r="S41" s="28">
        <f t="shared" si="40"/>
        <v>0</v>
      </c>
      <c r="T41" s="28">
        <f t="shared" si="40"/>
        <v>0</v>
      </c>
      <c r="U41" s="28">
        <f t="shared" si="40"/>
        <v>0</v>
      </c>
      <c r="V41" s="28">
        <f t="shared" si="40"/>
        <v>0</v>
      </c>
      <c r="W41" s="28">
        <f t="shared" si="40"/>
        <v>0</v>
      </c>
      <c r="X41" s="28">
        <f t="shared" si="40"/>
        <v>2000</v>
      </c>
      <c r="Y41" s="28">
        <f t="shared" si="40"/>
        <v>0</v>
      </c>
      <c r="Z41" s="28">
        <f t="shared" si="40"/>
        <v>0</v>
      </c>
      <c r="AA41" s="28">
        <f t="shared" si="40"/>
        <v>0</v>
      </c>
      <c r="AB41" s="28">
        <f t="shared" si="40"/>
        <v>0</v>
      </c>
      <c r="AC41" s="28">
        <f t="shared" si="40"/>
        <v>0</v>
      </c>
      <c r="AD41" s="28">
        <f t="shared" si="40"/>
        <v>0</v>
      </c>
      <c r="AE41" s="28">
        <f t="shared" si="40"/>
        <v>0</v>
      </c>
      <c r="AF41" s="28">
        <f t="shared" si="40"/>
        <v>0</v>
      </c>
      <c r="AG41" s="28">
        <f t="shared" si="40"/>
        <v>0</v>
      </c>
      <c r="AH41" s="28">
        <f t="shared" si="40"/>
        <v>1000</v>
      </c>
      <c r="AI41" s="28">
        <f t="shared" si="40"/>
        <v>0</v>
      </c>
      <c r="AJ41" s="28">
        <f t="shared" si="40"/>
        <v>0</v>
      </c>
      <c r="AK41" s="28">
        <f t="shared" si="40"/>
        <v>1000</v>
      </c>
      <c r="AL41" s="28">
        <f t="shared" si="40"/>
        <v>1000</v>
      </c>
      <c r="AM41" s="28">
        <f t="shared" si="40"/>
        <v>0</v>
      </c>
      <c r="AN41" s="28">
        <f t="shared" si="40"/>
        <v>0</v>
      </c>
      <c r="AO41" s="28">
        <f t="shared" si="40"/>
        <v>0</v>
      </c>
      <c r="AP41" s="28">
        <f t="shared" si="40"/>
        <v>0</v>
      </c>
      <c r="AQ41" s="28">
        <f t="shared" si="40"/>
        <v>0</v>
      </c>
      <c r="AR41" s="28">
        <f t="shared" si="40"/>
        <v>0</v>
      </c>
      <c r="AS41" s="28">
        <f t="shared" si="40"/>
        <v>0</v>
      </c>
      <c r="AT41" s="28">
        <f t="shared" si="40"/>
        <v>0</v>
      </c>
    </row>
    <row r="42">
      <c r="A42" s="10" t="s">
        <v>49</v>
      </c>
      <c r="B42" s="11">
        <v>100.0</v>
      </c>
      <c r="C42" s="12" t="s">
        <v>50</v>
      </c>
      <c r="D42" s="15">
        <v>75115.0</v>
      </c>
      <c r="F42" s="15">
        <f>IFERROR(__xludf.DUMMYFUNCTION("""COMPUTED_VALUE"""),75210.0)</f>
        <v>75210</v>
      </c>
      <c r="G42" s="26">
        <f t="shared" si="2"/>
        <v>1950</v>
      </c>
      <c r="J42" s="27">
        <f>IFERROR(__xludf.DUMMYFUNCTION("""COMPUTED_VALUE"""),75210.0)</f>
        <v>75210</v>
      </c>
      <c r="K42" s="28">
        <f t="shared" ref="K42:AT42" si="41">sumifs($B:$B,$D:$D,$J42,$C:$C,K$1)</f>
        <v>0</v>
      </c>
      <c r="L42" s="28">
        <f t="shared" si="41"/>
        <v>0</v>
      </c>
      <c r="M42" s="28">
        <f t="shared" si="41"/>
        <v>0</v>
      </c>
      <c r="N42" s="28">
        <f t="shared" si="41"/>
        <v>100</v>
      </c>
      <c r="O42" s="28">
        <f t="shared" si="41"/>
        <v>0</v>
      </c>
      <c r="P42" s="28">
        <f t="shared" si="41"/>
        <v>1250</v>
      </c>
      <c r="Q42" s="28">
        <f t="shared" si="41"/>
        <v>0</v>
      </c>
      <c r="R42" s="28">
        <f t="shared" si="41"/>
        <v>0</v>
      </c>
      <c r="S42" s="28">
        <f t="shared" si="41"/>
        <v>0</v>
      </c>
      <c r="T42" s="28">
        <f t="shared" si="41"/>
        <v>0</v>
      </c>
      <c r="U42" s="28">
        <f t="shared" si="41"/>
        <v>0</v>
      </c>
      <c r="V42" s="28">
        <f t="shared" si="41"/>
        <v>0</v>
      </c>
      <c r="W42" s="28">
        <f t="shared" si="41"/>
        <v>0</v>
      </c>
      <c r="X42" s="28">
        <f t="shared" si="41"/>
        <v>0</v>
      </c>
      <c r="Y42" s="28">
        <f t="shared" si="41"/>
        <v>0</v>
      </c>
      <c r="Z42" s="28">
        <f t="shared" si="41"/>
        <v>0</v>
      </c>
      <c r="AA42" s="28">
        <f t="shared" si="41"/>
        <v>0</v>
      </c>
      <c r="AB42" s="28">
        <f t="shared" si="41"/>
        <v>0</v>
      </c>
      <c r="AC42" s="28">
        <f t="shared" si="41"/>
        <v>0</v>
      </c>
      <c r="AD42" s="28">
        <f t="shared" si="41"/>
        <v>0</v>
      </c>
      <c r="AE42" s="28">
        <f t="shared" si="41"/>
        <v>0</v>
      </c>
      <c r="AF42" s="28">
        <f t="shared" si="41"/>
        <v>500</v>
      </c>
      <c r="AG42" s="28">
        <f t="shared" si="41"/>
        <v>0</v>
      </c>
      <c r="AH42" s="28">
        <f t="shared" si="41"/>
        <v>0</v>
      </c>
      <c r="AI42" s="28">
        <f t="shared" si="41"/>
        <v>0</v>
      </c>
      <c r="AJ42" s="28">
        <f t="shared" si="41"/>
        <v>0</v>
      </c>
      <c r="AK42" s="28">
        <f t="shared" si="41"/>
        <v>100</v>
      </c>
      <c r="AL42" s="28">
        <f t="shared" si="41"/>
        <v>0</v>
      </c>
      <c r="AM42" s="28">
        <f t="shared" si="41"/>
        <v>0</v>
      </c>
      <c r="AN42" s="28">
        <f t="shared" si="41"/>
        <v>0</v>
      </c>
      <c r="AO42" s="28">
        <f t="shared" si="41"/>
        <v>0</v>
      </c>
      <c r="AP42" s="28">
        <f t="shared" si="41"/>
        <v>0</v>
      </c>
      <c r="AQ42" s="28">
        <f t="shared" si="41"/>
        <v>0</v>
      </c>
      <c r="AR42" s="28">
        <f t="shared" si="41"/>
        <v>0</v>
      </c>
      <c r="AS42" s="28">
        <f t="shared" si="41"/>
        <v>0</v>
      </c>
      <c r="AT42" s="28">
        <f t="shared" si="41"/>
        <v>0</v>
      </c>
    </row>
    <row r="43">
      <c r="A43" s="10" t="s">
        <v>51</v>
      </c>
      <c r="B43" s="11">
        <v>250.0</v>
      </c>
      <c r="C43" s="12" t="s">
        <v>50</v>
      </c>
      <c r="D43" s="15">
        <v>75223.0</v>
      </c>
      <c r="F43" s="15">
        <f>IFERROR(__xludf.DUMMYFUNCTION("""COMPUTED_VALUE"""),78645.0)</f>
        <v>78645</v>
      </c>
      <c r="G43" s="26">
        <f t="shared" si="2"/>
        <v>1250</v>
      </c>
      <c r="J43" s="27">
        <f>IFERROR(__xludf.DUMMYFUNCTION("""COMPUTED_VALUE"""),78645.0)</f>
        <v>78645</v>
      </c>
      <c r="K43" s="28">
        <f t="shared" ref="K43:AT43" si="42">sumifs($B:$B,$D:$D,$J43,$C:$C,K$1)</f>
        <v>0</v>
      </c>
      <c r="L43" s="28">
        <f t="shared" si="42"/>
        <v>0</v>
      </c>
      <c r="M43" s="28">
        <f t="shared" si="42"/>
        <v>0</v>
      </c>
      <c r="N43" s="28">
        <f t="shared" si="42"/>
        <v>1000</v>
      </c>
      <c r="O43" s="28">
        <f t="shared" si="42"/>
        <v>0</v>
      </c>
      <c r="P43" s="28">
        <f t="shared" si="42"/>
        <v>250</v>
      </c>
      <c r="Q43" s="28">
        <f t="shared" si="42"/>
        <v>0</v>
      </c>
      <c r="R43" s="28">
        <f t="shared" si="42"/>
        <v>0</v>
      </c>
      <c r="S43" s="28">
        <f t="shared" si="42"/>
        <v>0</v>
      </c>
      <c r="T43" s="28">
        <f t="shared" si="42"/>
        <v>0</v>
      </c>
      <c r="U43" s="28">
        <f t="shared" si="42"/>
        <v>0</v>
      </c>
      <c r="V43" s="28">
        <f t="shared" si="42"/>
        <v>0</v>
      </c>
      <c r="W43" s="28">
        <f t="shared" si="42"/>
        <v>0</v>
      </c>
      <c r="X43" s="28">
        <f t="shared" si="42"/>
        <v>0</v>
      </c>
      <c r="Y43" s="28">
        <f t="shared" si="42"/>
        <v>0</v>
      </c>
      <c r="Z43" s="28">
        <f t="shared" si="42"/>
        <v>0</v>
      </c>
      <c r="AA43" s="28">
        <f t="shared" si="42"/>
        <v>0</v>
      </c>
      <c r="AB43" s="28">
        <f t="shared" si="42"/>
        <v>0</v>
      </c>
      <c r="AC43" s="28">
        <f t="shared" si="42"/>
        <v>0</v>
      </c>
      <c r="AD43" s="28">
        <f t="shared" si="42"/>
        <v>0</v>
      </c>
      <c r="AE43" s="28">
        <f t="shared" si="42"/>
        <v>0</v>
      </c>
      <c r="AF43" s="28">
        <f t="shared" si="42"/>
        <v>0</v>
      </c>
      <c r="AG43" s="28">
        <f t="shared" si="42"/>
        <v>0</v>
      </c>
      <c r="AH43" s="28">
        <f t="shared" si="42"/>
        <v>0</v>
      </c>
      <c r="AI43" s="28">
        <f t="shared" si="42"/>
        <v>0</v>
      </c>
      <c r="AJ43" s="28">
        <f t="shared" si="42"/>
        <v>0</v>
      </c>
      <c r="AK43" s="28">
        <f t="shared" si="42"/>
        <v>0</v>
      </c>
      <c r="AL43" s="28">
        <f t="shared" si="42"/>
        <v>0</v>
      </c>
      <c r="AM43" s="28">
        <f t="shared" si="42"/>
        <v>0</v>
      </c>
      <c r="AN43" s="28">
        <f t="shared" si="42"/>
        <v>0</v>
      </c>
      <c r="AO43" s="28">
        <f t="shared" si="42"/>
        <v>0</v>
      </c>
      <c r="AP43" s="28">
        <f t="shared" si="42"/>
        <v>0</v>
      </c>
      <c r="AQ43" s="28">
        <f t="shared" si="42"/>
        <v>0</v>
      </c>
      <c r="AR43" s="28">
        <f t="shared" si="42"/>
        <v>0</v>
      </c>
      <c r="AS43" s="28">
        <f t="shared" si="42"/>
        <v>0</v>
      </c>
      <c r="AT43" s="28">
        <f t="shared" si="42"/>
        <v>0</v>
      </c>
    </row>
    <row r="44">
      <c r="A44" s="10" t="s">
        <v>52</v>
      </c>
      <c r="B44" s="11">
        <v>1000.0</v>
      </c>
      <c r="C44" s="12" t="s">
        <v>50</v>
      </c>
      <c r="D44" s="15">
        <v>75204.0</v>
      </c>
      <c r="F44" s="15">
        <f>IFERROR(__xludf.DUMMYFUNCTION("""COMPUTED_VALUE"""),76702.0)</f>
        <v>76702</v>
      </c>
      <c r="G44" s="26">
        <f t="shared" si="2"/>
        <v>50</v>
      </c>
      <c r="J44" s="27">
        <f>IFERROR(__xludf.DUMMYFUNCTION("""COMPUTED_VALUE"""),76702.0)</f>
        <v>76702</v>
      </c>
      <c r="K44" s="28">
        <f t="shared" ref="K44:AT44" si="43">sumifs($B:$B,$D:$D,$J44,$C:$C,K$1)</f>
        <v>0</v>
      </c>
      <c r="L44" s="28">
        <f t="shared" si="43"/>
        <v>0</v>
      </c>
      <c r="M44" s="28">
        <f t="shared" si="43"/>
        <v>0</v>
      </c>
      <c r="N44" s="28">
        <f t="shared" si="43"/>
        <v>0</v>
      </c>
      <c r="O44" s="28">
        <f t="shared" si="43"/>
        <v>0</v>
      </c>
      <c r="P44" s="28">
        <f t="shared" si="43"/>
        <v>50</v>
      </c>
      <c r="Q44" s="28">
        <f t="shared" si="43"/>
        <v>0</v>
      </c>
      <c r="R44" s="28">
        <f t="shared" si="43"/>
        <v>0</v>
      </c>
      <c r="S44" s="28">
        <f t="shared" si="43"/>
        <v>0</v>
      </c>
      <c r="T44" s="28">
        <f t="shared" si="43"/>
        <v>0</v>
      </c>
      <c r="U44" s="28">
        <f t="shared" si="43"/>
        <v>0</v>
      </c>
      <c r="V44" s="28">
        <f t="shared" si="43"/>
        <v>0</v>
      </c>
      <c r="W44" s="28">
        <f t="shared" si="43"/>
        <v>0</v>
      </c>
      <c r="X44" s="28">
        <f t="shared" si="43"/>
        <v>0</v>
      </c>
      <c r="Y44" s="28">
        <f t="shared" si="43"/>
        <v>0</v>
      </c>
      <c r="Z44" s="28">
        <f t="shared" si="43"/>
        <v>0</v>
      </c>
      <c r="AA44" s="28">
        <f t="shared" si="43"/>
        <v>0</v>
      </c>
      <c r="AB44" s="28">
        <f t="shared" si="43"/>
        <v>0</v>
      </c>
      <c r="AC44" s="28">
        <f t="shared" si="43"/>
        <v>0</v>
      </c>
      <c r="AD44" s="28">
        <f t="shared" si="43"/>
        <v>0</v>
      </c>
      <c r="AE44" s="28">
        <f t="shared" si="43"/>
        <v>0</v>
      </c>
      <c r="AF44" s="28">
        <f t="shared" si="43"/>
        <v>0</v>
      </c>
      <c r="AG44" s="28">
        <f t="shared" si="43"/>
        <v>0</v>
      </c>
      <c r="AH44" s="28">
        <f t="shared" si="43"/>
        <v>0</v>
      </c>
      <c r="AI44" s="28">
        <f t="shared" si="43"/>
        <v>0</v>
      </c>
      <c r="AJ44" s="28">
        <f t="shared" si="43"/>
        <v>0</v>
      </c>
      <c r="AK44" s="28">
        <f t="shared" si="43"/>
        <v>0</v>
      </c>
      <c r="AL44" s="28">
        <f t="shared" si="43"/>
        <v>0</v>
      </c>
      <c r="AM44" s="28">
        <f t="shared" si="43"/>
        <v>0</v>
      </c>
      <c r="AN44" s="28">
        <f t="shared" si="43"/>
        <v>0</v>
      </c>
      <c r="AO44" s="28">
        <f t="shared" si="43"/>
        <v>0</v>
      </c>
      <c r="AP44" s="28">
        <f t="shared" si="43"/>
        <v>0</v>
      </c>
      <c r="AQ44" s="28">
        <f t="shared" si="43"/>
        <v>0</v>
      </c>
      <c r="AR44" s="28">
        <f t="shared" si="43"/>
        <v>0</v>
      </c>
      <c r="AS44" s="28">
        <f t="shared" si="43"/>
        <v>0</v>
      </c>
      <c r="AT44" s="28">
        <f t="shared" si="43"/>
        <v>0</v>
      </c>
    </row>
    <row r="45">
      <c r="A45" s="10" t="s">
        <v>53</v>
      </c>
      <c r="B45" s="11">
        <v>50.0</v>
      </c>
      <c r="C45" s="12" t="s">
        <v>50</v>
      </c>
      <c r="D45" s="15">
        <v>75201.0</v>
      </c>
      <c r="F45" s="15">
        <f>IFERROR(__xludf.DUMMYFUNCTION("""COMPUTED_VALUE"""),78723.0)</f>
        <v>78723</v>
      </c>
      <c r="G45" s="26">
        <f t="shared" si="2"/>
        <v>350</v>
      </c>
      <c r="J45" s="27">
        <f>IFERROR(__xludf.DUMMYFUNCTION("""COMPUTED_VALUE"""),78723.0)</f>
        <v>78723</v>
      </c>
      <c r="K45" s="28">
        <f t="shared" ref="K45:AT45" si="44">sumifs($B:$B,$D:$D,$J45,$C:$C,K$1)</f>
        <v>0</v>
      </c>
      <c r="L45" s="28">
        <f t="shared" si="44"/>
        <v>0</v>
      </c>
      <c r="M45" s="28">
        <f t="shared" si="44"/>
        <v>0</v>
      </c>
      <c r="N45" s="28">
        <f t="shared" si="44"/>
        <v>0</v>
      </c>
      <c r="O45" s="28">
        <f t="shared" si="44"/>
        <v>0</v>
      </c>
      <c r="P45" s="28">
        <f t="shared" si="44"/>
        <v>100</v>
      </c>
      <c r="Q45" s="28">
        <f t="shared" si="44"/>
        <v>0</v>
      </c>
      <c r="R45" s="28">
        <f t="shared" si="44"/>
        <v>0</v>
      </c>
      <c r="S45" s="28">
        <f t="shared" si="44"/>
        <v>0</v>
      </c>
      <c r="T45" s="28">
        <f t="shared" si="44"/>
        <v>0</v>
      </c>
      <c r="U45" s="28">
        <f t="shared" si="44"/>
        <v>0</v>
      </c>
      <c r="V45" s="28">
        <f t="shared" si="44"/>
        <v>0</v>
      </c>
      <c r="W45" s="28">
        <f t="shared" si="44"/>
        <v>0</v>
      </c>
      <c r="X45" s="28">
        <f t="shared" si="44"/>
        <v>250</v>
      </c>
      <c r="Y45" s="28">
        <f t="shared" si="44"/>
        <v>0</v>
      </c>
      <c r="Z45" s="28">
        <f t="shared" si="44"/>
        <v>0</v>
      </c>
      <c r="AA45" s="28">
        <f t="shared" si="44"/>
        <v>0</v>
      </c>
      <c r="AB45" s="28">
        <f t="shared" si="44"/>
        <v>0</v>
      </c>
      <c r="AC45" s="28">
        <f t="shared" si="44"/>
        <v>0</v>
      </c>
      <c r="AD45" s="28">
        <f t="shared" si="44"/>
        <v>0</v>
      </c>
      <c r="AE45" s="28">
        <f t="shared" si="44"/>
        <v>0</v>
      </c>
      <c r="AF45" s="28">
        <f t="shared" si="44"/>
        <v>0</v>
      </c>
      <c r="AG45" s="28">
        <f t="shared" si="44"/>
        <v>0</v>
      </c>
      <c r="AH45" s="28">
        <f t="shared" si="44"/>
        <v>0</v>
      </c>
      <c r="AI45" s="28">
        <f t="shared" si="44"/>
        <v>0</v>
      </c>
      <c r="AJ45" s="28">
        <f t="shared" si="44"/>
        <v>0</v>
      </c>
      <c r="AK45" s="28">
        <f t="shared" si="44"/>
        <v>0</v>
      </c>
      <c r="AL45" s="28">
        <f t="shared" si="44"/>
        <v>0</v>
      </c>
      <c r="AM45" s="28">
        <f t="shared" si="44"/>
        <v>0</v>
      </c>
      <c r="AN45" s="28">
        <f t="shared" si="44"/>
        <v>0</v>
      </c>
      <c r="AO45" s="28">
        <f t="shared" si="44"/>
        <v>0</v>
      </c>
      <c r="AP45" s="28">
        <f t="shared" si="44"/>
        <v>0</v>
      </c>
      <c r="AQ45" s="28">
        <f t="shared" si="44"/>
        <v>0</v>
      </c>
      <c r="AR45" s="28">
        <f t="shared" si="44"/>
        <v>0</v>
      </c>
      <c r="AS45" s="28">
        <f t="shared" si="44"/>
        <v>0</v>
      </c>
      <c r="AT45" s="28">
        <f t="shared" si="44"/>
        <v>0</v>
      </c>
    </row>
    <row r="46">
      <c r="A46" s="10" t="s">
        <v>54</v>
      </c>
      <c r="B46" s="11">
        <v>50.0</v>
      </c>
      <c r="C46" s="12" t="s">
        <v>50</v>
      </c>
      <c r="D46" s="15">
        <v>75229.0</v>
      </c>
      <c r="F46" s="15">
        <f>IFERROR(__xludf.DUMMYFUNCTION("""COMPUTED_VALUE"""),75205.0)</f>
        <v>75205</v>
      </c>
      <c r="G46" s="26">
        <f t="shared" si="2"/>
        <v>149467.08</v>
      </c>
      <c r="J46" s="27">
        <f>IFERROR(__xludf.DUMMYFUNCTION("""COMPUTED_VALUE"""),75205.0)</f>
        <v>75205</v>
      </c>
      <c r="K46" s="28">
        <f t="shared" ref="K46:AT46" si="45">sumifs($B:$B,$D:$D,$J46,$C:$C,K$1)</f>
        <v>4550</v>
      </c>
      <c r="L46" s="28">
        <f t="shared" si="45"/>
        <v>1000</v>
      </c>
      <c r="M46" s="28">
        <f t="shared" si="45"/>
        <v>7750</v>
      </c>
      <c r="N46" s="28">
        <f t="shared" si="45"/>
        <v>3000</v>
      </c>
      <c r="O46" s="28">
        <f t="shared" si="45"/>
        <v>0</v>
      </c>
      <c r="P46" s="28">
        <f t="shared" si="45"/>
        <v>5800</v>
      </c>
      <c r="Q46" s="28">
        <f t="shared" si="45"/>
        <v>0</v>
      </c>
      <c r="R46" s="28">
        <f t="shared" si="45"/>
        <v>0</v>
      </c>
      <c r="S46" s="28">
        <f t="shared" si="45"/>
        <v>0</v>
      </c>
      <c r="T46" s="28">
        <f t="shared" si="45"/>
        <v>0</v>
      </c>
      <c r="U46" s="28">
        <f t="shared" si="45"/>
        <v>0</v>
      </c>
      <c r="V46" s="28">
        <f t="shared" si="45"/>
        <v>0</v>
      </c>
      <c r="W46" s="28">
        <f t="shared" si="45"/>
        <v>5000</v>
      </c>
      <c r="X46" s="28">
        <f t="shared" si="45"/>
        <v>0</v>
      </c>
      <c r="Y46" s="28">
        <f t="shared" si="45"/>
        <v>0</v>
      </c>
      <c r="Z46" s="28">
        <f t="shared" si="45"/>
        <v>1750</v>
      </c>
      <c r="AA46" s="28">
        <f t="shared" si="45"/>
        <v>0</v>
      </c>
      <c r="AB46" s="28">
        <f t="shared" si="45"/>
        <v>0</v>
      </c>
      <c r="AC46" s="28">
        <f t="shared" si="45"/>
        <v>19996.7</v>
      </c>
      <c r="AD46" s="28">
        <f t="shared" si="45"/>
        <v>100</v>
      </c>
      <c r="AE46" s="28">
        <f t="shared" si="45"/>
        <v>0</v>
      </c>
      <c r="AF46" s="28">
        <f t="shared" si="45"/>
        <v>15000</v>
      </c>
      <c r="AG46" s="28">
        <f t="shared" si="45"/>
        <v>0</v>
      </c>
      <c r="AH46" s="28">
        <f t="shared" si="45"/>
        <v>2420.38</v>
      </c>
      <c r="AI46" s="28">
        <f t="shared" si="45"/>
        <v>70000</v>
      </c>
      <c r="AJ46" s="28">
        <f t="shared" si="45"/>
        <v>2500</v>
      </c>
      <c r="AK46" s="28">
        <f t="shared" si="45"/>
        <v>4250</v>
      </c>
      <c r="AL46" s="28">
        <f t="shared" si="45"/>
        <v>350</v>
      </c>
      <c r="AM46" s="28">
        <f t="shared" si="45"/>
        <v>0</v>
      </c>
      <c r="AN46" s="28">
        <f t="shared" si="45"/>
        <v>0</v>
      </c>
      <c r="AO46" s="28">
        <f t="shared" si="45"/>
        <v>0</v>
      </c>
      <c r="AP46" s="28">
        <f t="shared" si="45"/>
        <v>0</v>
      </c>
      <c r="AQ46" s="28">
        <f t="shared" si="45"/>
        <v>0</v>
      </c>
      <c r="AR46" s="28">
        <f t="shared" si="45"/>
        <v>0</v>
      </c>
      <c r="AS46" s="28">
        <f t="shared" si="45"/>
        <v>2000</v>
      </c>
      <c r="AT46" s="28">
        <f t="shared" si="45"/>
        <v>4000</v>
      </c>
    </row>
    <row r="47">
      <c r="A47" s="10" t="s">
        <v>55</v>
      </c>
      <c r="B47" s="11">
        <v>500.0</v>
      </c>
      <c r="C47" s="12" t="s">
        <v>50</v>
      </c>
      <c r="D47" s="15">
        <v>75229.0</v>
      </c>
      <c r="F47" s="15">
        <f>IFERROR(__xludf.DUMMYFUNCTION("""COMPUTED_VALUE"""),75082.0)</f>
        <v>75082</v>
      </c>
      <c r="G47" s="26">
        <f t="shared" si="2"/>
        <v>1375</v>
      </c>
      <c r="J47" s="27">
        <f>IFERROR(__xludf.DUMMYFUNCTION("""COMPUTED_VALUE"""),75082.0)</f>
        <v>75082</v>
      </c>
      <c r="K47" s="28">
        <f t="shared" ref="K47:AT47" si="46">sumifs($B:$B,$D:$D,$J47,$C:$C,K$1)</f>
        <v>0</v>
      </c>
      <c r="L47" s="28">
        <f t="shared" si="46"/>
        <v>0</v>
      </c>
      <c r="M47" s="28">
        <f t="shared" si="46"/>
        <v>0</v>
      </c>
      <c r="N47" s="28">
        <f t="shared" si="46"/>
        <v>0</v>
      </c>
      <c r="O47" s="28">
        <f t="shared" si="46"/>
        <v>0</v>
      </c>
      <c r="P47" s="28">
        <f t="shared" si="46"/>
        <v>250</v>
      </c>
      <c r="Q47" s="28">
        <f t="shared" si="46"/>
        <v>0</v>
      </c>
      <c r="R47" s="28">
        <f t="shared" si="46"/>
        <v>0</v>
      </c>
      <c r="S47" s="28">
        <f t="shared" si="46"/>
        <v>0</v>
      </c>
      <c r="T47" s="28">
        <f t="shared" si="46"/>
        <v>0</v>
      </c>
      <c r="U47" s="28">
        <f t="shared" si="46"/>
        <v>0</v>
      </c>
      <c r="V47" s="28">
        <f t="shared" si="46"/>
        <v>0</v>
      </c>
      <c r="W47" s="28">
        <f t="shared" si="46"/>
        <v>0</v>
      </c>
      <c r="X47" s="28">
        <f t="shared" si="46"/>
        <v>0</v>
      </c>
      <c r="Y47" s="28">
        <f t="shared" si="46"/>
        <v>0</v>
      </c>
      <c r="Z47" s="28">
        <f t="shared" si="46"/>
        <v>0</v>
      </c>
      <c r="AA47" s="28">
        <f t="shared" si="46"/>
        <v>0</v>
      </c>
      <c r="AB47" s="28">
        <f t="shared" si="46"/>
        <v>0</v>
      </c>
      <c r="AC47" s="28">
        <f t="shared" si="46"/>
        <v>25</v>
      </c>
      <c r="AD47" s="28">
        <f t="shared" si="46"/>
        <v>0</v>
      </c>
      <c r="AE47" s="28">
        <f t="shared" si="46"/>
        <v>0</v>
      </c>
      <c r="AF47" s="28">
        <f t="shared" si="46"/>
        <v>0</v>
      </c>
      <c r="AG47" s="28">
        <f t="shared" si="46"/>
        <v>0</v>
      </c>
      <c r="AH47" s="28">
        <f t="shared" si="46"/>
        <v>0</v>
      </c>
      <c r="AI47" s="28">
        <f t="shared" si="46"/>
        <v>0</v>
      </c>
      <c r="AJ47" s="28">
        <f t="shared" si="46"/>
        <v>0</v>
      </c>
      <c r="AK47" s="28">
        <f t="shared" si="46"/>
        <v>1000</v>
      </c>
      <c r="AL47" s="28">
        <f t="shared" si="46"/>
        <v>100</v>
      </c>
      <c r="AM47" s="28">
        <f t="shared" si="46"/>
        <v>0</v>
      </c>
      <c r="AN47" s="28">
        <f t="shared" si="46"/>
        <v>0</v>
      </c>
      <c r="AO47" s="28">
        <f t="shared" si="46"/>
        <v>0</v>
      </c>
      <c r="AP47" s="28">
        <f t="shared" si="46"/>
        <v>0</v>
      </c>
      <c r="AQ47" s="28">
        <f t="shared" si="46"/>
        <v>0</v>
      </c>
      <c r="AR47" s="28">
        <f t="shared" si="46"/>
        <v>0</v>
      </c>
      <c r="AS47" s="28">
        <f t="shared" si="46"/>
        <v>0</v>
      </c>
      <c r="AT47" s="28">
        <f t="shared" si="46"/>
        <v>0</v>
      </c>
    </row>
    <row r="48">
      <c r="A48" s="10" t="s">
        <v>56</v>
      </c>
      <c r="B48" s="11">
        <v>1000.0</v>
      </c>
      <c r="C48" s="12" t="s">
        <v>50</v>
      </c>
      <c r="D48" s="15">
        <v>76226.0</v>
      </c>
      <c r="F48" s="15">
        <f>IFERROR(__xludf.DUMMYFUNCTION("""COMPUTED_VALUE"""),75215.0)</f>
        <v>75215</v>
      </c>
      <c r="G48" s="26">
        <f t="shared" si="2"/>
        <v>14813.2</v>
      </c>
      <c r="J48" s="27">
        <f>IFERROR(__xludf.DUMMYFUNCTION("""COMPUTED_VALUE"""),75215.0)</f>
        <v>75215</v>
      </c>
      <c r="K48" s="28">
        <f t="shared" ref="K48:AT48" si="47">sumifs($B:$B,$D:$D,$J48,$C:$C,K$1)</f>
        <v>500</v>
      </c>
      <c r="L48" s="28">
        <f t="shared" si="47"/>
        <v>0</v>
      </c>
      <c r="M48" s="28">
        <f t="shared" si="47"/>
        <v>500</v>
      </c>
      <c r="N48" s="28">
        <f t="shared" si="47"/>
        <v>1150</v>
      </c>
      <c r="O48" s="28">
        <f t="shared" si="47"/>
        <v>0</v>
      </c>
      <c r="P48" s="28">
        <f t="shared" si="47"/>
        <v>2150</v>
      </c>
      <c r="Q48" s="28">
        <f t="shared" si="47"/>
        <v>6</v>
      </c>
      <c r="R48" s="28">
        <f t="shared" si="47"/>
        <v>0</v>
      </c>
      <c r="S48" s="28">
        <f t="shared" si="47"/>
        <v>0</v>
      </c>
      <c r="T48" s="28">
        <f t="shared" si="47"/>
        <v>1000</v>
      </c>
      <c r="U48" s="28">
        <f t="shared" si="47"/>
        <v>650</v>
      </c>
      <c r="V48" s="28">
        <f t="shared" si="47"/>
        <v>0</v>
      </c>
      <c r="W48" s="28">
        <f t="shared" si="47"/>
        <v>920</v>
      </c>
      <c r="X48" s="28">
        <f t="shared" si="47"/>
        <v>0</v>
      </c>
      <c r="Y48" s="28">
        <f t="shared" si="47"/>
        <v>0</v>
      </c>
      <c r="Z48" s="28">
        <f t="shared" si="47"/>
        <v>500</v>
      </c>
      <c r="AA48" s="28">
        <f t="shared" si="47"/>
        <v>0</v>
      </c>
      <c r="AB48" s="28">
        <f t="shared" si="47"/>
        <v>0</v>
      </c>
      <c r="AC48" s="28">
        <f t="shared" si="47"/>
        <v>2087.2</v>
      </c>
      <c r="AD48" s="28">
        <f t="shared" si="47"/>
        <v>0</v>
      </c>
      <c r="AE48" s="28">
        <f t="shared" si="47"/>
        <v>0</v>
      </c>
      <c r="AF48" s="28">
        <f t="shared" si="47"/>
        <v>700</v>
      </c>
      <c r="AG48" s="28">
        <f t="shared" si="47"/>
        <v>0</v>
      </c>
      <c r="AH48" s="28">
        <f t="shared" si="47"/>
        <v>0</v>
      </c>
      <c r="AI48" s="28">
        <f t="shared" si="47"/>
        <v>1700</v>
      </c>
      <c r="AJ48" s="28">
        <f t="shared" si="47"/>
        <v>0</v>
      </c>
      <c r="AK48" s="28">
        <f t="shared" si="47"/>
        <v>1450</v>
      </c>
      <c r="AL48" s="28">
        <f t="shared" si="47"/>
        <v>0</v>
      </c>
      <c r="AM48" s="28">
        <f t="shared" si="47"/>
        <v>500</v>
      </c>
      <c r="AN48" s="28">
        <f t="shared" si="47"/>
        <v>0</v>
      </c>
      <c r="AO48" s="28">
        <f t="shared" si="47"/>
        <v>0</v>
      </c>
      <c r="AP48" s="28">
        <f t="shared" si="47"/>
        <v>0</v>
      </c>
      <c r="AQ48" s="28">
        <f t="shared" si="47"/>
        <v>0</v>
      </c>
      <c r="AR48" s="28">
        <f t="shared" si="47"/>
        <v>0</v>
      </c>
      <c r="AS48" s="28">
        <f t="shared" si="47"/>
        <v>0</v>
      </c>
      <c r="AT48" s="28">
        <f t="shared" si="47"/>
        <v>1000</v>
      </c>
    </row>
    <row r="49">
      <c r="A49" s="10" t="s">
        <v>57</v>
      </c>
      <c r="B49" s="11">
        <v>1000.0</v>
      </c>
      <c r="C49" s="12" t="s">
        <v>50</v>
      </c>
      <c r="D49" s="15">
        <v>75115.0</v>
      </c>
      <c r="F49" s="15">
        <f>IFERROR(__xludf.DUMMYFUNCTION("""COMPUTED_VALUE"""),59715.0)</f>
        <v>59715</v>
      </c>
      <c r="G49" s="26">
        <f t="shared" si="2"/>
        <v>1000</v>
      </c>
      <c r="J49" s="27">
        <f>IFERROR(__xludf.DUMMYFUNCTION("""COMPUTED_VALUE"""),59715.0)</f>
        <v>59715</v>
      </c>
      <c r="K49" s="28">
        <f t="shared" ref="K49:AT49" si="48">sumifs($B:$B,$D:$D,$J49,$C:$C,K$1)</f>
        <v>0</v>
      </c>
      <c r="L49" s="28">
        <f t="shared" si="48"/>
        <v>0</v>
      </c>
      <c r="M49" s="28">
        <f t="shared" si="48"/>
        <v>0</v>
      </c>
      <c r="N49" s="28">
        <f t="shared" si="48"/>
        <v>0</v>
      </c>
      <c r="O49" s="28">
        <f t="shared" si="48"/>
        <v>0</v>
      </c>
      <c r="P49" s="28">
        <f t="shared" si="48"/>
        <v>1000</v>
      </c>
      <c r="Q49" s="28">
        <f t="shared" si="48"/>
        <v>0</v>
      </c>
      <c r="R49" s="28">
        <f t="shared" si="48"/>
        <v>0</v>
      </c>
      <c r="S49" s="28">
        <f t="shared" si="48"/>
        <v>0</v>
      </c>
      <c r="T49" s="28">
        <f t="shared" si="48"/>
        <v>0</v>
      </c>
      <c r="U49" s="28">
        <f t="shared" si="48"/>
        <v>0</v>
      </c>
      <c r="V49" s="28">
        <f t="shared" si="48"/>
        <v>0</v>
      </c>
      <c r="W49" s="28">
        <f t="shared" si="48"/>
        <v>0</v>
      </c>
      <c r="X49" s="28">
        <f t="shared" si="48"/>
        <v>0</v>
      </c>
      <c r="Y49" s="28">
        <f t="shared" si="48"/>
        <v>0</v>
      </c>
      <c r="Z49" s="28">
        <f t="shared" si="48"/>
        <v>0</v>
      </c>
      <c r="AA49" s="28">
        <f t="shared" si="48"/>
        <v>0</v>
      </c>
      <c r="AB49" s="28">
        <f t="shared" si="48"/>
        <v>0</v>
      </c>
      <c r="AC49" s="28">
        <f t="shared" si="48"/>
        <v>0</v>
      </c>
      <c r="AD49" s="28">
        <f t="shared" si="48"/>
        <v>0</v>
      </c>
      <c r="AE49" s="28">
        <f t="shared" si="48"/>
        <v>0</v>
      </c>
      <c r="AF49" s="28">
        <f t="shared" si="48"/>
        <v>0</v>
      </c>
      <c r="AG49" s="28">
        <f t="shared" si="48"/>
        <v>0</v>
      </c>
      <c r="AH49" s="28">
        <f t="shared" si="48"/>
        <v>0</v>
      </c>
      <c r="AI49" s="28">
        <f t="shared" si="48"/>
        <v>0</v>
      </c>
      <c r="AJ49" s="28">
        <f t="shared" si="48"/>
        <v>0</v>
      </c>
      <c r="AK49" s="28">
        <f t="shared" si="48"/>
        <v>0</v>
      </c>
      <c r="AL49" s="28">
        <f t="shared" si="48"/>
        <v>0</v>
      </c>
      <c r="AM49" s="28">
        <f t="shared" si="48"/>
        <v>0</v>
      </c>
      <c r="AN49" s="28">
        <f t="shared" si="48"/>
        <v>0</v>
      </c>
      <c r="AO49" s="28">
        <f t="shared" si="48"/>
        <v>0</v>
      </c>
      <c r="AP49" s="28">
        <f t="shared" si="48"/>
        <v>0</v>
      </c>
      <c r="AQ49" s="28">
        <f t="shared" si="48"/>
        <v>0</v>
      </c>
      <c r="AR49" s="28">
        <f t="shared" si="48"/>
        <v>0</v>
      </c>
      <c r="AS49" s="28">
        <f t="shared" si="48"/>
        <v>0</v>
      </c>
      <c r="AT49" s="28">
        <f t="shared" si="48"/>
        <v>0</v>
      </c>
    </row>
    <row r="50">
      <c r="A50" s="10" t="s">
        <v>58</v>
      </c>
      <c r="B50" s="11">
        <v>100.0</v>
      </c>
      <c r="C50" s="12" t="s">
        <v>50</v>
      </c>
      <c r="D50" s="15">
        <v>75382.0</v>
      </c>
      <c r="F50" s="15">
        <f>IFERROR(__xludf.DUMMYFUNCTION("""COMPUTED_VALUE"""),75238.0)</f>
        <v>75238</v>
      </c>
      <c r="G50" s="26">
        <f t="shared" si="2"/>
        <v>33380.69</v>
      </c>
      <c r="J50" s="27">
        <f>IFERROR(__xludf.DUMMYFUNCTION("""COMPUTED_VALUE"""),75238.0)</f>
        <v>75238</v>
      </c>
      <c r="K50" s="28">
        <f t="shared" ref="K50:AT50" si="49">sumifs($B:$B,$D:$D,$J50,$C:$C,K$1)</f>
        <v>500</v>
      </c>
      <c r="L50" s="28">
        <f t="shared" si="49"/>
        <v>0</v>
      </c>
      <c r="M50" s="28">
        <f t="shared" si="49"/>
        <v>250</v>
      </c>
      <c r="N50" s="28">
        <f t="shared" si="49"/>
        <v>0</v>
      </c>
      <c r="O50" s="28">
        <f t="shared" si="49"/>
        <v>0</v>
      </c>
      <c r="P50" s="28">
        <f t="shared" si="49"/>
        <v>0</v>
      </c>
      <c r="Q50" s="28">
        <f t="shared" si="49"/>
        <v>0</v>
      </c>
      <c r="R50" s="28">
        <f t="shared" si="49"/>
        <v>0</v>
      </c>
      <c r="S50" s="28">
        <f t="shared" si="49"/>
        <v>0</v>
      </c>
      <c r="T50" s="28">
        <f t="shared" si="49"/>
        <v>0</v>
      </c>
      <c r="U50" s="28">
        <f t="shared" si="49"/>
        <v>0</v>
      </c>
      <c r="V50" s="28">
        <f t="shared" si="49"/>
        <v>0</v>
      </c>
      <c r="W50" s="28">
        <f t="shared" si="49"/>
        <v>100</v>
      </c>
      <c r="X50" s="28">
        <f t="shared" si="49"/>
        <v>500</v>
      </c>
      <c r="Y50" s="28">
        <f t="shared" si="49"/>
        <v>0</v>
      </c>
      <c r="Z50" s="28">
        <f t="shared" si="49"/>
        <v>1500</v>
      </c>
      <c r="AA50" s="28">
        <f t="shared" si="49"/>
        <v>2504</v>
      </c>
      <c r="AB50" s="28">
        <f t="shared" si="49"/>
        <v>0</v>
      </c>
      <c r="AC50" s="28">
        <f t="shared" si="49"/>
        <v>1949.7</v>
      </c>
      <c r="AD50" s="28">
        <f t="shared" si="49"/>
        <v>0</v>
      </c>
      <c r="AE50" s="28">
        <f t="shared" si="49"/>
        <v>2960</v>
      </c>
      <c r="AF50" s="28">
        <f t="shared" si="49"/>
        <v>250</v>
      </c>
      <c r="AG50" s="28">
        <f t="shared" si="49"/>
        <v>0</v>
      </c>
      <c r="AH50" s="28">
        <f t="shared" si="49"/>
        <v>51.99</v>
      </c>
      <c r="AI50" s="28">
        <f t="shared" si="49"/>
        <v>1315</v>
      </c>
      <c r="AJ50" s="28">
        <f t="shared" si="49"/>
        <v>750</v>
      </c>
      <c r="AK50" s="28">
        <f t="shared" si="49"/>
        <v>500</v>
      </c>
      <c r="AL50" s="28">
        <f t="shared" si="49"/>
        <v>20200</v>
      </c>
      <c r="AM50" s="28">
        <f t="shared" si="49"/>
        <v>0</v>
      </c>
      <c r="AN50" s="28">
        <f t="shared" si="49"/>
        <v>0</v>
      </c>
      <c r="AO50" s="28">
        <f t="shared" si="49"/>
        <v>0</v>
      </c>
      <c r="AP50" s="28">
        <f t="shared" si="49"/>
        <v>0</v>
      </c>
      <c r="AQ50" s="28">
        <f t="shared" si="49"/>
        <v>0</v>
      </c>
      <c r="AR50" s="28">
        <f t="shared" si="49"/>
        <v>0</v>
      </c>
      <c r="AS50" s="28">
        <f t="shared" si="49"/>
        <v>50</v>
      </c>
      <c r="AT50" s="28">
        <f t="shared" si="49"/>
        <v>0</v>
      </c>
    </row>
    <row r="51">
      <c r="A51" s="10" t="s">
        <v>59</v>
      </c>
      <c r="B51" s="11">
        <v>50.0</v>
      </c>
      <c r="C51" s="12" t="s">
        <v>50</v>
      </c>
      <c r="D51" s="15">
        <v>75228.0</v>
      </c>
      <c r="F51" s="15">
        <f>IFERROR(__xludf.DUMMYFUNCTION("""COMPUTED_VALUE"""),76088.0)</f>
        <v>76088</v>
      </c>
      <c r="G51" s="26">
        <f t="shared" si="2"/>
        <v>1000</v>
      </c>
      <c r="J51" s="27">
        <f>IFERROR(__xludf.DUMMYFUNCTION("""COMPUTED_VALUE"""),76088.0)</f>
        <v>76088</v>
      </c>
      <c r="K51" s="28">
        <f t="shared" ref="K51:AT51" si="50">sumifs($B:$B,$D:$D,$J51,$C:$C,K$1)</f>
        <v>1000</v>
      </c>
      <c r="L51" s="28">
        <f t="shared" si="50"/>
        <v>0</v>
      </c>
      <c r="M51" s="28">
        <f t="shared" si="50"/>
        <v>0</v>
      </c>
      <c r="N51" s="28">
        <f t="shared" si="50"/>
        <v>0</v>
      </c>
      <c r="O51" s="28">
        <f t="shared" si="50"/>
        <v>0</v>
      </c>
      <c r="P51" s="28">
        <f t="shared" si="50"/>
        <v>0</v>
      </c>
      <c r="Q51" s="28">
        <f t="shared" si="50"/>
        <v>0</v>
      </c>
      <c r="R51" s="28">
        <f t="shared" si="50"/>
        <v>0</v>
      </c>
      <c r="S51" s="28">
        <f t="shared" si="50"/>
        <v>0</v>
      </c>
      <c r="T51" s="28">
        <f t="shared" si="50"/>
        <v>0</v>
      </c>
      <c r="U51" s="28">
        <f t="shared" si="50"/>
        <v>0</v>
      </c>
      <c r="V51" s="28">
        <f t="shared" si="50"/>
        <v>0</v>
      </c>
      <c r="W51" s="28">
        <f t="shared" si="50"/>
        <v>0</v>
      </c>
      <c r="X51" s="28">
        <f t="shared" si="50"/>
        <v>0</v>
      </c>
      <c r="Y51" s="28">
        <f t="shared" si="50"/>
        <v>0</v>
      </c>
      <c r="Z51" s="28">
        <f t="shared" si="50"/>
        <v>0</v>
      </c>
      <c r="AA51" s="28">
        <f t="shared" si="50"/>
        <v>0</v>
      </c>
      <c r="AB51" s="28">
        <f t="shared" si="50"/>
        <v>0</v>
      </c>
      <c r="AC51" s="28">
        <f t="shared" si="50"/>
        <v>0</v>
      </c>
      <c r="AD51" s="28">
        <f t="shared" si="50"/>
        <v>0</v>
      </c>
      <c r="AE51" s="28">
        <f t="shared" si="50"/>
        <v>0</v>
      </c>
      <c r="AF51" s="28">
        <f t="shared" si="50"/>
        <v>0</v>
      </c>
      <c r="AG51" s="28">
        <f t="shared" si="50"/>
        <v>0</v>
      </c>
      <c r="AH51" s="28">
        <f t="shared" si="50"/>
        <v>0</v>
      </c>
      <c r="AI51" s="28">
        <f t="shared" si="50"/>
        <v>0</v>
      </c>
      <c r="AJ51" s="28">
        <f t="shared" si="50"/>
        <v>0</v>
      </c>
      <c r="AK51" s="28">
        <f t="shared" si="50"/>
        <v>0</v>
      </c>
      <c r="AL51" s="28">
        <f t="shared" si="50"/>
        <v>0</v>
      </c>
      <c r="AM51" s="28">
        <f t="shared" si="50"/>
        <v>0</v>
      </c>
      <c r="AN51" s="28">
        <f t="shared" si="50"/>
        <v>0</v>
      </c>
      <c r="AO51" s="28">
        <f t="shared" si="50"/>
        <v>0</v>
      </c>
      <c r="AP51" s="28">
        <f t="shared" si="50"/>
        <v>0</v>
      </c>
      <c r="AQ51" s="28">
        <f t="shared" si="50"/>
        <v>0</v>
      </c>
      <c r="AR51" s="28">
        <f t="shared" si="50"/>
        <v>0</v>
      </c>
      <c r="AS51" s="28">
        <f t="shared" si="50"/>
        <v>0</v>
      </c>
      <c r="AT51" s="28">
        <f t="shared" si="50"/>
        <v>0</v>
      </c>
    </row>
    <row r="52">
      <c r="A52" s="10" t="s">
        <v>60</v>
      </c>
      <c r="B52" s="11">
        <v>50.0</v>
      </c>
      <c r="C52" s="12" t="s">
        <v>50</v>
      </c>
      <c r="D52" s="15">
        <v>75227.0</v>
      </c>
      <c r="F52" s="15">
        <f>IFERROR(__xludf.DUMMYFUNCTION("""COMPUTED_VALUE"""),75217.0)</f>
        <v>75217</v>
      </c>
      <c r="G52" s="26">
        <f t="shared" si="2"/>
        <v>4620</v>
      </c>
      <c r="J52" s="27">
        <f>IFERROR(__xludf.DUMMYFUNCTION("""COMPUTED_VALUE"""),75217.0)</f>
        <v>75217</v>
      </c>
      <c r="K52" s="28">
        <f t="shared" ref="K52:AT52" si="51">sumifs($B:$B,$D:$D,$J52,$C:$C,K$1)</f>
        <v>0</v>
      </c>
      <c r="L52" s="28">
        <f t="shared" si="51"/>
        <v>0</v>
      </c>
      <c r="M52" s="28">
        <f t="shared" si="51"/>
        <v>0</v>
      </c>
      <c r="N52" s="28">
        <f t="shared" si="51"/>
        <v>50</v>
      </c>
      <c r="O52" s="28">
        <f t="shared" si="51"/>
        <v>0</v>
      </c>
      <c r="P52" s="28">
        <f t="shared" si="51"/>
        <v>0</v>
      </c>
      <c r="Q52" s="28">
        <f t="shared" si="51"/>
        <v>140</v>
      </c>
      <c r="R52" s="28">
        <f t="shared" si="51"/>
        <v>0</v>
      </c>
      <c r="S52" s="28">
        <f t="shared" si="51"/>
        <v>0</v>
      </c>
      <c r="T52" s="28">
        <f t="shared" si="51"/>
        <v>0</v>
      </c>
      <c r="U52" s="28">
        <f t="shared" si="51"/>
        <v>0</v>
      </c>
      <c r="V52" s="28">
        <f t="shared" si="51"/>
        <v>0</v>
      </c>
      <c r="W52" s="28">
        <f t="shared" si="51"/>
        <v>0</v>
      </c>
      <c r="X52" s="28">
        <f t="shared" si="51"/>
        <v>55</v>
      </c>
      <c r="Y52" s="28">
        <f t="shared" si="51"/>
        <v>2500</v>
      </c>
      <c r="Z52" s="28">
        <f t="shared" si="51"/>
        <v>0</v>
      </c>
      <c r="AA52" s="28">
        <f t="shared" si="51"/>
        <v>0</v>
      </c>
      <c r="AB52" s="28">
        <f t="shared" si="51"/>
        <v>1200</v>
      </c>
      <c r="AC52" s="28">
        <f t="shared" si="51"/>
        <v>0</v>
      </c>
      <c r="AD52" s="28">
        <f t="shared" si="51"/>
        <v>0</v>
      </c>
      <c r="AE52" s="28">
        <f t="shared" si="51"/>
        <v>0</v>
      </c>
      <c r="AF52" s="28">
        <f t="shared" si="51"/>
        <v>0</v>
      </c>
      <c r="AG52" s="28">
        <f t="shared" si="51"/>
        <v>0</v>
      </c>
      <c r="AH52" s="28">
        <f t="shared" si="51"/>
        <v>0</v>
      </c>
      <c r="AI52" s="28">
        <f t="shared" si="51"/>
        <v>650</v>
      </c>
      <c r="AJ52" s="28">
        <f t="shared" si="51"/>
        <v>0</v>
      </c>
      <c r="AK52" s="28">
        <f t="shared" si="51"/>
        <v>0</v>
      </c>
      <c r="AL52" s="28">
        <f t="shared" si="51"/>
        <v>0</v>
      </c>
      <c r="AM52" s="28">
        <f t="shared" si="51"/>
        <v>0</v>
      </c>
      <c r="AN52" s="28">
        <f t="shared" si="51"/>
        <v>0</v>
      </c>
      <c r="AO52" s="28">
        <f t="shared" si="51"/>
        <v>0</v>
      </c>
      <c r="AP52" s="28">
        <f t="shared" si="51"/>
        <v>0</v>
      </c>
      <c r="AQ52" s="28">
        <f t="shared" si="51"/>
        <v>25</v>
      </c>
      <c r="AR52" s="28">
        <f t="shared" si="51"/>
        <v>0</v>
      </c>
      <c r="AS52" s="28">
        <f t="shared" si="51"/>
        <v>0</v>
      </c>
      <c r="AT52" s="28">
        <f t="shared" si="51"/>
        <v>0</v>
      </c>
    </row>
    <row r="53">
      <c r="A53" s="10" t="s">
        <v>61</v>
      </c>
      <c r="B53" s="11">
        <v>75.0</v>
      </c>
      <c r="C53" s="12" t="s">
        <v>50</v>
      </c>
      <c r="D53" s="15">
        <v>75227.0</v>
      </c>
      <c r="F53" s="15">
        <f>IFERROR(__xludf.DUMMYFUNCTION("""COMPUTED_VALUE"""),75249.0)</f>
        <v>75249</v>
      </c>
      <c r="G53" s="26">
        <f t="shared" si="2"/>
        <v>1285</v>
      </c>
      <c r="J53" s="27">
        <f>IFERROR(__xludf.DUMMYFUNCTION("""COMPUTED_VALUE"""),75249.0)</f>
        <v>75249</v>
      </c>
      <c r="K53" s="28">
        <f t="shared" ref="K53:AT53" si="52">sumifs($B:$B,$D:$D,$J53,$C:$C,K$1)</f>
        <v>0</v>
      </c>
      <c r="L53" s="28">
        <f t="shared" si="52"/>
        <v>0</v>
      </c>
      <c r="M53" s="28">
        <f t="shared" si="52"/>
        <v>250</v>
      </c>
      <c r="N53" s="28">
        <f t="shared" si="52"/>
        <v>0</v>
      </c>
      <c r="O53" s="28">
        <f t="shared" si="52"/>
        <v>0</v>
      </c>
      <c r="P53" s="28">
        <f t="shared" si="52"/>
        <v>0</v>
      </c>
      <c r="Q53" s="28">
        <f t="shared" si="52"/>
        <v>35</v>
      </c>
      <c r="R53" s="28">
        <f t="shared" si="52"/>
        <v>0</v>
      </c>
      <c r="S53" s="28">
        <f t="shared" si="52"/>
        <v>0</v>
      </c>
      <c r="T53" s="28">
        <f t="shared" si="52"/>
        <v>0</v>
      </c>
      <c r="U53" s="28">
        <f t="shared" si="52"/>
        <v>0</v>
      </c>
      <c r="V53" s="28">
        <f t="shared" si="52"/>
        <v>0</v>
      </c>
      <c r="W53" s="28">
        <f t="shared" si="52"/>
        <v>0</v>
      </c>
      <c r="X53" s="28">
        <f t="shared" si="52"/>
        <v>0</v>
      </c>
      <c r="Y53" s="28">
        <f t="shared" si="52"/>
        <v>0</v>
      </c>
      <c r="Z53" s="28">
        <f t="shared" si="52"/>
        <v>0</v>
      </c>
      <c r="AA53" s="28">
        <f t="shared" si="52"/>
        <v>0</v>
      </c>
      <c r="AB53" s="28">
        <f t="shared" si="52"/>
        <v>0</v>
      </c>
      <c r="AC53" s="28">
        <f t="shared" si="52"/>
        <v>0</v>
      </c>
      <c r="AD53" s="28">
        <f t="shared" si="52"/>
        <v>0</v>
      </c>
      <c r="AE53" s="28">
        <f t="shared" si="52"/>
        <v>0</v>
      </c>
      <c r="AF53" s="28">
        <f t="shared" si="52"/>
        <v>0</v>
      </c>
      <c r="AG53" s="28">
        <f t="shared" si="52"/>
        <v>0</v>
      </c>
      <c r="AH53" s="28">
        <f t="shared" si="52"/>
        <v>0</v>
      </c>
      <c r="AI53" s="28">
        <f t="shared" si="52"/>
        <v>1000</v>
      </c>
      <c r="AJ53" s="28">
        <f t="shared" si="52"/>
        <v>0</v>
      </c>
      <c r="AK53" s="28">
        <f t="shared" si="52"/>
        <v>0</v>
      </c>
      <c r="AL53" s="28">
        <f t="shared" si="52"/>
        <v>0</v>
      </c>
      <c r="AM53" s="28">
        <f t="shared" si="52"/>
        <v>0</v>
      </c>
      <c r="AN53" s="28">
        <f t="shared" si="52"/>
        <v>0</v>
      </c>
      <c r="AO53" s="28">
        <f t="shared" si="52"/>
        <v>0</v>
      </c>
      <c r="AP53" s="28">
        <f t="shared" si="52"/>
        <v>0</v>
      </c>
      <c r="AQ53" s="28">
        <f t="shared" si="52"/>
        <v>0</v>
      </c>
      <c r="AR53" s="28">
        <f t="shared" si="52"/>
        <v>0</v>
      </c>
      <c r="AS53" s="28">
        <f t="shared" si="52"/>
        <v>0</v>
      </c>
      <c r="AT53" s="28">
        <f t="shared" si="52"/>
        <v>0</v>
      </c>
    </row>
    <row r="54">
      <c r="A54" s="10" t="s">
        <v>62</v>
      </c>
      <c r="B54" s="11">
        <v>100.0</v>
      </c>
      <c r="C54" s="12" t="s">
        <v>50</v>
      </c>
      <c r="D54" s="15">
        <v>75201.0</v>
      </c>
      <c r="F54" s="15">
        <f>IFERROR(__xludf.DUMMYFUNCTION("""COMPUTED_VALUE"""),75233.0)</f>
        <v>75233</v>
      </c>
      <c r="G54" s="26">
        <f t="shared" si="2"/>
        <v>1860</v>
      </c>
      <c r="J54" s="27">
        <f>IFERROR(__xludf.DUMMYFUNCTION("""COMPUTED_VALUE"""),75233.0)</f>
        <v>75233</v>
      </c>
      <c r="K54" s="28">
        <f t="shared" ref="K54:AT54" si="53">sumifs($B:$B,$D:$D,$J54,$C:$C,K$1)</f>
        <v>0</v>
      </c>
      <c r="L54" s="28">
        <f t="shared" si="53"/>
        <v>0</v>
      </c>
      <c r="M54" s="28">
        <f t="shared" si="53"/>
        <v>700</v>
      </c>
      <c r="N54" s="28">
        <f t="shared" si="53"/>
        <v>0</v>
      </c>
      <c r="O54" s="28">
        <f t="shared" si="53"/>
        <v>0</v>
      </c>
      <c r="P54" s="28">
        <f t="shared" si="53"/>
        <v>0</v>
      </c>
      <c r="Q54" s="28">
        <f t="shared" si="53"/>
        <v>310</v>
      </c>
      <c r="R54" s="28">
        <f t="shared" si="53"/>
        <v>0</v>
      </c>
      <c r="S54" s="28">
        <f t="shared" si="53"/>
        <v>0</v>
      </c>
      <c r="T54" s="28">
        <f t="shared" si="53"/>
        <v>0</v>
      </c>
      <c r="U54" s="28">
        <f t="shared" si="53"/>
        <v>0</v>
      </c>
      <c r="V54" s="28">
        <f t="shared" si="53"/>
        <v>0</v>
      </c>
      <c r="W54" s="28">
        <f t="shared" si="53"/>
        <v>100</v>
      </c>
      <c r="X54" s="28">
        <f t="shared" si="53"/>
        <v>0</v>
      </c>
      <c r="Y54" s="28">
        <f t="shared" si="53"/>
        <v>0</v>
      </c>
      <c r="Z54" s="28">
        <f t="shared" si="53"/>
        <v>0</v>
      </c>
      <c r="AA54" s="28">
        <f t="shared" si="53"/>
        <v>0</v>
      </c>
      <c r="AB54" s="28">
        <f t="shared" si="53"/>
        <v>0</v>
      </c>
      <c r="AC54" s="28">
        <f t="shared" si="53"/>
        <v>500</v>
      </c>
      <c r="AD54" s="28">
        <f t="shared" si="53"/>
        <v>0</v>
      </c>
      <c r="AE54" s="28">
        <f t="shared" si="53"/>
        <v>0</v>
      </c>
      <c r="AF54" s="28">
        <f t="shared" si="53"/>
        <v>0</v>
      </c>
      <c r="AG54" s="28">
        <f t="shared" si="53"/>
        <v>0</v>
      </c>
      <c r="AH54" s="28">
        <f t="shared" si="53"/>
        <v>0</v>
      </c>
      <c r="AI54" s="28">
        <f t="shared" si="53"/>
        <v>250</v>
      </c>
      <c r="AJ54" s="28">
        <f t="shared" si="53"/>
        <v>0</v>
      </c>
      <c r="AK54" s="28">
        <f t="shared" si="53"/>
        <v>0</v>
      </c>
      <c r="AL54" s="28">
        <f t="shared" si="53"/>
        <v>0</v>
      </c>
      <c r="AM54" s="28">
        <f t="shared" si="53"/>
        <v>0</v>
      </c>
      <c r="AN54" s="28">
        <f t="shared" si="53"/>
        <v>0</v>
      </c>
      <c r="AO54" s="28">
        <f t="shared" si="53"/>
        <v>0</v>
      </c>
      <c r="AP54" s="28">
        <f t="shared" si="53"/>
        <v>0</v>
      </c>
      <c r="AQ54" s="28">
        <f t="shared" si="53"/>
        <v>0</v>
      </c>
      <c r="AR54" s="28">
        <f t="shared" si="53"/>
        <v>0</v>
      </c>
      <c r="AS54" s="28">
        <f t="shared" si="53"/>
        <v>0</v>
      </c>
      <c r="AT54" s="28">
        <f t="shared" si="53"/>
        <v>0</v>
      </c>
    </row>
    <row r="55">
      <c r="A55" s="10" t="s">
        <v>63</v>
      </c>
      <c r="B55" s="11">
        <v>200.0</v>
      </c>
      <c r="C55" s="12" t="s">
        <v>50</v>
      </c>
      <c r="D55" s="15">
        <v>75227.0</v>
      </c>
      <c r="F55" s="15">
        <f>IFERROR(__xludf.DUMMYFUNCTION("""COMPUTED_VALUE"""),75160.0)</f>
        <v>75160</v>
      </c>
      <c r="G55" s="26">
        <f t="shared" si="2"/>
        <v>40</v>
      </c>
      <c r="J55" s="27">
        <f>IFERROR(__xludf.DUMMYFUNCTION("""COMPUTED_VALUE"""),75160.0)</f>
        <v>75160</v>
      </c>
      <c r="K55" s="28">
        <f t="shared" ref="K55:AT55" si="54">sumifs($B:$B,$D:$D,$J55,$C:$C,K$1)</f>
        <v>0</v>
      </c>
      <c r="L55" s="28">
        <f t="shared" si="54"/>
        <v>0</v>
      </c>
      <c r="M55" s="28">
        <f t="shared" si="54"/>
        <v>0</v>
      </c>
      <c r="N55" s="28">
        <f t="shared" si="54"/>
        <v>0</v>
      </c>
      <c r="O55" s="28">
        <f t="shared" si="54"/>
        <v>0</v>
      </c>
      <c r="P55" s="28">
        <f t="shared" si="54"/>
        <v>0</v>
      </c>
      <c r="Q55" s="28">
        <f t="shared" si="54"/>
        <v>40</v>
      </c>
      <c r="R55" s="28">
        <f t="shared" si="54"/>
        <v>0</v>
      </c>
      <c r="S55" s="28">
        <f t="shared" si="54"/>
        <v>0</v>
      </c>
      <c r="T55" s="28">
        <f t="shared" si="54"/>
        <v>0</v>
      </c>
      <c r="U55" s="28">
        <f t="shared" si="54"/>
        <v>0</v>
      </c>
      <c r="V55" s="28">
        <f t="shared" si="54"/>
        <v>0</v>
      </c>
      <c r="W55" s="28">
        <f t="shared" si="54"/>
        <v>0</v>
      </c>
      <c r="X55" s="28">
        <f t="shared" si="54"/>
        <v>0</v>
      </c>
      <c r="Y55" s="28">
        <f t="shared" si="54"/>
        <v>0</v>
      </c>
      <c r="Z55" s="28">
        <f t="shared" si="54"/>
        <v>0</v>
      </c>
      <c r="AA55" s="28">
        <f t="shared" si="54"/>
        <v>0</v>
      </c>
      <c r="AB55" s="28">
        <f t="shared" si="54"/>
        <v>0</v>
      </c>
      <c r="AC55" s="28">
        <f t="shared" si="54"/>
        <v>0</v>
      </c>
      <c r="AD55" s="28">
        <f t="shared" si="54"/>
        <v>0</v>
      </c>
      <c r="AE55" s="28">
        <f t="shared" si="54"/>
        <v>0</v>
      </c>
      <c r="AF55" s="28">
        <f t="shared" si="54"/>
        <v>0</v>
      </c>
      <c r="AG55" s="28">
        <f t="shared" si="54"/>
        <v>0</v>
      </c>
      <c r="AH55" s="28">
        <f t="shared" si="54"/>
        <v>0</v>
      </c>
      <c r="AI55" s="28">
        <f t="shared" si="54"/>
        <v>0</v>
      </c>
      <c r="AJ55" s="28">
        <f t="shared" si="54"/>
        <v>0</v>
      </c>
      <c r="AK55" s="28">
        <f t="shared" si="54"/>
        <v>0</v>
      </c>
      <c r="AL55" s="28">
        <f t="shared" si="54"/>
        <v>0</v>
      </c>
      <c r="AM55" s="28">
        <f t="shared" si="54"/>
        <v>0</v>
      </c>
      <c r="AN55" s="28">
        <f t="shared" si="54"/>
        <v>0</v>
      </c>
      <c r="AO55" s="28">
        <f t="shared" si="54"/>
        <v>0</v>
      </c>
      <c r="AP55" s="28">
        <f t="shared" si="54"/>
        <v>0</v>
      </c>
      <c r="AQ55" s="28">
        <f t="shared" si="54"/>
        <v>0</v>
      </c>
      <c r="AR55" s="28">
        <f t="shared" si="54"/>
        <v>0</v>
      </c>
      <c r="AS55" s="28">
        <f t="shared" si="54"/>
        <v>0</v>
      </c>
      <c r="AT55" s="28">
        <f t="shared" si="54"/>
        <v>0</v>
      </c>
    </row>
    <row r="56">
      <c r="A56" s="10" t="s">
        <v>64</v>
      </c>
      <c r="B56" s="11">
        <v>400.0</v>
      </c>
      <c r="C56" s="12" t="s">
        <v>50</v>
      </c>
      <c r="D56" s="15">
        <v>75002.0</v>
      </c>
      <c r="F56" s="15">
        <f>IFERROR(__xludf.DUMMYFUNCTION("""COMPUTED_VALUE"""),75216.0)</f>
        <v>75216</v>
      </c>
      <c r="G56" s="26">
        <f t="shared" si="2"/>
        <v>920</v>
      </c>
      <c r="J56" s="27">
        <f>IFERROR(__xludf.DUMMYFUNCTION("""COMPUTED_VALUE"""),75216.0)</f>
        <v>75216</v>
      </c>
      <c r="K56" s="28">
        <f t="shared" ref="K56:AT56" si="55">sumifs($B:$B,$D:$D,$J56,$C:$C,K$1)</f>
        <v>0</v>
      </c>
      <c r="L56" s="28">
        <f t="shared" si="55"/>
        <v>0</v>
      </c>
      <c r="M56" s="28">
        <f t="shared" si="55"/>
        <v>0</v>
      </c>
      <c r="N56" s="28">
        <f t="shared" si="55"/>
        <v>0</v>
      </c>
      <c r="O56" s="28">
        <f t="shared" si="55"/>
        <v>0</v>
      </c>
      <c r="P56" s="28">
        <f t="shared" si="55"/>
        <v>0</v>
      </c>
      <c r="Q56" s="28">
        <f t="shared" si="55"/>
        <v>120</v>
      </c>
      <c r="R56" s="28">
        <f t="shared" si="55"/>
        <v>0</v>
      </c>
      <c r="S56" s="28">
        <f t="shared" si="55"/>
        <v>0</v>
      </c>
      <c r="T56" s="28">
        <f t="shared" si="55"/>
        <v>0</v>
      </c>
      <c r="U56" s="28">
        <f t="shared" si="55"/>
        <v>0</v>
      </c>
      <c r="V56" s="28">
        <f t="shared" si="55"/>
        <v>0</v>
      </c>
      <c r="W56" s="28">
        <f t="shared" si="55"/>
        <v>0</v>
      </c>
      <c r="X56" s="28">
        <f t="shared" si="55"/>
        <v>0</v>
      </c>
      <c r="Y56" s="28">
        <f t="shared" si="55"/>
        <v>0</v>
      </c>
      <c r="Z56" s="28">
        <f t="shared" si="55"/>
        <v>0</v>
      </c>
      <c r="AA56" s="28">
        <f t="shared" si="55"/>
        <v>0</v>
      </c>
      <c r="AB56" s="28">
        <f t="shared" si="55"/>
        <v>0</v>
      </c>
      <c r="AC56" s="28">
        <f t="shared" si="55"/>
        <v>0</v>
      </c>
      <c r="AD56" s="28">
        <f t="shared" si="55"/>
        <v>0</v>
      </c>
      <c r="AE56" s="28">
        <f t="shared" si="55"/>
        <v>0</v>
      </c>
      <c r="AF56" s="28">
        <f t="shared" si="55"/>
        <v>100</v>
      </c>
      <c r="AG56" s="28">
        <f t="shared" si="55"/>
        <v>0</v>
      </c>
      <c r="AH56" s="28">
        <f t="shared" si="55"/>
        <v>0</v>
      </c>
      <c r="AI56" s="28">
        <f t="shared" si="55"/>
        <v>50</v>
      </c>
      <c r="AJ56" s="28">
        <f t="shared" si="55"/>
        <v>0</v>
      </c>
      <c r="AK56" s="28">
        <f t="shared" si="55"/>
        <v>200</v>
      </c>
      <c r="AL56" s="28">
        <f t="shared" si="55"/>
        <v>0</v>
      </c>
      <c r="AM56" s="28">
        <f t="shared" si="55"/>
        <v>0</v>
      </c>
      <c r="AN56" s="28">
        <f t="shared" si="55"/>
        <v>0</v>
      </c>
      <c r="AO56" s="28">
        <f t="shared" si="55"/>
        <v>0</v>
      </c>
      <c r="AP56" s="28">
        <f t="shared" si="55"/>
        <v>0</v>
      </c>
      <c r="AQ56" s="28">
        <f t="shared" si="55"/>
        <v>450</v>
      </c>
      <c r="AR56" s="28">
        <f t="shared" si="55"/>
        <v>0</v>
      </c>
      <c r="AS56" s="28">
        <f t="shared" si="55"/>
        <v>0</v>
      </c>
      <c r="AT56" s="28">
        <f t="shared" si="55"/>
        <v>0</v>
      </c>
    </row>
    <row r="57">
      <c r="A57" s="10" t="s">
        <v>65</v>
      </c>
      <c r="B57" s="11">
        <v>250.0</v>
      </c>
      <c r="C57" s="12" t="s">
        <v>50</v>
      </c>
      <c r="D57" s="15">
        <v>75202.0</v>
      </c>
      <c r="F57" s="15">
        <f>IFERROR(__xludf.DUMMYFUNCTION("""COMPUTED_VALUE"""),75040.0)</f>
        <v>75040</v>
      </c>
      <c r="G57" s="26">
        <f t="shared" si="2"/>
        <v>410</v>
      </c>
      <c r="J57" s="27">
        <f>IFERROR(__xludf.DUMMYFUNCTION("""COMPUTED_VALUE"""),75040.0)</f>
        <v>75040</v>
      </c>
      <c r="K57" s="28">
        <f t="shared" ref="K57:AT57" si="56">sumifs($B:$B,$D:$D,$J57,$C:$C,K$1)</f>
        <v>0</v>
      </c>
      <c r="L57" s="28">
        <f t="shared" si="56"/>
        <v>0</v>
      </c>
      <c r="M57" s="28">
        <f t="shared" si="56"/>
        <v>0</v>
      </c>
      <c r="N57" s="28">
        <f t="shared" si="56"/>
        <v>0</v>
      </c>
      <c r="O57" s="28">
        <f t="shared" si="56"/>
        <v>0</v>
      </c>
      <c r="P57" s="28">
        <f t="shared" si="56"/>
        <v>0</v>
      </c>
      <c r="Q57" s="28">
        <f t="shared" si="56"/>
        <v>210</v>
      </c>
      <c r="R57" s="28">
        <f t="shared" si="56"/>
        <v>0</v>
      </c>
      <c r="S57" s="28">
        <f t="shared" si="56"/>
        <v>0</v>
      </c>
      <c r="T57" s="28">
        <f t="shared" si="56"/>
        <v>0</v>
      </c>
      <c r="U57" s="28">
        <f t="shared" si="56"/>
        <v>0</v>
      </c>
      <c r="V57" s="28">
        <f t="shared" si="56"/>
        <v>200</v>
      </c>
      <c r="W57" s="28">
        <f t="shared" si="56"/>
        <v>0</v>
      </c>
      <c r="X57" s="28">
        <f t="shared" si="56"/>
        <v>0</v>
      </c>
      <c r="Y57" s="28">
        <f t="shared" si="56"/>
        <v>0</v>
      </c>
      <c r="Z57" s="28">
        <f t="shared" si="56"/>
        <v>0</v>
      </c>
      <c r="AA57" s="28">
        <f t="shared" si="56"/>
        <v>0</v>
      </c>
      <c r="AB57" s="28">
        <f t="shared" si="56"/>
        <v>0</v>
      </c>
      <c r="AC57" s="28">
        <f t="shared" si="56"/>
        <v>0</v>
      </c>
      <c r="AD57" s="28">
        <f t="shared" si="56"/>
        <v>0</v>
      </c>
      <c r="AE57" s="28">
        <f t="shared" si="56"/>
        <v>0</v>
      </c>
      <c r="AF57" s="28">
        <f t="shared" si="56"/>
        <v>0</v>
      </c>
      <c r="AG57" s="28">
        <f t="shared" si="56"/>
        <v>0</v>
      </c>
      <c r="AH57" s="28">
        <f t="shared" si="56"/>
        <v>0</v>
      </c>
      <c r="AI57" s="28">
        <f t="shared" si="56"/>
        <v>0</v>
      </c>
      <c r="AJ57" s="28">
        <f t="shared" si="56"/>
        <v>0</v>
      </c>
      <c r="AK57" s="28">
        <f t="shared" si="56"/>
        <v>0</v>
      </c>
      <c r="AL57" s="28">
        <f t="shared" si="56"/>
        <v>0</v>
      </c>
      <c r="AM57" s="28">
        <f t="shared" si="56"/>
        <v>0</v>
      </c>
      <c r="AN57" s="28">
        <f t="shared" si="56"/>
        <v>0</v>
      </c>
      <c r="AO57" s="28">
        <f t="shared" si="56"/>
        <v>0</v>
      </c>
      <c r="AP57" s="28">
        <f t="shared" si="56"/>
        <v>0</v>
      </c>
      <c r="AQ57" s="28">
        <f t="shared" si="56"/>
        <v>0</v>
      </c>
      <c r="AR57" s="28">
        <f t="shared" si="56"/>
        <v>0</v>
      </c>
      <c r="AS57" s="28">
        <f t="shared" si="56"/>
        <v>0</v>
      </c>
      <c r="AT57" s="28">
        <f t="shared" si="56"/>
        <v>0</v>
      </c>
    </row>
    <row r="58">
      <c r="A58" s="10" t="s">
        <v>66</v>
      </c>
      <c r="B58" s="11">
        <v>500.0</v>
      </c>
      <c r="C58" s="12" t="s">
        <v>50</v>
      </c>
      <c r="D58" s="15">
        <v>75201.0</v>
      </c>
      <c r="F58" s="15">
        <f>IFERROR(__xludf.DUMMYFUNCTION("""COMPUTED_VALUE"""),76705.0)</f>
        <v>76705</v>
      </c>
      <c r="G58" s="26">
        <f t="shared" si="2"/>
        <v>500</v>
      </c>
      <c r="J58" s="27">
        <f>IFERROR(__xludf.DUMMYFUNCTION("""COMPUTED_VALUE"""),76705.0)</f>
        <v>76705</v>
      </c>
      <c r="K58" s="28">
        <f t="shared" ref="K58:AT58" si="57">sumifs($B:$B,$D:$D,$J58,$C:$C,K$1)</f>
        <v>0</v>
      </c>
      <c r="L58" s="28">
        <f t="shared" si="57"/>
        <v>0</v>
      </c>
      <c r="M58" s="28">
        <f t="shared" si="57"/>
        <v>0</v>
      </c>
      <c r="N58" s="28">
        <f t="shared" si="57"/>
        <v>0</v>
      </c>
      <c r="O58" s="28">
        <f t="shared" si="57"/>
        <v>0</v>
      </c>
      <c r="P58" s="28">
        <f t="shared" si="57"/>
        <v>0</v>
      </c>
      <c r="Q58" s="28">
        <f t="shared" si="57"/>
        <v>500</v>
      </c>
      <c r="R58" s="28">
        <f t="shared" si="57"/>
        <v>0</v>
      </c>
      <c r="S58" s="28">
        <f t="shared" si="57"/>
        <v>0</v>
      </c>
      <c r="T58" s="28">
        <f t="shared" si="57"/>
        <v>0</v>
      </c>
      <c r="U58" s="28">
        <f t="shared" si="57"/>
        <v>0</v>
      </c>
      <c r="V58" s="28">
        <f t="shared" si="57"/>
        <v>0</v>
      </c>
      <c r="W58" s="28">
        <f t="shared" si="57"/>
        <v>0</v>
      </c>
      <c r="X58" s="28">
        <f t="shared" si="57"/>
        <v>0</v>
      </c>
      <c r="Y58" s="28">
        <f t="shared" si="57"/>
        <v>0</v>
      </c>
      <c r="Z58" s="28">
        <f t="shared" si="57"/>
        <v>0</v>
      </c>
      <c r="AA58" s="28">
        <f t="shared" si="57"/>
        <v>0</v>
      </c>
      <c r="AB58" s="28">
        <f t="shared" si="57"/>
        <v>0</v>
      </c>
      <c r="AC58" s="28">
        <f t="shared" si="57"/>
        <v>0</v>
      </c>
      <c r="AD58" s="28">
        <f t="shared" si="57"/>
        <v>0</v>
      </c>
      <c r="AE58" s="28">
        <f t="shared" si="57"/>
        <v>0</v>
      </c>
      <c r="AF58" s="28">
        <f t="shared" si="57"/>
        <v>0</v>
      </c>
      <c r="AG58" s="28">
        <f t="shared" si="57"/>
        <v>0</v>
      </c>
      <c r="AH58" s="28">
        <f t="shared" si="57"/>
        <v>0</v>
      </c>
      <c r="AI58" s="28">
        <f t="shared" si="57"/>
        <v>0</v>
      </c>
      <c r="AJ58" s="28">
        <f t="shared" si="57"/>
        <v>0</v>
      </c>
      <c r="AK58" s="28">
        <f t="shared" si="57"/>
        <v>0</v>
      </c>
      <c r="AL58" s="28">
        <f t="shared" si="57"/>
        <v>0</v>
      </c>
      <c r="AM58" s="28">
        <f t="shared" si="57"/>
        <v>0</v>
      </c>
      <c r="AN58" s="28">
        <f t="shared" si="57"/>
        <v>0</v>
      </c>
      <c r="AO58" s="28">
        <f t="shared" si="57"/>
        <v>0</v>
      </c>
      <c r="AP58" s="28">
        <f t="shared" si="57"/>
        <v>0</v>
      </c>
      <c r="AQ58" s="28">
        <f t="shared" si="57"/>
        <v>0</v>
      </c>
      <c r="AR58" s="28">
        <f t="shared" si="57"/>
        <v>0</v>
      </c>
      <c r="AS58" s="28">
        <f t="shared" si="57"/>
        <v>0</v>
      </c>
      <c r="AT58" s="28">
        <f t="shared" si="57"/>
        <v>0</v>
      </c>
    </row>
    <row r="59">
      <c r="A59" s="10" t="s">
        <v>67</v>
      </c>
      <c r="B59" s="11">
        <v>100.0</v>
      </c>
      <c r="C59" s="12" t="s">
        <v>50</v>
      </c>
      <c r="D59" s="15">
        <v>75001.0</v>
      </c>
      <c r="F59" s="15">
        <f>IFERROR(__xludf.DUMMYFUNCTION("""COMPUTED_VALUE"""),75211.0)</f>
        <v>75211</v>
      </c>
      <c r="G59" s="26">
        <f t="shared" si="2"/>
        <v>15055</v>
      </c>
      <c r="J59" s="27">
        <f>IFERROR(__xludf.DUMMYFUNCTION("""COMPUTED_VALUE"""),75211.0)</f>
        <v>75211</v>
      </c>
      <c r="K59" s="28">
        <f t="shared" ref="K59:AT59" si="58">sumifs($B:$B,$D:$D,$J59,$C:$C,K$1)</f>
        <v>0</v>
      </c>
      <c r="L59" s="28">
        <f t="shared" si="58"/>
        <v>0</v>
      </c>
      <c r="M59" s="28">
        <f t="shared" si="58"/>
        <v>0</v>
      </c>
      <c r="N59" s="28">
        <f t="shared" si="58"/>
        <v>2150</v>
      </c>
      <c r="O59" s="28">
        <f t="shared" si="58"/>
        <v>0</v>
      </c>
      <c r="P59" s="28">
        <f t="shared" si="58"/>
        <v>0</v>
      </c>
      <c r="Q59" s="28">
        <f t="shared" si="58"/>
        <v>4270</v>
      </c>
      <c r="R59" s="28">
        <f t="shared" si="58"/>
        <v>0</v>
      </c>
      <c r="S59" s="28">
        <f t="shared" si="58"/>
        <v>0</v>
      </c>
      <c r="T59" s="28">
        <f t="shared" si="58"/>
        <v>0</v>
      </c>
      <c r="U59" s="28">
        <f t="shared" si="58"/>
        <v>0</v>
      </c>
      <c r="V59" s="28">
        <f t="shared" si="58"/>
        <v>200</v>
      </c>
      <c r="W59" s="28">
        <f t="shared" si="58"/>
        <v>0</v>
      </c>
      <c r="X59" s="28">
        <f t="shared" si="58"/>
        <v>0</v>
      </c>
      <c r="Y59" s="28">
        <f t="shared" si="58"/>
        <v>0</v>
      </c>
      <c r="Z59" s="28">
        <f t="shared" si="58"/>
        <v>1000</v>
      </c>
      <c r="AA59" s="28">
        <f t="shared" si="58"/>
        <v>0</v>
      </c>
      <c r="AB59" s="28">
        <f t="shared" si="58"/>
        <v>0</v>
      </c>
      <c r="AC59" s="28">
        <f t="shared" si="58"/>
        <v>2925</v>
      </c>
      <c r="AD59" s="28">
        <f t="shared" si="58"/>
        <v>0</v>
      </c>
      <c r="AE59" s="28">
        <f t="shared" si="58"/>
        <v>0</v>
      </c>
      <c r="AF59" s="28">
        <f t="shared" si="58"/>
        <v>0</v>
      </c>
      <c r="AG59" s="28">
        <f t="shared" si="58"/>
        <v>0</v>
      </c>
      <c r="AH59" s="28">
        <f t="shared" si="58"/>
        <v>0</v>
      </c>
      <c r="AI59" s="28">
        <f t="shared" si="58"/>
        <v>10</v>
      </c>
      <c r="AJ59" s="28">
        <f t="shared" si="58"/>
        <v>0</v>
      </c>
      <c r="AK59" s="28">
        <f t="shared" si="58"/>
        <v>0</v>
      </c>
      <c r="AL59" s="28">
        <f t="shared" si="58"/>
        <v>0</v>
      </c>
      <c r="AM59" s="28">
        <f t="shared" si="58"/>
        <v>4500</v>
      </c>
      <c r="AN59" s="28">
        <f t="shared" si="58"/>
        <v>0</v>
      </c>
      <c r="AO59" s="28">
        <f t="shared" si="58"/>
        <v>0</v>
      </c>
      <c r="AP59" s="28">
        <f t="shared" si="58"/>
        <v>0</v>
      </c>
      <c r="AQ59" s="28">
        <f t="shared" si="58"/>
        <v>0</v>
      </c>
      <c r="AR59" s="28">
        <f t="shared" si="58"/>
        <v>0</v>
      </c>
      <c r="AS59" s="28">
        <f t="shared" si="58"/>
        <v>0</v>
      </c>
      <c r="AT59" s="28">
        <f t="shared" si="58"/>
        <v>0</v>
      </c>
    </row>
    <row r="60">
      <c r="A60" s="10"/>
      <c r="B60" s="11"/>
      <c r="C60" s="12"/>
      <c r="D60" s="15"/>
      <c r="F60" s="15">
        <f>IFERROR(__xludf.DUMMYFUNCTION("""COMPUTED_VALUE"""),75104.0)</f>
        <v>75104</v>
      </c>
      <c r="G60" s="26">
        <f t="shared" si="2"/>
        <v>1160</v>
      </c>
      <c r="J60" s="27">
        <f>IFERROR(__xludf.DUMMYFUNCTION("""COMPUTED_VALUE"""),75104.0)</f>
        <v>75104</v>
      </c>
      <c r="K60" s="28">
        <f t="shared" ref="K60:AT60" si="59">sumifs($B:$B,$D:$D,$J60,$C:$C,K$1)</f>
        <v>0</v>
      </c>
      <c r="L60" s="28">
        <f t="shared" si="59"/>
        <v>0</v>
      </c>
      <c r="M60" s="28">
        <f t="shared" si="59"/>
        <v>0</v>
      </c>
      <c r="N60" s="28">
        <f t="shared" si="59"/>
        <v>0</v>
      </c>
      <c r="O60" s="28">
        <f t="shared" si="59"/>
        <v>0</v>
      </c>
      <c r="P60" s="28">
        <f t="shared" si="59"/>
        <v>0</v>
      </c>
      <c r="Q60" s="28">
        <f t="shared" si="59"/>
        <v>610</v>
      </c>
      <c r="R60" s="28">
        <f t="shared" si="59"/>
        <v>250</v>
      </c>
      <c r="S60" s="28">
        <f t="shared" si="59"/>
        <v>0</v>
      </c>
      <c r="T60" s="28">
        <f t="shared" si="59"/>
        <v>0</v>
      </c>
      <c r="U60" s="28">
        <f t="shared" si="59"/>
        <v>0</v>
      </c>
      <c r="V60" s="28">
        <f t="shared" si="59"/>
        <v>0</v>
      </c>
      <c r="W60" s="28">
        <f t="shared" si="59"/>
        <v>0</v>
      </c>
      <c r="X60" s="28">
        <f t="shared" si="59"/>
        <v>0</v>
      </c>
      <c r="Y60" s="28">
        <f t="shared" si="59"/>
        <v>0</v>
      </c>
      <c r="Z60" s="28">
        <f t="shared" si="59"/>
        <v>0</v>
      </c>
      <c r="AA60" s="28">
        <f t="shared" si="59"/>
        <v>0</v>
      </c>
      <c r="AB60" s="28">
        <f t="shared" si="59"/>
        <v>0</v>
      </c>
      <c r="AC60" s="28">
        <f t="shared" si="59"/>
        <v>0</v>
      </c>
      <c r="AD60" s="28">
        <f t="shared" si="59"/>
        <v>0</v>
      </c>
      <c r="AE60" s="28">
        <f t="shared" si="59"/>
        <v>0</v>
      </c>
      <c r="AF60" s="28">
        <f t="shared" si="59"/>
        <v>0</v>
      </c>
      <c r="AG60" s="28">
        <f t="shared" si="59"/>
        <v>0</v>
      </c>
      <c r="AH60" s="28">
        <f t="shared" si="59"/>
        <v>0</v>
      </c>
      <c r="AI60" s="28">
        <f t="shared" si="59"/>
        <v>300</v>
      </c>
      <c r="AJ60" s="28">
        <f t="shared" si="59"/>
        <v>0</v>
      </c>
      <c r="AK60" s="28">
        <f t="shared" si="59"/>
        <v>0</v>
      </c>
      <c r="AL60" s="28">
        <f t="shared" si="59"/>
        <v>0</v>
      </c>
      <c r="AM60" s="28">
        <f t="shared" si="59"/>
        <v>0</v>
      </c>
      <c r="AN60" s="28">
        <f t="shared" si="59"/>
        <v>0</v>
      </c>
      <c r="AO60" s="28">
        <f t="shared" si="59"/>
        <v>0</v>
      </c>
      <c r="AP60" s="28">
        <f t="shared" si="59"/>
        <v>0</v>
      </c>
      <c r="AQ60" s="28">
        <f t="shared" si="59"/>
        <v>0</v>
      </c>
      <c r="AR60" s="28">
        <f t="shared" si="59"/>
        <v>0</v>
      </c>
      <c r="AS60" s="28">
        <f t="shared" si="59"/>
        <v>0</v>
      </c>
      <c r="AT60" s="28">
        <f t="shared" si="59"/>
        <v>0</v>
      </c>
    </row>
    <row r="61">
      <c r="A61" s="10" t="s">
        <v>69</v>
      </c>
      <c r="B61" s="11">
        <v>50.0</v>
      </c>
      <c r="C61" s="12" t="s">
        <v>50</v>
      </c>
      <c r="D61" s="15">
        <v>75207.0</v>
      </c>
      <c r="F61" s="15">
        <f>IFERROR(__xludf.DUMMYFUNCTION("""COMPUTED_VALUE"""),75773.0)</f>
        <v>75773</v>
      </c>
      <c r="G61" s="26">
        <f t="shared" si="2"/>
        <v>100</v>
      </c>
      <c r="J61" s="27">
        <f>IFERROR(__xludf.DUMMYFUNCTION("""COMPUTED_VALUE"""),75773.0)</f>
        <v>75773</v>
      </c>
      <c r="K61" s="28">
        <f t="shared" ref="K61:AT61" si="60">sumifs($B:$B,$D:$D,$J61,$C:$C,K$1)</f>
        <v>0</v>
      </c>
      <c r="L61" s="28">
        <f t="shared" si="60"/>
        <v>0</v>
      </c>
      <c r="M61" s="28">
        <f t="shared" si="60"/>
        <v>0</v>
      </c>
      <c r="N61" s="28">
        <f t="shared" si="60"/>
        <v>0</v>
      </c>
      <c r="O61" s="28">
        <f t="shared" si="60"/>
        <v>0</v>
      </c>
      <c r="P61" s="28">
        <f t="shared" si="60"/>
        <v>0</v>
      </c>
      <c r="Q61" s="28">
        <f t="shared" si="60"/>
        <v>0</v>
      </c>
      <c r="R61" s="28">
        <f t="shared" si="60"/>
        <v>100</v>
      </c>
      <c r="S61" s="28">
        <f t="shared" si="60"/>
        <v>0</v>
      </c>
      <c r="T61" s="28">
        <f t="shared" si="60"/>
        <v>0</v>
      </c>
      <c r="U61" s="28">
        <f t="shared" si="60"/>
        <v>0</v>
      </c>
      <c r="V61" s="28">
        <f t="shared" si="60"/>
        <v>0</v>
      </c>
      <c r="W61" s="28">
        <f t="shared" si="60"/>
        <v>0</v>
      </c>
      <c r="X61" s="28">
        <f t="shared" si="60"/>
        <v>0</v>
      </c>
      <c r="Y61" s="28">
        <f t="shared" si="60"/>
        <v>0</v>
      </c>
      <c r="Z61" s="28">
        <f t="shared" si="60"/>
        <v>0</v>
      </c>
      <c r="AA61" s="28">
        <f t="shared" si="60"/>
        <v>0</v>
      </c>
      <c r="AB61" s="28">
        <f t="shared" si="60"/>
        <v>0</v>
      </c>
      <c r="AC61" s="28">
        <f t="shared" si="60"/>
        <v>0</v>
      </c>
      <c r="AD61" s="28">
        <f t="shared" si="60"/>
        <v>0</v>
      </c>
      <c r="AE61" s="28">
        <f t="shared" si="60"/>
        <v>0</v>
      </c>
      <c r="AF61" s="28">
        <f t="shared" si="60"/>
        <v>0</v>
      </c>
      <c r="AG61" s="28">
        <f t="shared" si="60"/>
        <v>0</v>
      </c>
      <c r="AH61" s="28">
        <f t="shared" si="60"/>
        <v>0</v>
      </c>
      <c r="AI61" s="28">
        <f t="shared" si="60"/>
        <v>0</v>
      </c>
      <c r="AJ61" s="28">
        <f t="shared" si="60"/>
        <v>0</v>
      </c>
      <c r="AK61" s="28">
        <f t="shared" si="60"/>
        <v>0</v>
      </c>
      <c r="AL61" s="28">
        <f t="shared" si="60"/>
        <v>0</v>
      </c>
      <c r="AM61" s="28">
        <f t="shared" si="60"/>
        <v>0</v>
      </c>
      <c r="AN61" s="28">
        <f t="shared" si="60"/>
        <v>0</v>
      </c>
      <c r="AO61" s="28">
        <f t="shared" si="60"/>
        <v>0</v>
      </c>
      <c r="AP61" s="28">
        <f t="shared" si="60"/>
        <v>0</v>
      </c>
      <c r="AQ61" s="28">
        <f t="shared" si="60"/>
        <v>0</v>
      </c>
      <c r="AR61" s="28">
        <f t="shared" si="60"/>
        <v>0</v>
      </c>
      <c r="AS61" s="28">
        <f t="shared" si="60"/>
        <v>0</v>
      </c>
      <c r="AT61" s="28">
        <f t="shared" si="60"/>
        <v>0</v>
      </c>
    </row>
    <row r="62">
      <c r="A62" s="10" t="s">
        <v>70</v>
      </c>
      <c r="B62" s="11">
        <v>1000.0</v>
      </c>
      <c r="C62" s="12" t="s">
        <v>50</v>
      </c>
      <c r="D62" s="15">
        <v>75088.0</v>
      </c>
      <c r="F62" s="15">
        <f>IFERROR(__xludf.DUMMYFUNCTION("""COMPUTED_VALUE"""),75240.0)</f>
        <v>75240</v>
      </c>
      <c r="G62" s="26">
        <f t="shared" si="2"/>
        <v>26000</v>
      </c>
      <c r="J62" s="27">
        <f>IFERROR(__xludf.DUMMYFUNCTION("""COMPUTED_VALUE"""),75240.0)</f>
        <v>75240</v>
      </c>
      <c r="K62" s="28">
        <f t="shared" ref="K62:AT62" si="61">sumifs($B:$B,$D:$D,$J62,$C:$C,K$1)</f>
        <v>0</v>
      </c>
      <c r="L62" s="28">
        <f t="shared" si="61"/>
        <v>0</v>
      </c>
      <c r="M62" s="28">
        <f t="shared" si="61"/>
        <v>0</v>
      </c>
      <c r="N62" s="28">
        <f t="shared" si="61"/>
        <v>0</v>
      </c>
      <c r="O62" s="28">
        <f t="shared" si="61"/>
        <v>0</v>
      </c>
      <c r="P62" s="28">
        <f t="shared" si="61"/>
        <v>0</v>
      </c>
      <c r="Q62" s="28">
        <f t="shared" si="61"/>
        <v>0</v>
      </c>
      <c r="R62" s="28">
        <f t="shared" si="61"/>
        <v>1000</v>
      </c>
      <c r="S62" s="28">
        <f t="shared" si="61"/>
        <v>0</v>
      </c>
      <c r="T62" s="28">
        <f t="shared" si="61"/>
        <v>0</v>
      </c>
      <c r="U62" s="28">
        <f t="shared" si="61"/>
        <v>0</v>
      </c>
      <c r="V62" s="28">
        <f t="shared" si="61"/>
        <v>0</v>
      </c>
      <c r="W62" s="28">
        <f t="shared" si="61"/>
        <v>0</v>
      </c>
      <c r="X62" s="28">
        <f t="shared" si="61"/>
        <v>0</v>
      </c>
      <c r="Y62" s="28">
        <f t="shared" si="61"/>
        <v>2000</v>
      </c>
      <c r="Z62" s="28">
        <f t="shared" si="61"/>
        <v>3700</v>
      </c>
      <c r="AA62" s="28">
        <f t="shared" si="61"/>
        <v>0</v>
      </c>
      <c r="AB62" s="28">
        <f t="shared" si="61"/>
        <v>0</v>
      </c>
      <c r="AC62" s="28">
        <f t="shared" si="61"/>
        <v>2000</v>
      </c>
      <c r="AD62" s="28">
        <f t="shared" si="61"/>
        <v>0</v>
      </c>
      <c r="AE62" s="28">
        <f t="shared" si="61"/>
        <v>400</v>
      </c>
      <c r="AF62" s="28">
        <f t="shared" si="61"/>
        <v>0</v>
      </c>
      <c r="AG62" s="28">
        <f t="shared" si="61"/>
        <v>0</v>
      </c>
      <c r="AH62" s="28">
        <f t="shared" si="61"/>
        <v>0</v>
      </c>
      <c r="AI62" s="28">
        <f t="shared" si="61"/>
        <v>16700</v>
      </c>
      <c r="AJ62" s="28">
        <f t="shared" si="61"/>
        <v>0</v>
      </c>
      <c r="AK62" s="28">
        <f t="shared" si="61"/>
        <v>200</v>
      </c>
      <c r="AL62" s="28">
        <f t="shared" si="61"/>
        <v>0</v>
      </c>
      <c r="AM62" s="28">
        <f t="shared" si="61"/>
        <v>0</v>
      </c>
      <c r="AN62" s="28">
        <f t="shared" si="61"/>
        <v>0</v>
      </c>
      <c r="AO62" s="28">
        <f t="shared" si="61"/>
        <v>0</v>
      </c>
      <c r="AP62" s="28">
        <f t="shared" si="61"/>
        <v>0</v>
      </c>
      <c r="AQ62" s="28">
        <f t="shared" si="61"/>
        <v>0</v>
      </c>
      <c r="AR62" s="28">
        <f t="shared" si="61"/>
        <v>0</v>
      </c>
      <c r="AS62" s="28">
        <f t="shared" si="61"/>
        <v>0</v>
      </c>
      <c r="AT62" s="28">
        <f t="shared" si="61"/>
        <v>0</v>
      </c>
    </row>
    <row r="63">
      <c r="A63" s="10" t="s">
        <v>71</v>
      </c>
      <c r="B63" s="11">
        <v>100.0</v>
      </c>
      <c r="C63" s="12" t="s">
        <v>50</v>
      </c>
      <c r="D63" s="15">
        <v>75137.0</v>
      </c>
      <c r="F63" s="15">
        <f>IFERROR(__xludf.DUMMYFUNCTION("""COMPUTED_VALUE"""),75043.0)</f>
        <v>75043</v>
      </c>
      <c r="G63" s="26">
        <f t="shared" si="2"/>
        <v>5690</v>
      </c>
      <c r="J63" s="27">
        <f>IFERROR(__xludf.DUMMYFUNCTION("""COMPUTED_VALUE"""),75043.0)</f>
        <v>75043</v>
      </c>
      <c r="K63" s="28">
        <f t="shared" ref="K63:AT63" si="62">sumifs($B:$B,$D:$D,$J63,$C:$C,K$1)</f>
        <v>0</v>
      </c>
      <c r="L63" s="28">
        <f t="shared" si="62"/>
        <v>0</v>
      </c>
      <c r="M63" s="28">
        <f t="shared" si="62"/>
        <v>0</v>
      </c>
      <c r="N63" s="28">
        <f t="shared" si="62"/>
        <v>0</v>
      </c>
      <c r="O63" s="28">
        <f t="shared" si="62"/>
        <v>0</v>
      </c>
      <c r="P63" s="28">
        <f t="shared" si="62"/>
        <v>0</v>
      </c>
      <c r="Q63" s="28">
        <f t="shared" si="62"/>
        <v>590</v>
      </c>
      <c r="R63" s="28">
        <f t="shared" si="62"/>
        <v>50</v>
      </c>
      <c r="S63" s="28">
        <f t="shared" si="62"/>
        <v>0</v>
      </c>
      <c r="T63" s="28">
        <f t="shared" si="62"/>
        <v>0</v>
      </c>
      <c r="U63" s="28">
        <f t="shared" si="62"/>
        <v>0</v>
      </c>
      <c r="V63" s="28">
        <f t="shared" si="62"/>
        <v>0</v>
      </c>
      <c r="W63" s="28">
        <f t="shared" si="62"/>
        <v>0</v>
      </c>
      <c r="X63" s="28">
        <f t="shared" si="62"/>
        <v>0</v>
      </c>
      <c r="Y63" s="28">
        <f t="shared" si="62"/>
        <v>0</v>
      </c>
      <c r="Z63" s="28">
        <f t="shared" si="62"/>
        <v>0</v>
      </c>
      <c r="AA63" s="28">
        <f t="shared" si="62"/>
        <v>0</v>
      </c>
      <c r="AB63" s="28">
        <f t="shared" si="62"/>
        <v>0</v>
      </c>
      <c r="AC63" s="28">
        <f t="shared" si="62"/>
        <v>0</v>
      </c>
      <c r="AD63" s="28">
        <f t="shared" si="62"/>
        <v>0</v>
      </c>
      <c r="AE63" s="28">
        <f t="shared" si="62"/>
        <v>0</v>
      </c>
      <c r="AF63" s="28">
        <f t="shared" si="62"/>
        <v>0</v>
      </c>
      <c r="AG63" s="28">
        <f t="shared" si="62"/>
        <v>0</v>
      </c>
      <c r="AH63" s="28">
        <f t="shared" si="62"/>
        <v>0</v>
      </c>
      <c r="AI63" s="28">
        <f t="shared" si="62"/>
        <v>5050</v>
      </c>
      <c r="AJ63" s="28">
        <f t="shared" si="62"/>
        <v>0</v>
      </c>
      <c r="AK63" s="28">
        <f t="shared" si="62"/>
        <v>0</v>
      </c>
      <c r="AL63" s="28">
        <f t="shared" si="62"/>
        <v>0</v>
      </c>
      <c r="AM63" s="28">
        <f t="shared" si="62"/>
        <v>0</v>
      </c>
      <c r="AN63" s="28">
        <f t="shared" si="62"/>
        <v>0</v>
      </c>
      <c r="AO63" s="28">
        <f t="shared" si="62"/>
        <v>0</v>
      </c>
      <c r="AP63" s="28">
        <f t="shared" si="62"/>
        <v>0</v>
      </c>
      <c r="AQ63" s="28">
        <f t="shared" si="62"/>
        <v>0</v>
      </c>
      <c r="AR63" s="28">
        <f t="shared" si="62"/>
        <v>0</v>
      </c>
      <c r="AS63" s="28">
        <f t="shared" si="62"/>
        <v>0</v>
      </c>
      <c r="AT63" s="28">
        <f t="shared" si="62"/>
        <v>0</v>
      </c>
    </row>
    <row r="64">
      <c r="A64" s="10" t="s">
        <v>72</v>
      </c>
      <c r="B64" s="11">
        <v>500.0</v>
      </c>
      <c r="C64" s="12" t="s">
        <v>50</v>
      </c>
      <c r="D64" s="15">
        <v>75208.0</v>
      </c>
      <c r="F64" s="15">
        <f>IFERROR(__xludf.DUMMYFUNCTION("""COMPUTED_VALUE"""),75241.0)</f>
        <v>75241</v>
      </c>
      <c r="G64" s="26">
        <f t="shared" si="2"/>
        <v>1560</v>
      </c>
      <c r="J64" s="27">
        <f>IFERROR(__xludf.DUMMYFUNCTION("""COMPUTED_VALUE"""),75241.0)</f>
        <v>75241</v>
      </c>
      <c r="K64" s="28">
        <f t="shared" ref="K64:AT64" si="63">sumifs($B:$B,$D:$D,$J64,$C:$C,K$1)</f>
        <v>0</v>
      </c>
      <c r="L64" s="28">
        <f t="shared" si="63"/>
        <v>0</v>
      </c>
      <c r="M64" s="28">
        <f t="shared" si="63"/>
        <v>100</v>
      </c>
      <c r="N64" s="28">
        <f t="shared" si="63"/>
        <v>50</v>
      </c>
      <c r="O64" s="28">
        <f t="shared" si="63"/>
        <v>0</v>
      </c>
      <c r="P64" s="28">
        <f t="shared" si="63"/>
        <v>0</v>
      </c>
      <c r="Q64" s="28">
        <f t="shared" si="63"/>
        <v>0</v>
      </c>
      <c r="R64" s="28">
        <f t="shared" si="63"/>
        <v>500</v>
      </c>
      <c r="S64" s="28">
        <f t="shared" si="63"/>
        <v>0</v>
      </c>
      <c r="T64" s="28">
        <f t="shared" si="63"/>
        <v>0</v>
      </c>
      <c r="U64" s="28">
        <f t="shared" si="63"/>
        <v>0</v>
      </c>
      <c r="V64" s="28">
        <f t="shared" si="63"/>
        <v>190</v>
      </c>
      <c r="W64" s="28">
        <f t="shared" si="63"/>
        <v>0</v>
      </c>
      <c r="X64" s="28">
        <f t="shared" si="63"/>
        <v>0</v>
      </c>
      <c r="Y64" s="28">
        <f t="shared" si="63"/>
        <v>0</v>
      </c>
      <c r="Z64" s="28">
        <f t="shared" si="63"/>
        <v>0</v>
      </c>
      <c r="AA64" s="28">
        <f t="shared" si="63"/>
        <v>0</v>
      </c>
      <c r="AB64" s="28">
        <f t="shared" si="63"/>
        <v>0</v>
      </c>
      <c r="AC64" s="28">
        <f t="shared" si="63"/>
        <v>0</v>
      </c>
      <c r="AD64" s="28">
        <f t="shared" si="63"/>
        <v>0</v>
      </c>
      <c r="AE64" s="28">
        <f t="shared" si="63"/>
        <v>0</v>
      </c>
      <c r="AF64" s="28">
        <f t="shared" si="63"/>
        <v>0</v>
      </c>
      <c r="AG64" s="28">
        <f t="shared" si="63"/>
        <v>0</v>
      </c>
      <c r="AH64" s="28">
        <f t="shared" si="63"/>
        <v>0</v>
      </c>
      <c r="AI64" s="28">
        <f t="shared" si="63"/>
        <v>20</v>
      </c>
      <c r="AJ64" s="28">
        <f t="shared" si="63"/>
        <v>500</v>
      </c>
      <c r="AK64" s="28">
        <f t="shared" si="63"/>
        <v>200</v>
      </c>
      <c r="AL64" s="28">
        <f t="shared" si="63"/>
        <v>0</v>
      </c>
      <c r="AM64" s="28">
        <f t="shared" si="63"/>
        <v>0</v>
      </c>
      <c r="AN64" s="28">
        <f t="shared" si="63"/>
        <v>0</v>
      </c>
      <c r="AO64" s="28">
        <f t="shared" si="63"/>
        <v>0</v>
      </c>
      <c r="AP64" s="28">
        <f t="shared" si="63"/>
        <v>0</v>
      </c>
      <c r="AQ64" s="28">
        <f t="shared" si="63"/>
        <v>0</v>
      </c>
      <c r="AR64" s="28">
        <f t="shared" si="63"/>
        <v>0</v>
      </c>
      <c r="AS64" s="28">
        <f t="shared" si="63"/>
        <v>0</v>
      </c>
      <c r="AT64" s="28">
        <f t="shared" si="63"/>
        <v>0</v>
      </c>
    </row>
    <row r="65">
      <c r="A65" s="10" t="s">
        <v>73</v>
      </c>
      <c r="B65" s="11">
        <v>100.0</v>
      </c>
      <c r="C65" s="12" t="s">
        <v>50</v>
      </c>
      <c r="D65" s="15">
        <v>75227.0</v>
      </c>
      <c r="F65" s="15">
        <f>IFERROR(__xludf.DUMMYFUNCTION("""COMPUTED_VALUE"""),75251.0)</f>
        <v>75251</v>
      </c>
      <c r="G65" s="26">
        <f t="shared" si="2"/>
        <v>700</v>
      </c>
      <c r="J65" s="27">
        <f>IFERROR(__xludf.DUMMYFUNCTION("""COMPUTED_VALUE"""),75251.0)</f>
        <v>75251</v>
      </c>
      <c r="K65" s="28">
        <f t="shared" ref="K65:AT65" si="64">sumifs($B:$B,$D:$D,$J65,$C:$C,K$1)</f>
        <v>0</v>
      </c>
      <c r="L65" s="28">
        <f t="shared" si="64"/>
        <v>200</v>
      </c>
      <c r="M65" s="28">
        <f t="shared" si="64"/>
        <v>0</v>
      </c>
      <c r="N65" s="28">
        <f t="shared" si="64"/>
        <v>0</v>
      </c>
      <c r="O65" s="28">
        <f t="shared" si="64"/>
        <v>0</v>
      </c>
      <c r="P65" s="28">
        <f t="shared" si="64"/>
        <v>500</v>
      </c>
      <c r="Q65" s="28">
        <f t="shared" si="64"/>
        <v>0</v>
      </c>
      <c r="R65" s="28">
        <f t="shared" si="64"/>
        <v>0</v>
      </c>
      <c r="S65" s="28">
        <f t="shared" si="64"/>
        <v>0</v>
      </c>
      <c r="T65" s="28">
        <f t="shared" si="64"/>
        <v>0</v>
      </c>
      <c r="U65" s="28">
        <f t="shared" si="64"/>
        <v>0</v>
      </c>
      <c r="V65" s="28">
        <f t="shared" si="64"/>
        <v>0</v>
      </c>
      <c r="W65" s="28">
        <f t="shared" si="64"/>
        <v>0</v>
      </c>
      <c r="X65" s="28">
        <f t="shared" si="64"/>
        <v>0</v>
      </c>
      <c r="Y65" s="28">
        <f t="shared" si="64"/>
        <v>0</v>
      </c>
      <c r="Z65" s="28">
        <f t="shared" si="64"/>
        <v>0</v>
      </c>
      <c r="AA65" s="28">
        <f t="shared" si="64"/>
        <v>0</v>
      </c>
      <c r="AB65" s="28">
        <f t="shared" si="64"/>
        <v>0</v>
      </c>
      <c r="AC65" s="28">
        <f t="shared" si="64"/>
        <v>0</v>
      </c>
      <c r="AD65" s="28">
        <f t="shared" si="64"/>
        <v>0</v>
      </c>
      <c r="AE65" s="28">
        <f t="shared" si="64"/>
        <v>0</v>
      </c>
      <c r="AF65" s="28">
        <f t="shared" si="64"/>
        <v>0</v>
      </c>
      <c r="AG65" s="28">
        <f t="shared" si="64"/>
        <v>0</v>
      </c>
      <c r="AH65" s="28">
        <f t="shared" si="64"/>
        <v>0</v>
      </c>
      <c r="AI65" s="28">
        <f t="shared" si="64"/>
        <v>0</v>
      </c>
      <c r="AJ65" s="28">
        <f t="shared" si="64"/>
        <v>0</v>
      </c>
      <c r="AK65" s="28">
        <f t="shared" si="64"/>
        <v>0</v>
      </c>
      <c r="AL65" s="28">
        <f t="shared" si="64"/>
        <v>0</v>
      </c>
      <c r="AM65" s="28">
        <f t="shared" si="64"/>
        <v>0</v>
      </c>
      <c r="AN65" s="28">
        <f t="shared" si="64"/>
        <v>0</v>
      </c>
      <c r="AO65" s="28">
        <f t="shared" si="64"/>
        <v>0</v>
      </c>
      <c r="AP65" s="28">
        <f t="shared" si="64"/>
        <v>0</v>
      </c>
      <c r="AQ65" s="28">
        <f t="shared" si="64"/>
        <v>0</v>
      </c>
      <c r="AR65" s="28">
        <f t="shared" si="64"/>
        <v>0</v>
      </c>
      <c r="AS65" s="28">
        <f t="shared" si="64"/>
        <v>0</v>
      </c>
      <c r="AT65" s="28">
        <f t="shared" si="64"/>
        <v>0</v>
      </c>
    </row>
    <row r="66">
      <c r="A66" s="10" t="s">
        <v>74</v>
      </c>
      <c r="B66" s="11">
        <v>1000.0</v>
      </c>
      <c r="C66" s="12" t="s">
        <v>50</v>
      </c>
      <c r="D66" s="15">
        <v>77493.0</v>
      </c>
      <c r="F66" s="15">
        <f>IFERROR(__xludf.DUMMYFUNCTION("""COMPUTED_VALUE"""),75214.0)</f>
        <v>75214</v>
      </c>
      <c r="G66" s="26">
        <f t="shared" si="2"/>
        <v>78726.91</v>
      </c>
      <c r="J66" s="27">
        <f>IFERROR(__xludf.DUMMYFUNCTION("""COMPUTED_VALUE"""),75214.0)</f>
        <v>75214</v>
      </c>
      <c r="K66" s="28">
        <f t="shared" ref="K66:AT66" si="65">sumifs($B:$B,$D:$D,$J66,$C:$C,K$1)</f>
        <v>1150</v>
      </c>
      <c r="L66" s="28">
        <f t="shared" si="65"/>
        <v>0</v>
      </c>
      <c r="M66" s="28">
        <f t="shared" si="65"/>
        <v>1350</v>
      </c>
      <c r="N66" s="28">
        <f t="shared" si="65"/>
        <v>1600</v>
      </c>
      <c r="O66" s="28">
        <f t="shared" si="65"/>
        <v>0</v>
      </c>
      <c r="P66" s="28">
        <f t="shared" si="65"/>
        <v>1200</v>
      </c>
      <c r="Q66" s="28">
        <f t="shared" si="65"/>
        <v>300</v>
      </c>
      <c r="R66" s="28">
        <f t="shared" si="65"/>
        <v>0</v>
      </c>
      <c r="S66" s="28">
        <f t="shared" si="65"/>
        <v>0</v>
      </c>
      <c r="T66" s="28">
        <f t="shared" si="65"/>
        <v>4000</v>
      </c>
      <c r="U66" s="28">
        <f t="shared" si="65"/>
        <v>250</v>
      </c>
      <c r="V66" s="28">
        <f t="shared" si="65"/>
        <v>0</v>
      </c>
      <c r="W66" s="28">
        <f t="shared" si="65"/>
        <v>5075</v>
      </c>
      <c r="X66" s="28">
        <f t="shared" si="65"/>
        <v>0</v>
      </c>
      <c r="Y66" s="28">
        <f t="shared" si="65"/>
        <v>0</v>
      </c>
      <c r="Z66" s="28">
        <f t="shared" si="65"/>
        <v>1550</v>
      </c>
      <c r="AA66" s="28">
        <f t="shared" si="65"/>
        <v>1417</v>
      </c>
      <c r="AB66" s="28">
        <f t="shared" si="65"/>
        <v>0</v>
      </c>
      <c r="AC66" s="28">
        <f t="shared" si="65"/>
        <v>8493.5</v>
      </c>
      <c r="AD66" s="28">
        <f t="shared" si="65"/>
        <v>0</v>
      </c>
      <c r="AE66" s="28">
        <f t="shared" si="65"/>
        <v>0</v>
      </c>
      <c r="AF66" s="28">
        <f t="shared" si="65"/>
        <v>28675</v>
      </c>
      <c r="AG66" s="28">
        <f t="shared" si="65"/>
        <v>0</v>
      </c>
      <c r="AH66" s="28">
        <f t="shared" si="65"/>
        <v>9591.41</v>
      </c>
      <c r="AI66" s="28">
        <f t="shared" si="65"/>
        <v>11050</v>
      </c>
      <c r="AJ66" s="28">
        <f t="shared" si="65"/>
        <v>2175</v>
      </c>
      <c r="AK66" s="28">
        <f t="shared" si="65"/>
        <v>550</v>
      </c>
      <c r="AL66" s="28">
        <f t="shared" si="65"/>
        <v>300</v>
      </c>
      <c r="AM66" s="28">
        <f t="shared" si="65"/>
        <v>0</v>
      </c>
      <c r="AN66" s="28">
        <f t="shared" si="65"/>
        <v>0</v>
      </c>
      <c r="AO66" s="28">
        <f t="shared" si="65"/>
        <v>0</v>
      </c>
      <c r="AP66" s="28">
        <f t="shared" si="65"/>
        <v>0</v>
      </c>
      <c r="AQ66" s="28">
        <f t="shared" si="65"/>
        <v>0</v>
      </c>
      <c r="AR66" s="28">
        <f t="shared" si="65"/>
        <v>0</v>
      </c>
      <c r="AS66" s="28">
        <f t="shared" si="65"/>
        <v>0</v>
      </c>
      <c r="AT66" s="28">
        <f t="shared" si="65"/>
        <v>0</v>
      </c>
    </row>
    <row r="67">
      <c r="A67" s="10" t="s">
        <v>75</v>
      </c>
      <c r="B67" s="11">
        <v>1000.0</v>
      </c>
      <c r="C67" s="12" t="s">
        <v>50</v>
      </c>
      <c r="D67" s="15">
        <v>76051.0</v>
      </c>
      <c r="F67" s="15">
        <f>IFERROR(__xludf.DUMMYFUNCTION("""COMPUTED_VALUE"""),75067.0)</f>
        <v>75067</v>
      </c>
      <c r="G67" s="26">
        <f t="shared" si="2"/>
        <v>6299.7</v>
      </c>
      <c r="J67" s="27">
        <f>IFERROR(__xludf.DUMMYFUNCTION("""COMPUTED_VALUE"""),75067.0)</f>
        <v>75067</v>
      </c>
      <c r="K67" s="28">
        <f t="shared" ref="K67:AT67" si="66">sumifs($B:$B,$D:$D,$J67,$C:$C,K$1)</f>
        <v>0</v>
      </c>
      <c r="L67" s="28">
        <f t="shared" si="66"/>
        <v>0</v>
      </c>
      <c r="M67" s="28">
        <f t="shared" si="66"/>
        <v>0</v>
      </c>
      <c r="N67" s="28">
        <f t="shared" si="66"/>
        <v>1000</v>
      </c>
      <c r="O67" s="28">
        <f t="shared" si="66"/>
        <v>0</v>
      </c>
      <c r="P67" s="28">
        <f t="shared" si="66"/>
        <v>1000</v>
      </c>
      <c r="Q67" s="28">
        <f t="shared" si="66"/>
        <v>50</v>
      </c>
      <c r="R67" s="28">
        <f t="shared" si="66"/>
        <v>0</v>
      </c>
      <c r="S67" s="28">
        <f t="shared" si="66"/>
        <v>0</v>
      </c>
      <c r="T67" s="28">
        <f t="shared" si="66"/>
        <v>0</v>
      </c>
      <c r="U67" s="28">
        <f t="shared" si="66"/>
        <v>0</v>
      </c>
      <c r="V67" s="28">
        <f t="shared" si="66"/>
        <v>300</v>
      </c>
      <c r="W67" s="28">
        <f t="shared" si="66"/>
        <v>1000</v>
      </c>
      <c r="X67" s="28">
        <f t="shared" si="66"/>
        <v>1000</v>
      </c>
      <c r="Y67" s="28">
        <f t="shared" si="66"/>
        <v>0</v>
      </c>
      <c r="Z67" s="28">
        <f t="shared" si="66"/>
        <v>0</v>
      </c>
      <c r="AA67" s="28">
        <f t="shared" si="66"/>
        <v>0</v>
      </c>
      <c r="AB67" s="28">
        <f t="shared" si="66"/>
        <v>0</v>
      </c>
      <c r="AC67" s="28">
        <f t="shared" si="66"/>
        <v>949.7</v>
      </c>
      <c r="AD67" s="28">
        <f t="shared" si="66"/>
        <v>0</v>
      </c>
      <c r="AE67" s="28">
        <f t="shared" si="66"/>
        <v>0</v>
      </c>
      <c r="AF67" s="28">
        <f t="shared" si="66"/>
        <v>0</v>
      </c>
      <c r="AG67" s="28">
        <f t="shared" si="66"/>
        <v>0</v>
      </c>
      <c r="AH67" s="28">
        <f t="shared" si="66"/>
        <v>1000</v>
      </c>
      <c r="AI67" s="28">
        <f t="shared" si="66"/>
        <v>0</v>
      </c>
      <c r="AJ67" s="28">
        <f t="shared" si="66"/>
        <v>0</v>
      </c>
      <c r="AK67" s="28">
        <f t="shared" si="66"/>
        <v>0</v>
      </c>
      <c r="AL67" s="28">
        <f t="shared" si="66"/>
        <v>0</v>
      </c>
      <c r="AM67" s="28">
        <f t="shared" si="66"/>
        <v>0</v>
      </c>
      <c r="AN67" s="28">
        <f t="shared" si="66"/>
        <v>0</v>
      </c>
      <c r="AO67" s="28">
        <f t="shared" si="66"/>
        <v>0</v>
      </c>
      <c r="AP67" s="28">
        <f t="shared" si="66"/>
        <v>0</v>
      </c>
      <c r="AQ67" s="28">
        <f t="shared" si="66"/>
        <v>0</v>
      </c>
      <c r="AR67" s="28">
        <f t="shared" si="66"/>
        <v>0</v>
      </c>
      <c r="AS67" s="28">
        <f t="shared" si="66"/>
        <v>0</v>
      </c>
      <c r="AT67" s="28">
        <f t="shared" si="66"/>
        <v>0</v>
      </c>
    </row>
    <row r="68">
      <c r="A68" s="10" t="s">
        <v>76</v>
      </c>
      <c r="B68" s="11">
        <v>1000.0</v>
      </c>
      <c r="C68" s="12" t="s">
        <v>50</v>
      </c>
      <c r="D68" s="15">
        <v>76051.0</v>
      </c>
      <c r="F68" s="15">
        <f>IFERROR(__xludf.DUMMYFUNCTION("""COMPUTED_VALUE"""),75038.0)</f>
        <v>75038</v>
      </c>
      <c r="G68" s="26">
        <f t="shared" si="2"/>
        <v>7950</v>
      </c>
      <c r="J68" s="27">
        <f>IFERROR(__xludf.DUMMYFUNCTION("""COMPUTED_VALUE"""),75038.0)</f>
        <v>75038</v>
      </c>
      <c r="K68" s="28">
        <f t="shared" ref="K68:AT68" si="67">sumifs($B:$B,$D:$D,$J68,$C:$C,K$1)</f>
        <v>100</v>
      </c>
      <c r="L68" s="28">
        <f t="shared" si="67"/>
        <v>0</v>
      </c>
      <c r="M68" s="28">
        <f t="shared" si="67"/>
        <v>0</v>
      </c>
      <c r="N68" s="28">
        <f t="shared" si="67"/>
        <v>2000</v>
      </c>
      <c r="O68" s="28">
        <f t="shared" si="67"/>
        <v>0</v>
      </c>
      <c r="P68" s="28">
        <f t="shared" si="67"/>
        <v>0</v>
      </c>
      <c r="Q68" s="28">
        <f t="shared" si="67"/>
        <v>0</v>
      </c>
      <c r="R68" s="28">
        <f t="shared" si="67"/>
        <v>0</v>
      </c>
      <c r="S68" s="28">
        <f t="shared" si="67"/>
        <v>0</v>
      </c>
      <c r="T68" s="28">
        <f t="shared" si="67"/>
        <v>0</v>
      </c>
      <c r="U68" s="28">
        <f t="shared" si="67"/>
        <v>0</v>
      </c>
      <c r="V68" s="28">
        <f t="shared" si="67"/>
        <v>0</v>
      </c>
      <c r="W68" s="28">
        <f t="shared" si="67"/>
        <v>0</v>
      </c>
      <c r="X68" s="28">
        <f t="shared" si="67"/>
        <v>0</v>
      </c>
      <c r="Y68" s="28">
        <f t="shared" si="67"/>
        <v>0</v>
      </c>
      <c r="Z68" s="28">
        <f t="shared" si="67"/>
        <v>0</v>
      </c>
      <c r="AA68" s="28">
        <f t="shared" si="67"/>
        <v>0</v>
      </c>
      <c r="AB68" s="28">
        <f t="shared" si="67"/>
        <v>0</v>
      </c>
      <c r="AC68" s="28">
        <f t="shared" si="67"/>
        <v>0</v>
      </c>
      <c r="AD68" s="28">
        <f t="shared" si="67"/>
        <v>0</v>
      </c>
      <c r="AE68" s="28">
        <f t="shared" si="67"/>
        <v>0</v>
      </c>
      <c r="AF68" s="28">
        <f t="shared" si="67"/>
        <v>350</v>
      </c>
      <c r="AG68" s="28">
        <f t="shared" si="67"/>
        <v>0</v>
      </c>
      <c r="AH68" s="28">
        <f t="shared" si="67"/>
        <v>0</v>
      </c>
      <c r="AI68" s="28">
        <f t="shared" si="67"/>
        <v>3000</v>
      </c>
      <c r="AJ68" s="28">
        <f t="shared" si="67"/>
        <v>0</v>
      </c>
      <c r="AK68" s="28">
        <f t="shared" si="67"/>
        <v>2500</v>
      </c>
      <c r="AL68" s="28">
        <f t="shared" si="67"/>
        <v>0</v>
      </c>
      <c r="AM68" s="28">
        <f t="shared" si="67"/>
        <v>0</v>
      </c>
      <c r="AN68" s="28">
        <f t="shared" si="67"/>
        <v>0</v>
      </c>
      <c r="AO68" s="28">
        <f t="shared" si="67"/>
        <v>0</v>
      </c>
      <c r="AP68" s="28">
        <f t="shared" si="67"/>
        <v>0</v>
      </c>
      <c r="AQ68" s="28">
        <f t="shared" si="67"/>
        <v>0</v>
      </c>
      <c r="AR68" s="28">
        <f t="shared" si="67"/>
        <v>0</v>
      </c>
      <c r="AS68" s="28">
        <f t="shared" si="67"/>
        <v>0</v>
      </c>
      <c r="AT68" s="28">
        <f t="shared" si="67"/>
        <v>0</v>
      </c>
    </row>
    <row r="69">
      <c r="A69" s="10" t="s">
        <v>77</v>
      </c>
      <c r="B69" s="11">
        <v>1000.0</v>
      </c>
      <c r="C69" s="12" t="s">
        <v>50</v>
      </c>
      <c r="D69" s="15">
        <v>75360.0</v>
      </c>
      <c r="F69" s="15">
        <f>IFERROR(__xludf.DUMMYFUNCTION("""COMPUTED_VALUE"""),75292.0)</f>
        <v>75292</v>
      </c>
      <c r="G69" s="26">
        <f t="shared" si="2"/>
        <v>500</v>
      </c>
      <c r="J69" s="27">
        <f>IFERROR(__xludf.DUMMYFUNCTION("""COMPUTED_VALUE"""),75292.0)</f>
        <v>75292</v>
      </c>
      <c r="K69" s="28">
        <f t="shared" ref="K69:AT69" si="68">sumifs($B:$B,$D:$D,$J69,$C:$C,K$1)</f>
        <v>0</v>
      </c>
      <c r="L69" s="28">
        <f t="shared" si="68"/>
        <v>0</v>
      </c>
      <c r="M69" s="28">
        <f t="shared" si="68"/>
        <v>0</v>
      </c>
      <c r="N69" s="28">
        <f t="shared" si="68"/>
        <v>500</v>
      </c>
      <c r="O69" s="28">
        <f t="shared" si="68"/>
        <v>0</v>
      </c>
      <c r="P69" s="28">
        <f t="shared" si="68"/>
        <v>0</v>
      </c>
      <c r="Q69" s="28">
        <f t="shared" si="68"/>
        <v>0</v>
      </c>
      <c r="R69" s="28">
        <f t="shared" si="68"/>
        <v>0</v>
      </c>
      <c r="S69" s="28">
        <f t="shared" si="68"/>
        <v>0</v>
      </c>
      <c r="T69" s="28">
        <f t="shared" si="68"/>
        <v>0</v>
      </c>
      <c r="U69" s="28">
        <f t="shared" si="68"/>
        <v>0</v>
      </c>
      <c r="V69" s="28">
        <f t="shared" si="68"/>
        <v>0</v>
      </c>
      <c r="W69" s="28">
        <f t="shared" si="68"/>
        <v>0</v>
      </c>
      <c r="X69" s="28">
        <f t="shared" si="68"/>
        <v>0</v>
      </c>
      <c r="Y69" s="28">
        <f t="shared" si="68"/>
        <v>0</v>
      </c>
      <c r="Z69" s="28">
        <f t="shared" si="68"/>
        <v>0</v>
      </c>
      <c r="AA69" s="28">
        <f t="shared" si="68"/>
        <v>0</v>
      </c>
      <c r="AB69" s="28">
        <f t="shared" si="68"/>
        <v>0</v>
      </c>
      <c r="AC69" s="28">
        <f t="shared" si="68"/>
        <v>0</v>
      </c>
      <c r="AD69" s="28">
        <f t="shared" si="68"/>
        <v>0</v>
      </c>
      <c r="AE69" s="28">
        <f t="shared" si="68"/>
        <v>0</v>
      </c>
      <c r="AF69" s="28">
        <f t="shared" si="68"/>
        <v>0</v>
      </c>
      <c r="AG69" s="28">
        <f t="shared" si="68"/>
        <v>0</v>
      </c>
      <c r="AH69" s="28">
        <f t="shared" si="68"/>
        <v>0</v>
      </c>
      <c r="AI69" s="28">
        <f t="shared" si="68"/>
        <v>0</v>
      </c>
      <c r="AJ69" s="28">
        <f t="shared" si="68"/>
        <v>0</v>
      </c>
      <c r="AK69" s="28">
        <f t="shared" si="68"/>
        <v>0</v>
      </c>
      <c r="AL69" s="28">
        <f t="shared" si="68"/>
        <v>0</v>
      </c>
      <c r="AM69" s="28">
        <f t="shared" si="68"/>
        <v>0</v>
      </c>
      <c r="AN69" s="28">
        <f t="shared" si="68"/>
        <v>0</v>
      </c>
      <c r="AO69" s="28">
        <f t="shared" si="68"/>
        <v>0</v>
      </c>
      <c r="AP69" s="28">
        <f t="shared" si="68"/>
        <v>0</v>
      </c>
      <c r="AQ69" s="28">
        <f t="shared" si="68"/>
        <v>0</v>
      </c>
      <c r="AR69" s="28">
        <f t="shared" si="68"/>
        <v>0</v>
      </c>
      <c r="AS69" s="28">
        <f t="shared" si="68"/>
        <v>0</v>
      </c>
      <c r="AT69" s="28">
        <f t="shared" si="68"/>
        <v>0</v>
      </c>
    </row>
    <row r="70">
      <c r="A70" s="10" t="s">
        <v>78</v>
      </c>
      <c r="B70" s="11">
        <v>500.0</v>
      </c>
      <c r="C70" s="12" t="s">
        <v>50</v>
      </c>
      <c r="D70" s="15">
        <v>75210.0</v>
      </c>
      <c r="F70" s="15">
        <f>IFERROR(__xludf.DUMMYFUNCTION("""COMPUTED_VALUE"""),75246.0)</f>
        <v>75246</v>
      </c>
      <c r="G70" s="26">
        <f t="shared" si="2"/>
        <v>1800</v>
      </c>
      <c r="J70" s="27">
        <f>IFERROR(__xludf.DUMMYFUNCTION("""COMPUTED_VALUE"""),75246.0)</f>
        <v>75246</v>
      </c>
      <c r="K70" s="28">
        <f t="shared" ref="K70:AT70" si="69">sumifs($B:$B,$D:$D,$J70,$C:$C,K$1)</f>
        <v>250</v>
      </c>
      <c r="L70" s="28">
        <f t="shared" si="69"/>
        <v>0</v>
      </c>
      <c r="M70" s="28">
        <f t="shared" si="69"/>
        <v>500</v>
      </c>
      <c r="N70" s="28">
        <f t="shared" si="69"/>
        <v>100</v>
      </c>
      <c r="O70" s="28">
        <f t="shared" si="69"/>
        <v>0</v>
      </c>
      <c r="P70" s="28">
        <f t="shared" si="69"/>
        <v>0</v>
      </c>
      <c r="Q70" s="28">
        <f t="shared" si="69"/>
        <v>0</v>
      </c>
      <c r="R70" s="28">
        <f t="shared" si="69"/>
        <v>0</v>
      </c>
      <c r="S70" s="28">
        <f t="shared" si="69"/>
        <v>0</v>
      </c>
      <c r="T70" s="28">
        <f t="shared" si="69"/>
        <v>0</v>
      </c>
      <c r="U70" s="28">
        <f t="shared" si="69"/>
        <v>0</v>
      </c>
      <c r="V70" s="28">
        <f t="shared" si="69"/>
        <v>0</v>
      </c>
      <c r="W70" s="28">
        <f t="shared" si="69"/>
        <v>500</v>
      </c>
      <c r="X70" s="28">
        <f t="shared" si="69"/>
        <v>0</v>
      </c>
      <c r="Y70" s="28">
        <f t="shared" si="69"/>
        <v>0</v>
      </c>
      <c r="Z70" s="28">
        <f t="shared" si="69"/>
        <v>100</v>
      </c>
      <c r="AA70" s="28">
        <f t="shared" si="69"/>
        <v>0</v>
      </c>
      <c r="AB70" s="28">
        <f t="shared" si="69"/>
        <v>0</v>
      </c>
      <c r="AC70" s="28">
        <f t="shared" si="69"/>
        <v>0</v>
      </c>
      <c r="AD70" s="28">
        <f t="shared" si="69"/>
        <v>0</v>
      </c>
      <c r="AE70" s="28">
        <f t="shared" si="69"/>
        <v>0</v>
      </c>
      <c r="AF70" s="28">
        <f t="shared" si="69"/>
        <v>0</v>
      </c>
      <c r="AG70" s="28">
        <f t="shared" si="69"/>
        <v>0</v>
      </c>
      <c r="AH70" s="28">
        <f t="shared" si="69"/>
        <v>200</v>
      </c>
      <c r="AI70" s="28">
        <f t="shared" si="69"/>
        <v>0</v>
      </c>
      <c r="AJ70" s="28">
        <f t="shared" si="69"/>
        <v>150</v>
      </c>
      <c r="AK70" s="28">
        <f t="shared" si="69"/>
        <v>0</v>
      </c>
      <c r="AL70" s="28">
        <f t="shared" si="69"/>
        <v>0</v>
      </c>
      <c r="AM70" s="28">
        <f t="shared" si="69"/>
        <v>0</v>
      </c>
      <c r="AN70" s="28">
        <f t="shared" si="69"/>
        <v>0</v>
      </c>
      <c r="AO70" s="28">
        <f t="shared" si="69"/>
        <v>0</v>
      </c>
      <c r="AP70" s="28">
        <f t="shared" si="69"/>
        <v>0</v>
      </c>
      <c r="AQ70" s="28">
        <f t="shared" si="69"/>
        <v>0</v>
      </c>
      <c r="AR70" s="28">
        <f t="shared" si="69"/>
        <v>0</v>
      </c>
      <c r="AS70" s="28">
        <f t="shared" si="69"/>
        <v>0</v>
      </c>
      <c r="AT70" s="28">
        <f t="shared" si="69"/>
        <v>0</v>
      </c>
    </row>
    <row r="71">
      <c r="A71" s="10" t="s">
        <v>79</v>
      </c>
      <c r="B71" s="11">
        <v>250.0</v>
      </c>
      <c r="C71" s="12" t="s">
        <v>50</v>
      </c>
      <c r="D71" s="15">
        <v>78645.0</v>
      </c>
      <c r="F71" s="15">
        <f>IFERROR(__xludf.DUMMYFUNCTION("""COMPUTED_VALUE"""),75212.0)</f>
        <v>75212</v>
      </c>
      <c r="G71" s="26">
        <f t="shared" si="2"/>
        <v>5900</v>
      </c>
      <c r="J71" s="27">
        <f>IFERROR(__xludf.DUMMYFUNCTION("""COMPUTED_VALUE"""),75212.0)</f>
        <v>75212</v>
      </c>
      <c r="K71" s="28">
        <f t="shared" ref="K71:AT71" si="70">sumifs($B:$B,$D:$D,$J71,$C:$C,K$1)</f>
        <v>0</v>
      </c>
      <c r="L71" s="28">
        <f t="shared" si="70"/>
        <v>0</v>
      </c>
      <c r="M71" s="28">
        <f t="shared" si="70"/>
        <v>250</v>
      </c>
      <c r="N71" s="28">
        <f t="shared" si="70"/>
        <v>2000</v>
      </c>
      <c r="O71" s="28">
        <f t="shared" si="70"/>
        <v>0</v>
      </c>
      <c r="P71" s="28">
        <f t="shared" si="70"/>
        <v>0</v>
      </c>
      <c r="Q71" s="28">
        <f t="shared" si="70"/>
        <v>1100</v>
      </c>
      <c r="R71" s="28">
        <f t="shared" si="70"/>
        <v>0</v>
      </c>
      <c r="S71" s="28">
        <f t="shared" si="70"/>
        <v>0</v>
      </c>
      <c r="T71" s="28">
        <f t="shared" si="70"/>
        <v>0</v>
      </c>
      <c r="U71" s="28">
        <f t="shared" si="70"/>
        <v>0</v>
      </c>
      <c r="V71" s="28">
        <f t="shared" si="70"/>
        <v>0</v>
      </c>
      <c r="W71" s="28">
        <f t="shared" si="70"/>
        <v>0</v>
      </c>
      <c r="X71" s="28">
        <f t="shared" si="70"/>
        <v>0</v>
      </c>
      <c r="Y71" s="28">
        <f t="shared" si="70"/>
        <v>2500</v>
      </c>
      <c r="Z71" s="28">
        <f t="shared" si="70"/>
        <v>0</v>
      </c>
      <c r="AA71" s="28">
        <f t="shared" si="70"/>
        <v>0</v>
      </c>
      <c r="AB71" s="28">
        <f t="shared" si="70"/>
        <v>0</v>
      </c>
      <c r="AC71" s="28">
        <f t="shared" si="70"/>
        <v>0</v>
      </c>
      <c r="AD71" s="28">
        <f t="shared" si="70"/>
        <v>0</v>
      </c>
      <c r="AE71" s="28">
        <f t="shared" si="70"/>
        <v>0</v>
      </c>
      <c r="AF71" s="28">
        <f t="shared" si="70"/>
        <v>0</v>
      </c>
      <c r="AG71" s="28">
        <f t="shared" si="70"/>
        <v>0</v>
      </c>
      <c r="AH71" s="28">
        <f t="shared" si="70"/>
        <v>0</v>
      </c>
      <c r="AI71" s="28">
        <f t="shared" si="70"/>
        <v>50</v>
      </c>
      <c r="AJ71" s="28">
        <f t="shared" si="70"/>
        <v>0</v>
      </c>
      <c r="AK71" s="28">
        <f t="shared" si="70"/>
        <v>0</v>
      </c>
      <c r="AL71" s="28">
        <f t="shared" si="70"/>
        <v>0</v>
      </c>
      <c r="AM71" s="28">
        <f t="shared" si="70"/>
        <v>0</v>
      </c>
      <c r="AN71" s="28">
        <f t="shared" si="70"/>
        <v>0</v>
      </c>
      <c r="AO71" s="28">
        <f t="shared" si="70"/>
        <v>0</v>
      </c>
      <c r="AP71" s="28">
        <f t="shared" si="70"/>
        <v>0</v>
      </c>
      <c r="AQ71" s="28">
        <f t="shared" si="70"/>
        <v>0</v>
      </c>
      <c r="AR71" s="28">
        <f t="shared" si="70"/>
        <v>0</v>
      </c>
      <c r="AS71" s="28">
        <f t="shared" si="70"/>
        <v>0</v>
      </c>
      <c r="AT71" s="28">
        <f t="shared" si="70"/>
        <v>0</v>
      </c>
    </row>
    <row r="72">
      <c r="A72" s="10"/>
      <c r="B72" s="11"/>
      <c r="C72" s="12"/>
      <c r="D72" s="15"/>
      <c r="F72" s="15">
        <f>IFERROR(__xludf.DUMMYFUNCTION("""COMPUTED_VALUE"""),75224.0)</f>
        <v>75224</v>
      </c>
      <c r="G72" s="26">
        <f t="shared" si="2"/>
        <v>14120</v>
      </c>
      <c r="J72" s="27">
        <f>IFERROR(__xludf.DUMMYFUNCTION("""COMPUTED_VALUE"""),75224.0)</f>
        <v>75224</v>
      </c>
      <c r="K72" s="28">
        <f t="shared" ref="K72:AT72" si="71">sumifs($B:$B,$D:$D,$J72,$C:$C,K$1)</f>
        <v>0</v>
      </c>
      <c r="L72" s="28">
        <f t="shared" si="71"/>
        <v>0</v>
      </c>
      <c r="M72" s="28">
        <f t="shared" si="71"/>
        <v>0</v>
      </c>
      <c r="N72" s="28">
        <f t="shared" si="71"/>
        <v>550</v>
      </c>
      <c r="O72" s="28">
        <f t="shared" si="71"/>
        <v>0</v>
      </c>
      <c r="P72" s="28">
        <f t="shared" si="71"/>
        <v>0</v>
      </c>
      <c r="Q72" s="28">
        <f t="shared" si="71"/>
        <v>4255</v>
      </c>
      <c r="R72" s="28">
        <f t="shared" si="71"/>
        <v>0</v>
      </c>
      <c r="S72" s="28">
        <f t="shared" si="71"/>
        <v>0</v>
      </c>
      <c r="T72" s="28">
        <f t="shared" si="71"/>
        <v>0</v>
      </c>
      <c r="U72" s="28">
        <f t="shared" si="71"/>
        <v>0</v>
      </c>
      <c r="V72" s="28">
        <f t="shared" si="71"/>
        <v>0</v>
      </c>
      <c r="W72" s="28">
        <f t="shared" si="71"/>
        <v>250</v>
      </c>
      <c r="X72" s="28">
        <f t="shared" si="71"/>
        <v>0</v>
      </c>
      <c r="Y72" s="28">
        <f t="shared" si="71"/>
        <v>500</v>
      </c>
      <c r="Z72" s="28">
        <f t="shared" si="71"/>
        <v>300</v>
      </c>
      <c r="AA72" s="28">
        <f t="shared" si="71"/>
        <v>0</v>
      </c>
      <c r="AB72" s="28">
        <f t="shared" si="71"/>
        <v>0</v>
      </c>
      <c r="AC72" s="28">
        <f t="shared" si="71"/>
        <v>5100</v>
      </c>
      <c r="AD72" s="28">
        <f t="shared" si="71"/>
        <v>0</v>
      </c>
      <c r="AE72" s="28">
        <f t="shared" si="71"/>
        <v>0</v>
      </c>
      <c r="AF72" s="28">
        <f t="shared" si="71"/>
        <v>0</v>
      </c>
      <c r="AG72" s="28">
        <f t="shared" si="71"/>
        <v>2200</v>
      </c>
      <c r="AH72" s="28">
        <f t="shared" si="71"/>
        <v>0</v>
      </c>
      <c r="AI72" s="28">
        <f t="shared" si="71"/>
        <v>950</v>
      </c>
      <c r="AJ72" s="28">
        <f t="shared" si="71"/>
        <v>0</v>
      </c>
      <c r="AK72" s="28">
        <f t="shared" si="71"/>
        <v>0</v>
      </c>
      <c r="AL72" s="28">
        <f t="shared" si="71"/>
        <v>0</v>
      </c>
      <c r="AM72" s="28">
        <f t="shared" si="71"/>
        <v>0</v>
      </c>
      <c r="AN72" s="28">
        <f t="shared" si="71"/>
        <v>0</v>
      </c>
      <c r="AO72" s="28">
        <f t="shared" si="71"/>
        <v>0</v>
      </c>
      <c r="AP72" s="28">
        <f t="shared" si="71"/>
        <v>0</v>
      </c>
      <c r="AQ72" s="28">
        <f t="shared" si="71"/>
        <v>15</v>
      </c>
      <c r="AR72" s="28">
        <f t="shared" si="71"/>
        <v>0</v>
      </c>
      <c r="AS72" s="28">
        <f t="shared" si="71"/>
        <v>0</v>
      </c>
      <c r="AT72" s="28">
        <f t="shared" si="71"/>
        <v>0</v>
      </c>
    </row>
    <row r="73">
      <c r="A73" s="10" t="s">
        <v>81</v>
      </c>
      <c r="B73" s="11">
        <v>1000.0</v>
      </c>
      <c r="C73" s="12" t="s">
        <v>50</v>
      </c>
      <c r="D73" s="15">
        <v>75115.0</v>
      </c>
      <c r="F73" s="15">
        <f>IFERROR(__xludf.DUMMYFUNCTION("""COMPUTED_VALUE"""),76023.0)</f>
        <v>76023</v>
      </c>
      <c r="G73" s="26">
        <f t="shared" si="2"/>
        <v>1000</v>
      </c>
      <c r="J73" s="27">
        <f>IFERROR(__xludf.DUMMYFUNCTION("""COMPUTED_VALUE"""),76023.0)</f>
        <v>76023</v>
      </c>
      <c r="K73" s="28">
        <f t="shared" ref="K73:AT73" si="72">sumifs($B:$B,$D:$D,$J73,$C:$C,K$1)</f>
        <v>0</v>
      </c>
      <c r="L73" s="28">
        <f t="shared" si="72"/>
        <v>0</v>
      </c>
      <c r="M73" s="28">
        <f t="shared" si="72"/>
        <v>0</v>
      </c>
      <c r="N73" s="28">
        <f t="shared" si="72"/>
        <v>1000</v>
      </c>
      <c r="O73" s="28">
        <f t="shared" si="72"/>
        <v>0</v>
      </c>
      <c r="P73" s="28">
        <f t="shared" si="72"/>
        <v>0</v>
      </c>
      <c r="Q73" s="28">
        <f t="shared" si="72"/>
        <v>0</v>
      </c>
      <c r="R73" s="28">
        <f t="shared" si="72"/>
        <v>0</v>
      </c>
      <c r="S73" s="28">
        <f t="shared" si="72"/>
        <v>0</v>
      </c>
      <c r="T73" s="28">
        <f t="shared" si="72"/>
        <v>0</v>
      </c>
      <c r="U73" s="28">
        <f t="shared" si="72"/>
        <v>0</v>
      </c>
      <c r="V73" s="28">
        <f t="shared" si="72"/>
        <v>0</v>
      </c>
      <c r="W73" s="28">
        <f t="shared" si="72"/>
        <v>0</v>
      </c>
      <c r="X73" s="28">
        <f t="shared" si="72"/>
        <v>0</v>
      </c>
      <c r="Y73" s="28">
        <f t="shared" si="72"/>
        <v>0</v>
      </c>
      <c r="Z73" s="28">
        <f t="shared" si="72"/>
        <v>0</v>
      </c>
      <c r="AA73" s="28">
        <f t="shared" si="72"/>
        <v>0</v>
      </c>
      <c r="AB73" s="28">
        <f t="shared" si="72"/>
        <v>0</v>
      </c>
      <c r="AC73" s="28">
        <f t="shared" si="72"/>
        <v>0</v>
      </c>
      <c r="AD73" s="28">
        <f t="shared" si="72"/>
        <v>0</v>
      </c>
      <c r="AE73" s="28">
        <f t="shared" si="72"/>
        <v>0</v>
      </c>
      <c r="AF73" s="28">
        <f t="shared" si="72"/>
        <v>0</v>
      </c>
      <c r="AG73" s="28">
        <f t="shared" si="72"/>
        <v>0</v>
      </c>
      <c r="AH73" s="28">
        <f t="shared" si="72"/>
        <v>0</v>
      </c>
      <c r="AI73" s="28">
        <f t="shared" si="72"/>
        <v>0</v>
      </c>
      <c r="AJ73" s="28">
        <f t="shared" si="72"/>
        <v>0</v>
      </c>
      <c r="AK73" s="28">
        <f t="shared" si="72"/>
        <v>0</v>
      </c>
      <c r="AL73" s="28">
        <f t="shared" si="72"/>
        <v>0</v>
      </c>
      <c r="AM73" s="28">
        <f t="shared" si="72"/>
        <v>0</v>
      </c>
      <c r="AN73" s="28">
        <f t="shared" si="72"/>
        <v>0</v>
      </c>
      <c r="AO73" s="28">
        <f t="shared" si="72"/>
        <v>0</v>
      </c>
      <c r="AP73" s="28">
        <f t="shared" si="72"/>
        <v>0</v>
      </c>
      <c r="AQ73" s="28">
        <f t="shared" si="72"/>
        <v>0</v>
      </c>
      <c r="AR73" s="28">
        <f t="shared" si="72"/>
        <v>0</v>
      </c>
      <c r="AS73" s="28">
        <f t="shared" si="72"/>
        <v>0</v>
      </c>
      <c r="AT73" s="28">
        <f t="shared" si="72"/>
        <v>0</v>
      </c>
    </row>
    <row r="74">
      <c r="A74" s="10" t="s">
        <v>82</v>
      </c>
      <c r="B74" s="11">
        <v>100.0</v>
      </c>
      <c r="C74" s="12" t="s">
        <v>50</v>
      </c>
      <c r="D74" s="15">
        <v>75201.0</v>
      </c>
      <c r="F74" s="15">
        <f>IFERROR(__xludf.DUMMYFUNCTION("""COMPUTED_VALUE"""),75070.0)</f>
        <v>75070</v>
      </c>
      <c r="G74" s="26">
        <f t="shared" si="2"/>
        <v>3500</v>
      </c>
      <c r="J74" s="27">
        <f>IFERROR(__xludf.DUMMYFUNCTION("""COMPUTED_VALUE"""),75070.0)</f>
        <v>75070</v>
      </c>
      <c r="K74" s="28">
        <f t="shared" ref="K74:AT74" si="73">sumifs($B:$B,$D:$D,$J74,$C:$C,K$1)</f>
        <v>0</v>
      </c>
      <c r="L74" s="28">
        <f t="shared" si="73"/>
        <v>0</v>
      </c>
      <c r="M74" s="28">
        <f t="shared" si="73"/>
        <v>0</v>
      </c>
      <c r="N74" s="28">
        <f t="shared" si="73"/>
        <v>1250</v>
      </c>
      <c r="O74" s="28">
        <f t="shared" si="73"/>
        <v>0</v>
      </c>
      <c r="P74" s="28">
        <f t="shared" si="73"/>
        <v>0</v>
      </c>
      <c r="Q74" s="28">
        <f t="shared" si="73"/>
        <v>0</v>
      </c>
      <c r="R74" s="28">
        <f t="shared" si="73"/>
        <v>0</v>
      </c>
      <c r="S74" s="28">
        <f t="shared" si="73"/>
        <v>0</v>
      </c>
      <c r="T74" s="28">
        <f t="shared" si="73"/>
        <v>0</v>
      </c>
      <c r="U74" s="28">
        <f t="shared" si="73"/>
        <v>0</v>
      </c>
      <c r="V74" s="28">
        <f t="shared" si="73"/>
        <v>0</v>
      </c>
      <c r="W74" s="28">
        <f t="shared" si="73"/>
        <v>0</v>
      </c>
      <c r="X74" s="28">
        <f t="shared" si="73"/>
        <v>0</v>
      </c>
      <c r="Y74" s="28">
        <f t="shared" si="73"/>
        <v>0</v>
      </c>
      <c r="Z74" s="28">
        <f t="shared" si="73"/>
        <v>0</v>
      </c>
      <c r="AA74" s="28">
        <f t="shared" si="73"/>
        <v>250</v>
      </c>
      <c r="AB74" s="28">
        <f t="shared" si="73"/>
        <v>0</v>
      </c>
      <c r="AC74" s="28">
        <f t="shared" si="73"/>
        <v>2000</v>
      </c>
      <c r="AD74" s="28">
        <f t="shared" si="73"/>
        <v>0</v>
      </c>
      <c r="AE74" s="28">
        <f t="shared" si="73"/>
        <v>0</v>
      </c>
      <c r="AF74" s="28">
        <f t="shared" si="73"/>
        <v>0</v>
      </c>
      <c r="AG74" s="28">
        <f t="shared" si="73"/>
        <v>0</v>
      </c>
      <c r="AH74" s="28">
        <f t="shared" si="73"/>
        <v>0</v>
      </c>
      <c r="AI74" s="28">
        <f t="shared" si="73"/>
        <v>0</v>
      </c>
      <c r="AJ74" s="28">
        <f t="shared" si="73"/>
        <v>0</v>
      </c>
      <c r="AK74" s="28">
        <f t="shared" si="73"/>
        <v>0</v>
      </c>
      <c r="AL74" s="28">
        <f t="shared" si="73"/>
        <v>0</v>
      </c>
      <c r="AM74" s="28">
        <f t="shared" si="73"/>
        <v>0</v>
      </c>
      <c r="AN74" s="28">
        <f t="shared" si="73"/>
        <v>0</v>
      </c>
      <c r="AO74" s="28">
        <f t="shared" si="73"/>
        <v>0</v>
      </c>
      <c r="AP74" s="28">
        <f t="shared" si="73"/>
        <v>0</v>
      </c>
      <c r="AQ74" s="28">
        <f t="shared" si="73"/>
        <v>0</v>
      </c>
      <c r="AR74" s="28">
        <f t="shared" si="73"/>
        <v>0</v>
      </c>
      <c r="AS74" s="28">
        <f t="shared" si="73"/>
        <v>0</v>
      </c>
      <c r="AT74" s="28">
        <f t="shared" si="73"/>
        <v>0</v>
      </c>
    </row>
    <row r="75">
      <c r="A75" s="10" t="s">
        <v>83</v>
      </c>
      <c r="B75" s="11">
        <v>50.0</v>
      </c>
      <c r="C75" s="12" t="s">
        <v>50</v>
      </c>
      <c r="D75" s="15">
        <v>76702.0</v>
      </c>
      <c r="F75" s="15">
        <f>IFERROR(__xludf.DUMMYFUNCTION("""COMPUTED_VALUE"""),75116.0)</f>
        <v>75116</v>
      </c>
      <c r="G75" s="26">
        <f t="shared" si="2"/>
        <v>3060</v>
      </c>
      <c r="J75" s="27">
        <f>IFERROR(__xludf.DUMMYFUNCTION("""COMPUTED_VALUE"""),75116.0)</f>
        <v>75116</v>
      </c>
      <c r="K75" s="28">
        <f t="shared" ref="K75:AT75" si="74">sumifs($B:$B,$D:$D,$J75,$C:$C,K$1)</f>
        <v>0</v>
      </c>
      <c r="L75" s="28">
        <f t="shared" si="74"/>
        <v>0</v>
      </c>
      <c r="M75" s="28">
        <f t="shared" si="74"/>
        <v>0</v>
      </c>
      <c r="N75" s="28">
        <f t="shared" si="74"/>
        <v>1000</v>
      </c>
      <c r="O75" s="28">
        <f t="shared" si="74"/>
        <v>0</v>
      </c>
      <c r="P75" s="28">
        <f t="shared" si="74"/>
        <v>0</v>
      </c>
      <c r="Q75" s="28">
        <f t="shared" si="74"/>
        <v>210</v>
      </c>
      <c r="R75" s="28">
        <f t="shared" si="74"/>
        <v>0</v>
      </c>
      <c r="S75" s="28">
        <f t="shared" si="74"/>
        <v>0</v>
      </c>
      <c r="T75" s="28">
        <f t="shared" si="74"/>
        <v>0</v>
      </c>
      <c r="U75" s="28">
        <f t="shared" si="74"/>
        <v>0</v>
      </c>
      <c r="V75" s="28">
        <f t="shared" si="74"/>
        <v>0</v>
      </c>
      <c r="W75" s="28">
        <f t="shared" si="74"/>
        <v>0</v>
      </c>
      <c r="X75" s="28">
        <f t="shared" si="74"/>
        <v>0</v>
      </c>
      <c r="Y75" s="28">
        <f t="shared" si="74"/>
        <v>100</v>
      </c>
      <c r="Z75" s="28">
        <f t="shared" si="74"/>
        <v>0</v>
      </c>
      <c r="AA75" s="28">
        <f t="shared" si="74"/>
        <v>0</v>
      </c>
      <c r="AB75" s="28">
        <f t="shared" si="74"/>
        <v>0</v>
      </c>
      <c r="AC75" s="28">
        <f t="shared" si="74"/>
        <v>250</v>
      </c>
      <c r="AD75" s="28">
        <f t="shared" si="74"/>
        <v>0</v>
      </c>
      <c r="AE75" s="28">
        <f t="shared" si="74"/>
        <v>0</v>
      </c>
      <c r="AF75" s="28">
        <f t="shared" si="74"/>
        <v>0</v>
      </c>
      <c r="AG75" s="28">
        <f t="shared" si="74"/>
        <v>500</v>
      </c>
      <c r="AH75" s="28">
        <f t="shared" si="74"/>
        <v>0</v>
      </c>
      <c r="AI75" s="28">
        <f t="shared" si="74"/>
        <v>0</v>
      </c>
      <c r="AJ75" s="28">
        <f t="shared" si="74"/>
        <v>0</v>
      </c>
      <c r="AK75" s="28">
        <f t="shared" si="74"/>
        <v>1000</v>
      </c>
      <c r="AL75" s="28">
        <f t="shared" si="74"/>
        <v>0</v>
      </c>
      <c r="AM75" s="28">
        <f t="shared" si="74"/>
        <v>0</v>
      </c>
      <c r="AN75" s="28">
        <f t="shared" si="74"/>
        <v>0</v>
      </c>
      <c r="AO75" s="28">
        <f t="shared" si="74"/>
        <v>0</v>
      </c>
      <c r="AP75" s="28">
        <f t="shared" si="74"/>
        <v>0</v>
      </c>
      <c r="AQ75" s="28">
        <f t="shared" si="74"/>
        <v>0</v>
      </c>
      <c r="AR75" s="28">
        <f t="shared" si="74"/>
        <v>0</v>
      </c>
      <c r="AS75" s="28">
        <f t="shared" si="74"/>
        <v>0</v>
      </c>
      <c r="AT75" s="28">
        <f t="shared" si="74"/>
        <v>0</v>
      </c>
    </row>
    <row r="76">
      <c r="A76" s="10" t="s">
        <v>84</v>
      </c>
      <c r="B76" s="11">
        <v>100.0</v>
      </c>
      <c r="C76" s="12" t="s">
        <v>50</v>
      </c>
      <c r="D76" s="15">
        <v>78723.0</v>
      </c>
      <c r="F76" s="15">
        <f>IFERROR(__xludf.DUMMYFUNCTION("""COMPUTED_VALUE"""),78640.0)</f>
        <v>78640</v>
      </c>
      <c r="G76" s="26">
        <f t="shared" si="2"/>
        <v>200</v>
      </c>
      <c r="J76" s="27">
        <f>IFERROR(__xludf.DUMMYFUNCTION("""COMPUTED_VALUE"""),78640.0)</f>
        <v>78640</v>
      </c>
      <c r="K76" s="28">
        <f t="shared" ref="K76:AT76" si="75">sumifs($B:$B,$D:$D,$J76,$C:$C,K$1)</f>
        <v>0</v>
      </c>
      <c r="L76" s="28">
        <f t="shared" si="75"/>
        <v>0</v>
      </c>
      <c r="M76" s="28">
        <f t="shared" si="75"/>
        <v>0</v>
      </c>
      <c r="N76" s="28">
        <f t="shared" si="75"/>
        <v>100</v>
      </c>
      <c r="O76" s="28">
        <f t="shared" si="75"/>
        <v>0</v>
      </c>
      <c r="P76" s="28">
        <f t="shared" si="75"/>
        <v>0</v>
      </c>
      <c r="Q76" s="28">
        <f t="shared" si="75"/>
        <v>100</v>
      </c>
      <c r="R76" s="28">
        <f t="shared" si="75"/>
        <v>0</v>
      </c>
      <c r="S76" s="28">
        <f t="shared" si="75"/>
        <v>0</v>
      </c>
      <c r="T76" s="28">
        <f t="shared" si="75"/>
        <v>0</v>
      </c>
      <c r="U76" s="28">
        <f t="shared" si="75"/>
        <v>0</v>
      </c>
      <c r="V76" s="28">
        <f t="shared" si="75"/>
        <v>0</v>
      </c>
      <c r="W76" s="28">
        <f t="shared" si="75"/>
        <v>0</v>
      </c>
      <c r="X76" s="28">
        <f t="shared" si="75"/>
        <v>0</v>
      </c>
      <c r="Y76" s="28">
        <f t="shared" si="75"/>
        <v>0</v>
      </c>
      <c r="Z76" s="28">
        <f t="shared" si="75"/>
        <v>0</v>
      </c>
      <c r="AA76" s="28">
        <f t="shared" si="75"/>
        <v>0</v>
      </c>
      <c r="AB76" s="28">
        <f t="shared" si="75"/>
        <v>0</v>
      </c>
      <c r="AC76" s="28">
        <f t="shared" si="75"/>
        <v>0</v>
      </c>
      <c r="AD76" s="28">
        <f t="shared" si="75"/>
        <v>0</v>
      </c>
      <c r="AE76" s="28">
        <f t="shared" si="75"/>
        <v>0</v>
      </c>
      <c r="AF76" s="28">
        <f t="shared" si="75"/>
        <v>0</v>
      </c>
      <c r="AG76" s="28">
        <f t="shared" si="75"/>
        <v>0</v>
      </c>
      <c r="AH76" s="28">
        <f t="shared" si="75"/>
        <v>0</v>
      </c>
      <c r="AI76" s="28">
        <f t="shared" si="75"/>
        <v>0</v>
      </c>
      <c r="AJ76" s="28">
        <f t="shared" si="75"/>
        <v>0</v>
      </c>
      <c r="AK76" s="28">
        <f t="shared" si="75"/>
        <v>0</v>
      </c>
      <c r="AL76" s="28">
        <f t="shared" si="75"/>
        <v>0</v>
      </c>
      <c r="AM76" s="28">
        <f t="shared" si="75"/>
        <v>0</v>
      </c>
      <c r="AN76" s="28">
        <f t="shared" si="75"/>
        <v>0</v>
      </c>
      <c r="AO76" s="28">
        <f t="shared" si="75"/>
        <v>0</v>
      </c>
      <c r="AP76" s="28">
        <f t="shared" si="75"/>
        <v>0</v>
      </c>
      <c r="AQ76" s="28">
        <f t="shared" si="75"/>
        <v>0</v>
      </c>
      <c r="AR76" s="28">
        <f t="shared" si="75"/>
        <v>0</v>
      </c>
      <c r="AS76" s="28">
        <f t="shared" si="75"/>
        <v>0</v>
      </c>
      <c r="AT76" s="28">
        <f t="shared" si="75"/>
        <v>0</v>
      </c>
    </row>
    <row r="77">
      <c r="A77" s="10" t="s">
        <v>85</v>
      </c>
      <c r="B77" s="11">
        <v>250.0</v>
      </c>
      <c r="C77" s="12" t="s">
        <v>50</v>
      </c>
      <c r="D77" s="15">
        <v>75204.0</v>
      </c>
      <c r="F77" s="15">
        <f>IFERROR(__xludf.DUMMYFUNCTION("""COMPUTED_VALUE"""),75063.0)</f>
        <v>75063</v>
      </c>
      <c r="G77" s="26">
        <f t="shared" si="2"/>
        <v>5674.7</v>
      </c>
      <c r="J77" s="27">
        <f>IFERROR(__xludf.DUMMYFUNCTION("""COMPUTED_VALUE"""),75063.0)</f>
        <v>75063</v>
      </c>
      <c r="K77" s="28">
        <f t="shared" ref="K77:AT77" si="76">sumifs($B:$B,$D:$D,$J77,$C:$C,K$1)</f>
        <v>0</v>
      </c>
      <c r="L77" s="28">
        <f t="shared" si="76"/>
        <v>0</v>
      </c>
      <c r="M77" s="28">
        <f t="shared" si="76"/>
        <v>0</v>
      </c>
      <c r="N77" s="28">
        <f t="shared" si="76"/>
        <v>2200</v>
      </c>
      <c r="O77" s="28">
        <f t="shared" si="76"/>
        <v>0</v>
      </c>
      <c r="P77" s="28">
        <f t="shared" si="76"/>
        <v>0</v>
      </c>
      <c r="Q77" s="28">
        <f t="shared" si="76"/>
        <v>0</v>
      </c>
      <c r="R77" s="28">
        <f t="shared" si="76"/>
        <v>0</v>
      </c>
      <c r="S77" s="28">
        <f t="shared" si="76"/>
        <v>0</v>
      </c>
      <c r="T77" s="28">
        <f t="shared" si="76"/>
        <v>0</v>
      </c>
      <c r="U77" s="28">
        <f t="shared" si="76"/>
        <v>0</v>
      </c>
      <c r="V77" s="28">
        <f t="shared" si="76"/>
        <v>0</v>
      </c>
      <c r="W77" s="28">
        <f t="shared" si="76"/>
        <v>0</v>
      </c>
      <c r="X77" s="28">
        <f t="shared" si="76"/>
        <v>0</v>
      </c>
      <c r="Y77" s="28">
        <f t="shared" si="76"/>
        <v>0</v>
      </c>
      <c r="Z77" s="28">
        <f t="shared" si="76"/>
        <v>0</v>
      </c>
      <c r="AA77" s="28">
        <f t="shared" si="76"/>
        <v>0</v>
      </c>
      <c r="AB77" s="28">
        <f t="shared" si="76"/>
        <v>0</v>
      </c>
      <c r="AC77" s="28">
        <f t="shared" si="76"/>
        <v>474.7</v>
      </c>
      <c r="AD77" s="28">
        <f t="shared" si="76"/>
        <v>0</v>
      </c>
      <c r="AE77" s="28">
        <f t="shared" si="76"/>
        <v>0</v>
      </c>
      <c r="AF77" s="28">
        <f t="shared" si="76"/>
        <v>1000</v>
      </c>
      <c r="AG77" s="28">
        <f t="shared" si="76"/>
        <v>0</v>
      </c>
      <c r="AH77" s="28">
        <f t="shared" si="76"/>
        <v>0</v>
      </c>
      <c r="AI77" s="28">
        <f t="shared" si="76"/>
        <v>1000</v>
      </c>
      <c r="AJ77" s="28">
        <f t="shared" si="76"/>
        <v>0</v>
      </c>
      <c r="AK77" s="28">
        <f t="shared" si="76"/>
        <v>1000</v>
      </c>
      <c r="AL77" s="28">
        <f t="shared" si="76"/>
        <v>0</v>
      </c>
      <c r="AM77" s="28">
        <f t="shared" si="76"/>
        <v>0</v>
      </c>
      <c r="AN77" s="28">
        <f t="shared" si="76"/>
        <v>0</v>
      </c>
      <c r="AO77" s="28">
        <f t="shared" si="76"/>
        <v>0</v>
      </c>
      <c r="AP77" s="28">
        <f t="shared" si="76"/>
        <v>0</v>
      </c>
      <c r="AQ77" s="28">
        <f t="shared" si="76"/>
        <v>0</v>
      </c>
      <c r="AR77" s="28">
        <f t="shared" si="76"/>
        <v>0</v>
      </c>
      <c r="AS77" s="28">
        <f t="shared" si="76"/>
        <v>0</v>
      </c>
      <c r="AT77" s="28">
        <f t="shared" si="76"/>
        <v>0</v>
      </c>
    </row>
    <row r="78">
      <c r="A78" s="10" t="s">
        <v>86</v>
      </c>
      <c r="B78" s="11">
        <v>50.0</v>
      </c>
      <c r="C78" s="12" t="s">
        <v>50</v>
      </c>
      <c r="D78" s="15">
        <v>75244.0</v>
      </c>
      <c r="F78" s="15">
        <f>IFERROR(__xludf.DUMMYFUNCTION("""COMPUTED_VALUE"""),75007.0)</f>
        <v>75007</v>
      </c>
      <c r="G78" s="26">
        <f t="shared" si="2"/>
        <v>6800</v>
      </c>
      <c r="J78" s="27">
        <f>IFERROR(__xludf.DUMMYFUNCTION("""COMPUTED_VALUE"""),75007.0)</f>
        <v>75007</v>
      </c>
      <c r="K78" s="28">
        <f t="shared" ref="K78:AT78" si="77">sumifs($B:$B,$D:$D,$J78,$C:$C,K$1)</f>
        <v>500</v>
      </c>
      <c r="L78" s="28">
        <f t="shared" si="77"/>
        <v>0</v>
      </c>
      <c r="M78" s="28">
        <f t="shared" si="77"/>
        <v>0</v>
      </c>
      <c r="N78" s="28">
        <f t="shared" si="77"/>
        <v>3500</v>
      </c>
      <c r="O78" s="28">
        <f t="shared" si="77"/>
        <v>0</v>
      </c>
      <c r="P78" s="28">
        <f t="shared" si="77"/>
        <v>0</v>
      </c>
      <c r="Q78" s="28">
        <f t="shared" si="77"/>
        <v>50</v>
      </c>
      <c r="R78" s="28">
        <f t="shared" si="77"/>
        <v>0</v>
      </c>
      <c r="S78" s="28">
        <f t="shared" si="77"/>
        <v>0</v>
      </c>
      <c r="T78" s="28">
        <f t="shared" si="77"/>
        <v>0</v>
      </c>
      <c r="U78" s="28">
        <f t="shared" si="77"/>
        <v>0</v>
      </c>
      <c r="V78" s="28">
        <f t="shared" si="77"/>
        <v>0</v>
      </c>
      <c r="W78" s="28">
        <f t="shared" si="77"/>
        <v>0</v>
      </c>
      <c r="X78" s="28">
        <f t="shared" si="77"/>
        <v>0</v>
      </c>
      <c r="Y78" s="28">
        <f t="shared" si="77"/>
        <v>1000</v>
      </c>
      <c r="Z78" s="28">
        <f t="shared" si="77"/>
        <v>0</v>
      </c>
      <c r="AA78" s="28">
        <f t="shared" si="77"/>
        <v>0</v>
      </c>
      <c r="AB78" s="28">
        <f t="shared" si="77"/>
        <v>0</v>
      </c>
      <c r="AC78" s="28">
        <f t="shared" si="77"/>
        <v>0</v>
      </c>
      <c r="AD78" s="28">
        <f t="shared" si="77"/>
        <v>0</v>
      </c>
      <c r="AE78" s="28">
        <f t="shared" si="77"/>
        <v>0</v>
      </c>
      <c r="AF78" s="28">
        <f t="shared" si="77"/>
        <v>0</v>
      </c>
      <c r="AG78" s="28">
        <f t="shared" si="77"/>
        <v>0</v>
      </c>
      <c r="AH78" s="28">
        <f t="shared" si="77"/>
        <v>0</v>
      </c>
      <c r="AI78" s="28">
        <f t="shared" si="77"/>
        <v>1250</v>
      </c>
      <c r="AJ78" s="28">
        <f t="shared" si="77"/>
        <v>0</v>
      </c>
      <c r="AK78" s="28">
        <f t="shared" si="77"/>
        <v>500</v>
      </c>
      <c r="AL78" s="28">
        <f t="shared" si="77"/>
        <v>0</v>
      </c>
      <c r="AM78" s="28">
        <f t="shared" si="77"/>
        <v>0</v>
      </c>
      <c r="AN78" s="28">
        <f t="shared" si="77"/>
        <v>0</v>
      </c>
      <c r="AO78" s="28">
        <f t="shared" si="77"/>
        <v>0</v>
      </c>
      <c r="AP78" s="28">
        <f t="shared" si="77"/>
        <v>0</v>
      </c>
      <c r="AQ78" s="28">
        <f t="shared" si="77"/>
        <v>0</v>
      </c>
      <c r="AR78" s="28">
        <f t="shared" si="77"/>
        <v>0</v>
      </c>
      <c r="AS78" s="28">
        <f t="shared" si="77"/>
        <v>0</v>
      </c>
      <c r="AT78" s="28">
        <f t="shared" si="77"/>
        <v>0</v>
      </c>
    </row>
    <row r="79">
      <c r="A79" s="10" t="s">
        <v>87</v>
      </c>
      <c r="B79" s="11">
        <v>100.0</v>
      </c>
      <c r="C79" s="12" t="s">
        <v>50</v>
      </c>
      <c r="D79" s="15">
        <v>75218.0</v>
      </c>
      <c r="F79" s="15">
        <f>IFERROR(__xludf.DUMMYFUNCTION("""COMPUTED_VALUE"""),75019.0)</f>
        <v>75019</v>
      </c>
      <c r="G79" s="26">
        <f t="shared" si="2"/>
        <v>4010</v>
      </c>
      <c r="J79" s="27">
        <f>IFERROR(__xludf.DUMMYFUNCTION("""COMPUTED_VALUE"""),75019.0)</f>
        <v>75019</v>
      </c>
      <c r="K79" s="28">
        <f t="shared" ref="K79:AT79" si="78">sumifs($B:$B,$D:$D,$J79,$C:$C,K$1)</f>
        <v>0</v>
      </c>
      <c r="L79" s="28">
        <f t="shared" si="78"/>
        <v>0</v>
      </c>
      <c r="M79" s="28">
        <f t="shared" si="78"/>
        <v>0</v>
      </c>
      <c r="N79" s="28">
        <f t="shared" si="78"/>
        <v>1300</v>
      </c>
      <c r="O79" s="28">
        <f t="shared" si="78"/>
        <v>0</v>
      </c>
      <c r="P79" s="28">
        <f t="shared" si="78"/>
        <v>50</v>
      </c>
      <c r="Q79" s="28">
        <f t="shared" si="78"/>
        <v>0</v>
      </c>
      <c r="R79" s="28">
        <f t="shared" si="78"/>
        <v>0</v>
      </c>
      <c r="S79" s="28">
        <f t="shared" si="78"/>
        <v>0</v>
      </c>
      <c r="T79" s="28">
        <f t="shared" si="78"/>
        <v>0</v>
      </c>
      <c r="U79" s="28">
        <f t="shared" si="78"/>
        <v>0</v>
      </c>
      <c r="V79" s="28">
        <f t="shared" si="78"/>
        <v>0</v>
      </c>
      <c r="W79" s="28">
        <f t="shared" si="78"/>
        <v>1000</v>
      </c>
      <c r="X79" s="28">
        <f t="shared" si="78"/>
        <v>0</v>
      </c>
      <c r="Y79" s="28">
        <f t="shared" si="78"/>
        <v>0</v>
      </c>
      <c r="Z79" s="28">
        <f t="shared" si="78"/>
        <v>0</v>
      </c>
      <c r="AA79" s="28">
        <f t="shared" si="78"/>
        <v>10</v>
      </c>
      <c r="AB79" s="28">
        <f t="shared" si="78"/>
        <v>0</v>
      </c>
      <c r="AC79" s="28">
        <f t="shared" si="78"/>
        <v>0</v>
      </c>
      <c r="AD79" s="28">
        <f t="shared" si="78"/>
        <v>0</v>
      </c>
      <c r="AE79" s="28">
        <f t="shared" si="78"/>
        <v>0</v>
      </c>
      <c r="AF79" s="28">
        <f t="shared" si="78"/>
        <v>0</v>
      </c>
      <c r="AG79" s="28">
        <f t="shared" si="78"/>
        <v>0</v>
      </c>
      <c r="AH79" s="28">
        <f t="shared" si="78"/>
        <v>0</v>
      </c>
      <c r="AI79" s="28">
        <f t="shared" si="78"/>
        <v>1550</v>
      </c>
      <c r="AJ79" s="28">
        <f t="shared" si="78"/>
        <v>0</v>
      </c>
      <c r="AK79" s="28">
        <f t="shared" si="78"/>
        <v>0</v>
      </c>
      <c r="AL79" s="28">
        <f t="shared" si="78"/>
        <v>100</v>
      </c>
      <c r="AM79" s="28">
        <f t="shared" si="78"/>
        <v>0</v>
      </c>
      <c r="AN79" s="28">
        <f t="shared" si="78"/>
        <v>0</v>
      </c>
      <c r="AO79" s="28">
        <f t="shared" si="78"/>
        <v>0</v>
      </c>
      <c r="AP79" s="28">
        <f t="shared" si="78"/>
        <v>0</v>
      </c>
      <c r="AQ79" s="28">
        <f t="shared" si="78"/>
        <v>0</v>
      </c>
      <c r="AR79" s="28">
        <f t="shared" si="78"/>
        <v>0</v>
      </c>
      <c r="AS79" s="28">
        <f t="shared" si="78"/>
        <v>0</v>
      </c>
      <c r="AT79" s="28">
        <f t="shared" si="78"/>
        <v>0</v>
      </c>
    </row>
    <row r="80">
      <c r="A80" s="10" t="s">
        <v>88</v>
      </c>
      <c r="B80" s="11">
        <v>500.0</v>
      </c>
      <c r="C80" s="12" t="s">
        <v>50</v>
      </c>
      <c r="D80" s="15">
        <v>75220.0</v>
      </c>
      <c r="F80" s="15">
        <f>IFERROR(__xludf.DUMMYFUNCTION("""COMPUTED_VALUE"""),75056.0)</f>
        <v>75056</v>
      </c>
      <c r="G80" s="26">
        <f t="shared" si="2"/>
        <v>1620</v>
      </c>
      <c r="J80" s="27">
        <f>IFERROR(__xludf.DUMMYFUNCTION("""COMPUTED_VALUE"""),75056.0)</f>
        <v>75056</v>
      </c>
      <c r="K80" s="28">
        <f t="shared" ref="K80:AT80" si="79">sumifs($B:$B,$D:$D,$J80,$C:$C,K$1)</f>
        <v>0</v>
      </c>
      <c r="L80" s="28">
        <f t="shared" si="79"/>
        <v>0</v>
      </c>
      <c r="M80" s="28">
        <f t="shared" si="79"/>
        <v>0</v>
      </c>
      <c r="N80" s="28">
        <f t="shared" si="79"/>
        <v>1000</v>
      </c>
      <c r="O80" s="28">
        <f t="shared" si="79"/>
        <v>0</v>
      </c>
      <c r="P80" s="28">
        <f t="shared" si="79"/>
        <v>0</v>
      </c>
      <c r="Q80" s="28">
        <f t="shared" si="79"/>
        <v>120</v>
      </c>
      <c r="R80" s="28">
        <f t="shared" si="79"/>
        <v>0</v>
      </c>
      <c r="S80" s="28">
        <f t="shared" si="79"/>
        <v>0</v>
      </c>
      <c r="T80" s="28">
        <f t="shared" si="79"/>
        <v>0</v>
      </c>
      <c r="U80" s="28">
        <f t="shared" si="79"/>
        <v>0</v>
      </c>
      <c r="V80" s="28">
        <f t="shared" si="79"/>
        <v>0</v>
      </c>
      <c r="W80" s="28">
        <f t="shared" si="79"/>
        <v>0</v>
      </c>
      <c r="X80" s="28">
        <f t="shared" si="79"/>
        <v>0</v>
      </c>
      <c r="Y80" s="28">
        <f t="shared" si="79"/>
        <v>500</v>
      </c>
      <c r="Z80" s="28">
        <f t="shared" si="79"/>
        <v>0</v>
      </c>
      <c r="AA80" s="28">
        <f t="shared" si="79"/>
        <v>0</v>
      </c>
      <c r="AB80" s="28">
        <f t="shared" si="79"/>
        <v>0</v>
      </c>
      <c r="AC80" s="28">
        <f t="shared" si="79"/>
        <v>0</v>
      </c>
      <c r="AD80" s="28">
        <f t="shared" si="79"/>
        <v>0</v>
      </c>
      <c r="AE80" s="28">
        <f t="shared" si="79"/>
        <v>0</v>
      </c>
      <c r="AF80" s="28">
        <f t="shared" si="79"/>
        <v>0</v>
      </c>
      <c r="AG80" s="28">
        <f t="shared" si="79"/>
        <v>0</v>
      </c>
      <c r="AH80" s="28">
        <f t="shared" si="79"/>
        <v>0</v>
      </c>
      <c r="AI80" s="28">
        <f t="shared" si="79"/>
        <v>0</v>
      </c>
      <c r="AJ80" s="28">
        <f t="shared" si="79"/>
        <v>0</v>
      </c>
      <c r="AK80" s="28">
        <f t="shared" si="79"/>
        <v>0</v>
      </c>
      <c r="AL80" s="28">
        <f t="shared" si="79"/>
        <v>0</v>
      </c>
      <c r="AM80" s="28">
        <f t="shared" si="79"/>
        <v>0</v>
      </c>
      <c r="AN80" s="28">
        <f t="shared" si="79"/>
        <v>0</v>
      </c>
      <c r="AO80" s="28">
        <f t="shared" si="79"/>
        <v>0</v>
      </c>
      <c r="AP80" s="28">
        <f t="shared" si="79"/>
        <v>0</v>
      </c>
      <c r="AQ80" s="28">
        <f t="shared" si="79"/>
        <v>0</v>
      </c>
      <c r="AR80" s="28">
        <f t="shared" si="79"/>
        <v>0</v>
      </c>
      <c r="AS80" s="28">
        <f t="shared" si="79"/>
        <v>0</v>
      </c>
      <c r="AT80" s="28">
        <f t="shared" si="79"/>
        <v>0</v>
      </c>
    </row>
    <row r="81">
      <c r="A81" s="10" t="s">
        <v>89</v>
      </c>
      <c r="B81" s="11">
        <v>500.0</v>
      </c>
      <c r="C81" s="12" t="s">
        <v>50</v>
      </c>
      <c r="D81" s="15">
        <v>75219.0</v>
      </c>
      <c r="F81" s="15">
        <f>IFERROR(__xludf.DUMMYFUNCTION("""COMPUTED_VALUE"""),75035.0)</f>
        <v>75035</v>
      </c>
      <c r="G81" s="26">
        <f t="shared" si="2"/>
        <v>1075</v>
      </c>
      <c r="J81" s="27">
        <f>IFERROR(__xludf.DUMMYFUNCTION("""COMPUTED_VALUE"""),75035.0)</f>
        <v>75035</v>
      </c>
      <c r="K81" s="28">
        <f t="shared" ref="K81:AT81" si="80">sumifs($B:$B,$D:$D,$J81,$C:$C,K$1)</f>
        <v>0</v>
      </c>
      <c r="L81" s="28">
        <f t="shared" si="80"/>
        <v>0</v>
      </c>
      <c r="M81" s="28">
        <f t="shared" si="80"/>
        <v>0</v>
      </c>
      <c r="N81" s="28">
        <f t="shared" si="80"/>
        <v>1000</v>
      </c>
      <c r="O81" s="28">
        <f t="shared" si="80"/>
        <v>0</v>
      </c>
      <c r="P81" s="28">
        <f t="shared" si="80"/>
        <v>50</v>
      </c>
      <c r="Q81" s="28">
        <f t="shared" si="80"/>
        <v>0</v>
      </c>
      <c r="R81" s="28">
        <f t="shared" si="80"/>
        <v>0</v>
      </c>
      <c r="S81" s="28">
        <f t="shared" si="80"/>
        <v>0</v>
      </c>
      <c r="T81" s="28">
        <f t="shared" si="80"/>
        <v>0</v>
      </c>
      <c r="U81" s="28">
        <f t="shared" si="80"/>
        <v>0</v>
      </c>
      <c r="V81" s="28">
        <f t="shared" si="80"/>
        <v>0</v>
      </c>
      <c r="W81" s="28">
        <f t="shared" si="80"/>
        <v>0</v>
      </c>
      <c r="X81" s="28">
        <f t="shared" si="80"/>
        <v>0</v>
      </c>
      <c r="Y81" s="28">
        <f t="shared" si="80"/>
        <v>0</v>
      </c>
      <c r="Z81" s="28">
        <f t="shared" si="80"/>
        <v>25</v>
      </c>
      <c r="AA81" s="28">
        <f t="shared" si="80"/>
        <v>0</v>
      </c>
      <c r="AB81" s="28">
        <f t="shared" si="80"/>
        <v>0</v>
      </c>
      <c r="AC81" s="28">
        <f t="shared" si="80"/>
        <v>0</v>
      </c>
      <c r="AD81" s="28">
        <f t="shared" si="80"/>
        <v>0</v>
      </c>
      <c r="AE81" s="28">
        <f t="shared" si="80"/>
        <v>0</v>
      </c>
      <c r="AF81" s="28">
        <f t="shared" si="80"/>
        <v>0</v>
      </c>
      <c r="AG81" s="28">
        <f t="shared" si="80"/>
        <v>0</v>
      </c>
      <c r="AH81" s="28">
        <f t="shared" si="80"/>
        <v>0</v>
      </c>
      <c r="AI81" s="28">
        <f t="shared" si="80"/>
        <v>0</v>
      </c>
      <c r="AJ81" s="28">
        <f t="shared" si="80"/>
        <v>0</v>
      </c>
      <c r="AK81" s="28">
        <f t="shared" si="80"/>
        <v>0</v>
      </c>
      <c r="AL81" s="28">
        <f t="shared" si="80"/>
        <v>0</v>
      </c>
      <c r="AM81" s="28">
        <f t="shared" si="80"/>
        <v>0</v>
      </c>
      <c r="AN81" s="28">
        <f t="shared" si="80"/>
        <v>0</v>
      </c>
      <c r="AO81" s="28">
        <f t="shared" si="80"/>
        <v>0</v>
      </c>
      <c r="AP81" s="28">
        <f t="shared" si="80"/>
        <v>0</v>
      </c>
      <c r="AQ81" s="28">
        <f t="shared" si="80"/>
        <v>0</v>
      </c>
      <c r="AR81" s="28">
        <f t="shared" si="80"/>
        <v>0</v>
      </c>
      <c r="AS81" s="28">
        <f t="shared" si="80"/>
        <v>0</v>
      </c>
      <c r="AT81" s="28">
        <f t="shared" si="80"/>
        <v>0</v>
      </c>
    </row>
    <row r="82">
      <c r="A82" s="10" t="s">
        <v>90</v>
      </c>
      <c r="B82" s="11">
        <v>1000.0</v>
      </c>
      <c r="C82" s="12" t="s">
        <v>50</v>
      </c>
      <c r="D82" s="15">
        <v>75205.0</v>
      </c>
      <c r="F82" s="15">
        <f>IFERROR(__xludf.DUMMYFUNCTION("""COMPUTED_VALUE"""),75068.0)</f>
        <v>75068</v>
      </c>
      <c r="G82" s="26">
        <f t="shared" si="2"/>
        <v>1100</v>
      </c>
      <c r="J82" s="27">
        <f>IFERROR(__xludf.DUMMYFUNCTION("""COMPUTED_VALUE"""),75068.0)</f>
        <v>75068</v>
      </c>
      <c r="K82" s="28">
        <f t="shared" ref="K82:AT82" si="81">sumifs($B:$B,$D:$D,$J82,$C:$C,K$1)</f>
        <v>100</v>
      </c>
      <c r="L82" s="28">
        <f t="shared" si="81"/>
        <v>0</v>
      </c>
      <c r="M82" s="28">
        <f t="shared" si="81"/>
        <v>0</v>
      </c>
      <c r="N82" s="28">
        <f t="shared" si="81"/>
        <v>1000</v>
      </c>
      <c r="O82" s="28">
        <f t="shared" si="81"/>
        <v>0</v>
      </c>
      <c r="P82" s="28">
        <f t="shared" si="81"/>
        <v>0</v>
      </c>
      <c r="Q82" s="28">
        <f t="shared" si="81"/>
        <v>0</v>
      </c>
      <c r="R82" s="28">
        <f t="shared" si="81"/>
        <v>0</v>
      </c>
      <c r="S82" s="28">
        <f t="shared" si="81"/>
        <v>0</v>
      </c>
      <c r="T82" s="28">
        <f t="shared" si="81"/>
        <v>0</v>
      </c>
      <c r="U82" s="28">
        <f t="shared" si="81"/>
        <v>0</v>
      </c>
      <c r="V82" s="28">
        <f t="shared" si="81"/>
        <v>0</v>
      </c>
      <c r="W82" s="28">
        <f t="shared" si="81"/>
        <v>0</v>
      </c>
      <c r="X82" s="28">
        <f t="shared" si="81"/>
        <v>0</v>
      </c>
      <c r="Y82" s="28">
        <f t="shared" si="81"/>
        <v>0</v>
      </c>
      <c r="Z82" s="28">
        <f t="shared" si="81"/>
        <v>0</v>
      </c>
      <c r="AA82" s="28">
        <f t="shared" si="81"/>
        <v>0</v>
      </c>
      <c r="AB82" s="28">
        <f t="shared" si="81"/>
        <v>0</v>
      </c>
      <c r="AC82" s="28">
        <f t="shared" si="81"/>
        <v>0</v>
      </c>
      <c r="AD82" s="28">
        <f t="shared" si="81"/>
        <v>0</v>
      </c>
      <c r="AE82" s="28">
        <f t="shared" si="81"/>
        <v>0</v>
      </c>
      <c r="AF82" s="28">
        <f t="shared" si="81"/>
        <v>0</v>
      </c>
      <c r="AG82" s="28">
        <f t="shared" si="81"/>
        <v>0</v>
      </c>
      <c r="AH82" s="28">
        <f t="shared" si="81"/>
        <v>0</v>
      </c>
      <c r="AI82" s="28">
        <f t="shared" si="81"/>
        <v>0</v>
      </c>
      <c r="AJ82" s="28">
        <f t="shared" si="81"/>
        <v>0</v>
      </c>
      <c r="AK82" s="28">
        <f t="shared" si="81"/>
        <v>0</v>
      </c>
      <c r="AL82" s="28">
        <f t="shared" si="81"/>
        <v>0</v>
      </c>
      <c r="AM82" s="28">
        <f t="shared" si="81"/>
        <v>0</v>
      </c>
      <c r="AN82" s="28">
        <f t="shared" si="81"/>
        <v>0</v>
      </c>
      <c r="AO82" s="28">
        <f t="shared" si="81"/>
        <v>0</v>
      </c>
      <c r="AP82" s="28">
        <f t="shared" si="81"/>
        <v>0</v>
      </c>
      <c r="AQ82" s="28">
        <f t="shared" si="81"/>
        <v>0</v>
      </c>
      <c r="AR82" s="28">
        <f t="shared" si="81"/>
        <v>0</v>
      </c>
      <c r="AS82" s="28">
        <f t="shared" si="81"/>
        <v>0</v>
      </c>
      <c r="AT82" s="28">
        <f t="shared" si="81"/>
        <v>0</v>
      </c>
    </row>
    <row r="83">
      <c r="A83" s="10" t="s">
        <v>91</v>
      </c>
      <c r="B83" s="11">
        <v>250.0</v>
      </c>
      <c r="C83" s="12" t="s">
        <v>50</v>
      </c>
      <c r="D83" s="15">
        <v>75082.0</v>
      </c>
      <c r="F83" s="15">
        <f>IFERROR(__xludf.DUMMYFUNCTION("""COMPUTED_VALUE"""),75010.0)</f>
        <v>75010</v>
      </c>
      <c r="G83" s="26">
        <f t="shared" si="2"/>
        <v>2300</v>
      </c>
      <c r="J83" s="27">
        <f>IFERROR(__xludf.DUMMYFUNCTION("""COMPUTED_VALUE"""),75010.0)</f>
        <v>75010</v>
      </c>
      <c r="K83" s="28">
        <f t="shared" ref="K83:AT83" si="82">sumifs($B:$B,$D:$D,$J83,$C:$C,K$1)</f>
        <v>0</v>
      </c>
      <c r="L83" s="28">
        <f t="shared" si="82"/>
        <v>0</v>
      </c>
      <c r="M83" s="28">
        <f t="shared" si="82"/>
        <v>0</v>
      </c>
      <c r="N83" s="28">
        <f t="shared" si="82"/>
        <v>1000</v>
      </c>
      <c r="O83" s="28">
        <f t="shared" si="82"/>
        <v>0</v>
      </c>
      <c r="P83" s="28">
        <f t="shared" si="82"/>
        <v>0</v>
      </c>
      <c r="Q83" s="28">
        <f t="shared" si="82"/>
        <v>0</v>
      </c>
      <c r="R83" s="28">
        <f t="shared" si="82"/>
        <v>0</v>
      </c>
      <c r="S83" s="28">
        <f t="shared" si="82"/>
        <v>0</v>
      </c>
      <c r="T83" s="28">
        <f t="shared" si="82"/>
        <v>0</v>
      </c>
      <c r="U83" s="28">
        <f t="shared" si="82"/>
        <v>0</v>
      </c>
      <c r="V83" s="28">
        <f t="shared" si="82"/>
        <v>0</v>
      </c>
      <c r="W83" s="28">
        <f t="shared" si="82"/>
        <v>0</v>
      </c>
      <c r="X83" s="28">
        <f t="shared" si="82"/>
        <v>0</v>
      </c>
      <c r="Y83" s="28">
        <f t="shared" si="82"/>
        <v>0</v>
      </c>
      <c r="Z83" s="28">
        <f t="shared" si="82"/>
        <v>0</v>
      </c>
      <c r="AA83" s="28">
        <f t="shared" si="82"/>
        <v>0</v>
      </c>
      <c r="AB83" s="28">
        <f t="shared" si="82"/>
        <v>0</v>
      </c>
      <c r="AC83" s="28">
        <f t="shared" si="82"/>
        <v>0</v>
      </c>
      <c r="AD83" s="28">
        <f t="shared" si="82"/>
        <v>0</v>
      </c>
      <c r="AE83" s="28">
        <f t="shared" si="82"/>
        <v>0</v>
      </c>
      <c r="AF83" s="28">
        <f t="shared" si="82"/>
        <v>0</v>
      </c>
      <c r="AG83" s="28">
        <f t="shared" si="82"/>
        <v>0</v>
      </c>
      <c r="AH83" s="28">
        <f t="shared" si="82"/>
        <v>0</v>
      </c>
      <c r="AI83" s="28">
        <f t="shared" si="82"/>
        <v>0</v>
      </c>
      <c r="AJ83" s="28">
        <f t="shared" si="82"/>
        <v>0</v>
      </c>
      <c r="AK83" s="28">
        <f t="shared" si="82"/>
        <v>300</v>
      </c>
      <c r="AL83" s="28">
        <f t="shared" si="82"/>
        <v>0</v>
      </c>
      <c r="AM83" s="28">
        <f t="shared" si="82"/>
        <v>1000</v>
      </c>
      <c r="AN83" s="28">
        <f t="shared" si="82"/>
        <v>0</v>
      </c>
      <c r="AO83" s="28">
        <f t="shared" si="82"/>
        <v>0</v>
      </c>
      <c r="AP83" s="28">
        <f t="shared" si="82"/>
        <v>0</v>
      </c>
      <c r="AQ83" s="28">
        <f t="shared" si="82"/>
        <v>0</v>
      </c>
      <c r="AR83" s="28">
        <f t="shared" si="82"/>
        <v>0</v>
      </c>
      <c r="AS83" s="28">
        <f t="shared" si="82"/>
        <v>0</v>
      </c>
      <c r="AT83" s="28">
        <f t="shared" si="82"/>
        <v>0</v>
      </c>
    </row>
    <row r="84">
      <c r="A84" s="10" t="s">
        <v>92</v>
      </c>
      <c r="B84" s="11">
        <v>100.0</v>
      </c>
      <c r="C84" s="12" t="s">
        <v>50</v>
      </c>
      <c r="D84" s="15">
        <v>76051.0</v>
      </c>
      <c r="F84" s="15">
        <f>IFERROR(__xludf.DUMMYFUNCTION("""COMPUTED_VALUE"""),77063.0)</f>
        <v>77063</v>
      </c>
      <c r="G84" s="26">
        <f t="shared" si="2"/>
        <v>1000</v>
      </c>
      <c r="J84" s="27">
        <f>IFERROR(__xludf.DUMMYFUNCTION("""COMPUTED_VALUE"""),77063.0)</f>
        <v>77063</v>
      </c>
      <c r="K84" s="28">
        <f t="shared" ref="K84:AT84" si="83">sumifs($B:$B,$D:$D,$J84,$C:$C,K$1)</f>
        <v>0</v>
      </c>
      <c r="L84" s="28">
        <f t="shared" si="83"/>
        <v>0</v>
      </c>
      <c r="M84" s="28">
        <f t="shared" si="83"/>
        <v>0</v>
      </c>
      <c r="N84" s="28">
        <f t="shared" si="83"/>
        <v>1000</v>
      </c>
      <c r="O84" s="28">
        <f t="shared" si="83"/>
        <v>0</v>
      </c>
      <c r="P84" s="28">
        <f t="shared" si="83"/>
        <v>0</v>
      </c>
      <c r="Q84" s="28">
        <f t="shared" si="83"/>
        <v>0</v>
      </c>
      <c r="R84" s="28">
        <f t="shared" si="83"/>
        <v>0</v>
      </c>
      <c r="S84" s="28">
        <f t="shared" si="83"/>
        <v>0</v>
      </c>
      <c r="T84" s="28">
        <f t="shared" si="83"/>
        <v>0</v>
      </c>
      <c r="U84" s="28">
        <f t="shared" si="83"/>
        <v>0</v>
      </c>
      <c r="V84" s="28">
        <f t="shared" si="83"/>
        <v>0</v>
      </c>
      <c r="W84" s="28">
        <f t="shared" si="83"/>
        <v>0</v>
      </c>
      <c r="X84" s="28">
        <f t="shared" si="83"/>
        <v>0</v>
      </c>
      <c r="Y84" s="28">
        <f t="shared" si="83"/>
        <v>0</v>
      </c>
      <c r="Z84" s="28">
        <f t="shared" si="83"/>
        <v>0</v>
      </c>
      <c r="AA84" s="28">
        <f t="shared" si="83"/>
        <v>0</v>
      </c>
      <c r="AB84" s="28">
        <f t="shared" si="83"/>
        <v>0</v>
      </c>
      <c r="AC84" s="28">
        <f t="shared" si="83"/>
        <v>0</v>
      </c>
      <c r="AD84" s="28">
        <f t="shared" si="83"/>
        <v>0</v>
      </c>
      <c r="AE84" s="28">
        <f t="shared" si="83"/>
        <v>0</v>
      </c>
      <c r="AF84" s="28">
        <f t="shared" si="83"/>
        <v>0</v>
      </c>
      <c r="AG84" s="28">
        <f t="shared" si="83"/>
        <v>0</v>
      </c>
      <c r="AH84" s="28">
        <f t="shared" si="83"/>
        <v>0</v>
      </c>
      <c r="AI84" s="28">
        <f t="shared" si="83"/>
        <v>0</v>
      </c>
      <c r="AJ84" s="28">
        <f t="shared" si="83"/>
        <v>0</v>
      </c>
      <c r="AK84" s="28">
        <f t="shared" si="83"/>
        <v>0</v>
      </c>
      <c r="AL84" s="28">
        <f t="shared" si="83"/>
        <v>0</v>
      </c>
      <c r="AM84" s="28">
        <f t="shared" si="83"/>
        <v>0</v>
      </c>
      <c r="AN84" s="28">
        <f t="shared" si="83"/>
        <v>0</v>
      </c>
      <c r="AO84" s="28">
        <f t="shared" si="83"/>
        <v>0</v>
      </c>
      <c r="AP84" s="28">
        <f t="shared" si="83"/>
        <v>0</v>
      </c>
      <c r="AQ84" s="28">
        <f t="shared" si="83"/>
        <v>0</v>
      </c>
      <c r="AR84" s="28">
        <f t="shared" si="83"/>
        <v>0</v>
      </c>
      <c r="AS84" s="28">
        <f t="shared" si="83"/>
        <v>0</v>
      </c>
      <c r="AT84" s="28">
        <f t="shared" si="83"/>
        <v>0</v>
      </c>
    </row>
    <row r="85">
      <c r="A85" s="10" t="s">
        <v>93</v>
      </c>
      <c r="B85" s="11">
        <v>50.0</v>
      </c>
      <c r="C85" s="12" t="s">
        <v>50</v>
      </c>
      <c r="D85" s="15">
        <v>75215.0</v>
      </c>
      <c r="F85" s="15">
        <f>IFERROR(__xludf.DUMMYFUNCTION("""COMPUTED_VALUE"""),75087.0)</f>
        <v>75087</v>
      </c>
      <c r="G85" s="26">
        <f t="shared" si="2"/>
        <v>100</v>
      </c>
      <c r="J85" s="27">
        <f>IFERROR(__xludf.DUMMYFUNCTION("""COMPUTED_VALUE"""),75087.0)</f>
        <v>75087</v>
      </c>
      <c r="K85" s="28">
        <f t="shared" ref="K85:AT85" si="84">sumifs($B:$B,$D:$D,$J85,$C:$C,K$1)</f>
        <v>0</v>
      </c>
      <c r="L85" s="28">
        <f t="shared" si="84"/>
        <v>0</v>
      </c>
      <c r="M85" s="28">
        <f t="shared" si="84"/>
        <v>0</v>
      </c>
      <c r="N85" s="28">
        <f t="shared" si="84"/>
        <v>100</v>
      </c>
      <c r="O85" s="28">
        <f t="shared" si="84"/>
        <v>0</v>
      </c>
      <c r="P85" s="28">
        <f t="shared" si="84"/>
        <v>0</v>
      </c>
      <c r="Q85" s="28">
        <f t="shared" si="84"/>
        <v>0</v>
      </c>
      <c r="R85" s="28">
        <f t="shared" si="84"/>
        <v>0</v>
      </c>
      <c r="S85" s="28">
        <f t="shared" si="84"/>
        <v>0</v>
      </c>
      <c r="T85" s="28">
        <f t="shared" si="84"/>
        <v>0</v>
      </c>
      <c r="U85" s="28">
        <f t="shared" si="84"/>
        <v>0</v>
      </c>
      <c r="V85" s="28">
        <f t="shared" si="84"/>
        <v>0</v>
      </c>
      <c r="W85" s="28">
        <f t="shared" si="84"/>
        <v>0</v>
      </c>
      <c r="X85" s="28">
        <f t="shared" si="84"/>
        <v>0</v>
      </c>
      <c r="Y85" s="28">
        <f t="shared" si="84"/>
        <v>0</v>
      </c>
      <c r="Z85" s="28">
        <f t="shared" si="84"/>
        <v>0</v>
      </c>
      <c r="AA85" s="28">
        <f t="shared" si="84"/>
        <v>0</v>
      </c>
      <c r="AB85" s="28">
        <f t="shared" si="84"/>
        <v>0</v>
      </c>
      <c r="AC85" s="28">
        <f t="shared" si="84"/>
        <v>0</v>
      </c>
      <c r="AD85" s="28">
        <f t="shared" si="84"/>
        <v>0</v>
      </c>
      <c r="AE85" s="28">
        <f t="shared" si="84"/>
        <v>0</v>
      </c>
      <c r="AF85" s="28">
        <f t="shared" si="84"/>
        <v>0</v>
      </c>
      <c r="AG85" s="28">
        <f t="shared" si="84"/>
        <v>0</v>
      </c>
      <c r="AH85" s="28">
        <f t="shared" si="84"/>
        <v>0</v>
      </c>
      <c r="AI85" s="28">
        <f t="shared" si="84"/>
        <v>0</v>
      </c>
      <c r="AJ85" s="28">
        <f t="shared" si="84"/>
        <v>0</v>
      </c>
      <c r="AK85" s="28">
        <f t="shared" si="84"/>
        <v>0</v>
      </c>
      <c r="AL85" s="28">
        <f t="shared" si="84"/>
        <v>0</v>
      </c>
      <c r="AM85" s="28">
        <f t="shared" si="84"/>
        <v>0</v>
      </c>
      <c r="AN85" s="28">
        <f t="shared" si="84"/>
        <v>0</v>
      </c>
      <c r="AO85" s="28">
        <f t="shared" si="84"/>
        <v>0</v>
      </c>
      <c r="AP85" s="28">
        <f t="shared" si="84"/>
        <v>0</v>
      </c>
      <c r="AQ85" s="28">
        <f t="shared" si="84"/>
        <v>0</v>
      </c>
      <c r="AR85" s="28">
        <f t="shared" si="84"/>
        <v>0</v>
      </c>
      <c r="AS85" s="28">
        <f t="shared" si="84"/>
        <v>0</v>
      </c>
      <c r="AT85" s="28">
        <f t="shared" si="84"/>
        <v>0</v>
      </c>
    </row>
    <row r="86">
      <c r="A86" s="10" t="s">
        <v>94</v>
      </c>
      <c r="B86" s="11">
        <v>250.0</v>
      </c>
      <c r="C86" s="12" t="s">
        <v>50</v>
      </c>
      <c r="D86" s="15">
        <v>75115.0</v>
      </c>
      <c r="F86" s="15">
        <f>IFERROR(__xludf.DUMMYFUNCTION("""COMPUTED_VALUE"""),75708.0)</f>
        <v>75708</v>
      </c>
      <c r="G86" s="26">
        <f t="shared" si="2"/>
        <v>500</v>
      </c>
      <c r="J86" s="27">
        <f>IFERROR(__xludf.DUMMYFUNCTION("""COMPUTED_VALUE"""),75708.0)</f>
        <v>75708</v>
      </c>
      <c r="K86" s="28">
        <f t="shared" ref="K86:AT86" si="85">sumifs($B:$B,$D:$D,$J86,$C:$C,K$1)</f>
        <v>0</v>
      </c>
      <c r="L86" s="28">
        <f t="shared" si="85"/>
        <v>0</v>
      </c>
      <c r="M86" s="28">
        <f t="shared" si="85"/>
        <v>0</v>
      </c>
      <c r="N86" s="28">
        <f t="shared" si="85"/>
        <v>500</v>
      </c>
      <c r="O86" s="28">
        <f t="shared" si="85"/>
        <v>0</v>
      </c>
      <c r="P86" s="28">
        <f t="shared" si="85"/>
        <v>0</v>
      </c>
      <c r="Q86" s="28">
        <f t="shared" si="85"/>
        <v>0</v>
      </c>
      <c r="R86" s="28">
        <f t="shared" si="85"/>
        <v>0</v>
      </c>
      <c r="S86" s="28">
        <f t="shared" si="85"/>
        <v>0</v>
      </c>
      <c r="T86" s="28">
        <f t="shared" si="85"/>
        <v>0</v>
      </c>
      <c r="U86" s="28">
        <f t="shared" si="85"/>
        <v>0</v>
      </c>
      <c r="V86" s="28">
        <f t="shared" si="85"/>
        <v>0</v>
      </c>
      <c r="W86" s="28">
        <f t="shared" si="85"/>
        <v>0</v>
      </c>
      <c r="X86" s="28">
        <f t="shared" si="85"/>
        <v>0</v>
      </c>
      <c r="Y86" s="28">
        <f t="shared" si="85"/>
        <v>0</v>
      </c>
      <c r="Z86" s="28">
        <f t="shared" si="85"/>
        <v>0</v>
      </c>
      <c r="AA86" s="28">
        <f t="shared" si="85"/>
        <v>0</v>
      </c>
      <c r="AB86" s="28">
        <f t="shared" si="85"/>
        <v>0</v>
      </c>
      <c r="AC86" s="28">
        <f t="shared" si="85"/>
        <v>0</v>
      </c>
      <c r="AD86" s="28">
        <f t="shared" si="85"/>
        <v>0</v>
      </c>
      <c r="AE86" s="28">
        <f t="shared" si="85"/>
        <v>0</v>
      </c>
      <c r="AF86" s="28">
        <f t="shared" si="85"/>
        <v>0</v>
      </c>
      <c r="AG86" s="28">
        <f t="shared" si="85"/>
        <v>0</v>
      </c>
      <c r="AH86" s="28">
        <f t="shared" si="85"/>
        <v>0</v>
      </c>
      <c r="AI86" s="28">
        <f t="shared" si="85"/>
        <v>0</v>
      </c>
      <c r="AJ86" s="28">
        <f t="shared" si="85"/>
        <v>0</v>
      </c>
      <c r="AK86" s="28">
        <f t="shared" si="85"/>
        <v>0</v>
      </c>
      <c r="AL86" s="28">
        <f t="shared" si="85"/>
        <v>0</v>
      </c>
      <c r="AM86" s="28">
        <f t="shared" si="85"/>
        <v>0</v>
      </c>
      <c r="AN86" s="28">
        <f t="shared" si="85"/>
        <v>0</v>
      </c>
      <c r="AO86" s="28">
        <f t="shared" si="85"/>
        <v>0</v>
      </c>
      <c r="AP86" s="28">
        <f t="shared" si="85"/>
        <v>0</v>
      </c>
      <c r="AQ86" s="28">
        <f t="shared" si="85"/>
        <v>0</v>
      </c>
      <c r="AR86" s="28">
        <f t="shared" si="85"/>
        <v>0</v>
      </c>
      <c r="AS86" s="28">
        <f t="shared" si="85"/>
        <v>0</v>
      </c>
      <c r="AT86" s="28">
        <f t="shared" si="85"/>
        <v>0</v>
      </c>
    </row>
    <row r="87">
      <c r="A87" s="10" t="s">
        <v>95</v>
      </c>
      <c r="B87" s="11">
        <v>1000.0</v>
      </c>
      <c r="C87" s="12" t="s">
        <v>50</v>
      </c>
      <c r="D87" s="15">
        <v>59715.0</v>
      </c>
      <c r="F87" s="15">
        <f>IFERROR(__xludf.DUMMYFUNCTION("""COMPUTED_VALUE"""),75243.0)</f>
        <v>75243</v>
      </c>
      <c r="G87" s="26">
        <f t="shared" si="2"/>
        <v>16764.7</v>
      </c>
      <c r="J87" s="27">
        <f>IFERROR(__xludf.DUMMYFUNCTION("""COMPUTED_VALUE"""),75243.0)</f>
        <v>75243</v>
      </c>
      <c r="K87" s="28">
        <f t="shared" ref="K87:AT87" si="86">sumifs($B:$B,$D:$D,$J87,$C:$C,K$1)</f>
        <v>0</v>
      </c>
      <c r="L87" s="28">
        <f t="shared" si="86"/>
        <v>100</v>
      </c>
      <c r="M87" s="28">
        <f t="shared" si="86"/>
        <v>500</v>
      </c>
      <c r="N87" s="28">
        <f t="shared" si="86"/>
        <v>0</v>
      </c>
      <c r="O87" s="28">
        <f t="shared" si="86"/>
        <v>0</v>
      </c>
      <c r="P87" s="28">
        <f t="shared" si="86"/>
        <v>50</v>
      </c>
      <c r="Q87" s="28">
        <f t="shared" si="86"/>
        <v>100</v>
      </c>
      <c r="R87" s="28">
        <f t="shared" si="86"/>
        <v>0</v>
      </c>
      <c r="S87" s="28">
        <f t="shared" si="86"/>
        <v>0</v>
      </c>
      <c r="T87" s="28">
        <f t="shared" si="86"/>
        <v>0</v>
      </c>
      <c r="U87" s="28">
        <f t="shared" si="86"/>
        <v>0</v>
      </c>
      <c r="V87" s="28">
        <f t="shared" si="86"/>
        <v>0</v>
      </c>
      <c r="W87" s="28">
        <f t="shared" si="86"/>
        <v>520</v>
      </c>
      <c r="X87" s="28">
        <f t="shared" si="86"/>
        <v>0</v>
      </c>
      <c r="Y87" s="28">
        <f t="shared" si="86"/>
        <v>0</v>
      </c>
      <c r="Z87" s="28">
        <f t="shared" si="86"/>
        <v>0</v>
      </c>
      <c r="AA87" s="28">
        <f t="shared" si="86"/>
        <v>195</v>
      </c>
      <c r="AB87" s="28">
        <f t="shared" si="86"/>
        <v>0</v>
      </c>
      <c r="AC87" s="28">
        <f t="shared" si="86"/>
        <v>949.7</v>
      </c>
      <c r="AD87" s="28">
        <f t="shared" si="86"/>
        <v>50</v>
      </c>
      <c r="AE87" s="28">
        <f t="shared" si="86"/>
        <v>0</v>
      </c>
      <c r="AF87" s="28">
        <f t="shared" si="86"/>
        <v>0</v>
      </c>
      <c r="AG87" s="28">
        <f t="shared" si="86"/>
        <v>0</v>
      </c>
      <c r="AH87" s="28">
        <f t="shared" si="86"/>
        <v>50</v>
      </c>
      <c r="AI87" s="28">
        <f t="shared" si="86"/>
        <v>6300</v>
      </c>
      <c r="AJ87" s="28">
        <f t="shared" si="86"/>
        <v>100</v>
      </c>
      <c r="AK87" s="28">
        <f t="shared" si="86"/>
        <v>0</v>
      </c>
      <c r="AL87" s="28">
        <f t="shared" si="86"/>
        <v>6175</v>
      </c>
      <c r="AM87" s="28">
        <f t="shared" si="86"/>
        <v>400</v>
      </c>
      <c r="AN87" s="28">
        <f t="shared" si="86"/>
        <v>1000</v>
      </c>
      <c r="AO87" s="28">
        <f t="shared" si="86"/>
        <v>0</v>
      </c>
      <c r="AP87" s="28">
        <f t="shared" si="86"/>
        <v>0</v>
      </c>
      <c r="AQ87" s="28">
        <f t="shared" si="86"/>
        <v>0</v>
      </c>
      <c r="AR87" s="28">
        <f t="shared" si="86"/>
        <v>0</v>
      </c>
      <c r="AS87" s="28">
        <f t="shared" si="86"/>
        <v>275</v>
      </c>
      <c r="AT87" s="28">
        <f t="shared" si="86"/>
        <v>0</v>
      </c>
    </row>
    <row r="88">
      <c r="A88" s="10" t="s">
        <v>96</v>
      </c>
      <c r="B88" s="11">
        <v>500.0</v>
      </c>
      <c r="C88" s="12" t="s">
        <v>50</v>
      </c>
      <c r="D88" s="15">
        <v>75227.0</v>
      </c>
      <c r="F88" s="15">
        <f>IFERROR(__xludf.DUMMYFUNCTION("""COMPUTED_VALUE"""),75232.0)</f>
        <v>75232</v>
      </c>
      <c r="G88" s="26">
        <f t="shared" si="2"/>
        <v>11085</v>
      </c>
      <c r="J88" s="27">
        <f>IFERROR(__xludf.DUMMYFUNCTION("""COMPUTED_VALUE"""),75232.0)</f>
        <v>75232</v>
      </c>
      <c r="K88" s="28">
        <f t="shared" ref="K88:AT88" si="87">sumifs($B:$B,$D:$D,$J88,$C:$C,K$1)</f>
        <v>0</v>
      </c>
      <c r="L88" s="28">
        <f t="shared" si="87"/>
        <v>0</v>
      </c>
      <c r="M88" s="28">
        <f t="shared" si="87"/>
        <v>535</v>
      </c>
      <c r="N88" s="28">
        <f t="shared" si="87"/>
        <v>0</v>
      </c>
      <c r="O88" s="28">
        <f t="shared" si="87"/>
        <v>0</v>
      </c>
      <c r="P88" s="28">
        <f t="shared" si="87"/>
        <v>0</v>
      </c>
      <c r="Q88" s="28">
        <f t="shared" si="87"/>
        <v>0</v>
      </c>
      <c r="R88" s="28">
        <f t="shared" si="87"/>
        <v>0</v>
      </c>
      <c r="S88" s="28">
        <f t="shared" si="87"/>
        <v>0</v>
      </c>
      <c r="T88" s="28">
        <f t="shared" si="87"/>
        <v>0</v>
      </c>
      <c r="U88" s="28">
        <f t="shared" si="87"/>
        <v>350</v>
      </c>
      <c r="V88" s="28">
        <f t="shared" si="87"/>
        <v>100</v>
      </c>
      <c r="W88" s="28">
        <f t="shared" si="87"/>
        <v>0</v>
      </c>
      <c r="X88" s="28">
        <f t="shared" si="87"/>
        <v>0</v>
      </c>
      <c r="Y88" s="28">
        <f t="shared" si="87"/>
        <v>0</v>
      </c>
      <c r="Z88" s="28">
        <f t="shared" si="87"/>
        <v>0</v>
      </c>
      <c r="AA88" s="28">
        <f t="shared" si="87"/>
        <v>0</v>
      </c>
      <c r="AB88" s="28">
        <f t="shared" si="87"/>
        <v>0</v>
      </c>
      <c r="AC88" s="28">
        <f t="shared" si="87"/>
        <v>250</v>
      </c>
      <c r="AD88" s="28">
        <f t="shared" si="87"/>
        <v>0</v>
      </c>
      <c r="AE88" s="28">
        <f t="shared" si="87"/>
        <v>0</v>
      </c>
      <c r="AF88" s="28">
        <f t="shared" si="87"/>
        <v>1000</v>
      </c>
      <c r="AG88" s="28">
        <f t="shared" si="87"/>
        <v>0</v>
      </c>
      <c r="AH88" s="28">
        <f t="shared" si="87"/>
        <v>0</v>
      </c>
      <c r="AI88" s="28">
        <f t="shared" si="87"/>
        <v>6000</v>
      </c>
      <c r="AJ88" s="28">
        <f t="shared" si="87"/>
        <v>0</v>
      </c>
      <c r="AK88" s="28">
        <f t="shared" si="87"/>
        <v>2850</v>
      </c>
      <c r="AL88" s="28">
        <f t="shared" si="87"/>
        <v>0</v>
      </c>
      <c r="AM88" s="28">
        <f t="shared" si="87"/>
        <v>0</v>
      </c>
      <c r="AN88" s="28">
        <f t="shared" si="87"/>
        <v>0</v>
      </c>
      <c r="AO88" s="28">
        <f t="shared" si="87"/>
        <v>0</v>
      </c>
      <c r="AP88" s="28">
        <f t="shared" si="87"/>
        <v>0</v>
      </c>
      <c r="AQ88" s="28">
        <f t="shared" si="87"/>
        <v>0</v>
      </c>
      <c r="AR88" s="28">
        <f t="shared" si="87"/>
        <v>0</v>
      </c>
      <c r="AS88" s="28">
        <f t="shared" si="87"/>
        <v>0</v>
      </c>
      <c r="AT88" s="28">
        <f t="shared" si="87"/>
        <v>0</v>
      </c>
    </row>
    <row r="89">
      <c r="A89" s="10" t="s">
        <v>97</v>
      </c>
      <c r="B89" s="11">
        <v>500.0</v>
      </c>
      <c r="C89" s="12" t="s">
        <v>5</v>
      </c>
      <c r="D89" s="15">
        <v>75244.0</v>
      </c>
      <c r="F89" s="15">
        <f>IFERROR(__xludf.DUMMYFUNCTION("""COMPUTED_VALUE"""),76039.0)</f>
        <v>76039</v>
      </c>
      <c r="G89" s="26">
        <f t="shared" si="2"/>
        <v>25</v>
      </c>
      <c r="J89" s="27">
        <f>IFERROR(__xludf.DUMMYFUNCTION("""COMPUTED_VALUE"""),76039.0)</f>
        <v>76039</v>
      </c>
      <c r="K89" s="28">
        <f t="shared" ref="K89:AT89" si="88">sumifs($B:$B,$D:$D,$J89,$C:$C,K$1)</f>
        <v>0</v>
      </c>
      <c r="L89" s="28">
        <f t="shared" si="88"/>
        <v>0</v>
      </c>
      <c r="M89" s="28">
        <f t="shared" si="88"/>
        <v>25</v>
      </c>
      <c r="N89" s="28">
        <f t="shared" si="88"/>
        <v>0</v>
      </c>
      <c r="O89" s="28">
        <f t="shared" si="88"/>
        <v>0</v>
      </c>
      <c r="P89" s="28">
        <f t="shared" si="88"/>
        <v>0</v>
      </c>
      <c r="Q89" s="28">
        <f t="shared" si="88"/>
        <v>0</v>
      </c>
      <c r="R89" s="28">
        <f t="shared" si="88"/>
        <v>0</v>
      </c>
      <c r="S89" s="28">
        <f t="shared" si="88"/>
        <v>0</v>
      </c>
      <c r="T89" s="28">
        <f t="shared" si="88"/>
        <v>0</v>
      </c>
      <c r="U89" s="28">
        <f t="shared" si="88"/>
        <v>0</v>
      </c>
      <c r="V89" s="28">
        <f t="shared" si="88"/>
        <v>0</v>
      </c>
      <c r="W89" s="28">
        <f t="shared" si="88"/>
        <v>0</v>
      </c>
      <c r="X89" s="28">
        <f t="shared" si="88"/>
        <v>0</v>
      </c>
      <c r="Y89" s="28">
        <f t="shared" si="88"/>
        <v>0</v>
      </c>
      <c r="Z89" s="28">
        <f t="shared" si="88"/>
        <v>0</v>
      </c>
      <c r="AA89" s="28">
        <f t="shared" si="88"/>
        <v>0</v>
      </c>
      <c r="AB89" s="28">
        <f t="shared" si="88"/>
        <v>0</v>
      </c>
      <c r="AC89" s="28">
        <f t="shared" si="88"/>
        <v>0</v>
      </c>
      <c r="AD89" s="28">
        <f t="shared" si="88"/>
        <v>0</v>
      </c>
      <c r="AE89" s="28">
        <f t="shared" si="88"/>
        <v>0</v>
      </c>
      <c r="AF89" s="28">
        <f t="shared" si="88"/>
        <v>0</v>
      </c>
      <c r="AG89" s="28">
        <f t="shared" si="88"/>
        <v>0</v>
      </c>
      <c r="AH89" s="28">
        <f t="shared" si="88"/>
        <v>0</v>
      </c>
      <c r="AI89" s="28">
        <f t="shared" si="88"/>
        <v>0</v>
      </c>
      <c r="AJ89" s="28">
        <f t="shared" si="88"/>
        <v>0</v>
      </c>
      <c r="AK89" s="28">
        <f t="shared" si="88"/>
        <v>0</v>
      </c>
      <c r="AL89" s="28">
        <f t="shared" si="88"/>
        <v>0</v>
      </c>
      <c r="AM89" s="28">
        <f t="shared" si="88"/>
        <v>0</v>
      </c>
      <c r="AN89" s="28">
        <f t="shared" si="88"/>
        <v>0</v>
      </c>
      <c r="AO89" s="28">
        <f t="shared" si="88"/>
        <v>0</v>
      </c>
      <c r="AP89" s="28">
        <f t="shared" si="88"/>
        <v>0</v>
      </c>
      <c r="AQ89" s="28">
        <f t="shared" si="88"/>
        <v>0</v>
      </c>
      <c r="AR89" s="28">
        <f t="shared" si="88"/>
        <v>0</v>
      </c>
      <c r="AS89" s="28">
        <f t="shared" si="88"/>
        <v>0</v>
      </c>
      <c r="AT89" s="28">
        <f t="shared" si="88"/>
        <v>0</v>
      </c>
    </row>
    <row r="90">
      <c r="A90" s="5" t="s">
        <v>98</v>
      </c>
      <c r="B90" s="6">
        <v>250.0</v>
      </c>
      <c r="C90" s="7" t="s">
        <v>5</v>
      </c>
      <c r="D90" s="15">
        <v>75238.0</v>
      </c>
      <c r="F90" s="15">
        <f>IFERROR(__xludf.DUMMYFUNCTION("""COMPUTED_VALUE"""),75376.0)</f>
        <v>75376</v>
      </c>
      <c r="G90" s="26">
        <f t="shared" si="2"/>
        <v>5000</v>
      </c>
      <c r="J90" s="27">
        <f>IFERROR(__xludf.DUMMYFUNCTION("""COMPUTED_VALUE"""),75376.0)</f>
        <v>75376</v>
      </c>
      <c r="K90" s="28">
        <f t="shared" ref="K90:AT90" si="89">sumifs($B:$B,$D:$D,$J90,$C:$C,K$1)</f>
        <v>250</v>
      </c>
      <c r="L90" s="28">
        <f t="shared" si="89"/>
        <v>0</v>
      </c>
      <c r="M90" s="28">
        <f t="shared" si="89"/>
        <v>250</v>
      </c>
      <c r="N90" s="28">
        <f t="shared" si="89"/>
        <v>250</v>
      </c>
      <c r="O90" s="28">
        <f t="shared" si="89"/>
        <v>0</v>
      </c>
      <c r="P90" s="28">
        <f t="shared" si="89"/>
        <v>250</v>
      </c>
      <c r="Q90" s="28">
        <f t="shared" si="89"/>
        <v>0</v>
      </c>
      <c r="R90" s="28">
        <f t="shared" si="89"/>
        <v>0</v>
      </c>
      <c r="S90" s="28">
        <f t="shared" si="89"/>
        <v>0</v>
      </c>
      <c r="T90" s="28">
        <f t="shared" si="89"/>
        <v>0</v>
      </c>
      <c r="U90" s="28">
        <f t="shared" si="89"/>
        <v>0</v>
      </c>
      <c r="V90" s="28">
        <f t="shared" si="89"/>
        <v>0</v>
      </c>
      <c r="W90" s="28">
        <f t="shared" si="89"/>
        <v>0</v>
      </c>
      <c r="X90" s="28">
        <f t="shared" si="89"/>
        <v>0</v>
      </c>
      <c r="Y90" s="28">
        <f t="shared" si="89"/>
        <v>0</v>
      </c>
      <c r="Z90" s="28">
        <f t="shared" si="89"/>
        <v>0</v>
      </c>
      <c r="AA90" s="28">
        <f t="shared" si="89"/>
        <v>0</v>
      </c>
      <c r="AB90" s="28">
        <f t="shared" si="89"/>
        <v>0</v>
      </c>
      <c r="AC90" s="28">
        <f t="shared" si="89"/>
        <v>0</v>
      </c>
      <c r="AD90" s="28">
        <f t="shared" si="89"/>
        <v>0</v>
      </c>
      <c r="AE90" s="28">
        <f t="shared" si="89"/>
        <v>0</v>
      </c>
      <c r="AF90" s="28">
        <f t="shared" si="89"/>
        <v>250</v>
      </c>
      <c r="AG90" s="28">
        <f t="shared" si="89"/>
        <v>0</v>
      </c>
      <c r="AH90" s="28">
        <f t="shared" si="89"/>
        <v>0</v>
      </c>
      <c r="AI90" s="28">
        <f t="shared" si="89"/>
        <v>1000</v>
      </c>
      <c r="AJ90" s="28">
        <f t="shared" si="89"/>
        <v>0</v>
      </c>
      <c r="AK90" s="28">
        <f t="shared" si="89"/>
        <v>2750</v>
      </c>
      <c r="AL90" s="28">
        <f t="shared" si="89"/>
        <v>0</v>
      </c>
      <c r="AM90" s="28">
        <f t="shared" si="89"/>
        <v>0</v>
      </c>
      <c r="AN90" s="28">
        <f t="shared" si="89"/>
        <v>0</v>
      </c>
      <c r="AO90" s="28">
        <f t="shared" si="89"/>
        <v>0</v>
      </c>
      <c r="AP90" s="28">
        <f t="shared" si="89"/>
        <v>0</v>
      </c>
      <c r="AQ90" s="28">
        <f t="shared" si="89"/>
        <v>0</v>
      </c>
      <c r="AR90" s="28">
        <f t="shared" si="89"/>
        <v>0</v>
      </c>
      <c r="AS90" s="28">
        <f t="shared" si="89"/>
        <v>0</v>
      </c>
      <c r="AT90" s="28">
        <f t="shared" si="89"/>
        <v>0</v>
      </c>
    </row>
    <row r="91">
      <c r="A91" s="10" t="s">
        <v>99</v>
      </c>
      <c r="B91" s="11">
        <v>1000.0</v>
      </c>
      <c r="C91" s="12" t="s">
        <v>5</v>
      </c>
      <c r="D91" s="15">
        <v>76088.0</v>
      </c>
      <c r="F91" s="15">
        <f>IFERROR(__xludf.DUMMYFUNCTION("""COMPUTED_VALUE"""),75052.0)</f>
        <v>75052</v>
      </c>
      <c r="G91" s="26">
        <f t="shared" si="2"/>
        <v>450</v>
      </c>
      <c r="J91" s="27">
        <f>IFERROR(__xludf.DUMMYFUNCTION("""COMPUTED_VALUE"""),75052.0)</f>
        <v>75052</v>
      </c>
      <c r="K91" s="28">
        <f t="shared" ref="K91:AT91" si="90">sumifs($B:$B,$D:$D,$J91,$C:$C,K$1)</f>
        <v>0</v>
      </c>
      <c r="L91" s="28">
        <f t="shared" si="90"/>
        <v>0</v>
      </c>
      <c r="M91" s="28">
        <f t="shared" si="90"/>
        <v>0</v>
      </c>
      <c r="N91" s="28">
        <f t="shared" si="90"/>
        <v>150</v>
      </c>
      <c r="O91" s="28">
        <f t="shared" si="90"/>
        <v>0</v>
      </c>
      <c r="P91" s="28">
        <f t="shared" si="90"/>
        <v>0</v>
      </c>
      <c r="Q91" s="28">
        <f t="shared" si="90"/>
        <v>0</v>
      </c>
      <c r="R91" s="28">
        <f t="shared" si="90"/>
        <v>0</v>
      </c>
      <c r="S91" s="28">
        <f t="shared" si="90"/>
        <v>0</v>
      </c>
      <c r="T91" s="28">
        <f t="shared" si="90"/>
        <v>0</v>
      </c>
      <c r="U91" s="28">
        <f t="shared" si="90"/>
        <v>0</v>
      </c>
      <c r="V91" s="28">
        <f t="shared" si="90"/>
        <v>200</v>
      </c>
      <c r="W91" s="28">
        <f t="shared" si="90"/>
        <v>100</v>
      </c>
      <c r="X91" s="28">
        <f t="shared" si="90"/>
        <v>0</v>
      </c>
      <c r="Y91" s="28">
        <f t="shared" si="90"/>
        <v>0</v>
      </c>
      <c r="Z91" s="28">
        <f t="shared" si="90"/>
        <v>0</v>
      </c>
      <c r="AA91" s="28">
        <f t="shared" si="90"/>
        <v>0</v>
      </c>
      <c r="AB91" s="28">
        <f t="shared" si="90"/>
        <v>0</v>
      </c>
      <c r="AC91" s="28">
        <f t="shared" si="90"/>
        <v>0</v>
      </c>
      <c r="AD91" s="28">
        <f t="shared" si="90"/>
        <v>0</v>
      </c>
      <c r="AE91" s="28">
        <f t="shared" si="90"/>
        <v>0</v>
      </c>
      <c r="AF91" s="28">
        <f t="shared" si="90"/>
        <v>0</v>
      </c>
      <c r="AG91" s="28">
        <f t="shared" si="90"/>
        <v>0</v>
      </c>
      <c r="AH91" s="28">
        <f t="shared" si="90"/>
        <v>0</v>
      </c>
      <c r="AI91" s="28">
        <f t="shared" si="90"/>
        <v>0</v>
      </c>
      <c r="AJ91" s="28">
        <f t="shared" si="90"/>
        <v>0</v>
      </c>
      <c r="AK91" s="28">
        <f t="shared" si="90"/>
        <v>0</v>
      </c>
      <c r="AL91" s="28">
        <f t="shared" si="90"/>
        <v>0</v>
      </c>
      <c r="AM91" s="28">
        <f t="shared" si="90"/>
        <v>0</v>
      </c>
      <c r="AN91" s="28">
        <f t="shared" si="90"/>
        <v>0</v>
      </c>
      <c r="AO91" s="28">
        <f t="shared" si="90"/>
        <v>0</v>
      </c>
      <c r="AP91" s="28">
        <f t="shared" si="90"/>
        <v>0</v>
      </c>
      <c r="AQ91" s="28">
        <f t="shared" si="90"/>
        <v>0</v>
      </c>
      <c r="AR91" s="28">
        <f t="shared" si="90"/>
        <v>0</v>
      </c>
      <c r="AS91" s="28">
        <f t="shared" si="90"/>
        <v>0</v>
      </c>
      <c r="AT91" s="28">
        <f t="shared" si="90"/>
        <v>0</v>
      </c>
    </row>
    <row r="92">
      <c r="A92" s="5" t="s">
        <v>100</v>
      </c>
      <c r="B92" s="6">
        <v>250.0</v>
      </c>
      <c r="C92" s="7" t="s">
        <v>5</v>
      </c>
      <c r="D92" s="15">
        <v>75244.0</v>
      </c>
      <c r="F92" s="15">
        <f>IFERROR(__xludf.DUMMYFUNCTION("""COMPUTED_VALUE"""),75235.0)</f>
        <v>75235</v>
      </c>
      <c r="G92" s="26">
        <f t="shared" si="2"/>
        <v>16450</v>
      </c>
      <c r="J92" s="27">
        <f>IFERROR(__xludf.DUMMYFUNCTION("""COMPUTED_VALUE"""),75235.0)</f>
        <v>75235</v>
      </c>
      <c r="K92" s="28">
        <f t="shared" ref="K92:AT92" si="91">sumifs($B:$B,$D:$D,$J92,$C:$C,K$1)</f>
        <v>1000</v>
      </c>
      <c r="L92" s="28">
        <f t="shared" si="91"/>
        <v>0</v>
      </c>
      <c r="M92" s="28">
        <f t="shared" si="91"/>
        <v>250</v>
      </c>
      <c r="N92" s="28">
        <f t="shared" si="91"/>
        <v>2000</v>
      </c>
      <c r="O92" s="28">
        <f t="shared" si="91"/>
        <v>0</v>
      </c>
      <c r="P92" s="28">
        <f t="shared" si="91"/>
        <v>0</v>
      </c>
      <c r="Q92" s="28">
        <f t="shared" si="91"/>
        <v>100</v>
      </c>
      <c r="R92" s="28">
        <f t="shared" si="91"/>
        <v>0</v>
      </c>
      <c r="S92" s="28">
        <f t="shared" si="91"/>
        <v>0</v>
      </c>
      <c r="T92" s="28">
        <f t="shared" si="91"/>
        <v>0</v>
      </c>
      <c r="U92" s="28">
        <f t="shared" si="91"/>
        <v>0</v>
      </c>
      <c r="V92" s="28">
        <f t="shared" si="91"/>
        <v>0</v>
      </c>
      <c r="W92" s="28">
        <f t="shared" si="91"/>
        <v>2000</v>
      </c>
      <c r="X92" s="28">
        <f t="shared" si="91"/>
        <v>0</v>
      </c>
      <c r="Y92" s="28">
        <f t="shared" si="91"/>
        <v>1000</v>
      </c>
      <c r="Z92" s="28">
        <f t="shared" si="91"/>
        <v>0</v>
      </c>
      <c r="AA92" s="28">
        <f t="shared" si="91"/>
        <v>0</v>
      </c>
      <c r="AB92" s="28">
        <f t="shared" si="91"/>
        <v>0</v>
      </c>
      <c r="AC92" s="28">
        <f t="shared" si="91"/>
        <v>1550</v>
      </c>
      <c r="AD92" s="28">
        <f t="shared" si="91"/>
        <v>0</v>
      </c>
      <c r="AE92" s="28">
        <f t="shared" si="91"/>
        <v>0</v>
      </c>
      <c r="AF92" s="28">
        <f t="shared" si="91"/>
        <v>1500</v>
      </c>
      <c r="AG92" s="28">
        <f t="shared" si="91"/>
        <v>0</v>
      </c>
      <c r="AH92" s="28">
        <f t="shared" si="91"/>
        <v>0</v>
      </c>
      <c r="AI92" s="28">
        <f t="shared" si="91"/>
        <v>3050</v>
      </c>
      <c r="AJ92" s="28">
        <f t="shared" si="91"/>
        <v>0</v>
      </c>
      <c r="AK92" s="28">
        <f t="shared" si="91"/>
        <v>2000</v>
      </c>
      <c r="AL92" s="28">
        <f t="shared" si="91"/>
        <v>0</v>
      </c>
      <c r="AM92" s="28">
        <f t="shared" si="91"/>
        <v>2000</v>
      </c>
      <c r="AN92" s="28">
        <f t="shared" si="91"/>
        <v>0</v>
      </c>
      <c r="AO92" s="28">
        <f t="shared" si="91"/>
        <v>0</v>
      </c>
      <c r="AP92" s="28">
        <f t="shared" si="91"/>
        <v>0</v>
      </c>
      <c r="AQ92" s="28">
        <f t="shared" si="91"/>
        <v>0</v>
      </c>
      <c r="AR92" s="28">
        <f t="shared" si="91"/>
        <v>0</v>
      </c>
      <c r="AS92" s="28">
        <f t="shared" si="91"/>
        <v>0</v>
      </c>
      <c r="AT92" s="28">
        <f t="shared" si="91"/>
        <v>0</v>
      </c>
    </row>
    <row r="93">
      <c r="A93" s="10" t="s">
        <v>101</v>
      </c>
      <c r="B93" s="11">
        <v>250.0</v>
      </c>
      <c r="C93" s="12" t="s">
        <v>5</v>
      </c>
      <c r="D93" s="15">
        <v>75230.0</v>
      </c>
      <c r="F93" s="15">
        <f>IFERROR(__xludf.DUMMYFUNCTION("""COMPUTED_VALUE"""),75072.0)</f>
        <v>75072</v>
      </c>
      <c r="G93" s="26">
        <f t="shared" si="2"/>
        <v>25</v>
      </c>
      <c r="J93" s="27">
        <f>IFERROR(__xludf.DUMMYFUNCTION("""COMPUTED_VALUE"""),75072.0)</f>
        <v>75072</v>
      </c>
      <c r="K93" s="28">
        <f t="shared" ref="K93:AT93" si="92">sumifs($B:$B,$D:$D,$J93,$C:$C,K$1)</f>
        <v>0</v>
      </c>
      <c r="L93" s="28">
        <f t="shared" si="92"/>
        <v>0</v>
      </c>
      <c r="M93" s="28">
        <f t="shared" si="92"/>
        <v>0</v>
      </c>
      <c r="N93" s="28">
        <f t="shared" si="92"/>
        <v>0</v>
      </c>
      <c r="O93" s="28">
        <f t="shared" si="92"/>
        <v>0</v>
      </c>
      <c r="P93" s="28">
        <f t="shared" si="92"/>
        <v>0</v>
      </c>
      <c r="Q93" s="28">
        <f t="shared" si="92"/>
        <v>0</v>
      </c>
      <c r="R93" s="28">
        <f t="shared" si="92"/>
        <v>0</v>
      </c>
      <c r="S93" s="28">
        <f t="shared" si="92"/>
        <v>0</v>
      </c>
      <c r="T93" s="28">
        <f t="shared" si="92"/>
        <v>0</v>
      </c>
      <c r="U93" s="28">
        <f t="shared" si="92"/>
        <v>0</v>
      </c>
      <c r="V93" s="28">
        <f t="shared" si="92"/>
        <v>0</v>
      </c>
      <c r="W93" s="28">
        <f t="shared" si="92"/>
        <v>25</v>
      </c>
      <c r="X93" s="28">
        <f t="shared" si="92"/>
        <v>0</v>
      </c>
      <c r="Y93" s="28">
        <f t="shared" si="92"/>
        <v>0</v>
      </c>
      <c r="Z93" s="28">
        <f t="shared" si="92"/>
        <v>0</v>
      </c>
      <c r="AA93" s="28">
        <f t="shared" si="92"/>
        <v>0</v>
      </c>
      <c r="AB93" s="28">
        <f t="shared" si="92"/>
        <v>0</v>
      </c>
      <c r="AC93" s="28">
        <f t="shared" si="92"/>
        <v>0</v>
      </c>
      <c r="AD93" s="28">
        <f t="shared" si="92"/>
        <v>0</v>
      </c>
      <c r="AE93" s="28">
        <f t="shared" si="92"/>
        <v>0</v>
      </c>
      <c r="AF93" s="28">
        <f t="shared" si="92"/>
        <v>0</v>
      </c>
      <c r="AG93" s="28">
        <f t="shared" si="92"/>
        <v>0</v>
      </c>
      <c r="AH93" s="28">
        <f t="shared" si="92"/>
        <v>0</v>
      </c>
      <c r="AI93" s="28">
        <f t="shared" si="92"/>
        <v>0</v>
      </c>
      <c r="AJ93" s="28">
        <f t="shared" si="92"/>
        <v>0</v>
      </c>
      <c r="AK93" s="28">
        <f t="shared" si="92"/>
        <v>0</v>
      </c>
      <c r="AL93" s="28">
        <f t="shared" si="92"/>
        <v>0</v>
      </c>
      <c r="AM93" s="28">
        <f t="shared" si="92"/>
        <v>0</v>
      </c>
      <c r="AN93" s="28">
        <f t="shared" si="92"/>
        <v>0</v>
      </c>
      <c r="AO93" s="28">
        <f t="shared" si="92"/>
        <v>0</v>
      </c>
      <c r="AP93" s="28">
        <f t="shared" si="92"/>
        <v>0</v>
      </c>
      <c r="AQ93" s="28">
        <f t="shared" si="92"/>
        <v>0</v>
      </c>
      <c r="AR93" s="28">
        <f t="shared" si="92"/>
        <v>0</v>
      </c>
      <c r="AS93" s="28">
        <f t="shared" si="92"/>
        <v>0</v>
      </c>
      <c r="AT93" s="28">
        <f t="shared" si="92"/>
        <v>0</v>
      </c>
    </row>
    <row r="94">
      <c r="A94" s="5" t="s">
        <v>102</v>
      </c>
      <c r="B94" s="6">
        <v>250.0</v>
      </c>
      <c r="C94" s="7" t="s">
        <v>5</v>
      </c>
      <c r="D94" s="15">
        <v>75230.0</v>
      </c>
      <c r="F94" s="15">
        <f>IFERROR(__xludf.DUMMYFUNCTION("""COMPUTED_VALUE"""),78163.0)</f>
        <v>78163</v>
      </c>
      <c r="G94" s="26">
        <f t="shared" si="2"/>
        <v>80</v>
      </c>
      <c r="J94" s="27">
        <f>IFERROR(__xludf.DUMMYFUNCTION("""COMPUTED_VALUE"""),78163.0)</f>
        <v>78163</v>
      </c>
      <c r="K94" s="28">
        <f t="shared" ref="K94:AT94" si="93">sumifs($B:$B,$D:$D,$J94,$C:$C,K$1)</f>
        <v>0</v>
      </c>
      <c r="L94" s="28">
        <f t="shared" si="93"/>
        <v>0</v>
      </c>
      <c r="M94" s="28">
        <f t="shared" si="93"/>
        <v>0</v>
      </c>
      <c r="N94" s="28">
        <f t="shared" si="93"/>
        <v>0</v>
      </c>
      <c r="O94" s="28">
        <f t="shared" si="93"/>
        <v>0</v>
      </c>
      <c r="P94" s="28">
        <f t="shared" si="93"/>
        <v>0</v>
      </c>
      <c r="Q94" s="28">
        <f t="shared" si="93"/>
        <v>80</v>
      </c>
      <c r="R94" s="28">
        <f t="shared" si="93"/>
        <v>0</v>
      </c>
      <c r="S94" s="28">
        <f t="shared" si="93"/>
        <v>0</v>
      </c>
      <c r="T94" s="28">
        <f t="shared" si="93"/>
        <v>0</v>
      </c>
      <c r="U94" s="28">
        <f t="shared" si="93"/>
        <v>0</v>
      </c>
      <c r="V94" s="28">
        <f t="shared" si="93"/>
        <v>0</v>
      </c>
      <c r="W94" s="28">
        <f t="shared" si="93"/>
        <v>0</v>
      </c>
      <c r="X94" s="28">
        <f t="shared" si="93"/>
        <v>0</v>
      </c>
      <c r="Y94" s="28">
        <f t="shared" si="93"/>
        <v>0</v>
      </c>
      <c r="Z94" s="28">
        <f t="shared" si="93"/>
        <v>0</v>
      </c>
      <c r="AA94" s="28">
        <f t="shared" si="93"/>
        <v>0</v>
      </c>
      <c r="AB94" s="28">
        <f t="shared" si="93"/>
        <v>0</v>
      </c>
      <c r="AC94" s="28">
        <f t="shared" si="93"/>
        <v>0</v>
      </c>
      <c r="AD94" s="28">
        <f t="shared" si="93"/>
        <v>0</v>
      </c>
      <c r="AE94" s="28">
        <f t="shared" si="93"/>
        <v>0</v>
      </c>
      <c r="AF94" s="28">
        <f t="shared" si="93"/>
        <v>0</v>
      </c>
      <c r="AG94" s="28">
        <f t="shared" si="93"/>
        <v>0</v>
      </c>
      <c r="AH94" s="28">
        <f t="shared" si="93"/>
        <v>0</v>
      </c>
      <c r="AI94" s="28">
        <f t="shared" si="93"/>
        <v>0</v>
      </c>
      <c r="AJ94" s="28">
        <f t="shared" si="93"/>
        <v>0</v>
      </c>
      <c r="AK94" s="28">
        <f t="shared" si="93"/>
        <v>0</v>
      </c>
      <c r="AL94" s="28">
        <f t="shared" si="93"/>
        <v>0</v>
      </c>
      <c r="AM94" s="28">
        <f t="shared" si="93"/>
        <v>0</v>
      </c>
      <c r="AN94" s="28">
        <f t="shared" si="93"/>
        <v>0</v>
      </c>
      <c r="AO94" s="28">
        <f t="shared" si="93"/>
        <v>0</v>
      </c>
      <c r="AP94" s="28">
        <f t="shared" si="93"/>
        <v>0</v>
      </c>
      <c r="AQ94" s="28">
        <f t="shared" si="93"/>
        <v>0</v>
      </c>
      <c r="AR94" s="28">
        <f t="shared" si="93"/>
        <v>0</v>
      </c>
      <c r="AS94" s="28">
        <f t="shared" si="93"/>
        <v>0</v>
      </c>
      <c r="AT94" s="28">
        <f t="shared" si="93"/>
        <v>0</v>
      </c>
    </row>
    <row r="95">
      <c r="A95" s="10" t="s">
        <v>103</v>
      </c>
      <c r="B95" s="11">
        <v>25.0</v>
      </c>
      <c r="C95" s="12" t="s">
        <v>5</v>
      </c>
      <c r="D95" s="15">
        <v>75219.0</v>
      </c>
      <c r="F95" s="15">
        <f>IFERROR(__xludf.DUMMYFUNCTION("""COMPUTED_VALUE"""),78045.0)</f>
        <v>78045</v>
      </c>
      <c r="G95" s="26">
        <f t="shared" si="2"/>
        <v>260</v>
      </c>
      <c r="J95" s="27">
        <f>IFERROR(__xludf.DUMMYFUNCTION("""COMPUTED_VALUE"""),78045.0)</f>
        <v>78045</v>
      </c>
      <c r="K95" s="28">
        <f t="shared" ref="K95:AT95" si="94">sumifs($B:$B,$D:$D,$J95,$C:$C,K$1)</f>
        <v>0</v>
      </c>
      <c r="L95" s="28">
        <f t="shared" si="94"/>
        <v>0</v>
      </c>
      <c r="M95" s="28">
        <f t="shared" si="94"/>
        <v>0</v>
      </c>
      <c r="N95" s="28">
        <f t="shared" si="94"/>
        <v>0</v>
      </c>
      <c r="O95" s="28">
        <f t="shared" si="94"/>
        <v>0</v>
      </c>
      <c r="P95" s="28">
        <f t="shared" si="94"/>
        <v>0</v>
      </c>
      <c r="Q95" s="28">
        <f t="shared" si="94"/>
        <v>260</v>
      </c>
      <c r="R95" s="28">
        <f t="shared" si="94"/>
        <v>0</v>
      </c>
      <c r="S95" s="28">
        <f t="shared" si="94"/>
        <v>0</v>
      </c>
      <c r="T95" s="28">
        <f t="shared" si="94"/>
        <v>0</v>
      </c>
      <c r="U95" s="28">
        <f t="shared" si="94"/>
        <v>0</v>
      </c>
      <c r="V95" s="28">
        <f t="shared" si="94"/>
        <v>0</v>
      </c>
      <c r="W95" s="28">
        <f t="shared" si="94"/>
        <v>0</v>
      </c>
      <c r="X95" s="28">
        <f t="shared" si="94"/>
        <v>0</v>
      </c>
      <c r="Y95" s="28">
        <f t="shared" si="94"/>
        <v>0</v>
      </c>
      <c r="Z95" s="28">
        <f t="shared" si="94"/>
        <v>0</v>
      </c>
      <c r="AA95" s="28">
        <f t="shared" si="94"/>
        <v>0</v>
      </c>
      <c r="AB95" s="28">
        <f t="shared" si="94"/>
        <v>0</v>
      </c>
      <c r="AC95" s="28">
        <f t="shared" si="94"/>
        <v>0</v>
      </c>
      <c r="AD95" s="28">
        <f t="shared" si="94"/>
        <v>0</v>
      </c>
      <c r="AE95" s="28">
        <f t="shared" si="94"/>
        <v>0</v>
      </c>
      <c r="AF95" s="28">
        <f t="shared" si="94"/>
        <v>0</v>
      </c>
      <c r="AG95" s="28">
        <f t="shared" si="94"/>
        <v>0</v>
      </c>
      <c r="AH95" s="28">
        <f t="shared" si="94"/>
        <v>0</v>
      </c>
      <c r="AI95" s="28">
        <f t="shared" si="94"/>
        <v>0</v>
      </c>
      <c r="AJ95" s="28">
        <f t="shared" si="94"/>
        <v>0</v>
      </c>
      <c r="AK95" s="28">
        <f t="shared" si="94"/>
        <v>0</v>
      </c>
      <c r="AL95" s="28">
        <f t="shared" si="94"/>
        <v>0</v>
      </c>
      <c r="AM95" s="28">
        <f t="shared" si="94"/>
        <v>0</v>
      </c>
      <c r="AN95" s="28">
        <f t="shared" si="94"/>
        <v>0</v>
      </c>
      <c r="AO95" s="28">
        <f t="shared" si="94"/>
        <v>0</v>
      </c>
      <c r="AP95" s="28">
        <f t="shared" si="94"/>
        <v>0</v>
      </c>
      <c r="AQ95" s="28">
        <f t="shared" si="94"/>
        <v>0</v>
      </c>
      <c r="AR95" s="28">
        <f t="shared" si="94"/>
        <v>0</v>
      </c>
      <c r="AS95" s="28">
        <f t="shared" si="94"/>
        <v>0</v>
      </c>
      <c r="AT95" s="28">
        <f t="shared" si="94"/>
        <v>0</v>
      </c>
    </row>
    <row r="96">
      <c r="A96" s="5" t="s">
        <v>104</v>
      </c>
      <c r="B96" s="6">
        <v>500.0</v>
      </c>
      <c r="C96" s="7" t="s">
        <v>5</v>
      </c>
      <c r="D96" s="15">
        <v>75205.0</v>
      </c>
      <c r="F96" s="15">
        <f>IFERROR(__xludf.DUMMYFUNCTION("""COMPUTED_VALUE"""),78744.0)</f>
        <v>78744</v>
      </c>
      <c r="G96" s="26">
        <f t="shared" si="2"/>
        <v>550</v>
      </c>
      <c r="J96" s="27">
        <f>IFERROR(__xludf.DUMMYFUNCTION("""COMPUTED_VALUE"""),78744.0)</f>
        <v>78744</v>
      </c>
      <c r="K96" s="28">
        <f t="shared" ref="K96:AT96" si="95">sumifs($B:$B,$D:$D,$J96,$C:$C,K$1)</f>
        <v>0</v>
      </c>
      <c r="L96" s="28">
        <f t="shared" si="95"/>
        <v>0</v>
      </c>
      <c r="M96" s="28">
        <f t="shared" si="95"/>
        <v>0</v>
      </c>
      <c r="N96" s="28">
        <f t="shared" si="95"/>
        <v>0</v>
      </c>
      <c r="O96" s="28">
        <f t="shared" si="95"/>
        <v>0</v>
      </c>
      <c r="P96" s="28">
        <f t="shared" si="95"/>
        <v>0</v>
      </c>
      <c r="Q96" s="28">
        <f t="shared" si="95"/>
        <v>550</v>
      </c>
      <c r="R96" s="28">
        <f t="shared" si="95"/>
        <v>0</v>
      </c>
      <c r="S96" s="28">
        <f t="shared" si="95"/>
        <v>0</v>
      </c>
      <c r="T96" s="28">
        <f t="shared" si="95"/>
        <v>0</v>
      </c>
      <c r="U96" s="28">
        <f t="shared" si="95"/>
        <v>0</v>
      </c>
      <c r="V96" s="28">
        <f t="shared" si="95"/>
        <v>0</v>
      </c>
      <c r="W96" s="28">
        <f t="shared" si="95"/>
        <v>0</v>
      </c>
      <c r="X96" s="28">
        <f t="shared" si="95"/>
        <v>0</v>
      </c>
      <c r="Y96" s="28">
        <f t="shared" si="95"/>
        <v>0</v>
      </c>
      <c r="Z96" s="28">
        <f t="shared" si="95"/>
        <v>0</v>
      </c>
      <c r="AA96" s="28">
        <f t="shared" si="95"/>
        <v>0</v>
      </c>
      <c r="AB96" s="28">
        <f t="shared" si="95"/>
        <v>0</v>
      </c>
      <c r="AC96" s="28">
        <f t="shared" si="95"/>
        <v>0</v>
      </c>
      <c r="AD96" s="28">
        <f t="shared" si="95"/>
        <v>0</v>
      </c>
      <c r="AE96" s="28">
        <f t="shared" si="95"/>
        <v>0</v>
      </c>
      <c r="AF96" s="28">
        <f t="shared" si="95"/>
        <v>0</v>
      </c>
      <c r="AG96" s="28">
        <f t="shared" si="95"/>
        <v>0</v>
      </c>
      <c r="AH96" s="28">
        <f t="shared" si="95"/>
        <v>0</v>
      </c>
      <c r="AI96" s="28">
        <f t="shared" si="95"/>
        <v>0</v>
      </c>
      <c r="AJ96" s="28">
        <f t="shared" si="95"/>
        <v>0</v>
      </c>
      <c r="AK96" s="28">
        <f t="shared" si="95"/>
        <v>0</v>
      </c>
      <c r="AL96" s="28">
        <f t="shared" si="95"/>
        <v>0</v>
      </c>
      <c r="AM96" s="28">
        <f t="shared" si="95"/>
        <v>0</v>
      </c>
      <c r="AN96" s="28">
        <f t="shared" si="95"/>
        <v>0</v>
      </c>
      <c r="AO96" s="28">
        <f t="shared" si="95"/>
        <v>0</v>
      </c>
      <c r="AP96" s="28">
        <f t="shared" si="95"/>
        <v>0</v>
      </c>
      <c r="AQ96" s="28">
        <f t="shared" si="95"/>
        <v>0</v>
      </c>
      <c r="AR96" s="28">
        <f t="shared" si="95"/>
        <v>0</v>
      </c>
      <c r="AS96" s="28">
        <f t="shared" si="95"/>
        <v>0</v>
      </c>
      <c r="AT96" s="28">
        <f t="shared" si="95"/>
        <v>0</v>
      </c>
    </row>
    <row r="97">
      <c r="A97" s="5" t="s">
        <v>105</v>
      </c>
      <c r="B97" s="6">
        <v>25.0</v>
      </c>
      <c r="C97" s="7" t="s">
        <v>106</v>
      </c>
      <c r="D97" s="15">
        <v>75208.0</v>
      </c>
      <c r="F97" s="15">
        <f>IFERROR(__xludf.DUMMYFUNCTION("""COMPUTED_VALUE"""),75672.0)</f>
        <v>75672</v>
      </c>
      <c r="G97" s="26">
        <f t="shared" si="2"/>
        <v>50</v>
      </c>
      <c r="J97" s="27">
        <f>IFERROR(__xludf.DUMMYFUNCTION("""COMPUTED_VALUE"""),75672.0)</f>
        <v>75672</v>
      </c>
      <c r="K97" s="28">
        <f t="shared" ref="K97:AT97" si="96">sumifs($B:$B,$D:$D,$J97,$C:$C,K$1)</f>
        <v>0</v>
      </c>
      <c r="L97" s="28">
        <f t="shared" si="96"/>
        <v>0</v>
      </c>
      <c r="M97" s="28">
        <f t="shared" si="96"/>
        <v>0</v>
      </c>
      <c r="N97" s="28">
        <f t="shared" si="96"/>
        <v>0</v>
      </c>
      <c r="O97" s="28">
        <f t="shared" si="96"/>
        <v>0</v>
      </c>
      <c r="P97" s="28">
        <f t="shared" si="96"/>
        <v>0</v>
      </c>
      <c r="Q97" s="28">
        <f t="shared" si="96"/>
        <v>50</v>
      </c>
      <c r="R97" s="28">
        <f t="shared" si="96"/>
        <v>0</v>
      </c>
      <c r="S97" s="28">
        <f t="shared" si="96"/>
        <v>0</v>
      </c>
      <c r="T97" s="28">
        <f t="shared" si="96"/>
        <v>0</v>
      </c>
      <c r="U97" s="28">
        <f t="shared" si="96"/>
        <v>0</v>
      </c>
      <c r="V97" s="28">
        <f t="shared" si="96"/>
        <v>0</v>
      </c>
      <c r="W97" s="28">
        <f t="shared" si="96"/>
        <v>0</v>
      </c>
      <c r="X97" s="28">
        <f t="shared" si="96"/>
        <v>0</v>
      </c>
      <c r="Y97" s="28">
        <f t="shared" si="96"/>
        <v>0</v>
      </c>
      <c r="Z97" s="28">
        <f t="shared" si="96"/>
        <v>0</v>
      </c>
      <c r="AA97" s="28">
        <f t="shared" si="96"/>
        <v>0</v>
      </c>
      <c r="AB97" s="28">
        <f t="shared" si="96"/>
        <v>0</v>
      </c>
      <c r="AC97" s="28">
        <f t="shared" si="96"/>
        <v>0</v>
      </c>
      <c r="AD97" s="28">
        <f t="shared" si="96"/>
        <v>0</v>
      </c>
      <c r="AE97" s="28">
        <f t="shared" si="96"/>
        <v>0</v>
      </c>
      <c r="AF97" s="28">
        <f t="shared" si="96"/>
        <v>0</v>
      </c>
      <c r="AG97" s="28">
        <f t="shared" si="96"/>
        <v>0</v>
      </c>
      <c r="AH97" s="28">
        <f t="shared" si="96"/>
        <v>0</v>
      </c>
      <c r="AI97" s="28">
        <f t="shared" si="96"/>
        <v>0</v>
      </c>
      <c r="AJ97" s="28">
        <f t="shared" si="96"/>
        <v>0</v>
      </c>
      <c r="AK97" s="28">
        <f t="shared" si="96"/>
        <v>0</v>
      </c>
      <c r="AL97" s="28">
        <f t="shared" si="96"/>
        <v>0</v>
      </c>
      <c r="AM97" s="28">
        <f t="shared" si="96"/>
        <v>0</v>
      </c>
      <c r="AN97" s="28">
        <f t="shared" si="96"/>
        <v>0</v>
      </c>
      <c r="AO97" s="28">
        <f t="shared" si="96"/>
        <v>0</v>
      </c>
      <c r="AP97" s="28">
        <f t="shared" si="96"/>
        <v>0</v>
      </c>
      <c r="AQ97" s="28">
        <f t="shared" si="96"/>
        <v>0</v>
      </c>
      <c r="AR97" s="28">
        <f t="shared" si="96"/>
        <v>0</v>
      </c>
      <c r="AS97" s="28">
        <f t="shared" si="96"/>
        <v>0</v>
      </c>
      <c r="AT97" s="28">
        <f t="shared" si="96"/>
        <v>0</v>
      </c>
    </row>
    <row r="98">
      <c r="A98" s="5" t="s">
        <v>107</v>
      </c>
      <c r="B98" s="6">
        <v>50.0</v>
      </c>
      <c r="C98" s="7" t="s">
        <v>106</v>
      </c>
      <c r="D98" s="15">
        <v>75217.0</v>
      </c>
      <c r="F98" s="15">
        <f>IFERROR(__xludf.DUMMYFUNCTION("""COMPUTED_VALUE"""),75254.0)</f>
        <v>75254</v>
      </c>
      <c r="G98" s="26">
        <f t="shared" si="2"/>
        <v>14204.7</v>
      </c>
      <c r="J98" s="27">
        <f>IFERROR(__xludf.DUMMYFUNCTION("""COMPUTED_VALUE"""),75254.0)</f>
        <v>75254</v>
      </c>
      <c r="K98" s="28">
        <f t="shared" ref="K98:AT98" si="97">sumifs($B:$B,$D:$D,$J98,$C:$C,K$1)</f>
        <v>0</v>
      </c>
      <c r="L98" s="28">
        <f t="shared" si="97"/>
        <v>0</v>
      </c>
      <c r="M98" s="28">
        <f t="shared" si="97"/>
        <v>0</v>
      </c>
      <c r="N98" s="28">
        <f t="shared" si="97"/>
        <v>0</v>
      </c>
      <c r="O98" s="28">
        <f t="shared" si="97"/>
        <v>0</v>
      </c>
      <c r="P98" s="28">
        <f t="shared" si="97"/>
        <v>100</v>
      </c>
      <c r="Q98" s="28">
        <f t="shared" si="97"/>
        <v>100</v>
      </c>
      <c r="R98" s="28">
        <f t="shared" si="97"/>
        <v>0</v>
      </c>
      <c r="S98" s="28">
        <f t="shared" si="97"/>
        <v>0</v>
      </c>
      <c r="T98" s="28">
        <f t="shared" si="97"/>
        <v>0</v>
      </c>
      <c r="U98" s="28">
        <f t="shared" si="97"/>
        <v>0</v>
      </c>
      <c r="V98" s="28">
        <f t="shared" si="97"/>
        <v>0</v>
      </c>
      <c r="W98" s="28">
        <f t="shared" si="97"/>
        <v>0</v>
      </c>
      <c r="X98" s="28">
        <f t="shared" si="97"/>
        <v>0</v>
      </c>
      <c r="Y98" s="28">
        <f t="shared" si="97"/>
        <v>0</v>
      </c>
      <c r="Z98" s="28">
        <f t="shared" si="97"/>
        <v>7505</v>
      </c>
      <c r="AA98" s="28">
        <f t="shared" si="97"/>
        <v>0</v>
      </c>
      <c r="AB98" s="28">
        <f t="shared" si="97"/>
        <v>0</v>
      </c>
      <c r="AC98" s="28">
        <f t="shared" si="97"/>
        <v>2949.7</v>
      </c>
      <c r="AD98" s="28">
        <f t="shared" si="97"/>
        <v>0</v>
      </c>
      <c r="AE98" s="28">
        <f t="shared" si="97"/>
        <v>0</v>
      </c>
      <c r="AF98" s="28">
        <f t="shared" si="97"/>
        <v>0</v>
      </c>
      <c r="AG98" s="28">
        <f t="shared" si="97"/>
        <v>0</v>
      </c>
      <c r="AH98" s="28">
        <f t="shared" si="97"/>
        <v>0</v>
      </c>
      <c r="AI98" s="28">
        <f t="shared" si="97"/>
        <v>3050</v>
      </c>
      <c r="AJ98" s="28">
        <f t="shared" si="97"/>
        <v>0</v>
      </c>
      <c r="AK98" s="28">
        <f t="shared" si="97"/>
        <v>0</v>
      </c>
      <c r="AL98" s="28">
        <f t="shared" si="97"/>
        <v>500</v>
      </c>
      <c r="AM98" s="28">
        <f t="shared" si="97"/>
        <v>0</v>
      </c>
      <c r="AN98" s="28">
        <f t="shared" si="97"/>
        <v>0</v>
      </c>
      <c r="AO98" s="28">
        <f t="shared" si="97"/>
        <v>0</v>
      </c>
      <c r="AP98" s="28">
        <f t="shared" si="97"/>
        <v>0</v>
      </c>
      <c r="AQ98" s="28">
        <f t="shared" si="97"/>
        <v>0</v>
      </c>
      <c r="AR98" s="28">
        <f t="shared" si="97"/>
        <v>0</v>
      </c>
      <c r="AS98" s="28">
        <f t="shared" si="97"/>
        <v>0</v>
      </c>
      <c r="AT98" s="28">
        <f t="shared" si="97"/>
        <v>0</v>
      </c>
    </row>
    <row r="99">
      <c r="A99" s="10" t="s">
        <v>108</v>
      </c>
      <c r="B99" s="11">
        <v>35.0</v>
      </c>
      <c r="C99" s="12" t="s">
        <v>106</v>
      </c>
      <c r="D99" s="15">
        <v>75249.0</v>
      </c>
      <c r="F99" s="15">
        <f>IFERROR(__xludf.DUMMYFUNCTION("""COMPUTED_VALUE"""),78621.0)</f>
        <v>78621</v>
      </c>
      <c r="G99" s="26">
        <f t="shared" si="2"/>
        <v>100</v>
      </c>
      <c r="J99" s="27">
        <f>IFERROR(__xludf.DUMMYFUNCTION("""COMPUTED_VALUE"""),78621.0)</f>
        <v>78621</v>
      </c>
      <c r="K99" s="28">
        <f t="shared" ref="K99:AT99" si="98">sumifs($B:$B,$D:$D,$J99,$C:$C,K$1)</f>
        <v>0</v>
      </c>
      <c r="L99" s="28">
        <f t="shared" si="98"/>
        <v>0</v>
      </c>
      <c r="M99" s="28">
        <f t="shared" si="98"/>
        <v>0</v>
      </c>
      <c r="N99" s="28">
        <f t="shared" si="98"/>
        <v>0</v>
      </c>
      <c r="O99" s="28">
        <f t="shared" si="98"/>
        <v>0</v>
      </c>
      <c r="P99" s="28">
        <f t="shared" si="98"/>
        <v>0</v>
      </c>
      <c r="Q99" s="28">
        <f t="shared" si="98"/>
        <v>100</v>
      </c>
      <c r="R99" s="28">
        <f t="shared" si="98"/>
        <v>0</v>
      </c>
      <c r="S99" s="28">
        <f t="shared" si="98"/>
        <v>0</v>
      </c>
      <c r="T99" s="28">
        <f t="shared" si="98"/>
        <v>0</v>
      </c>
      <c r="U99" s="28">
        <f t="shared" si="98"/>
        <v>0</v>
      </c>
      <c r="V99" s="28">
        <f t="shared" si="98"/>
        <v>0</v>
      </c>
      <c r="W99" s="28">
        <f t="shared" si="98"/>
        <v>0</v>
      </c>
      <c r="X99" s="28">
        <f t="shared" si="98"/>
        <v>0</v>
      </c>
      <c r="Y99" s="28">
        <f t="shared" si="98"/>
        <v>0</v>
      </c>
      <c r="Z99" s="28">
        <f t="shared" si="98"/>
        <v>0</v>
      </c>
      <c r="AA99" s="28">
        <f t="shared" si="98"/>
        <v>0</v>
      </c>
      <c r="AB99" s="28">
        <f t="shared" si="98"/>
        <v>0</v>
      </c>
      <c r="AC99" s="28">
        <f t="shared" si="98"/>
        <v>0</v>
      </c>
      <c r="AD99" s="28">
        <f t="shared" si="98"/>
        <v>0</v>
      </c>
      <c r="AE99" s="28">
        <f t="shared" si="98"/>
        <v>0</v>
      </c>
      <c r="AF99" s="28">
        <f t="shared" si="98"/>
        <v>0</v>
      </c>
      <c r="AG99" s="28">
        <f t="shared" si="98"/>
        <v>0</v>
      </c>
      <c r="AH99" s="28">
        <f t="shared" si="98"/>
        <v>0</v>
      </c>
      <c r="AI99" s="28">
        <f t="shared" si="98"/>
        <v>0</v>
      </c>
      <c r="AJ99" s="28">
        <f t="shared" si="98"/>
        <v>0</v>
      </c>
      <c r="AK99" s="28">
        <f t="shared" si="98"/>
        <v>0</v>
      </c>
      <c r="AL99" s="28">
        <f t="shared" si="98"/>
        <v>0</v>
      </c>
      <c r="AM99" s="28">
        <f t="shared" si="98"/>
        <v>0</v>
      </c>
      <c r="AN99" s="28">
        <f t="shared" si="98"/>
        <v>0</v>
      </c>
      <c r="AO99" s="28">
        <f t="shared" si="98"/>
        <v>0</v>
      </c>
      <c r="AP99" s="28">
        <f t="shared" si="98"/>
        <v>0</v>
      </c>
      <c r="AQ99" s="28">
        <f t="shared" si="98"/>
        <v>0</v>
      </c>
      <c r="AR99" s="28">
        <f t="shared" si="98"/>
        <v>0</v>
      </c>
      <c r="AS99" s="28">
        <f t="shared" si="98"/>
        <v>0</v>
      </c>
      <c r="AT99" s="28">
        <f t="shared" si="98"/>
        <v>0</v>
      </c>
    </row>
    <row r="100">
      <c r="A100" s="5" t="s">
        <v>109</v>
      </c>
      <c r="B100" s="6">
        <v>6.0</v>
      </c>
      <c r="C100" s="7" t="s">
        <v>106</v>
      </c>
      <c r="D100" s="15">
        <v>75215.0</v>
      </c>
      <c r="F100" s="15">
        <f>IFERROR(__xludf.DUMMYFUNCTION("""COMPUTED_VALUE"""),77354.0)</f>
        <v>77354</v>
      </c>
      <c r="G100" s="26">
        <f t="shared" si="2"/>
        <v>100</v>
      </c>
      <c r="J100" s="27">
        <f>IFERROR(__xludf.DUMMYFUNCTION("""COMPUTED_VALUE"""),77354.0)</f>
        <v>77354</v>
      </c>
      <c r="K100" s="28">
        <f t="shared" ref="K100:AT100" si="99">sumifs($B:$B,$D:$D,$J100,$C:$C,K$1)</f>
        <v>0</v>
      </c>
      <c r="L100" s="28">
        <f t="shared" si="99"/>
        <v>0</v>
      </c>
      <c r="M100" s="28">
        <f t="shared" si="99"/>
        <v>0</v>
      </c>
      <c r="N100" s="28">
        <f t="shared" si="99"/>
        <v>0</v>
      </c>
      <c r="O100" s="28">
        <f t="shared" si="99"/>
        <v>0</v>
      </c>
      <c r="P100" s="28">
        <f t="shared" si="99"/>
        <v>0</v>
      </c>
      <c r="Q100" s="28">
        <f t="shared" si="99"/>
        <v>100</v>
      </c>
      <c r="R100" s="28">
        <f t="shared" si="99"/>
        <v>0</v>
      </c>
      <c r="S100" s="28">
        <f t="shared" si="99"/>
        <v>0</v>
      </c>
      <c r="T100" s="28">
        <f t="shared" si="99"/>
        <v>0</v>
      </c>
      <c r="U100" s="28">
        <f t="shared" si="99"/>
        <v>0</v>
      </c>
      <c r="V100" s="28">
        <f t="shared" si="99"/>
        <v>0</v>
      </c>
      <c r="W100" s="28">
        <f t="shared" si="99"/>
        <v>0</v>
      </c>
      <c r="X100" s="28">
        <f t="shared" si="99"/>
        <v>0</v>
      </c>
      <c r="Y100" s="28">
        <f t="shared" si="99"/>
        <v>0</v>
      </c>
      <c r="Z100" s="28">
        <f t="shared" si="99"/>
        <v>0</v>
      </c>
      <c r="AA100" s="28">
        <f t="shared" si="99"/>
        <v>0</v>
      </c>
      <c r="AB100" s="28">
        <f t="shared" si="99"/>
        <v>0</v>
      </c>
      <c r="AC100" s="28">
        <f t="shared" si="99"/>
        <v>0</v>
      </c>
      <c r="AD100" s="28">
        <f t="shared" si="99"/>
        <v>0</v>
      </c>
      <c r="AE100" s="28">
        <f t="shared" si="99"/>
        <v>0</v>
      </c>
      <c r="AF100" s="28">
        <f t="shared" si="99"/>
        <v>0</v>
      </c>
      <c r="AG100" s="28">
        <f t="shared" si="99"/>
        <v>0</v>
      </c>
      <c r="AH100" s="28">
        <f t="shared" si="99"/>
        <v>0</v>
      </c>
      <c r="AI100" s="28">
        <f t="shared" si="99"/>
        <v>0</v>
      </c>
      <c r="AJ100" s="28">
        <f t="shared" si="99"/>
        <v>0</v>
      </c>
      <c r="AK100" s="28">
        <f t="shared" si="99"/>
        <v>0</v>
      </c>
      <c r="AL100" s="28">
        <f t="shared" si="99"/>
        <v>0</v>
      </c>
      <c r="AM100" s="28">
        <f t="shared" si="99"/>
        <v>0</v>
      </c>
      <c r="AN100" s="28">
        <f t="shared" si="99"/>
        <v>0</v>
      </c>
      <c r="AO100" s="28">
        <f t="shared" si="99"/>
        <v>0</v>
      </c>
      <c r="AP100" s="28">
        <f t="shared" si="99"/>
        <v>0</v>
      </c>
      <c r="AQ100" s="28">
        <f t="shared" si="99"/>
        <v>0</v>
      </c>
      <c r="AR100" s="28">
        <f t="shared" si="99"/>
        <v>0</v>
      </c>
      <c r="AS100" s="28">
        <f t="shared" si="99"/>
        <v>0</v>
      </c>
      <c r="AT100" s="28">
        <f t="shared" si="99"/>
        <v>0</v>
      </c>
    </row>
    <row r="101">
      <c r="A101" s="10" t="s">
        <v>110</v>
      </c>
      <c r="B101" s="11">
        <v>25.0</v>
      </c>
      <c r="C101" s="12" t="s">
        <v>106</v>
      </c>
      <c r="D101" s="15">
        <v>75115.0</v>
      </c>
      <c r="F101" s="15">
        <f>IFERROR(__xludf.DUMMYFUNCTION("""COMPUTED_VALUE"""),79235.0)</f>
        <v>79235</v>
      </c>
      <c r="G101" s="26">
        <f t="shared" si="2"/>
        <v>250</v>
      </c>
      <c r="J101" s="27">
        <f>IFERROR(__xludf.DUMMYFUNCTION("""COMPUTED_VALUE"""),79235.0)</f>
        <v>79235</v>
      </c>
      <c r="K101" s="28">
        <f t="shared" ref="K101:AT101" si="100">sumifs($B:$B,$D:$D,$J101,$C:$C,K$1)</f>
        <v>0</v>
      </c>
      <c r="L101" s="28">
        <f t="shared" si="100"/>
        <v>0</v>
      </c>
      <c r="M101" s="28">
        <f t="shared" si="100"/>
        <v>0</v>
      </c>
      <c r="N101" s="28">
        <f t="shared" si="100"/>
        <v>0</v>
      </c>
      <c r="O101" s="28">
        <f t="shared" si="100"/>
        <v>0</v>
      </c>
      <c r="P101" s="28">
        <f t="shared" si="100"/>
        <v>0</v>
      </c>
      <c r="Q101" s="28">
        <f t="shared" si="100"/>
        <v>250</v>
      </c>
      <c r="R101" s="28">
        <f t="shared" si="100"/>
        <v>0</v>
      </c>
      <c r="S101" s="28">
        <f t="shared" si="100"/>
        <v>0</v>
      </c>
      <c r="T101" s="28">
        <f t="shared" si="100"/>
        <v>0</v>
      </c>
      <c r="U101" s="28">
        <f t="shared" si="100"/>
        <v>0</v>
      </c>
      <c r="V101" s="28">
        <f t="shared" si="100"/>
        <v>0</v>
      </c>
      <c r="W101" s="28">
        <f t="shared" si="100"/>
        <v>0</v>
      </c>
      <c r="X101" s="28">
        <f t="shared" si="100"/>
        <v>0</v>
      </c>
      <c r="Y101" s="28">
        <f t="shared" si="100"/>
        <v>0</v>
      </c>
      <c r="Z101" s="28">
        <f t="shared" si="100"/>
        <v>0</v>
      </c>
      <c r="AA101" s="28">
        <f t="shared" si="100"/>
        <v>0</v>
      </c>
      <c r="AB101" s="28">
        <f t="shared" si="100"/>
        <v>0</v>
      </c>
      <c r="AC101" s="28">
        <f t="shared" si="100"/>
        <v>0</v>
      </c>
      <c r="AD101" s="28">
        <f t="shared" si="100"/>
        <v>0</v>
      </c>
      <c r="AE101" s="28">
        <f t="shared" si="100"/>
        <v>0</v>
      </c>
      <c r="AF101" s="28">
        <f t="shared" si="100"/>
        <v>0</v>
      </c>
      <c r="AG101" s="28">
        <f t="shared" si="100"/>
        <v>0</v>
      </c>
      <c r="AH101" s="28">
        <f t="shared" si="100"/>
        <v>0</v>
      </c>
      <c r="AI101" s="28">
        <f t="shared" si="100"/>
        <v>0</v>
      </c>
      <c r="AJ101" s="28">
        <f t="shared" si="100"/>
        <v>0</v>
      </c>
      <c r="AK101" s="28">
        <f t="shared" si="100"/>
        <v>0</v>
      </c>
      <c r="AL101" s="28">
        <f t="shared" si="100"/>
        <v>0</v>
      </c>
      <c r="AM101" s="28">
        <f t="shared" si="100"/>
        <v>0</v>
      </c>
      <c r="AN101" s="28">
        <f t="shared" si="100"/>
        <v>0</v>
      </c>
      <c r="AO101" s="28">
        <f t="shared" si="100"/>
        <v>0</v>
      </c>
      <c r="AP101" s="28">
        <f t="shared" si="100"/>
        <v>0</v>
      </c>
      <c r="AQ101" s="28">
        <f t="shared" si="100"/>
        <v>0</v>
      </c>
      <c r="AR101" s="28">
        <f t="shared" si="100"/>
        <v>0</v>
      </c>
      <c r="AS101" s="28">
        <f t="shared" si="100"/>
        <v>0</v>
      </c>
      <c r="AT101" s="28">
        <f t="shared" si="100"/>
        <v>0</v>
      </c>
    </row>
    <row r="102">
      <c r="A102" s="5"/>
      <c r="B102" s="6"/>
      <c r="C102" s="7"/>
      <c r="D102" s="15"/>
      <c r="F102" s="15">
        <f>IFERROR(__xludf.DUMMYFUNCTION("""COMPUTED_VALUE"""),75023.0)</f>
        <v>75023</v>
      </c>
      <c r="G102" s="26">
        <f t="shared" si="2"/>
        <v>1120</v>
      </c>
      <c r="J102" s="27">
        <f>IFERROR(__xludf.DUMMYFUNCTION("""COMPUTED_VALUE"""),75023.0)</f>
        <v>75023</v>
      </c>
      <c r="K102" s="28">
        <f t="shared" ref="K102:AT102" si="101">sumifs($B:$B,$D:$D,$J102,$C:$C,K$1)</f>
        <v>0</v>
      </c>
      <c r="L102" s="28">
        <f t="shared" si="101"/>
        <v>0</v>
      </c>
      <c r="M102" s="28">
        <f t="shared" si="101"/>
        <v>0</v>
      </c>
      <c r="N102" s="28">
        <f t="shared" si="101"/>
        <v>0</v>
      </c>
      <c r="O102" s="28">
        <f t="shared" si="101"/>
        <v>0</v>
      </c>
      <c r="P102" s="28">
        <f t="shared" si="101"/>
        <v>0</v>
      </c>
      <c r="Q102" s="28">
        <f t="shared" si="101"/>
        <v>1120</v>
      </c>
      <c r="R102" s="28">
        <f t="shared" si="101"/>
        <v>0</v>
      </c>
      <c r="S102" s="28">
        <f t="shared" si="101"/>
        <v>0</v>
      </c>
      <c r="T102" s="28">
        <f t="shared" si="101"/>
        <v>0</v>
      </c>
      <c r="U102" s="28">
        <f t="shared" si="101"/>
        <v>0</v>
      </c>
      <c r="V102" s="28">
        <f t="shared" si="101"/>
        <v>0</v>
      </c>
      <c r="W102" s="28">
        <f t="shared" si="101"/>
        <v>0</v>
      </c>
      <c r="X102" s="28">
        <f t="shared" si="101"/>
        <v>0</v>
      </c>
      <c r="Y102" s="28">
        <f t="shared" si="101"/>
        <v>0</v>
      </c>
      <c r="Z102" s="28">
        <f t="shared" si="101"/>
        <v>0</v>
      </c>
      <c r="AA102" s="28">
        <f t="shared" si="101"/>
        <v>0</v>
      </c>
      <c r="AB102" s="28">
        <f t="shared" si="101"/>
        <v>0</v>
      </c>
      <c r="AC102" s="28">
        <f t="shared" si="101"/>
        <v>0</v>
      </c>
      <c r="AD102" s="28">
        <f t="shared" si="101"/>
        <v>0</v>
      </c>
      <c r="AE102" s="28">
        <f t="shared" si="101"/>
        <v>0</v>
      </c>
      <c r="AF102" s="28">
        <f t="shared" si="101"/>
        <v>0</v>
      </c>
      <c r="AG102" s="28">
        <f t="shared" si="101"/>
        <v>0</v>
      </c>
      <c r="AH102" s="28">
        <f t="shared" si="101"/>
        <v>0</v>
      </c>
      <c r="AI102" s="28">
        <f t="shared" si="101"/>
        <v>0</v>
      </c>
      <c r="AJ102" s="28">
        <f t="shared" si="101"/>
        <v>0</v>
      </c>
      <c r="AK102" s="28">
        <f t="shared" si="101"/>
        <v>0</v>
      </c>
      <c r="AL102" s="28">
        <f t="shared" si="101"/>
        <v>0</v>
      </c>
      <c r="AM102" s="28">
        <f t="shared" si="101"/>
        <v>0</v>
      </c>
      <c r="AN102" s="28">
        <f t="shared" si="101"/>
        <v>0</v>
      </c>
      <c r="AO102" s="28">
        <f t="shared" si="101"/>
        <v>0</v>
      </c>
      <c r="AP102" s="28">
        <f t="shared" si="101"/>
        <v>0</v>
      </c>
      <c r="AQ102" s="28">
        <f t="shared" si="101"/>
        <v>0</v>
      </c>
      <c r="AR102" s="28">
        <f t="shared" si="101"/>
        <v>0</v>
      </c>
      <c r="AS102" s="28">
        <f t="shared" si="101"/>
        <v>0</v>
      </c>
      <c r="AT102" s="28">
        <f t="shared" si="101"/>
        <v>0</v>
      </c>
    </row>
    <row r="103">
      <c r="A103" s="10" t="s">
        <v>112</v>
      </c>
      <c r="B103" s="11">
        <v>5.0</v>
      </c>
      <c r="C103" s="12" t="s">
        <v>106</v>
      </c>
      <c r="D103" s="15">
        <v>75208.0</v>
      </c>
      <c r="F103" s="15">
        <f>IFERROR(__xludf.DUMMYFUNCTION("""COMPUTED_VALUE"""),75042.0)</f>
        <v>75042</v>
      </c>
      <c r="G103" s="26">
        <f t="shared" si="2"/>
        <v>176</v>
      </c>
      <c r="J103" s="27">
        <f>IFERROR(__xludf.DUMMYFUNCTION("""COMPUTED_VALUE"""),75042.0)</f>
        <v>75042</v>
      </c>
      <c r="K103" s="28">
        <f t="shared" ref="K103:AT103" si="102">sumifs($B:$B,$D:$D,$J103,$C:$C,K$1)</f>
        <v>0</v>
      </c>
      <c r="L103" s="28">
        <f t="shared" si="102"/>
        <v>0</v>
      </c>
      <c r="M103" s="28">
        <f t="shared" si="102"/>
        <v>0</v>
      </c>
      <c r="N103" s="28">
        <f t="shared" si="102"/>
        <v>0</v>
      </c>
      <c r="O103" s="28">
        <f t="shared" si="102"/>
        <v>0</v>
      </c>
      <c r="P103" s="28">
        <f t="shared" si="102"/>
        <v>0</v>
      </c>
      <c r="Q103" s="28">
        <f t="shared" si="102"/>
        <v>125</v>
      </c>
      <c r="R103" s="28">
        <f t="shared" si="102"/>
        <v>0</v>
      </c>
      <c r="S103" s="28">
        <f t="shared" si="102"/>
        <v>0</v>
      </c>
      <c r="T103" s="28">
        <f t="shared" si="102"/>
        <v>0</v>
      </c>
      <c r="U103" s="28">
        <f t="shared" si="102"/>
        <v>0</v>
      </c>
      <c r="V103" s="28">
        <f t="shared" si="102"/>
        <v>0</v>
      </c>
      <c r="W103" s="28">
        <f t="shared" si="102"/>
        <v>0</v>
      </c>
      <c r="X103" s="28">
        <f t="shared" si="102"/>
        <v>0</v>
      </c>
      <c r="Y103" s="28">
        <f t="shared" si="102"/>
        <v>0</v>
      </c>
      <c r="Z103" s="28">
        <f t="shared" si="102"/>
        <v>0</v>
      </c>
      <c r="AA103" s="28">
        <f t="shared" si="102"/>
        <v>51</v>
      </c>
      <c r="AB103" s="28">
        <f t="shared" si="102"/>
        <v>0</v>
      </c>
      <c r="AC103" s="28">
        <f t="shared" si="102"/>
        <v>0</v>
      </c>
      <c r="AD103" s="28">
        <f t="shared" si="102"/>
        <v>0</v>
      </c>
      <c r="AE103" s="28">
        <f t="shared" si="102"/>
        <v>0</v>
      </c>
      <c r="AF103" s="28">
        <f t="shared" si="102"/>
        <v>0</v>
      </c>
      <c r="AG103" s="28">
        <f t="shared" si="102"/>
        <v>0</v>
      </c>
      <c r="AH103" s="28">
        <f t="shared" si="102"/>
        <v>0</v>
      </c>
      <c r="AI103" s="28">
        <f t="shared" si="102"/>
        <v>0</v>
      </c>
      <c r="AJ103" s="28">
        <f t="shared" si="102"/>
        <v>0</v>
      </c>
      <c r="AK103" s="28">
        <f t="shared" si="102"/>
        <v>0</v>
      </c>
      <c r="AL103" s="28">
        <f t="shared" si="102"/>
        <v>0</v>
      </c>
      <c r="AM103" s="28">
        <f t="shared" si="102"/>
        <v>0</v>
      </c>
      <c r="AN103" s="28">
        <f t="shared" si="102"/>
        <v>0</v>
      </c>
      <c r="AO103" s="28">
        <f t="shared" si="102"/>
        <v>0</v>
      </c>
      <c r="AP103" s="28">
        <f t="shared" si="102"/>
        <v>0</v>
      </c>
      <c r="AQ103" s="28">
        <f t="shared" si="102"/>
        <v>0</v>
      </c>
      <c r="AR103" s="28">
        <f t="shared" si="102"/>
        <v>0</v>
      </c>
      <c r="AS103" s="28">
        <f t="shared" si="102"/>
        <v>0</v>
      </c>
      <c r="AT103" s="28">
        <f t="shared" si="102"/>
        <v>0</v>
      </c>
    </row>
    <row r="104">
      <c r="A104" s="5" t="s">
        <v>113</v>
      </c>
      <c r="B104" s="6">
        <v>100.0</v>
      </c>
      <c r="C104" s="7" t="s">
        <v>106</v>
      </c>
      <c r="D104" s="15">
        <v>75233.0</v>
      </c>
      <c r="F104" s="15">
        <f>IFERROR(__xludf.DUMMYFUNCTION("""COMPUTED_VALUE"""),75142.0)</f>
        <v>75142</v>
      </c>
      <c r="G104" s="26">
        <f t="shared" si="2"/>
        <v>25</v>
      </c>
      <c r="J104" s="27">
        <f>IFERROR(__xludf.DUMMYFUNCTION("""COMPUTED_VALUE"""),75142.0)</f>
        <v>75142</v>
      </c>
      <c r="K104" s="28">
        <f t="shared" ref="K104:AT104" si="103">sumifs($B:$B,$D:$D,$J104,$C:$C,K$1)</f>
        <v>0</v>
      </c>
      <c r="L104" s="28">
        <f t="shared" si="103"/>
        <v>0</v>
      </c>
      <c r="M104" s="28">
        <f t="shared" si="103"/>
        <v>0</v>
      </c>
      <c r="N104" s="28">
        <f t="shared" si="103"/>
        <v>0</v>
      </c>
      <c r="O104" s="28">
        <f t="shared" si="103"/>
        <v>0</v>
      </c>
      <c r="P104" s="28">
        <f t="shared" si="103"/>
        <v>0</v>
      </c>
      <c r="Q104" s="28">
        <f t="shared" si="103"/>
        <v>25</v>
      </c>
      <c r="R104" s="28">
        <f t="shared" si="103"/>
        <v>0</v>
      </c>
      <c r="S104" s="28">
        <f t="shared" si="103"/>
        <v>0</v>
      </c>
      <c r="T104" s="28">
        <f t="shared" si="103"/>
        <v>0</v>
      </c>
      <c r="U104" s="28">
        <f t="shared" si="103"/>
        <v>0</v>
      </c>
      <c r="V104" s="28">
        <f t="shared" si="103"/>
        <v>0</v>
      </c>
      <c r="W104" s="28">
        <f t="shared" si="103"/>
        <v>0</v>
      </c>
      <c r="X104" s="28">
        <f t="shared" si="103"/>
        <v>0</v>
      </c>
      <c r="Y104" s="28">
        <f t="shared" si="103"/>
        <v>0</v>
      </c>
      <c r="Z104" s="28">
        <f t="shared" si="103"/>
        <v>0</v>
      </c>
      <c r="AA104" s="28">
        <f t="shared" si="103"/>
        <v>0</v>
      </c>
      <c r="AB104" s="28">
        <f t="shared" si="103"/>
        <v>0</v>
      </c>
      <c r="AC104" s="28">
        <f t="shared" si="103"/>
        <v>0</v>
      </c>
      <c r="AD104" s="28">
        <f t="shared" si="103"/>
        <v>0</v>
      </c>
      <c r="AE104" s="28">
        <f t="shared" si="103"/>
        <v>0</v>
      </c>
      <c r="AF104" s="28">
        <f t="shared" si="103"/>
        <v>0</v>
      </c>
      <c r="AG104" s="28">
        <f t="shared" si="103"/>
        <v>0</v>
      </c>
      <c r="AH104" s="28">
        <f t="shared" si="103"/>
        <v>0</v>
      </c>
      <c r="AI104" s="28">
        <f t="shared" si="103"/>
        <v>0</v>
      </c>
      <c r="AJ104" s="28">
        <f t="shared" si="103"/>
        <v>0</v>
      </c>
      <c r="AK104" s="28">
        <f t="shared" si="103"/>
        <v>0</v>
      </c>
      <c r="AL104" s="28">
        <f t="shared" si="103"/>
        <v>0</v>
      </c>
      <c r="AM104" s="28">
        <f t="shared" si="103"/>
        <v>0</v>
      </c>
      <c r="AN104" s="28">
        <f t="shared" si="103"/>
        <v>0</v>
      </c>
      <c r="AO104" s="28">
        <f t="shared" si="103"/>
        <v>0</v>
      </c>
      <c r="AP104" s="28">
        <f t="shared" si="103"/>
        <v>0</v>
      </c>
      <c r="AQ104" s="28">
        <f t="shared" si="103"/>
        <v>0</v>
      </c>
      <c r="AR104" s="28">
        <f t="shared" si="103"/>
        <v>0</v>
      </c>
      <c r="AS104" s="28">
        <f t="shared" si="103"/>
        <v>0</v>
      </c>
      <c r="AT104" s="28">
        <f t="shared" si="103"/>
        <v>0</v>
      </c>
    </row>
    <row r="105">
      <c r="A105" s="10" t="s">
        <v>114</v>
      </c>
      <c r="B105" s="11">
        <v>20.0</v>
      </c>
      <c r="C105" s="12" t="s">
        <v>106</v>
      </c>
      <c r="D105" s="15">
        <v>75217.0</v>
      </c>
      <c r="F105" s="15">
        <f>IFERROR(__xludf.DUMMYFUNCTION("""COMPUTED_VALUE"""),75054.0)</f>
        <v>75054</v>
      </c>
      <c r="G105" s="26">
        <f t="shared" si="2"/>
        <v>300</v>
      </c>
      <c r="J105" s="27">
        <f>IFERROR(__xludf.DUMMYFUNCTION("""COMPUTED_VALUE"""),75054.0)</f>
        <v>75054</v>
      </c>
      <c r="K105" s="28">
        <f t="shared" ref="K105:AT105" si="104">sumifs($B:$B,$D:$D,$J105,$C:$C,K$1)</f>
        <v>0</v>
      </c>
      <c r="L105" s="28">
        <f t="shared" si="104"/>
        <v>0</v>
      </c>
      <c r="M105" s="28">
        <f t="shared" si="104"/>
        <v>0</v>
      </c>
      <c r="N105" s="28">
        <f t="shared" si="104"/>
        <v>0</v>
      </c>
      <c r="O105" s="28">
        <f t="shared" si="104"/>
        <v>0</v>
      </c>
      <c r="P105" s="28">
        <f t="shared" si="104"/>
        <v>0</v>
      </c>
      <c r="Q105" s="28">
        <f t="shared" si="104"/>
        <v>50</v>
      </c>
      <c r="R105" s="28">
        <f t="shared" si="104"/>
        <v>0</v>
      </c>
      <c r="S105" s="28">
        <f t="shared" si="104"/>
        <v>0</v>
      </c>
      <c r="T105" s="28">
        <f t="shared" si="104"/>
        <v>0</v>
      </c>
      <c r="U105" s="28">
        <f t="shared" si="104"/>
        <v>0</v>
      </c>
      <c r="V105" s="28">
        <f t="shared" si="104"/>
        <v>0</v>
      </c>
      <c r="W105" s="28">
        <f t="shared" si="104"/>
        <v>0</v>
      </c>
      <c r="X105" s="28">
        <f t="shared" si="104"/>
        <v>0</v>
      </c>
      <c r="Y105" s="28">
        <f t="shared" si="104"/>
        <v>0</v>
      </c>
      <c r="Z105" s="28">
        <f t="shared" si="104"/>
        <v>0</v>
      </c>
      <c r="AA105" s="28">
        <f t="shared" si="104"/>
        <v>0</v>
      </c>
      <c r="AB105" s="28">
        <f t="shared" si="104"/>
        <v>0</v>
      </c>
      <c r="AC105" s="28">
        <f t="shared" si="104"/>
        <v>0</v>
      </c>
      <c r="AD105" s="28">
        <f t="shared" si="104"/>
        <v>0</v>
      </c>
      <c r="AE105" s="28">
        <f t="shared" si="104"/>
        <v>0</v>
      </c>
      <c r="AF105" s="28">
        <f t="shared" si="104"/>
        <v>0</v>
      </c>
      <c r="AG105" s="28">
        <f t="shared" si="104"/>
        <v>0</v>
      </c>
      <c r="AH105" s="28">
        <f t="shared" si="104"/>
        <v>0</v>
      </c>
      <c r="AI105" s="28">
        <f t="shared" si="104"/>
        <v>250</v>
      </c>
      <c r="AJ105" s="28">
        <f t="shared" si="104"/>
        <v>0</v>
      </c>
      <c r="AK105" s="28">
        <f t="shared" si="104"/>
        <v>0</v>
      </c>
      <c r="AL105" s="28">
        <f t="shared" si="104"/>
        <v>0</v>
      </c>
      <c r="AM105" s="28">
        <f t="shared" si="104"/>
        <v>0</v>
      </c>
      <c r="AN105" s="28">
        <f t="shared" si="104"/>
        <v>0</v>
      </c>
      <c r="AO105" s="28">
        <f t="shared" si="104"/>
        <v>0</v>
      </c>
      <c r="AP105" s="28">
        <f t="shared" si="104"/>
        <v>0</v>
      </c>
      <c r="AQ105" s="28">
        <f t="shared" si="104"/>
        <v>0</v>
      </c>
      <c r="AR105" s="28">
        <f t="shared" si="104"/>
        <v>0</v>
      </c>
      <c r="AS105" s="28">
        <f t="shared" si="104"/>
        <v>0</v>
      </c>
      <c r="AT105" s="28">
        <f t="shared" si="104"/>
        <v>0</v>
      </c>
    </row>
    <row r="106">
      <c r="A106" s="5" t="s">
        <v>115</v>
      </c>
      <c r="B106" s="6">
        <v>40.0</v>
      </c>
      <c r="C106" s="7" t="s">
        <v>106</v>
      </c>
      <c r="D106" s="15">
        <v>75160.0</v>
      </c>
      <c r="F106" s="15">
        <f>IFERROR(__xludf.DUMMYFUNCTION("""COMPUTED_VALUE"""),78660.0)</f>
        <v>78660</v>
      </c>
      <c r="G106" s="26">
        <f t="shared" si="2"/>
        <v>50</v>
      </c>
      <c r="J106" s="27">
        <f>IFERROR(__xludf.DUMMYFUNCTION("""COMPUTED_VALUE"""),78660.0)</f>
        <v>78660</v>
      </c>
      <c r="K106" s="28">
        <f t="shared" ref="K106:AT106" si="105">sumifs($B:$B,$D:$D,$J106,$C:$C,K$1)</f>
        <v>0</v>
      </c>
      <c r="L106" s="28">
        <f t="shared" si="105"/>
        <v>0</v>
      </c>
      <c r="M106" s="28">
        <f t="shared" si="105"/>
        <v>0</v>
      </c>
      <c r="N106" s="28">
        <f t="shared" si="105"/>
        <v>0</v>
      </c>
      <c r="O106" s="28">
        <f t="shared" si="105"/>
        <v>0</v>
      </c>
      <c r="P106" s="28">
        <f t="shared" si="105"/>
        <v>0</v>
      </c>
      <c r="Q106" s="28">
        <f t="shared" si="105"/>
        <v>50</v>
      </c>
      <c r="R106" s="28">
        <f t="shared" si="105"/>
        <v>0</v>
      </c>
      <c r="S106" s="28">
        <f t="shared" si="105"/>
        <v>0</v>
      </c>
      <c r="T106" s="28">
        <f t="shared" si="105"/>
        <v>0</v>
      </c>
      <c r="U106" s="28">
        <f t="shared" si="105"/>
        <v>0</v>
      </c>
      <c r="V106" s="28">
        <f t="shared" si="105"/>
        <v>0</v>
      </c>
      <c r="W106" s="28">
        <f t="shared" si="105"/>
        <v>0</v>
      </c>
      <c r="X106" s="28">
        <f t="shared" si="105"/>
        <v>0</v>
      </c>
      <c r="Y106" s="28">
        <f t="shared" si="105"/>
        <v>0</v>
      </c>
      <c r="Z106" s="28">
        <f t="shared" si="105"/>
        <v>0</v>
      </c>
      <c r="AA106" s="28">
        <f t="shared" si="105"/>
        <v>0</v>
      </c>
      <c r="AB106" s="28">
        <f t="shared" si="105"/>
        <v>0</v>
      </c>
      <c r="AC106" s="28">
        <f t="shared" si="105"/>
        <v>0</v>
      </c>
      <c r="AD106" s="28">
        <f t="shared" si="105"/>
        <v>0</v>
      </c>
      <c r="AE106" s="28">
        <f t="shared" si="105"/>
        <v>0</v>
      </c>
      <c r="AF106" s="28">
        <f t="shared" si="105"/>
        <v>0</v>
      </c>
      <c r="AG106" s="28">
        <f t="shared" si="105"/>
        <v>0</v>
      </c>
      <c r="AH106" s="28">
        <f t="shared" si="105"/>
        <v>0</v>
      </c>
      <c r="AI106" s="28">
        <f t="shared" si="105"/>
        <v>0</v>
      </c>
      <c r="AJ106" s="28">
        <f t="shared" si="105"/>
        <v>0</v>
      </c>
      <c r="AK106" s="28">
        <f t="shared" si="105"/>
        <v>0</v>
      </c>
      <c r="AL106" s="28">
        <f t="shared" si="105"/>
        <v>0</v>
      </c>
      <c r="AM106" s="28">
        <f t="shared" si="105"/>
        <v>0</v>
      </c>
      <c r="AN106" s="28">
        <f t="shared" si="105"/>
        <v>0</v>
      </c>
      <c r="AO106" s="28">
        <f t="shared" si="105"/>
        <v>0</v>
      </c>
      <c r="AP106" s="28">
        <f t="shared" si="105"/>
        <v>0</v>
      </c>
      <c r="AQ106" s="28">
        <f t="shared" si="105"/>
        <v>0</v>
      </c>
      <c r="AR106" s="28">
        <f t="shared" si="105"/>
        <v>0</v>
      </c>
      <c r="AS106" s="28">
        <f t="shared" si="105"/>
        <v>0</v>
      </c>
      <c r="AT106" s="28">
        <f t="shared" si="105"/>
        <v>0</v>
      </c>
    </row>
    <row r="107">
      <c r="A107" s="10" t="s">
        <v>116</v>
      </c>
      <c r="B107" s="11">
        <v>20.0</v>
      </c>
      <c r="C107" s="12" t="s">
        <v>106</v>
      </c>
      <c r="D107" s="15">
        <v>75216.0</v>
      </c>
      <c r="F107" s="15">
        <f>IFERROR(__xludf.DUMMYFUNCTION("""COMPUTED_VALUE"""),75280.0)</f>
        <v>75280</v>
      </c>
      <c r="G107" s="26">
        <f t="shared" si="2"/>
        <v>20</v>
      </c>
      <c r="J107" s="27">
        <f>IFERROR(__xludf.DUMMYFUNCTION("""COMPUTED_VALUE"""),75280.0)</f>
        <v>75280</v>
      </c>
      <c r="K107" s="28">
        <f t="shared" ref="K107:AT107" si="106">sumifs($B:$B,$D:$D,$J107,$C:$C,K$1)</f>
        <v>0</v>
      </c>
      <c r="L107" s="28">
        <f t="shared" si="106"/>
        <v>0</v>
      </c>
      <c r="M107" s="28">
        <f t="shared" si="106"/>
        <v>0</v>
      </c>
      <c r="N107" s="28">
        <f t="shared" si="106"/>
        <v>0</v>
      </c>
      <c r="O107" s="28">
        <f t="shared" si="106"/>
        <v>0</v>
      </c>
      <c r="P107" s="28">
        <f t="shared" si="106"/>
        <v>0</v>
      </c>
      <c r="Q107" s="28">
        <f t="shared" si="106"/>
        <v>20</v>
      </c>
      <c r="R107" s="28">
        <f t="shared" si="106"/>
        <v>0</v>
      </c>
      <c r="S107" s="28">
        <f t="shared" si="106"/>
        <v>0</v>
      </c>
      <c r="T107" s="28">
        <f t="shared" si="106"/>
        <v>0</v>
      </c>
      <c r="U107" s="28">
        <f t="shared" si="106"/>
        <v>0</v>
      </c>
      <c r="V107" s="28">
        <f t="shared" si="106"/>
        <v>0</v>
      </c>
      <c r="W107" s="28">
        <f t="shared" si="106"/>
        <v>0</v>
      </c>
      <c r="X107" s="28">
        <f t="shared" si="106"/>
        <v>0</v>
      </c>
      <c r="Y107" s="28">
        <f t="shared" si="106"/>
        <v>0</v>
      </c>
      <c r="Z107" s="28">
        <f t="shared" si="106"/>
        <v>0</v>
      </c>
      <c r="AA107" s="28">
        <f t="shared" si="106"/>
        <v>0</v>
      </c>
      <c r="AB107" s="28">
        <f t="shared" si="106"/>
        <v>0</v>
      </c>
      <c r="AC107" s="28">
        <f t="shared" si="106"/>
        <v>0</v>
      </c>
      <c r="AD107" s="28">
        <f t="shared" si="106"/>
        <v>0</v>
      </c>
      <c r="AE107" s="28">
        <f t="shared" si="106"/>
        <v>0</v>
      </c>
      <c r="AF107" s="28">
        <f t="shared" si="106"/>
        <v>0</v>
      </c>
      <c r="AG107" s="28">
        <f t="shared" si="106"/>
        <v>0</v>
      </c>
      <c r="AH107" s="28">
        <f t="shared" si="106"/>
        <v>0</v>
      </c>
      <c r="AI107" s="28">
        <f t="shared" si="106"/>
        <v>0</v>
      </c>
      <c r="AJ107" s="28">
        <f t="shared" si="106"/>
        <v>0</v>
      </c>
      <c r="AK107" s="28">
        <f t="shared" si="106"/>
        <v>0</v>
      </c>
      <c r="AL107" s="28">
        <f t="shared" si="106"/>
        <v>0</v>
      </c>
      <c r="AM107" s="28">
        <f t="shared" si="106"/>
        <v>0</v>
      </c>
      <c r="AN107" s="28">
        <f t="shared" si="106"/>
        <v>0</v>
      </c>
      <c r="AO107" s="28">
        <f t="shared" si="106"/>
        <v>0</v>
      </c>
      <c r="AP107" s="28">
        <f t="shared" si="106"/>
        <v>0</v>
      </c>
      <c r="AQ107" s="28">
        <f t="shared" si="106"/>
        <v>0</v>
      </c>
      <c r="AR107" s="28">
        <f t="shared" si="106"/>
        <v>0</v>
      </c>
      <c r="AS107" s="28">
        <f t="shared" si="106"/>
        <v>0</v>
      </c>
      <c r="AT107" s="28">
        <f t="shared" si="106"/>
        <v>0</v>
      </c>
    </row>
    <row r="108">
      <c r="A108" s="5" t="s">
        <v>117</v>
      </c>
      <c r="B108" s="6">
        <v>25.0</v>
      </c>
      <c r="C108" s="7" t="s">
        <v>106</v>
      </c>
      <c r="D108" s="15">
        <v>75208.0</v>
      </c>
      <c r="F108" s="15">
        <f>IFERROR(__xludf.DUMMYFUNCTION("""COMPUTED_VALUE"""),75180.0)</f>
        <v>75180</v>
      </c>
      <c r="G108" s="26">
        <f t="shared" si="2"/>
        <v>100</v>
      </c>
      <c r="J108" s="27">
        <f>IFERROR(__xludf.DUMMYFUNCTION("""COMPUTED_VALUE"""),75180.0)</f>
        <v>75180</v>
      </c>
      <c r="K108" s="28">
        <f t="shared" ref="K108:AT108" si="107">sumifs($B:$B,$D:$D,$J108,$C:$C,K$1)</f>
        <v>0</v>
      </c>
      <c r="L108" s="28">
        <f t="shared" si="107"/>
        <v>0</v>
      </c>
      <c r="M108" s="28">
        <f t="shared" si="107"/>
        <v>0</v>
      </c>
      <c r="N108" s="28">
        <f t="shared" si="107"/>
        <v>0</v>
      </c>
      <c r="O108" s="28">
        <f t="shared" si="107"/>
        <v>0</v>
      </c>
      <c r="P108" s="28">
        <f t="shared" si="107"/>
        <v>0</v>
      </c>
      <c r="Q108" s="28">
        <f t="shared" si="107"/>
        <v>50</v>
      </c>
      <c r="R108" s="28">
        <f t="shared" si="107"/>
        <v>0</v>
      </c>
      <c r="S108" s="28">
        <f t="shared" si="107"/>
        <v>0</v>
      </c>
      <c r="T108" s="28">
        <f t="shared" si="107"/>
        <v>0</v>
      </c>
      <c r="U108" s="28">
        <f t="shared" si="107"/>
        <v>0</v>
      </c>
      <c r="V108" s="28">
        <f t="shared" si="107"/>
        <v>0</v>
      </c>
      <c r="W108" s="28">
        <f t="shared" si="107"/>
        <v>0</v>
      </c>
      <c r="X108" s="28">
        <f t="shared" si="107"/>
        <v>0</v>
      </c>
      <c r="Y108" s="28">
        <f t="shared" si="107"/>
        <v>0</v>
      </c>
      <c r="Z108" s="28">
        <f t="shared" si="107"/>
        <v>0</v>
      </c>
      <c r="AA108" s="28">
        <f t="shared" si="107"/>
        <v>0</v>
      </c>
      <c r="AB108" s="28">
        <f t="shared" si="107"/>
        <v>0</v>
      </c>
      <c r="AC108" s="28">
        <f t="shared" si="107"/>
        <v>0</v>
      </c>
      <c r="AD108" s="28">
        <f t="shared" si="107"/>
        <v>0</v>
      </c>
      <c r="AE108" s="28">
        <f t="shared" si="107"/>
        <v>0</v>
      </c>
      <c r="AF108" s="28">
        <f t="shared" si="107"/>
        <v>0</v>
      </c>
      <c r="AG108" s="28">
        <f t="shared" si="107"/>
        <v>0</v>
      </c>
      <c r="AH108" s="28">
        <f t="shared" si="107"/>
        <v>0</v>
      </c>
      <c r="AI108" s="28">
        <f t="shared" si="107"/>
        <v>50</v>
      </c>
      <c r="AJ108" s="28">
        <f t="shared" si="107"/>
        <v>0</v>
      </c>
      <c r="AK108" s="28">
        <f t="shared" si="107"/>
        <v>0</v>
      </c>
      <c r="AL108" s="28">
        <f t="shared" si="107"/>
        <v>0</v>
      </c>
      <c r="AM108" s="28">
        <f t="shared" si="107"/>
        <v>0</v>
      </c>
      <c r="AN108" s="28">
        <f t="shared" si="107"/>
        <v>0</v>
      </c>
      <c r="AO108" s="28">
        <f t="shared" si="107"/>
        <v>0</v>
      </c>
      <c r="AP108" s="28">
        <f t="shared" si="107"/>
        <v>0</v>
      </c>
      <c r="AQ108" s="28">
        <f t="shared" si="107"/>
        <v>0</v>
      </c>
      <c r="AR108" s="28">
        <f t="shared" si="107"/>
        <v>0</v>
      </c>
      <c r="AS108" s="28">
        <f t="shared" si="107"/>
        <v>0</v>
      </c>
      <c r="AT108" s="28">
        <f t="shared" si="107"/>
        <v>0</v>
      </c>
    </row>
    <row r="109">
      <c r="A109" s="10" t="s">
        <v>118</v>
      </c>
      <c r="B109" s="11">
        <v>250.0</v>
      </c>
      <c r="C109" s="12" t="s">
        <v>106</v>
      </c>
      <c r="D109" s="15">
        <v>75231.0</v>
      </c>
      <c r="F109" s="15">
        <f>IFERROR(__xludf.DUMMYFUNCTION("""COMPUTED_VALUE"""),75081.0)</f>
        <v>75081</v>
      </c>
      <c r="G109" s="26">
        <f t="shared" si="2"/>
        <v>3300</v>
      </c>
      <c r="J109" s="27">
        <f>IFERROR(__xludf.DUMMYFUNCTION("""COMPUTED_VALUE"""),75081.0)</f>
        <v>75081</v>
      </c>
      <c r="K109" s="28">
        <f t="shared" ref="K109:AT109" si="108">sumifs($B:$B,$D:$D,$J109,$C:$C,K$1)</f>
        <v>0</v>
      </c>
      <c r="L109" s="28">
        <f t="shared" si="108"/>
        <v>0</v>
      </c>
      <c r="M109" s="28">
        <f t="shared" si="108"/>
        <v>0</v>
      </c>
      <c r="N109" s="28">
        <f t="shared" si="108"/>
        <v>0</v>
      </c>
      <c r="O109" s="28">
        <f t="shared" si="108"/>
        <v>0</v>
      </c>
      <c r="P109" s="28">
        <f t="shared" si="108"/>
        <v>0</v>
      </c>
      <c r="Q109" s="28">
        <f t="shared" si="108"/>
        <v>75</v>
      </c>
      <c r="R109" s="28">
        <f t="shared" si="108"/>
        <v>0</v>
      </c>
      <c r="S109" s="28">
        <f t="shared" si="108"/>
        <v>0</v>
      </c>
      <c r="T109" s="28">
        <f t="shared" si="108"/>
        <v>0</v>
      </c>
      <c r="U109" s="28">
        <f t="shared" si="108"/>
        <v>0</v>
      </c>
      <c r="V109" s="28">
        <f t="shared" si="108"/>
        <v>0</v>
      </c>
      <c r="W109" s="28">
        <f t="shared" si="108"/>
        <v>0</v>
      </c>
      <c r="X109" s="28">
        <f t="shared" si="108"/>
        <v>0</v>
      </c>
      <c r="Y109" s="28">
        <f t="shared" si="108"/>
        <v>0</v>
      </c>
      <c r="Z109" s="28">
        <f t="shared" si="108"/>
        <v>2200</v>
      </c>
      <c r="AA109" s="28">
        <f t="shared" si="108"/>
        <v>0</v>
      </c>
      <c r="AB109" s="28">
        <f t="shared" si="108"/>
        <v>0</v>
      </c>
      <c r="AC109" s="28">
        <f t="shared" si="108"/>
        <v>250</v>
      </c>
      <c r="AD109" s="28">
        <f t="shared" si="108"/>
        <v>0</v>
      </c>
      <c r="AE109" s="28">
        <f t="shared" si="108"/>
        <v>0</v>
      </c>
      <c r="AF109" s="28">
        <f t="shared" si="108"/>
        <v>0</v>
      </c>
      <c r="AG109" s="28">
        <f t="shared" si="108"/>
        <v>0</v>
      </c>
      <c r="AH109" s="28">
        <f t="shared" si="108"/>
        <v>0</v>
      </c>
      <c r="AI109" s="28">
        <f t="shared" si="108"/>
        <v>750</v>
      </c>
      <c r="AJ109" s="28">
        <f t="shared" si="108"/>
        <v>0</v>
      </c>
      <c r="AK109" s="28">
        <f t="shared" si="108"/>
        <v>0</v>
      </c>
      <c r="AL109" s="28">
        <f t="shared" si="108"/>
        <v>0</v>
      </c>
      <c r="AM109" s="28">
        <f t="shared" si="108"/>
        <v>0</v>
      </c>
      <c r="AN109" s="28">
        <f t="shared" si="108"/>
        <v>0</v>
      </c>
      <c r="AO109" s="28">
        <f t="shared" si="108"/>
        <v>0</v>
      </c>
      <c r="AP109" s="28">
        <f t="shared" si="108"/>
        <v>0</v>
      </c>
      <c r="AQ109" s="28">
        <f t="shared" si="108"/>
        <v>25</v>
      </c>
      <c r="AR109" s="28">
        <f t="shared" si="108"/>
        <v>0</v>
      </c>
      <c r="AS109" s="28">
        <f t="shared" si="108"/>
        <v>0</v>
      </c>
      <c r="AT109" s="28">
        <f t="shared" si="108"/>
        <v>0</v>
      </c>
    </row>
    <row r="110">
      <c r="A110" s="5" t="s">
        <v>119</v>
      </c>
      <c r="B110" s="6">
        <v>10.0</v>
      </c>
      <c r="C110" s="7" t="s">
        <v>106</v>
      </c>
      <c r="D110" s="15">
        <v>75040.0</v>
      </c>
      <c r="F110" s="15">
        <f>IFERROR(__xludf.DUMMYFUNCTION("""COMPUTED_VALUE"""),76002.0)</f>
        <v>76002</v>
      </c>
      <c r="G110" s="26">
        <f t="shared" si="2"/>
        <v>75</v>
      </c>
      <c r="J110" s="27">
        <f>IFERROR(__xludf.DUMMYFUNCTION("""COMPUTED_VALUE"""),76002.0)</f>
        <v>76002</v>
      </c>
      <c r="K110" s="28">
        <f t="shared" ref="K110:AT110" si="109">sumifs($B:$B,$D:$D,$J110,$C:$C,K$1)</f>
        <v>0</v>
      </c>
      <c r="L110" s="28">
        <f t="shared" si="109"/>
        <v>0</v>
      </c>
      <c r="M110" s="28">
        <f t="shared" si="109"/>
        <v>0</v>
      </c>
      <c r="N110" s="28">
        <f t="shared" si="109"/>
        <v>0</v>
      </c>
      <c r="O110" s="28">
        <f t="shared" si="109"/>
        <v>0</v>
      </c>
      <c r="P110" s="28">
        <f t="shared" si="109"/>
        <v>0</v>
      </c>
      <c r="Q110" s="28">
        <f t="shared" si="109"/>
        <v>50</v>
      </c>
      <c r="R110" s="28">
        <f t="shared" si="109"/>
        <v>0</v>
      </c>
      <c r="S110" s="28">
        <f t="shared" si="109"/>
        <v>0</v>
      </c>
      <c r="T110" s="28">
        <f t="shared" si="109"/>
        <v>0</v>
      </c>
      <c r="U110" s="28">
        <f t="shared" si="109"/>
        <v>0</v>
      </c>
      <c r="V110" s="28">
        <f t="shared" si="109"/>
        <v>0</v>
      </c>
      <c r="W110" s="28">
        <f t="shared" si="109"/>
        <v>0</v>
      </c>
      <c r="X110" s="28">
        <f t="shared" si="109"/>
        <v>0</v>
      </c>
      <c r="Y110" s="28">
        <f t="shared" si="109"/>
        <v>0</v>
      </c>
      <c r="Z110" s="28">
        <f t="shared" si="109"/>
        <v>0</v>
      </c>
      <c r="AA110" s="28">
        <f t="shared" si="109"/>
        <v>0</v>
      </c>
      <c r="AB110" s="28">
        <f t="shared" si="109"/>
        <v>0</v>
      </c>
      <c r="AC110" s="28">
        <f t="shared" si="109"/>
        <v>0</v>
      </c>
      <c r="AD110" s="28">
        <f t="shared" si="109"/>
        <v>0</v>
      </c>
      <c r="AE110" s="28">
        <f t="shared" si="109"/>
        <v>0</v>
      </c>
      <c r="AF110" s="28">
        <f t="shared" si="109"/>
        <v>0</v>
      </c>
      <c r="AG110" s="28">
        <f t="shared" si="109"/>
        <v>0</v>
      </c>
      <c r="AH110" s="28">
        <f t="shared" si="109"/>
        <v>0</v>
      </c>
      <c r="AI110" s="28">
        <f t="shared" si="109"/>
        <v>0</v>
      </c>
      <c r="AJ110" s="28">
        <f t="shared" si="109"/>
        <v>0</v>
      </c>
      <c r="AK110" s="28">
        <f t="shared" si="109"/>
        <v>0</v>
      </c>
      <c r="AL110" s="28">
        <f t="shared" si="109"/>
        <v>0</v>
      </c>
      <c r="AM110" s="28">
        <f t="shared" si="109"/>
        <v>0</v>
      </c>
      <c r="AN110" s="28">
        <f t="shared" si="109"/>
        <v>0</v>
      </c>
      <c r="AO110" s="28">
        <f t="shared" si="109"/>
        <v>0</v>
      </c>
      <c r="AP110" s="28">
        <f t="shared" si="109"/>
        <v>0</v>
      </c>
      <c r="AQ110" s="28">
        <f t="shared" si="109"/>
        <v>25</v>
      </c>
      <c r="AR110" s="28">
        <f t="shared" si="109"/>
        <v>0</v>
      </c>
      <c r="AS110" s="28">
        <f t="shared" si="109"/>
        <v>0</v>
      </c>
      <c r="AT110" s="28">
        <f t="shared" si="109"/>
        <v>0</v>
      </c>
    </row>
    <row r="111">
      <c r="A111" s="10"/>
      <c r="B111" s="11"/>
      <c r="C111" s="12"/>
      <c r="D111" s="15"/>
      <c r="F111" s="15">
        <f>IFERROR(__xludf.DUMMYFUNCTION("""COMPUTED_VALUE"""),78247.0)</f>
        <v>78247</v>
      </c>
      <c r="G111" s="26">
        <f t="shared" si="2"/>
        <v>115</v>
      </c>
      <c r="J111" s="27">
        <f>IFERROR(__xludf.DUMMYFUNCTION("""COMPUTED_VALUE"""),78247.0)</f>
        <v>78247</v>
      </c>
      <c r="K111" s="28">
        <f t="shared" ref="K111:AT111" si="110">sumifs($B:$B,$D:$D,$J111,$C:$C,K$1)</f>
        <v>0</v>
      </c>
      <c r="L111" s="28">
        <f t="shared" si="110"/>
        <v>0</v>
      </c>
      <c r="M111" s="28">
        <f t="shared" si="110"/>
        <v>0</v>
      </c>
      <c r="N111" s="28">
        <f t="shared" si="110"/>
        <v>0</v>
      </c>
      <c r="O111" s="28">
        <f t="shared" si="110"/>
        <v>0</v>
      </c>
      <c r="P111" s="28">
        <f t="shared" si="110"/>
        <v>0</v>
      </c>
      <c r="Q111" s="28">
        <f t="shared" si="110"/>
        <v>115</v>
      </c>
      <c r="R111" s="28">
        <f t="shared" si="110"/>
        <v>0</v>
      </c>
      <c r="S111" s="28">
        <f t="shared" si="110"/>
        <v>0</v>
      </c>
      <c r="T111" s="28">
        <f t="shared" si="110"/>
        <v>0</v>
      </c>
      <c r="U111" s="28">
        <f t="shared" si="110"/>
        <v>0</v>
      </c>
      <c r="V111" s="28">
        <f t="shared" si="110"/>
        <v>0</v>
      </c>
      <c r="W111" s="28">
        <f t="shared" si="110"/>
        <v>0</v>
      </c>
      <c r="X111" s="28">
        <f t="shared" si="110"/>
        <v>0</v>
      </c>
      <c r="Y111" s="28">
        <f t="shared" si="110"/>
        <v>0</v>
      </c>
      <c r="Z111" s="28">
        <f t="shared" si="110"/>
        <v>0</v>
      </c>
      <c r="AA111" s="28">
        <f t="shared" si="110"/>
        <v>0</v>
      </c>
      <c r="AB111" s="28">
        <f t="shared" si="110"/>
        <v>0</v>
      </c>
      <c r="AC111" s="28">
        <f t="shared" si="110"/>
        <v>0</v>
      </c>
      <c r="AD111" s="28">
        <f t="shared" si="110"/>
        <v>0</v>
      </c>
      <c r="AE111" s="28">
        <f t="shared" si="110"/>
        <v>0</v>
      </c>
      <c r="AF111" s="28">
        <f t="shared" si="110"/>
        <v>0</v>
      </c>
      <c r="AG111" s="28">
        <f t="shared" si="110"/>
        <v>0</v>
      </c>
      <c r="AH111" s="28">
        <f t="shared" si="110"/>
        <v>0</v>
      </c>
      <c r="AI111" s="28">
        <f t="shared" si="110"/>
        <v>0</v>
      </c>
      <c r="AJ111" s="28">
        <f t="shared" si="110"/>
        <v>0</v>
      </c>
      <c r="AK111" s="28">
        <f t="shared" si="110"/>
        <v>0</v>
      </c>
      <c r="AL111" s="28">
        <f t="shared" si="110"/>
        <v>0</v>
      </c>
      <c r="AM111" s="28">
        <f t="shared" si="110"/>
        <v>0</v>
      </c>
      <c r="AN111" s="28">
        <f t="shared" si="110"/>
        <v>0</v>
      </c>
      <c r="AO111" s="28">
        <f t="shared" si="110"/>
        <v>0</v>
      </c>
      <c r="AP111" s="28">
        <f t="shared" si="110"/>
        <v>0</v>
      </c>
      <c r="AQ111" s="28">
        <f t="shared" si="110"/>
        <v>0</v>
      </c>
      <c r="AR111" s="28">
        <f t="shared" si="110"/>
        <v>0</v>
      </c>
      <c r="AS111" s="28">
        <f t="shared" si="110"/>
        <v>0</v>
      </c>
      <c r="AT111" s="28">
        <f t="shared" si="110"/>
        <v>0</v>
      </c>
    </row>
    <row r="112">
      <c r="A112" s="5" t="s">
        <v>121</v>
      </c>
      <c r="B112" s="6">
        <v>400.0</v>
      </c>
      <c r="C112" s="7" t="s">
        <v>106</v>
      </c>
      <c r="D112" s="15">
        <v>76705.0</v>
      </c>
      <c r="F112" s="15">
        <f>IFERROR(__xludf.DUMMYFUNCTION("""COMPUTED_VALUE"""),77459.0)</f>
        <v>77459</v>
      </c>
      <c r="G112" s="26">
        <f t="shared" si="2"/>
        <v>20</v>
      </c>
      <c r="J112" s="27">
        <f>IFERROR(__xludf.DUMMYFUNCTION("""COMPUTED_VALUE"""),77459.0)</f>
        <v>77459</v>
      </c>
      <c r="K112" s="28">
        <f t="shared" ref="K112:AT112" si="111">sumifs($B:$B,$D:$D,$J112,$C:$C,K$1)</f>
        <v>0</v>
      </c>
      <c r="L112" s="28">
        <f t="shared" si="111"/>
        <v>0</v>
      </c>
      <c r="M112" s="28">
        <f t="shared" si="111"/>
        <v>0</v>
      </c>
      <c r="N112" s="28">
        <f t="shared" si="111"/>
        <v>0</v>
      </c>
      <c r="O112" s="28">
        <f t="shared" si="111"/>
        <v>0</v>
      </c>
      <c r="P112" s="28">
        <f t="shared" si="111"/>
        <v>0</v>
      </c>
      <c r="Q112" s="28">
        <f t="shared" si="111"/>
        <v>20</v>
      </c>
      <c r="R112" s="28">
        <f t="shared" si="111"/>
        <v>0</v>
      </c>
      <c r="S112" s="28">
        <f t="shared" si="111"/>
        <v>0</v>
      </c>
      <c r="T112" s="28">
        <f t="shared" si="111"/>
        <v>0</v>
      </c>
      <c r="U112" s="28">
        <f t="shared" si="111"/>
        <v>0</v>
      </c>
      <c r="V112" s="28">
        <f t="shared" si="111"/>
        <v>0</v>
      </c>
      <c r="W112" s="28">
        <f t="shared" si="111"/>
        <v>0</v>
      </c>
      <c r="X112" s="28">
        <f t="shared" si="111"/>
        <v>0</v>
      </c>
      <c r="Y112" s="28">
        <f t="shared" si="111"/>
        <v>0</v>
      </c>
      <c r="Z112" s="28">
        <f t="shared" si="111"/>
        <v>0</v>
      </c>
      <c r="AA112" s="28">
        <f t="shared" si="111"/>
        <v>0</v>
      </c>
      <c r="AB112" s="28">
        <f t="shared" si="111"/>
        <v>0</v>
      </c>
      <c r="AC112" s="28">
        <f t="shared" si="111"/>
        <v>0</v>
      </c>
      <c r="AD112" s="28">
        <f t="shared" si="111"/>
        <v>0</v>
      </c>
      <c r="AE112" s="28">
        <f t="shared" si="111"/>
        <v>0</v>
      </c>
      <c r="AF112" s="28">
        <f t="shared" si="111"/>
        <v>0</v>
      </c>
      <c r="AG112" s="28">
        <f t="shared" si="111"/>
        <v>0</v>
      </c>
      <c r="AH112" s="28">
        <f t="shared" si="111"/>
        <v>0</v>
      </c>
      <c r="AI112" s="28">
        <f t="shared" si="111"/>
        <v>0</v>
      </c>
      <c r="AJ112" s="28">
        <f t="shared" si="111"/>
        <v>0</v>
      </c>
      <c r="AK112" s="28">
        <f t="shared" si="111"/>
        <v>0</v>
      </c>
      <c r="AL112" s="28">
        <f t="shared" si="111"/>
        <v>0</v>
      </c>
      <c r="AM112" s="28">
        <f t="shared" si="111"/>
        <v>0</v>
      </c>
      <c r="AN112" s="28">
        <f t="shared" si="111"/>
        <v>0</v>
      </c>
      <c r="AO112" s="28">
        <f t="shared" si="111"/>
        <v>0</v>
      </c>
      <c r="AP112" s="28">
        <f t="shared" si="111"/>
        <v>0</v>
      </c>
      <c r="AQ112" s="28">
        <f t="shared" si="111"/>
        <v>0</v>
      </c>
      <c r="AR112" s="28">
        <f t="shared" si="111"/>
        <v>0</v>
      </c>
      <c r="AS112" s="28">
        <f t="shared" si="111"/>
        <v>0</v>
      </c>
      <c r="AT112" s="28">
        <f t="shared" si="111"/>
        <v>0</v>
      </c>
    </row>
    <row r="113">
      <c r="A113" s="10" t="s">
        <v>122</v>
      </c>
      <c r="B113" s="11">
        <v>1000.0</v>
      </c>
      <c r="C113" s="12" t="s">
        <v>35</v>
      </c>
      <c r="D113" s="15">
        <v>78645.0</v>
      </c>
      <c r="F113" s="15">
        <f>IFERROR(__xludf.DUMMYFUNCTION("""COMPUTED_VALUE"""),75247.0)</f>
        <v>75247</v>
      </c>
      <c r="G113" s="26">
        <f t="shared" si="2"/>
        <v>2250</v>
      </c>
      <c r="J113" s="27">
        <f>IFERROR(__xludf.DUMMYFUNCTION("""COMPUTED_VALUE"""),75247.0)</f>
        <v>75247</v>
      </c>
      <c r="K113" s="28">
        <f t="shared" ref="K113:AT113" si="112">sumifs($B:$B,$D:$D,$J113,$C:$C,K$1)</f>
        <v>0</v>
      </c>
      <c r="L113" s="28">
        <f t="shared" si="112"/>
        <v>0</v>
      </c>
      <c r="M113" s="28">
        <f t="shared" si="112"/>
        <v>0</v>
      </c>
      <c r="N113" s="28">
        <f t="shared" si="112"/>
        <v>0</v>
      </c>
      <c r="O113" s="28">
        <f t="shared" si="112"/>
        <v>0</v>
      </c>
      <c r="P113" s="28">
        <f t="shared" si="112"/>
        <v>0</v>
      </c>
      <c r="Q113" s="28">
        <f t="shared" si="112"/>
        <v>1000</v>
      </c>
      <c r="R113" s="28">
        <f t="shared" si="112"/>
        <v>0</v>
      </c>
      <c r="S113" s="28">
        <f t="shared" si="112"/>
        <v>0</v>
      </c>
      <c r="T113" s="28">
        <f t="shared" si="112"/>
        <v>0</v>
      </c>
      <c r="U113" s="28">
        <f t="shared" si="112"/>
        <v>0</v>
      </c>
      <c r="V113" s="28">
        <f t="shared" si="112"/>
        <v>0</v>
      </c>
      <c r="W113" s="28">
        <f t="shared" si="112"/>
        <v>0</v>
      </c>
      <c r="X113" s="28">
        <f t="shared" si="112"/>
        <v>0</v>
      </c>
      <c r="Y113" s="28">
        <f t="shared" si="112"/>
        <v>0</v>
      </c>
      <c r="Z113" s="28">
        <f t="shared" si="112"/>
        <v>0</v>
      </c>
      <c r="AA113" s="28">
        <f t="shared" si="112"/>
        <v>0</v>
      </c>
      <c r="AB113" s="28">
        <f t="shared" si="112"/>
        <v>0</v>
      </c>
      <c r="AC113" s="28">
        <f t="shared" si="112"/>
        <v>250</v>
      </c>
      <c r="AD113" s="28">
        <f t="shared" si="112"/>
        <v>0</v>
      </c>
      <c r="AE113" s="28">
        <f t="shared" si="112"/>
        <v>0</v>
      </c>
      <c r="AF113" s="28">
        <f t="shared" si="112"/>
        <v>1000</v>
      </c>
      <c r="AG113" s="28">
        <f t="shared" si="112"/>
        <v>0</v>
      </c>
      <c r="AH113" s="28">
        <f t="shared" si="112"/>
        <v>0</v>
      </c>
      <c r="AI113" s="28">
        <f t="shared" si="112"/>
        <v>0</v>
      </c>
      <c r="AJ113" s="28">
        <f t="shared" si="112"/>
        <v>0</v>
      </c>
      <c r="AK113" s="28">
        <f t="shared" si="112"/>
        <v>0</v>
      </c>
      <c r="AL113" s="28">
        <f t="shared" si="112"/>
        <v>0</v>
      </c>
      <c r="AM113" s="28">
        <f t="shared" si="112"/>
        <v>0</v>
      </c>
      <c r="AN113" s="28">
        <f t="shared" si="112"/>
        <v>0</v>
      </c>
      <c r="AO113" s="28">
        <f t="shared" si="112"/>
        <v>0</v>
      </c>
      <c r="AP113" s="28">
        <f t="shared" si="112"/>
        <v>0</v>
      </c>
      <c r="AQ113" s="28">
        <f t="shared" si="112"/>
        <v>0</v>
      </c>
      <c r="AR113" s="28">
        <f t="shared" si="112"/>
        <v>0</v>
      </c>
      <c r="AS113" s="28">
        <f t="shared" si="112"/>
        <v>0</v>
      </c>
      <c r="AT113" s="28">
        <f t="shared" si="112"/>
        <v>0</v>
      </c>
    </row>
    <row r="114">
      <c r="A114" s="5" t="s">
        <v>123</v>
      </c>
      <c r="B114" s="6">
        <v>2000.0</v>
      </c>
      <c r="C114" s="7" t="s">
        <v>35</v>
      </c>
      <c r="D114" s="15">
        <v>75211.0</v>
      </c>
      <c r="F114" s="15">
        <f>IFERROR(__xludf.DUMMYFUNCTION("""COMPUTED_VALUE"""),79845.0)</f>
        <v>79845</v>
      </c>
      <c r="G114" s="26">
        <f t="shared" si="2"/>
        <v>50</v>
      </c>
      <c r="J114" s="27">
        <f>IFERROR(__xludf.DUMMYFUNCTION("""COMPUTED_VALUE"""),79845.0)</f>
        <v>79845</v>
      </c>
      <c r="K114" s="28">
        <f t="shared" ref="K114:AT114" si="113">sumifs($B:$B,$D:$D,$J114,$C:$C,K$1)</f>
        <v>0</v>
      </c>
      <c r="L114" s="28">
        <f t="shared" si="113"/>
        <v>0</v>
      </c>
      <c r="M114" s="28">
        <f t="shared" si="113"/>
        <v>0</v>
      </c>
      <c r="N114" s="28">
        <f t="shared" si="113"/>
        <v>0</v>
      </c>
      <c r="O114" s="28">
        <f t="shared" si="113"/>
        <v>0</v>
      </c>
      <c r="P114" s="28">
        <f t="shared" si="113"/>
        <v>0</v>
      </c>
      <c r="Q114" s="28">
        <f t="shared" si="113"/>
        <v>50</v>
      </c>
      <c r="R114" s="28">
        <f t="shared" si="113"/>
        <v>0</v>
      </c>
      <c r="S114" s="28">
        <f t="shared" si="113"/>
        <v>0</v>
      </c>
      <c r="T114" s="28">
        <f t="shared" si="113"/>
        <v>0</v>
      </c>
      <c r="U114" s="28">
        <f t="shared" si="113"/>
        <v>0</v>
      </c>
      <c r="V114" s="28">
        <f t="shared" si="113"/>
        <v>0</v>
      </c>
      <c r="W114" s="28">
        <f t="shared" si="113"/>
        <v>0</v>
      </c>
      <c r="X114" s="28">
        <f t="shared" si="113"/>
        <v>0</v>
      </c>
      <c r="Y114" s="28">
        <f t="shared" si="113"/>
        <v>0</v>
      </c>
      <c r="Z114" s="28">
        <f t="shared" si="113"/>
        <v>0</v>
      </c>
      <c r="AA114" s="28">
        <f t="shared" si="113"/>
        <v>0</v>
      </c>
      <c r="AB114" s="28">
        <f t="shared" si="113"/>
        <v>0</v>
      </c>
      <c r="AC114" s="28">
        <f t="shared" si="113"/>
        <v>0</v>
      </c>
      <c r="AD114" s="28">
        <f t="shared" si="113"/>
        <v>0</v>
      </c>
      <c r="AE114" s="28">
        <f t="shared" si="113"/>
        <v>0</v>
      </c>
      <c r="AF114" s="28">
        <f t="shared" si="113"/>
        <v>0</v>
      </c>
      <c r="AG114" s="28">
        <f t="shared" si="113"/>
        <v>0</v>
      </c>
      <c r="AH114" s="28">
        <f t="shared" si="113"/>
        <v>0</v>
      </c>
      <c r="AI114" s="28">
        <f t="shared" si="113"/>
        <v>0</v>
      </c>
      <c r="AJ114" s="28">
        <f t="shared" si="113"/>
        <v>0</v>
      </c>
      <c r="AK114" s="28">
        <f t="shared" si="113"/>
        <v>0</v>
      </c>
      <c r="AL114" s="28">
        <f t="shared" si="113"/>
        <v>0</v>
      </c>
      <c r="AM114" s="28">
        <f t="shared" si="113"/>
        <v>0</v>
      </c>
      <c r="AN114" s="28">
        <f t="shared" si="113"/>
        <v>0</v>
      </c>
      <c r="AO114" s="28">
        <f t="shared" si="113"/>
        <v>0</v>
      </c>
      <c r="AP114" s="28">
        <f t="shared" si="113"/>
        <v>0</v>
      </c>
      <c r="AQ114" s="28">
        <f t="shared" si="113"/>
        <v>0</v>
      </c>
      <c r="AR114" s="28">
        <f t="shared" si="113"/>
        <v>0</v>
      </c>
      <c r="AS114" s="28">
        <f t="shared" si="113"/>
        <v>0</v>
      </c>
      <c r="AT114" s="28">
        <f t="shared" si="113"/>
        <v>0</v>
      </c>
    </row>
    <row r="115">
      <c r="A115" s="10" t="s">
        <v>124</v>
      </c>
      <c r="B115" s="11">
        <v>100.0</v>
      </c>
      <c r="C115" s="12" t="s">
        <v>35</v>
      </c>
      <c r="D115" s="15">
        <v>75208.0</v>
      </c>
      <c r="F115" s="15">
        <f>IFERROR(__xludf.DUMMYFUNCTION("""COMPUTED_VALUE"""),76112.0)</f>
        <v>76112</v>
      </c>
      <c r="G115" s="26">
        <f t="shared" si="2"/>
        <v>1025</v>
      </c>
      <c r="J115" s="27">
        <f>IFERROR(__xludf.DUMMYFUNCTION("""COMPUTED_VALUE"""),76112.0)</f>
        <v>76112</v>
      </c>
      <c r="K115" s="28">
        <f t="shared" ref="K115:AT115" si="114">sumifs($B:$B,$D:$D,$J115,$C:$C,K$1)</f>
        <v>0</v>
      </c>
      <c r="L115" s="28">
        <f t="shared" si="114"/>
        <v>0</v>
      </c>
      <c r="M115" s="28">
        <f t="shared" si="114"/>
        <v>0</v>
      </c>
      <c r="N115" s="28">
        <f t="shared" si="114"/>
        <v>0</v>
      </c>
      <c r="O115" s="28">
        <f t="shared" si="114"/>
        <v>0</v>
      </c>
      <c r="P115" s="28">
        <f t="shared" si="114"/>
        <v>0</v>
      </c>
      <c r="Q115" s="28">
        <f t="shared" si="114"/>
        <v>25</v>
      </c>
      <c r="R115" s="28">
        <f t="shared" si="114"/>
        <v>0</v>
      </c>
      <c r="S115" s="28">
        <f t="shared" si="114"/>
        <v>0</v>
      </c>
      <c r="T115" s="28">
        <f t="shared" si="114"/>
        <v>0</v>
      </c>
      <c r="U115" s="28">
        <f t="shared" si="114"/>
        <v>0</v>
      </c>
      <c r="V115" s="28">
        <f t="shared" si="114"/>
        <v>0</v>
      </c>
      <c r="W115" s="28">
        <f t="shared" si="114"/>
        <v>0</v>
      </c>
      <c r="X115" s="28">
        <f t="shared" si="114"/>
        <v>0</v>
      </c>
      <c r="Y115" s="28">
        <f t="shared" si="114"/>
        <v>0</v>
      </c>
      <c r="Z115" s="28">
        <f t="shared" si="114"/>
        <v>0</v>
      </c>
      <c r="AA115" s="28">
        <f t="shared" si="114"/>
        <v>0</v>
      </c>
      <c r="AB115" s="28">
        <f t="shared" si="114"/>
        <v>0</v>
      </c>
      <c r="AC115" s="28">
        <f t="shared" si="114"/>
        <v>0</v>
      </c>
      <c r="AD115" s="28">
        <f t="shared" si="114"/>
        <v>0</v>
      </c>
      <c r="AE115" s="28">
        <f t="shared" si="114"/>
        <v>0</v>
      </c>
      <c r="AF115" s="28">
        <f t="shared" si="114"/>
        <v>0</v>
      </c>
      <c r="AG115" s="28">
        <f t="shared" si="114"/>
        <v>0</v>
      </c>
      <c r="AH115" s="28">
        <f t="shared" si="114"/>
        <v>0</v>
      </c>
      <c r="AI115" s="28">
        <f t="shared" si="114"/>
        <v>1000</v>
      </c>
      <c r="AJ115" s="28">
        <f t="shared" si="114"/>
        <v>0</v>
      </c>
      <c r="AK115" s="28">
        <f t="shared" si="114"/>
        <v>0</v>
      </c>
      <c r="AL115" s="28">
        <f t="shared" si="114"/>
        <v>0</v>
      </c>
      <c r="AM115" s="28">
        <f t="shared" si="114"/>
        <v>0</v>
      </c>
      <c r="AN115" s="28">
        <f t="shared" si="114"/>
        <v>0</v>
      </c>
      <c r="AO115" s="28">
        <f t="shared" si="114"/>
        <v>0</v>
      </c>
      <c r="AP115" s="28">
        <f t="shared" si="114"/>
        <v>0</v>
      </c>
      <c r="AQ115" s="28">
        <f t="shared" si="114"/>
        <v>0</v>
      </c>
      <c r="AR115" s="28">
        <f t="shared" si="114"/>
        <v>0</v>
      </c>
      <c r="AS115" s="28">
        <f t="shared" si="114"/>
        <v>0</v>
      </c>
      <c r="AT115" s="28">
        <f t="shared" si="114"/>
        <v>0</v>
      </c>
    </row>
    <row r="116">
      <c r="A116" s="5" t="s">
        <v>125</v>
      </c>
      <c r="B116" s="6">
        <v>250.0</v>
      </c>
      <c r="C116" s="7" t="s">
        <v>126</v>
      </c>
      <c r="D116" s="15">
        <v>75104.0</v>
      </c>
      <c r="F116" s="15">
        <f>IFERROR(__xludf.DUMMYFUNCTION("""COMPUTED_VALUE"""),76126.0)</f>
        <v>76126</v>
      </c>
      <c r="G116" s="26">
        <f t="shared" si="2"/>
        <v>1100</v>
      </c>
      <c r="J116" s="27">
        <f>IFERROR(__xludf.DUMMYFUNCTION("""COMPUTED_VALUE"""),76126.0)</f>
        <v>76126</v>
      </c>
      <c r="K116" s="28">
        <f t="shared" ref="K116:AT116" si="115">sumifs($B:$B,$D:$D,$J116,$C:$C,K$1)</f>
        <v>0</v>
      </c>
      <c r="L116" s="28">
        <f t="shared" si="115"/>
        <v>0</v>
      </c>
      <c r="M116" s="28">
        <f t="shared" si="115"/>
        <v>0</v>
      </c>
      <c r="N116" s="28">
        <f t="shared" si="115"/>
        <v>0</v>
      </c>
      <c r="O116" s="28">
        <f t="shared" si="115"/>
        <v>0</v>
      </c>
      <c r="P116" s="28">
        <f t="shared" si="115"/>
        <v>0</v>
      </c>
      <c r="Q116" s="28">
        <f t="shared" si="115"/>
        <v>100</v>
      </c>
      <c r="R116" s="28">
        <f t="shared" si="115"/>
        <v>0</v>
      </c>
      <c r="S116" s="28">
        <f t="shared" si="115"/>
        <v>0</v>
      </c>
      <c r="T116" s="28">
        <f t="shared" si="115"/>
        <v>0</v>
      </c>
      <c r="U116" s="28">
        <f t="shared" si="115"/>
        <v>0</v>
      </c>
      <c r="V116" s="28">
        <f t="shared" si="115"/>
        <v>0</v>
      </c>
      <c r="W116" s="28">
        <f t="shared" si="115"/>
        <v>0</v>
      </c>
      <c r="X116" s="28">
        <f t="shared" si="115"/>
        <v>0</v>
      </c>
      <c r="Y116" s="28">
        <f t="shared" si="115"/>
        <v>0</v>
      </c>
      <c r="Z116" s="28">
        <f t="shared" si="115"/>
        <v>0</v>
      </c>
      <c r="AA116" s="28">
        <f t="shared" si="115"/>
        <v>0</v>
      </c>
      <c r="AB116" s="28">
        <f t="shared" si="115"/>
        <v>0</v>
      </c>
      <c r="AC116" s="28">
        <f t="shared" si="115"/>
        <v>0</v>
      </c>
      <c r="AD116" s="28">
        <f t="shared" si="115"/>
        <v>0</v>
      </c>
      <c r="AE116" s="28">
        <f t="shared" si="115"/>
        <v>0</v>
      </c>
      <c r="AF116" s="28">
        <f t="shared" si="115"/>
        <v>0</v>
      </c>
      <c r="AG116" s="28">
        <f t="shared" si="115"/>
        <v>0</v>
      </c>
      <c r="AH116" s="28">
        <f t="shared" si="115"/>
        <v>0</v>
      </c>
      <c r="AI116" s="28">
        <f t="shared" si="115"/>
        <v>1000</v>
      </c>
      <c r="AJ116" s="28">
        <f t="shared" si="115"/>
        <v>0</v>
      </c>
      <c r="AK116" s="28">
        <f t="shared" si="115"/>
        <v>0</v>
      </c>
      <c r="AL116" s="28">
        <f t="shared" si="115"/>
        <v>0</v>
      </c>
      <c r="AM116" s="28">
        <f t="shared" si="115"/>
        <v>0</v>
      </c>
      <c r="AN116" s="28">
        <f t="shared" si="115"/>
        <v>0</v>
      </c>
      <c r="AO116" s="28">
        <f t="shared" si="115"/>
        <v>0</v>
      </c>
      <c r="AP116" s="28">
        <f t="shared" si="115"/>
        <v>0</v>
      </c>
      <c r="AQ116" s="28">
        <f t="shared" si="115"/>
        <v>0</v>
      </c>
      <c r="AR116" s="28">
        <f t="shared" si="115"/>
        <v>0</v>
      </c>
      <c r="AS116" s="28">
        <f t="shared" si="115"/>
        <v>0</v>
      </c>
      <c r="AT116" s="28">
        <f t="shared" si="115"/>
        <v>0</v>
      </c>
    </row>
    <row r="117">
      <c r="A117" s="5" t="s">
        <v>127</v>
      </c>
      <c r="B117" s="6">
        <v>200.0</v>
      </c>
      <c r="C117" s="7" t="s">
        <v>126</v>
      </c>
      <c r="D117" s="15">
        <v>75209.0</v>
      </c>
      <c r="F117" s="15">
        <f>IFERROR(__xludf.DUMMYFUNCTION("""COMPUTED_VALUE"""),75051.0)</f>
        <v>75051</v>
      </c>
      <c r="G117" s="26">
        <f t="shared" si="2"/>
        <v>500</v>
      </c>
      <c r="J117" s="27">
        <f>IFERROR(__xludf.DUMMYFUNCTION("""COMPUTED_VALUE"""),75051.0)</f>
        <v>75051</v>
      </c>
      <c r="K117" s="28">
        <f t="shared" ref="K117:AT117" si="116">sumifs($B:$B,$D:$D,$J117,$C:$C,K$1)</f>
        <v>0</v>
      </c>
      <c r="L117" s="28">
        <f t="shared" si="116"/>
        <v>0</v>
      </c>
      <c r="M117" s="28">
        <f t="shared" si="116"/>
        <v>0</v>
      </c>
      <c r="N117" s="28">
        <f t="shared" si="116"/>
        <v>0</v>
      </c>
      <c r="O117" s="28">
        <f t="shared" si="116"/>
        <v>0</v>
      </c>
      <c r="P117" s="28">
        <f t="shared" si="116"/>
        <v>0</v>
      </c>
      <c r="Q117" s="28">
        <f t="shared" si="116"/>
        <v>500</v>
      </c>
      <c r="R117" s="28">
        <f t="shared" si="116"/>
        <v>0</v>
      </c>
      <c r="S117" s="28">
        <f t="shared" si="116"/>
        <v>0</v>
      </c>
      <c r="T117" s="28">
        <f t="shared" si="116"/>
        <v>0</v>
      </c>
      <c r="U117" s="28">
        <f t="shared" si="116"/>
        <v>0</v>
      </c>
      <c r="V117" s="28">
        <f t="shared" si="116"/>
        <v>0</v>
      </c>
      <c r="W117" s="28">
        <f t="shared" si="116"/>
        <v>0</v>
      </c>
      <c r="X117" s="28">
        <f t="shared" si="116"/>
        <v>0</v>
      </c>
      <c r="Y117" s="28">
        <f t="shared" si="116"/>
        <v>0</v>
      </c>
      <c r="Z117" s="28">
        <f t="shared" si="116"/>
        <v>0</v>
      </c>
      <c r="AA117" s="28">
        <f t="shared" si="116"/>
        <v>0</v>
      </c>
      <c r="AB117" s="28">
        <f t="shared" si="116"/>
        <v>0</v>
      </c>
      <c r="AC117" s="28">
        <f t="shared" si="116"/>
        <v>0</v>
      </c>
      <c r="AD117" s="28">
        <f t="shared" si="116"/>
        <v>0</v>
      </c>
      <c r="AE117" s="28">
        <f t="shared" si="116"/>
        <v>0</v>
      </c>
      <c r="AF117" s="28">
        <f t="shared" si="116"/>
        <v>0</v>
      </c>
      <c r="AG117" s="28">
        <f t="shared" si="116"/>
        <v>0</v>
      </c>
      <c r="AH117" s="28">
        <f t="shared" si="116"/>
        <v>0</v>
      </c>
      <c r="AI117" s="28">
        <f t="shared" si="116"/>
        <v>0</v>
      </c>
      <c r="AJ117" s="28">
        <f t="shared" si="116"/>
        <v>0</v>
      </c>
      <c r="AK117" s="28">
        <f t="shared" si="116"/>
        <v>0</v>
      </c>
      <c r="AL117" s="28">
        <f t="shared" si="116"/>
        <v>0</v>
      </c>
      <c r="AM117" s="28">
        <f t="shared" si="116"/>
        <v>0</v>
      </c>
      <c r="AN117" s="28">
        <f t="shared" si="116"/>
        <v>0</v>
      </c>
      <c r="AO117" s="28">
        <f t="shared" si="116"/>
        <v>0</v>
      </c>
      <c r="AP117" s="28">
        <f t="shared" si="116"/>
        <v>0</v>
      </c>
      <c r="AQ117" s="28">
        <f t="shared" si="116"/>
        <v>0</v>
      </c>
      <c r="AR117" s="28">
        <f t="shared" si="116"/>
        <v>0</v>
      </c>
      <c r="AS117" s="28">
        <f t="shared" si="116"/>
        <v>0</v>
      </c>
      <c r="AT117" s="28">
        <f t="shared" si="116"/>
        <v>0</v>
      </c>
    </row>
    <row r="118">
      <c r="A118" s="5" t="s">
        <v>128</v>
      </c>
      <c r="B118" s="6">
        <v>100.0</v>
      </c>
      <c r="C118" s="7" t="s">
        <v>126</v>
      </c>
      <c r="D118" s="15">
        <v>75773.0</v>
      </c>
      <c r="F118" s="15">
        <f>IFERROR(__xludf.DUMMYFUNCTION("""COMPUTED_VALUE"""),75050.0)</f>
        <v>75050</v>
      </c>
      <c r="G118" s="26">
        <f t="shared" si="2"/>
        <v>175</v>
      </c>
      <c r="J118" s="27">
        <f>IFERROR(__xludf.DUMMYFUNCTION("""COMPUTED_VALUE"""),75050.0)</f>
        <v>75050</v>
      </c>
      <c r="K118" s="28">
        <f t="shared" ref="K118:AT118" si="117">sumifs($B:$B,$D:$D,$J118,$C:$C,K$1)</f>
        <v>0</v>
      </c>
      <c r="L118" s="28">
        <f t="shared" si="117"/>
        <v>0</v>
      </c>
      <c r="M118" s="28">
        <f t="shared" si="117"/>
        <v>0</v>
      </c>
      <c r="N118" s="28">
        <f t="shared" si="117"/>
        <v>0</v>
      </c>
      <c r="O118" s="28">
        <f t="shared" si="117"/>
        <v>0</v>
      </c>
      <c r="P118" s="28">
        <f t="shared" si="117"/>
        <v>0</v>
      </c>
      <c r="Q118" s="28">
        <f t="shared" si="117"/>
        <v>75</v>
      </c>
      <c r="R118" s="28">
        <f t="shared" si="117"/>
        <v>0</v>
      </c>
      <c r="S118" s="28">
        <f t="shared" si="117"/>
        <v>0</v>
      </c>
      <c r="T118" s="28">
        <f t="shared" si="117"/>
        <v>0</v>
      </c>
      <c r="U118" s="28">
        <f t="shared" si="117"/>
        <v>0</v>
      </c>
      <c r="V118" s="28">
        <f t="shared" si="117"/>
        <v>0</v>
      </c>
      <c r="W118" s="28">
        <f t="shared" si="117"/>
        <v>0</v>
      </c>
      <c r="X118" s="28">
        <f t="shared" si="117"/>
        <v>0</v>
      </c>
      <c r="Y118" s="28">
        <f t="shared" si="117"/>
        <v>0</v>
      </c>
      <c r="Z118" s="28">
        <f t="shared" si="117"/>
        <v>0</v>
      </c>
      <c r="AA118" s="28">
        <f t="shared" si="117"/>
        <v>0</v>
      </c>
      <c r="AB118" s="28">
        <f t="shared" si="117"/>
        <v>0</v>
      </c>
      <c r="AC118" s="28">
        <f t="shared" si="117"/>
        <v>0</v>
      </c>
      <c r="AD118" s="28">
        <f t="shared" si="117"/>
        <v>0</v>
      </c>
      <c r="AE118" s="28">
        <f t="shared" si="117"/>
        <v>0</v>
      </c>
      <c r="AF118" s="28">
        <f t="shared" si="117"/>
        <v>0</v>
      </c>
      <c r="AG118" s="28">
        <f t="shared" si="117"/>
        <v>0</v>
      </c>
      <c r="AH118" s="28">
        <f t="shared" si="117"/>
        <v>0</v>
      </c>
      <c r="AI118" s="28">
        <f t="shared" si="117"/>
        <v>100</v>
      </c>
      <c r="AJ118" s="28">
        <f t="shared" si="117"/>
        <v>0</v>
      </c>
      <c r="AK118" s="28">
        <f t="shared" si="117"/>
        <v>0</v>
      </c>
      <c r="AL118" s="28">
        <f t="shared" si="117"/>
        <v>0</v>
      </c>
      <c r="AM118" s="28">
        <f t="shared" si="117"/>
        <v>0</v>
      </c>
      <c r="AN118" s="28">
        <f t="shared" si="117"/>
        <v>0</v>
      </c>
      <c r="AO118" s="28">
        <f t="shared" si="117"/>
        <v>0</v>
      </c>
      <c r="AP118" s="28">
        <f t="shared" si="117"/>
        <v>0</v>
      </c>
      <c r="AQ118" s="28">
        <f t="shared" si="117"/>
        <v>0</v>
      </c>
      <c r="AR118" s="28">
        <f t="shared" si="117"/>
        <v>0</v>
      </c>
      <c r="AS118" s="28">
        <f t="shared" si="117"/>
        <v>0</v>
      </c>
      <c r="AT118" s="28">
        <f t="shared" si="117"/>
        <v>0</v>
      </c>
    </row>
    <row r="119">
      <c r="A119" s="5" t="s">
        <v>129</v>
      </c>
      <c r="B119" s="6">
        <v>1000.0</v>
      </c>
      <c r="C119" s="7" t="s">
        <v>126</v>
      </c>
      <c r="D119" s="15">
        <v>75240.0</v>
      </c>
      <c r="F119" s="15">
        <f>IFERROR(__xludf.DUMMYFUNCTION("""COMPUTED_VALUE"""),75062.0)</f>
        <v>75062</v>
      </c>
      <c r="G119" s="26">
        <f t="shared" si="2"/>
        <v>600</v>
      </c>
      <c r="J119" s="27">
        <f>IFERROR(__xludf.DUMMYFUNCTION("""COMPUTED_VALUE"""),75062.0)</f>
        <v>75062</v>
      </c>
      <c r="K119" s="28">
        <f t="shared" ref="K119:AT119" si="118">sumifs($B:$B,$D:$D,$J119,$C:$C,K$1)</f>
        <v>0</v>
      </c>
      <c r="L119" s="28">
        <f t="shared" si="118"/>
        <v>0</v>
      </c>
      <c r="M119" s="28">
        <f t="shared" si="118"/>
        <v>0</v>
      </c>
      <c r="N119" s="28">
        <f t="shared" si="118"/>
        <v>0</v>
      </c>
      <c r="O119" s="28">
        <f t="shared" si="118"/>
        <v>0</v>
      </c>
      <c r="P119" s="28">
        <f t="shared" si="118"/>
        <v>0</v>
      </c>
      <c r="Q119" s="28">
        <f t="shared" si="118"/>
        <v>400</v>
      </c>
      <c r="R119" s="28">
        <f t="shared" si="118"/>
        <v>0</v>
      </c>
      <c r="S119" s="28">
        <f t="shared" si="118"/>
        <v>0</v>
      </c>
      <c r="T119" s="28">
        <f t="shared" si="118"/>
        <v>0</v>
      </c>
      <c r="U119" s="28">
        <f t="shared" si="118"/>
        <v>0</v>
      </c>
      <c r="V119" s="28">
        <f t="shared" si="118"/>
        <v>0</v>
      </c>
      <c r="W119" s="28">
        <f t="shared" si="118"/>
        <v>0</v>
      </c>
      <c r="X119" s="28">
        <f t="shared" si="118"/>
        <v>0</v>
      </c>
      <c r="Y119" s="28">
        <f t="shared" si="118"/>
        <v>0</v>
      </c>
      <c r="Z119" s="28">
        <f t="shared" si="118"/>
        <v>200</v>
      </c>
      <c r="AA119" s="28">
        <f t="shared" si="118"/>
        <v>0</v>
      </c>
      <c r="AB119" s="28">
        <f t="shared" si="118"/>
        <v>0</v>
      </c>
      <c r="AC119" s="28">
        <f t="shared" si="118"/>
        <v>0</v>
      </c>
      <c r="AD119" s="28">
        <f t="shared" si="118"/>
        <v>0</v>
      </c>
      <c r="AE119" s="28">
        <f t="shared" si="118"/>
        <v>0</v>
      </c>
      <c r="AF119" s="28">
        <f t="shared" si="118"/>
        <v>0</v>
      </c>
      <c r="AG119" s="28">
        <f t="shared" si="118"/>
        <v>0</v>
      </c>
      <c r="AH119" s="28">
        <f t="shared" si="118"/>
        <v>0</v>
      </c>
      <c r="AI119" s="28">
        <f t="shared" si="118"/>
        <v>0</v>
      </c>
      <c r="AJ119" s="28">
        <f t="shared" si="118"/>
        <v>0</v>
      </c>
      <c r="AK119" s="28">
        <f t="shared" si="118"/>
        <v>0</v>
      </c>
      <c r="AL119" s="28">
        <f t="shared" si="118"/>
        <v>0</v>
      </c>
      <c r="AM119" s="28">
        <f t="shared" si="118"/>
        <v>0</v>
      </c>
      <c r="AN119" s="28">
        <f t="shared" si="118"/>
        <v>0</v>
      </c>
      <c r="AO119" s="28">
        <f t="shared" si="118"/>
        <v>0</v>
      </c>
      <c r="AP119" s="28">
        <f t="shared" si="118"/>
        <v>0</v>
      </c>
      <c r="AQ119" s="28">
        <f t="shared" si="118"/>
        <v>0</v>
      </c>
      <c r="AR119" s="28">
        <f t="shared" si="118"/>
        <v>0</v>
      </c>
      <c r="AS119" s="28">
        <f t="shared" si="118"/>
        <v>0</v>
      </c>
      <c r="AT119" s="28">
        <f t="shared" si="118"/>
        <v>0</v>
      </c>
    </row>
    <row r="120">
      <c r="A120" s="5" t="s">
        <v>130</v>
      </c>
      <c r="B120" s="6">
        <v>50.0</v>
      </c>
      <c r="C120" s="7" t="s">
        <v>126</v>
      </c>
      <c r="D120" s="15">
        <v>75043.0</v>
      </c>
      <c r="F120" s="15">
        <f>IFERROR(__xludf.DUMMYFUNCTION("""COMPUTED_VALUE"""),78611.0)</f>
        <v>78611</v>
      </c>
      <c r="G120" s="26">
        <f t="shared" si="2"/>
        <v>100</v>
      </c>
      <c r="J120" s="27">
        <f>IFERROR(__xludf.DUMMYFUNCTION("""COMPUTED_VALUE"""),78611.0)</f>
        <v>78611</v>
      </c>
      <c r="K120" s="28">
        <f t="shared" ref="K120:AT120" si="119">sumifs($B:$B,$D:$D,$J120,$C:$C,K$1)</f>
        <v>0</v>
      </c>
      <c r="L120" s="28">
        <f t="shared" si="119"/>
        <v>0</v>
      </c>
      <c r="M120" s="28">
        <f t="shared" si="119"/>
        <v>0</v>
      </c>
      <c r="N120" s="28">
        <f t="shared" si="119"/>
        <v>0</v>
      </c>
      <c r="O120" s="28">
        <f t="shared" si="119"/>
        <v>0</v>
      </c>
      <c r="P120" s="28">
        <f t="shared" si="119"/>
        <v>0</v>
      </c>
      <c r="Q120" s="28">
        <f t="shared" si="119"/>
        <v>100</v>
      </c>
      <c r="R120" s="28">
        <f t="shared" si="119"/>
        <v>0</v>
      </c>
      <c r="S120" s="28">
        <f t="shared" si="119"/>
        <v>0</v>
      </c>
      <c r="T120" s="28">
        <f t="shared" si="119"/>
        <v>0</v>
      </c>
      <c r="U120" s="28">
        <f t="shared" si="119"/>
        <v>0</v>
      </c>
      <c r="V120" s="28">
        <f t="shared" si="119"/>
        <v>0</v>
      </c>
      <c r="W120" s="28">
        <f t="shared" si="119"/>
        <v>0</v>
      </c>
      <c r="X120" s="28">
        <f t="shared" si="119"/>
        <v>0</v>
      </c>
      <c r="Y120" s="28">
        <f t="shared" si="119"/>
        <v>0</v>
      </c>
      <c r="Z120" s="28">
        <f t="shared" si="119"/>
        <v>0</v>
      </c>
      <c r="AA120" s="28">
        <f t="shared" si="119"/>
        <v>0</v>
      </c>
      <c r="AB120" s="28">
        <f t="shared" si="119"/>
        <v>0</v>
      </c>
      <c r="AC120" s="28">
        <f t="shared" si="119"/>
        <v>0</v>
      </c>
      <c r="AD120" s="28">
        <f t="shared" si="119"/>
        <v>0</v>
      </c>
      <c r="AE120" s="28">
        <f t="shared" si="119"/>
        <v>0</v>
      </c>
      <c r="AF120" s="28">
        <f t="shared" si="119"/>
        <v>0</v>
      </c>
      <c r="AG120" s="28">
        <f t="shared" si="119"/>
        <v>0</v>
      </c>
      <c r="AH120" s="28">
        <f t="shared" si="119"/>
        <v>0</v>
      </c>
      <c r="AI120" s="28">
        <f t="shared" si="119"/>
        <v>0</v>
      </c>
      <c r="AJ120" s="28">
        <f t="shared" si="119"/>
        <v>0</v>
      </c>
      <c r="AK120" s="28">
        <f t="shared" si="119"/>
        <v>0</v>
      </c>
      <c r="AL120" s="28">
        <f t="shared" si="119"/>
        <v>0</v>
      </c>
      <c r="AM120" s="28">
        <f t="shared" si="119"/>
        <v>0</v>
      </c>
      <c r="AN120" s="28">
        <f t="shared" si="119"/>
        <v>0</v>
      </c>
      <c r="AO120" s="28">
        <f t="shared" si="119"/>
        <v>0</v>
      </c>
      <c r="AP120" s="28">
        <f t="shared" si="119"/>
        <v>0</v>
      </c>
      <c r="AQ120" s="28">
        <f t="shared" si="119"/>
        <v>0</v>
      </c>
      <c r="AR120" s="28">
        <f t="shared" si="119"/>
        <v>0</v>
      </c>
      <c r="AS120" s="28">
        <f t="shared" si="119"/>
        <v>0</v>
      </c>
      <c r="AT120" s="28">
        <f t="shared" si="119"/>
        <v>0</v>
      </c>
    </row>
    <row r="121">
      <c r="A121" s="5" t="s">
        <v>131</v>
      </c>
      <c r="B121" s="6">
        <v>500.0</v>
      </c>
      <c r="C121" s="7" t="s">
        <v>126</v>
      </c>
      <c r="D121" s="15">
        <v>75241.0</v>
      </c>
      <c r="F121" s="15">
        <f>IFERROR(__xludf.DUMMYFUNCTION("""COMPUTED_VALUE"""),76028.0)</f>
        <v>76028</v>
      </c>
      <c r="G121" s="26">
        <f t="shared" si="2"/>
        <v>100</v>
      </c>
      <c r="J121" s="27">
        <f>IFERROR(__xludf.DUMMYFUNCTION("""COMPUTED_VALUE"""),76028.0)</f>
        <v>76028</v>
      </c>
      <c r="K121" s="28">
        <f t="shared" ref="K121:AT121" si="120">sumifs($B:$B,$D:$D,$J121,$C:$C,K$1)</f>
        <v>0</v>
      </c>
      <c r="L121" s="28">
        <f t="shared" si="120"/>
        <v>0</v>
      </c>
      <c r="M121" s="28">
        <f t="shared" si="120"/>
        <v>0</v>
      </c>
      <c r="N121" s="28">
        <f t="shared" si="120"/>
        <v>0</v>
      </c>
      <c r="O121" s="28">
        <f t="shared" si="120"/>
        <v>0</v>
      </c>
      <c r="P121" s="28">
        <f t="shared" si="120"/>
        <v>0</v>
      </c>
      <c r="Q121" s="28">
        <f t="shared" si="120"/>
        <v>100</v>
      </c>
      <c r="R121" s="28">
        <f t="shared" si="120"/>
        <v>0</v>
      </c>
      <c r="S121" s="28">
        <f t="shared" si="120"/>
        <v>0</v>
      </c>
      <c r="T121" s="28">
        <f t="shared" si="120"/>
        <v>0</v>
      </c>
      <c r="U121" s="28">
        <f t="shared" si="120"/>
        <v>0</v>
      </c>
      <c r="V121" s="28">
        <f t="shared" si="120"/>
        <v>0</v>
      </c>
      <c r="W121" s="28">
        <f t="shared" si="120"/>
        <v>0</v>
      </c>
      <c r="X121" s="28">
        <f t="shared" si="120"/>
        <v>0</v>
      </c>
      <c r="Y121" s="28">
        <f t="shared" si="120"/>
        <v>0</v>
      </c>
      <c r="Z121" s="28">
        <f t="shared" si="120"/>
        <v>0</v>
      </c>
      <c r="AA121" s="28">
        <f t="shared" si="120"/>
        <v>0</v>
      </c>
      <c r="AB121" s="28">
        <f t="shared" si="120"/>
        <v>0</v>
      </c>
      <c r="AC121" s="28">
        <f t="shared" si="120"/>
        <v>0</v>
      </c>
      <c r="AD121" s="28">
        <f t="shared" si="120"/>
        <v>0</v>
      </c>
      <c r="AE121" s="28">
        <f t="shared" si="120"/>
        <v>0</v>
      </c>
      <c r="AF121" s="28">
        <f t="shared" si="120"/>
        <v>0</v>
      </c>
      <c r="AG121" s="28">
        <f t="shared" si="120"/>
        <v>0</v>
      </c>
      <c r="AH121" s="28">
        <f t="shared" si="120"/>
        <v>0</v>
      </c>
      <c r="AI121" s="28">
        <f t="shared" si="120"/>
        <v>0</v>
      </c>
      <c r="AJ121" s="28">
        <f t="shared" si="120"/>
        <v>0</v>
      </c>
      <c r="AK121" s="28">
        <f t="shared" si="120"/>
        <v>0</v>
      </c>
      <c r="AL121" s="28">
        <f t="shared" si="120"/>
        <v>0</v>
      </c>
      <c r="AM121" s="28">
        <f t="shared" si="120"/>
        <v>0</v>
      </c>
      <c r="AN121" s="28">
        <f t="shared" si="120"/>
        <v>0</v>
      </c>
      <c r="AO121" s="28">
        <f t="shared" si="120"/>
        <v>0</v>
      </c>
      <c r="AP121" s="28">
        <f t="shared" si="120"/>
        <v>0</v>
      </c>
      <c r="AQ121" s="28">
        <f t="shared" si="120"/>
        <v>0</v>
      </c>
      <c r="AR121" s="28">
        <f t="shared" si="120"/>
        <v>0</v>
      </c>
      <c r="AS121" s="28">
        <f t="shared" si="120"/>
        <v>0</v>
      </c>
      <c r="AT121" s="28">
        <f t="shared" si="120"/>
        <v>0</v>
      </c>
    </row>
    <row r="122">
      <c r="A122" s="5" t="s">
        <v>132</v>
      </c>
      <c r="B122" s="6">
        <v>350.0</v>
      </c>
      <c r="C122" s="7" t="s">
        <v>35</v>
      </c>
      <c r="D122" s="15">
        <v>75201.0</v>
      </c>
      <c r="F122" s="15">
        <f>IFERROR(__xludf.DUMMYFUNCTION("""COMPUTED_VALUE"""),75154.0)</f>
        <v>75154</v>
      </c>
      <c r="G122" s="26">
        <f t="shared" si="2"/>
        <v>2550</v>
      </c>
      <c r="J122" s="27">
        <f>IFERROR(__xludf.DUMMYFUNCTION("""COMPUTED_VALUE"""),75154.0)</f>
        <v>75154</v>
      </c>
      <c r="K122" s="28">
        <f t="shared" ref="K122:AT122" si="121">sumifs($B:$B,$D:$D,$J122,$C:$C,K$1)</f>
        <v>0</v>
      </c>
      <c r="L122" s="28">
        <f t="shared" si="121"/>
        <v>0</v>
      </c>
      <c r="M122" s="28">
        <f t="shared" si="121"/>
        <v>0</v>
      </c>
      <c r="N122" s="28">
        <f t="shared" si="121"/>
        <v>0</v>
      </c>
      <c r="O122" s="28">
        <f t="shared" si="121"/>
        <v>0</v>
      </c>
      <c r="P122" s="28">
        <f t="shared" si="121"/>
        <v>0</v>
      </c>
      <c r="Q122" s="28">
        <f t="shared" si="121"/>
        <v>500</v>
      </c>
      <c r="R122" s="28">
        <f t="shared" si="121"/>
        <v>0</v>
      </c>
      <c r="S122" s="28">
        <f t="shared" si="121"/>
        <v>0</v>
      </c>
      <c r="T122" s="28">
        <f t="shared" si="121"/>
        <v>0</v>
      </c>
      <c r="U122" s="28">
        <f t="shared" si="121"/>
        <v>0</v>
      </c>
      <c r="V122" s="28">
        <f t="shared" si="121"/>
        <v>0</v>
      </c>
      <c r="W122" s="28">
        <f t="shared" si="121"/>
        <v>0</v>
      </c>
      <c r="X122" s="28">
        <f t="shared" si="121"/>
        <v>0</v>
      </c>
      <c r="Y122" s="28">
        <f t="shared" si="121"/>
        <v>0</v>
      </c>
      <c r="Z122" s="28">
        <f t="shared" si="121"/>
        <v>0</v>
      </c>
      <c r="AA122" s="28">
        <f t="shared" si="121"/>
        <v>0</v>
      </c>
      <c r="AB122" s="28">
        <f t="shared" si="121"/>
        <v>0</v>
      </c>
      <c r="AC122" s="28">
        <f t="shared" si="121"/>
        <v>0</v>
      </c>
      <c r="AD122" s="28">
        <f t="shared" si="121"/>
        <v>0</v>
      </c>
      <c r="AE122" s="28">
        <f t="shared" si="121"/>
        <v>0</v>
      </c>
      <c r="AF122" s="28">
        <f t="shared" si="121"/>
        <v>0</v>
      </c>
      <c r="AG122" s="28">
        <f t="shared" si="121"/>
        <v>0</v>
      </c>
      <c r="AH122" s="28">
        <f t="shared" si="121"/>
        <v>0</v>
      </c>
      <c r="AI122" s="28">
        <f t="shared" si="121"/>
        <v>2025</v>
      </c>
      <c r="AJ122" s="28">
        <f t="shared" si="121"/>
        <v>0</v>
      </c>
      <c r="AK122" s="28">
        <f t="shared" si="121"/>
        <v>0</v>
      </c>
      <c r="AL122" s="28">
        <f t="shared" si="121"/>
        <v>0</v>
      </c>
      <c r="AM122" s="28">
        <f t="shared" si="121"/>
        <v>0</v>
      </c>
      <c r="AN122" s="28">
        <f t="shared" si="121"/>
        <v>0</v>
      </c>
      <c r="AO122" s="28">
        <f t="shared" si="121"/>
        <v>0</v>
      </c>
      <c r="AP122" s="28">
        <f t="shared" si="121"/>
        <v>0</v>
      </c>
      <c r="AQ122" s="28">
        <f t="shared" si="121"/>
        <v>25</v>
      </c>
      <c r="AR122" s="28">
        <f t="shared" si="121"/>
        <v>0</v>
      </c>
      <c r="AS122" s="28">
        <f t="shared" si="121"/>
        <v>0</v>
      </c>
      <c r="AT122" s="28">
        <f t="shared" si="121"/>
        <v>0</v>
      </c>
    </row>
    <row r="123">
      <c r="A123" s="10" t="s">
        <v>133</v>
      </c>
      <c r="B123" s="11">
        <v>1000.0</v>
      </c>
      <c r="C123" s="12" t="s">
        <v>35</v>
      </c>
      <c r="D123" s="15">
        <v>75208.0</v>
      </c>
      <c r="F123" s="15">
        <f>IFERROR(__xludf.DUMMYFUNCTION("""COMPUTED_VALUE"""),78333.0)</f>
        <v>78333</v>
      </c>
      <c r="G123" s="26">
        <f t="shared" si="2"/>
        <v>100</v>
      </c>
      <c r="J123" s="27">
        <f>IFERROR(__xludf.DUMMYFUNCTION("""COMPUTED_VALUE"""),78333.0)</f>
        <v>78333</v>
      </c>
      <c r="K123" s="28">
        <f t="shared" ref="K123:AT123" si="122">sumifs($B:$B,$D:$D,$J123,$C:$C,K$1)</f>
        <v>0</v>
      </c>
      <c r="L123" s="28">
        <f t="shared" si="122"/>
        <v>0</v>
      </c>
      <c r="M123" s="28">
        <f t="shared" si="122"/>
        <v>0</v>
      </c>
      <c r="N123" s="28">
        <f t="shared" si="122"/>
        <v>0</v>
      </c>
      <c r="O123" s="28">
        <f t="shared" si="122"/>
        <v>0</v>
      </c>
      <c r="P123" s="28">
        <f t="shared" si="122"/>
        <v>0</v>
      </c>
      <c r="Q123" s="28">
        <f t="shared" si="122"/>
        <v>100</v>
      </c>
      <c r="R123" s="28">
        <f t="shared" si="122"/>
        <v>0</v>
      </c>
      <c r="S123" s="28">
        <f t="shared" si="122"/>
        <v>0</v>
      </c>
      <c r="T123" s="28">
        <f t="shared" si="122"/>
        <v>0</v>
      </c>
      <c r="U123" s="28">
        <f t="shared" si="122"/>
        <v>0</v>
      </c>
      <c r="V123" s="28">
        <f t="shared" si="122"/>
        <v>0</v>
      </c>
      <c r="W123" s="28">
        <f t="shared" si="122"/>
        <v>0</v>
      </c>
      <c r="X123" s="28">
        <f t="shared" si="122"/>
        <v>0</v>
      </c>
      <c r="Y123" s="28">
        <f t="shared" si="122"/>
        <v>0</v>
      </c>
      <c r="Z123" s="28">
        <f t="shared" si="122"/>
        <v>0</v>
      </c>
      <c r="AA123" s="28">
        <f t="shared" si="122"/>
        <v>0</v>
      </c>
      <c r="AB123" s="28">
        <f t="shared" si="122"/>
        <v>0</v>
      </c>
      <c r="AC123" s="28">
        <f t="shared" si="122"/>
        <v>0</v>
      </c>
      <c r="AD123" s="28">
        <f t="shared" si="122"/>
        <v>0</v>
      </c>
      <c r="AE123" s="28">
        <f t="shared" si="122"/>
        <v>0</v>
      </c>
      <c r="AF123" s="28">
        <f t="shared" si="122"/>
        <v>0</v>
      </c>
      <c r="AG123" s="28">
        <f t="shared" si="122"/>
        <v>0</v>
      </c>
      <c r="AH123" s="28">
        <f t="shared" si="122"/>
        <v>0</v>
      </c>
      <c r="AI123" s="28">
        <f t="shared" si="122"/>
        <v>0</v>
      </c>
      <c r="AJ123" s="28">
        <f t="shared" si="122"/>
        <v>0</v>
      </c>
      <c r="AK123" s="28">
        <f t="shared" si="122"/>
        <v>0</v>
      </c>
      <c r="AL123" s="28">
        <f t="shared" si="122"/>
        <v>0</v>
      </c>
      <c r="AM123" s="28">
        <f t="shared" si="122"/>
        <v>0</v>
      </c>
      <c r="AN123" s="28">
        <f t="shared" si="122"/>
        <v>0</v>
      </c>
      <c r="AO123" s="28">
        <f t="shared" si="122"/>
        <v>0</v>
      </c>
      <c r="AP123" s="28">
        <f t="shared" si="122"/>
        <v>0</v>
      </c>
      <c r="AQ123" s="28">
        <f t="shared" si="122"/>
        <v>0</v>
      </c>
      <c r="AR123" s="28">
        <f t="shared" si="122"/>
        <v>0</v>
      </c>
      <c r="AS123" s="28">
        <f t="shared" si="122"/>
        <v>0</v>
      </c>
      <c r="AT123" s="28">
        <f t="shared" si="122"/>
        <v>0</v>
      </c>
    </row>
    <row r="124">
      <c r="A124" s="5" t="s">
        <v>104</v>
      </c>
      <c r="B124" s="6">
        <v>1000.0</v>
      </c>
      <c r="C124" s="7" t="s">
        <v>8</v>
      </c>
      <c r="D124" s="15">
        <v>75205.0</v>
      </c>
      <c r="F124" s="15">
        <f>IFERROR(__xludf.DUMMYFUNCTION("""COMPUTED_VALUE"""),78599.0)</f>
        <v>78599</v>
      </c>
      <c r="G124" s="26">
        <f t="shared" si="2"/>
        <v>600</v>
      </c>
      <c r="J124" s="27">
        <f>IFERROR(__xludf.DUMMYFUNCTION("""COMPUTED_VALUE"""),78599.0)</f>
        <v>78599</v>
      </c>
      <c r="K124" s="28">
        <f t="shared" ref="K124:AT124" si="123">sumifs($B:$B,$D:$D,$J124,$C:$C,K$1)</f>
        <v>0</v>
      </c>
      <c r="L124" s="28">
        <f t="shared" si="123"/>
        <v>0</v>
      </c>
      <c r="M124" s="28">
        <f t="shared" si="123"/>
        <v>0</v>
      </c>
      <c r="N124" s="28">
        <f t="shared" si="123"/>
        <v>0</v>
      </c>
      <c r="O124" s="28">
        <f t="shared" si="123"/>
        <v>0</v>
      </c>
      <c r="P124" s="28">
        <f t="shared" si="123"/>
        <v>0</v>
      </c>
      <c r="Q124" s="28">
        <f t="shared" si="123"/>
        <v>600</v>
      </c>
      <c r="R124" s="28">
        <f t="shared" si="123"/>
        <v>0</v>
      </c>
      <c r="S124" s="28">
        <f t="shared" si="123"/>
        <v>0</v>
      </c>
      <c r="T124" s="28">
        <f t="shared" si="123"/>
        <v>0</v>
      </c>
      <c r="U124" s="28">
        <f t="shared" si="123"/>
        <v>0</v>
      </c>
      <c r="V124" s="28">
        <f t="shared" si="123"/>
        <v>0</v>
      </c>
      <c r="W124" s="28">
        <f t="shared" si="123"/>
        <v>0</v>
      </c>
      <c r="X124" s="28">
        <f t="shared" si="123"/>
        <v>0</v>
      </c>
      <c r="Y124" s="28">
        <f t="shared" si="123"/>
        <v>0</v>
      </c>
      <c r="Z124" s="28">
        <f t="shared" si="123"/>
        <v>0</v>
      </c>
      <c r="AA124" s="28">
        <f t="shared" si="123"/>
        <v>0</v>
      </c>
      <c r="AB124" s="28">
        <f t="shared" si="123"/>
        <v>0</v>
      </c>
      <c r="AC124" s="28">
        <f t="shared" si="123"/>
        <v>0</v>
      </c>
      <c r="AD124" s="28">
        <f t="shared" si="123"/>
        <v>0</v>
      </c>
      <c r="AE124" s="28">
        <f t="shared" si="123"/>
        <v>0</v>
      </c>
      <c r="AF124" s="28">
        <f t="shared" si="123"/>
        <v>0</v>
      </c>
      <c r="AG124" s="28">
        <f t="shared" si="123"/>
        <v>0</v>
      </c>
      <c r="AH124" s="28">
        <f t="shared" si="123"/>
        <v>0</v>
      </c>
      <c r="AI124" s="28">
        <f t="shared" si="123"/>
        <v>0</v>
      </c>
      <c r="AJ124" s="28">
        <f t="shared" si="123"/>
        <v>0</v>
      </c>
      <c r="AK124" s="28">
        <f t="shared" si="123"/>
        <v>0</v>
      </c>
      <c r="AL124" s="28">
        <f t="shared" si="123"/>
        <v>0</v>
      </c>
      <c r="AM124" s="28">
        <f t="shared" si="123"/>
        <v>0</v>
      </c>
      <c r="AN124" s="28">
        <f t="shared" si="123"/>
        <v>0</v>
      </c>
      <c r="AO124" s="28">
        <f t="shared" si="123"/>
        <v>0</v>
      </c>
      <c r="AP124" s="28">
        <f t="shared" si="123"/>
        <v>0</v>
      </c>
      <c r="AQ124" s="28">
        <f t="shared" si="123"/>
        <v>0</v>
      </c>
      <c r="AR124" s="28">
        <f t="shared" si="123"/>
        <v>0</v>
      </c>
      <c r="AS124" s="28">
        <f t="shared" si="123"/>
        <v>0</v>
      </c>
      <c r="AT124" s="28">
        <f t="shared" si="123"/>
        <v>0</v>
      </c>
    </row>
    <row r="125">
      <c r="A125" s="5" t="s">
        <v>134</v>
      </c>
      <c r="B125" s="6">
        <v>25.0</v>
      </c>
      <c r="C125" s="7" t="s">
        <v>35</v>
      </c>
      <c r="D125" s="15">
        <v>75208.0</v>
      </c>
      <c r="F125" s="15">
        <f>IFERROR(__xludf.DUMMYFUNCTION("""COMPUTED_VALUE"""),78747.0)</f>
        <v>78747</v>
      </c>
      <c r="G125" s="26">
        <f t="shared" si="2"/>
        <v>70</v>
      </c>
      <c r="J125" s="27">
        <f>IFERROR(__xludf.DUMMYFUNCTION("""COMPUTED_VALUE"""),78747.0)</f>
        <v>78747</v>
      </c>
      <c r="K125" s="28">
        <f t="shared" ref="K125:AT125" si="124">sumifs($B:$B,$D:$D,$J125,$C:$C,K$1)</f>
        <v>0</v>
      </c>
      <c r="L125" s="28">
        <f t="shared" si="124"/>
        <v>0</v>
      </c>
      <c r="M125" s="28">
        <f t="shared" si="124"/>
        <v>0</v>
      </c>
      <c r="N125" s="28">
        <f t="shared" si="124"/>
        <v>0</v>
      </c>
      <c r="O125" s="28">
        <f t="shared" si="124"/>
        <v>0</v>
      </c>
      <c r="P125" s="28">
        <f t="shared" si="124"/>
        <v>0</v>
      </c>
      <c r="Q125" s="28">
        <f t="shared" si="124"/>
        <v>70</v>
      </c>
      <c r="R125" s="28">
        <f t="shared" si="124"/>
        <v>0</v>
      </c>
      <c r="S125" s="28">
        <f t="shared" si="124"/>
        <v>0</v>
      </c>
      <c r="T125" s="28">
        <f t="shared" si="124"/>
        <v>0</v>
      </c>
      <c r="U125" s="28">
        <f t="shared" si="124"/>
        <v>0</v>
      </c>
      <c r="V125" s="28">
        <f t="shared" si="124"/>
        <v>0</v>
      </c>
      <c r="W125" s="28">
        <f t="shared" si="124"/>
        <v>0</v>
      </c>
      <c r="X125" s="28">
        <f t="shared" si="124"/>
        <v>0</v>
      </c>
      <c r="Y125" s="28">
        <f t="shared" si="124"/>
        <v>0</v>
      </c>
      <c r="Z125" s="28">
        <f t="shared" si="124"/>
        <v>0</v>
      </c>
      <c r="AA125" s="28">
        <f t="shared" si="124"/>
        <v>0</v>
      </c>
      <c r="AB125" s="28">
        <f t="shared" si="124"/>
        <v>0</v>
      </c>
      <c r="AC125" s="28">
        <f t="shared" si="124"/>
        <v>0</v>
      </c>
      <c r="AD125" s="28">
        <f t="shared" si="124"/>
        <v>0</v>
      </c>
      <c r="AE125" s="28">
        <f t="shared" si="124"/>
        <v>0</v>
      </c>
      <c r="AF125" s="28">
        <f t="shared" si="124"/>
        <v>0</v>
      </c>
      <c r="AG125" s="28">
        <f t="shared" si="124"/>
        <v>0</v>
      </c>
      <c r="AH125" s="28">
        <f t="shared" si="124"/>
        <v>0</v>
      </c>
      <c r="AI125" s="28">
        <f t="shared" si="124"/>
        <v>0</v>
      </c>
      <c r="AJ125" s="28">
        <f t="shared" si="124"/>
        <v>0</v>
      </c>
      <c r="AK125" s="28">
        <f t="shared" si="124"/>
        <v>0</v>
      </c>
      <c r="AL125" s="28">
        <f t="shared" si="124"/>
        <v>0</v>
      </c>
      <c r="AM125" s="28">
        <f t="shared" si="124"/>
        <v>0</v>
      </c>
      <c r="AN125" s="28">
        <f t="shared" si="124"/>
        <v>0</v>
      </c>
      <c r="AO125" s="28">
        <f t="shared" si="124"/>
        <v>0</v>
      </c>
      <c r="AP125" s="28">
        <f t="shared" si="124"/>
        <v>0</v>
      </c>
      <c r="AQ125" s="28">
        <f t="shared" si="124"/>
        <v>0</v>
      </c>
      <c r="AR125" s="28">
        <f t="shared" si="124"/>
        <v>0</v>
      </c>
      <c r="AS125" s="28">
        <f t="shared" si="124"/>
        <v>0</v>
      </c>
      <c r="AT125" s="28">
        <f t="shared" si="124"/>
        <v>0</v>
      </c>
    </row>
    <row r="126">
      <c r="A126" s="10" t="s">
        <v>135</v>
      </c>
      <c r="B126" s="11">
        <v>100.0</v>
      </c>
      <c r="C126" s="12" t="s">
        <v>35</v>
      </c>
      <c r="D126" s="15">
        <v>75220.0</v>
      </c>
      <c r="F126" s="15">
        <f>IFERROR(__xludf.DUMMYFUNCTION("""COMPUTED_VALUE"""),75150.0)</f>
        <v>75150</v>
      </c>
      <c r="G126" s="26">
        <f t="shared" si="2"/>
        <v>110</v>
      </c>
      <c r="J126" s="27">
        <f>IFERROR(__xludf.DUMMYFUNCTION("""COMPUTED_VALUE"""),75150.0)</f>
        <v>75150</v>
      </c>
      <c r="K126" s="28">
        <f t="shared" ref="K126:AT126" si="125">sumifs($B:$B,$D:$D,$J126,$C:$C,K$1)</f>
        <v>0</v>
      </c>
      <c r="L126" s="28">
        <f t="shared" si="125"/>
        <v>0</v>
      </c>
      <c r="M126" s="28">
        <f t="shared" si="125"/>
        <v>100</v>
      </c>
      <c r="N126" s="28">
        <f t="shared" si="125"/>
        <v>0</v>
      </c>
      <c r="O126" s="28">
        <f t="shared" si="125"/>
        <v>0</v>
      </c>
      <c r="P126" s="28">
        <f t="shared" si="125"/>
        <v>0</v>
      </c>
      <c r="Q126" s="28">
        <f t="shared" si="125"/>
        <v>10</v>
      </c>
      <c r="R126" s="28">
        <f t="shared" si="125"/>
        <v>0</v>
      </c>
      <c r="S126" s="28">
        <f t="shared" si="125"/>
        <v>0</v>
      </c>
      <c r="T126" s="28">
        <f t="shared" si="125"/>
        <v>0</v>
      </c>
      <c r="U126" s="28">
        <f t="shared" si="125"/>
        <v>0</v>
      </c>
      <c r="V126" s="28">
        <f t="shared" si="125"/>
        <v>0</v>
      </c>
      <c r="W126" s="28">
        <f t="shared" si="125"/>
        <v>0</v>
      </c>
      <c r="X126" s="28">
        <f t="shared" si="125"/>
        <v>0</v>
      </c>
      <c r="Y126" s="28">
        <f t="shared" si="125"/>
        <v>0</v>
      </c>
      <c r="Z126" s="28">
        <f t="shared" si="125"/>
        <v>0</v>
      </c>
      <c r="AA126" s="28">
        <f t="shared" si="125"/>
        <v>0</v>
      </c>
      <c r="AB126" s="28">
        <f t="shared" si="125"/>
        <v>0</v>
      </c>
      <c r="AC126" s="28">
        <f t="shared" si="125"/>
        <v>0</v>
      </c>
      <c r="AD126" s="28">
        <f t="shared" si="125"/>
        <v>0</v>
      </c>
      <c r="AE126" s="28">
        <f t="shared" si="125"/>
        <v>0</v>
      </c>
      <c r="AF126" s="28">
        <f t="shared" si="125"/>
        <v>0</v>
      </c>
      <c r="AG126" s="28">
        <f t="shared" si="125"/>
        <v>0</v>
      </c>
      <c r="AH126" s="28">
        <f t="shared" si="125"/>
        <v>0</v>
      </c>
      <c r="AI126" s="28">
        <f t="shared" si="125"/>
        <v>0</v>
      </c>
      <c r="AJ126" s="28">
        <f t="shared" si="125"/>
        <v>0</v>
      </c>
      <c r="AK126" s="28">
        <f t="shared" si="125"/>
        <v>0</v>
      </c>
      <c r="AL126" s="28">
        <f t="shared" si="125"/>
        <v>0</v>
      </c>
      <c r="AM126" s="28">
        <f t="shared" si="125"/>
        <v>0</v>
      </c>
      <c r="AN126" s="28">
        <f t="shared" si="125"/>
        <v>0</v>
      </c>
      <c r="AO126" s="28">
        <f t="shared" si="125"/>
        <v>0</v>
      </c>
      <c r="AP126" s="28">
        <f t="shared" si="125"/>
        <v>0</v>
      </c>
      <c r="AQ126" s="28">
        <f t="shared" si="125"/>
        <v>0</v>
      </c>
      <c r="AR126" s="28">
        <f t="shared" si="125"/>
        <v>0</v>
      </c>
      <c r="AS126" s="28">
        <f t="shared" si="125"/>
        <v>0</v>
      </c>
      <c r="AT126" s="28">
        <f t="shared" si="125"/>
        <v>0</v>
      </c>
    </row>
    <row r="127">
      <c r="A127" s="5" t="s">
        <v>136</v>
      </c>
      <c r="B127" s="6">
        <v>1000.0</v>
      </c>
      <c r="C127" s="7" t="s">
        <v>8</v>
      </c>
      <c r="D127" s="15">
        <v>75230.0</v>
      </c>
      <c r="F127" s="15">
        <f>IFERROR(__xludf.DUMMYFUNCTION("""COMPUTED_VALUE"""),75167.0)</f>
        <v>75167</v>
      </c>
      <c r="G127" s="26">
        <f t="shared" si="2"/>
        <v>50</v>
      </c>
      <c r="J127" s="27">
        <f>IFERROR(__xludf.DUMMYFUNCTION("""COMPUTED_VALUE"""),75167.0)</f>
        <v>75167</v>
      </c>
      <c r="K127" s="28">
        <f t="shared" ref="K127:AT127" si="126">sumifs($B:$B,$D:$D,$J127,$C:$C,K$1)</f>
        <v>0</v>
      </c>
      <c r="L127" s="28">
        <f t="shared" si="126"/>
        <v>0</v>
      </c>
      <c r="M127" s="28">
        <f t="shared" si="126"/>
        <v>0</v>
      </c>
      <c r="N127" s="28">
        <f t="shared" si="126"/>
        <v>0</v>
      </c>
      <c r="O127" s="28">
        <f t="shared" si="126"/>
        <v>0</v>
      </c>
      <c r="P127" s="28">
        <f t="shared" si="126"/>
        <v>0</v>
      </c>
      <c r="Q127" s="28">
        <f t="shared" si="126"/>
        <v>50</v>
      </c>
      <c r="R127" s="28">
        <f t="shared" si="126"/>
        <v>0</v>
      </c>
      <c r="S127" s="28">
        <f t="shared" si="126"/>
        <v>0</v>
      </c>
      <c r="T127" s="28">
        <f t="shared" si="126"/>
        <v>0</v>
      </c>
      <c r="U127" s="28">
        <f t="shared" si="126"/>
        <v>0</v>
      </c>
      <c r="V127" s="28">
        <f t="shared" si="126"/>
        <v>0</v>
      </c>
      <c r="W127" s="28">
        <f t="shared" si="126"/>
        <v>0</v>
      </c>
      <c r="X127" s="28">
        <f t="shared" si="126"/>
        <v>0</v>
      </c>
      <c r="Y127" s="28">
        <f t="shared" si="126"/>
        <v>0</v>
      </c>
      <c r="Z127" s="28">
        <f t="shared" si="126"/>
        <v>0</v>
      </c>
      <c r="AA127" s="28">
        <f t="shared" si="126"/>
        <v>0</v>
      </c>
      <c r="AB127" s="28">
        <f t="shared" si="126"/>
        <v>0</v>
      </c>
      <c r="AC127" s="28">
        <f t="shared" si="126"/>
        <v>0</v>
      </c>
      <c r="AD127" s="28">
        <f t="shared" si="126"/>
        <v>0</v>
      </c>
      <c r="AE127" s="28">
        <f t="shared" si="126"/>
        <v>0</v>
      </c>
      <c r="AF127" s="28">
        <f t="shared" si="126"/>
        <v>0</v>
      </c>
      <c r="AG127" s="28">
        <f t="shared" si="126"/>
        <v>0</v>
      </c>
      <c r="AH127" s="28">
        <f t="shared" si="126"/>
        <v>0</v>
      </c>
      <c r="AI127" s="28">
        <f t="shared" si="126"/>
        <v>0</v>
      </c>
      <c r="AJ127" s="28">
        <f t="shared" si="126"/>
        <v>0</v>
      </c>
      <c r="AK127" s="28">
        <f t="shared" si="126"/>
        <v>0</v>
      </c>
      <c r="AL127" s="28">
        <f t="shared" si="126"/>
        <v>0</v>
      </c>
      <c r="AM127" s="28">
        <f t="shared" si="126"/>
        <v>0</v>
      </c>
      <c r="AN127" s="28">
        <f t="shared" si="126"/>
        <v>0</v>
      </c>
      <c r="AO127" s="28">
        <f t="shared" si="126"/>
        <v>0</v>
      </c>
      <c r="AP127" s="28">
        <f t="shared" si="126"/>
        <v>0</v>
      </c>
      <c r="AQ127" s="28">
        <f t="shared" si="126"/>
        <v>0</v>
      </c>
      <c r="AR127" s="28">
        <f t="shared" si="126"/>
        <v>0</v>
      </c>
      <c r="AS127" s="28">
        <f t="shared" si="126"/>
        <v>0</v>
      </c>
      <c r="AT127" s="28">
        <f t="shared" si="126"/>
        <v>0</v>
      </c>
    </row>
    <row r="128">
      <c r="A128" s="5" t="s">
        <v>137</v>
      </c>
      <c r="B128" s="6">
        <v>500.0</v>
      </c>
      <c r="C128" s="7" t="s">
        <v>35</v>
      </c>
      <c r="D128" s="15">
        <v>75206.0</v>
      </c>
      <c r="F128" s="15">
        <f>IFERROR(__xludf.DUMMYFUNCTION("""COMPUTED_VALUE"""),78626.0)</f>
        <v>78626</v>
      </c>
      <c r="G128" s="26">
        <f t="shared" si="2"/>
        <v>50</v>
      </c>
      <c r="J128" s="27">
        <f>IFERROR(__xludf.DUMMYFUNCTION("""COMPUTED_VALUE"""),78626.0)</f>
        <v>78626</v>
      </c>
      <c r="K128" s="28">
        <f t="shared" ref="K128:AT128" si="127">sumifs($B:$B,$D:$D,$J128,$C:$C,K$1)</f>
        <v>0</v>
      </c>
      <c r="L128" s="28">
        <f t="shared" si="127"/>
        <v>0</v>
      </c>
      <c r="M128" s="28">
        <f t="shared" si="127"/>
        <v>0</v>
      </c>
      <c r="N128" s="28">
        <f t="shared" si="127"/>
        <v>0</v>
      </c>
      <c r="O128" s="28">
        <f t="shared" si="127"/>
        <v>0</v>
      </c>
      <c r="P128" s="28">
        <f t="shared" si="127"/>
        <v>0</v>
      </c>
      <c r="Q128" s="28">
        <f t="shared" si="127"/>
        <v>50</v>
      </c>
      <c r="R128" s="28">
        <f t="shared" si="127"/>
        <v>0</v>
      </c>
      <c r="S128" s="28">
        <f t="shared" si="127"/>
        <v>0</v>
      </c>
      <c r="T128" s="28">
        <f t="shared" si="127"/>
        <v>0</v>
      </c>
      <c r="U128" s="28">
        <f t="shared" si="127"/>
        <v>0</v>
      </c>
      <c r="V128" s="28">
        <f t="shared" si="127"/>
        <v>0</v>
      </c>
      <c r="W128" s="28">
        <f t="shared" si="127"/>
        <v>0</v>
      </c>
      <c r="X128" s="28">
        <f t="shared" si="127"/>
        <v>0</v>
      </c>
      <c r="Y128" s="28">
        <f t="shared" si="127"/>
        <v>0</v>
      </c>
      <c r="Z128" s="28">
        <f t="shared" si="127"/>
        <v>0</v>
      </c>
      <c r="AA128" s="28">
        <f t="shared" si="127"/>
        <v>0</v>
      </c>
      <c r="AB128" s="28">
        <f t="shared" si="127"/>
        <v>0</v>
      </c>
      <c r="AC128" s="28">
        <f t="shared" si="127"/>
        <v>0</v>
      </c>
      <c r="AD128" s="28">
        <f t="shared" si="127"/>
        <v>0</v>
      </c>
      <c r="AE128" s="28">
        <f t="shared" si="127"/>
        <v>0</v>
      </c>
      <c r="AF128" s="28">
        <f t="shared" si="127"/>
        <v>0</v>
      </c>
      <c r="AG128" s="28">
        <f t="shared" si="127"/>
        <v>0</v>
      </c>
      <c r="AH128" s="28">
        <f t="shared" si="127"/>
        <v>0</v>
      </c>
      <c r="AI128" s="28">
        <f t="shared" si="127"/>
        <v>0</v>
      </c>
      <c r="AJ128" s="28">
        <f t="shared" si="127"/>
        <v>0</v>
      </c>
      <c r="AK128" s="28">
        <f t="shared" si="127"/>
        <v>0</v>
      </c>
      <c r="AL128" s="28">
        <f t="shared" si="127"/>
        <v>0</v>
      </c>
      <c r="AM128" s="28">
        <f t="shared" si="127"/>
        <v>0</v>
      </c>
      <c r="AN128" s="28">
        <f t="shared" si="127"/>
        <v>0</v>
      </c>
      <c r="AO128" s="28">
        <f t="shared" si="127"/>
        <v>0</v>
      </c>
      <c r="AP128" s="28">
        <f t="shared" si="127"/>
        <v>0</v>
      </c>
      <c r="AQ128" s="28">
        <f t="shared" si="127"/>
        <v>0</v>
      </c>
      <c r="AR128" s="28">
        <f t="shared" si="127"/>
        <v>0</v>
      </c>
      <c r="AS128" s="28">
        <f t="shared" si="127"/>
        <v>0</v>
      </c>
      <c r="AT128" s="28">
        <f t="shared" si="127"/>
        <v>0</v>
      </c>
    </row>
    <row r="129">
      <c r="A129" s="10" t="s">
        <v>138</v>
      </c>
      <c r="B129" s="11">
        <v>500.0</v>
      </c>
      <c r="C129" s="12" t="s">
        <v>35</v>
      </c>
      <c r="D129" s="15">
        <v>75208.0</v>
      </c>
      <c r="F129" s="15">
        <f>IFERROR(__xludf.DUMMYFUNCTION("""COMPUTED_VALUE"""),77338.0)</f>
        <v>77338</v>
      </c>
      <c r="G129" s="26">
        <f t="shared" si="2"/>
        <v>10</v>
      </c>
      <c r="J129" s="27">
        <f>IFERROR(__xludf.DUMMYFUNCTION("""COMPUTED_VALUE"""),77338.0)</f>
        <v>77338</v>
      </c>
      <c r="K129" s="28">
        <f t="shared" ref="K129:AT129" si="128">sumifs($B:$B,$D:$D,$J129,$C:$C,K$1)</f>
        <v>0</v>
      </c>
      <c r="L129" s="28">
        <f t="shared" si="128"/>
        <v>0</v>
      </c>
      <c r="M129" s="28">
        <f t="shared" si="128"/>
        <v>0</v>
      </c>
      <c r="N129" s="28">
        <f t="shared" si="128"/>
        <v>0</v>
      </c>
      <c r="O129" s="28">
        <f t="shared" si="128"/>
        <v>0</v>
      </c>
      <c r="P129" s="28">
        <f t="shared" si="128"/>
        <v>0</v>
      </c>
      <c r="Q129" s="28">
        <f t="shared" si="128"/>
        <v>10</v>
      </c>
      <c r="R129" s="28">
        <f t="shared" si="128"/>
        <v>0</v>
      </c>
      <c r="S129" s="28">
        <f t="shared" si="128"/>
        <v>0</v>
      </c>
      <c r="T129" s="28">
        <f t="shared" si="128"/>
        <v>0</v>
      </c>
      <c r="U129" s="28">
        <f t="shared" si="128"/>
        <v>0</v>
      </c>
      <c r="V129" s="28">
        <f t="shared" si="128"/>
        <v>0</v>
      </c>
      <c r="W129" s="28">
        <f t="shared" si="128"/>
        <v>0</v>
      </c>
      <c r="X129" s="28">
        <f t="shared" si="128"/>
        <v>0</v>
      </c>
      <c r="Y129" s="28">
        <f t="shared" si="128"/>
        <v>0</v>
      </c>
      <c r="Z129" s="28">
        <f t="shared" si="128"/>
        <v>0</v>
      </c>
      <c r="AA129" s="28">
        <f t="shared" si="128"/>
        <v>0</v>
      </c>
      <c r="AB129" s="28">
        <f t="shared" si="128"/>
        <v>0</v>
      </c>
      <c r="AC129" s="28">
        <f t="shared" si="128"/>
        <v>0</v>
      </c>
      <c r="AD129" s="28">
        <f t="shared" si="128"/>
        <v>0</v>
      </c>
      <c r="AE129" s="28">
        <f t="shared" si="128"/>
        <v>0</v>
      </c>
      <c r="AF129" s="28">
        <f t="shared" si="128"/>
        <v>0</v>
      </c>
      <c r="AG129" s="28">
        <f t="shared" si="128"/>
        <v>0</v>
      </c>
      <c r="AH129" s="28">
        <f t="shared" si="128"/>
        <v>0</v>
      </c>
      <c r="AI129" s="28">
        <f t="shared" si="128"/>
        <v>0</v>
      </c>
      <c r="AJ129" s="28">
        <f t="shared" si="128"/>
        <v>0</v>
      </c>
      <c r="AK129" s="28">
        <f t="shared" si="128"/>
        <v>0</v>
      </c>
      <c r="AL129" s="28">
        <f t="shared" si="128"/>
        <v>0</v>
      </c>
      <c r="AM129" s="28">
        <f t="shared" si="128"/>
        <v>0</v>
      </c>
      <c r="AN129" s="28">
        <f t="shared" si="128"/>
        <v>0</v>
      </c>
      <c r="AO129" s="28">
        <f t="shared" si="128"/>
        <v>0</v>
      </c>
      <c r="AP129" s="28">
        <f t="shared" si="128"/>
        <v>0</v>
      </c>
      <c r="AQ129" s="28">
        <f t="shared" si="128"/>
        <v>0</v>
      </c>
      <c r="AR129" s="28">
        <f t="shared" si="128"/>
        <v>0</v>
      </c>
      <c r="AS129" s="28">
        <f t="shared" si="128"/>
        <v>0</v>
      </c>
      <c r="AT129" s="28">
        <f t="shared" si="128"/>
        <v>0</v>
      </c>
    </row>
    <row r="130">
      <c r="A130" s="5" t="s">
        <v>139</v>
      </c>
      <c r="B130" s="6">
        <v>1000.0</v>
      </c>
      <c r="C130" s="7" t="s">
        <v>8</v>
      </c>
      <c r="D130" s="15">
        <v>75229.0</v>
      </c>
      <c r="F130" s="15">
        <f>IFERROR(__xludf.DUMMYFUNCTION("""COMPUTED_VALUE"""),78753.0)</f>
        <v>78753</v>
      </c>
      <c r="G130" s="26">
        <f t="shared" si="2"/>
        <v>10</v>
      </c>
      <c r="J130" s="27">
        <f>IFERROR(__xludf.DUMMYFUNCTION("""COMPUTED_VALUE"""),78753.0)</f>
        <v>78753</v>
      </c>
      <c r="K130" s="28">
        <f t="shared" ref="K130:AT130" si="129">sumifs($B:$B,$D:$D,$J130,$C:$C,K$1)</f>
        <v>0</v>
      </c>
      <c r="L130" s="28">
        <f t="shared" si="129"/>
        <v>0</v>
      </c>
      <c r="M130" s="28">
        <f t="shared" si="129"/>
        <v>0</v>
      </c>
      <c r="N130" s="28">
        <f t="shared" si="129"/>
        <v>0</v>
      </c>
      <c r="O130" s="28">
        <f t="shared" si="129"/>
        <v>0</v>
      </c>
      <c r="P130" s="28">
        <f t="shared" si="129"/>
        <v>0</v>
      </c>
      <c r="Q130" s="28">
        <f t="shared" si="129"/>
        <v>10</v>
      </c>
      <c r="R130" s="28">
        <f t="shared" si="129"/>
        <v>0</v>
      </c>
      <c r="S130" s="28">
        <f t="shared" si="129"/>
        <v>0</v>
      </c>
      <c r="T130" s="28">
        <f t="shared" si="129"/>
        <v>0</v>
      </c>
      <c r="U130" s="28">
        <f t="shared" si="129"/>
        <v>0</v>
      </c>
      <c r="V130" s="28">
        <f t="shared" si="129"/>
        <v>0</v>
      </c>
      <c r="W130" s="28">
        <f t="shared" si="129"/>
        <v>0</v>
      </c>
      <c r="X130" s="28">
        <f t="shared" si="129"/>
        <v>0</v>
      </c>
      <c r="Y130" s="28">
        <f t="shared" si="129"/>
        <v>0</v>
      </c>
      <c r="Z130" s="28">
        <f t="shared" si="129"/>
        <v>0</v>
      </c>
      <c r="AA130" s="28">
        <f t="shared" si="129"/>
        <v>0</v>
      </c>
      <c r="AB130" s="28">
        <f t="shared" si="129"/>
        <v>0</v>
      </c>
      <c r="AC130" s="28">
        <f t="shared" si="129"/>
        <v>0</v>
      </c>
      <c r="AD130" s="28">
        <f t="shared" si="129"/>
        <v>0</v>
      </c>
      <c r="AE130" s="28">
        <f t="shared" si="129"/>
        <v>0</v>
      </c>
      <c r="AF130" s="28">
        <f t="shared" si="129"/>
        <v>0</v>
      </c>
      <c r="AG130" s="28">
        <f t="shared" si="129"/>
        <v>0</v>
      </c>
      <c r="AH130" s="28">
        <f t="shared" si="129"/>
        <v>0</v>
      </c>
      <c r="AI130" s="28">
        <f t="shared" si="129"/>
        <v>0</v>
      </c>
      <c r="AJ130" s="28">
        <f t="shared" si="129"/>
        <v>0</v>
      </c>
      <c r="AK130" s="28">
        <f t="shared" si="129"/>
        <v>0</v>
      </c>
      <c r="AL130" s="28">
        <f t="shared" si="129"/>
        <v>0</v>
      </c>
      <c r="AM130" s="28">
        <f t="shared" si="129"/>
        <v>0</v>
      </c>
      <c r="AN130" s="28">
        <f t="shared" si="129"/>
        <v>0</v>
      </c>
      <c r="AO130" s="28">
        <f t="shared" si="129"/>
        <v>0</v>
      </c>
      <c r="AP130" s="28">
        <f t="shared" si="129"/>
        <v>0</v>
      </c>
      <c r="AQ130" s="28">
        <f t="shared" si="129"/>
        <v>0</v>
      </c>
      <c r="AR130" s="28">
        <f t="shared" si="129"/>
        <v>0</v>
      </c>
      <c r="AS130" s="28">
        <f t="shared" si="129"/>
        <v>0</v>
      </c>
      <c r="AT130" s="28">
        <f t="shared" si="129"/>
        <v>0</v>
      </c>
    </row>
    <row r="131">
      <c r="A131" s="5" t="s">
        <v>140</v>
      </c>
      <c r="B131" s="6">
        <v>1000.0</v>
      </c>
      <c r="C131" s="7" t="s">
        <v>8</v>
      </c>
      <c r="D131" s="15">
        <v>75229.0</v>
      </c>
      <c r="F131" s="15">
        <f>IFERROR(__xludf.DUMMYFUNCTION("""COMPUTED_VALUE"""),78584.0)</f>
        <v>78584</v>
      </c>
      <c r="G131" s="26">
        <f t="shared" si="2"/>
        <v>250</v>
      </c>
      <c r="J131" s="27">
        <f>IFERROR(__xludf.DUMMYFUNCTION("""COMPUTED_VALUE"""),78584.0)</f>
        <v>78584</v>
      </c>
      <c r="K131" s="28">
        <f t="shared" ref="K131:AT131" si="130">sumifs($B:$B,$D:$D,$J131,$C:$C,K$1)</f>
        <v>0</v>
      </c>
      <c r="L131" s="28">
        <f t="shared" si="130"/>
        <v>0</v>
      </c>
      <c r="M131" s="28">
        <f t="shared" si="130"/>
        <v>0</v>
      </c>
      <c r="N131" s="28">
        <f t="shared" si="130"/>
        <v>0</v>
      </c>
      <c r="O131" s="28">
        <f t="shared" si="130"/>
        <v>0</v>
      </c>
      <c r="P131" s="28">
        <f t="shared" si="130"/>
        <v>0</v>
      </c>
      <c r="Q131" s="28">
        <f t="shared" si="130"/>
        <v>250</v>
      </c>
      <c r="R131" s="28">
        <f t="shared" si="130"/>
        <v>0</v>
      </c>
      <c r="S131" s="28">
        <f t="shared" si="130"/>
        <v>0</v>
      </c>
      <c r="T131" s="28">
        <f t="shared" si="130"/>
        <v>0</v>
      </c>
      <c r="U131" s="28">
        <f t="shared" si="130"/>
        <v>0</v>
      </c>
      <c r="V131" s="28">
        <f t="shared" si="130"/>
        <v>0</v>
      </c>
      <c r="W131" s="28">
        <f t="shared" si="130"/>
        <v>0</v>
      </c>
      <c r="X131" s="28">
        <f t="shared" si="130"/>
        <v>0</v>
      </c>
      <c r="Y131" s="28">
        <f t="shared" si="130"/>
        <v>0</v>
      </c>
      <c r="Z131" s="28">
        <f t="shared" si="130"/>
        <v>0</v>
      </c>
      <c r="AA131" s="28">
        <f t="shared" si="130"/>
        <v>0</v>
      </c>
      <c r="AB131" s="28">
        <f t="shared" si="130"/>
        <v>0</v>
      </c>
      <c r="AC131" s="28">
        <f t="shared" si="130"/>
        <v>0</v>
      </c>
      <c r="AD131" s="28">
        <f t="shared" si="130"/>
        <v>0</v>
      </c>
      <c r="AE131" s="28">
        <f t="shared" si="130"/>
        <v>0</v>
      </c>
      <c r="AF131" s="28">
        <f t="shared" si="130"/>
        <v>0</v>
      </c>
      <c r="AG131" s="28">
        <f t="shared" si="130"/>
        <v>0</v>
      </c>
      <c r="AH131" s="28">
        <f t="shared" si="130"/>
        <v>0</v>
      </c>
      <c r="AI131" s="28">
        <f t="shared" si="130"/>
        <v>0</v>
      </c>
      <c r="AJ131" s="28">
        <f t="shared" si="130"/>
        <v>0</v>
      </c>
      <c r="AK131" s="28">
        <f t="shared" si="130"/>
        <v>0</v>
      </c>
      <c r="AL131" s="28">
        <f t="shared" si="130"/>
        <v>0</v>
      </c>
      <c r="AM131" s="28">
        <f t="shared" si="130"/>
        <v>0</v>
      </c>
      <c r="AN131" s="28">
        <f t="shared" si="130"/>
        <v>0</v>
      </c>
      <c r="AO131" s="28">
        <f t="shared" si="130"/>
        <v>0</v>
      </c>
      <c r="AP131" s="28">
        <f t="shared" si="130"/>
        <v>0</v>
      </c>
      <c r="AQ131" s="28">
        <f t="shared" si="130"/>
        <v>0</v>
      </c>
      <c r="AR131" s="28">
        <f t="shared" si="130"/>
        <v>0</v>
      </c>
      <c r="AS131" s="28">
        <f t="shared" si="130"/>
        <v>0</v>
      </c>
      <c r="AT131" s="28">
        <f t="shared" si="130"/>
        <v>0</v>
      </c>
    </row>
    <row r="132">
      <c r="A132" s="5" t="s">
        <v>141</v>
      </c>
      <c r="B132" s="6">
        <v>1.0</v>
      </c>
      <c r="C132" s="7" t="s">
        <v>142</v>
      </c>
      <c r="D132" s="15">
        <v>75206.0</v>
      </c>
      <c r="F132" s="15">
        <f>IFERROR(__xludf.DUMMYFUNCTION("""COMPUTED_VALUE"""),77004.0)</f>
        <v>77004</v>
      </c>
      <c r="G132" s="26">
        <f t="shared" si="2"/>
        <v>1675</v>
      </c>
      <c r="J132" s="27">
        <f>IFERROR(__xludf.DUMMYFUNCTION("""COMPUTED_VALUE"""),77004.0)</f>
        <v>77004</v>
      </c>
      <c r="K132" s="28">
        <f t="shared" ref="K132:AT132" si="131">sumifs($B:$B,$D:$D,$J132,$C:$C,K$1)</f>
        <v>0</v>
      </c>
      <c r="L132" s="28">
        <f t="shared" si="131"/>
        <v>0</v>
      </c>
      <c r="M132" s="28">
        <f t="shared" si="131"/>
        <v>0</v>
      </c>
      <c r="N132" s="28">
        <f t="shared" si="131"/>
        <v>0</v>
      </c>
      <c r="O132" s="28">
        <f t="shared" si="131"/>
        <v>0</v>
      </c>
      <c r="P132" s="28">
        <f t="shared" si="131"/>
        <v>0</v>
      </c>
      <c r="Q132" s="28">
        <f t="shared" si="131"/>
        <v>175</v>
      </c>
      <c r="R132" s="28">
        <f t="shared" si="131"/>
        <v>0</v>
      </c>
      <c r="S132" s="28">
        <f t="shared" si="131"/>
        <v>0</v>
      </c>
      <c r="T132" s="28">
        <f t="shared" si="131"/>
        <v>0</v>
      </c>
      <c r="U132" s="28">
        <f t="shared" si="131"/>
        <v>0</v>
      </c>
      <c r="V132" s="28">
        <f t="shared" si="131"/>
        <v>0</v>
      </c>
      <c r="W132" s="28">
        <f t="shared" si="131"/>
        <v>0</v>
      </c>
      <c r="X132" s="28">
        <f t="shared" si="131"/>
        <v>0</v>
      </c>
      <c r="Y132" s="28">
        <f t="shared" si="131"/>
        <v>0</v>
      </c>
      <c r="Z132" s="28">
        <f t="shared" si="131"/>
        <v>0</v>
      </c>
      <c r="AA132" s="28">
        <f t="shared" si="131"/>
        <v>0</v>
      </c>
      <c r="AB132" s="28">
        <f t="shared" si="131"/>
        <v>0</v>
      </c>
      <c r="AC132" s="28">
        <f t="shared" si="131"/>
        <v>0</v>
      </c>
      <c r="AD132" s="28">
        <f t="shared" si="131"/>
        <v>0</v>
      </c>
      <c r="AE132" s="28">
        <f t="shared" si="131"/>
        <v>0</v>
      </c>
      <c r="AF132" s="28">
        <f t="shared" si="131"/>
        <v>0</v>
      </c>
      <c r="AG132" s="28">
        <f t="shared" si="131"/>
        <v>0</v>
      </c>
      <c r="AH132" s="28">
        <f t="shared" si="131"/>
        <v>0</v>
      </c>
      <c r="AI132" s="28">
        <f t="shared" si="131"/>
        <v>1500</v>
      </c>
      <c r="AJ132" s="28">
        <f t="shared" si="131"/>
        <v>0</v>
      </c>
      <c r="AK132" s="28">
        <f t="shared" si="131"/>
        <v>0</v>
      </c>
      <c r="AL132" s="28">
        <f t="shared" si="131"/>
        <v>0</v>
      </c>
      <c r="AM132" s="28">
        <f t="shared" si="131"/>
        <v>0</v>
      </c>
      <c r="AN132" s="28">
        <f t="shared" si="131"/>
        <v>0</v>
      </c>
      <c r="AO132" s="28">
        <f t="shared" si="131"/>
        <v>0</v>
      </c>
      <c r="AP132" s="28">
        <f t="shared" si="131"/>
        <v>0</v>
      </c>
      <c r="AQ132" s="28">
        <f t="shared" si="131"/>
        <v>0</v>
      </c>
      <c r="AR132" s="28">
        <f t="shared" si="131"/>
        <v>0</v>
      </c>
      <c r="AS132" s="28">
        <f t="shared" si="131"/>
        <v>0</v>
      </c>
      <c r="AT132" s="28">
        <f t="shared" si="131"/>
        <v>0</v>
      </c>
    </row>
    <row r="133">
      <c r="A133" s="10" t="s">
        <v>143</v>
      </c>
      <c r="B133" s="11">
        <v>100.0</v>
      </c>
      <c r="C133" s="12" t="s">
        <v>142</v>
      </c>
      <c r="D133" s="15">
        <v>75218.0</v>
      </c>
      <c r="F133" s="15">
        <f>IFERROR(__xludf.DUMMYFUNCTION("""COMPUTED_VALUE"""),78526.0)</f>
        <v>78526</v>
      </c>
      <c r="G133" s="26">
        <f t="shared" si="2"/>
        <v>100</v>
      </c>
      <c r="J133" s="27">
        <f>IFERROR(__xludf.DUMMYFUNCTION("""COMPUTED_VALUE"""),78526.0)</f>
        <v>78526</v>
      </c>
      <c r="K133" s="28">
        <f t="shared" ref="K133:AT133" si="132">sumifs($B:$B,$D:$D,$J133,$C:$C,K$1)</f>
        <v>0</v>
      </c>
      <c r="L133" s="28">
        <f t="shared" si="132"/>
        <v>0</v>
      </c>
      <c r="M133" s="28">
        <f t="shared" si="132"/>
        <v>0</v>
      </c>
      <c r="N133" s="28">
        <f t="shared" si="132"/>
        <v>0</v>
      </c>
      <c r="O133" s="28">
        <f t="shared" si="132"/>
        <v>0</v>
      </c>
      <c r="P133" s="28">
        <f t="shared" si="132"/>
        <v>0</v>
      </c>
      <c r="Q133" s="28">
        <f t="shared" si="132"/>
        <v>100</v>
      </c>
      <c r="R133" s="28">
        <f t="shared" si="132"/>
        <v>0</v>
      </c>
      <c r="S133" s="28">
        <f t="shared" si="132"/>
        <v>0</v>
      </c>
      <c r="T133" s="28">
        <f t="shared" si="132"/>
        <v>0</v>
      </c>
      <c r="U133" s="28">
        <f t="shared" si="132"/>
        <v>0</v>
      </c>
      <c r="V133" s="28">
        <f t="shared" si="132"/>
        <v>0</v>
      </c>
      <c r="W133" s="28">
        <f t="shared" si="132"/>
        <v>0</v>
      </c>
      <c r="X133" s="28">
        <f t="shared" si="132"/>
        <v>0</v>
      </c>
      <c r="Y133" s="28">
        <f t="shared" si="132"/>
        <v>0</v>
      </c>
      <c r="Z133" s="28">
        <f t="shared" si="132"/>
        <v>0</v>
      </c>
      <c r="AA133" s="28">
        <f t="shared" si="132"/>
        <v>0</v>
      </c>
      <c r="AB133" s="28">
        <f t="shared" si="132"/>
        <v>0</v>
      </c>
      <c r="AC133" s="28">
        <f t="shared" si="132"/>
        <v>0</v>
      </c>
      <c r="AD133" s="28">
        <f t="shared" si="132"/>
        <v>0</v>
      </c>
      <c r="AE133" s="28">
        <f t="shared" si="132"/>
        <v>0</v>
      </c>
      <c r="AF133" s="28">
        <f t="shared" si="132"/>
        <v>0</v>
      </c>
      <c r="AG133" s="28">
        <f t="shared" si="132"/>
        <v>0</v>
      </c>
      <c r="AH133" s="28">
        <f t="shared" si="132"/>
        <v>0</v>
      </c>
      <c r="AI133" s="28">
        <f t="shared" si="132"/>
        <v>0</v>
      </c>
      <c r="AJ133" s="28">
        <f t="shared" si="132"/>
        <v>0</v>
      </c>
      <c r="AK133" s="28">
        <f t="shared" si="132"/>
        <v>0</v>
      </c>
      <c r="AL133" s="28">
        <f t="shared" si="132"/>
        <v>0</v>
      </c>
      <c r="AM133" s="28">
        <f t="shared" si="132"/>
        <v>0</v>
      </c>
      <c r="AN133" s="28">
        <f t="shared" si="132"/>
        <v>0</v>
      </c>
      <c r="AO133" s="28">
        <f t="shared" si="132"/>
        <v>0</v>
      </c>
      <c r="AP133" s="28">
        <f t="shared" si="132"/>
        <v>0</v>
      </c>
      <c r="AQ133" s="28">
        <f t="shared" si="132"/>
        <v>0</v>
      </c>
      <c r="AR133" s="28">
        <f t="shared" si="132"/>
        <v>0</v>
      </c>
      <c r="AS133" s="28">
        <f t="shared" si="132"/>
        <v>0</v>
      </c>
      <c r="AT133" s="28">
        <f t="shared" si="132"/>
        <v>0</v>
      </c>
    </row>
    <row r="134">
      <c r="A134" s="5" t="s">
        <v>144</v>
      </c>
      <c r="B134" s="6">
        <v>100.0</v>
      </c>
      <c r="C134" s="7" t="s">
        <v>142</v>
      </c>
      <c r="D134" s="15">
        <v>75231.0</v>
      </c>
      <c r="F134" s="15">
        <f>IFERROR(__xludf.DUMMYFUNCTION("""COMPUTED_VALUE"""),78701.0)</f>
        <v>78701</v>
      </c>
      <c r="G134" s="26">
        <f t="shared" si="2"/>
        <v>32500</v>
      </c>
      <c r="J134" s="27">
        <f>IFERROR(__xludf.DUMMYFUNCTION("""COMPUTED_VALUE"""),78701.0)</f>
        <v>78701</v>
      </c>
      <c r="K134" s="28">
        <f t="shared" ref="K134:AT134" si="133">sumifs($B:$B,$D:$D,$J134,$C:$C,K$1)</f>
        <v>0</v>
      </c>
      <c r="L134" s="28">
        <f t="shared" si="133"/>
        <v>0</v>
      </c>
      <c r="M134" s="28">
        <f t="shared" si="133"/>
        <v>0</v>
      </c>
      <c r="N134" s="28">
        <f t="shared" si="133"/>
        <v>0</v>
      </c>
      <c r="O134" s="28">
        <f t="shared" si="133"/>
        <v>0</v>
      </c>
      <c r="P134" s="28">
        <f t="shared" si="133"/>
        <v>0</v>
      </c>
      <c r="Q134" s="28">
        <f t="shared" si="133"/>
        <v>0</v>
      </c>
      <c r="R134" s="28">
        <f t="shared" si="133"/>
        <v>0</v>
      </c>
      <c r="S134" s="28">
        <f t="shared" si="133"/>
        <v>0</v>
      </c>
      <c r="T134" s="28">
        <f t="shared" si="133"/>
        <v>0</v>
      </c>
      <c r="U134" s="28">
        <f t="shared" si="133"/>
        <v>0</v>
      </c>
      <c r="V134" s="28">
        <f t="shared" si="133"/>
        <v>0</v>
      </c>
      <c r="W134" s="28">
        <f t="shared" si="133"/>
        <v>0</v>
      </c>
      <c r="X134" s="28">
        <f t="shared" si="133"/>
        <v>0</v>
      </c>
      <c r="Y134" s="28">
        <f t="shared" si="133"/>
        <v>0</v>
      </c>
      <c r="Z134" s="28">
        <f t="shared" si="133"/>
        <v>0</v>
      </c>
      <c r="AA134" s="28">
        <f t="shared" si="133"/>
        <v>0</v>
      </c>
      <c r="AB134" s="28">
        <f t="shared" si="133"/>
        <v>0</v>
      </c>
      <c r="AC134" s="28">
        <f t="shared" si="133"/>
        <v>0</v>
      </c>
      <c r="AD134" s="28">
        <f t="shared" si="133"/>
        <v>0</v>
      </c>
      <c r="AE134" s="28">
        <f t="shared" si="133"/>
        <v>0</v>
      </c>
      <c r="AF134" s="28">
        <f t="shared" si="133"/>
        <v>0</v>
      </c>
      <c r="AG134" s="28">
        <f t="shared" si="133"/>
        <v>0</v>
      </c>
      <c r="AH134" s="28">
        <f t="shared" si="133"/>
        <v>0</v>
      </c>
      <c r="AI134" s="28">
        <f t="shared" si="133"/>
        <v>32500</v>
      </c>
      <c r="AJ134" s="28">
        <f t="shared" si="133"/>
        <v>0</v>
      </c>
      <c r="AK134" s="28">
        <f t="shared" si="133"/>
        <v>0</v>
      </c>
      <c r="AL134" s="28">
        <f t="shared" si="133"/>
        <v>0</v>
      </c>
      <c r="AM134" s="28">
        <f t="shared" si="133"/>
        <v>0</v>
      </c>
      <c r="AN134" s="28">
        <f t="shared" si="133"/>
        <v>0</v>
      </c>
      <c r="AO134" s="28">
        <f t="shared" si="133"/>
        <v>0</v>
      </c>
      <c r="AP134" s="28">
        <f t="shared" si="133"/>
        <v>0</v>
      </c>
      <c r="AQ134" s="28">
        <f t="shared" si="133"/>
        <v>0</v>
      </c>
      <c r="AR134" s="28">
        <f t="shared" si="133"/>
        <v>0</v>
      </c>
      <c r="AS134" s="28">
        <f t="shared" si="133"/>
        <v>0</v>
      </c>
      <c r="AT134" s="28">
        <f t="shared" si="133"/>
        <v>0</v>
      </c>
    </row>
    <row r="135">
      <c r="A135" s="10" t="s">
        <v>145</v>
      </c>
      <c r="B135" s="11">
        <v>250.0</v>
      </c>
      <c r="C135" s="12" t="s">
        <v>142</v>
      </c>
      <c r="D135" s="15">
        <v>75209.0</v>
      </c>
      <c r="F135" s="15">
        <f>IFERROR(__xludf.DUMMYFUNCTION("""COMPUTED_VALUE"""),75222.0)</f>
        <v>75222</v>
      </c>
      <c r="G135" s="26">
        <f t="shared" si="2"/>
        <v>1400</v>
      </c>
      <c r="J135" s="27">
        <f>IFERROR(__xludf.DUMMYFUNCTION("""COMPUTED_VALUE"""),75222.0)</f>
        <v>75222</v>
      </c>
      <c r="K135" s="28">
        <f t="shared" ref="K135:AT135" si="134">sumifs($B:$B,$D:$D,$J135,$C:$C,K$1)</f>
        <v>0</v>
      </c>
      <c r="L135" s="28">
        <f t="shared" si="134"/>
        <v>0</v>
      </c>
      <c r="M135" s="28">
        <f t="shared" si="134"/>
        <v>0</v>
      </c>
      <c r="N135" s="28">
        <f t="shared" si="134"/>
        <v>0</v>
      </c>
      <c r="O135" s="28">
        <f t="shared" si="134"/>
        <v>0</v>
      </c>
      <c r="P135" s="28">
        <f t="shared" si="134"/>
        <v>500</v>
      </c>
      <c r="Q135" s="28">
        <f t="shared" si="134"/>
        <v>0</v>
      </c>
      <c r="R135" s="28">
        <f t="shared" si="134"/>
        <v>0</v>
      </c>
      <c r="S135" s="28">
        <f t="shared" si="134"/>
        <v>0</v>
      </c>
      <c r="T135" s="28">
        <f t="shared" si="134"/>
        <v>0</v>
      </c>
      <c r="U135" s="28">
        <f t="shared" si="134"/>
        <v>0</v>
      </c>
      <c r="V135" s="28">
        <f t="shared" si="134"/>
        <v>0</v>
      </c>
      <c r="W135" s="28">
        <f t="shared" si="134"/>
        <v>0</v>
      </c>
      <c r="X135" s="28">
        <f t="shared" si="134"/>
        <v>0</v>
      </c>
      <c r="Y135" s="28">
        <f t="shared" si="134"/>
        <v>0</v>
      </c>
      <c r="Z135" s="28">
        <f t="shared" si="134"/>
        <v>0</v>
      </c>
      <c r="AA135" s="28">
        <f t="shared" si="134"/>
        <v>0</v>
      </c>
      <c r="AB135" s="28">
        <f t="shared" si="134"/>
        <v>0</v>
      </c>
      <c r="AC135" s="28">
        <f t="shared" si="134"/>
        <v>900</v>
      </c>
      <c r="AD135" s="28">
        <f t="shared" si="134"/>
        <v>0</v>
      </c>
      <c r="AE135" s="28">
        <f t="shared" si="134"/>
        <v>0</v>
      </c>
      <c r="AF135" s="28">
        <f t="shared" si="134"/>
        <v>0</v>
      </c>
      <c r="AG135" s="28">
        <f t="shared" si="134"/>
        <v>0</v>
      </c>
      <c r="AH135" s="28">
        <f t="shared" si="134"/>
        <v>0</v>
      </c>
      <c r="AI135" s="28">
        <f t="shared" si="134"/>
        <v>0</v>
      </c>
      <c r="AJ135" s="28">
        <f t="shared" si="134"/>
        <v>0</v>
      </c>
      <c r="AK135" s="28">
        <f t="shared" si="134"/>
        <v>0</v>
      </c>
      <c r="AL135" s="28">
        <f t="shared" si="134"/>
        <v>0</v>
      </c>
      <c r="AM135" s="28">
        <f t="shared" si="134"/>
        <v>0</v>
      </c>
      <c r="AN135" s="28">
        <f t="shared" si="134"/>
        <v>0</v>
      </c>
      <c r="AO135" s="28">
        <f t="shared" si="134"/>
        <v>0</v>
      </c>
      <c r="AP135" s="28">
        <f t="shared" si="134"/>
        <v>0</v>
      </c>
      <c r="AQ135" s="28">
        <f t="shared" si="134"/>
        <v>0</v>
      </c>
      <c r="AR135" s="28">
        <f t="shared" si="134"/>
        <v>0</v>
      </c>
      <c r="AS135" s="28">
        <f t="shared" si="134"/>
        <v>0</v>
      </c>
      <c r="AT135" s="28">
        <f t="shared" si="134"/>
        <v>0</v>
      </c>
    </row>
    <row r="136">
      <c r="A136" s="5" t="s">
        <v>146</v>
      </c>
      <c r="B136" s="6">
        <v>100.0</v>
      </c>
      <c r="C136" s="7" t="s">
        <v>142</v>
      </c>
      <c r="D136" s="15">
        <v>75209.0</v>
      </c>
      <c r="F136" s="15">
        <f>IFERROR(__xludf.DUMMYFUNCTION("""COMPUTED_VALUE"""),77098.0)</f>
        <v>77098</v>
      </c>
      <c r="G136" s="26">
        <f t="shared" si="2"/>
        <v>3000</v>
      </c>
      <c r="J136" s="27">
        <f>IFERROR(__xludf.DUMMYFUNCTION("""COMPUTED_VALUE"""),77098.0)</f>
        <v>77098</v>
      </c>
      <c r="K136" s="28">
        <f t="shared" ref="K136:AT136" si="135">sumifs($B:$B,$D:$D,$J136,$C:$C,K$1)</f>
        <v>0</v>
      </c>
      <c r="L136" s="28">
        <f t="shared" si="135"/>
        <v>0</v>
      </c>
      <c r="M136" s="28">
        <f t="shared" si="135"/>
        <v>0</v>
      </c>
      <c r="N136" s="28">
        <f t="shared" si="135"/>
        <v>0</v>
      </c>
      <c r="O136" s="28">
        <f t="shared" si="135"/>
        <v>0</v>
      </c>
      <c r="P136" s="28">
        <f t="shared" si="135"/>
        <v>0</v>
      </c>
      <c r="Q136" s="28">
        <f t="shared" si="135"/>
        <v>0</v>
      </c>
      <c r="R136" s="28">
        <f t="shared" si="135"/>
        <v>0</v>
      </c>
      <c r="S136" s="28">
        <f t="shared" si="135"/>
        <v>0</v>
      </c>
      <c r="T136" s="28">
        <f t="shared" si="135"/>
        <v>0</v>
      </c>
      <c r="U136" s="28">
        <f t="shared" si="135"/>
        <v>0</v>
      </c>
      <c r="V136" s="28">
        <f t="shared" si="135"/>
        <v>0</v>
      </c>
      <c r="W136" s="28">
        <f t="shared" si="135"/>
        <v>0</v>
      </c>
      <c r="X136" s="28">
        <f t="shared" si="135"/>
        <v>0</v>
      </c>
      <c r="Y136" s="28">
        <f t="shared" si="135"/>
        <v>0</v>
      </c>
      <c r="Z136" s="28">
        <f t="shared" si="135"/>
        <v>0</v>
      </c>
      <c r="AA136" s="28">
        <f t="shared" si="135"/>
        <v>0</v>
      </c>
      <c r="AB136" s="28">
        <f t="shared" si="135"/>
        <v>0</v>
      </c>
      <c r="AC136" s="28">
        <f t="shared" si="135"/>
        <v>500</v>
      </c>
      <c r="AD136" s="28">
        <f t="shared" si="135"/>
        <v>0</v>
      </c>
      <c r="AE136" s="28">
        <f t="shared" si="135"/>
        <v>0</v>
      </c>
      <c r="AF136" s="28">
        <f t="shared" si="135"/>
        <v>0</v>
      </c>
      <c r="AG136" s="28">
        <f t="shared" si="135"/>
        <v>0</v>
      </c>
      <c r="AH136" s="28">
        <f t="shared" si="135"/>
        <v>0</v>
      </c>
      <c r="AI136" s="28">
        <f t="shared" si="135"/>
        <v>2500</v>
      </c>
      <c r="AJ136" s="28">
        <f t="shared" si="135"/>
        <v>0</v>
      </c>
      <c r="AK136" s="28">
        <f t="shared" si="135"/>
        <v>0</v>
      </c>
      <c r="AL136" s="28">
        <f t="shared" si="135"/>
        <v>0</v>
      </c>
      <c r="AM136" s="28">
        <f t="shared" si="135"/>
        <v>0</v>
      </c>
      <c r="AN136" s="28">
        <f t="shared" si="135"/>
        <v>0</v>
      </c>
      <c r="AO136" s="28">
        <f t="shared" si="135"/>
        <v>0</v>
      </c>
      <c r="AP136" s="28">
        <f t="shared" si="135"/>
        <v>0</v>
      </c>
      <c r="AQ136" s="28">
        <f t="shared" si="135"/>
        <v>0</v>
      </c>
      <c r="AR136" s="28">
        <f t="shared" si="135"/>
        <v>0</v>
      </c>
      <c r="AS136" s="28">
        <f t="shared" si="135"/>
        <v>0</v>
      </c>
      <c r="AT136" s="28">
        <f t="shared" si="135"/>
        <v>0</v>
      </c>
    </row>
    <row r="137">
      <c r="A137" s="10" t="s">
        <v>147</v>
      </c>
      <c r="B137" s="11">
        <v>250.0</v>
      </c>
      <c r="C137" s="12" t="s">
        <v>142</v>
      </c>
      <c r="D137" s="15">
        <v>75218.0</v>
      </c>
      <c r="F137" s="15">
        <f>IFERROR(__xludf.DUMMYFUNCTION("""COMPUTED_VALUE"""),78703.0)</f>
        <v>78703</v>
      </c>
      <c r="G137" s="26">
        <f t="shared" si="2"/>
        <v>4750</v>
      </c>
      <c r="J137" s="27">
        <f>IFERROR(__xludf.DUMMYFUNCTION("""COMPUTED_VALUE"""),78703.0)</f>
        <v>78703</v>
      </c>
      <c r="K137" s="28">
        <f t="shared" ref="K137:AT137" si="136">sumifs($B:$B,$D:$D,$J137,$C:$C,K$1)</f>
        <v>0</v>
      </c>
      <c r="L137" s="28">
        <f t="shared" si="136"/>
        <v>0</v>
      </c>
      <c r="M137" s="28">
        <f t="shared" si="136"/>
        <v>0</v>
      </c>
      <c r="N137" s="28">
        <f t="shared" si="136"/>
        <v>0</v>
      </c>
      <c r="O137" s="28">
        <f t="shared" si="136"/>
        <v>0</v>
      </c>
      <c r="P137" s="28">
        <f t="shared" si="136"/>
        <v>0</v>
      </c>
      <c r="Q137" s="28">
        <f t="shared" si="136"/>
        <v>0</v>
      </c>
      <c r="R137" s="28">
        <f t="shared" si="136"/>
        <v>0</v>
      </c>
      <c r="S137" s="28">
        <f t="shared" si="136"/>
        <v>0</v>
      </c>
      <c r="T137" s="28">
        <f t="shared" si="136"/>
        <v>0</v>
      </c>
      <c r="U137" s="28">
        <f t="shared" si="136"/>
        <v>0</v>
      </c>
      <c r="V137" s="28">
        <f t="shared" si="136"/>
        <v>0</v>
      </c>
      <c r="W137" s="28">
        <f t="shared" si="136"/>
        <v>0</v>
      </c>
      <c r="X137" s="28">
        <f t="shared" si="136"/>
        <v>0</v>
      </c>
      <c r="Y137" s="28">
        <f t="shared" si="136"/>
        <v>0</v>
      </c>
      <c r="Z137" s="28">
        <f t="shared" si="136"/>
        <v>0</v>
      </c>
      <c r="AA137" s="28">
        <f t="shared" si="136"/>
        <v>0</v>
      </c>
      <c r="AB137" s="28">
        <f t="shared" si="136"/>
        <v>0</v>
      </c>
      <c r="AC137" s="28">
        <f t="shared" si="136"/>
        <v>1750</v>
      </c>
      <c r="AD137" s="28">
        <f t="shared" si="136"/>
        <v>0</v>
      </c>
      <c r="AE137" s="28">
        <f t="shared" si="136"/>
        <v>0</v>
      </c>
      <c r="AF137" s="28">
        <f t="shared" si="136"/>
        <v>0</v>
      </c>
      <c r="AG137" s="28">
        <f t="shared" si="136"/>
        <v>0</v>
      </c>
      <c r="AH137" s="28">
        <f t="shared" si="136"/>
        <v>0</v>
      </c>
      <c r="AI137" s="28">
        <f t="shared" si="136"/>
        <v>3000</v>
      </c>
      <c r="AJ137" s="28">
        <f t="shared" si="136"/>
        <v>0</v>
      </c>
      <c r="AK137" s="28">
        <f t="shared" si="136"/>
        <v>0</v>
      </c>
      <c r="AL137" s="28">
        <f t="shared" si="136"/>
        <v>0</v>
      </c>
      <c r="AM137" s="28">
        <f t="shared" si="136"/>
        <v>0</v>
      </c>
      <c r="AN137" s="28">
        <f t="shared" si="136"/>
        <v>0</v>
      </c>
      <c r="AO137" s="28">
        <f t="shared" si="136"/>
        <v>0</v>
      </c>
      <c r="AP137" s="28">
        <f t="shared" si="136"/>
        <v>0</v>
      </c>
      <c r="AQ137" s="28">
        <f t="shared" si="136"/>
        <v>0</v>
      </c>
      <c r="AR137" s="28">
        <f t="shared" si="136"/>
        <v>0</v>
      </c>
      <c r="AS137" s="28">
        <f t="shared" si="136"/>
        <v>0</v>
      </c>
      <c r="AT137" s="28">
        <f t="shared" si="136"/>
        <v>0</v>
      </c>
    </row>
    <row r="138">
      <c r="A138" s="5" t="s">
        <v>148</v>
      </c>
      <c r="B138" s="6">
        <v>100.0</v>
      </c>
      <c r="C138" s="7" t="s">
        <v>142</v>
      </c>
      <c r="D138" s="15">
        <v>75218.0</v>
      </c>
      <c r="F138" s="15">
        <f>IFERROR(__xludf.DUMMYFUNCTION("""COMPUTED_VALUE"""),75270.0)</f>
        <v>75270</v>
      </c>
      <c r="G138" s="26">
        <f t="shared" si="2"/>
        <v>1050</v>
      </c>
      <c r="J138" s="27">
        <f>IFERROR(__xludf.DUMMYFUNCTION("""COMPUTED_VALUE"""),75270.0)</f>
        <v>75270</v>
      </c>
      <c r="K138" s="28">
        <f t="shared" ref="K138:AT138" si="137">sumifs($B:$B,$D:$D,$J138,$C:$C,K$1)</f>
        <v>0</v>
      </c>
      <c r="L138" s="28">
        <f t="shared" si="137"/>
        <v>0</v>
      </c>
      <c r="M138" s="28">
        <f t="shared" si="137"/>
        <v>0</v>
      </c>
      <c r="N138" s="28">
        <f t="shared" si="137"/>
        <v>0</v>
      </c>
      <c r="O138" s="28">
        <f t="shared" si="137"/>
        <v>0</v>
      </c>
      <c r="P138" s="28">
        <f t="shared" si="137"/>
        <v>0</v>
      </c>
      <c r="Q138" s="28">
        <f t="shared" si="137"/>
        <v>0</v>
      </c>
      <c r="R138" s="28">
        <f t="shared" si="137"/>
        <v>0</v>
      </c>
      <c r="S138" s="28">
        <f t="shared" si="137"/>
        <v>0</v>
      </c>
      <c r="T138" s="28">
        <f t="shared" si="137"/>
        <v>0</v>
      </c>
      <c r="U138" s="28">
        <f t="shared" si="137"/>
        <v>0</v>
      </c>
      <c r="V138" s="28">
        <f t="shared" si="137"/>
        <v>0</v>
      </c>
      <c r="W138" s="28">
        <f t="shared" si="137"/>
        <v>50</v>
      </c>
      <c r="X138" s="28">
        <f t="shared" si="137"/>
        <v>0</v>
      </c>
      <c r="Y138" s="28">
        <f t="shared" si="137"/>
        <v>0</v>
      </c>
      <c r="Z138" s="28">
        <f t="shared" si="137"/>
        <v>0</v>
      </c>
      <c r="AA138" s="28">
        <f t="shared" si="137"/>
        <v>0</v>
      </c>
      <c r="AB138" s="28">
        <f t="shared" si="137"/>
        <v>0</v>
      </c>
      <c r="AC138" s="28">
        <f t="shared" si="137"/>
        <v>1000</v>
      </c>
      <c r="AD138" s="28">
        <f t="shared" si="137"/>
        <v>0</v>
      </c>
      <c r="AE138" s="28">
        <f t="shared" si="137"/>
        <v>0</v>
      </c>
      <c r="AF138" s="28">
        <f t="shared" si="137"/>
        <v>0</v>
      </c>
      <c r="AG138" s="28">
        <f t="shared" si="137"/>
        <v>0</v>
      </c>
      <c r="AH138" s="28">
        <f t="shared" si="137"/>
        <v>0</v>
      </c>
      <c r="AI138" s="28">
        <f t="shared" si="137"/>
        <v>0</v>
      </c>
      <c r="AJ138" s="28">
        <f t="shared" si="137"/>
        <v>0</v>
      </c>
      <c r="AK138" s="28">
        <f t="shared" si="137"/>
        <v>0</v>
      </c>
      <c r="AL138" s="28">
        <f t="shared" si="137"/>
        <v>0</v>
      </c>
      <c r="AM138" s="28">
        <f t="shared" si="137"/>
        <v>0</v>
      </c>
      <c r="AN138" s="28">
        <f t="shared" si="137"/>
        <v>0</v>
      </c>
      <c r="AO138" s="28">
        <f t="shared" si="137"/>
        <v>0</v>
      </c>
      <c r="AP138" s="28">
        <f t="shared" si="137"/>
        <v>0</v>
      </c>
      <c r="AQ138" s="28">
        <f t="shared" si="137"/>
        <v>0</v>
      </c>
      <c r="AR138" s="28">
        <f t="shared" si="137"/>
        <v>0</v>
      </c>
      <c r="AS138" s="28">
        <f t="shared" si="137"/>
        <v>0</v>
      </c>
      <c r="AT138" s="28">
        <f t="shared" si="137"/>
        <v>0</v>
      </c>
    </row>
    <row r="139">
      <c r="A139" s="10" t="s">
        <v>149</v>
      </c>
      <c r="B139" s="11">
        <v>100.0</v>
      </c>
      <c r="C139" s="12" t="s">
        <v>142</v>
      </c>
      <c r="D139" s="15">
        <v>75218.0</v>
      </c>
      <c r="F139" s="15">
        <f>IFERROR(__xludf.DUMMYFUNCTION("""COMPUTED_VALUE"""),76063.0)</f>
        <v>76063</v>
      </c>
      <c r="G139" s="26">
        <f t="shared" si="2"/>
        <v>3150</v>
      </c>
      <c r="J139" s="27">
        <f>IFERROR(__xludf.DUMMYFUNCTION("""COMPUTED_VALUE"""),76063.0)</f>
        <v>76063</v>
      </c>
      <c r="K139" s="28">
        <f t="shared" ref="K139:AT139" si="138">sumifs($B:$B,$D:$D,$J139,$C:$C,K$1)</f>
        <v>0</v>
      </c>
      <c r="L139" s="28">
        <f t="shared" si="138"/>
        <v>0</v>
      </c>
      <c r="M139" s="28">
        <f t="shared" si="138"/>
        <v>1100</v>
      </c>
      <c r="N139" s="28">
        <f t="shared" si="138"/>
        <v>0</v>
      </c>
      <c r="O139" s="28">
        <f t="shared" si="138"/>
        <v>0</v>
      </c>
      <c r="P139" s="28">
        <f t="shared" si="138"/>
        <v>0</v>
      </c>
      <c r="Q139" s="28">
        <f t="shared" si="138"/>
        <v>0</v>
      </c>
      <c r="R139" s="28">
        <f t="shared" si="138"/>
        <v>0</v>
      </c>
      <c r="S139" s="28">
        <f t="shared" si="138"/>
        <v>0</v>
      </c>
      <c r="T139" s="28">
        <f t="shared" si="138"/>
        <v>0</v>
      </c>
      <c r="U139" s="28">
        <f t="shared" si="138"/>
        <v>0</v>
      </c>
      <c r="V139" s="28">
        <f t="shared" si="138"/>
        <v>0</v>
      </c>
      <c r="W139" s="28">
        <f t="shared" si="138"/>
        <v>0</v>
      </c>
      <c r="X139" s="28">
        <f t="shared" si="138"/>
        <v>0</v>
      </c>
      <c r="Y139" s="28">
        <f t="shared" si="138"/>
        <v>0</v>
      </c>
      <c r="Z139" s="28">
        <f t="shared" si="138"/>
        <v>0</v>
      </c>
      <c r="AA139" s="28">
        <f t="shared" si="138"/>
        <v>0</v>
      </c>
      <c r="AB139" s="28">
        <f t="shared" si="138"/>
        <v>0</v>
      </c>
      <c r="AC139" s="28">
        <f t="shared" si="138"/>
        <v>1500</v>
      </c>
      <c r="AD139" s="28">
        <f t="shared" si="138"/>
        <v>0</v>
      </c>
      <c r="AE139" s="28">
        <f t="shared" si="138"/>
        <v>0</v>
      </c>
      <c r="AF139" s="28">
        <f t="shared" si="138"/>
        <v>0</v>
      </c>
      <c r="AG139" s="28">
        <f t="shared" si="138"/>
        <v>0</v>
      </c>
      <c r="AH139" s="28">
        <f t="shared" si="138"/>
        <v>0</v>
      </c>
      <c r="AI139" s="28">
        <f t="shared" si="138"/>
        <v>50</v>
      </c>
      <c r="AJ139" s="28">
        <f t="shared" si="138"/>
        <v>0</v>
      </c>
      <c r="AK139" s="28">
        <f t="shared" si="138"/>
        <v>500</v>
      </c>
      <c r="AL139" s="28">
        <f t="shared" si="138"/>
        <v>0</v>
      </c>
      <c r="AM139" s="28">
        <f t="shared" si="138"/>
        <v>0</v>
      </c>
      <c r="AN139" s="28">
        <f t="shared" si="138"/>
        <v>0</v>
      </c>
      <c r="AO139" s="28">
        <f t="shared" si="138"/>
        <v>0</v>
      </c>
      <c r="AP139" s="28">
        <f t="shared" si="138"/>
        <v>0</v>
      </c>
      <c r="AQ139" s="28">
        <f t="shared" si="138"/>
        <v>0</v>
      </c>
      <c r="AR139" s="28">
        <f t="shared" si="138"/>
        <v>0</v>
      </c>
      <c r="AS139" s="28">
        <f t="shared" si="138"/>
        <v>0</v>
      </c>
      <c r="AT139" s="28">
        <f t="shared" si="138"/>
        <v>0</v>
      </c>
    </row>
    <row r="140">
      <c r="A140" s="5" t="s">
        <v>150</v>
      </c>
      <c r="B140" s="6">
        <v>60.0</v>
      </c>
      <c r="C140" s="7" t="s">
        <v>142</v>
      </c>
      <c r="D140" s="15">
        <v>75218.0</v>
      </c>
      <c r="F140" s="15">
        <f>IFERROR(__xludf.DUMMYFUNCTION("""COMPUTED_VALUE"""),77027.0)</f>
        <v>77027</v>
      </c>
      <c r="G140" s="26">
        <f t="shared" si="2"/>
        <v>1025</v>
      </c>
      <c r="J140" s="27">
        <f>IFERROR(__xludf.DUMMYFUNCTION("""COMPUTED_VALUE"""),77027.0)</f>
        <v>77027</v>
      </c>
      <c r="K140" s="28">
        <f t="shared" ref="K140:AT140" si="139">sumifs($B:$B,$D:$D,$J140,$C:$C,K$1)</f>
        <v>0</v>
      </c>
      <c r="L140" s="28">
        <f t="shared" si="139"/>
        <v>0</v>
      </c>
      <c r="M140" s="28">
        <f t="shared" si="139"/>
        <v>0</v>
      </c>
      <c r="N140" s="28">
        <f t="shared" si="139"/>
        <v>0</v>
      </c>
      <c r="O140" s="28">
        <f t="shared" si="139"/>
        <v>0</v>
      </c>
      <c r="P140" s="28">
        <f t="shared" si="139"/>
        <v>0</v>
      </c>
      <c r="Q140" s="28">
        <f t="shared" si="139"/>
        <v>0</v>
      </c>
      <c r="R140" s="28">
        <f t="shared" si="139"/>
        <v>0</v>
      </c>
      <c r="S140" s="28">
        <f t="shared" si="139"/>
        <v>0</v>
      </c>
      <c r="T140" s="28">
        <f t="shared" si="139"/>
        <v>0</v>
      </c>
      <c r="U140" s="28">
        <f t="shared" si="139"/>
        <v>0</v>
      </c>
      <c r="V140" s="28">
        <f t="shared" si="139"/>
        <v>0</v>
      </c>
      <c r="W140" s="28">
        <f t="shared" si="139"/>
        <v>0</v>
      </c>
      <c r="X140" s="28">
        <f t="shared" si="139"/>
        <v>0</v>
      </c>
      <c r="Y140" s="28">
        <f t="shared" si="139"/>
        <v>0</v>
      </c>
      <c r="Z140" s="28">
        <f t="shared" si="139"/>
        <v>0</v>
      </c>
      <c r="AA140" s="28">
        <f t="shared" si="139"/>
        <v>0</v>
      </c>
      <c r="AB140" s="28">
        <f t="shared" si="139"/>
        <v>0</v>
      </c>
      <c r="AC140" s="28">
        <f t="shared" si="139"/>
        <v>25</v>
      </c>
      <c r="AD140" s="28">
        <f t="shared" si="139"/>
        <v>0</v>
      </c>
      <c r="AE140" s="28">
        <f t="shared" si="139"/>
        <v>0</v>
      </c>
      <c r="AF140" s="28">
        <f t="shared" si="139"/>
        <v>0</v>
      </c>
      <c r="AG140" s="28">
        <f t="shared" si="139"/>
        <v>0</v>
      </c>
      <c r="AH140" s="28">
        <f t="shared" si="139"/>
        <v>0</v>
      </c>
      <c r="AI140" s="28">
        <f t="shared" si="139"/>
        <v>1000</v>
      </c>
      <c r="AJ140" s="28">
        <f t="shared" si="139"/>
        <v>0</v>
      </c>
      <c r="AK140" s="28">
        <f t="shared" si="139"/>
        <v>0</v>
      </c>
      <c r="AL140" s="28">
        <f t="shared" si="139"/>
        <v>0</v>
      </c>
      <c r="AM140" s="28">
        <f t="shared" si="139"/>
        <v>0</v>
      </c>
      <c r="AN140" s="28">
        <f t="shared" si="139"/>
        <v>0</v>
      </c>
      <c r="AO140" s="28">
        <f t="shared" si="139"/>
        <v>0</v>
      </c>
      <c r="AP140" s="28">
        <f t="shared" si="139"/>
        <v>0</v>
      </c>
      <c r="AQ140" s="28">
        <f t="shared" si="139"/>
        <v>0</v>
      </c>
      <c r="AR140" s="28">
        <f t="shared" si="139"/>
        <v>0</v>
      </c>
      <c r="AS140" s="28">
        <f t="shared" si="139"/>
        <v>0</v>
      </c>
      <c r="AT140" s="28">
        <f t="shared" si="139"/>
        <v>0</v>
      </c>
    </row>
    <row r="141">
      <c r="A141" s="10" t="s">
        <v>151</v>
      </c>
      <c r="B141" s="11">
        <v>100.0</v>
      </c>
      <c r="C141" s="12" t="s">
        <v>142</v>
      </c>
      <c r="D141" s="15">
        <v>75218.0</v>
      </c>
      <c r="F141" s="15">
        <f>IFERROR(__xludf.DUMMYFUNCTION("""COMPUTED_VALUE"""),78205.0)</f>
        <v>78205</v>
      </c>
      <c r="G141" s="26">
        <f t="shared" si="2"/>
        <v>250</v>
      </c>
      <c r="J141" s="27">
        <f>IFERROR(__xludf.DUMMYFUNCTION("""COMPUTED_VALUE"""),78205.0)</f>
        <v>78205</v>
      </c>
      <c r="K141" s="28">
        <f t="shared" ref="K141:AT141" si="140">sumifs($B:$B,$D:$D,$J141,$C:$C,K$1)</f>
        <v>0</v>
      </c>
      <c r="L141" s="28">
        <f t="shared" si="140"/>
        <v>0</v>
      </c>
      <c r="M141" s="28">
        <f t="shared" si="140"/>
        <v>0</v>
      </c>
      <c r="N141" s="28">
        <f t="shared" si="140"/>
        <v>0</v>
      </c>
      <c r="O141" s="28">
        <f t="shared" si="140"/>
        <v>0</v>
      </c>
      <c r="P141" s="28">
        <f t="shared" si="140"/>
        <v>0</v>
      </c>
      <c r="Q141" s="28">
        <f t="shared" si="140"/>
        <v>0</v>
      </c>
      <c r="R141" s="28">
        <f t="shared" si="140"/>
        <v>0</v>
      </c>
      <c r="S141" s="28">
        <f t="shared" si="140"/>
        <v>0</v>
      </c>
      <c r="T141" s="28">
        <f t="shared" si="140"/>
        <v>0</v>
      </c>
      <c r="U141" s="28">
        <f t="shared" si="140"/>
        <v>0</v>
      </c>
      <c r="V141" s="28">
        <f t="shared" si="140"/>
        <v>0</v>
      </c>
      <c r="W141" s="28">
        <f t="shared" si="140"/>
        <v>0</v>
      </c>
      <c r="X141" s="28">
        <f t="shared" si="140"/>
        <v>0</v>
      </c>
      <c r="Y141" s="28">
        <f t="shared" si="140"/>
        <v>0</v>
      </c>
      <c r="Z141" s="28">
        <f t="shared" si="140"/>
        <v>0</v>
      </c>
      <c r="AA141" s="28">
        <f t="shared" si="140"/>
        <v>0</v>
      </c>
      <c r="AB141" s="28">
        <f t="shared" si="140"/>
        <v>0</v>
      </c>
      <c r="AC141" s="28">
        <f t="shared" si="140"/>
        <v>250</v>
      </c>
      <c r="AD141" s="28">
        <f t="shared" si="140"/>
        <v>0</v>
      </c>
      <c r="AE141" s="28">
        <f t="shared" si="140"/>
        <v>0</v>
      </c>
      <c r="AF141" s="28">
        <f t="shared" si="140"/>
        <v>0</v>
      </c>
      <c r="AG141" s="28">
        <f t="shared" si="140"/>
        <v>0</v>
      </c>
      <c r="AH141" s="28">
        <f t="shared" si="140"/>
        <v>0</v>
      </c>
      <c r="AI141" s="28">
        <f t="shared" si="140"/>
        <v>0</v>
      </c>
      <c r="AJ141" s="28">
        <f t="shared" si="140"/>
        <v>0</v>
      </c>
      <c r="AK141" s="28">
        <f t="shared" si="140"/>
        <v>0</v>
      </c>
      <c r="AL141" s="28">
        <f t="shared" si="140"/>
        <v>0</v>
      </c>
      <c r="AM141" s="28">
        <f t="shared" si="140"/>
        <v>0</v>
      </c>
      <c r="AN141" s="28">
        <f t="shared" si="140"/>
        <v>0</v>
      </c>
      <c r="AO141" s="28">
        <f t="shared" si="140"/>
        <v>0</v>
      </c>
      <c r="AP141" s="28">
        <f t="shared" si="140"/>
        <v>0</v>
      </c>
      <c r="AQ141" s="28">
        <f t="shared" si="140"/>
        <v>0</v>
      </c>
      <c r="AR141" s="28">
        <f t="shared" si="140"/>
        <v>0</v>
      </c>
      <c r="AS141" s="28">
        <f t="shared" si="140"/>
        <v>0</v>
      </c>
      <c r="AT141" s="28">
        <f t="shared" si="140"/>
        <v>0</v>
      </c>
    </row>
    <row r="142">
      <c r="A142" s="5" t="s">
        <v>152</v>
      </c>
      <c r="B142" s="6">
        <v>40.0</v>
      </c>
      <c r="C142" s="7" t="s">
        <v>142</v>
      </c>
      <c r="D142" s="15">
        <v>75218.0</v>
      </c>
      <c r="F142" s="15">
        <f>IFERROR(__xludf.DUMMYFUNCTION("""COMPUTED_VALUE"""),75296.0)</f>
        <v>75296</v>
      </c>
      <c r="G142" s="26">
        <f t="shared" si="2"/>
        <v>250</v>
      </c>
      <c r="J142" s="27">
        <f>IFERROR(__xludf.DUMMYFUNCTION("""COMPUTED_VALUE"""),75296.0)</f>
        <v>75296</v>
      </c>
      <c r="K142" s="28">
        <f t="shared" ref="K142:AT142" si="141">sumifs($B:$B,$D:$D,$J142,$C:$C,K$1)</f>
        <v>0</v>
      </c>
      <c r="L142" s="28">
        <f t="shared" si="141"/>
        <v>0</v>
      </c>
      <c r="M142" s="28">
        <f t="shared" si="141"/>
        <v>0</v>
      </c>
      <c r="N142" s="28">
        <f t="shared" si="141"/>
        <v>0</v>
      </c>
      <c r="O142" s="28">
        <f t="shared" si="141"/>
        <v>0</v>
      </c>
      <c r="P142" s="28">
        <f t="shared" si="141"/>
        <v>0</v>
      </c>
      <c r="Q142" s="28">
        <f t="shared" si="141"/>
        <v>0</v>
      </c>
      <c r="R142" s="28">
        <f t="shared" si="141"/>
        <v>0</v>
      </c>
      <c r="S142" s="28">
        <f t="shared" si="141"/>
        <v>0</v>
      </c>
      <c r="T142" s="28">
        <f t="shared" si="141"/>
        <v>0</v>
      </c>
      <c r="U142" s="28">
        <f t="shared" si="141"/>
        <v>0</v>
      </c>
      <c r="V142" s="28">
        <f t="shared" si="141"/>
        <v>0</v>
      </c>
      <c r="W142" s="28">
        <f t="shared" si="141"/>
        <v>0</v>
      </c>
      <c r="X142" s="28">
        <f t="shared" si="141"/>
        <v>0</v>
      </c>
      <c r="Y142" s="28">
        <f t="shared" si="141"/>
        <v>0</v>
      </c>
      <c r="Z142" s="28">
        <f t="shared" si="141"/>
        <v>0</v>
      </c>
      <c r="AA142" s="28">
        <f t="shared" si="141"/>
        <v>0</v>
      </c>
      <c r="AB142" s="28">
        <f t="shared" si="141"/>
        <v>0</v>
      </c>
      <c r="AC142" s="28">
        <f t="shared" si="141"/>
        <v>250</v>
      </c>
      <c r="AD142" s="28">
        <f t="shared" si="141"/>
        <v>0</v>
      </c>
      <c r="AE142" s="28">
        <f t="shared" si="141"/>
        <v>0</v>
      </c>
      <c r="AF142" s="28">
        <f t="shared" si="141"/>
        <v>0</v>
      </c>
      <c r="AG142" s="28">
        <f t="shared" si="141"/>
        <v>0</v>
      </c>
      <c r="AH142" s="28">
        <f t="shared" si="141"/>
        <v>0</v>
      </c>
      <c r="AI142" s="28">
        <f t="shared" si="141"/>
        <v>0</v>
      </c>
      <c r="AJ142" s="28">
        <f t="shared" si="141"/>
        <v>0</v>
      </c>
      <c r="AK142" s="28">
        <f t="shared" si="141"/>
        <v>0</v>
      </c>
      <c r="AL142" s="28">
        <f t="shared" si="141"/>
        <v>0</v>
      </c>
      <c r="AM142" s="28">
        <f t="shared" si="141"/>
        <v>0</v>
      </c>
      <c r="AN142" s="28">
        <f t="shared" si="141"/>
        <v>0</v>
      </c>
      <c r="AO142" s="28">
        <f t="shared" si="141"/>
        <v>0</v>
      </c>
      <c r="AP142" s="28">
        <f t="shared" si="141"/>
        <v>0</v>
      </c>
      <c r="AQ142" s="28">
        <f t="shared" si="141"/>
        <v>0</v>
      </c>
      <c r="AR142" s="28">
        <f t="shared" si="141"/>
        <v>0</v>
      </c>
      <c r="AS142" s="28">
        <f t="shared" si="141"/>
        <v>0</v>
      </c>
      <c r="AT142" s="28">
        <f t="shared" si="141"/>
        <v>0</v>
      </c>
    </row>
    <row r="143">
      <c r="A143" s="10" t="s">
        <v>153</v>
      </c>
      <c r="B143" s="11">
        <v>1000.0</v>
      </c>
      <c r="C143" s="12" t="s">
        <v>8</v>
      </c>
      <c r="D143" s="15">
        <v>75219.0</v>
      </c>
      <c r="F143" s="15">
        <f>IFERROR(__xludf.DUMMYFUNCTION("""COMPUTED_VALUE"""),77006.0)</f>
        <v>77006</v>
      </c>
      <c r="G143" s="26">
        <f t="shared" si="2"/>
        <v>250</v>
      </c>
      <c r="J143" s="27">
        <f>IFERROR(__xludf.DUMMYFUNCTION("""COMPUTED_VALUE"""),77006.0)</f>
        <v>77006</v>
      </c>
      <c r="K143" s="28">
        <f t="shared" ref="K143:AT143" si="142">sumifs($B:$B,$D:$D,$J143,$C:$C,K$1)</f>
        <v>0</v>
      </c>
      <c r="L143" s="28">
        <f t="shared" si="142"/>
        <v>0</v>
      </c>
      <c r="M143" s="28">
        <f t="shared" si="142"/>
        <v>0</v>
      </c>
      <c r="N143" s="28">
        <f t="shared" si="142"/>
        <v>0</v>
      </c>
      <c r="O143" s="28">
        <f t="shared" si="142"/>
        <v>0</v>
      </c>
      <c r="P143" s="28">
        <f t="shared" si="142"/>
        <v>0</v>
      </c>
      <c r="Q143" s="28">
        <f t="shared" si="142"/>
        <v>0</v>
      </c>
      <c r="R143" s="28">
        <f t="shared" si="142"/>
        <v>0</v>
      </c>
      <c r="S143" s="28">
        <f t="shared" si="142"/>
        <v>0</v>
      </c>
      <c r="T143" s="28">
        <f t="shared" si="142"/>
        <v>0</v>
      </c>
      <c r="U143" s="28">
        <f t="shared" si="142"/>
        <v>0</v>
      </c>
      <c r="V143" s="28">
        <f t="shared" si="142"/>
        <v>0</v>
      </c>
      <c r="W143" s="28">
        <f t="shared" si="142"/>
        <v>0</v>
      </c>
      <c r="X143" s="28">
        <f t="shared" si="142"/>
        <v>0</v>
      </c>
      <c r="Y143" s="28">
        <f t="shared" si="142"/>
        <v>0</v>
      </c>
      <c r="Z143" s="28">
        <f t="shared" si="142"/>
        <v>0</v>
      </c>
      <c r="AA143" s="28">
        <f t="shared" si="142"/>
        <v>0</v>
      </c>
      <c r="AB143" s="28">
        <f t="shared" si="142"/>
        <v>0</v>
      </c>
      <c r="AC143" s="28">
        <f t="shared" si="142"/>
        <v>100</v>
      </c>
      <c r="AD143" s="28">
        <f t="shared" si="142"/>
        <v>0</v>
      </c>
      <c r="AE143" s="28">
        <f t="shared" si="142"/>
        <v>0</v>
      </c>
      <c r="AF143" s="28">
        <f t="shared" si="142"/>
        <v>0</v>
      </c>
      <c r="AG143" s="28">
        <f t="shared" si="142"/>
        <v>0</v>
      </c>
      <c r="AH143" s="28">
        <f t="shared" si="142"/>
        <v>0</v>
      </c>
      <c r="AI143" s="28">
        <f t="shared" si="142"/>
        <v>150</v>
      </c>
      <c r="AJ143" s="28">
        <f t="shared" si="142"/>
        <v>0</v>
      </c>
      <c r="AK143" s="28">
        <f t="shared" si="142"/>
        <v>0</v>
      </c>
      <c r="AL143" s="28">
        <f t="shared" si="142"/>
        <v>0</v>
      </c>
      <c r="AM143" s="28">
        <f t="shared" si="142"/>
        <v>0</v>
      </c>
      <c r="AN143" s="28">
        <f t="shared" si="142"/>
        <v>0</v>
      </c>
      <c r="AO143" s="28">
        <f t="shared" si="142"/>
        <v>0</v>
      </c>
      <c r="AP143" s="28">
        <f t="shared" si="142"/>
        <v>0</v>
      </c>
      <c r="AQ143" s="28">
        <f t="shared" si="142"/>
        <v>0</v>
      </c>
      <c r="AR143" s="28">
        <f t="shared" si="142"/>
        <v>0</v>
      </c>
      <c r="AS143" s="28">
        <f t="shared" si="142"/>
        <v>0</v>
      </c>
      <c r="AT143" s="28">
        <f t="shared" si="142"/>
        <v>0</v>
      </c>
    </row>
    <row r="144">
      <c r="A144" s="10" t="s">
        <v>154</v>
      </c>
      <c r="B144" s="11">
        <v>1000.0</v>
      </c>
      <c r="C144" s="12" t="s">
        <v>8</v>
      </c>
      <c r="D144" s="15">
        <v>75219.0</v>
      </c>
      <c r="F144" s="15">
        <f>IFERROR(__xludf.DUMMYFUNCTION("""COMPUTED_VALUE"""),75013.0)</f>
        <v>75013</v>
      </c>
      <c r="G144" s="26">
        <f t="shared" si="2"/>
        <v>9987.2</v>
      </c>
      <c r="J144" s="27">
        <f>IFERROR(__xludf.DUMMYFUNCTION("""COMPUTED_VALUE"""),75013.0)</f>
        <v>75013</v>
      </c>
      <c r="K144" s="28">
        <f t="shared" ref="K144:AT144" si="143">sumifs($B:$B,$D:$D,$J144,$C:$C,K$1)</f>
        <v>0</v>
      </c>
      <c r="L144" s="28">
        <f t="shared" si="143"/>
        <v>0</v>
      </c>
      <c r="M144" s="28">
        <f t="shared" si="143"/>
        <v>0</v>
      </c>
      <c r="N144" s="28">
        <f t="shared" si="143"/>
        <v>0</v>
      </c>
      <c r="O144" s="28">
        <f t="shared" si="143"/>
        <v>0</v>
      </c>
      <c r="P144" s="28">
        <f t="shared" si="143"/>
        <v>0</v>
      </c>
      <c r="Q144" s="28">
        <f t="shared" si="143"/>
        <v>0</v>
      </c>
      <c r="R144" s="28">
        <f t="shared" si="143"/>
        <v>0</v>
      </c>
      <c r="S144" s="28">
        <f t="shared" si="143"/>
        <v>0</v>
      </c>
      <c r="T144" s="28">
        <f t="shared" si="143"/>
        <v>0</v>
      </c>
      <c r="U144" s="28">
        <f t="shared" si="143"/>
        <v>0</v>
      </c>
      <c r="V144" s="28">
        <f t="shared" si="143"/>
        <v>0</v>
      </c>
      <c r="W144" s="28">
        <f t="shared" si="143"/>
        <v>0</v>
      </c>
      <c r="X144" s="28">
        <f t="shared" si="143"/>
        <v>0</v>
      </c>
      <c r="Y144" s="28">
        <f t="shared" si="143"/>
        <v>0</v>
      </c>
      <c r="Z144" s="28">
        <f t="shared" si="143"/>
        <v>0</v>
      </c>
      <c r="AA144" s="28">
        <f t="shared" si="143"/>
        <v>1000</v>
      </c>
      <c r="AB144" s="28">
        <f t="shared" si="143"/>
        <v>0</v>
      </c>
      <c r="AC144" s="28">
        <f t="shared" si="143"/>
        <v>1237.2</v>
      </c>
      <c r="AD144" s="28">
        <f t="shared" si="143"/>
        <v>0</v>
      </c>
      <c r="AE144" s="28">
        <f t="shared" si="143"/>
        <v>0</v>
      </c>
      <c r="AF144" s="28">
        <f t="shared" si="143"/>
        <v>0</v>
      </c>
      <c r="AG144" s="28">
        <f t="shared" si="143"/>
        <v>0</v>
      </c>
      <c r="AH144" s="28">
        <f t="shared" si="143"/>
        <v>0</v>
      </c>
      <c r="AI144" s="28">
        <f t="shared" si="143"/>
        <v>7750</v>
      </c>
      <c r="AJ144" s="28">
        <f t="shared" si="143"/>
        <v>0</v>
      </c>
      <c r="AK144" s="28">
        <f t="shared" si="143"/>
        <v>0</v>
      </c>
      <c r="AL144" s="28">
        <f t="shared" si="143"/>
        <v>0</v>
      </c>
      <c r="AM144" s="28">
        <f t="shared" si="143"/>
        <v>0</v>
      </c>
      <c r="AN144" s="28">
        <f t="shared" si="143"/>
        <v>0</v>
      </c>
      <c r="AO144" s="28">
        <f t="shared" si="143"/>
        <v>0</v>
      </c>
      <c r="AP144" s="28">
        <f t="shared" si="143"/>
        <v>0</v>
      </c>
      <c r="AQ144" s="28">
        <f t="shared" si="143"/>
        <v>0</v>
      </c>
      <c r="AR144" s="28">
        <f t="shared" si="143"/>
        <v>0</v>
      </c>
      <c r="AS144" s="28">
        <f t="shared" si="143"/>
        <v>0</v>
      </c>
      <c r="AT144" s="28">
        <f t="shared" si="143"/>
        <v>0</v>
      </c>
    </row>
    <row r="145">
      <c r="A145" s="10" t="s">
        <v>155</v>
      </c>
      <c r="B145" s="11">
        <v>100.0</v>
      </c>
      <c r="C145" s="12" t="s">
        <v>8</v>
      </c>
      <c r="D145" s="15">
        <v>75230.0</v>
      </c>
      <c r="F145" s="15">
        <f>IFERROR(__xludf.DUMMYFUNCTION("""COMPUTED_VALUE"""),77007.0)</f>
        <v>77007</v>
      </c>
      <c r="G145" s="26">
        <f t="shared" si="2"/>
        <v>1125</v>
      </c>
      <c r="J145" s="27">
        <f>IFERROR(__xludf.DUMMYFUNCTION("""COMPUTED_VALUE"""),77007.0)</f>
        <v>77007</v>
      </c>
      <c r="K145" s="28">
        <f t="shared" ref="K145:AT145" si="144">sumifs($B:$B,$D:$D,$J145,$C:$C,K$1)</f>
        <v>0</v>
      </c>
      <c r="L145" s="28">
        <f t="shared" si="144"/>
        <v>0</v>
      </c>
      <c r="M145" s="28">
        <f t="shared" si="144"/>
        <v>0</v>
      </c>
      <c r="N145" s="28">
        <f t="shared" si="144"/>
        <v>0</v>
      </c>
      <c r="O145" s="28">
        <f t="shared" si="144"/>
        <v>0</v>
      </c>
      <c r="P145" s="28">
        <f t="shared" si="144"/>
        <v>0</v>
      </c>
      <c r="Q145" s="28">
        <f t="shared" si="144"/>
        <v>0</v>
      </c>
      <c r="R145" s="28">
        <f t="shared" si="144"/>
        <v>0</v>
      </c>
      <c r="S145" s="28">
        <f t="shared" si="144"/>
        <v>0</v>
      </c>
      <c r="T145" s="28">
        <f t="shared" si="144"/>
        <v>0</v>
      </c>
      <c r="U145" s="28">
        <f t="shared" si="144"/>
        <v>0</v>
      </c>
      <c r="V145" s="28">
        <f t="shared" si="144"/>
        <v>0</v>
      </c>
      <c r="W145" s="28">
        <f t="shared" si="144"/>
        <v>0</v>
      </c>
      <c r="X145" s="28">
        <f t="shared" si="144"/>
        <v>0</v>
      </c>
      <c r="Y145" s="28">
        <f t="shared" si="144"/>
        <v>0</v>
      </c>
      <c r="Z145" s="28">
        <f t="shared" si="144"/>
        <v>0</v>
      </c>
      <c r="AA145" s="28">
        <f t="shared" si="144"/>
        <v>0</v>
      </c>
      <c r="AB145" s="28">
        <f t="shared" si="144"/>
        <v>0</v>
      </c>
      <c r="AC145" s="28">
        <f t="shared" si="144"/>
        <v>125</v>
      </c>
      <c r="AD145" s="28">
        <f t="shared" si="144"/>
        <v>0</v>
      </c>
      <c r="AE145" s="28">
        <f t="shared" si="144"/>
        <v>0</v>
      </c>
      <c r="AF145" s="28">
        <f t="shared" si="144"/>
        <v>0</v>
      </c>
      <c r="AG145" s="28">
        <f t="shared" si="144"/>
        <v>0</v>
      </c>
      <c r="AH145" s="28">
        <f t="shared" si="144"/>
        <v>0</v>
      </c>
      <c r="AI145" s="28">
        <f t="shared" si="144"/>
        <v>0</v>
      </c>
      <c r="AJ145" s="28">
        <f t="shared" si="144"/>
        <v>0</v>
      </c>
      <c r="AK145" s="28">
        <f t="shared" si="144"/>
        <v>0</v>
      </c>
      <c r="AL145" s="28">
        <f t="shared" si="144"/>
        <v>1000</v>
      </c>
      <c r="AM145" s="28">
        <f t="shared" si="144"/>
        <v>0</v>
      </c>
      <c r="AN145" s="28">
        <f t="shared" si="144"/>
        <v>0</v>
      </c>
      <c r="AO145" s="28">
        <f t="shared" si="144"/>
        <v>0</v>
      </c>
      <c r="AP145" s="28">
        <f t="shared" si="144"/>
        <v>0</v>
      </c>
      <c r="AQ145" s="28">
        <f t="shared" si="144"/>
        <v>0</v>
      </c>
      <c r="AR145" s="28">
        <f t="shared" si="144"/>
        <v>0</v>
      </c>
      <c r="AS145" s="28">
        <f t="shared" si="144"/>
        <v>0</v>
      </c>
      <c r="AT145" s="28">
        <f t="shared" si="144"/>
        <v>0</v>
      </c>
    </row>
    <row r="146">
      <c r="A146" s="10" t="s">
        <v>156</v>
      </c>
      <c r="B146" s="11">
        <v>1000.0</v>
      </c>
      <c r="C146" s="12" t="s">
        <v>8</v>
      </c>
      <c r="D146" s="15">
        <v>75230.0</v>
      </c>
      <c r="F146" s="15">
        <f>IFERROR(__xludf.DUMMYFUNCTION("""COMPUTED_VALUE"""),75093.0)</f>
        <v>75093</v>
      </c>
      <c r="G146" s="26">
        <f t="shared" si="2"/>
        <v>15527.4</v>
      </c>
      <c r="J146" s="27">
        <f>IFERROR(__xludf.DUMMYFUNCTION("""COMPUTED_VALUE"""),75093.0)</f>
        <v>75093</v>
      </c>
      <c r="K146" s="28">
        <f t="shared" ref="K146:AT146" si="145">sumifs($B:$B,$D:$D,$J146,$C:$C,K$1)</f>
        <v>2500</v>
      </c>
      <c r="L146" s="28">
        <f t="shared" si="145"/>
        <v>0</v>
      </c>
      <c r="M146" s="28">
        <f t="shared" si="145"/>
        <v>0</v>
      </c>
      <c r="N146" s="28">
        <f t="shared" si="145"/>
        <v>0</v>
      </c>
      <c r="O146" s="28">
        <f t="shared" si="145"/>
        <v>0</v>
      </c>
      <c r="P146" s="28">
        <f t="shared" si="145"/>
        <v>0</v>
      </c>
      <c r="Q146" s="28">
        <f t="shared" si="145"/>
        <v>0</v>
      </c>
      <c r="R146" s="28">
        <f t="shared" si="145"/>
        <v>0</v>
      </c>
      <c r="S146" s="28">
        <f t="shared" si="145"/>
        <v>0</v>
      </c>
      <c r="T146" s="28">
        <f t="shared" si="145"/>
        <v>0</v>
      </c>
      <c r="U146" s="28">
        <f t="shared" si="145"/>
        <v>0</v>
      </c>
      <c r="V146" s="28">
        <f t="shared" si="145"/>
        <v>0</v>
      </c>
      <c r="W146" s="28">
        <f t="shared" si="145"/>
        <v>0</v>
      </c>
      <c r="X146" s="28">
        <f t="shared" si="145"/>
        <v>0</v>
      </c>
      <c r="Y146" s="28">
        <f t="shared" si="145"/>
        <v>0</v>
      </c>
      <c r="Z146" s="28">
        <f t="shared" si="145"/>
        <v>496</v>
      </c>
      <c r="AA146" s="28">
        <f t="shared" si="145"/>
        <v>0</v>
      </c>
      <c r="AB146" s="28">
        <f t="shared" si="145"/>
        <v>0</v>
      </c>
      <c r="AC146" s="28">
        <f t="shared" si="145"/>
        <v>4700</v>
      </c>
      <c r="AD146" s="28">
        <f t="shared" si="145"/>
        <v>0</v>
      </c>
      <c r="AE146" s="28">
        <f t="shared" si="145"/>
        <v>0</v>
      </c>
      <c r="AF146" s="28">
        <f t="shared" si="145"/>
        <v>2500</v>
      </c>
      <c r="AG146" s="28">
        <f t="shared" si="145"/>
        <v>0</v>
      </c>
      <c r="AH146" s="28">
        <f t="shared" si="145"/>
        <v>31.4</v>
      </c>
      <c r="AI146" s="28">
        <f t="shared" si="145"/>
        <v>0</v>
      </c>
      <c r="AJ146" s="28">
        <f t="shared" si="145"/>
        <v>0</v>
      </c>
      <c r="AK146" s="28">
        <f t="shared" si="145"/>
        <v>300</v>
      </c>
      <c r="AL146" s="28">
        <f t="shared" si="145"/>
        <v>0</v>
      </c>
      <c r="AM146" s="28">
        <f t="shared" si="145"/>
        <v>0</v>
      </c>
      <c r="AN146" s="28">
        <f t="shared" si="145"/>
        <v>0</v>
      </c>
      <c r="AO146" s="28">
        <f t="shared" si="145"/>
        <v>0</v>
      </c>
      <c r="AP146" s="28">
        <f t="shared" si="145"/>
        <v>0</v>
      </c>
      <c r="AQ146" s="28">
        <f t="shared" si="145"/>
        <v>0</v>
      </c>
      <c r="AR146" s="28">
        <f t="shared" si="145"/>
        <v>0</v>
      </c>
      <c r="AS146" s="28">
        <f t="shared" si="145"/>
        <v>0</v>
      </c>
      <c r="AT146" s="28">
        <f t="shared" si="145"/>
        <v>5000</v>
      </c>
    </row>
    <row r="147">
      <c r="A147" s="10" t="s">
        <v>157</v>
      </c>
      <c r="B147" s="11">
        <v>1000.0</v>
      </c>
      <c r="C147" s="12" t="s">
        <v>8</v>
      </c>
      <c r="D147" s="15">
        <v>75230.0</v>
      </c>
      <c r="F147" s="15">
        <f>IFERROR(__xludf.DUMMYFUNCTION("""COMPUTED_VALUE"""),76132.0)</f>
        <v>76132</v>
      </c>
      <c r="G147" s="26">
        <f t="shared" si="2"/>
        <v>20</v>
      </c>
      <c r="J147" s="27">
        <f>IFERROR(__xludf.DUMMYFUNCTION("""COMPUTED_VALUE"""),76132.0)</f>
        <v>76132</v>
      </c>
      <c r="K147" s="28">
        <f t="shared" ref="K147:AT147" si="146">sumifs($B:$B,$D:$D,$J147,$C:$C,K$1)</f>
        <v>0</v>
      </c>
      <c r="L147" s="28">
        <f t="shared" si="146"/>
        <v>0</v>
      </c>
      <c r="M147" s="28">
        <f t="shared" si="146"/>
        <v>0</v>
      </c>
      <c r="N147" s="28">
        <f t="shared" si="146"/>
        <v>0</v>
      </c>
      <c r="O147" s="28">
        <f t="shared" si="146"/>
        <v>0</v>
      </c>
      <c r="P147" s="28">
        <f t="shared" si="146"/>
        <v>0</v>
      </c>
      <c r="Q147" s="28">
        <f t="shared" si="146"/>
        <v>0</v>
      </c>
      <c r="R147" s="28">
        <f t="shared" si="146"/>
        <v>0</v>
      </c>
      <c r="S147" s="28">
        <f t="shared" si="146"/>
        <v>0</v>
      </c>
      <c r="T147" s="28">
        <f t="shared" si="146"/>
        <v>0</v>
      </c>
      <c r="U147" s="28">
        <f t="shared" si="146"/>
        <v>0</v>
      </c>
      <c r="V147" s="28">
        <f t="shared" si="146"/>
        <v>0</v>
      </c>
      <c r="W147" s="28">
        <f t="shared" si="146"/>
        <v>0</v>
      </c>
      <c r="X147" s="28">
        <f t="shared" si="146"/>
        <v>0</v>
      </c>
      <c r="Y147" s="28">
        <f t="shared" si="146"/>
        <v>0</v>
      </c>
      <c r="Z147" s="28">
        <f t="shared" si="146"/>
        <v>0</v>
      </c>
      <c r="AA147" s="28">
        <f t="shared" si="146"/>
        <v>0</v>
      </c>
      <c r="AB147" s="28">
        <f t="shared" si="146"/>
        <v>0</v>
      </c>
      <c r="AC147" s="28">
        <f t="shared" si="146"/>
        <v>20</v>
      </c>
      <c r="AD147" s="28">
        <f t="shared" si="146"/>
        <v>0</v>
      </c>
      <c r="AE147" s="28">
        <f t="shared" si="146"/>
        <v>0</v>
      </c>
      <c r="AF147" s="28">
        <f t="shared" si="146"/>
        <v>0</v>
      </c>
      <c r="AG147" s="28">
        <f t="shared" si="146"/>
        <v>0</v>
      </c>
      <c r="AH147" s="28">
        <f t="shared" si="146"/>
        <v>0</v>
      </c>
      <c r="AI147" s="28">
        <f t="shared" si="146"/>
        <v>0</v>
      </c>
      <c r="AJ147" s="28">
        <f t="shared" si="146"/>
        <v>0</v>
      </c>
      <c r="AK147" s="28">
        <f t="shared" si="146"/>
        <v>0</v>
      </c>
      <c r="AL147" s="28">
        <f t="shared" si="146"/>
        <v>0</v>
      </c>
      <c r="AM147" s="28">
        <f t="shared" si="146"/>
        <v>0</v>
      </c>
      <c r="AN147" s="28">
        <f t="shared" si="146"/>
        <v>0</v>
      </c>
      <c r="AO147" s="28">
        <f t="shared" si="146"/>
        <v>0</v>
      </c>
      <c r="AP147" s="28">
        <f t="shared" si="146"/>
        <v>0</v>
      </c>
      <c r="AQ147" s="28">
        <f t="shared" si="146"/>
        <v>0</v>
      </c>
      <c r="AR147" s="28">
        <f t="shared" si="146"/>
        <v>0</v>
      </c>
      <c r="AS147" s="28">
        <f t="shared" si="146"/>
        <v>0</v>
      </c>
      <c r="AT147" s="28">
        <f t="shared" si="146"/>
        <v>0</v>
      </c>
    </row>
    <row r="148">
      <c r="A148" s="10" t="s">
        <v>158</v>
      </c>
      <c r="B148" s="11">
        <v>200.0</v>
      </c>
      <c r="C148" s="12" t="s">
        <v>8</v>
      </c>
      <c r="D148" s="15">
        <v>75251.0</v>
      </c>
      <c r="F148" s="15">
        <f>IFERROR(__xludf.DUMMYFUNCTION("""COMPUTED_VALUE"""),75287.0)</f>
        <v>75287</v>
      </c>
      <c r="G148" s="26">
        <f t="shared" si="2"/>
        <v>3360</v>
      </c>
      <c r="J148" s="27">
        <f>IFERROR(__xludf.DUMMYFUNCTION("""COMPUTED_VALUE"""),75287.0)</f>
        <v>75287</v>
      </c>
      <c r="K148" s="28">
        <f t="shared" ref="K148:AT148" si="147">sumifs($B:$B,$D:$D,$J148,$C:$C,K$1)</f>
        <v>0</v>
      </c>
      <c r="L148" s="28">
        <f t="shared" si="147"/>
        <v>0</v>
      </c>
      <c r="M148" s="28">
        <f t="shared" si="147"/>
        <v>100</v>
      </c>
      <c r="N148" s="28">
        <f t="shared" si="147"/>
        <v>0</v>
      </c>
      <c r="O148" s="28">
        <f t="shared" si="147"/>
        <v>0</v>
      </c>
      <c r="P148" s="28">
        <f t="shared" si="147"/>
        <v>0</v>
      </c>
      <c r="Q148" s="28">
        <f t="shared" si="147"/>
        <v>0</v>
      </c>
      <c r="R148" s="28">
        <f t="shared" si="147"/>
        <v>0</v>
      </c>
      <c r="S148" s="28">
        <f t="shared" si="147"/>
        <v>0</v>
      </c>
      <c r="T148" s="28">
        <f t="shared" si="147"/>
        <v>0</v>
      </c>
      <c r="U148" s="28">
        <f t="shared" si="147"/>
        <v>0</v>
      </c>
      <c r="V148" s="28">
        <f t="shared" si="147"/>
        <v>0</v>
      </c>
      <c r="W148" s="28">
        <f t="shared" si="147"/>
        <v>0</v>
      </c>
      <c r="X148" s="28">
        <f t="shared" si="147"/>
        <v>0</v>
      </c>
      <c r="Y148" s="28">
        <f t="shared" si="147"/>
        <v>0</v>
      </c>
      <c r="Z148" s="28">
        <f t="shared" si="147"/>
        <v>1560</v>
      </c>
      <c r="AA148" s="28">
        <f t="shared" si="147"/>
        <v>25</v>
      </c>
      <c r="AB148" s="28">
        <f t="shared" si="147"/>
        <v>0</v>
      </c>
      <c r="AC148" s="28">
        <f t="shared" si="147"/>
        <v>0</v>
      </c>
      <c r="AD148" s="28">
        <f t="shared" si="147"/>
        <v>0</v>
      </c>
      <c r="AE148" s="28">
        <f t="shared" si="147"/>
        <v>0</v>
      </c>
      <c r="AF148" s="28">
        <f t="shared" si="147"/>
        <v>1000</v>
      </c>
      <c r="AG148" s="28">
        <f t="shared" si="147"/>
        <v>0</v>
      </c>
      <c r="AH148" s="28">
        <f t="shared" si="147"/>
        <v>0</v>
      </c>
      <c r="AI148" s="28">
        <f t="shared" si="147"/>
        <v>675</v>
      </c>
      <c r="AJ148" s="28">
        <f t="shared" si="147"/>
        <v>0</v>
      </c>
      <c r="AK148" s="28">
        <f t="shared" si="147"/>
        <v>0</v>
      </c>
      <c r="AL148" s="28">
        <f t="shared" si="147"/>
        <v>0</v>
      </c>
      <c r="AM148" s="28">
        <f t="shared" si="147"/>
        <v>0</v>
      </c>
      <c r="AN148" s="28">
        <f t="shared" si="147"/>
        <v>0</v>
      </c>
      <c r="AO148" s="28">
        <f t="shared" si="147"/>
        <v>0</v>
      </c>
      <c r="AP148" s="28">
        <f t="shared" si="147"/>
        <v>0</v>
      </c>
      <c r="AQ148" s="28">
        <f t="shared" si="147"/>
        <v>0</v>
      </c>
      <c r="AR148" s="28">
        <f t="shared" si="147"/>
        <v>0</v>
      </c>
      <c r="AS148" s="28">
        <f t="shared" si="147"/>
        <v>0</v>
      </c>
      <c r="AT148" s="28">
        <f t="shared" si="147"/>
        <v>0</v>
      </c>
    </row>
    <row r="149">
      <c r="A149" s="10" t="s">
        <v>159</v>
      </c>
      <c r="B149" s="11">
        <v>500.0</v>
      </c>
      <c r="C149" s="12" t="s">
        <v>35</v>
      </c>
      <c r="D149" s="15">
        <v>75201.0</v>
      </c>
      <c r="F149" s="15">
        <f>IFERROR(__xludf.DUMMYFUNCTION("""COMPUTED_VALUE"""),78704.0)</f>
        <v>78704</v>
      </c>
      <c r="G149" s="26">
        <f t="shared" si="2"/>
        <v>3180</v>
      </c>
      <c r="J149" s="27">
        <f>IFERROR(__xludf.DUMMYFUNCTION("""COMPUTED_VALUE"""),78704.0)</f>
        <v>78704</v>
      </c>
      <c r="K149" s="28">
        <f t="shared" ref="K149:AT149" si="148">sumifs($B:$B,$D:$D,$J149,$C:$C,K$1)</f>
        <v>0</v>
      </c>
      <c r="L149" s="28">
        <f t="shared" si="148"/>
        <v>0</v>
      </c>
      <c r="M149" s="28">
        <f t="shared" si="148"/>
        <v>0</v>
      </c>
      <c r="N149" s="28">
        <f t="shared" si="148"/>
        <v>0</v>
      </c>
      <c r="O149" s="28">
        <f t="shared" si="148"/>
        <v>0</v>
      </c>
      <c r="P149" s="28">
        <f t="shared" si="148"/>
        <v>0</v>
      </c>
      <c r="Q149" s="28">
        <f t="shared" si="148"/>
        <v>0</v>
      </c>
      <c r="R149" s="28">
        <f t="shared" si="148"/>
        <v>0</v>
      </c>
      <c r="S149" s="28">
        <f t="shared" si="148"/>
        <v>0</v>
      </c>
      <c r="T149" s="28">
        <f t="shared" si="148"/>
        <v>0</v>
      </c>
      <c r="U149" s="28">
        <f t="shared" si="148"/>
        <v>0</v>
      </c>
      <c r="V149" s="28">
        <f t="shared" si="148"/>
        <v>0</v>
      </c>
      <c r="W149" s="28">
        <f t="shared" si="148"/>
        <v>0</v>
      </c>
      <c r="X149" s="28">
        <f t="shared" si="148"/>
        <v>0</v>
      </c>
      <c r="Y149" s="28">
        <f t="shared" si="148"/>
        <v>0</v>
      </c>
      <c r="Z149" s="28">
        <f t="shared" si="148"/>
        <v>180</v>
      </c>
      <c r="AA149" s="28">
        <f t="shared" si="148"/>
        <v>0</v>
      </c>
      <c r="AB149" s="28">
        <f t="shared" si="148"/>
        <v>0</v>
      </c>
      <c r="AC149" s="28">
        <f t="shared" si="148"/>
        <v>0</v>
      </c>
      <c r="AD149" s="28">
        <f t="shared" si="148"/>
        <v>0</v>
      </c>
      <c r="AE149" s="28">
        <f t="shared" si="148"/>
        <v>0</v>
      </c>
      <c r="AF149" s="28">
        <f t="shared" si="148"/>
        <v>0</v>
      </c>
      <c r="AG149" s="28">
        <f t="shared" si="148"/>
        <v>0</v>
      </c>
      <c r="AH149" s="28">
        <f t="shared" si="148"/>
        <v>0</v>
      </c>
      <c r="AI149" s="28">
        <f t="shared" si="148"/>
        <v>3000</v>
      </c>
      <c r="AJ149" s="28">
        <f t="shared" si="148"/>
        <v>0</v>
      </c>
      <c r="AK149" s="28">
        <f t="shared" si="148"/>
        <v>0</v>
      </c>
      <c r="AL149" s="28">
        <f t="shared" si="148"/>
        <v>0</v>
      </c>
      <c r="AM149" s="28">
        <f t="shared" si="148"/>
        <v>0</v>
      </c>
      <c r="AN149" s="28">
        <f t="shared" si="148"/>
        <v>0</v>
      </c>
      <c r="AO149" s="28">
        <f t="shared" si="148"/>
        <v>0</v>
      </c>
      <c r="AP149" s="28">
        <f t="shared" si="148"/>
        <v>0</v>
      </c>
      <c r="AQ149" s="28">
        <f t="shared" si="148"/>
        <v>0</v>
      </c>
      <c r="AR149" s="28">
        <f t="shared" si="148"/>
        <v>0</v>
      </c>
      <c r="AS149" s="28">
        <f t="shared" si="148"/>
        <v>0</v>
      </c>
      <c r="AT149" s="28">
        <f t="shared" si="148"/>
        <v>0</v>
      </c>
    </row>
    <row r="150">
      <c r="A150" s="5" t="s">
        <v>160</v>
      </c>
      <c r="B150" s="6">
        <v>500.0</v>
      </c>
      <c r="C150" s="7" t="s">
        <v>35</v>
      </c>
      <c r="D150" s="15">
        <v>75205.0</v>
      </c>
      <c r="F150" s="15">
        <f>IFERROR(__xludf.DUMMYFUNCTION("""COMPUTED_VALUE"""),75380.0)</f>
        <v>75380</v>
      </c>
      <c r="G150" s="26">
        <f t="shared" si="2"/>
        <v>11000</v>
      </c>
      <c r="J150" s="27">
        <f>IFERROR(__xludf.DUMMYFUNCTION("""COMPUTED_VALUE"""),75380.0)</f>
        <v>75380</v>
      </c>
      <c r="K150" s="28">
        <f t="shared" ref="K150:AT150" si="149">sumifs($B:$B,$D:$D,$J150,$C:$C,K$1)</f>
        <v>0</v>
      </c>
      <c r="L150" s="28">
        <f t="shared" si="149"/>
        <v>0</v>
      </c>
      <c r="M150" s="28">
        <f t="shared" si="149"/>
        <v>0</v>
      </c>
      <c r="N150" s="28">
        <f t="shared" si="149"/>
        <v>0</v>
      </c>
      <c r="O150" s="28">
        <f t="shared" si="149"/>
        <v>0</v>
      </c>
      <c r="P150" s="28">
        <f t="shared" si="149"/>
        <v>0</v>
      </c>
      <c r="Q150" s="28">
        <f t="shared" si="149"/>
        <v>0</v>
      </c>
      <c r="R150" s="28">
        <f t="shared" si="149"/>
        <v>0</v>
      </c>
      <c r="S150" s="28">
        <f t="shared" si="149"/>
        <v>0</v>
      </c>
      <c r="T150" s="28">
        <f t="shared" si="149"/>
        <v>0</v>
      </c>
      <c r="U150" s="28">
        <f t="shared" si="149"/>
        <v>0</v>
      </c>
      <c r="V150" s="28">
        <f t="shared" si="149"/>
        <v>0</v>
      </c>
      <c r="W150" s="28">
        <f t="shared" si="149"/>
        <v>0</v>
      </c>
      <c r="X150" s="28">
        <f t="shared" si="149"/>
        <v>0</v>
      </c>
      <c r="Y150" s="28">
        <f t="shared" si="149"/>
        <v>0</v>
      </c>
      <c r="Z150" s="28">
        <f t="shared" si="149"/>
        <v>1000</v>
      </c>
      <c r="AA150" s="28">
        <f t="shared" si="149"/>
        <v>0</v>
      </c>
      <c r="AB150" s="28">
        <f t="shared" si="149"/>
        <v>0</v>
      </c>
      <c r="AC150" s="28">
        <f t="shared" si="149"/>
        <v>0</v>
      </c>
      <c r="AD150" s="28">
        <f t="shared" si="149"/>
        <v>0</v>
      </c>
      <c r="AE150" s="28">
        <f t="shared" si="149"/>
        <v>0</v>
      </c>
      <c r="AF150" s="28">
        <f t="shared" si="149"/>
        <v>0</v>
      </c>
      <c r="AG150" s="28">
        <f t="shared" si="149"/>
        <v>0</v>
      </c>
      <c r="AH150" s="28">
        <f t="shared" si="149"/>
        <v>0</v>
      </c>
      <c r="AI150" s="28">
        <f t="shared" si="149"/>
        <v>10000</v>
      </c>
      <c r="AJ150" s="28">
        <f t="shared" si="149"/>
        <v>0</v>
      </c>
      <c r="AK150" s="28">
        <f t="shared" si="149"/>
        <v>0</v>
      </c>
      <c r="AL150" s="28">
        <f t="shared" si="149"/>
        <v>0</v>
      </c>
      <c r="AM150" s="28">
        <f t="shared" si="149"/>
        <v>0</v>
      </c>
      <c r="AN150" s="28">
        <f t="shared" si="149"/>
        <v>0</v>
      </c>
      <c r="AO150" s="28">
        <f t="shared" si="149"/>
        <v>0</v>
      </c>
      <c r="AP150" s="28">
        <f t="shared" si="149"/>
        <v>0</v>
      </c>
      <c r="AQ150" s="28">
        <f t="shared" si="149"/>
        <v>0</v>
      </c>
      <c r="AR150" s="28">
        <f t="shared" si="149"/>
        <v>0</v>
      </c>
      <c r="AS150" s="28">
        <f t="shared" si="149"/>
        <v>0</v>
      </c>
      <c r="AT150" s="28">
        <f t="shared" si="149"/>
        <v>0</v>
      </c>
    </row>
    <row r="151">
      <c r="A151" s="10" t="s">
        <v>161</v>
      </c>
      <c r="B151" s="11">
        <v>500.0</v>
      </c>
      <c r="C151" s="12" t="s">
        <v>35</v>
      </c>
      <c r="D151" s="15">
        <v>75208.0</v>
      </c>
      <c r="F151" s="15">
        <f>IFERROR(__xludf.DUMMYFUNCTION("""COMPUTED_VALUE"""),75367.0)</f>
        <v>75367</v>
      </c>
      <c r="G151" s="26">
        <f t="shared" si="2"/>
        <v>2400</v>
      </c>
      <c r="J151" s="27">
        <f>IFERROR(__xludf.DUMMYFUNCTION("""COMPUTED_VALUE"""),75367.0)</f>
        <v>75367</v>
      </c>
      <c r="K151" s="28">
        <f t="shared" ref="K151:AT151" si="150">sumifs($B:$B,$D:$D,$J151,$C:$C,K$1)</f>
        <v>0</v>
      </c>
      <c r="L151" s="28">
        <f t="shared" si="150"/>
        <v>0</v>
      </c>
      <c r="M151" s="28">
        <f t="shared" si="150"/>
        <v>0</v>
      </c>
      <c r="N151" s="28">
        <f t="shared" si="150"/>
        <v>0</v>
      </c>
      <c r="O151" s="28">
        <f t="shared" si="150"/>
        <v>0</v>
      </c>
      <c r="P151" s="28">
        <f t="shared" si="150"/>
        <v>0</v>
      </c>
      <c r="Q151" s="28">
        <f t="shared" si="150"/>
        <v>0</v>
      </c>
      <c r="R151" s="28">
        <f t="shared" si="150"/>
        <v>0</v>
      </c>
      <c r="S151" s="28">
        <f t="shared" si="150"/>
        <v>0</v>
      </c>
      <c r="T151" s="28">
        <f t="shared" si="150"/>
        <v>0</v>
      </c>
      <c r="U151" s="28">
        <f t="shared" si="150"/>
        <v>0</v>
      </c>
      <c r="V151" s="28">
        <f t="shared" si="150"/>
        <v>0</v>
      </c>
      <c r="W151" s="28">
        <f t="shared" si="150"/>
        <v>0</v>
      </c>
      <c r="X151" s="28">
        <f t="shared" si="150"/>
        <v>0</v>
      </c>
      <c r="Y151" s="28">
        <f t="shared" si="150"/>
        <v>0</v>
      </c>
      <c r="Z151" s="28">
        <f t="shared" si="150"/>
        <v>400</v>
      </c>
      <c r="AA151" s="28">
        <f t="shared" si="150"/>
        <v>0</v>
      </c>
      <c r="AB151" s="28">
        <f t="shared" si="150"/>
        <v>0</v>
      </c>
      <c r="AC151" s="28">
        <f t="shared" si="150"/>
        <v>0</v>
      </c>
      <c r="AD151" s="28">
        <f t="shared" si="150"/>
        <v>0</v>
      </c>
      <c r="AE151" s="28">
        <f t="shared" si="150"/>
        <v>0</v>
      </c>
      <c r="AF151" s="28">
        <f t="shared" si="150"/>
        <v>2000</v>
      </c>
      <c r="AG151" s="28">
        <f t="shared" si="150"/>
        <v>0</v>
      </c>
      <c r="AH151" s="28">
        <f t="shared" si="150"/>
        <v>0</v>
      </c>
      <c r="AI151" s="28">
        <f t="shared" si="150"/>
        <v>0</v>
      </c>
      <c r="AJ151" s="28">
        <f t="shared" si="150"/>
        <v>0</v>
      </c>
      <c r="AK151" s="28">
        <f t="shared" si="150"/>
        <v>0</v>
      </c>
      <c r="AL151" s="28">
        <f t="shared" si="150"/>
        <v>0</v>
      </c>
      <c r="AM151" s="28">
        <f t="shared" si="150"/>
        <v>0</v>
      </c>
      <c r="AN151" s="28">
        <f t="shared" si="150"/>
        <v>0</v>
      </c>
      <c r="AO151" s="28">
        <f t="shared" si="150"/>
        <v>0</v>
      </c>
      <c r="AP151" s="28">
        <f t="shared" si="150"/>
        <v>0</v>
      </c>
      <c r="AQ151" s="28">
        <f t="shared" si="150"/>
        <v>0</v>
      </c>
      <c r="AR151" s="28">
        <f t="shared" si="150"/>
        <v>0</v>
      </c>
      <c r="AS151" s="28">
        <f t="shared" si="150"/>
        <v>0</v>
      </c>
      <c r="AT151" s="28">
        <f t="shared" si="150"/>
        <v>0</v>
      </c>
    </row>
    <row r="152">
      <c r="A152" s="5" t="s">
        <v>162</v>
      </c>
      <c r="B152" s="6">
        <v>200.0</v>
      </c>
      <c r="C152" s="7" t="s">
        <v>35</v>
      </c>
      <c r="D152" s="15">
        <v>75214.0</v>
      </c>
      <c r="F152" s="15">
        <f>IFERROR(__xludf.DUMMYFUNCTION("""COMPUTED_VALUE"""),75039.0)</f>
        <v>75039</v>
      </c>
      <c r="G152" s="26">
        <f t="shared" si="2"/>
        <v>3350</v>
      </c>
      <c r="J152" s="27">
        <f>IFERROR(__xludf.DUMMYFUNCTION("""COMPUTED_VALUE"""),75039.0)</f>
        <v>75039</v>
      </c>
      <c r="K152" s="28">
        <f t="shared" ref="K152:AT152" si="151">sumifs($B:$B,$D:$D,$J152,$C:$C,K$1)</f>
        <v>0</v>
      </c>
      <c r="L152" s="28">
        <f t="shared" si="151"/>
        <v>0</v>
      </c>
      <c r="M152" s="28">
        <f t="shared" si="151"/>
        <v>0</v>
      </c>
      <c r="N152" s="28">
        <f t="shared" si="151"/>
        <v>0</v>
      </c>
      <c r="O152" s="28">
        <f t="shared" si="151"/>
        <v>0</v>
      </c>
      <c r="P152" s="28">
        <f t="shared" si="151"/>
        <v>0</v>
      </c>
      <c r="Q152" s="28">
        <f t="shared" si="151"/>
        <v>0</v>
      </c>
      <c r="R152" s="28">
        <f t="shared" si="151"/>
        <v>0</v>
      </c>
      <c r="S152" s="28">
        <f t="shared" si="151"/>
        <v>0</v>
      </c>
      <c r="T152" s="28">
        <f t="shared" si="151"/>
        <v>0</v>
      </c>
      <c r="U152" s="28">
        <f t="shared" si="151"/>
        <v>0</v>
      </c>
      <c r="V152" s="28">
        <f t="shared" si="151"/>
        <v>0</v>
      </c>
      <c r="W152" s="28">
        <f t="shared" si="151"/>
        <v>0</v>
      </c>
      <c r="X152" s="28">
        <f t="shared" si="151"/>
        <v>0</v>
      </c>
      <c r="Y152" s="28">
        <f t="shared" si="151"/>
        <v>500</v>
      </c>
      <c r="Z152" s="28">
        <f t="shared" si="151"/>
        <v>500</v>
      </c>
      <c r="AA152" s="28">
        <f t="shared" si="151"/>
        <v>0</v>
      </c>
      <c r="AB152" s="28">
        <f t="shared" si="151"/>
        <v>0</v>
      </c>
      <c r="AC152" s="28">
        <f t="shared" si="151"/>
        <v>0</v>
      </c>
      <c r="AD152" s="28">
        <f t="shared" si="151"/>
        <v>0</v>
      </c>
      <c r="AE152" s="28">
        <f t="shared" si="151"/>
        <v>0</v>
      </c>
      <c r="AF152" s="28">
        <f t="shared" si="151"/>
        <v>50</v>
      </c>
      <c r="AG152" s="28">
        <f t="shared" si="151"/>
        <v>0</v>
      </c>
      <c r="AH152" s="28">
        <f t="shared" si="151"/>
        <v>0</v>
      </c>
      <c r="AI152" s="28">
        <f t="shared" si="151"/>
        <v>300</v>
      </c>
      <c r="AJ152" s="28">
        <f t="shared" si="151"/>
        <v>0</v>
      </c>
      <c r="AK152" s="28">
        <f t="shared" si="151"/>
        <v>0</v>
      </c>
      <c r="AL152" s="28">
        <f t="shared" si="151"/>
        <v>0</v>
      </c>
      <c r="AM152" s="28">
        <f t="shared" si="151"/>
        <v>2000</v>
      </c>
      <c r="AN152" s="28">
        <f t="shared" si="151"/>
        <v>0</v>
      </c>
      <c r="AO152" s="28">
        <f t="shared" si="151"/>
        <v>0</v>
      </c>
      <c r="AP152" s="28">
        <f t="shared" si="151"/>
        <v>0</v>
      </c>
      <c r="AQ152" s="28">
        <f t="shared" si="151"/>
        <v>0</v>
      </c>
      <c r="AR152" s="28">
        <f t="shared" si="151"/>
        <v>0</v>
      </c>
      <c r="AS152" s="28">
        <f t="shared" si="151"/>
        <v>0</v>
      </c>
      <c r="AT152" s="28">
        <f t="shared" si="151"/>
        <v>0</v>
      </c>
    </row>
    <row r="153">
      <c r="A153" s="10" t="s">
        <v>163</v>
      </c>
      <c r="B153" s="11">
        <v>1000.0</v>
      </c>
      <c r="C153" s="12" t="s">
        <v>35</v>
      </c>
      <c r="D153" s="15">
        <v>75220.0</v>
      </c>
      <c r="F153" s="15">
        <f>IFERROR(__xludf.DUMMYFUNCTION("""COMPUTED_VALUE"""),75006.0)</f>
        <v>75006</v>
      </c>
      <c r="G153" s="26">
        <f t="shared" si="2"/>
        <v>775</v>
      </c>
      <c r="J153" s="27">
        <f>IFERROR(__xludf.DUMMYFUNCTION("""COMPUTED_VALUE"""),75006.0)</f>
        <v>75006</v>
      </c>
      <c r="K153" s="28">
        <f t="shared" ref="K153:AT153" si="152">sumifs($B:$B,$D:$D,$J153,$C:$C,K$1)</f>
        <v>0</v>
      </c>
      <c r="L153" s="28">
        <f t="shared" si="152"/>
        <v>0</v>
      </c>
      <c r="M153" s="28">
        <f t="shared" si="152"/>
        <v>0</v>
      </c>
      <c r="N153" s="28">
        <f t="shared" si="152"/>
        <v>0</v>
      </c>
      <c r="O153" s="28">
        <f t="shared" si="152"/>
        <v>0</v>
      </c>
      <c r="P153" s="28">
        <f t="shared" si="152"/>
        <v>0</v>
      </c>
      <c r="Q153" s="28">
        <f t="shared" si="152"/>
        <v>0</v>
      </c>
      <c r="R153" s="28">
        <f t="shared" si="152"/>
        <v>0</v>
      </c>
      <c r="S153" s="28">
        <f t="shared" si="152"/>
        <v>0</v>
      </c>
      <c r="T153" s="28">
        <f t="shared" si="152"/>
        <v>0</v>
      </c>
      <c r="U153" s="28">
        <f t="shared" si="152"/>
        <v>0</v>
      </c>
      <c r="V153" s="28">
        <f t="shared" si="152"/>
        <v>0</v>
      </c>
      <c r="W153" s="28">
        <f t="shared" si="152"/>
        <v>0</v>
      </c>
      <c r="X153" s="28">
        <f t="shared" si="152"/>
        <v>0</v>
      </c>
      <c r="Y153" s="28">
        <f t="shared" si="152"/>
        <v>500</v>
      </c>
      <c r="Z153" s="28">
        <f t="shared" si="152"/>
        <v>0</v>
      </c>
      <c r="AA153" s="28">
        <f t="shared" si="152"/>
        <v>0</v>
      </c>
      <c r="AB153" s="28">
        <f t="shared" si="152"/>
        <v>0</v>
      </c>
      <c r="AC153" s="28">
        <f t="shared" si="152"/>
        <v>0</v>
      </c>
      <c r="AD153" s="28">
        <f t="shared" si="152"/>
        <v>0</v>
      </c>
      <c r="AE153" s="28">
        <f t="shared" si="152"/>
        <v>0</v>
      </c>
      <c r="AF153" s="28">
        <f t="shared" si="152"/>
        <v>0</v>
      </c>
      <c r="AG153" s="28">
        <f t="shared" si="152"/>
        <v>0</v>
      </c>
      <c r="AH153" s="28">
        <f t="shared" si="152"/>
        <v>0</v>
      </c>
      <c r="AI153" s="28">
        <f t="shared" si="152"/>
        <v>250</v>
      </c>
      <c r="AJ153" s="28">
        <f t="shared" si="152"/>
        <v>0</v>
      </c>
      <c r="AK153" s="28">
        <f t="shared" si="152"/>
        <v>0</v>
      </c>
      <c r="AL153" s="28">
        <f t="shared" si="152"/>
        <v>0</v>
      </c>
      <c r="AM153" s="28">
        <f t="shared" si="152"/>
        <v>0</v>
      </c>
      <c r="AN153" s="28">
        <f t="shared" si="152"/>
        <v>0</v>
      </c>
      <c r="AO153" s="28">
        <f t="shared" si="152"/>
        <v>0</v>
      </c>
      <c r="AP153" s="28">
        <f t="shared" si="152"/>
        <v>0</v>
      </c>
      <c r="AQ153" s="28">
        <f t="shared" si="152"/>
        <v>25</v>
      </c>
      <c r="AR153" s="28">
        <f t="shared" si="152"/>
        <v>0</v>
      </c>
      <c r="AS153" s="28">
        <f t="shared" si="152"/>
        <v>0</v>
      </c>
      <c r="AT153" s="28">
        <f t="shared" si="152"/>
        <v>0</v>
      </c>
    </row>
    <row r="154">
      <c r="A154" s="5" t="s">
        <v>164</v>
      </c>
      <c r="B154" s="6">
        <v>250.0</v>
      </c>
      <c r="C154" s="7" t="s">
        <v>35</v>
      </c>
      <c r="D154" s="15">
        <v>75218.0</v>
      </c>
      <c r="F154" s="15">
        <f>IFERROR(__xludf.DUMMYFUNCTION("""COMPUTED_VALUE"""),75034.0)</f>
        <v>75034</v>
      </c>
      <c r="G154" s="26">
        <f t="shared" si="2"/>
        <v>7000</v>
      </c>
      <c r="J154" s="27">
        <f>IFERROR(__xludf.DUMMYFUNCTION("""COMPUTED_VALUE"""),75034.0)</f>
        <v>75034</v>
      </c>
      <c r="K154" s="28">
        <f t="shared" ref="K154:AT154" si="153">sumifs($B:$B,$D:$D,$J154,$C:$C,K$1)</f>
        <v>0</v>
      </c>
      <c r="L154" s="28">
        <f t="shared" si="153"/>
        <v>0</v>
      </c>
      <c r="M154" s="28">
        <f t="shared" si="153"/>
        <v>0</v>
      </c>
      <c r="N154" s="28">
        <f t="shared" si="153"/>
        <v>0</v>
      </c>
      <c r="O154" s="28">
        <f t="shared" si="153"/>
        <v>0</v>
      </c>
      <c r="P154" s="28">
        <f t="shared" si="153"/>
        <v>0</v>
      </c>
      <c r="Q154" s="28">
        <f t="shared" si="153"/>
        <v>0</v>
      </c>
      <c r="R154" s="28">
        <f t="shared" si="153"/>
        <v>0</v>
      </c>
      <c r="S154" s="28">
        <f t="shared" si="153"/>
        <v>0</v>
      </c>
      <c r="T154" s="28">
        <f t="shared" si="153"/>
        <v>0</v>
      </c>
      <c r="U154" s="28">
        <f t="shared" si="153"/>
        <v>0</v>
      </c>
      <c r="V154" s="28">
        <f t="shared" si="153"/>
        <v>0</v>
      </c>
      <c r="W154" s="28">
        <f t="shared" si="153"/>
        <v>0</v>
      </c>
      <c r="X154" s="28">
        <f t="shared" si="153"/>
        <v>0</v>
      </c>
      <c r="Y154" s="28">
        <f t="shared" si="153"/>
        <v>1000</v>
      </c>
      <c r="Z154" s="28">
        <f t="shared" si="153"/>
        <v>0</v>
      </c>
      <c r="AA154" s="28">
        <f t="shared" si="153"/>
        <v>0</v>
      </c>
      <c r="AB154" s="28">
        <f t="shared" si="153"/>
        <v>0</v>
      </c>
      <c r="AC154" s="28">
        <f t="shared" si="153"/>
        <v>0</v>
      </c>
      <c r="AD154" s="28">
        <f t="shared" si="153"/>
        <v>0</v>
      </c>
      <c r="AE154" s="28">
        <f t="shared" si="153"/>
        <v>0</v>
      </c>
      <c r="AF154" s="28">
        <f t="shared" si="153"/>
        <v>1000</v>
      </c>
      <c r="AG154" s="28">
        <f t="shared" si="153"/>
        <v>0</v>
      </c>
      <c r="AH154" s="28">
        <f t="shared" si="153"/>
        <v>2000</v>
      </c>
      <c r="AI154" s="28">
        <f t="shared" si="153"/>
        <v>2500</v>
      </c>
      <c r="AJ154" s="28">
        <f t="shared" si="153"/>
        <v>0</v>
      </c>
      <c r="AK154" s="28">
        <f t="shared" si="153"/>
        <v>500</v>
      </c>
      <c r="AL154" s="28">
        <f t="shared" si="153"/>
        <v>0</v>
      </c>
      <c r="AM154" s="28">
        <f t="shared" si="153"/>
        <v>0</v>
      </c>
      <c r="AN154" s="28">
        <f t="shared" si="153"/>
        <v>0</v>
      </c>
      <c r="AO154" s="28">
        <f t="shared" si="153"/>
        <v>0</v>
      </c>
      <c r="AP154" s="28">
        <f t="shared" si="153"/>
        <v>0</v>
      </c>
      <c r="AQ154" s="28">
        <f t="shared" si="153"/>
        <v>0</v>
      </c>
      <c r="AR154" s="28">
        <f t="shared" si="153"/>
        <v>0</v>
      </c>
      <c r="AS154" s="28">
        <f t="shared" si="153"/>
        <v>0</v>
      </c>
      <c r="AT154" s="28">
        <f t="shared" si="153"/>
        <v>0</v>
      </c>
    </row>
    <row r="155">
      <c r="A155" s="10" t="s">
        <v>165</v>
      </c>
      <c r="B155" s="11">
        <v>500.0</v>
      </c>
      <c r="C155" s="12" t="s">
        <v>35</v>
      </c>
      <c r="D155" s="15">
        <v>75115.0</v>
      </c>
      <c r="F155" s="15">
        <f>IFERROR(__xludf.DUMMYFUNCTION("""COMPUTED_VALUE"""),75080.0)</f>
        <v>75080</v>
      </c>
      <c r="G155" s="26">
        <f t="shared" si="2"/>
        <v>1700</v>
      </c>
      <c r="J155" s="27">
        <f>IFERROR(__xludf.DUMMYFUNCTION("""COMPUTED_VALUE"""),75080.0)</f>
        <v>75080</v>
      </c>
      <c r="K155" s="28">
        <f t="shared" ref="K155:AT155" si="154">sumifs($B:$B,$D:$D,$J155,$C:$C,K$1)</f>
        <v>0</v>
      </c>
      <c r="L155" s="28">
        <f t="shared" si="154"/>
        <v>0</v>
      </c>
      <c r="M155" s="28">
        <f t="shared" si="154"/>
        <v>0</v>
      </c>
      <c r="N155" s="28">
        <f t="shared" si="154"/>
        <v>0</v>
      </c>
      <c r="O155" s="28">
        <f t="shared" si="154"/>
        <v>0</v>
      </c>
      <c r="P155" s="28">
        <f t="shared" si="154"/>
        <v>0</v>
      </c>
      <c r="Q155" s="28">
        <f t="shared" si="154"/>
        <v>0</v>
      </c>
      <c r="R155" s="28">
        <f t="shared" si="154"/>
        <v>0</v>
      </c>
      <c r="S155" s="28">
        <f t="shared" si="154"/>
        <v>0</v>
      </c>
      <c r="T155" s="28">
        <f t="shared" si="154"/>
        <v>0</v>
      </c>
      <c r="U155" s="28">
        <f t="shared" si="154"/>
        <v>0</v>
      </c>
      <c r="V155" s="28">
        <f t="shared" si="154"/>
        <v>0</v>
      </c>
      <c r="W155" s="28">
        <f t="shared" si="154"/>
        <v>0</v>
      </c>
      <c r="X155" s="28">
        <f t="shared" si="154"/>
        <v>0</v>
      </c>
      <c r="Y155" s="28">
        <f t="shared" si="154"/>
        <v>1000</v>
      </c>
      <c r="Z155" s="28">
        <f t="shared" si="154"/>
        <v>200</v>
      </c>
      <c r="AA155" s="28">
        <f t="shared" si="154"/>
        <v>0</v>
      </c>
      <c r="AB155" s="28">
        <f t="shared" si="154"/>
        <v>0</v>
      </c>
      <c r="AC155" s="28">
        <f t="shared" si="154"/>
        <v>0</v>
      </c>
      <c r="AD155" s="28">
        <f t="shared" si="154"/>
        <v>0</v>
      </c>
      <c r="AE155" s="28">
        <f t="shared" si="154"/>
        <v>0</v>
      </c>
      <c r="AF155" s="28">
        <f t="shared" si="154"/>
        <v>0</v>
      </c>
      <c r="AG155" s="28">
        <f t="shared" si="154"/>
        <v>0</v>
      </c>
      <c r="AH155" s="28">
        <f t="shared" si="154"/>
        <v>100</v>
      </c>
      <c r="AI155" s="28">
        <f t="shared" si="154"/>
        <v>0</v>
      </c>
      <c r="AJ155" s="28">
        <f t="shared" si="154"/>
        <v>0</v>
      </c>
      <c r="AK155" s="28">
        <f t="shared" si="154"/>
        <v>400</v>
      </c>
      <c r="AL155" s="28">
        <f t="shared" si="154"/>
        <v>0</v>
      </c>
      <c r="AM155" s="28">
        <f t="shared" si="154"/>
        <v>0</v>
      </c>
      <c r="AN155" s="28">
        <f t="shared" si="154"/>
        <v>0</v>
      </c>
      <c r="AO155" s="28">
        <f t="shared" si="154"/>
        <v>0</v>
      </c>
      <c r="AP155" s="28">
        <f t="shared" si="154"/>
        <v>0</v>
      </c>
      <c r="AQ155" s="28">
        <f t="shared" si="154"/>
        <v>0</v>
      </c>
      <c r="AR155" s="28">
        <f t="shared" si="154"/>
        <v>0</v>
      </c>
      <c r="AS155" s="28">
        <f t="shared" si="154"/>
        <v>0</v>
      </c>
      <c r="AT155" s="28">
        <f t="shared" si="154"/>
        <v>0</v>
      </c>
    </row>
    <row r="156">
      <c r="A156" s="5" t="s">
        <v>166</v>
      </c>
      <c r="B156" s="6">
        <v>500.0</v>
      </c>
      <c r="C156" s="7" t="s">
        <v>35</v>
      </c>
      <c r="D156" s="15">
        <v>75229.0</v>
      </c>
      <c r="F156" s="15">
        <f>IFERROR(__xludf.DUMMYFUNCTION("""COMPUTED_VALUE"""),75234.0)</f>
        <v>75234</v>
      </c>
      <c r="G156" s="26">
        <f t="shared" si="2"/>
        <v>3834.7</v>
      </c>
      <c r="J156" s="27">
        <f>IFERROR(__xludf.DUMMYFUNCTION("""COMPUTED_VALUE"""),75234.0)</f>
        <v>75234</v>
      </c>
      <c r="K156" s="28">
        <f t="shared" ref="K156:AT156" si="155">sumifs($B:$B,$D:$D,$J156,$C:$C,K$1)</f>
        <v>25</v>
      </c>
      <c r="L156" s="28">
        <f t="shared" si="155"/>
        <v>0</v>
      </c>
      <c r="M156" s="28">
        <f t="shared" si="155"/>
        <v>0</v>
      </c>
      <c r="N156" s="28">
        <f t="shared" si="155"/>
        <v>0</v>
      </c>
      <c r="O156" s="28">
        <f t="shared" si="155"/>
        <v>0</v>
      </c>
      <c r="P156" s="28">
        <f t="shared" si="155"/>
        <v>0</v>
      </c>
      <c r="Q156" s="28">
        <f t="shared" si="155"/>
        <v>0</v>
      </c>
      <c r="R156" s="28">
        <f t="shared" si="155"/>
        <v>0</v>
      </c>
      <c r="S156" s="28">
        <f t="shared" si="155"/>
        <v>0</v>
      </c>
      <c r="T156" s="28">
        <f t="shared" si="155"/>
        <v>0</v>
      </c>
      <c r="U156" s="28">
        <f t="shared" si="155"/>
        <v>0</v>
      </c>
      <c r="V156" s="28">
        <f t="shared" si="155"/>
        <v>0</v>
      </c>
      <c r="W156" s="28">
        <f t="shared" si="155"/>
        <v>0</v>
      </c>
      <c r="X156" s="28">
        <f t="shared" si="155"/>
        <v>0</v>
      </c>
      <c r="Y156" s="28">
        <f t="shared" si="155"/>
        <v>0</v>
      </c>
      <c r="Z156" s="28">
        <f t="shared" si="155"/>
        <v>0</v>
      </c>
      <c r="AA156" s="28">
        <f t="shared" si="155"/>
        <v>0</v>
      </c>
      <c r="AB156" s="28">
        <f t="shared" si="155"/>
        <v>0</v>
      </c>
      <c r="AC156" s="28">
        <f t="shared" si="155"/>
        <v>1949.7</v>
      </c>
      <c r="AD156" s="28">
        <f t="shared" si="155"/>
        <v>710</v>
      </c>
      <c r="AE156" s="28">
        <f t="shared" si="155"/>
        <v>0</v>
      </c>
      <c r="AF156" s="28">
        <f t="shared" si="155"/>
        <v>50</v>
      </c>
      <c r="AG156" s="28">
        <f t="shared" si="155"/>
        <v>0</v>
      </c>
      <c r="AH156" s="28">
        <f t="shared" si="155"/>
        <v>0</v>
      </c>
      <c r="AI156" s="28">
        <f t="shared" si="155"/>
        <v>1100</v>
      </c>
      <c r="AJ156" s="28">
        <f t="shared" si="155"/>
        <v>0</v>
      </c>
      <c r="AK156" s="28">
        <f t="shared" si="155"/>
        <v>0</v>
      </c>
      <c r="AL156" s="28">
        <f t="shared" si="155"/>
        <v>0</v>
      </c>
      <c r="AM156" s="28">
        <f t="shared" si="155"/>
        <v>0</v>
      </c>
      <c r="AN156" s="28">
        <f t="shared" si="155"/>
        <v>0</v>
      </c>
      <c r="AO156" s="28">
        <f t="shared" si="155"/>
        <v>0</v>
      </c>
      <c r="AP156" s="28">
        <f t="shared" si="155"/>
        <v>0</v>
      </c>
      <c r="AQ156" s="28">
        <f t="shared" si="155"/>
        <v>0</v>
      </c>
      <c r="AR156" s="28">
        <f t="shared" si="155"/>
        <v>0</v>
      </c>
      <c r="AS156" s="28">
        <f t="shared" si="155"/>
        <v>0</v>
      </c>
      <c r="AT156" s="28">
        <f t="shared" si="155"/>
        <v>0</v>
      </c>
    </row>
    <row r="157">
      <c r="A157" s="10"/>
      <c r="B157" s="11"/>
      <c r="C157" s="12"/>
      <c r="D157" s="15"/>
      <c r="F157" s="15">
        <f>IFERROR(__xludf.DUMMYFUNCTION("""COMPUTED_VALUE"""),75075.0)</f>
        <v>75075</v>
      </c>
      <c r="G157" s="26">
        <f t="shared" si="2"/>
        <v>1100</v>
      </c>
      <c r="J157" s="27">
        <f>IFERROR(__xludf.DUMMYFUNCTION("""COMPUTED_VALUE"""),75075.0)</f>
        <v>75075</v>
      </c>
      <c r="K157" s="28">
        <f t="shared" ref="K157:AT157" si="156">sumifs($B:$B,$D:$D,$J157,$C:$C,K$1)</f>
        <v>0</v>
      </c>
      <c r="L157" s="28">
        <f t="shared" si="156"/>
        <v>0</v>
      </c>
      <c r="M157" s="28">
        <f t="shared" si="156"/>
        <v>0</v>
      </c>
      <c r="N157" s="28">
        <f t="shared" si="156"/>
        <v>0</v>
      </c>
      <c r="O157" s="28">
        <f t="shared" si="156"/>
        <v>0</v>
      </c>
      <c r="P157" s="28">
        <f t="shared" si="156"/>
        <v>0</v>
      </c>
      <c r="Q157" s="28">
        <f t="shared" si="156"/>
        <v>0</v>
      </c>
      <c r="R157" s="28">
        <f t="shared" si="156"/>
        <v>0</v>
      </c>
      <c r="S157" s="28">
        <f t="shared" si="156"/>
        <v>0</v>
      </c>
      <c r="T157" s="28">
        <f t="shared" si="156"/>
        <v>0</v>
      </c>
      <c r="U157" s="28">
        <f t="shared" si="156"/>
        <v>0</v>
      </c>
      <c r="V157" s="28">
        <f t="shared" si="156"/>
        <v>0</v>
      </c>
      <c r="W157" s="28">
        <f t="shared" si="156"/>
        <v>0</v>
      </c>
      <c r="X157" s="28">
        <f t="shared" si="156"/>
        <v>0</v>
      </c>
      <c r="Y157" s="28">
        <f t="shared" si="156"/>
        <v>0</v>
      </c>
      <c r="Z157" s="28">
        <f t="shared" si="156"/>
        <v>100</v>
      </c>
      <c r="AA157" s="28">
        <f t="shared" si="156"/>
        <v>0</v>
      </c>
      <c r="AB157" s="28">
        <f t="shared" si="156"/>
        <v>0</v>
      </c>
      <c r="AC157" s="28">
        <f t="shared" si="156"/>
        <v>0</v>
      </c>
      <c r="AD157" s="28">
        <f t="shared" si="156"/>
        <v>1000</v>
      </c>
      <c r="AE157" s="28">
        <f t="shared" si="156"/>
        <v>0</v>
      </c>
      <c r="AF157" s="28">
        <f t="shared" si="156"/>
        <v>0</v>
      </c>
      <c r="AG157" s="28">
        <f t="shared" si="156"/>
        <v>0</v>
      </c>
      <c r="AH157" s="28">
        <f t="shared" si="156"/>
        <v>0</v>
      </c>
      <c r="AI157" s="28">
        <f t="shared" si="156"/>
        <v>0</v>
      </c>
      <c r="AJ157" s="28">
        <f t="shared" si="156"/>
        <v>0</v>
      </c>
      <c r="AK157" s="28">
        <f t="shared" si="156"/>
        <v>0</v>
      </c>
      <c r="AL157" s="28">
        <f t="shared" si="156"/>
        <v>0</v>
      </c>
      <c r="AM157" s="28">
        <f t="shared" si="156"/>
        <v>0</v>
      </c>
      <c r="AN157" s="28">
        <f t="shared" si="156"/>
        <v>0</v>
      </c>
      <c r="AO157" s="28">
        <f t="shared" si="156"/>
        <v>0</v>
      </c>
      <c r="AP157" s="28">
        <f t="shared" si="156"/>
        <v>0</v>
      </c>
      <c r="AQ157" s="28">
        <f t="shared" si="156"/>
        <v>0</v>
      </c>
      <c r="AR157" s="28">
        <f t="shared" si="156"/>
        <v>0</v>
      </c>
      <c r="AS157" s="28">
        <f t="shared" si="156"/>
        <v>0</v>
      </c>
      <c r="AT157" s="28">
        <f t="shared" si="156"/>
        <v>0</v>
      </c>
    </row>
    <row r="158">
      <c r="A158" s="5" t="s">
        <v>168</v>
      </c>
      <c r="B158" s="6">
        <v>1000.0</v>
      </c>
      <c r="C158" s="7" t="s">
        <v>35</v>
      </c>
      <c r="D158" s="15">
        <v>75067.0</v>
      </c>
      <c r="F158" s="15">
        <f>IFERROR(__xludf.DUMMYFUNCTION("""COMPUTED_VALUE"""),78232.0)</f>
        <v>78232</v>
      </c>
      <c r="G158" s="26">
        <f t="shared" si="2"/>
        <v>500</v>
      </c>
      <c r="J158" s="27">
        <f>IFERROR(__xludf.DUMMYFUNCTION("""COMPUTED_VALUE"""),78232.0)</f>
        <v>78232</v>
      </c>
      <c r="K158" s="28">
        <f t="shared" ref="K158:AT158" si="157">sumifs($B:$B,$D:$D,$J158,$C:$C,K$1)</f>
        <v>0</v>
      </c>
      <c r="L158" s="28">
        <f t="shared" si="157"/>
        <v>0</v>
      </c>
      <c r="M158" s="28">
        <f t="shared" si="157"/>
        <v>0</v>
      </c>
      <c r="N158" s="28">
        <f t="shared" si="157"/>
        <v>0</v>
      </c>
      <c r="O158" s="28">
        <f t="shared" si="157"/>
        <v>0</v>
      </c>
      <c r="P158" s="28">
        <f t="shared" si="157"/>
        <v>0</v>
      </c>
      <c r="Q158" s="28">
        <f t="shared" si="157"/>
        <v>0</v>
      </c>
      <c r="R158" s="28">
        <f t="shared" si="157"/>
        <v>0</v>
      </c>
      <c r="S158" s="28">
        <f t="shared" si="157"/>
        <v>0</v>
      </c>
      <c r="T158" s="28">
        <f t="shared" si="157"/>
        <v>0</v>
      </c>
      <c r="U158" s="28">
        <f t="shared" si="157"/>
        <v>0</v>
      </c>
      <c r="V158" s="28">
        <f t="shared" si="157"/>
        <v>0</v>
      </c>
      <c r="W158" s="28">
        <f t="shared" si="157"/>
        <v>0</v>
      </c>
      <c r="X158" s="28">
        <f t="shared" si="157"/>
        <v>0</v>
      </c>
      <c r="Y158" s="28">
        <f t="shared" si="157"/>
        <v>500</v>
      </c>
      <c r="Z158" s="28">
        <f t="shared" si="157"/>
        <v>0</v>
      </c>
      <c r="AA158" s="28">
        <f t="shared" si="157"/>
        <v>0</v>
      </c>
      <c r="AB158" s="28">
        <f t="shared" si="157"/>
        <v>0</v>
      </c>
      <c r="AC158" s="28">
        <f t="shared" si="157"/>
        <v>0</v>
      </c>
      <c r="AD158" s="28">
        <f t="shared" si="157"/>
        <v>0</v>
      </c>
      <c r="AE158" s="28">
        <f t="shared" si="157"/>
        <v>0</v>
      </c>
      <c r="AF158" s="28">
        <f t="shared" si="157"/>
        <v>0</v>
      </c>
      <c r="AG158" s="28">
        <f t="shared" si="157"/>
        <v>0</v>
      </c>
      <c r="AH158" s="28">
        <f t="shared" si="157"/>
        <v>0</v>
      </c>
      <c r="AI158" s="28">
        <f t="shared" si="157"/>
        <v>0</v>
      </c>
      <c r="AJ158" s="28">
        <f t="shared" si="157"/>
        <v>0</v>
      </c>
      <c r="AK158" s="28">
        <f t="shared" si="157"/>
        <v>0</v>
      </c>
      <c r="AL158" s="28">
        <f t="shared" si="157"/>
        <v>0</v>
      </c>
      <c r="AM158" s="28">
        <f t="shared" si="157"/>
        <v>0</v>
      </c>
      <c r="AN158" s="28">
        <f t="shared" si="157"/>
        <v>0</v>
      </c>
      <c r="AO158" s="28">
        <f t="shared" si="157"/>
        <v>0</v>
      </c>
      <c r="AP158" s="28">
        <f t="shared" si="157"/>
        <v>0</v>
      </c>
      <c r="AQ158" s="28">
        <f t="shared" si="157"/>
        <v>0</v>
      </c>
      <c r="AR158" s="28">
        <f t="shared" si="157"/>
        <v>0</v>
      </c>
      <c r="AS158" s="28">
        <f t="shared" si="157"/>
        <v>0</v>
      </c>
      <c r="AT158" s="28">
        <f t="shared" si="157"/>
        <v>0</v>
      </c>
    </row>
    <row r="159">
      <c r="A159" s="10" t="s">
        <v>169</v>
      </c>
      <c r="B159" s="11">
        <v>1000.0</v>
      </c>
      <c r="C159" s="12" t="s">
        <v>35</v>
      </c>
      <c r="D159" s="15">
        <v>75038.0</v>
      </c>
      <c r="F159" s="15">
        <f>IFERROR(__xludf.DUMMYFUNCTION("""COMPUTED_VALUE"""),75152.0)</f>
        <v>75152</v>
      </c>
      <c r="G159" s="26">
        <f t="shared" si="2"/>
        <v>2000</v>
      </c>
      <c r="J159" s="27">
        <f>IFERROR(__xludf.DUMMYFUNCTION("""COMPUTED_VALUE"""),75152.0)</f>
        <v>75152</v>
      </c>
      <c r="K159" s="28">
        <f t="shared" ref="K159:AT159" si="158">sumifs($B:$B,$D:$D,$J159,$C:$C,K$1)</f>
        <v>0</v>
      </c>
      <c r="L159" s="28">
        <f t="shared" si="158"/>
        <v>0</v>
      </c>
      <c r="M159" s="28">
        <f t="shared" si="158"/>
        <v>0</v>
      </c>
      <c r="N159" s="28">
        <f t="shared" si="158"/>
        <v>0</v>
      </c>
      <c r="O159" s="28">
        <f t="shared" si="158"/>
        <v>0</v>
      </c>
      <c r="P159" s="28">
        <f t="shared" si="158"/>
        <v>0</v>
      </c>
      <c r="Q159" s="28">
        <f t="shared" si="158"/>
        <v>0</v>
      </c>
      <c r="R159" s="28">
        <f t="shared" si="158"/>
        <v>0</v>
      </c>
      <c r="S159" s="28">
        <f t="shared" si="158"/>
        <v>0</v>
      </c>
      <c r="T159" s="28">
        <f t="shared" si="158"/>
        <v>0</v>
      </c>
      <c r="U159" s="28">
        <f t="shared" si="158"/>
        <v>0</v>
      </c>
      <c r="V159" s="28">
        <f t="shared" si="158"/>
        <v>0</v>
      </c>
      <c r="W159" s="28">
        <f t="shared" si="158"/>
        <v>0</v>
      </c>
      <c r="X159" s="28">
        <f t="shared" si="158"/>
        <v>0</v>
      </c>
      <c r="Y159" s="28">
        <f t="shared" si="158"/>
        <v>0</v>
      </c>
      <c r="Z159" s="28">
        <f t="shared" si="158"/>
        <v>0</v>
      </c>
      <c r="AA159" s="28">
        <f t="shared" si="158"/>
        <v>0</v>
      </c>
      <c r="AB159" s="28">
        <f t="shared" si="158"/>
        <v>0</v>
      </c>
      <c r="AC159" s="28">
        <f t="shared" si="158"/>
        <v>0</v>
      </c>
      <c r="AD159" s="28">
        <f t="shared" si="158"/>
        <v>2000</v>
      </c>
      <c r="AE159" s="28">
        <f t="shared" si="158"/>
        <v>0</v>
      </c>
      <c r="AF159" s="28">
        <f t="shared" si="158"/>
        <v>0</v>
      </c>
      <c r="AG159" s="28">
        <f t="shared" si="158"/>
        <v>0</v>
      </c>
      <c r="AH159" s="28">
        <f t="shared" si="158"/>
        <v>0</v>
      </c>
      <c r="AI159" s="28">
        <f t="shared" si="158"/>
        <v>0</v>
      </c>
      <c r="AJ159" s="28">
        <f t="shared" si="158"/>
        <v>0</v>
      </c>
      <c r="AK159" s="28">
        <f t="shared" si="158"/>
        <v>0</v>
      </c>
      <c r="AL159" s="28">
        <f t="shared" si="158"/>
        <v>0</v>
      </c>
      <c r="AM159" s="28">
        <f t="shared" si="158"/>
        <v>0</v>
      </c>
      <c r="AN159" s="28">
        <f t="shared" si="158"/>
        <v>0</v>
      </c>
      <c r="AO159" s="28">
        <f t="shared" si="158"/>
        <v>0</v>
      </c>
      <c r="AP159" s="28">
        <f t="shared" si="158"/>
        <v>0</v>
      </c>
      <c r="AQ159" s="28">
        <f t="shared" si="158"/>
        <v>0</v>
      </c>
      <c r="AR159" s="28">
        <f t="shared" si="158"/>
        <v>0</v>
      </c>
      <c r="AS159" s="28">
        <f t="shared" si="158"/>
        <v>0</v>
      </c>
      <c r="AT159" s="28">
        <f t="shared" si="158"/>
        <v>0</v>
      </c>
    </row>
    <row r="160">
      <c r="A160" s="5" t="s">
        <v>170</v>
      </c>
      <c r="B160" s="6">
        <v>200.0</v>
      </c>
      <c r="C160" s="7" t="s">
        <v>35</v>
      </c>
      <c r="D160" s="15">
        <v>75207.0</v>
      </c>
      <c r="F160" s="15">
        <f>IFERROR(__xludf.DUMMYFUNCTION("""COMPUTED_VALUE"""),78504.0)</f>
        <v>78504</v>
      </c>
      <c r="G160" s="26">
        <f t="shared" si="2"/>
        <v>300</v>
      </c>
      <c r="J160" s="27">
        <f>IFERROR(__xludf.DUMMYFUNCTION("""COMPUTED_VALUE"""),78504.0)</f>
        <v>78504</v>
      </c>
      <c r="K160" s="28">
        <f t="shared" ref="K160:AT160" si="159">sumifs($B:$B,$D:$D,$J160,$C:$C,K$1)</f>
        <v>0</v>
      </c>
      <c r="L160" s="28">
        <f t="shared" si="159"/>
        <v>0</v>
      </c>
      <c r="M160" s="28">
        <f t="shared" si="159"/>
        <v>0</v>
      </c>
      <c r="N160" s="28">
        <f t="shared" si="159"/>
        <v>0</v>
      </c>
      <c r="O160" s="28">
        <f t="shared" si="159"/>
        <v>0</v>
      </c>
      <c r="P160" s="28">
        <f t="shared" si="159"/>
        <v>0</v>
      </c>
      <c r="Q160" s="28">
        <f t="shared" si="159"/>
        <v>0</v>
      </c>
      <c r="R160" s="28">
        <f t="shared" si="159"/>
        <v>0</v>
      </c>
      <c r="S160" s="28">
        <f t="shared" si="159"/>
        <v>0</v>
      </c>
      <c r="T160" s="28">
        <f t="shared" si="159"/>
        <v>0</v>
      </c>
      <c r="U160" s="28">
        <f t="shared" si="159"/>
        <v>0</v>
      </c>
      <c r="V160" s="28">
        <f t="shared" si="159"/>
        <v>0</v>
      </c>
      <c r="W160" s="28">
        <f t="shared" si="159"/>
        <v>0</v>
      </c>
      <c r="X160" s="28">
        <f t="shared" si="159"/>
        <v>0</v>
      </c>
      <c r="Y160" s="28">
        <f t="shared" si="159"/>
        <v>300</v>
      </c>
      <c r="Z160" s="28">
        <f t="shared" si="159"/>
        <v>0</v>
      </c>
      <c r="AA160" s="28">
        <f t="shared" si="159"/>
        <v>0</v>
      </c>
      <c r="AB160" s="28">
        <f t="shared" si="159"/>
        <v>0</v>
      </c>
      <c r="AC160" s="28">
        <f t="shared" si="159"/>
        <v>0</v>
      </c>
      <c r="AD160" s="28">
        <f t="shared" si="159"/>
        <v>0</v>
      </c>
      <c r="AE160" s="28">
        <f t="shared" si="159"/>
        <v>0</v>
      </c>
      <c r="AF160" s="28">
        <f t="shared" si="159"/>
        <v>0</v>
      </c>
      <c r="AG160" s="28">
        <f t="shared" si="159"/>
        <v>0</v>
      </c>
      <c r="AH160" s="28">
        <f t="shared" si="159"/>
        <v>0</v>
      </c>
      <c r="AI160" s="28">
        <f t="shared" si="159"/>
        <v>0</v>
      </c>
      <c r="AJ160" s="28">
        <f t="shared" si="159"/>
        <v>0</v>
      </c>
      <c r="AK160" s="28">
        <f t="shared" si="159"/>
        <v>0</v>
      </c>
      <c r="AL160" s="28">
        <f t="shared" si="159"/>
        <v>0</v>
      </c>
      <c r="AM160" s="28">
        <f t="shared" si="159"/>
        <v>0</v>
      </c>
      <c r="AN160" s="28">
        <f t="shared" si="159"/>
        <v>0</v>
      </c>
      <c r="AO160" s="28">
        <f t="shared" si="159"/>
        <v>0</v>
      </c>
      <c r="AP160" s="28">
        <f t="shared" si="159"/>
        <v>0</v>
      </c>
      <c r="AQ160" s="28">
        <f t="shared" si="159"/>
        <v>0</v>
      </c>
      <c r="AR160" s="28">
        <f t="shared" si="159"/>
        <v>0</v>
      </c>
      <c r="AS160" s="28">
        <f t="shared" si="159"/>
        <v>0</v>
      </c>
      <c r="AT160" s="28">
        <f t="shared" si="159"/>
        <v>0</v>
      </c>
    </row>
    <row r="161">
      <c r="A161" s="10" t="s">
        <v>171</v>
      </c>
      <c r="B161" s="11">
        <v>100.0</v>
      </c>
      <c r="C161" s="12" t="s">
        <v>35</v>
      </c>
      <c r="D161" s="15">
        <v>75208.0</v>
      </c>
      <c r="F161" s="15">
        <f>IFERROR(__xludf.DUMMYFUNCTION("""COMPUTED_VALUE"""),76010.0)</f>
        <v>76010</v>
      </c>
      <c r="G161" s="26">
        <f t="shared" si="2"/>
        <v>4000</v>
      </c>
      <c r="J161" s="27">
        <f>IFERROR(__xludf.DUMMYFUNCTION("""COMPUTED_VALUE"""),76010.0)</f>
        <v>76010</v>
      </c>
      <c r="K161" s="28">
        <f t="shared" ref="K161:AT161" si="160">sumifs($B:$B,$D:$D,$J161,$C:$C,K$1)</f>
        <v>0</v>
      </c>
      <c r="L161" s="28">
        <f t="shared" si="160"/>
        <v>0</v>
      </c>
      <c r="M161" s="28">
        <f t="shared" si="160"/>
        <v>0</v>
      </c>
      <c r="N161" s="28">
        <f t="shared" si="160"/>
        <v>0</v>
      </c>
      <c r="O161" s="28">
        <f t="shared" si="160"/>
        <v>0</v>
      </c>
      <c r="P161" s="28">
        <f t="shared" si="160"/>
        <v>0</v>
      </c>
      <c r="Q161" s="28">
        <f t="shared" si="160"/>
        <v>0</v>
      </c>
      <c r="R161" s="28">
        <f t="shared" si="160"/>
        <v>0</v>
      </c>
      <c r="S161" s="28">
        <f t="shared" si="160"/>
        <v>0</v>
      </c>
      <c r="T161" s="28">
        <f t="shared" si="160"/>
        <v>0</v>
      </c>
      <c r="U161" s="28">
        <f t="shared" si="160"/>
        <v>0</v>
      </c>
      <c r="V161" s="28">
        <f t="shared" si="160"/>
        <v>0</v>
      </c>
      <c r="W161" s="28">
        <f t="shared" si="160"/>
        <v>0</v>
      </c>
      <c r="X161" s="28">
        <f t="shared" si="160"/>
        <v>0</v>
      </c>
      <c r="Y161" s="28">
        <f t="shared" si="160"/>
        <v>0</v>
      </c>
      <c r="Z161" s="28">
        <f t="shared" si="160"/>
        <v>0</v>
      </c>
      <c r="AA161" s="28">
        <f t="shared" si="160"/>
        <v>0</v>
      </c>
      <c r="AB161" s="28">
        <f t="shared" si="160"/>
        <v>0</v>
      </c>
      <c r="AC161" s="28">
        <f t="shared" si="160"/>
        <v>0</v>
      </c>
      <c r="AD161" s="28">
        <f t="shared" si="160"/>
        <v>0</v>
      </c>
      <c r="AE161" s="28">
        <f t="shared" si="160"/>
        <v>4000</v>
      </c>
      <c r="AF161" s="28">
        <f t="shared" si="160"/>
        <v>0</v>
      </c>
      <c r="AG161" s="28">
        <f t="shared" si="160"/>
        <v>0</v>
      </c>
      <c r="AH161" s="28">
        <f t="shared" si="160"/>
        <v>0</v>
      </c>
      <c r="AI161" s="28">
        <f t="shared" si="160"/>
        <v>0</v>
      </c>
      <c r="AJ161" s="28">
        <f t="shared" si="160"/>
        <v>0</v>
      </c>
      <c r="AK161" s="28">
        <f t="shared" si="160"/>
        <v>0</v>
      </c>
      <c r="AL161" s="28">
        <f t="shared" si="160"/>
        <v>0</v>
      </c>
      <c r="AM161" s="28">
        <f t="shared" si="160"/>
        <v>0</v>
      </c>
      <c r="AN161" s="28">
        <f t="shared" si="160"/>
        <v>0</v>
      </c>
      <c r="AO161" s="28">
        <f t="shared" si="160"/>
        <v>0</v>
      </c>
      <c r="AP161" s="28">
        <f t="shared" si="160"/>
        <v>0</v>
      </c>
      <c r="AQ161" s="28">
        <f t="shared" si="160"/>
        <v>0</v>
      </c>
      <c r="AR161" s="28">
        <f t="shared" si="160"/>
        <v>0</v>
      </c>
      <c r="AS161" s="28">
        <f t="shared" si="160"/>
        <v>0</v>
      </c>
      <c r="AT161" s="28">
        <f t="shared" si="160"/>
        <v>0</v>
      </c>
    </row>
    <row r="162">
      <c r="A162" s="5" t="s">
        <v>172</v>
      </c>
      <c r="B162" s="6">
        <v>100.0</v>
      </c>
      <c r="C162" s="7" t="s">
        <v>35</v>
      </c>
      <c r="D162" s="15">
        <v>75215.0</v>
      </c>
      <c r="F162" s="15">
        <f>IFERROR(__xludf.DUMMYFUNCTION("""COMPUTED_VALUE"""),77024.0)</f>
        <v>77024</v>
      </c>
      <c r="G162" s="26">
        <f t="shared" si="2"/>
        <v>9050</v>
      </c>
      <c r="J162" s="27">
        <f>IFERROR(__xludf.DUMMYFUNCTION("""COMPUTED_VALUE"""),77024.0)</f>
        <v>77024</v>
      </c>
      <c r="K162" s="28">
        <f t="shared" ref="K162:AT162" si="161">sumifs($B:$B,$D:$D,$J162,$C:$C,K$1)</f>
        <v>1000</v>
      </c>
      <c r="L162" s="28">
        <f t="shared" si="161"/>
        <v>0</v>
      </c>
      <c r="M162" s="28">
        <f t="shared" si="161"/>
        <v>0</v>
      </c>
      <c r="N162" s="28">
        <f t="shared" si="161"/>
        <v>0</v>
      </c>
      <c r="O162" s="28">
        <f t="shared" si="161"/>
        <v>0</v>
      </c>
      <c r="P162" s="28">
        <f t="shared" si="161"/>
        <v>1000</v>
      </c>
      <c r="Q162" s="28">
        <f t="shared" si="161"/>
        <v>0</v>
      </c>
      <c r="R162" s="28">
        <f t="shared" si="161"/>
        <v>0</v>
      </c>
      <c r="S162" s="28">
        <f t="shared" si="161"/>
        <v>0</v>
      </c>
      <c r="T162" s="28">
        <f t="shared" si="161"/>
        <v>0</v>
      </c>
      <c r="U162" s="28">
        <f t="shared" si="161"/>
        <v>0</v>
      </c>
      <c r="V162" s="28">
        <f t="shared" si="161"/>
        <v>0</v>
      </c>
      <c r="W162" s="28">
        <f t="shared" si="161"/>
        <v>1000</v>
      </c>
      <c r="X162" s="28">
        <f t="shared" si="161"/>
        <v>0</v>
      </c>
      <c r="Y162" s="28">
        <f t="shared" si="161"/>
        <v>0</v>
      </c>
      <c r="Z162" s="28">
        <f t="shared" si="161"/>
        <v>0</v>
      </c>
      <c r="AA162" s="28">
        <f t="shared" si="161"/>
        <v>0</v>
      </c>
      <c r="AB162" s="28">
        <f t="shared" si="161"/>
        <v>0</v>
      </c>
      <c r="AC162" s="28">
        <f t="shared" si="161"/>
        <v>1000</v>
      </c>
      <c r="AD162" s="28">
        <f t="shared" si="161"/>
        <v>0</v>
      </c>
      <c r="AE162" s="28">
        <f t="shared" si="161"/>
        <v>800</v>
      </c>
      <c r="AF162" s="28">
        <f t="shared" si="161"/>
        <v>1000</v>
      </c>
      <c r="AG162" s="28">
        <f t="shared" si="161"/>
        <v>0</v>
      </c>
      <c r="AH162" s="28">
        <f t="shared" si="161"/>
        <v>0</v>
      </c>
      <c r="AI162" s="28">
        <f t="shared" si="161"/>
        <v>2250</v>
      </c>
      <c r="AJ162" s="28">
        <f t="shared" si="161"/>
        <v>0</v>
      </c>
      <c r="AK162" s="28">
        <f t="shared" si="161"/>
        <v>1000</v>
      </c>
      <c r="AL162" s="28">
        <f t="shared" si="161"/>
        <v>0</v>
      </c>
      <c r="AM162" s="28">
        <f t="shared" si="161"/>
        <v>0</v>
      </c>
      <c r="AN162" s="28">
        <f t="shared" si="161"/>
        <v>0</v>
      </c>
      <c r="AO162" s="28">
        <f t="shared" si="161"/>
        <v>0</v>
      </c>
      <c r="AP162" s="28">
        <f t="shared" si="161"/>
        <v>0</v>
      </c>
      <c r="AQ162" s="28">
        <f t="shared" si="161"/>
        <v>0</v>
      </c>
      <c r="AR162" s="28">
        <f t="shared" si="161"/>
        <v>0</v>
      </c>
      <c r="AS162" s="28">
        <f t="shared" si="161"/>
        <v>0</v>
      </c>
      <c r="AT162" s="28">
        <f t="shared" si="161"/>
        <v>0</v>
      </c>
    </row>
    <row r="163">
      <c r="A163" s="10" t="s">
        <v>173</v>
      </c>
      <c r="B163" s="11">
        <v>500.0</v>
      </c>
      <c r="C163" s="12" t="s">
        <v>35</v>
      </c>
      <c r="D163" s="15">
        <v>75229.0</v>
      </c>
      <c r="F163" s="15">
        <f>IFERROR(__xludf.DUMMYFUNCTION("""COMPUTED_VALUE"""),75252.0)</f>
        <v>75252</v>
      </c>
      <c r="G163" s="26">
        <f t="shared" si="2"/>
        <v>10285</v>
      </c>
      <c r="J163" s="27">
        <f>IFERROR(__xludf.DUMMYFUNCTION("""COMPUTED_VALUE"""),75252.0)</f>
        <v>75252</v>
      </c>
      <c r="K163" s="28">
        <f t="shared" ref="K163:AT163" si="162">sumifs($B:$B,$D:$D,$J163,$C:$C,K$1)</f>
        <v>0</v>
      </c>
      <c r="L163" s="28">
        <f t="shared" si="162"/>
        <v>0</v>
      </c>
      <c r="M163" s="28">
        <f t="shared" si="162"/>
        <v>0</v>
      </c>
      <c r="N163" s="28">
        <f t="shared" si="162"/>
        <v>0</v>
      </c>
      <c r="O163" s="28">
        <f t="shared" si="162"/>
        <v>0</v>
      </c>
      <c r="P163" s="28">
        <f t="shared" si="162"/>
        <v>0</v>
      </c>
      <c r="Q163" s="28">
        <f t="shared" si="162"/>
        <v>0</v>
      </c>
      <c r="R163" s="28">
        <f t="shared" si="162"/>
        <v>0</v>
      </c>
      <c r="S163" s="28">
        <f t="shared" si="162"/>
        <v>0</v>
      </c>
      <c r="T163" s="28">
        <f t="shared" si="162"/>
        <v>0</v>
      </c>
      <c r="U163" s="28">
        <f t="shared" si="162"/>
        <v>0</v>
      </c>
      <c r="V163" s="28">
        <f t="shared" si="162"/>
        <v>0</v>
      </c>
      <c r="W163" s="28">
        <f t="shared" si="162"/>
        <v>500</v>
      </c>
      <c r="X163" s="28">
        <f t="shared" si="162"/>
        <v>0</v>
      </c>
      <c r="Y163" s="28">
        <f t="shared" si="162"/>
        <v>0</v>
      </c>
      <c r="Z163" s="28">
        <f t="shared" si="162"/>
        <v>850</v>
      </c>
      <c r="AA163" s="28">
        <f t="shared" si="162"/>
        <v>0</v>
      </c>
      <c r="AB163" s="28">
        <f t="shared" si="162"/>
        <v>0</v>
      </c>
      <c r="AC163" s="28">
        <f t="shared" si="162"/>
        <v>1000</v>
      </c>
      <c r="AD163" s="28">
        <f t="shared" si="162"/>
        <v>0</v>
      </c>
      <c r="AE163" s="28">
        <f t="shared" si="162"/>
        <v>2000</v>
      </c>
      <c r="AF163" s="28">
        <f t="shared" si="162"/>
        <v>0</v>
      </c>
      <c r="AG163" s="28">
        <f t="shared" si="162"/>
        <v>0</v>
      </c>
      <c r="AH163" s="28">
        <f t="shared" si="162"/>
        <v>0</v>
      </c>
      <c r="AI163" s="28">
        <f t="shared" si="162"/>
        <v>3135</v>
      </c>
      <c r="AJ163" s="28">
        <f t="shared" si="162"/>
        <v>0</v>
      </c>
      <c r="AK163" s="28">
        <f t="shared" si="162"/>
        <v>800</v>
      </c>
      <c r="AL163" s="28">
        <f t="shared" si="162"/>
        <v>0</v>
      </c>
      <c r="AM163" s="28">
        <f t="shared" si="162"/>
        <v>0</v>
      </c>
      <c r="AN163" s="28">
        <f t="shared" si="162"/>
        <v>0</v>
      </c>
      <c r="AO163" s="28">
        <f t="shared" si="162"/>
        <v>0</v>
      </c>
      <c r="AP163" s="28">
        <f t="shared" si="162"/>
        <v>0</v>
      </c>
      <c r="AQ163" s="28">
        <f t="shared" si="162"/>
        <v>0</v>
      </c>
      <c r="AR163" s="28">
        <f t="shared" si="162"/>
        <v>0</v>
      </c>
      <c r="AS163" s="28">
        <f t="shared" si="162"/>
        <v>0</v>
      </c>
      <c r="AT163" s="28">
        <f t="shared" si="162"/>
        <v>2000</v>
      </c>
    </row>
    <row r="164">
      <c r="A164" s="5" t="s">
        <v>174</v>
      </c>
      <c r="B164" s="6">
        <v>250.0</v>
      </c>
      <c r="C164" s="7" t="s">
        <v>35</v>
      </c>
      <c r="D164" s="15">
        <v>75231.0</v>
      </c>
      <c r="F164" s="15">
        <f>IFERROR(__xludf.DUMMYFUNCTION("""COMPUTED_VALUE"""),76107.0)</f>
        <v>76107</v>
      </c>
      <c r="G164" s="26">
        <f t="shared" si="2"/>
        <v>3199.7</v>
      </c>
      <c r="J164" s="27">
        <f>IFERROR(__xludf.DUMMYFUNCTION("""COMPUTED_VALUE"""),76107.0)</f>
        <v>76107</v>
      </c>
      <c r="K164" s="28">
        <f t="shared" ref="K164:AT164" si="163">sumifs($B:$B,$D:$D,$J164,$C:$C,K$1)</f>
        <v>0</v>
      </c>
      <c r="L164" s="28">
        <f t="shared" si="163"/>
        <v>0</v>
      </c>
      <c r="M164" s="28">
        <f t="shared" si="163"/>
        <v>0</v>
      </c>
      <c r="N164" s="28">
        <f t="shared" si="163"/>
        <v>0</v>
      </c>
      <c r="O164" s="28">
        <f t="shared" si="163"/>
        <v>0</v>
      </c>
      <c r="P164" s="28">
        <f t="shared" si="163"/>
        <v>0</v>
      </c>
      <c r="Q164" s="28">
        <f t="shared" si="163"/>
        <v>0</v>
      </c>
      <c r="R164" s="28">
        <f t="shared" si="163"/>
        <v>0</v>
      </c>
      <c r="S164" s="28">
        <f t="shared" si="163"/>
        <v>0</v>
      </c>
      <c r="T164" s="28">
        <f t="shared" si="163"/>
        <v>0</v>
      </c>
      <c r="U164" s="28">
        <f t="shared" si="163"/>
        <v>0</v>
      </c>
      <c r="V164" s="28">
        <f t="shared" si="163"/>
        <v>0</v>
      </c>
      <c r="W164" s="28">
        <f t="shared" si="163"/>
        <v>0</v>
      </c>
      <c r="X164" s="28">
        <f t="shared" si="163"/>
        <v>0</v>
      </c>
      <c r="Y164" s="28">
        <f t="shared" si="163"/>
        <v>0</v>
      </c>
      <c r="Z164" s="28">
        <f t="shared" si="163"/>
        <v>0</v>
      </c>
      <c r="AA164" s="28">
        <f t="shared" si="163"/>
        <v>0</v>
      </c>
      <c r="AB164" s="28">
        <f t="shared" si="163"/>
        <v>0</v>
      </c>
      <c r="AC164" s="28">
        <f t="shared" si="163"/>
        <v>949.7</v>
      </c>
      <c r="AD164" s="28">
        <f t="shared" si="163"/>
        <v>0</v>
      </c>
      <c r="AE164" s="28">
        <f t="shared" si="163"/>
        <v>2000</v>
      </c>
      <c r="AF164" s="28">
        <f t="shared" si="163"/>
        <v>0</v>
      </c>
      <c r="AG164" s="28">
        <f t="shared" si="163"/>
        <v>0</v>
      </c>
      <c r="AH164" s="28">
        <f t="shared" si="163"/>
        <v>0</v>
      </c>
      <c r="AI164" s="28">
        <f t="shared" si="163"/>
        <v>0</v>
      </c>
      <c r="AJ164" s="28">
        <f t="shared" si="163"/>
        <v>0</v>
      </c>
      <c r="AK164" s="28">
        <f t="shared" si="163"/>
        <v>250</v>
      </c>
      <c r="AL164" s="28">
        <f t="shared" si="163"/>
        <v>0</v>
      </c>
      <c r="AM164" s="28">
        <f t="shared" si="163"/>
        <v>0</v>
      </c>
      <c r="AN164" s="28">
        <f t="shared" si="163"/>
        <v>0</v>
      </c>
      <c r="AO164" s="28">
        <f t="shared" si="163"/>
        <v>0</v>
      </c>
      <c r="AP164" s="28">
        <f t="shared" si="163"/>
        <v>0</v>
      </c>
      <c r="AQ164" s="28">
        <f t="shared" si="163"/>
        <v>0</v>
      </c>
      <c r="AR164" s="28">
        <f t="shared" si="163"/>
        <v>0</v>
      </c>
      <c r="AS164" s="28">
        <f t="shared" si="163"/>
        <v>0</v>
      </c>
      <c r="AT164" s="28">
        <f t="shared" si="163"/>
        <v>0</v>
      </c>
    </row>
    <row r="165">
      <c r="A165" s="10" t="s">
        <v>175</v>
      </c>
      <c r="B165" s="11">
        <v>250.0</v>
      </c>
      <c r="C165" s="12" t="s">
        <v>35</v>
      </c>
      <c r="D165" s="15">
        <v>75223.0</v>
      </c>
      <c r="F165" s="15">
        <f>IFERROR(__xludf.DUMMYFUNCTION("""COMPUTED_VALUE"""),75149.0)</f>
        <v>75149</v>
      </c>
      <c r="G165" s="26">
        <f t="shared" si="2"/>
        <v>50</v>
      </c>
      <c r="J165" s="27">
        <f>IFERROR(__xludf.DUMMYFUNCTION("""COMPUTED_VALUE"""),75149.0)</f>
        <v>75149</v>
      </c>
      <c r="K165" s="28">
        <f t="shared" ref="K165:AT165" si="164">sumifs($B:$B,$D:$D,$J165,$C:$C,K$1)</f>
        <v>0</v>
      </c>
      <c r="L165" s="28">
        <f t="shared" si="164"/>
        <v>0</v>
      </c>
      <c r="M165" s="28">
        <f t="shared" si="164"/>
        <v>0</v>
      </c>
      <c r="N165" s="28">
        <f t="shared" si="164"/>
        <v>0</v>
      </c>
      <c r="O165" s="28">
        <f t="shared" si="164"/>
        <v>0</v>
      </c>
      <c r="P165" s="28">
        <f t="shared" si="164"/>
        <v>0</v>
      </c>
      <c r="Q165" s="28">
        <f t="shared" si="164"/>
        <v>0</v>
      </c>
      <c r="R165" s="28">
        <f t="shared" si="164"/>
        <v>0</v>
      </c>
      <c r="S165" s="28">
        <f t="shared" si="164"/>
        <v>0</v>
      </c>
      <c r="T165" s="28">
        <f t="shared" si="164"/>
        <v>0</v>
      </c>
      <c r="U165" s="28">
        <f t="shared" si="164"/>
        <v>0</v>
      </c>
      <c r="V165" s="28">
        <f t="shared" si="164"/>
        <v>0</v>
      </c>
      <c r="W165" s="28">
        <f t="shared" si="164"/>
        <v>0</v>
      </c>
      <c r="X165" s="28">
        <f t="shared" si="164"/>
        <v>0</v>
      </c>
      <c r="Y165" s="28">
        <f t="shared" si="164"/>
        <v>0</v>
      </c>
      <c r="Z165" s="28">
        <f t="shared" si="164"/>
        <v>0</v>
      </c>
      <c r="AA165" s="28">
        <f t="shared" si="164"/>
        <v>50</v>
      </c>
      <c r="AB165" s="28">
        <f t="shared" si="164"/>
        <v>0</v>
      </c>
      <c r="AC165" s="28">
        <f t="shared" si="164"/>
        <v>0</v>
      </c>
      <c r="AD165" s="28">
        <f t="shared" si="164"/>
        <v>0</v>
      </c>
      <c r="AE165" s="28">
        <f t="shared" si="164"/>
        <v>0</v>
      </c>
      <c r="AF165" s="28">
        <f t="shared" si="164"/>
        <v>0</v>
      </c>
      <c r="AG165" s="28">
        <f t="shared" si="164"/>
        <v>0</v>
      </c>
      <c r="AH165" s="28">
        <f t="shared" si="164"/>
        <v>0</v>
      </c>
      <c r="AI165" s="28">
        <f t="shared" si="164"/>
        <v>0</v>
      </c>
      <c r="AJ165" s="28">
        <f t="shared" si="164"/>
        <v>0</v>
      </c>
      <c r="AK165" s="28">
        <f t="shared" si="164"/>
        <v>0</v>
      </c>
      <c r="AL165" s="28">
        <f t="shared" si="164"/>
        <v>0</v>
      </c>
      <c r="AM165" s="28">
        <f t="shared" si="164"/>
        <v>0</v>
      </c>
      <c r="AN165" s="28">
        <f t="shared" si="164"/>
        <v>0</v>
      </c>
      <c r="AO165" s="28">
        <f t="shared" si="164"/>
        <v>0</v>
      </c>
      <c r="AP165" s="28">
        <f t="shared" si="164"/>
        <v>0</v>
      </c>
      <c r="AQ165" s="28">
        <f t="shared" si="164"/>
        <v>0</v>
      </c>
      <c r="AR165" s="28">
        <f t="shared" si="164"/>
        <v>0</v>
      </c>
      <c r="AS165" s="28">
        <f t="shared" si="164"/>
        <v>0</v>
      </c>
      <c r="AT165" s="28">
        <f t="shared" si="164"/>
        <v>0</v>
      </c>
    </row>
    <row r="166">
      <c r="A166" s="5" t="s">
        <v>176</v>
      </c>
      <c r="B166" s="6">
        <v>100.0</v>
      </c>
      <c r="C166" s="7" t="s">
        <v>35</v>
      </c>
      <c r="D166" s="15">
        <v>75206.0</v>
      </c>
      <c r="F166" s="15">
        <f>IFERROR(__xludf.DUMMYFUNCTION("""COMPUTED_VALUE"""),75236.0)</f>
        <v>75236</v>
      </c>
      <c r="G166" s="26">
        <f t="shared" si="2"/>
        <v>6450</v>
      </c>
      <c r="J166" s="27">
        <f>IFERROR(__xludf.DUMMYFUNCTION("""COMPUTED_VALUE"""),75236.0)</f>
        <v>75236</v>
      </c>
      <c r="K166" s="28">
        <f t="shared" ref="K166:AT166" si="165">sumifs($B:$B,$D:$D,$J166,$C:$C,K$1)</f>
        <v>0</v>
      </c>
      <c r="L166" s="28">
        <f t="shared" si="165"/>
        <v>0</v>
      </c>
      <c r="M166" s="28">
        <f t="shared" si="165"/>
        <v>0</v>
      </c>
      <c r="N166" s="28">
        <f t="shared" si="165"/>
        <v>0</v>
      </c>
      <c r="O166" s="28">
        <f t="shared" si="165"/>
        <v>0</v>
      </c>
      <c r="P166" s="28">
        <f t="shared" si="165"/>
        <v>0</v>
      </c>
      <c r="Q166" s="28">
        <f t="shared" si="165"/>
        <v>0</v>
      </c>
      <c r="R166" s="28">
        <f t="shared" si="165"/>
        <v>0</v>
      </c>
      <c r="S166" s="28">
        <f t="shared" si="165"/>
        <v>0</v>
      </c>
      <c r="T166" s="28">
        <f t="shared" si="165"/>
        <v>0</v>
      </c>
      <c r="U166" s="28">
        <f t="shared" si="165"/>
        <v>0</v>
      </c>
      <c r="V166" s="28">
        <f t="shared" si="165"/>
        <v>0</v>
      </c>
      <c r="W166" s="28">
        <f t="shared" si="165"/>
        <v>0</v>
      </c>
      <c r="X166" s="28">
        <f t="shared" si="165"/>
        <v>0</v>
      </c>
      <c r="Y166" s="28">
        <f t="shared" si="165"/>
        <v>0</v>
      </c>
      <c r="Z166" s="28">
        <f t="shared" si="165"/>
        <v>0</v>
      </c>
      <c r="AA166" s="28">
        <f t="shared" si="165"/>
        <v>0</v>
      </c>
      <c r="AB166" s="28">
        <f t="shared" si="165"/>
        <v>0</v>
      </c>
      <c r="AC166" s="28">
        <f t="shared" si="165"/>
        <v>0</v>
      </c>
      <c r="AD166" s="28">
        <f t="shared" si="165"/>
        <v>0</v>
      </c>
      <c r="AE166" s="28">
        <f t="shared" si="165"/>
        <v>0</v>
      </c>
      <c r="AF166" s="28">
        <f t="shared" si="165"/>
        <v>0</v>
      </c>
      <c r="AG166" s="28">
        <f t="shared" si="165"/>
        <v>0</v>
      </c>
      <c r="AH166" s="28">
        <f t="shared" si="165"/>
        <v>0</v>
      </c>
      <c r="AI166" s="28">
        <f t="shared" si="165"/>
        <v>5450</v>
      </c>
      <c r="AJ166" s="28">
        <f t="shared" si="165"/>
        <v>0</v>
      </c>
      <c r="AK166" s="28">
        <f t="shared" si="165"/>
        <v>0</v>
      </c>
      <c r="AL166" s="28">
        <f t="shared" si="165"/>
        <v>0</v>
      </c>
      <c r="AM166" s="28">
        <f t="shared" si="165"/>
        <v>1000</v>
      </c>
      <c r="AN166" s="28">
        <f t="shared" si="165"/>
        <v>0</v>
      </c>
      <c r="AO166" s="28">
        <f t="shared" si="165"/>
        <v>0</v>
      </c>
      <c r="AP166" s="28">
        <f t="shared" si="165"/>
        <v>0</v>
      </c>
      <c r="AQ166" s="28">
        <f t="shared" si="165"/>
        <v>0</v>
      </c>
      <c r="AR166" s="28">
        <f t="shared" si="165"/>
        <v>0</v>
      </c>
      <c r="AS166" s="28">
        <f t="shared" si="165"/>
        <v>0</v>
      </c>
      <c r="AT166" s="28">
        <f t="shared" si="165"/>
        <v>0</v>
      </c>
    </row>
    <row r="167">
      <c r="A167" s="10" t="s">
        <v>177</v>
      </c>
      <c r="B167" s="11">
        <v>200.0</v>
      </c>
      <c r="C167" s="12" t="s">
        <v>35</v>
      </c>
      <c r="D167" s="15">
        <v>75219.0</v>
      </c>
      <c r="F167" s="15">
        <f>IFERROR(__xludf.DUMMYFUNCTION("""COMPUTED_VALUE"""),75372.0)</f>
        <v>75372</v>
      </c>
      <c r="G167" s="26">
        <f t="shared" si="2"/>
        <v>400</v>
      </c>
      <c r="J167" s="27">
        <f>IFERROR(__xludf.DUMMYFUNCTION("""COMPUTED_VALUE"""),75372.0)</f>
        <v>75372</v>
      </c>
      <c r="K167" s="28">
        <f t="shared" ref="K167:AT167" si="166">sumifs($B:$B,$D:$D,$J167,$C:$C,K$1)</f>
        <v>0</v>
      </c>
      <c r="L167" s="28">
        <f t="shared" si="166"/>
        <v>0</v>
      </c>
      <c r="M167" s="28">
        <f t="shared" si="166"/>
        <v>0</v>
      </c>
      <c r="N167" s="28">
        <f t="shared" si="166"/>
        <v>0</v>
      </c>
      <c r="O167" s="28">
        <f t="shared" si="166"/>
        <v>0</v>
      </c>
      <c r="P167" s="28">
        <f t="shared" si="166"/>
        <v>0</v>
      </c>
      <c r="Q167" s="28">
        <f t="shared" si="166"/>
        <v>0</v>
      </c>
      <c r="R167" s="28">
        <f t="shared" si="166"/>
        <v>0</v>
      </c>
      <c r="S167" s="28">
        <f t="shared" si="166"/>
        <v>0</v>
      </c>
      <c r="T167" s="28">
        <f t="shared" si="166"/>
        <v>0</v>
      </c>
      <c r="U167" s="28">
        <f t="shared" si="166"/>
        <v>0</v>
      </c>
      <c r="V167" s="28">
        <f t="shared" si="166"/>
        <v>0</v>
      </c>
      <c r="W167" s="28">
        <f t="shared" si="166"/>
        <v>0</v>
      </c>
      <c r="X167" s="28">
        <f t="shared" si="166"/>
        <v>0</v>
      </c>
      <c r="Y167" s="28">
        <f t="shared" si="166"/>
        <v>0</v>
      </c>
      <c r="Z167" s="28">
        <f t="shared" si="166"/>
        <v>0</v>
      </c>
      <c r="AA167" s="28">
        <f t="shared" si="166"/>
        <v>0</v>
      </c>
      <c r="AB167" s="28">
        <f t="shared" si="166"/>
        <v>0</v>
      </c>
      <c r="AC167" s="28">
        <f t="shared" si="166"/>
        <v>0</v>
      </c>
      <c r="AD167" s="28">
        <f t="shared" si="166"/>
        <v>0</v>
      </c>
      <c r="AE167" s="28">
        <f t="shared" si="166"/>
        <v>0</v>
      </c>
      <c r="AF167" s="28">
        <f t="shared" si="166"/>
        <v>0</v>
      </c>
      <c r="AG167" s="28">
        <f t="shared" si="166"/>
        <v>0</v>
      </c>
      <c r="AH167" s="28">
        <f t="shared" si="166"/>
        <v>0</v>
      </c>
      <c r="AI167" s="28">
        <f t="shared" si="166"/>
        <v>400</v>
      </c>
      <c r="AJ167" s="28">
        <f t="shared" si="166"/>
        <v>0</v>
      </c>
      <c r="AK167" s="28">
        <f t="shared" si="166"/>
        <v>0</v>
      </c>
      <c r="AL167" s="28">
        <f t="shared" si="166"/>
        <v>0</v>
      </c>
      <c r="AM167" s="28">
        <f t="shared" si="166"/>
        <v>0</v>
      </c>
      <c r="AN167" s="28">
        <f t="shared" si="166"/>
        <v>0</v>
      </c>
      <c r="AO167" s="28">
        <f t="shared" si="166"/>
        <v>0</v>
      </c>
      <c r="AP167" s="28">
        <f t="shared" si="166"/>
        <v>0</v>
      </c>
      <c r="AQ167" s="28">
        <f t="shared" si="166"/>
        <v>0</v>
      </c>
      <c r="AR167" s="28">
        <f t="shared" si="166"/>
        <v>0</v>
      </c>
      <c r="AS167" s="28">
        <f t="shared" si="166"/>
        <v>0</v>
      </c>
      <c r="AT167" s="28">
        <f t="shared" si="166"/>
        <v>0</v>
      </c>
    </row>
    <row r="168">
      <c r="A168" s="5" t="s">
        <v>178</v>
      </c>
      <c r="B168" s="6">
        <v>50.0</v>
      </c>
      <c r="C168" s="7" t="s">
        <v>35</v>
      </c>
      <c r="D168" s="15">
        <v>75215.0</v>
      </c>
      <c r="F168" s="15">
        <f>IFERROR(__xludf.DUMMYFUNCTION("""COMPUTED_VALUE"""),76244.0)</f>
        <v>76244</v>
      </c>
      <c r="G168" s="26">
        <f t="shared" si="2"/>
        <v>2000</v>
      </c>
      <c r="J168" s="27">
        <f>IFERROR(__xludf.DUMMYFUNCTION("""COMPUTED_VALUE"""),76244.0)</f>
        <v>76244</v>
      </c>
      <c r="K168" s="28">
        <f t="shared" ref="K168:AT168" si="167">sumifs($B:$B,$D:$D,$J168,$C:$C,K$1)</f>
        <v>0</v>
      </c>
      <c r="L168" s="28">
        <f t="shared" si="167"/>
        <v>0</v>
      </c>
      <c r="M168" s="28">
        <f t="shared" si="167"/>
        <v>0</v>
      </c>
      <c r="N168" s="28">
        <f t="shared" si="167"/>
        <v>0</v>
      </c>
      <c r="O168" s="28">
        <f t="shared" si="167"/>
        <v>0</v>
      </c>
      <c r="P168" s="28">
        <f t="shared" si="167"/>
        <v>0</v>
      </c>
      <c r="Q168" s="28">
        <f t="shared" si="167"/>
        <v>0</v>
      </c>
      <c r="R168" s="28">
        <f t="shared" si="167"/>
        <v>0</v>
      </c>
      <c r="S168" s="28">
        <f t="shared" si="167"/>
        <v>0</v>
      </c>
      <c r="T168" s="28">
        <f t="shared" si="167"/>
        <v>0</v>
      </c>
      <c r="U168" s="28">
        <f t="shared" si="167"/>
        <v>0</v>
      </c>
      <c r="V168" s="28">
        <f t="shared" si="167"/>
        <v>0</v>
      </c>
      <c r="W168" s="28">
        <f t="shared" si="167"/>
        <v>0</v>
      </c>
      <c r="X168" s="28">
        <f t="shared" si="167"/>
        <v>0</v>
      </c>
      <c r="Y168" s="28">
        <f t="shared" si="167"/>
        <v>0</v>
      </c>
      <c r="Z168" s="28">
        <f t="shared" si="167"/>
        <v>0</v>
      </c>
      <c r="AA168" s="28">
        <f t="shared" si="167"/>
        <v>0</v>
      </c>
      <c r="AB168" s="28">
        <f t="shared" si="167"/>
        <v>0</v>
      </c>
      <c r="AC168" s="28">
        <f t="shared" si="167"/>
        <v>0</v>
      </c>
      <c r="AD168" s="28">
        <f t="shared" si="167"/>
        <v>0</v>
      </c>
      <c r="AE168" s="28">
        <f t="shared" si="167"/>
        <v>0</v>
      </c>
      <c r="AF168" s="28">
        <f t="shared" si="167"/>
        <v>0</v>
      </c>
      <c r="AG168" s="28">
        <f t="shared" si="167"/>
        <v>0</v>
      </c>
      <c r="AH168" s="28">
        <f t="shared" si="167"/>
        <v>0</v>
      </c>
      <c r="AI168" s="28">
        <f t="shared" si="167"/>
        <v>0</v>
      </c>
      <c r="AJ168" s="28">
        <f t="shared" si="167"/>
        <v>2000</v>
      </c>
      <c r="AK168" s="28">
        <f t="shared" si="167"/>
        <v>0</v>
      </c>
      <c r="AL168" s="28">
        <f t="shared" si="167"/>
        <v>0</v>
      </c>
      <c r="AM168" s="28">
        <f t="shared" si="167"/>
        <v>0</v>
      </c>
      <c r="AN168" s="28">
        <f t="shared" si="167"/>
        <v>0</v>
      </c>
      <c r="AO168" s="28">
        <f t="shared" si="167"/>
        <v>0</v>
      </c>
      <c r="AP168" s="28">
        <f t="shared" si="167"/>
        <v>0</v>
      </c>
      <c r="AQ168" s="28">
        <f t="shared" si="167"/>
        <v>0</v>
      </c>
      <c r="AR168" s="28">
        <f t="shared" si="167"/>
        <v>0</v>
      </c>
      <c r="AS168" s="28">
        <f t="shared" si="167"/>
        <v>0</v>
      </c>
      <c r="AT168" s="28">
        <f t="shared" si="167"/>
        <v>0</v>
      </c>
    </row>
    <row r="169">
      <c r="A169" s="10" t="s">
        <v>179</v>
      </c>
      <c r="B169" s="11">
        <v>500.0</v>
      </c>
      <c r="C169" s="12" t="s">
        <v>35</v>
      </c>
      <c r="D169" s="15">
        <v>75201.0</v>
      </c>
      <c r="F169" s="15">
        <f>IFERROR(__xludf.DUMMYFUNCTION("""COMPUTED_VALUE"""),75014.0)</f>
        <v>75014</v>
      </c>
      <c r="G169" s="26">
        <f t="shared" si="2"/>
        <v>500</v>
      </c>
      <c r="J169" s="27">
        <f>IFERROR(__xludf.DUMMYFUNCTION("""COMPUTED_VALUE"""),75014.0)</f>
        <v>75014</v>
      </c>
      <c r="K169" s="28">
        <f t="shared" ref="K169:AT169" si="168">sumifs($B:$B,$D:$D,$J169,$C:$C,K$1)</f>
        <v>0</v>
      </c>
      <c r="L169" s="28">
        <f t="shared" si="168"/>
        <v>0</v>
      </c>
      <c r="M169" s="28">
        <f t="shared" si="168"/>
        <v>0</v>
      </c>
      <c r="N169" s="28">
        <f t="shared" si="168"/>
        <v>0</v>
      </c>
      <c r="O169" s="28">
        <f t="shared" si="168"/>
        <v>0</v>
      </c>
      <c r="P169" s="28">
        <f t="shared" si="168"/>
        <v>0</v>
      </c>
      <c r="Q169" s="28">
        <f t="shared" si="168"/>
        <v>0</v>
      </c>
      <c r="R169" s="28">
        <f t="shared" si="168"/>
        <v>0</v>
      </c>
      <c r="S169" s="28">
        <f t="shared" si="168"/>
        <v>0</v>
      </c>
      <c r="T169" s="28">
        <f t="shared" si="168"/>
        <v>0</v>
      </c>
      <c r="U169" s="28">
        <f t="shared" si="168"/>
        <v>0</v>
      </c>
      <c r="V169" s="28">
        <f t="shared" si="168"/>
        <v>0</v>
      </c>
      <c r="W169" s="28">
        <f t="shared" si="168"/>
        <v>0</v>
      </c>
      <c r="X169" s="28">
        <f t="shared" si="168"/>
        <v>0</v>
      </c>
      <c r="Y169" s="28">
        <f t="shared" si="168"/>
        <v>0</v>
      </c>
      <c r="Z169" s="28">
        <f t="shared" si="168"/>
        <v>0</v>
      </c>
      <c r="AA169" s="28">
        <f t="shared" si="168"/>
        <v>0</v>
      </c>
      <c r="AB169" s="28">
        <f t="shared" si="168"/>
        <v>0</v>
      </c>
      <c r="AC169" s="28">
        <f t="shared" si="168"/>
        <v>0</v>
      </c>
      <c r="AD169" s="28">
        <f t="shared" si="168"/>
        <v>0</v>
      </c>
      <c r="AE169" s="28">
        <f t="shared" si="168"/>
        <v>0</v>
      </c>
      <c r="AF169" s="28">
        <f t="shared" si="168"/>
        <v>0</v>
      </c>
      <c r="AG169" s="28">
        <f t="shared" si="168"/>
        <v>0</v>
      </c>
      <c r="AH169" s="28">
        <f t="shared" si="168"/>
        <v>0</v>
      </c>
      <c r="AI169" s="28">
        <f t="shared" si="168"/>
        <v>0</v>
      </c>
      <c r="AJ169" s="28">
        <f t="shared" si="168"/>
        <v>0</v>
      </c>
      <c r="AK169" s="28">
        <f t="shared" si="168"/>
        <v>500</v>
      </c>
      <c r="AL169" s="28">
        <f t="shared" si="168"/>
        <v>0</v>
      </c>
      <c r="AM169" s="28">
        <f t="shared" si="168"/>
        <v>0</v>
      </c>
      <c r="AN169" s="28">
        <f t="shared" si="168"/>
        <v>0</v>
      </c>
      <c r="AO169" s="28">
        <f t="shared" si="168"/>
        <v>0</v>
      </c>
      <c r="AP169" s="28">
        <f t="shared" si="168"/>
        <v>0</v>
      </c>
      <c r="AQ169" s="28">
        <f t="shared" si="168"/>
        <v>0</v>
      </c>
      <c r="AR169" s="28">
        <f t="shared" si="168"/>
        <v>0</v>
      </c>
      <c r="AS169" s="28">
        <f t="shared" si="168"/>
        <v>0</v>
      </c>
      <c r="AT169" s="28">
        <f t="shared" si="168"/>
        <v>0</v>
      </c>
    </row>
    <row r="170">
      <c r="A170" s="5" t="s">
        <v>180</v>
      </c>
      <c r="B170" s="6">
        <v>250.0</v>
      </c>
      <c r="C170" s="7" t="s">
        <v>35</v>
      </c>
      <c r="D170" s="15">
        <v>75115.0</v>
      </c>
      <c r="F170" s="15">
        <f>IFERROR(__xludf.DUMMYFUNCTION("""COMPUTED_VALUE"""),11111.0)</f>
        <v>11111</v>
      </c>
      <c r="G170" s="26">
        <f t="shared" si="2"/>
        <v>250</v>
      </c>
      <c r="J170" s="27">
        <f>IFERROR(__xludf.DUMMYFUNCTION("""COMPUTED_VALUE"""),11111.0)</f>
        <v>11111</v>
      </c>
      <c r="K170" s="28">
        <f t="shared" ref="K170:AT170" si="169">sumifs($B:$B,$D:$D,$J170,$C:$C,K$1)</f>
        <v>0</v>
      </c>
      <c r="L170" s="28">
        <f t="shared" si="169"/>
        <v>0</v>
      </c>
      <c r="M170" s="28">
        <f t="shared" si="169"/>
        <v>0</v>
      </c>
      <c r="N170" s="28">
        <f t="shared" si="169"/>
        <v>0</v>
      </c>
      <c r="O170" s="28">
        <f t="shared" si="169"/>
        <v>0</v>
      </c>
      <c r="P170" s="28">
        <f t="shared" si="169"/>
        <v>0</v>
      </c>
      <c r="Q170" s="28">
        <f t="shared" si="169"/>
        <v>0</v>
      </c>
      <c r="R170" s="28">
        <f t="shared" si="169"/>
        <v>0</v>
      </c>
      <c r="S170" s="28">
        <f t="shared" si="169"/>
        <v>0</v>
      </c>
      <c r="T170" s="28">
        <f t="shared" si="169"/>
        <v>0</v>
      </c>
      <c r="U170" s="28">
        <f t="shared" si="169"/>
        <v>0</v>
      </c>
      <c r="V170" s="28">
        <f t="shared" si="169"/>
        <v>0</v>
      </c>
      <c r="W170" s="28">
        <f t="shared" si="169"/>
        <v>0</v>
      </c>
      <c r="X170" s="28">
        <f t="shared" si="169"/>
        <v>250</v>
      </c>
      <c r="Y170" s="28">
        <f t="shared" si="169"/>
        <v>0</v>
      </c>
      <c r="Z170" s="28">
        <f t="shared" si="169"/>
        <v>0</v>
      </c>
      <c r="AA170" s="28">
        <f t="shared" si="169"/>
        <v>0</v>
      </c>
      <c r="AB170" s="28">
        <f t="shared" si="169"/>
        <v>0</v>
      </c>
      <c r="AC170" s="28">
        <f t="shared" si="169"/>
        <v>0</v>
      </c>
      <c r="AD170" s="28">
        <f t="shared" si="169"/>
        <v>0</v>
      </c>
      <c r="AE170" s="28">
        <f t="shared" si="169"/>
        <v>0</v>
      </c>
      <c r="AF170" s="28">
        <f t="shared" si="169"/>
        <v>0</v>
      </c>
      <c r="AG170" s="28">
        <f t="shared" si="169"/>
        <v>0</v>
      </c>
      <c r="AH170" s="28">
        <f t="shared" si="169"/>
        <v>0</v>
      </c>
      <c r="AI170" s="28">
        <f t="shared" si="169"/>
        <v>0</v>
      </c>
      <c r="AJ170" s="28">
        <f t="shared" si="169"/>
        <v>0</v>
      </c>
      <c r="AK170" s="28">
        <f t="shared" si="169"/>
        <v>0</v>
      </c>
      <c r="AL170" s="28">
        <f t="shared" si="169"/>
        <v>0</v>
      </c>
      <c r="AM170" s="28">
        <f t="shared" si="169"/>
        <v>0</v>
      </c>
      <c r="AN170" s="28">
        <f t="shared" si="169"/>
        <v>0</v>
      </c>
      <c r="AO170" s="28">
        <f t="shared" si="169"/>
        <v>0</v>
      </c>
      <c r="AP170" s="28">
        <f t="shared" si="169"/>
        <v>0</v>
      </c>
      <c r="AQ170" s="28">
        <f t="shared" si="169"/>
        <v>0</v>
      </c>
      <c r="AR170" s="28">
        <f t="shared" si="169"/>
        <v>0</v>
      </c>
      <c r="AS170" s="28">
        <f t="shared" si="169"/>
        <v>0</v>
      </c>
      <c r="AT170" s="28">
        <f t="shared" si="169"/>
        <v>0</v>
      </c>
    </row>
    <row r="171">
      <c r="A171" s="10" t="s">
        <v>181</v>
      </c>
      <c r="B171" s="11">
        <v>250.0</v>
      </c>
      <c r="C171" s="12" t="s">
        <v>35</v>
      </c>
      <c r="D171" s="15">
        <v>75209.0</v>
      </c>
      <c r="F171" s="15">
        <f>IFERROR(__xludf.DUMMYFUNCTION("""COMPUTED_VALUE"""),75134.0)</f>
        <v>75134</v>
      </c>
      <c r="G171" s="26">
        <f t="shared" si="2"/>
        <v>2400</v>
      </c>
      <c r="J171" s="27">
        <f>IFERROR(__xludf.DUMMYFUNCTION("""COMPUTED_VALUE"""),75134.0)</f>
        <v>75134</v>
      </c>
      <c r="K171" s="28">
        <f t="shared" ref="K171:AT171" si="170">sumifs($B:$B,$D:$D,$J171,$C:$C,K$1)</f>
        <v>0</v>
      </c>
      <c r="L171" s="28">
        <f t="shared" si="170"/>
        <v>0</v>
      </c>
      <c r="M171" s="28">
        <f t="shared" si="170"/>
        <v>0</v>
      </c>
      <c r="N171" s="28">
        <f t="shared" si="170"/>
        <v>0</v>
      </c>
      <c r="O171" s="28">
        <f t="shared" si="170"/>
        <v>0</v>
      </c>
      <c r="P171" s="28">
        <f t="shared" si="170"/>
        <v>0</v>
      </c>
      <c r="Q171" s="28">
        <f t="shared" si="170"/>
        <v>0</v>
      </c>
      <c r="R171" s="28">
        <f t="shared" si="170"/>
        <v>0</v>
      </c>
      <c r="S171" s="28">
        <f t="shared" si="170"/>
        <v>0</v>
      </c>
      <c r="T171" s="28">
        <f t="shared" si="170"/>
        <v>0</v>
      </c>
      <c r="U171" s="28">
        <f t="shared" si="170"/>
        <v>0</v>
      </c>
      <c r="V171" s="28">
        <f t="shared" si="170"/>
        <v>0</v>
      </c>
      <c r="W171" s="28">
        <f t="shared" si="170"/>
        <v>0</v>
      </c>
      <c r="X171" s="28">
        <f t="shared" si="170"/>
        <v>1000</v>
      </c>
      <c r="Y171" s="28">
        <f t="shared" si="170"/>
        <v>0</v>
      </c>
      <c r="Z171" s="28">
        <f t="shared" si="170"/>
        <v>0</v>
      </c>
      <c r="AA171" s="28">
        <f t="shared" si="170"/>
        <v>0</v>
      </c>
      <c r="AB171" s="28">
        <f t="shared" si="170"/>
        <v>0</v>
      </c>
      <c r="AC171" s="28">
        <f t="shared" si="170"/>
        <v>0</v>
      </c>
      <c r="AD171" s="28">
        <f t="shared" si="170"/>
        <v>0</v>
      </c>
      <c r="AE171" s="28">
        <f t="shared" si="170"/>
        <v>0</v>
      </c>
      <c r="AF171" s="28">
        <f t="shared" si="170"/>
        <v>0</v>
      </c>
      <c r="AG171" s="28">
        <f t="shared" si="170"/>
        <v>0</v>
      </c>
      <c r="AH171" s="28">
        <f t="shared" si="170"/>
        <v>0</v>
      </c>
      <c r="AI171" s="28">
        <f t="shared" si="170"/>
        <v>400</v>
      </c>
      <c r="AJ171" s="28">
        <f t="shared" si="170"/>
        <v>0</v>
      </c>
      <c r="AK171" s="28">
        <f t="shared" si="170"/>
        <v>1000</v>
      </c>
      <c r="AL171" s="28">
        <f t="shared" si="170"/>
        <v>0</v>
      </c>
      <c r="AM171" s="28">
        <f t="shared" si="170"/>
        <v>0</v>
      </c>
      <c r="AN171" s="28">
        <f t="shared" si="170"/>
        <v>0</v>
      </c>
      <c r="AO171" s="28">
        <f t="shared" si="170"/>
        <v>0</v>
      </c>
      <c r="AP171" s="28">
        <f t="shared" si="170"/>
        <v>0</v>
      </c>
      <c r="AQ171" s="28">
        <f t="shared" si="170"/>
        <v>0</v>
      </c>
      <c r="AR171" s="28">
        <f t="shared" si="170"/>
        <v>0</v>
      </c>
      <c r="AS171" s="28">
        <f t="shared" si="170"/>
        <v>0</v>
      </c>
      <c r="AT171" s="28">
        <f t="shared" si="170"/>
        <v>0</v>
      </c>
    </row>
    <row r="172">
      <c r="A172" s="5" t="s">
        <v>182</v>
      </c>
      <c r="B172" s="6">
        <v>250.0</v>
      </c>
      <c r="C172" s="7" t="s">
        <v>35</v>
      </c>
      <c r="D172" s="15">
        <v>75208.0</v>
      </c>
      <c r="F172" s="15">
        <f>IFERROR(__xludf.DUMMYFUNCTION("""COMPUTED_VALUE"""),75315.0)</f>
        <v>75315</v>
      </c>
      <c r="G172" s="26">
        <f t="shared" si="2"/>
        <v>100</v>
      </c>
      <c r="J172" s="27">
        <f>IFERROR(__xludf.DUMMYFUNCTION("""COMPUTED_VALUE"""),75315.0)</f>
        <v>75315</v>
      </c>
      <c r="K172" s="28">
        <f t="shared" ref="K172:AT172" si="171">sumifs($B:$B,$D:$D,$J172,$C:$C,K$1)</f>
        <v>0</v>
      </c>
      <c r="L172" s="28">
        <f t="shared" si="171"/>
        <v>0</v>
      </c>
      <c r="M172" s="28">
        <f t="shared" si="171"/>
        <v>0</v>
      </c>
      <c r="N172" s="28">
        <f t="shared" si="171"/>
        <v>0</v>
      </c>
      <c r="O172" s="28">
        <f t="shared" si="171"/>
        <v>0</v>
      </c>
      <c r="P172" s="28">
        <f t="shared" si="171"/>
        <v>0</v>
      </c>
      <c r="Q172" s="28">
        <f t="shared" si="171"/>
        <v>0</v>
      </c>
      <c r="R172" s="28">
        <f t="shared" si="171"/>
        <v>0</v>
      </c>
      <c r="S172" s="28">
        <f t="shared" si="171"/>
        <v>0</v>
      </c>
      <c r="T172" s="28">
        <f t="shared" si="171"/>
        <v>0</v>
      </c>
      <c r="U172" s="28">
        <f t="shared" si="171"/>
        <v>0</v>
      </c>
      <c r="V172" s="28">
        <f t="shared" si="171"/>
        <v>0</v>
      </c>
      <c r="W172" s="28">
        <f t="shared" si="171"/>
        <v>0</v>
      </c>
      <c r="X172" s="28">
        <f t="shared" si="171"/>
        <v>0</v>
      </c>
      <c r="Y172" s="28">
        <f t="shared" si="171"/>
        <v>0</v>
      </c>
      <c r="Z172" s="28">
        <f t="shared" si="171"/>
        <v>100</v>
      </c>
      <c r="AA172" s="28">
        <f t="shared" si="171"/>
        <v>0</v>
      </c>
      <c r="AB172" s="28">
        <f t="shared" si="171"/>
        <v>0</v>
      </c>
      <c r="AC172" s="28">
        <f t="shared" si="171"/>
        <v>0</v>
      </c>
      <c r="AD172" s="28">
        <f t="shared" si="171"/>
        <v>0</v>
      </c>
      <c r="AE172" s="28">
        <f t="shared" si="171"/>
        <v>0</v>
      </c>
      <c r="AF172" s="28">
        <f t="shared" si="171"/>
        <v>0</v>
      </c>
      <c r="AG172" s="28">
        <f t="shared" si="171"/>
        <v>0</v>
      </c>
      <c r="AH172" s="28">
        <f t="shared" si="171"/>
        <v>0</v>
      </c>
      <c r="AI172" s="28">
        <f t="shared" si="171"/>
        <v>0</v>
      </c>
      <c r="AJ172" s="28">
        <f t="shared" si="171"/>
        <v>0</v>
      </c>
      <c r="AK172" s="28">
        <f t="shared" si="171"/>
        <v>0</v>
      </c>
      <c r="AL172" s="28">
        <f t="shared" si="171"/>
        <v>0</v>
      </c>
      <c r="AM172" s="28">
        <f t="shared" si="171"/>
        <v>0</v>
      </c>
      <c r="AN172" s="28">
        <f t="shared" si="171"/>
        <v>0</v>
      </c>
      <c r="AO172" s="28">
        <f t="shared" si="171"/>
        <v>0</v>
      </c>
      <c r="AP172" s="28">
        <f t="shared" si="171"/>
        <v>0</v>
      </c>
      <c r="AQ172" s="28">
        <f t="shared" si="171"/>
        <v>0</v>
      </c>
      <c r="AR172" s="28">
        <f t="shared" si="171"/>
        <v>0</v>
      </c>
      <c r="AS172" s="28">
        <f t="shared" si="171"/>
        <v>0</v>
      </c>
      <c r="AT172" s="28">
        <f t="shared" si="171"/>
        <v>0</v>
      </c>
    </row>
    <row r="173">
      <c r="A173" s="10" t="s">
        <v>183</v>
      </c>
      <c r="B173" s="11">
        <v>500.0</v>
      </c>
      <c r="C173" s="12" t="s">
        <v>35</v>
      </c>
      <c r="D173" s="15">
        <v>75220.0</v>
      </c>
      <c r="F173" s="15">
        <f>IFERROR(__xludf.DUMMYFUNCTION("""COMPUTED_VALUE"""),75098.0)</f>
        <v>75098</v>
      </c>
      <c r="G173" s="26">
        <f t="shared" si="2"/>
        <v>6000</v>
      </c>
      <c r="J173" s="27">
        <f>IFERROR(__xludf.DUMMYFUNCTION("""COMPUTED_VALUE"""),75098.0)</f>
        <v>75098</v>
      </c>
      <c r="K173" s="28">
        <f t="shared" ref="K173:AT173" si="172">sumifs($B:$B,$D:$D,$J173,$C:$C,K$1)</f>
        <v>0</v>
      </c>
      <c r="L173" s="28">
        <f t="shared" si="172"/>
        <v>0</v>
      </c>
      <c r="M173" s="28">
        <f t="shared" si="172"/>
        <v>0</v>
      </c>
      <c r="N173" s="28">
        <f t="shared" si="172"/>
        <v>0</v>
      </c>
      <c r="O173" s="28">
        <f t="shared" si="172"/>
        <v>0</v>
      </c>
      <c r="P173" s="28">
        <f t="shared" si="172"/>
        <v>0</v>
      </c>
      <c r="Q173" s="28">
        <f t="shared" si="172"/>
        <v>0</v>
      </c>
      <c r="R173" s="28">
        <f t="shared" si="172"/>
        <v>0</v>
      </c>
      <c r="S173" s="28">
        <f t="shared" si="172"/>
        <v>0</v>
      </c>
      <c r="T173" s="28">
        <f t="shared" si="172"/>
        <v>0</v>
      </c>
      <c r="U173" s="28">
        <f t="shared" si="172"/>
        <v>0</v>
      </c>
      <c r="V173" s="28">
        <f t="shared" si="172"/>
        <v>0</v>
      </c>
      <c r="W173" s="28">
        <f t="shared" si="172"/>
        <v>0</v>
      </c>
      <c r="X173" s="28">
        <f t="shared" si="172"/>
        <v>0</v>
      </c>
      <c r="Y173" s="28">
        <f t="shared" si="172"/>
        <v>0</v>
      </c>
      <c r="Z173" s="28">
        <f t="shared" si="172"/>
        <v>0</v>
      </c>
      <c r="AA173" s="28">
        <f t="shared" si="172"/>
        <v>0</v>
      </c>
      <c r="AB173" s="28">
        <f t="shared" si="172"/>
        <v>0</v>
      </c>
      <c r="AC173" s="28">
        <f t="shared" si="172"/>
        <v>0</v>
      </c>
      <c r="AD173" s="28">
        <f t="shared" si="172"/>
        <v>0</v>
      </c>
      <c r="AE173" s="28">
        <f t="shared" si="172"/>
        <v>0</v>
      </c>
      <c r="AF173" s="28">
        <f t="shared" si="172"/>
        <v>0</v>
      </c>
      <c r="AG173" s="28">
        <f t="shared" si="172"/>
        <v>0</v>
      </c>
      <c r="AH173" s="28">
        <f t="shared" si="172"/>
        <v>0</v>
      </c>
      <c r="AI173" s="28">
        <f t="shared" si="172"/>
        <v>5000</v>
      </c>
      <c r="AJ173" s="28">
        <f t="shared" si="172"/>
        <v>0</v>
      </c>
      <c r="AK173" s="28">
        <f t="shared" si="172"/>
        <v>1000</v>
      </c>
      <c r="AL173" s="28">
        <f t="shared" si="172"/>
        <v>0</v>
      </c>
      <c r="AM173" s="28">
        <f t="shared" si="172"/>
        <v>0</v>
      </c>
      <c r="AN173" s="28">
        <f t="shared" si="172"/>
        <v>0</v>
      </c>
      <c r="AO173" s="28">
        <f t="shared" si="172"/>
        <v>0</v>
      </c>
      <c r="AP173" s="28">
        <f t="shared" si="172"/>
        <v>0</v>
      </c>
      <c r="AQ173" s="28">
        <f t="shared" si="172"/>
        <v>0</v>
      </c>
      <c r="AR173" s="28">
        <f t="shared" si="172"/>
        <v>0</v>
      </c>
      <c r="AS173" s="28">
        <f t="shared" si="172"/>
        <v>0</v>
      </c>
      <c r="AT173" s="28">
        <f t="shared" si="172"/>
        <v>0</v>
      </c>
    </row>
    <row r="174">
      <c r="A174" s="5" t="s">
        <v>184</v>
      </c>
      <c r="B174" s="6">
        <v>50.0</v>
      </c>
      <c r="C174" s="7" t="s">
        <v>35</v>
      </c>
      <c r="D174" s="15">
        <v>75248.0</v>
      </c>
      <c r="F174" s="15">
        <f>IFERROR(__xludf.DUMMYFUNCTION("""COMPUTED_VALUE"""),75185.0)</f>
        <v>75185</v>
      </c>
      <c r="G174" s="26">
        <f t="shared" si="2"/>
        <v>250</v>
      </c>
      <c r="J174" s="27">
        <f>IFERROR(__xludf.DUMMYFUNCTION("""COMPUTED_VALUE"""),75185.0)</f>
        <v>75185</v>
      </c>
      <c r="K174" s="28">
        <f t="shared" ref="K174:AT174" si="173">sumifs($B:$B,$D:$D,$J174,$C:$C,K$1)</f>
        <v>0</v>
      </c>
      <c r="L174" s="28">
        <f t="shared" si="173"/>
        <v>0</v>
      </c>
      <c r="M174" s="28">
        <f t="shared" si="173"/>
        <v>0</v>
      </c>
      <c r="N174" s="28">
        <f t="shared" si="173"/>
        <v>0</v>
      </c>
      <c r="O174" s="28">
        <f t="shared" si="173"/>
        <v>0</v>
      </c>
      <c r="P174" s="28">
        <f t="shared" si="173"/>
        <v>0</v>
      </c>
      <c r="Q174" s="28">
        <f t="shared" si="173"/>
        <v>0</v>
      </c>
      <c r="R174" s="28">
        <f t="shared" si="173"/>
        <v>0</v>
      </c>
      <c r="S174" s="28">
        <f t="shared" si="173"/>
        <v>0</v>
      </c>
      <c r="T174" s="28">
        <f t="shared" si="173"/>
        <v>0</v>
      </c>
      <c r="U174" s="28">
        <f t="shared" si="173"/>
        <v>0</v>
      </c>
      <c r="V174" s="28">
        <f t="shared" si="173"/>
        <v>0</v>
      </c>
      <c r="W174" s="28">
        <f t="shared" si="173"/>
        <v>0</v>
      </c>
      <c r="X174" s="28">
        <f t="shared" si="173"/>
        <v>0</v>
      </c>
      <c r="Y174" s="28">
        <f t="shared" si="173"/>
        <v>0</v>
      </c>
      <c r="Z174" s="28">
        <f t="shared" si="173"/>
        <v>0</v>
      </c>
      <c r="AA174" s="28">
        <f t="shared" si="173"/>
        <v>0</v>
      </c>
      <c r="AB174" s="28">
        <f t="shared" si="173"/>
        <v>0</v>
      </c>
      <c r="AC174" s="28">
        <f t="shared" si="173"/>
        <v>0</v>
      </c>
      <c r="AD174" s="28">
        <f t="shared" si="173"/>
        <v>0</v>
      </c>
      <c r="AE174" s="28">
        <f t="shared" si="173"/>
        <v>0</v>
      </c>
      <c r="AF174" s="28">
        <f t="shared" si="173"/>
        <v>0</v>
      </c>
      <c r="AG174" s="28">
        <f t="shared" si="173"/>
        <v>0</v>
      </c>
      <c r="AH174" s="28">
        <f t="shared" si="173"/>
        <v>0</v>
      </c>
      <c r="AI174" s="28">
        <f t="shared" si="173"/>
        <v>50</v>
      </c>
      <c r="AJ174" s="28">
        <f t="shared" si="173"/>
        <v>0</v>
      </c>
      <c r="AK174" s="28">
        <f t="shared" si="173"/>
        <v>200</v>
      </c>
      <c r="AL174" s="28">
        <f t="shared" si="173"/>
        <v>0</v>
      </c>
      <c r="AM174" s="28">
        <f t="shared" si="173"/>
        <v>0</v>
      </c>
      <c r="AN174" s="28">
        <f t="shared" si="173"/>
        <v>0</v>
      </c>
      <c r="AO174" s="28">
        <f t="shared" si="173"/>
        <v>0</v>
      </c>
      <c r="AP174" s="28">
        <f t="shared" si="173"/>
        <v>0</v>
      </c>
      <c r="AQ174" s="28">
        <f t="shared" si="173"/>
        <v>0</v>
      </c>
      <c r="AR174" s="28">
        <f t="shared" si="173"/>
        <v>0</v>
      </c>
      <c r="AS174" s="28">
        <f t="shared" si="173"/>
        <v>0</v>
      </c>
      <c r="AT174" s="28">
        <f t="shared" si="173"/>
        <v>0</v>
      </c>
    </row>
    <row r="175">
      <c r="A175" s="10" t="s">
        <v>185</v>
      </c>
      <c r="B175" s="11">
        <v>500.0</v>
      </c>
      <c r="C175" s="12" t="s">
        <v>35</v>
      </c>
      <c r="D175" s="15">
        <v>75292.0</v>
      </c>
      <c r="F175" s="15">
        <f>IFERROR(__xludf.DUMMYFUNCTION("""COMPUTED_VALUE"""),75028.0)</f>
        <v>75028</v>
      </c>
      <c r="G175" s="26">
        <f t="shared" si="2"/>
        <v>2500</v>
      </c>
      <c r="J175" s="27">
        <f>IFERROR(__xludf.DUMMYFUNCTION("""COMPUTED_VALUE"""),75028.0)</f>
        <v>75028</v>
      </c>
      <c r="K175" s="28">
        <f t="shared" ref="K175:AT175" si="174">sumifs($B:$B,$D:$D,$J175,$C:$C,K$1)</f>
        <v>0</v>
      </c>
      <c r="L175" s="28">
        <f t="shared" si="174"/>
        <v>0</v>
      </c>
      <c r="M175" s="28">
        <f t="shared" si="174"/>
        <v>0</v>
      </c>
      <c r="N175" s="28">
        <f t="shared" si="174"/>
        <v>0</v>
      </c>
      <c r="O175" s="28">
        <f t="shared" si="174"/>
        <v>0</v>
      </c>
      <c r="P175" s="28">
        <f t="shared" si="174"/>
        <v>0</v>
      </c>
      <c r="Q175" s="28">
        <f t="shared" si="174"/>
        <v>0</v>
      </c>
      <c r="R175" s="28">
        <f t="shared" si="174"/>
        <v>0</v>
      </c>
      <c r="S175" s="28">
        <f t="shared" si="174"/>
        <v>0</v>
      </c>
      <c r="T175" s="28">
        <f t="shared" si="174"/>
        <v>0</v>
      </c>
      <c r="U175" s="28">
        <f t="shared" si="174"/>
        <v>0</v>
      </c>
      <c r="V175" s="28">
        <f t="shared" si="174"/>
        <v>0</v>
      </c>
      <c r="W175" s="28">
        <f t="shared" si="174"/>
        <v>0</v>
      </c>
      <c r="X175" s="28">
        <f t="shared" si="174"/>
        <v>0</v>
      </c>
      <c r="Y175" s="28">
        <f t="shared" si="174"/>
        <v>0</v>
      </c>
      <c r="Z175" s="28">
        <f t="shared" si="174"/>
        <v>0</v>
      </c>
      <c r="AA175" s="28">
        <f t="shared" si="174"/>
        <v>0</v>
      </c>
      <c r="AB175" s="28">
        <f t="shared" si="174"/>
        <v>0</v>
      </c>
      <c r="AC175" s="28">
        <f t="shared" si="174"/>
        <v>500</v>
      </c>
      <c r="AD175" s="28">
        <f t="shared" si="174"/>
        <v>0</v>
      </c>
      <c r="AE175" s="28">
        <f t="shared" si="174"/>
        <v>0</v>
      </c>
      <c r="AF175" s="28">
        <f t="shared" si="174"/>
        <v>0</v>
      </c>
      <c r="AG175" s="28">
        <f t="shared" si="174"/>
        <v>0</v>
      </c>
      <c r="AH175" s="28">
        <f t="shared" si="174"/>
        <v>0</v>
      </c>
      <c r="AI175" s="28">
        <f t="shared" si="174"/>
        <v>1000</v>
      </c>
      <c r="AJ175" s="28">
        <f t="shared" si="174"/>
        <v>0</v>
      </c>
      <c r="AK175" s="28">
        <f t="shared" si="174"/>
        <v>1000</v>
      </c>
      <c r="AL175" s="28">
        <f t="shared" si="174"/>
        <v>0</v>
      </c>
      <c r="AM175" s="28">
        <f t="shared" si="174"/>
        <v>0</v>
      </c>
      <c r="AN175" s="28">
        <f t="shared" si="174"/>
        <v>0</v>
      </c>
      <c r="AO175" s="28">
        <f t="shared" si="174"/>
        <v>0</v>
      </c>
      <c r="AP175" s="28">
        <f t="shared" si="174"/>
        <v>0</v>
      </c>
      <c r="AQ175" s="28">
        <f t="shared" si="174"/>
        <v>0</v>
      </c>
      <c r="AR175" s="28">
        <f t="shared" si="174"/>
        <v>0</v>
      </c>
      <c r="AS175" s="28">
        <f t="shared" si="174"/>
        <v>0</v>
      </c>
      <c r="AT175" s="28">
        <f t="shared" si="174"/>
        <v>0</v>
      </c>
    </row>
    <row r="176">
      <c r="A176" s="5" t="s">
        <v>186</v>
      </c>
      <c r="B176" s="6">
        <v>750.0</v>
      </c>
      <c r="C176" s="7" t="s">
        <v>35</v>
      </c>
      <c r="D176" s="15">
        <v>75220.0</v>
      </c>
      <c r="F176" s="15">
        <f>IFERROR(__xludf.DUMMYFUNCTION("""COMPUTED_VALUE"""),76017.0)</f>
        <v>76017</v>
      </c>
      <c r="G176" s="26">
        <f t="shared" si="2"/>
        <v>200</v>
      </c>
      <c r="J176" s="27">
        <f>IFERROR(__xludf.DUMMYFUNCTION("""COMPUTED_VALUE"""),76017.0)</f>
        <v>76017</v>
      </c>
      <c r="K176" s="28">
        <f t="shared" ref="K176:AT176" si="175">sumifs($B:$B,$D:$D,$J176,$C:$C,K$1)</f>
        <v>0</v>
      </c>
      <c r="L176" s="28">
        <f t="shared" si="175"/>
        <v>0</v>
      </c>
      <c r="M176" s="28">
        <f t="shared" si="175"/>
        <v>0</v>
      </c>
      <c r="N176" s="28">
        <f t="shared" si="175"/>
        <v>0</v>
      </c>
      <c r="O176" s="28">
        <f t="shared" si="175"/>
        <v>0</v>
      </c>
      <c r="P176" s="28">
        <f t="shared" si="175"/>
        <v>0</v>
      </c>
      <c r="Q176" s="28">
        <f t="shared" si="175"/>
        <v>0</v>
      </c>
      <c r="R176" s="28">
        <f t="shared" si="175"/>
        <v>0</v>
      </c>
      <c r="S176" s="28">
        <f t="shared" si="175"/>
        <v>0</v>
      </c>
      <c r="T176" s="28">
        <f t="shared" si="175"/>
        <v>0</v>
      </c>
      <c r="U176" s="28">
        <f t="shared" si="175"/>
        <v>0</v>
      </c>
      <c r="V176" s="28">
        <f t="shared" si="175"/>
        <v>0</v>
      </c>
      <c r="W176" s="28">
        <f t="shared" si="175"/>
        <v>0</v>
      </c>
      <c r="X176" s="28">
        <f t="shared" si="175"/>
        <v>0</v>
      </c>
      <c r="Y176" s="28">
        <f t="shared" si="175"/>
        <v>0</v>
      </c>
      <c r="Z176" s="28">
        <f t="shared" si="175"/>
        <v>0</v>
      </c>
      <c r="AA176" s="28">
        <f t="shared" si="175"/>
        <v>0</v>
      </c>
      <c r="AB176" s="28">
        <f t="shared" si="175"/>
        <v>0</v>
      </c>
      <c r="AC176" s="28">
        <f t="shared" si="175"/>
        <v>0</v>
      </c>
      <c r="AD176" s="28">
        <f t="shared" si="175"/>
        <v>0</v>
      </c>
      <c r="AE176" s="28">
        <f t="shared" si="175"/>
        <v>0</v>
      </c>
      <c r="AF176" s="28">
        <f t="shared" si="175"/>
        <v>0</v>
      </c>
      <c r="AG176" s="28">
        <f t="shared" si="175"/>
        <v>0</v>
      </c>
      <c r="AH176" s="28">
        <f t="shared" si="175"/>
        <v>0</v>
      </c>
      <c r="AI176" s="28">
        <f t="shared" si="175"/>
        <v>0</v>
      </c>
      <c r="AJ176" s="28">
        <f t="shared" si="175"/>
        <v>0</v>
      </c>
      <c r="AK176" s="28">
        <f t="shared" si="175"/>
        <v>200</v>
      </c>
      <c r="AL176" s="28">
        <f t="shared" si="175"/>
        <v>0</v>
      </c>
      <c r="AM176" s="28">
        <f t="shared" si="175"/>
        <v>0</v>
      </c>
      <c r="AN176" s="28">
        <f t="shared" si="175"/>
        <v>0</v>
      </c>
      <c r="AO176" s="28">
        <f t="shared" si="175"/>
        <v>0</v>
      </c>
      <c r="AP176" s="28">
        <f t="shared" si="175"/>
        <v>0</v>
      </c>
      <c r="AQ176" s="28">
        <f t="shared" si="175"/>
        <v>0</v>
      </c>
      <c r="AR176" s="28">
        <f t="shared" si="175"/>
        <v>0</v>
      </c>
      <c r="AS176" s="28">
        <f t="shared" si="175"/>
        <v>0</v>
      </c>
      <c r="AT176" s="28">
        <f t="shared" si="175"/>
        <v>0</v>
      </c>
    </row>
    <row r="177">
      <c r="A177" s="10" t="s">
        <v>187</v>
      </c>
      <c r="B177" s="11">
        <v>100.0</v>
      </c>
      <c r="C177" s="12" t="s">
        <v>35</v>
      </c>
      <c r="D177" s="15">
        <v>75246.0</v>
      </c>
      <c r="F177" s="15">
        <f>IFERROR(__xludf.DUMMYFUNCTION("""COMPUTED_VALUE"""),75025.0)</f>
        <v>75025</v>
      </c>
      <c r="G177" s="26">
        <f t="shared" si="2"/>
        <v>1100</v>
      </c>
      <c r="J177" s="27">
        <f>IFERROR(__xludf.DUMMYFUNCTION("""COMPUTED_VALUE"""),75025.0)</f>
        <v>75025</v>
      </c>
      <c r="K177" s="28">
        <f t="shared" ref="K177:AT177" si="176">sumifs($B:$B,$D:$D,$J177,$C:$C,K$1)</f>
        <v>0</v>
      </c>
      <c r="L177" s="28">
        <f t="shared" si="176"/>
        <v>0</v>
      </c>
      <c r="M177" s="28">
        <f t="shared" si="176"/>
        <v>0</v>
      </c>
      <c r="N177" s="28">
        <f t="shared" si="176"/>
        <v>0</v>
      </c>
      <c r="O177" s="28">
        <f t="shared" si="176"/>
        <v>0</v>
      </c>
      <c r="P177" s="28">
        <f t="shared" si="176"/>
        <v>0</v>
      </c>
      <c r="Q177" s="28">
        <f t="shared" si="176"/>
        <v>0</v>
      </c>
      <c r="R177" s="28">
        <f t="shared" si="176"/>
        <v>0</v>
      </c>
      <c r="S177" s="28">
        <f t="shared" si="176"/>
        <v>0</v>
      </c>
      <c r="T177" s="28">
        <f t="shared" si="176"/>
        <v>0</v>
      </c>
      <c r="U177" s="28">
        <f t="shared" si="176"/>
        <v>0</v>
      </c>
      <c r="V177" s="28">
        <f t="shared" si="176"/>
        <v>0</v>
      </c>
      <c r="W177" s="28">
        <f t="shared" si="176"/>
        <v>0</v>
      </c>
      <c r="X177" s="28">
        <f t="shared" si="176"/>
        <v>0</v>
      </c>
      <c r="Y177" s="28">
        <f t="shared" si="176"/>
        <v>0</v>
      </c>
      <c r="Z177" s="28">
        <f t="shared" si="176"/>
        <v>0</v>
      </c>
      <c r="AA177" s="28">
        <f t="shared" si="176"/>
        <v>0</v>
      </c>
      <c r="AB177" s="28">
        <f t="shared" si="176"/>
        <v>0</v>
      </c>
      <c r="AC177" s="28">
        <f t="shared" si="176"/>
        <v>0</v>
      </c>
      <c r="AD177" s="28">
        <f t="shared" si="176"/>
        <v>0</v>
      </c>
      <c r="AE177" s="28">
        <f t="shared" si="176"/>
        <v>0</v>
      </c>
      <c r="AF177" s="28">
        <f t="shared" si="176"/>
        <v>0</v>
      </c>
      <c r="AG177" s="28">
        <f t="shared" si="176"/>
        <v>0</v>
      </c>
      <c r="AH177" s="28">
        <f t="shared" si="176"/>
        <v>0</v>
      </c>
      <c r="AI177" s="28">
        <f t="shared" si="176"/>
        <v>0</v>
      </c>
      <c r="AJ177" s="28">
        <f t="shared" si="176"/>
        <v>0</v>
      </c>
      <c r="AK177" s="28">
        <f t="shared" si="176"/>
        <v>100</v>
      </c>
      <c r="AL177" s="28">
        <f t="shared" si="176"/>
        <v>0</v>
      </c>
      <c r="AM177" s="28">
        <f t="shared" si="176"/>
        <v>0</v>
      </c>
      <c r="AN177" s="28">
        <f t="shared" si="176"/>
        <v>0</v>
      </c>
      <c r="AO177" s="28">
        <f t="shared" si="176"/>
        <v>0</v>
      </c>
      <c r="AP177" s="28">
        <f t="shared" si="176"/>
        <v>0</v>
      </c>
      <c r="AQ177" s="28">
        <f t="shared" si="176"/>
        <v>1000</v>
      </c>
      <c r="AR177" s="28">
        <f t="shared" si="176"/>
        <v>0</v>
      </c>
      <c r="AS177" s="28">
        <f t="shared" si="176"/>
        <v>0</v>
      </c>
      <c r="AT177" s="28">
        <f t="shared" si="176"/>
        <v>0</v>
      </c>
    </row>
    <row r="178">
      <c r="A178" s="5" t="s">
        <v>188</v>
      </c>
      <c r="B178" s="6">
        <v>1000.0</v>
      </c>
      <c r="C178" s="7" t="s">
        <v>35</v>
      </c>
      <c r="D178" s="15">
        <v>75212.0</v>
      </c>
      <c r="F178" s="15">
        <f>IFERROR(__xludf.DUMMYFUNCTION("""COMPUTED_VALUE"""),75103.0)</f>
        <v>75103</v>
      </c>
      <c r="G178" s="26">
        <f t="shared" si="2"/>
        <v>309.43</v>
      </c>
      <c r="J178" s="27">
        <f>IFERROR(__xludf.DUMMYFUNCTION("""COMPUTED_VALUE"""),75103.0)</f>
        <v>75103</v>
      </c>
      <c r="K178" s="28">
        <f t="shared" ref="K178:AT178" si="177">sumifs($B:$B,$D:$D,$J178,$C:$C,K$1)</f>
        <v>0</v>
      </c>
      <c r="L178" s="28">
        <f t="shared" si="177"/>
        <v>0</v>
      </c>
      <c r="M178" s="28">
        <f t="shared" si="177"/>
        <v>0</v>
      </c>
      <c r="N178" s="28">
        <f t="shared" si="177"/>
        <v>0</v>
      </c>
      <c r="O178" s="28">
        <f t="shared" si="177"/>
        <v>0</v>
      </c>
      <c r="P178" s="28">
        <f t="shared" si="177"/>
        <v>0</v>
      </c>
      <c r="Q178" s="28">
        <f t="shared" si="177"/>
        <v>0</v>
      </c>
      <c r="R178" s="28">
        <f t="shared" si="177"/>
        <v>0</v>
      </c>
      <c r="S178" s="28">
        <f t="shared" si="177"/>
        <v>0</v>
      </c>
      <c r="T178" s="28">
        <f t="shared" si="177"/>
        <v>0</v>
      </c>
      <c r="U178" s="28">
        <f t="shared" si="177"/>
        <v>0</v>
      </c>
      <c r="V178" s="28">
        <f t="shared" si="177"/>
        <v>0</v>
      </c>
      <c r="W178" s="28">
        <f t="shared" si="177"/>
        <v>0</v>
      </c>
      <c r="X178" s="28">
        <f t="shared" si="177"/>
        <v>0</v>
      </c>
      <c r="Y178" s="28">
        <f t="shared" si="177"/>
        <v>0</v>
      </c>
      <c r="Z178" s="28">
        <f t="shared" si="177"/>
        <v>0</v>
      </c>
      <c r="AA178" s="28">
        <f t="shared" si="177"/>
        <v>0</v>
      </c>
      <c r="AB178" s="28">
        <f t="shared" si="177"/>
        <v>0</v>
      </c>
      <c r="AC178" s="28">
        <f t="shared" si="177"/>
        <v>0</v>
      </c>
      <c r="AD178" s="28">
        <f t="shared" si="177"/>
        <v>0</v>
      </c>
      <c r="AE178" s="28">
        <f t="shared" si="177"/>
        <v>0</v>
      </c>
      <c r="AF178" s="28">
        <f t="shared" si="177"/>
        <v>0</v>
      </c>
      <c r="AG178" s="28">
        <f t="shared" si="177"/>
        <v>0</v>
      </c>
      <c r="AH178" s="28">
        <f t="shared" si="177"/>
        <v>309.43</v>
      </c>
      <c r="AI178" s="28">
        <f t="shared" si="177"/>
        <v>0</v>
      </c>
      <c r="AJ178" s="28">
        <f t="shared" si="177"/>
        <v>0</v>
      </c>
      <c r="AK178" s="28">
        <f t="shared" si="177"/>
        <v>0</v>
      </c>
      <c r="AL178" s="28">
        <f t="shared" si="177"/>
        <v>0</v>
      </c>
      <c r="AM178" s="28">
        <f t="shared" si="177"/>
        <v>0</v>
      </c>
      <c r="AN178" s="28">
        <f t="shared" si="177"/>
        <v>0</v>
      </c>
      <c r="AO178" s="28">
        <f t="shared" si="177"/>
        <v>0</v>
      </c>
      <c r="AP178" s="28">
        <f t="shared" si="177"/>
        <v>0</v>
      </c>
      <c r="AQ178" s="28">
        <f t="shared" si="177"/>
        <v>0</v>
      </c>
      <c r="AR178" s="28">
        <f t="shared" si="177"/>
        <v>0</v>
      </c>
      <c r="AS178" s="28">
        <f t="shared" si="177"/>
        <v>0</v>
      </c>
      <c r="AT178" s="28">
        <f t="shared" si="177"/>
        <v>0</v>
      </c>
    </row>
    <row r="179">
      <c r="A179" s="10" t="s">
        <v>189</v>
      </c>
      <c r="B179" s="11">
        <v>250.0</v>
      </c>
      <c r="C179" s="12" t="s">
        <v>35</v>
      </c>
      <c r="D179" s="15">
        <v>75205.0</v>
      </c>
      <c r="F179" s="15">
        <f>IFERROR(__xludf.DUMMYFUNCTION("""COMPUTED_VALUE"""),76248.0)</f>
        <v>76248</v>
      </c>
      <c r="G179" s="26">
        <f t="shared" si="2"/>
        <v>500</v>
      </c>
      <c r="J179" s="27">
        <f>IFERROR(__xludf.DUMMYFUNCTION("""COMPUTED_VALUE"""),76248.0)</f>
        <v>76248</v>
      </c>
      <c r="K179" s="28">
        <f t="shared" ref="K179:AT179" si="178">sumifs($B:$B,$D:$D,$J179,$C:$C,K$1)</f>
        <v>0</v>
      </c>
      <c r="L179" s="28">
        <f t="shared" si="178"/>
        <v>0</v>
      </c>
      <c r="M179" s="28">
        <f t="shared" si="178"/>
        <v>0</v>
      </c>
      <c r="N179" s="28">
        <f t="shared" si="178"/>
        <v>0</v>
      </c>
      <c r="O179" s="28">
        <f t="shared" si="178"/>
        <v>0</v>
      </c>
      <c r="P179" s="28">
        <f t="shared" si="178"/>
        <v>0</v>
      </c>
      <c r="Q179" s="28">
        <f t="shared" si="178"/>
        <v>0</v>
      </c>
      <c r="R179" s="28">
        <f t="shared" si="178"/>
        <v>0</v>
      </c>
      <c r="S179" s="28">
        <f t="shared" si="178"/>
        <v>0</v>
      </c>
      <c r="T179" s="28">
        <f t="shared" si="178"/>
        <v>0</v>
      </c>
      <c r="U179" s="28">
        <f t="shared" si="178"/>
        <v>0</v>
      </c>
      <c r="V179" s="28">
        <f t="shared" si="178"/>
        <v>0</v>
      </c>
      <c r="W179" s="28">
        <f t="shared" si="178"/>
        <v>0</v>
      </c>
      <c r="X179" s="28">
        <f t="shared" si="178"/>
        <v>0</v>
      </c>
      <c r="Y179" s="28">
        <f t="shared" si="178"/>
        <v>0</v>
      </c>
      <c r="Z179" s="28">
        <f t="shared" si="178"/>
        <v>0</v>
      </c>
      <c r="AA179" s="28">
        <f t="shared" si="178"/>
        <v>0</v>
      </c>
      <c r="AB179" s="28">
        <f t="shared" si="178"/>
        <v>0</v>
      </c>
      <c r="AC179" s="28">
        <f t="shared" si="178"/>
        <v>0</v>
      </c>
      <c r="AD179" s="28">
        <f t="shared" si="178"/>
        <v>0</v>
      </c>
      <c r="AE179" s="28">
        <f t="shared" si="178"/>
        <v>0</v>
      </c>
      <c r="AF179" s="28">
        <f t="shared" si="178"/>
        <v>0</v>
      </c>
      <c r="AG179" s="28">
        <f t="shared" si="178"/>
        <v>0</v>
      </c>
      <c r="AH179" s="28">
        <f t="shared" si="178"/>
        <v>0</v>
      </c>
      <c r="AI179" s="28">
        <f t="shared" si="178"/>
        <v>0</v>
      </c>
      <c r="AJ179" s="28">
        <f t="shared" si="178"/>
        <v>500</v>
      </c>
      <c r="AK179" s="28">
        <f t="shared" si="178"/>
        <v>0</v>
      </c>
      <c r="AL179" s="28">
        <f t="shared" si="178"/>
        <v>0</v>
      </c>
      <c r="AM179" s="28">
        <f t="shared" si="178"/>
        <v>0</v>
      </c>
      <c r="AN179" s="28">
        <f t="shared" si="178"/>
        <v>0</v>
      </c>
      <c r="AO179" s="28">
        <f t="shared" si="178"/>
        <v>0</v>
      </c>
      <c r="AP179" s="28">
        <f t="shared" si="178"/>
        <v>0</v>
      </c>
      <c r="AQ179" s="28">
        <f t="shared" si="178"/>
        <v>0</v>
      </c>
      <c r="AR179" s="28">
        <f t="shared" si="178"/>
        <v>0</v>
      </c>
      <c r="AS179" s="28">
        <f t="shared" si="178"/>
        <v>0</v>
      </c>
      <c r="AT179" s="28">
        <f t="shared" si="178"/>
        <v>0</v>
      </c>
    </row>
    <row r="180">
      <c r="A180" s="5" t="s">
        <v>190</v>
      </c>
      <c r="B180" s="6">
        <v>500.0</v>
      </c>
      <c r="C180" s="7" t="s">
        <v>35</v>
      </c>
      <c r="D180" s="15">
        <v>75208.0</v>
      </c>
      <c r="F180" s="15">
        <f>IFERROR(__xludf.DUMMYFUNCTION("""COMPUTED_VALUE"""),75078.0)</f>
        <v>75078</v>
      </c>
      <c r="G180" s="26">
        <f t="shared" si="2"/>
        <v>1200</v>
      </c>
      <c r="J180" s="27">
        <f>IFERROR(__xludf.DUMMYFUNCTION("""COMPUTED_VALUE"""),75078.0)</f>
        <v>75078</v>
      </c>
      <c r="K180" s="28">
        <f t="shared" ref="K180:AT180" si="179">sumifs($B:$B,$D:$D,$J180,$C:$C,K$1)</f>
        <v>0</v>
      </c>
      <c r="L180" s="28">
        <f t="shared" si="179"/>
        <v>0</v>
      </c>
      <c r="M180" s="28">
        <f t="shared" si="179"/>
        <v>0</v>
      </c>
      <c r="N180" s="28">
        <f t="shared" si="179"/>
        <v>0</v>
      </c>
      <c r="O180" s="28">
        <f t="shared" si="179"/>
        <v>0</v>
      </c>
      <c r="P180" s="28">
        <f t="shared" si="179"/>
        <v>0</v>
      </c>
      <c r="Q180" s="28">
        <f t="shared" si="179"/>
        <v>0</v>
      </c>
      <c r="R180" s="28">
        <f t="shared" si="179"/>
        <v>0</v>
      </c>
      <c r="S180" s="28">
        <f t="shared" si="179"/>
        <v>0</v>
      </c>
      <c r="T180" s="28">
        <f t="shared" si="179"/>
        <v>0</v>
      </c>
      <c r="U180" s="28">
        <f t="shared" si="179"/>
        <v>0</v>
      </c>
      <c r="V180" s="28">
        <f t="shared" si="179"/>
        <v>0</v>
      </c>
      <c r="W180" s="28">
        <f t="shared" si="179"/>
        <v>0</v>
      </c>
      <c r="X180" s="28">
        <f t="shared" si="179"/>
        <v>0</v>
      </c>
      <c r="Y180" s="28">
        <f t="shared" si="179"/>
        <v>0</v>
      </c>
      <c r="Z180" s="28">
        <f t="shared" si="179"/>
        <v>0</v>
      </c>
      <c r="AA180" s="28">
        <f t="shared" si="179"/>
        <v>0</v>
      </c>
      <c r="AB180" s="28">
        <f t="shared" si="179"/>
        <v>0</v>
      </c>
      <c r="AC180" s="28">
        <f t="shared" si="179"/>
        <v>1000</v>
      </c>
      <c r="AD180" s="28">
        <f t="shared" si="179"/>
        <v>0</v>
      </c>
      <c r="AE180" s="28">
        <f t="shared" si="179"/>
        <v>0</v>
      </c>
      <c r="AF180" s="28">
        <f t="shared" si="179"/>
        <v>0</v>
      </c>
      <c r="AG180" s="28">
        <f t="shared" si="179"/>
        <v>0</v>
      </c>
      <c r="AH180" s="28">
        <f t="shared" si="179"/>
        <v>0</v>
      </c>
      <c r="AI180" s="28">
        <f t="shared" si="179"/>
        <v>0</v>
      </c>
      <c r="AJ180" s="28">
        <f t="shared" si="179"/>
        <v>100</v>
      </c>
      <c r="AK180" s="28">
        <f t="shared" si="179"/>
        <v>100</v>
      </c>
      <c r="AL180" s="28">
        <f t="shared" si="179"/>
        <v>0</v>
      </c>
      <c r="AM180" s="28">
        <f t="shared" si="179"/>
        <v>0</v>
      </c>
      <c r="AN180" s="28">
        <f t="shared" si="179"/>
        <v>0</v>
      </c>
      <c r="AO180" s="28">
        <f t="shared" si="179"/>
        <v>0</v>
      </c>
      <c r="AP180" s="28">
        <f t="shared" si="179"/>
        <v>0</v>
      </c>
      <c r="AQ180" s="28">
        <f t="shared" si="179"/>
        <v>0</v>
      </c>
      <c r="AR180" s="28">
        <f t="shared" si="179"/>
        <v>0</v>
      </c>
      <c r="AS180" s="28">
        <f t="shared" si="179"/>
        <v>0</v>
      </c>
      <c r="AT180" s="28">
        <f t="shared" si="179"/>
        <v>0</v>
      </c>
    </row>
    <row r="181">
      <c r="A181" s="10" t="s">
        <v>191</v>
      </c>
      <c r="B181" s="11">
        <v>250.0</v>
      </c>
      <c r="C181" s="12" t="s">
        <v>35</v>
      </c>
      <c r="D181" s="15">
        <v>75208.0</v>
      </c>
      <c r="F181" s="15">
        <f>IFERROR(__xludf.DUMMYFUNCTION("""COMPUTED_VALUE"""),75357.0)</f>
        <v>75357</v>
      </c>
      <c r="G181" s="26">
        <f t="shared" si="2"/>
        <v>200</v>
      </c>
      <c r="J181" s="27">
        <f>IFERROR(__xludf.DUMMYFUNCTION("""COMPUTED_VALUE"""),75357.0)</f>
        <v>75357</v>
      </c>
      <c r="K181" s="28">
        <f t="shared" ref="K181:AT181" si="180">sumifs($B:$B,$D:$D,$J181,$C:$C,K$1)</f>
        <v>0</v>
      </c>
      <c r="L181" s="28">
        <f t="shared" si="180"/>
        <v>0</v>
      </c>
      <c r="M181" s="28">
        <f t="shared" si="180"/>
        <v>0</v>
      </c>
      <c r="N181" s="28">
        <f t="shared" si="180"/>
        <v>0</v>
      </c>
      <c r="O181" s="28">
        <f t="shared" si="180"/>
        <v>0</v>
      </c>
      <c r="P181" s="28">
        <f t="shared" si="180"/>
        <v>0</v>
      </c>
      <c r="Q181" s="28">
        <f t="shared" si="180"/>
        <v>0</v>
      </c>
      <c r="R181" s="28">
        <f t="shared" si="180"/>
        <v>0</v>
      </c>
      <c r="S181" s="28">
        <f t="shared" si="180"/>
        <v>0</v>
      </c>
      <c r="T181" s="28">
        <f t="shared" si="180"/>
        <v>0</v>
      </c>
      <c r="U181" s="28">
        <f t="shared" si="180"/>
        <v>0</v>
      </c>
      <c r="V181" s="28">
        <f t="shared" si="180"/>
        <v>0</v>
      </c>
      <c r="W181" s="28">
        <f t="shared" si="180"/>
        <v>0</v>
      </c>
      <c r="X181" s="28">
        <f t="shared" si="180"/>
        <v>0</v>
      </c>
      <c r="Y181" s="28">
        <f t="shared" si="180"/>
        <v>0</v>
      </c>
      <c r="Z181" s="28">
        <f t="shared" si="180"/>
        <v>0</v>
      </c>
      <c r="AA181" s="28">
        <f t="shared" si="180"/>
        <v>0</v>
      </c>
      <c r="AB181" s="28">
        <f t="shared" si="180"/>
        <v>0</v>
      </c>
      <c r="AC181" s="28">
        <f t="shared" si="180"/>
        <v>0</v>
      </c>
      <c r="AD181" s="28">
        <f t="shared" si="180"/>
        <v>0</v>
      </c>
      <c r="AE181" s="28">
        <f t="shared" si="180"/>
        <v>0</v>
      </c>
      <c r="AF181" s="28">
        <f t="shared" si="180"/>
        <v>0</v>
      </c>
      <c r="AG181" s="28">
        <f t="shared" si="180"/>
        <v>0</v>
      </c>
      <c r="AH181" s="28">
        <f t="shared" si="180"/>
        <v>0</v>
      </c>
      <c r="AI181" s="28">
        <f t="shared" si="180"/>
        <v>0</v>
      </c>
      <c r="AJ181" s="28">
        <f t="shared" si="180"/>
        <v>200</v>
      </c>
      <c r="AK181" s="28">
        <f t="shared" si="180"/>
        <v>0</v>
      </c>
      <c r="AL181" s="28">
        <f t="shared" si="180"/>
        <v>0</v>
      </c>
      <c r="AM181" s="28">
        <f t="shared" si="180"/>
        <v>0</v>
      </c>
      <c r="AN181" s="28">
        <f t="shared" si="180"/>
        <v>0</v>
      </c>
      <c r="AO181" s="28">
        <f t="shared" si="180"/>
        <v>0</v>
      </c>
      <c r="AP181" s="28">
        <f t="shared" si="180"/>
        <v>0</v>
      </c>
      <c r="AQ181" s="28">
        <f t="shared" si="180"/>
        <v>0</v>
      </c>
      <c r="AR181" s="28">
        <f t="shared" si="180"/>
        <v>0</v>
      </c>
      <c r="AS181" s="28">
        <f t="shared" si="180"/>
        <v>0</v>
      </c>
      <c r="AT181" s="28">
        <f t="shared" si="180"/>
        <v>0</v>
      </c>
    </row>
    <row r="182">
      <c r="A182" s="5" t="s">
        <v>192</v>
      </c>
      <c r="B182" s="6">
        <v>500.0</v>
      </c>
      <c r="C182" s="7" t="s">
        <v>35</v>
      </c>
      <c r="D182" s="15">
        <v>75224.0</v>
      </c>
      <c r="F182" s="15">
        <f>IFERROR(__xludf.DUMMYFUNCTION("""COMPUTED_VALUE"""),75702.0)</f>
        <v>75702</v>
      </c>
      <c r="G182" s="26">
        <f t="shared" si="2"/>
        <v>189.4</v>
      </c>
      <c r="J182" s="27">
        <f>IFERROR(__xludf.DUMMYFUNCTION("""COMPUTED_VALUE"""),75702.0)</f>
        <v>75702</v>
      </c>
      <c r="K182" s="28">
        <f t="shared" ref="K182:AT182" si="181">sumifs($B:$B,$D:$D,$J182,$C:$C,K$1)</f>
        <v>0</v>
      </c>
      <c r="L182" s="28">
        <f t="shared" si="181"/>
        <v>0</v>
      </c>
      <c r="M182" s="28">
        <f t="shared" si="181"/>
        <v>0</v>
      </c>
      <c r="N182" s="28">
        <f t="shared" si="181"/>
        <v>0</v>
      </c>
      <c r="O182" s="28">
        <f t="shared" si="181"/>
        <v>0</v>
      </c>
      <c r="P182" s="28">
        <f t="shared" si="181"/>
        <v>0</v>
      </c>
      <c r="Q182" s="28">
        <f t="shared" si="181"/>
        <v>0</v>
      </c>
      <c r="R182" s="28">
        <f t="shared" si="181"/>
        <v>0</v>
      </c>
      <c r="S182" s="28">
        <f t="shared" si="181"/>
        <v>0</v>
      </c>
      <c r="T182" s="28">
        <f t="shared" si="181"/>
        <v>0</v>
      </c>
      <c r="U182" s="28">
        <f t="shared" si="181"/>
        <v>0</v>
      </c>
      <c r="V182" s="28">
        <f t="shared" si="181"/>
        <v>0</v>
      </c>
      <c r="W182" s="28">
        <f t="shared" si="181"/>
        <v>0</v>
      </c>
      <c r="X182" s="28">
        <f t="shared" si="181"/>
        <v>0</v>
      </c>
      <c r="Y182" s="28">
        <f t="shared" si="181"/>
        <v>0</v>
      </c>
      <c r="Z182" s="28">
        <f t="shared" si="181"/>
        <v>0</v>
      </c>
      <c r="AA182" s="28">
        <f t="shared" si="181"/>
        <v>0</v>
      </c>
      <c r="AB182" s="28">
        <f t="shared" si="181"/>
        <v>0</v>
      </c>
      <c r="AC182" s="28">
        <f t="shared" si="181"/>
        <v>189.4</v>
      </c>
      <c r="AD182" s="28">
        <f t="shared" si="181"/>
        <v>0</v>
      </c>
      <c r="AE182" s="28">
        <f t="shared" si="181"/>
        <v>0</v>
      </c>
      <c r="AF182" s="28">
        <f t="shared" si="181"/>
        <v>0</v>
      </c>
      <c r="AG182" s="28">
        <f t="shared" si="181"/>
        <v>0</v>
      </c>
      <c r="AH182" s="28">
        <f t="shared" si="181"/>
        <v>0</v>
      </c>
      <c r="AI182" s="28">
        <f t="shared" si="181"/>
        <v>0</v>
      </c>
      <c r="AJ182" s="28">
        <f t="shared" si="181"/>
        <v>0</v>
      </c>
      <c r="AK182" s="28">
        <f t="shared" si="181"/>
        <v>0</v>
      </c>
      <c r="AL182" s="28">
        <f t="shared" si="181"/>
        <v>0</v>
      </c>
      <c r="AM182" s="28">
        <f t="shared" si="181"/>
        <v>0</v>
      </c>
      <c r="AN182" s="28">
        <f t="shared" si="181"/>
        <v>0</v>
      </c>
      <c r="AO182" s="28">
        <f t="shared" si="181"/>
        <v>0</v>
      </c>
      <c r="AP182" s="28">
        <f t="shared" si="181"/>
        <v>0</v>
      </c>
      <c r="AQ182" s="28">
        <f t="shared" si="181"/>
        <v>0</v>
      </c>
      <c r="AR182" s="28">
        <f t="shared" si="181"/>
        <v>0</v>
      </c>
      <c r="AS182" s="28">
        <f t="shared" si="181"/>
        <v>0</v>
      </c>
      <c r="AT182" s="28">
        <f t="shared" si="181"/>
        <v>0</v>
      </c>
    </row>
    <row r="183">
      <c r="A183" s="10" t="s">
        <v>193</v>
      </c>
      <c r="B183" s="11">
        <v>100.0</v>
      </c>
      <c r="C183" s="12" t="s">
        <v>35</v>
      </c>
      <c r="D183" s="15">
        <v>75219.0</v>
      </c>
      <c r="F183" s="15">
        <f>IFERROR(__xludf.DUMMYFUNCTION("""COMPUTED_VALUE"""),75061.0)</f>
        <v>75061</v>
      </c>
      <c r="G183" s="26">
        <f t="shared" si="2"/>
        <v>4737.2</v>
      </c>
      <c r="J183" s="27">
        <f>IFERROR(__xludf.DUMMYFUNCTION("""COMPUTED_VALUE"""),75061.0)</f>
        <v>75061</v>
      </c>
      <c r="K183" s="28">
        <f t="shared" ref="K183:AT183" si="182">sumifs($B:$B,$D:$D,$J183,$C:$C,K$1)</f>
        <v>0</v>
      </c>
      <c r="L183" s="28">
        <f t="shared" si="182"/>
        <v>0</v>
      </c>
      <c r="M183" s="28">
        <f t="shared" si="182"/>
        <v>0</v>
      </c>
      <c r="N183" s="28">
        <f t="shared" si="182"/>
        <v>0</v>
      </c>
      <c r="O183" s="28">
        <f t="shared" si="182"/>
        <v>0</v>
      </c>
      <c r="P183" s="28">
        <f t="shared" si="182"/>
        <v>0</v>
      </c>
      <c r="Q183" s="28">
        <f t="shared" si="182"/>
        <v>0</v>
      </c>
      <c r="R183" s="28">
        <f t="shared" si="182"/>
        <v>0</v>
      </c>
      <c r="S183" s="28">
        <f t="shared" si="182"/>
        <v>0</v>
      </c>
      <c r="T183" s="28">
        <f t="shared" si="182"/>
        <v>4000</v>
      </c>
      <c r="U183" s="28">
        <f t="shared" si="182"/>
        <v>0</v>
      </c>
      <c r="V183" s="28">
        <f t="shared" si="182"/>
        <v>0</v>
      </c>
      <c r="W183" s="28">
        <f t="shared" si="182"/>
        <v>0</v>
      </c>
      <c r="X183" s="28">
        <f t="shared" si="182"/>
        <v>0</v>
      </c>
      <c r="Y183" s="28">
        <f t="shared" si="182"/>
        <v>0</v>
      </c>
      <c r="Z183" s="28">
        <f t="shared" si="182"/>
        <v>0</v>
      </c>
      <c r="AA183" s="28">
        <f t="shared" si="182"/>
        <v>0</v>
      </c>
      <c r="AB183" s="28">
        <f t="shared" si="182"/>
        <v>0</v>
      </c>
      <c r="AC183" s="28">
        <f t="shared" si="182"/>
        <v>737.2</v>
      </c>
      <c r="AD183" s="28">
        <f t="shared" si="182"/>
        <v>0</v>
      </c>
      <c r="AE183" s="28">
        <f t="shared" si="182"/>
        <v>0</v>
      </c>
      <c r="AF183" s="28">
        <f t="shared" si="182"/>
        <v>0</v>
      </c>
      <c r="AG183" s="28">
        <f t="shared" si="182"/>
        <v>0</v>
      </c>
      <c r="AH183" s="28">
        <f t="shared" si="182"/>
        <v>0</v>
      </c>
      <c r="AI183" s="28">
        <f t="shared" si="182"/>
        <v>0</v>
      </c>
      <c r="AJ183" s="28">
        <f t="shared" si="182"/>
        <v>0</v>
      </c>
      <c r="AK183" s="28">
        <f t="shared" si="182"/>
        <v>0</v>
      </c>
      <c r="AL183" s="28">
        <f t="shared" si="182"/>
        <v>0</v>
      </c>
      <c r="AM183" s="28">
        <f t="shared" si="182"/>
        <v>0</v>
      </c>
      <c r="AN183" s="28">
        <f t="shared" si="182"/>
        <v>0</v>
      </c>
      <c r="AO183" s="28">
        <f t="shared" si="182"/>
        <v>0</v>
      </c>
      <c r="AP183" s="28">
        <f t="shared" si="182"/>
        <v>0</v>
      </c>
      <c r="AQ183" s="28">
        <f t="shared" si="182"/>
        <v>0</v>
      </c>
      <c r="AR183" s="28">
        <f t="shared" si="182"/>
        <v>0</v>
      </c>
      <c r="AS183" s="28">
        <f t="shared" si="182"/>
        <v>0</v>
      </c>
      <c r="AT183" s="28">
        <f t="shared" si="182"/>
        <v>0</v>
      </c>
    </row>
    <row r="184">
      <c r="A184" s="5" t="s">
        <v>194</v>
      </c>
      <c r="B184" s="6">
        <v>50.0</v>
      </c>
      <c r="C184" s="7" t="s">
        <v>35</v>
      </c>
      <c r="D184" s="15">
        <v>75224.0</v>
      </c>
      <c r="F184" s="15">
        <f>IFERROR(__xludf.DUMMYFUNCTION("""COMPUTED_VALUE"""),78760.0)</f>
        <v>78760</v>
      </c>
      <c r="G184" s="26">
        <f t="shared" si="2"/>
        <v>7000</v>
      </c>
      <c r="J184" s="27">
        <f>IFERROR(__xludf.DUMMYFUNCTION("""COMPUTED_VALUE"""),78760.0)</f>
        <v>78760</v>
      </c>
      <c r="K184" s="28">
        <f t="shared" ref="K184:AT184" si="183">sumifs($B:$B,$D:$D,$J184,$C:$C,K$1)</f>
        <v>1000</v>
      </c>
      <c r="L184" s="28">
        <f t="shared" si="183"/>
        <v>0</v>
      </c>
      <c r="M184" s="28">
        <f t="shared" si="183"/>
        <v>0</v>
      </c>
      <c r="N184" s="28">
        <f t="shared" si="183"/>
        <v>1000</v>
      </c>
      <c r="O184" s="28">
        <f t="shared" si="183"/>
        <v>0</v>
      </c>
      <c r="P184" s="28">
        <f t="shared" si="183"/>
        <v>1000</v>
      </c>
      <c r="Q184" s="28">
        <f t="shared" si="183"/>
        <v>0</v>
      </c>
      <c r="R184" s="28">
        <f t="shared" si="183"/>
        <v>0</v>
      </c>
      <c r="S184" s="28">
        <f t="shared" si="183"/>
        <v>0</v>
      </c>
      <c r="T184" s="28">
        <f t="shared" si="183"/>
        <v>0</v>
      </c>
      <c r="U184" s="28">
        <f t="shared" si="183"/>
        <v>0</v>
      </c>
      <c r="V184" s="28">
        <f t="shared" si="183"/>
        <v>0</v>
      </c>
      <c r="W184" s="28">
        <f t="shared" si="183"/>
        <v>1000</v>
      </c>
      <c r="X184" s="28">
        <f t="shared" si="183"/>
        <v>0</v>
      </c>
      <c r="Y184" s="28">
        <f t="shared" si="183"/>
        <v>0</v>
      </c>
      <c r="Z184" s="28">
        <f t="shared" si="183"/>
        <v>0</v>
      </c>
      <c r="AA184" s="28">
        <f t="shared" si="183"/>
        <v>0</v>
      </c>
      <c r="AB184" s="28">
        <f t="shared" si="183"/>
        <v>0</v>
      </c>
      <c r="AC184" s="28">
        <f t="shared" si="183"/>
        <v>1000</v>
      </c>
      <c r="AD184" s="28">
        <f t="shared" si="183"/>
        <v>0</v>
      </c>
      <c r="AE184" s="28">
        <f t="shared" si="183"/>
        <v>0</v>
      </c>
      <c r="AF184" s="28">
        <f t="shared" si="183"/>
        <v>1000</v>
      </c>
      <c r="AG184" s="28">
        <f t="shared" si="183"/>
        <v>0</v>
      </c>
      <c r="AH184" s="28">
        <f t="shared" si="183"/>
        <v>0</v>
      </c>
      <c r="AI184" s="28">
        <f t="shared" si="183"/>
        <v>0</v>
      </c>
      <c r="AJ184" s="28">
        <f t="shared" si="183"/>
        <v>0</v>
      </c>
      <c r="AK184" s="28">
        <f t="shared" si="183"/>
        <v>1000</v>
      </c>
      <c r="AL184" s="28">
        <f t="shared" si="183"/>
        <v>0</v>
      </c>
      <c r="AM184" s="28">
        <f t="shared" si="183"/>
        <v>0</v>
      </c>
      <c r="AN184" s="28">
        <f t="shared" si="183"/>
        <v>0</v>
      </c>
      <c r="AO184" s="28">
        <f t="shared" si="183"/>
        <v>0</v>
      </c>
      <c r="AP184" s="28">
        <f t="shared" si="183"/>
        <v>0</v>
      </c>
      <c r="AQ184" s="28">
        <f t="shared" si="183"/>
        <v>0</v>
      </c>
      <c r="AR184" s="28">
        <f t="shared" si="183"/>
        <v>0</v>
      </c>
      <c r="AS184" s="28">
        <f t="shared" si="183"/>
        <v>0</v>
      </c>
      <c r="AT184" s="28">
        <f t="shared" si="183"/>
        <v>0</v>
      </c>
    </row>
    <row r="185">
      <c r="A185" s="10" t="s">
        <v>195</v>
      </c>
      <c r="B185" s="11">
        <v>500.0</v>
      </c>
      <c r="C185" s="12" t="s">
        <v>35</v>
      </c>
      <c r="D185" s="15">
        <v>75220.0</v>
      </c>
      <c r="F185" s="15">
        <f>IFERROR(__xludf.DUMMYFUNCTION("""COMPUTED_VALUE"""),76501.0)</f>
        <v>76501</v>
      </c>
      <c r="G185" s="26">
        <f t="shared" si="2"/>
        <v>1000</v>
      </c>
      <c r="J185" s="27">
        <f>IFERROR(__xludf.DUMMYFUNCTION("""COMPUTED_VALUE"""),76501.0)</f>
        <v>76501</v>
      </c>
      <c r="K185" s="28">
        <f t="shared" ref="K185:AT185" si="184">sumifs($B:$B,$D:$D,$J185,$C:$C,K$1)</f>
        <v>0</v>
      </c>
      <c r="L185" s="28">
        <f t="shared" si="184"/>
        <v>0</v>
      </c>
      <c r="M185" s="28">
        <f t="shared" si="184"/>
        <v>0</v>
      </c>
      <c r="N185" s="28">
        <f t="shared" si="184"/>
        <v>0</v>
      </c>
      <c r="O185" s="28">
        <f t="shared" si="184"/>
        <v>0</v>
      </c>
      <c r="P185" s="28">
        <f t="shared" si="184"/>
        <v>0</v>
      </c>
      <c r="Q185" s="28">
        <f t="shared" si="184"/>
        <v>0</v>
      </c>
      <c r="R185" s="28">
        <f t="shared" si="184"/>
        <v>0</v>
      </c>
      <c r="S185" s="28">
        <f t="shared" si="184"/>
        <v>0</v>
      </c>
      <c r="T185" s="28">
        <f t="shared" si="184"/>
        <v>0</v>
      </c>
      <c r="U185" s="28">
        <f t="shared" si="184"/>
        <v>0</v>
      </c>
      <c r="V185" s="28">
        <f t="shared" si="184"/>
        <v>0</v>
      </c>
      <c r="W185" s="28">
        <f t="shared" si="184"/>
        <v>0</v>
      </c>
      <c r="X185" s="28">
        <f t="shared" si="184"/>
        <v>0</v>
      </c>
      <c r="Y185" s="28">
        <f t="shared" si="184"/>
        <v>0</v>
      </c>
      <c r="Z185" s="28">
        <f t="shared" si="184"/>
        <v>0</v>
      </c>
      <c r="AA185" s="28">
        <f t="shared" si="184"/>
        <v>0</v>
      </c>
      <c r="AB185" s="28">
        <f t="shared" si="184"/>
        <v>0</v>
      </c>
      <c r="AC185" s="28">
        <f t="shared" si="184"/>
        <v>1000</v>
      </c>
      <c r="AD185" s="28">
        <f t="shared" si="184"/>
        <v>0</v>
      </c>
      <c r="AE185" s="28">
        <f t="shared" si="184"/>
        <v>0</v>
      </c>
      <c r="AF185" s="28">
        <f t="shared" si="184"/>
        <v>0</v>
      </c>
      <c r="AG185" s="28">
        <f t="shared" si="184"/>
        <v>0</v>
      </c>
      <c r="AH185" s="28">
        <f t="shared" si="184"/>
        <v>0</v>
      </c>
      <c r="AI185" s="28">
        <f t="shared" si="184"/>
        <v>0</v>
      </c>
      <c r="AJ185" s="28">
        <f t="shared" si="184"/>
        <v>0</v>
      </c>
      <c r="AK185" s="28">
        <f t="shared" si="184"/>
        <v>0</v>
      </c>
      <c r="AL185" s="28">
        <f t="shared" si="184"/>
        <v>0</v>
      </c>
      <c r="AM185" s="28">
        <f t="shared" si="184"/>
        <v>0</v>
      </c>
      <c r="AN185" s="28">
        <f t="shared" si="184"/>
        <v>0</v>
      </c>
      <c r="AO185" s="28">
        <f t="shared" si="184"/>
        <v>0</v>
      </c>
      <c r="AP185" s="28">
        <f t="shared" si="184"/>
        <v>0</v>
      </c>
      <c r="AQ185" s="28">
        <f t="shared" si="184"/>
        <v>0</v>
      </c>
      <c r="AR185" s="28">
        <f t="shared" si="184"/>
        <v>0</v>
      </c>
      <c r="AS185" s="28">
        <f t="shared" si="184"/>
        <v>0</v>
      </c>
      <c r="AT185" s="28">
        <f t="shared" si="184"/>
        <v>0</v>
      </c>
    </row>
    <row r="186">
      <c r="A186" s="5" t="s">
        <v>196</v>
      </c>
      <c r="B186" s="6">
        <v>27.0</v>
      </c>
      <c r="C186" s="7" t="s">
        <v>35</v>
      </c>
      <c r="D186" s="15">
        <v>75219.0</v>
      </c>
      <c r="F186" s="15">
        <f>IFERROR(__xludf.DUMMYFUNCTION("""COMPUTED_VALUE"""),76065.0)</f>
        <v>76065</v>
      </c>
      <c r="G186" s="26">
        <f t="shared" si="2"/>
        <v>725</v>
      </c>
      <c r="J186" s="27">
        <f>IFERROR(__xludf.DUMMYFUNCTION("""COMPUTED_VALUE"""),76065.0)</f>
        <v>76065</v>
      </c>
      <c r="K186" s="28">
        <f t="shared" ref="K186:AT186" si="185">sumifs($B:$B,$D:$D,$J186,$C:$C,K$1)</f>
        <v>0</v>
      </c>
      <c r="L186" s="28">
        <f t="shared" si="185"/>
        <v>0</v>
      </c>
      <c r="M186" s="28">
        <f t="shared" si="185"/>
        <v>0</v>
      </c>
      <c r="N186" s="28">
        <f t="shared" si="185"/>
        <v>0</v>
      </c>
      <c r="O186" s="28">
        <f t="shared" si="185"/>
        <v>0</v>
      </c>
      <c r="P186" s="28">
        <f t="shared" si="185"/>
        <v>75</v>
      </c>
      <c r="Q186" s="28">
        <f t="shared" si="185"/>
        <v>50</v>
      </c>
      <c r="R186" s="28">
        <f t="shared" si="185"/>
        <v>0</v>
      </c>
      <c r="S186" s="28">
        <f t="shared" si="185"/>
        <v>0</v>
      </c>
      <c r="T186" s="28">
        <f t="shared" si="185"/>
        <v>0</v>
      </c>
      <c r="U186" s="28">
        <f t="shared" si="185"/>
        <v>0</v>
      </c>
      <c r="V186" s="28">
        <f t="shared" si="185"/>
        <v>0</v>
      </c>
      <c r="W186" s="28">
        <f t="shared" si="185"/>
        <v>0</v>
      </c>
      <c r="X186" s="28">
        <f t="shared" si="185"/>
        <v>0</v>
      </c>
      <c r="Y186" s="28">
        <f t="shared" si="185"/>
        <v>0</v>
      </c>
      <c r="Z186" s="28">
        <f t="shared" si="185"/>
        <v>0</v>
      </c>
      <c r="AA186" s="28">
        <f t="shared" si="185"/>
        <v>0</v>
      </c>
      <c r="AB186" s="28">
        <f t="shared" si="185"/>
        <v>0</v>
      </c>
      <c r="AC186" s="28">
        <f t="shared" si="185"/>
        <v>500</v>
      </c>
      <c r="AD186" s="28">
        <f t="shared" si="185"/>
        <v>0</v>
      </c>
      <c r="AE186" s="28">
        <f t="shared" si="185"/>
        <v>0</v>
      </c>
      <c r="AF186" s="28">
        <f t="shared" si="185"/>
        <v>0</v>
      </c>
      <c r="AG186" s="28">
        <f t="shared" si="185"/>
        <v>0</v>
      </c>
      <c r="AH186" s="28">
        <f t="shared" si="185"/>
        <v>0</v>
      </c>
      <c r="AI186" s="28">
        <f t="shared" si="185"/>
        <v>0</v>
      </c>
      <c r="AJ186" s="28">
        <f t="shared" si="185"/>
        <v>0</v>
      </c>
      <c r="AK186" s="28">
        <f t="shared" si="185"/>
        <v>0</v>
      </c>
      <c r="AL186" s="28">
        <f t="shared" si="185"/>
        <v>0</v>
      </c>
      <c r="AM186" s="28">
        <f t="shared" si="185"/>
        <v>0</v>
      </c>
      <c r="AN186" s="28">
        <f t="shared" si="185"/>
        <v>0</v>
      </c>
      <c r="AO186" s="28">
        <f t="shared" si="185"/>
        <v>0</v>
      </c>
      <c r="AP186" s="28">
        <f t="shared" si="185"/>
        <v>0</v>
      </c>
      <c r="AQ186" s="28">
        <f t="shared" si="185"/>
        <v>100</v>
      </c>
      <c r="AR186" s="28">
        <f t="shared" si="185"/>
        <v>0</v>
      </c>
      <c r="AS186" s="28">
        <f t="shared" si="185"/>
        <v>0</v>
      </c>
      <c r="AT186" s="28">
        <f t="shared" si="185"/>
        <v>0</v>
      </c>
    </row>
    <row r="187">
      <c r="A187" s="10"/>
      <c r="B187" s="11"/>
      <c r="C187" s="12"/>
      <c r="D187" s="15"/>
      <c r="F187" s="15">
        <f>IFERROR(__xludf.DUMMYFUNCTION("""COMPUTED_VALUE"""),75089.0)</f>
        <v>75089</v>
      </c>
      <c r="G187" s="26">
        <f t="shared" si="2"/>
        <v>50</v>
      </c>
      <c r="J187" s="27">
        <f>IFERROR(__xludf.DUMMYFUNCTION("""COMPUTED_VALUE"""),75089.0)</f>
        <v>75089</v>
      </c>
      <c r="K187" s="28">
        <f t="shared" ref="K187:AT187" si="186">sumifs($B:$B,$D:$D,$J187,$C:$C,K$1)</f>
        <v>0</v>
      </c>
      <c r="L187" s="28">
        <f t="shared" si="186"/>
        <v>0</v>
      </c>
      <c r="M187" s="28">
        <f t="shared" si="186"/>
        <v>0</v>
      </c>
      <c r="N187" s="28">
        <f t="shared" si="186"/>
        <v>0</v>
      </c>
      <c r="O187" s="28">
        <f t="shared" si="186"/>
        <v>0</v>
      </c>
      <c r="P187" s="28">
        <f t="shared" si="186"/>
        <v>0</v>
      </c>
      <c r="Q187" s="28">
        <f t="shared" si="186"/>
        <v>0</v>
      </c>
      <c r="R187" s="28">
        <f t="shared" si="186"/>
        <v>0</v>
      </c>
      <c r="S187" s="28">
        <f t="shared" si="186"/>
        <v>0</v>
      </c>
      <c r="T187" s="28">
        <f t="shared" si="186"/>
        <v>0</v>
      </c>
      <c r="U187" s="28">
        <f t="shared" si="186"/>
        <v>0</v>
      </c>
      <c r="V187" s="28">
        <f t="shared" si="186"/>
        <v>0</v>
      </c>
      <c r="W187" s="28">
        <f t="shared" si="186"/>
        <v>0</v>
      </c>
      <c r="X187" s="28">
        <f t="shared" si="186"/>
        <v>0</v>
      </c>
      <c r="Y187" s="28">
        <f t="shared" si="186"/>
        <v>0</v>
      </c>
      <c r="Z187" s="28">
        <f t="shared" si="186"/>
        <v>0</v>
      </c>
      <c r="AA187" s="28">
        <f t="shared" si="186"/>
        <v>0</v>
      </c>
      <c r="AB187" s="28">
        <f t="shared" si="186"/>
        <v>0</v>
      </c>
      <c r="AC187" s="28">
        <f t="shared" si="186"/>
        <v>50</v>
      </c>
      <c r="AD187" s="28">
        <f t="shared" si="186"/>
        <v>0</v>
      </c>
      <c r="AE187" s="28">
        <f t="shared" si="186"/>
        <v>0</v>
      </c>
      <c r="AF187" s="28">
        <f t="shared" si="186"/>
        <v>0</v>
      </c>
      <c r="AG187" s="28">
        <f t="shared" si="186"/>
        <v>0</v>
      </c>
      <c r="AH187" s="28">
        <f t="shared" si="186"/>
        <v>0</v>
      </c>
      <c r="AI187" s="28">
        <f t="shared" si="186"/>
        <v>0</v>
      </c>
      <c r="AJ187" s="28">
        <f t="shared" si="186"/>
        <v>0</v>
      </c>
      <c r="AK187" s="28">
        <f t="shared" si="186"/>
        <v>0</v>
      </c>
      <c r="AL187" s="28">
        <f t="shared" si="186"/>
        <v>0</v>
      </c>
      <c r="AM187" s="28">
        <f t="shared" si="186"/>
        <v>0</v>
      </c>
      <c r="AN187" s="28">
        <f t="shared" si="186"/>
        <v>0</v>
      </c>
      <c r="AO187" s="28">
        <f t="shared" si="186"/>
        <v>0</v>
      </c>
      <c r="AP187" s="28">
        <f t="shared" si="186"/>
        <v>0</v>
      </c>
      <c r="AQ187" s="28">
        <f t="shared" si="186"/>
        <v>0</v>
      </c>
      <c r="AR187" s="28">
        <f t="shared" si="186"/>
        <v>0</v>
      </c>
      <c r="AS187" s="28">
        <f t="shared" si="186"/>
        <v>0</v>
      </c>
      <c r="AT187" s="28">
        <f t="shared" si="186"/>
        <v>0</v>
      </c>
    </row>
    <row r="188">
      <c r="A188" s="5"/>
      <c r="B188" s="6"/>
      <c r="C188" s="7"/>
      <c r="D188" s="15"/>
      <c r="F188" s="15">
        <f>IFERROR(__xludf.DUMMYFUNCTION("""COMPUTED_VALUE"""),77005.0)</f>
        <v>77005</v>
      </c>
      <c r="G188" s="26">
        <f t="shared" si="2"/>
        <v>2250</v>
      </c>
      <c r="J188" s="27">
        <f>IFERROR(__xludf.DUMMYFUNCTION("""COMPUTED_VALUE"""),77005.0)</f>
        <v>77005</v>
      </c>
      <c r="K188" s="28">
        <f t="shared" ref="K188:AT188" si="187">sumifs($B:$B,$D:$D,$J188,$C:$C,K$1)</f>
        <v>0</v>
      </c>
      <c r="L188" s="28">
        <f t="shared" si="187"/>
        <v>0</v>
      </c>
      <c r="M188" s="28">
        <f t="shared" si="187"/>
        <v>0</v>
      </c>
      <c r="N188" s="28">
        <f t="shared" si="187"/>
        <v>0</v>
      </c>
      <c r="O188" s="28">
        <f t="shared" si="187"/>
        <v>0</v>
      </c>
      <c r="P188" s="28">
        <f t="shared" si="187"/>
        <v>0</v>
      </c>
      <c r="Q188" s="28">
        <f t="shared" si="187"/>
        <v>0</v>
      </c>
      <c r="R188" s="28">
        <f t="shared" si="187"/>
        <v>0</v>
      </c>
      <c r="S188" s="28">
        <f t="shared" si="187"/>
        <v>0</v>
      </c>
      <c r="T188" s="28">
        <f t="shared" si="187"/>
        <v>0</v>
      </c>
      <c r="U188" s="28">
        <f t="shared" si="187"/>
        <v>0</v>
      </c>
      <c r="V188" s="28">
        <f t="shared" si="187"/>
        <v>0</v>
      </c>
      <c r="W188" s="28">
        <f t="shared" si="187"/>
        <v>0</v>
      </c>
      <c r="X188" s="28">
        <f t="shared" si="187"/>
        <v>0</v>
      </c>
      <c r="Y188" s="28">
        <f t="shared" si="187"/>
        <v>0</v>
      </c>
      <c r="Z188" s="28">
        <f t="shared" si="187"/>
        <v>0</v>
      </c>
      <c r="AA188" s="28">
        <f t="shared" si="187"/>
        <v>0</v>
      </c>
      <c r="AB188" s="28">
        <f t="shared" si="187"/>
        <v>0</v>
      </c>
      <c r="AC188" s="28">
        <f t="shared" si="187"/>
        <v>250</v>
      </c>
      <c r="AD188" s="28">
        <f t="shared" si="187"/>
        <v>0</v>
      </c>
      <c r="AE188" s="28">
        <f t="shared" si="187"/>
        <v>0</v>
      </c>
      <c r="AF188" s="28">
        <f t="shared" si="187"/>
        <v>0</v>
      </c>
      <c r="AG188" s="28">
        <f t="shared" si="187"/>
        <v>0</v>
      </c>
      <c r="AH188" s="28">
        <f t="shared" si="187"/>
        <v>0</v>
      </c>
      <c r="AI188" s="28">
        <f t="shared" si="187"/>
        <v>2000</v>
      </c>
      <c r="AJ188" s="28">
        <f t="shared" si="187"/>
        <v>0</v>
      </c>
      <c r="AK188" s="28">
        <f t="shared" si="187"/>
        <v>0</v>
      </c>
      <c r="AL188" s="28">
        <f t="shared" si="187"/>
        <v>0</v>
      </c>
      <c r="AM188" s="28">
        <f t="shared" si="187"/>
        <v>0</v>
      </c>
      <c r="AN188" s="28">
        <f t="shared" si="187"/>
        <v>0</v>
      </c>
      <c r="AO188" s="28">
        <f t="shared" si="187"/>
        <v>0</v>
      </c>
      <c r="AP188" s="28">
        <f t="shared" si="187"/>
        <v>0</v>
      </c>
      <c r="AQ188" s="28">
        <f t="shared" si="187"/>
        <v>0</v>
      </c>
      <c r="AR188" s="28">
        <f t="shared" si="187"/>
        <v>0</v>
      </c>
      <c r="AS188" s="28">
        <f t="shared" si="187"/>
        <v>0</v>
      </c>
      <c r="AT188" s="28">
        <f t="shared" si="187"/>
        <v>0</v>
      </c>
    </row>
    <row r="189">
      <c r="A189" s="10"/>
      <c r="B189" s="11"/>
      <c r="C189" s="12"/>
      <c r="D189" s="15"/>
      <c r="F189" s="15">
        <f>IFERROR(__xludf.DUMMYFUNCTION("""COMPUTED_VALUE"""),75057.0)</f>
        <v>75057</v>
      </c>
      <c r="G189" s="26">
        <f t="shared" si="2"/>
        <v>11950</v>
      </c>
      <c r="J189" s="27">
        <f>IFERROR(__xludf.DUMMYFUNCTION("""COMPUTED_VALUE"""),75057.0)</f>
        <v>75057</v>
      </c>
      <c r="K189" s="28">
        <f t="shared" ref="K189:AT189" si="188">sumifs($B:$B,$D:$D,$J189,$C:$C,K$1)</f>
        <v>0</v>
      </c>
      <c r="L189" s="28">
        <f t="shared" si="188"/>
        <v>0</v>
      </c>
      <c r="M189" s="28">
        <f t="shared" si="188"/>
        <v>0</v>
      </c>
      <c r="N189" s="28">
        <f t="shared" si="188"/>
        <v>0</v>
      </c>
      <c r="O189" s="28">
        <f t="shared" si="188"/>
        <v>0</v>
      </c>
      <c r="P189" s="28">
        <f t="shared" si="188"/>
        <v>1000</v>
      </c>
      <c r="Q189" s="28">
        <f t="shared" si="188"/>
        <v>0</v>
      </c>
      <c r="R189" s="28">
        <f t="shared" si="188"/>
        <v>0</v>
      </c>
      <c r="S189" s="28">
        <f t="shared" si="188"/>
        <v>0</v>
      </c>
      <c r="T189" s="28">
        <f t="shared" si="188"/>
        <v>0</v>
      </c>
      <c r="U189" s="28">
        <f t="shared" si="188"/>
        <v>0</v>
      </c>
      <c r="V189" s="28">
        <f t="shared" si="188"/>
        <v>0</v>
      </c>
      <c r="W189" s="28">
        <f t="shared" si="188"/>
        <v>0</v>
      </c>
      <c r="X189" s="28">
        <f t="shared" si="188"/>
        <v>0</v>
      </c>
      <c r="Y189" s="28">
        <f t="shared" si="188"/>
        <v>0</v>
      </c>
      <c r="Z189" s="28">
        <f t="shared" si="188"/>
        <v>0</v>
      </c>
      <c r="AA189" s="28">
        <f t="shared" si="188"/>
        <v>0</v>
      </c>
      <c r="AB189" s="28">
        <f t="shared" si="188"/>
        <v>0</v>
      </c>
      <c r="AC189" s="28">
        <f t="shared" si="188"/>
        <v>3900</v>
      </c>
      <c r="AD189" s="28">
        <f t="shared" si="188"/>
        <v>0</v>
      </c>
      <c r="AE189" s="28">
        <f t="shared" si="188"/>
        <v>0</v>
      </c>
      <c r="AF189" s="28">
        <f t="shared" si="188"/>
        <v>2000</v>
      </c>
      <c r="AG189" s="28">
        <f t="shared" si="188"/>
        <v>0</v>
      </c>
      <c r="AH189" s="28">
        <f t="shared" si="188"/>
        <v>0</v>
      </c>
      <c r="AI189" s="28">
        <f t="shared" si="188"/>
        <v>5050</v>
      </c>
      <c r="AJ189" s="28">
        <f t="shared" si="188"/>
        <v>0</v>
      </c>
      <c r="AK189" s="28">
        <f t="shared" si="188"/>
        <v>0</v>
      </c>
      <c r="AL189" s="28">
        <f t="shared" si="188"/>
        <v>0</v>
      </c>
      <c r="AM189" s="28">
        <f t="shared" si="188"/>
        <v>0</v>
      </c>
      <c r="AN189" s="28">
        <f t="shared" si="188"/>
        <v>0</v>
      </c>
      <c r="AO189" s="28">
        <f t="shared" si="188"/>
        <v>0</v>
      </c>
      <c r="AP189" s="28">
        <f t="shared" si="188"/>
        <v>0</v>
      </c>
      <c r="AQ189" s="28">
        <f t="shared" si="188"/>
        <v>0</v>
      </c>
      <c r="AR189" s="28">
        <f t="shared" si="188"/>
        <v>0</v>
      </c>
      <c r="AS189" s="28">
        <f t="shared" si="188"/>
        <v>0</v>
      </c>
      <c r="AT189" s="28">
        <f t="shared" si="188"/>
        <v>0</v>
      </c>
    </row>
    <row r="190">
      <c r="A190" s="5"/>
      <c r="B190" s="6"/>
      <c r="C190" s="7"/>
      <c r="D190" s="15"/>
      <c r="F190" s="15">
        <f>IFERROR(__xludf.DUMMYFUNCTION("""COMPUTED_VALUE"""),75065.0)</f>
        <v>75065</v>
      </c>
      <c r="G190" s="26">
        <f t="shared" si="2"/>
        <v>1000</v>
      </c>
      <c r="J190" s="27">
        <f>IFERROR(__xludf.DUMMYFUNCTION("""COMPUTED_VALUE"""),75065.0)</f>
        <v>75065</v>
      </c>
      <c r="K190" s="28">
        <f t="shared" ref="K190:AT190" si="189">sumifs($B:$B,$D:$D,$J190,$C:$C,K$1)</f>
        <v>0</v>
      </c>
      <c r="L190" s="28">
        <f t="shared" si="189"/>
        <v>0</v>
      </c>
      <c r="M190" s="28">
        <f t="shared" si="189"/>
        <v>0</v>
      </c>
      <c r="N190" s="28">
        <f t="shared" si="189"/>
        <v>0</v>
      </c>
      <c r="O190" s="28">
        <f t="shared" si="189"/>
        <v>0</v>
      </c>
      <c r="P190" s="28">
        <f t="shared" si="189"/>
        <v>0</v>
      </c>
      <c r="Q190" s="28">
        <f t="shared" si="189"/>
        <v>0</v>
      </c>
      <c r="R190" s="28">
        <f t="shared" si="189"/>
        <v>0</v>
      </c>
      <c r="S190" s="28">
        <f t="shared" si="189"/>
        <v>0</v>
      </c>
      <c r="T190" s="28">
        <f t="shared" si="189"/>
        <v>0</v>
      </c>
      <c r="U190" s="28">
        <f t="shared" si="189"/>
        <v>0</v>
      </c>
      <c r="V190" s="28">
        <f t="shared" si="189"/>
        <v>0</v>
      </c>
      <c r="W190" s="28">
        <f t="shared" si="189"/>
        <v>1000</v>
      </c>
      <c r="X190" s="28">
        <f t="shared" si="189"/>
        <v>0</v>
      </c>
      <c r="Y190" s="28">
        <f t="shared" si="189"/>
        <v>0</v>
      </c>
      <c r="Z190" s="28">
        <f t="shared" si="189"/>
        <v>0</v>
      </c>
      <c r="AA190" s="28">
        <f t="shared" si="189"/>
        <v>0</v>
      </c>
      <c r="AB190" s="28">
        <f t="shared" si="189"/>
        <v>0</v>
      </c>
      <c r="AC190" s="28">
        <f t="shared" si="189"/>
        <v>0</v>
      </c>
      <c r="AD190" s="28">
        <f t="shared" si="189"/>
        <v>0</v>
      </c>
      <c r="AE190" s="28">
        <f t="shared" si="189"/>
        <v>0</v>
      </c>
      <c r="AF190" s="28">
        <f t="shared" si="189"/>
        <v>0</v>
      </c>
      <c r="AG190" s="28">
        <f t="shared" si="189"/>
        <v>0</v>
      </c>
      <c r="AH190" s="28">
        <f t="shared" si="189"/>
        <v>0</v>
      </c>
      <c r="AI190" s="28">
        <f t="shared" si="189"/>
        <v>0</v>
      </c>
      <c r="AJ190" s="28">
        <f t="shared" si="189"/>
        <v>0</v>
      </c>
      <c r="AK190" s="28">
        <f t="shared" si="189"/>
        <v>0</v>
      </c>
      <c r="AL190" s="28">
        <f t="shared" si="189"/>
        <v>0</v>
      </c>
      <c r="AM190" s="28">
        <f t="shared" si="189"/>
        <v>0</v>
      </c>
      <c r="AN190" s="28">
        <f t="shared" si="189"/>
        <v>0</v>
      </c>
      <c r="AO190" s="28">
        <f t="shared" si="189"/>
        <v>0</v>
      </c>
      <c r="AP190" s="28">
        <f t="shared" si="189"/>
        <v>0</v>
      </c>
      <c r="AQ190" s="28">
        <f t="shared" si="189"/>
        <v>0</v>
      </c>
      <c r="AR190" s="28">
        <f t="shared" si="189"/>
        <v>0</v>
      </c>
      <c r="AS190" s="28">
        <f t="shared" si="189"/>
        <v>0</v>
      </c>
      <c r="AT190" s="28">
        <f t="shared" si="189"/>
        <v>0</v>
      </c>
    </row>
    <row r="191">
      <c r="A191" s="10"/>
      <c r="B191" s="11"/>
      <c r="C191" s="12"/>
      <c r="D191" s="15"/>
      <c r="F191" s="15">
        <f>IFERROR(__xludf.DUMMYFUNCTION("""COMPUTED_VALUE"""),77072.0)</f>
        <v>77072</v>
      </c>
      <c r="G191" s="26">
        <f t="shared" si="2"/>
        <v>1000</v>
      </c>
      <c r="J191" s="27">
        <f>IFERROR(__xludf.DUMMYFUNCTION("""COMPUTED_VALUE"""),77072.0)</f>
        <v>77072</v>
      </c>
      <c r="K191" s="28">
        <f t="shared" ref="K191:AT191" si="190">sumifs($B:$B,$D:$D,$J191,$C:$C,K$1)</f>
        <v>0</v>
      </c>
      <c r="L191" s="28">
        <f t="shared" si="190"/>
        <v>0</v>
      </c>
      <c r="M191" s="28">
        <f t="shared" si="190"/>
        <v>0</v>
      </c>
      <c r="N191" s="28">
        <f t="shared" si="190"/>
        <v>0</v>
      </c>
      <c r="O191" s="28">
        <f t="shared" si="190"/>
        <v>0</v>
      </c>
      <c r="P191" s="28">
        <f t="shared" si="190"/>
        <v>0</v>
      </c>
      <c r="Q191" s="28">
        <f t="shared" si="190"/>
        <v>0</v>
      </c>
      <c r="R191" s="28">
        <f t="shared" si="190"/>
        <v>0</v>
      </c>
      <c r="S191" s="28">
        <f t="shared" si="190"/>
        <v>0</v>
      </c>
      <c r="T191" s="28">
        <f t="shared" si="190"/>
        <v>0</v>
      </c>
      <c r="U191" s="28">
        <f t="shared" si="190"/>
        <v>0</v>
      </c>
      <c r="V191" s="28">
        <f t="shared" si="190"/>
        <v>0</v>
      </c>
      <c r="W191" s="28">
        <f t="shared" si="190"/>
        <v>1000</v>
      </c>
      <c r="X191" s="28">
        <f t="shared" si="190"/>
        <v>0</v>
      </c>
      <c r="Y191" s="28">
        <f t="shared" si="190"/>
        <v>0</v>
      </c>
      <c r="Z191" s="28">
        <f t="shared" si="190"/>
        <v>0</v>
      </c>
      <c r="AA191" s="28">
        <f t="shared" si="190"/>
        <v>0</v>
      </c>
      <c r="AB191" s="28">
        <f t="shared" si="190"/>
        <v>0</v>
      </c>
      <c r="AC191" s="28">
        <f t="shared" si="190"/>
        <v>0</v>
      </c>
      <c r="AD191" s="28">
        <f t="shared" si="190"/>
        <v>0</v>
      </c>
      <c r="AE191" s="28">
        <f t="shared" si="190"/>
        <v>0</v>
      </c>
      <c r="AF191" s="28">
        <f t="shared" si="190"/>
        <v>0</v>
      </c>
      <c r="AG191" s="28">
        <f t="shared" si="190"/>
        <v>0</v>
      </c>
      <c r="AH191" s="28">
        <f t="shared" si="190"/>
        <v>0</v>
      </c>
      <c r="AI191" s="28">
        <f t="shared" si="190"/>
        <v>0</v>
      </c>
      <c r="AJ191" s="28">
        <f t="shared" si="190"/>
        <v>0</v>
      </c>
      <c r="AK191" s="28">
        <f t="shared" si="190"/>
        <v>0</v>
      </c>
      <c r="AL191" s="28">
        <f t="shared" si="190"/>
        <v>0</v>
      </c>
      <c r="AM191" s="28">
        <f t="shared" si="190"/>
        <v>0</v>
      </c>
      <c r="AN191" s="28">
        <f t="shared" si="190"/>
        <v>0</v>
      </c>
      <c r="AO191" s="28">
        <f t="shared" si="190"/>
        <v>0</v>
      </c>
      <c r="AP191" s="28">
        <f t="shared" si="190"/>
        <v>0</v>
      </c>
      <c r="AQ191" s="28">
        <f t="shared" si="190"/>
        <v>0</v>
      </c>
      <c r="AR191" s="28">
        <f t="shared" si="190"/>
        <v>0</v>
      </c>
      <c r="AS191" s="28">
        <f t="shared" si="190"/>
        <v>0</v>
      </c>
      <c r="AT191" s="28">
        <f t="shared" si="190"/>
        <v>0</v>
      </c>
    </row>
    <row r="192">
      <c r="A192" s="5"/>
      <c r="B192" s="6"/>
      <c r="C192" s="7"/>
      <c r="D192" s="15"/>
      <c r="F192" s="15">
        <f>IFERROR(__xludf.DUMMYFUNCTION("""COMPUTED_VALUE"""),77046.0)</f>
        <v>77046</v>
      </c>
      <c r="G192" s="26">
        <f t="shared" si="2"/>
        <v>2000</v>
      </c>
      <c r="J192" s="27">
        <f>IFERROR(__xludf.DUMMYFUNCTION("""COMPUTED_VALUE"""),77046.0)</f>
        <v>77046</v>
      </c>
      <c r="K192" s="28">
        <f t="shared" ref="K192:AT192" si="191">sumifs($B:$B,$D:$D,$J192,$C:$C,K$1)</f>
        <v>0</v>
      </c>
      <c r="L192" s="28">
        <f t="shared" si="191"/>
        <v>0</v>
      </c>
      <c r="M192" s="28">
        <f t="shared" si="191"/>
        <v>0</v>
      </c>
      <c r="N192" s="28">
        <f t="shared" si="191"/>
        <v>0</v>
      </c>
      <c r="O192" s="28">
        <f t="shared" si="191"/>
        <v>0</v>
      </c>
      <c r="P192" s="28">
        <f t="shared" si="191"/>
        <v>0</v>
      </c>
      <c r="Q192" s="28">
        <f t="shared" si="191"/>
        <v>0</v>
      </c>
      <c r="R192" s="28">
        <f t="shared" si="191"/>
        <v>0</v>
      </c>
      <c r="S192" s="28">
        <f t="shared" si="191"/>
        <v>0</v>
      </c>
      <c r="T192" s="28">
        <f t="shared" si="191"/>
        <v>0</v>
      </c>
      <c r="U192" s="28">
        <f t="shared" si="191"/>
        <v>1000</v>
      </c>
      <c r="V192" s="28">
        <f t="shared" si="191"/>
        <v>0</v>
      </c>
      <c r="W192" s="28">
        <f t="shared" si="191"/>
        <v>0</v>
      </c>
      <c r="X192" s="28">
        <f t="shared" si="191"/>
        <v>0</v>
      </c>
      <c r="Y192" s="28">
        <f t="shared" si="191"/>
        <v>0</v>
      </c>
      <c r="Z192" s="28">
        <f t="shared" si="191"/>
        <v>0</v>
      </c>
      <c r="AA192" s="28">
        <f t="shared" si="191"/>
        <v>0</v>
      </c>
      <c r="AB192" s="28">
        <f t="shared" si="191"/>
        <v>0</v>
      </c>
      <c r="AC192" s="28">
        <f t="shared" si="191"/>
        <v>0</v>
      </c>
      <c r="AD192" s="28">
        <f t="shared" si="191"/>
        <v>0</v>
      </c>
      <c r="AE192" s="28">
        <f t="shared" si="191"/>
        <v>0</v>
      </c>
      <c r="AF192" s="28">
        <f t="shared" si="191"/>
        <v>1000</v>
      </c>
      <c r="AG192" s="28">
        <f t="shared" si="191"/>
        <v>0</v>
      </c>
      <c r="AH192" s="28">
        <f t="shared" si="191"/>
        <v>0</v>
      </c>
      <c r="AI192" s="28">
        <f t="shared" si="191"/>
        <v>0</v>
      </c>
      <c r="AJ192" s="28">
        <f t="shared" si="191"/>
        <v>0</v>
      </c>
      <c r="AK192" s="28">
        <f t="shared" si="191"/>
        <v>0</v>
      </c>
      <c r="AL192" s="28">
        <f t="shared" si="191"/>
        <v>0</v>
      </c>
      <c r="AM192" s="28">
        <f t="shared" si="191"/>
        <v>0</v>
      </c>
      <c r="AN192" s="28">
        <f t="shared" si="191"/>
        <v>0</v>
      </c>
      <c r="AO192" s="28">
        <f t="shared" si="191"/>
        <v>0</v>
      </c>
      <c r="AP192" s="28">
        <f t="shared" si="191"/>
        <v>0</v>
      </c>
      <c r="AQ192" s="28">
        <f t="shared" si="191"/>
        <v>0</v>
      </c>
      <c r="AR192" s="28">
        <f t="shared" si="191"/>
        <v>0</v>
      </c>
      <c r="AS192" s="28">
        <f t="shared" si="191"/>
        <v>0</v>
      </c>
      <c r="AT192" s="28">
        <f t="shared" si="191"/>
        <v>0</v>
      </c>
    </row>
    <row r="193">
      <c r="A193" s="10" t="s">
        <v>203</v>
      </c>
      <c r="B193" s="11">
        <v>1000.0</v>
      </c>
      <c r="C193" s="12" t="s">
        <v>35</v>
      </c>
      <c r="D193" s="15">
        <v>76023.0</v>
      </c>
      <c r="F193" s="15">
        <f>IFERROR(__xludf.DUMMYFUNCTION("""COMPUTED_VALUE"""),75831.0)</f>
        <v>75831</v>
      </c>
      <c r="G193" s="26">
        <f t="shared" si="2"/>
        <v>1000</v>
      </c>
      <c r="J193" s="27">
        <f>IFERROR(__xludf.DUMMYFUNCTION("""COMPUTED_VALUE"""),75831.0)</f>
        <v>75831</v>
      </c>
      <c r="K193" s="28">
        <f t="shared" ref="K193:AT193" si="192">sumifs($B:$B,$D:$D,$J193,$C:$C,K$1)</f>
        <v>0</v>
      </c>
      <c r="L193" s="28">
        <f t="shared" si="192"/>
        <v>0</v>
      </c>
      <c r="M193" s="28">
        <f t="shared" si="192"/>
        <v>0</v>
      </c>
      <c r="N193" s="28">
        <f t="shared" si="192"/>
        <v>0</v>
      </c>
      <c r="O193" s="28">
        <f t="shared" si="192"/>
        <v>0</v>
      </c>
      <c r="P193" s="28">
        <f t="shared" si="192"/>
        <v>0</v>
      </c>
      <c r="Q193" s="28">
        <f t="shared" si="192"/>
        <v>0</v>
      </c>
      <c r="R193" s="28">
        <f t="shared" si="192"/>
        <v>0</v>
      </c>
      <c r="S193" s="28">
        <f t="shared" si="192"/>
        <v>0</v>
      </c>
      <c r="T193" s="28">
        <f t="shared" si="192"/>
        <v>0</v>
      </c>
      <c r="U193" s="28">
        <f t="shared" si="192"/>
        <v>1000</v>
      </c>
      <c r="V193" s="28">
        <f t="shared" si="192"/>
        <v>0</v>
      </c>
      <c r="W193" s="28">
        <f t="shared" si="192"/>
        <v>0</v>
      </c>
      <c r="X193" s="28">
        <f t="shared" si="192"/>
        <v>0</v>
      </c>
      <c r="Y193" s="28">
        <f t="shared" si="192"/>
        <v>0</v>
      </c>
      <c r="Z193" s="28">
        <f t="shared" si="192"/>
        <v>0</v>
      </c>
      <c r="AA193" s="28">
        <f t="shared" si="192"/>
        <v>0</v>
      </c>
      <c r="AB193" s="28">
        <f t="shared" si="192"/>
        <v>0</v>
      </c>
      <c r="AC193" s="28">
        <f t="shared" si="192"/>
        <v>0</v>
      </c>
      <c r="AD193" s="28">
        <f t="shared" si="192"/>
        <v>0</v>
      </c>
      <c r="AE193" s="28">
        <f t="shared" si="192"/>
        <v>0</v>
      </c>
      <c r="AF193" s="28">
        <f t="shared" si="192"/>
        <v>0</v>
      </c>
      <c r="AG193" s="28">
        <f t="shared" si="192"/>
        <v>0</v>
      </c>
      <c r="AH193" s="28">
        <f t="shared" si="192"/>
        <v>0</v>
      </c>
      <c r="AI193" s="28">
        <f t="shared" si="192"/>
        <v>0</v>
      </c>
      <c r="AJ193" s="28">
        <f t="shared" si="192"/>
        <v>0</v>
      </c>
      <c r="AK193" s="28">
        <f t="shared" si="192"/>
        <v>0</v>
      </c>
      <c r="AL193" s="28">
        <f t="shared" si="192"/>
        <v>0</v>
      </c>
      <c r="AM193" s="28">
        <f t="shared" si="192"/>
        <v>0</v>
      </c>
      <c r="AN193" s="28">
        <f t="shared" si="192"/>
        <v>0</v>
      </c>
      <c r="AO193" s="28">
        <f t="shared" si="192"/>
        <v>0</v>
      </c>
      <c r="AP193" s="28">
        <f t="shared" si="192"/>
        <v>0</v>
      </c>
      <c r="AQ193" s="28">
        <f t="shared" si="192"/>
        <v>0</v>
      </c>
      <c r="AR193" s="28">
        <f t="shared" si="192"/>
        <v>0</v>
      </c>
      <c r="AS193" s="28">
        <f t="shared" si="192"/>
        <v>0</v>
      </c>
      <c r="AT193" s="28">
        <f t="shared" si="192"/>
        <v>0</v>
      </c>
    </row>
    <row r="194">
      <c r="A194" s="5"/>
      <c r="B194" s="6"/>
      <c r="C194" s="7"/>
      <c r="D194" s="15"/>
      <c r="F194" s="15">
        <f>IFERROR(__xludf.DUMMYFUNCTION("""COMPUTED_VALUE"""),77777.0)</f>
        <v>77777</v>
      </c>
      <c r="G194" s="26">
        <f t="shared" si="2"/>
        <v>100</v>
      </c>
      <c r="J194" s="27">
        <f>IFERROR(__xludf.DUMMYFUNCTION("""COMPUTED_VALUE"""),77777.0)</f>
        <v>77777</v>
      </c>
      <c r="K194" s="28">
        <f t="shared" ref="K194:AT194" si="193">sumifs($B:$B,$D:$D,$J194,$C:$C,K$1)</f>
        <v>0</v>
      </c>
      <c r="L194" s="28">
        <f t="shared" si="193"/>
        <v>0</v>
      </c>
      <c r="M194" s="28">
        <f t="shared" si="193"/>
        <v>0</v>
      </c>
      <c r="N194" s="28">
        <f t="shared" si="193"/>
        <v>0</v>
      </c>
      <c r="O194" s="28">
        <f t="shared" si="193"/>
        <v>0</v>
      </c>
      <c r="P194" s="28">
        <f t="shared" si="193"/>
        <v>0</v>
      </c>
      <c r="Q194" s="28">
        <f t="shared" si="193"/>
        <v>0</v>
      </c>
      <c r="R194" s="28">
        <f t="shared" si="193"/>
        <v>0</v>
      </c>
      <c r="S194" s="28">
        <f t="shared" si="193"/>
        <v>0</v>
      </c>
      <c r="T194" s="28">
        <f t="shared" si="193"/>
        <v>0</v>
      </c>
      <c r="U194" s="28">
        <f t="shared" si="193"/>
        <v>0</v>
      </c>
      <c r="V194" s="28">
        <f t="shared" si="193"/>
        <v>0</v>
      </c>
      <c r="W194" s="28">
        <f t="shared" si="193"/>
        <v>0</v>
      </c>
      <c r="X194" s="28">
        <f t="shared" si="193"/>
        <v>0</v>
      </c>
      <c r="Y194" s="28">
        <f t="shared" si="193"/>
        <v>0</v>
      </c>
      <c r="Z194" s="28">
        <f t="shared" si="193"/>
        <v>0</v>
      </c>
      <c r="AA194" s="28">
        <f t="shared" si="193"/>
        <v>0</v>
      </c>
      <c r="AB194" s="28">
        <f t="shared" si="193"/>
        <v>0</v>
      </c>
      <c r="AC194" s="28">
        <f t="shared" si="193"/>
        <v>0</v>
      </c>
      <c r="AD194" s="28">
        <f t="shared" si="193"/>
        <v>0</v>
      </c>
      <c r="AE194" s="28">
        <f t="shared" si="193"/>
        <v>0</v>
      </c>
      <c r="AF194" s="28">
        <f t="shared" si="193"/>
        <v>0</v>
      </c>
      <c r="AG194" s="28">
        <f t="shared" si="193"/>
        <v>0</v>
      </c>
      <c r="AH194" s="28">
        <f t="shared" si="193"/>
        <v>0</v>
      </c>
      <c r="AI194" s="28">
        <f t="shared" si="193"/>
        <v>0</v>
      </c>
      <c r="AJ194" s="28">
        <f t="shared" si="193"/>
        <v>0</v>
      </c>
      <c r="AK194" s="28">
        <f t="shared" si="193"/>
        <v>0</v>
      </c>
      <c r="AL194" s="28">
        <f t="shared" si="193"/>
        <v>0</v>
      </c>
      <c r="AM194" s="28">
        <f t="shared" si="193"/>
        <v>0</v>
      </c>
      <c r="AN194" s="28">
        <f t="shared" si="193"/>
        <v>0</v>
      </c>
      <c r="AO194" s="28">
        <f t="shared" si="193"/>
        <v>100</v>
      </c>
      <c r="AP194" s="28">
        <f t="shared" si="193"/>
        <v>0</v>
      </c>
      <c r="AQ194" s="28">
        <f t="shared" si="193"/>
        <v>0</v>
      </c>
      <c r="AR194" s="28">
        <f t="shared" si="193"/>
        <v>0</v>
      </c>
      <c r="AS194" s="28">
        <f t="shared" si="193"/>
        <v>0</v>
      </c>
      <c r="AT194" s="28">
        <f t="shared" si="193"/>
        <v>0</v>
      </c>
    </row>
    <row r="195">
      <c r="A195" s="10" t="s">
        <v>205</v>
      </c>
      <c r="B195" s="11">
        <v>1000.0</v>
      </c>
      <c r="C195" s="12" t="s">
        <v>35</v>
      </c>
      <c r="D195" s="15">
        <v>75205.0</v>
      </c>
      <c r="F195" s="15">
        <f>IFERROR(__xludf.DUMMYFUNCTION("""COMPUTED_VALUE"""),75156.0)</f>
        <v>75156</v>
      </c>
      <c r="G195" s="26">
        <f t="shared" si="2"/>
        <v>500</v>
      </c>
      <c r="J195" s="27">
        <f>IFERROR(__xludf.DUMMYFUNCTION("""COMPUTED_VALUE"""),75156.0)</f>
        <v>75156</v>
      </c>
      <c r="K195" s="28">
        <f t="shared" ref="K195:AT195" si="194">sumifs($B:$B,$D:$D,$J195,$C:$C,K$1)</f>
        <v>0</v>
      </c>
      <c r="L195" s="28">
        <f t="shared" si="194"/>
        <v>0</v>
      </c>
      <c r="M195" s="28">
        <f t="shared" si="194"/>
        <v>0</v>
      </c>
      <c r="N195" s="28">
        <f t="shared" si="194"/>
        <v>0</v>
      </c>
      <c r="O195" s="28">
        <f t="shared" si="194"/>
        <v>0</v>
      </c>
      <c r="P195" s="28">
        <f t="shared" si="194"/>
        <v>0</v>
      </c>
      <c r="Q195" s="28">
        <f t="shared" si="194"/>
        <v>0</v>
      </c>
      <c r="R195" s="28">
        <f t="shared" si="194"/>
        <v>0</v>
      </c>
      <c r="S195" s="28">
        <f t="shared" si="194"/>
        <v>0</v>
      </c>
      <c r="T195" s="28">
        <f t="shared" si="194"/>
        <v>0</v>
      </c>
      <c r="U195" s="28">
        <f t="shared" si="194"/>
        <v>0</v>
      </c>
      <c r="V195" s="28">
        <f t="shared" si="194"/>
        <v>0</v>
      </c>
      <c r="W195" s="28">
        <f t="shared" si="194"/>
        <v>0</v>
      </c>
      <c r="X195" s="28">
        <f t="shared" si="194"/>
        <v>0</v>
      </c>
      <c r="Y195" s="28">
        <f t="shared" si="194"/>
        <v>0</v>
      </c>
      <c r="Z195" s="28">
        <f t="shared" si="194"/>
        <v>0</v>
      </c>
      <c r="AA195" s="28">
        <f t="shared" si="194"/>
        <v>0</v>
      </c>
      <c r="AB195" s="28">
        <f t="shared" si="194"/>
        <v>0</v>
      </c>
      <c r="AC195" s="28">
        <f t="shared" si="194"/>
        <v>0</v>
      </c>
      <c r="AD195" s="28">
        <f t="shared" si="194"/>
        <v>0</v>
      </c>
      <c r="AE195" s="28">
        <f t="shared" si="194"/>
        <v>0</v>
      </c>
      <c r="AF195" s="28">
        <f t="shared" si="194"/>
        <v>0</v>
      </c>
      <c r="AG195" s="28">
        <f t="shared" si="194"/>
        <v>0</v>
      </c>
      <c r="AH195" s="28">
        <f t="shared" si="194"/>
        <v>0</v>
      </c>
      <c r="AI195" s="28">
        <f t="shared" si="194"/>
        <v>0</v>
      </c>
      <c r="AJ195" s="28">
        <f t="shared" si="194"/>
        <v>0</v>
      </c>
      <c r="AK195" s="28">
        <f t="shared" si="194"/>
        <v>0</v>
      </c>
      <c r="AL195" s="28">
        <f t="shared" si="194"/>
        <v>500</v>
      </c>
      <c r="AM195" s="28">
        <f t="shared" si="194"/>
        <v>0</v>
      </c>
      <c r="AN195" s="28">
        <f t="shared" si="194"/>
        <v>0</v>
      </c>
      <c r="AO195" s="28">
        <f t="shared" si="194"/>
        <v>0</v>
      </c>
      <c r="AP195" s="28">
        <f t="shared" si="194"/>
        <v>0</v>
      </c>
      <c r="AQ195" s="28">
        <f t="shared" si="194"/>
        <v>0</v>
      </c>
      <c r="AR195" s="28">
        <f t="shared" si="194"/>
        <v>0</v>
      </c>
      <c r="AS195" s="28">
        <f t="shared" si="194"/>
        <v>0</v>
      </c>
      <c r="AT195" s="28">
        <f t="shared" si="194"/>
        <v>0</v>
      </c>
    </row>
    <row r="196">
      <c r="A196" s="5"/>
      <c r="B196" s="6"/>
      <c r="C196" s="7"/>
      <c r="D196" s="15"/>
      <c r="F196" s="15">
        <f>IFERROR(__xludf.DUMMYFUNCTION("""COMPUTED_VALUE"""),75374.0)</f>
        <v>75374</v>
      </c>
      <c r="G196" s="26">
        <f t="shared" si="2"/>
        <v>250</v>
      </c>
      <c r="J196" s="27">
        <f>IFERROR(__xludf.DUMMYFUNCTION("""COMPUTED_VALUE"""),75374.0)</f>
        <v>75374</v>
      </c>
      <c r="K196" s="28">
        <f t="shared" ref="K196:AT196" si="195">sumifs($B:$B,$D:$D,$J196,$C:$C,K$1)</f>
        <v>0</v>
      </c>
      <c r="L196" s="28">
        <f t="shared" si="195"/>
        <v>0</v>
      </c>
      <c r="M196" s="28">
        <f t="shared" si="195"/>
        <v>0</v>
      </c>
      <c r="N196" s="28">
        <f t="shared" si="195"/>
        <v>0</v>
      </c>
      <c r="O196" s="28">
        <f t="shared" si="195"/>
        <v>0</v>
      </c>
      <c r="P196" s="28">
        <f t="shared" si="195"/>
        <v>0</v>
      </c>
      <c r="Q196" s="28">
        <f t="shared" si="195"/>
        <v>0</v>
      </c>
      <c r="R196" s="28">
        <f t="shared" si="195"/>
        <v>0</v>
      </c>
      <c r="S196" s="28">
        <f t="shared" si="195"/>
        <v>0</v>
      </c>
      <c r="T196" s="28">
        <f t="shared" si="195"/>
        <v>0</v>
      </c>
      <c r="U196" s="28">
        <f t="shared" si="195"/>
        <v>0</v>
      </c>
      <c r="V196" s="28">
        <f t="shared" si="195"/>
        <v>0</v>
      </c>
      <c r="W196" s="28">
        <f t="shared" si="195"/>
        <v>0</v>
      </c>
      <c r="X196" s="28">
        <f t="shared" si="195"/>
        <v>0</v>
      </c>
      <c r="Y196" s="28">
        <f t="shared" si="195"/>
        <v>0</v>
      </c>
      <c r="Z196" s="28">
        <f t="shared" si="195"/>
        <v>0</v>
      </c>
      <c r="AA196" s="28">
        <f t="shared" si="195"/>
        <v>0</v>
      </c>
      <c r="AB196" s="28">
        <f t="shared" si="195"/>
        <v>0</v>
      </c>
      <c r="AC196" s="28">
        <f t="shared" si="195"/>
        <v>0</v>
      </c>
      <c r="AD196" s="28">
        <f t="shared" si="195"/>
        <v>0</v>
      </c>
      <c r="AE196" s="28">
        <f t="shared" si="195"/>
        <v>0</v>
      </c>
      <c r="AF196" s="28">
        <f t="shared" si="195"/>
        <v>0</v>
      </c>
      <c r="AG196" s="28">
        <f t="shared" si="195"/>
        <v>0</v>
      </c>
      <c r="AH196" s="28">
        <f t="shared" si="195"/>
        <v>0</v>
      </c>
      <c r="AI196" s="28">
        <f t="shared" si="195"/>
        <v>0</v>
      </c>
      <c r="AJ196" s="28">
        <f t="shared" si="195"/>
        <v>0</v>
      </c>
      <c r="AK196" s="28">
        <f t="shared" si="195"/>
        <v>0</v>
      </c>
      <c r="AL196" s="28">
        <f t="shared" si="195"/>
        <v>250</v>
      </c>
      <c r="AM196" s="28">
        <f t="shared" si="195"/>
        <v>0</v>
      </c>
      <c r="AN196" s="28">
        <f t="shared" si="195"/>
        <v>0</v>
      </c>
      <c r="AO196" s="28">
        <f t="shared" si="195"/>
        <v>0</v>
      </c>
      <c r="AP196" s="28">
        <f t="shared" si="195"/>
        <v>0</v>
      </c>
      <c r="AQ196" s="28">
        <f t="shared" si="195"/>
        <v>0</v>
      </c>
      <c r="AR196" s="28">
        <f t="shared" si="195"/>
        <v>0</v>
      </c>
      <c r="AS196" s="28">
        <f t="shared" si="195"/>
        <v>0</v>
      </c>
      <c r="AT196" s="28">
        <f t="shared" si="195"/>
        <v>0</v>
      </c>
    </row>
    <row r="197">
      <c r="A197" s="10"/>
      <c r="B197" s="11"/>
      <c r="C197" s="12"/>
      <c r="D197" s="15"/>
      <c r="F197" s="15">
        <f>IFERROR(__xludf.DUMMYFUNCTION("""COMPUTED_VALUE"""),76134.0)</f>
        <v>76134</v>
      </c>
      <c r="G197" s="26">
        <f t="shared" si="2"/>
        <v>25</v>
      </c>
      <c r="J197" s="27">
        <f>IFERROR(__xludf.DUMMYFUNCTION("""COMPUTED_VALUE"""),76134.0)</f>
        <v>76134</v>
      </c>
      <c r="K197" s="28">
        <f t="shared" ref="K197:AT197" si="196">sumifs($B:$B,$D:$D,$J197,$C:$C,K$1)</f>
        <v>0</v>
      </c>
      <c r="L197" s="28">
        <f t="shared" si="196"/>
        <v>0</v>
      </c>
      <c r="M197" s="28">
        <f t="shared" si="196"/>
        <v>0</v>
      </c>
      <c r="N197" s="28">
        <f t="shared" si="196"/>
        <v>0</v>
      </c>
      <c r="O197" s="28">
        <f t="shared" si="196"/>
        <v>0</v>
      </c>
      <c r="P197" s="28">
        <f t="shared" si="196"/>
        <v>0</v>
      </c>
      <c r="Q197" s="28">
        <f t="shared" si="196"/>
        <v>0</v>
      </c>
      <c r="R197" s="28">
        <f t="shared" si="196"/>
        <v>0</v>
      </c>
      <c r="S197" s="28">
        <f t="shared" si="196"/>
        <v>0</v>
      </c>
      <c r="T197" s="28">
        <f t="shared" si="196"/>
        <v>0</v>
      </c>
      <c r="U197" s="28">
        <f t="shared" si="196"/>
        <v>0</v>
      </c>
      <c r="V197" s="28">
        <f t="shared" si="196"/>
        <v>0</v>
      </c>
      <c r="W197" s="28">
        <f t="shared" si="196"/>
        <v>0</v>
      </c>
      <c r="X197" s="28">
        <f t="shared" si="196"/>
        <v>0</v>
      </c>
      <c r="Y197" s="28">
        <f t="shared" si="196"/>
        <v>0</v>
      </c>
      <c r="Z197" s="28">
        <f t="shared" si="196"/>
        <v>0</v>
      </c>
      <c r="AA197" s="28">
        <f t="shared" si="196"/>
        <v>0</v>
      </c>
      <c r="AB197" s="28">
        <f t="shared" si="196"/>
        <v>0</v>
      </c>
      <c r="AC197" s="28">
        <f t="shared" si="196"/>
        <v>0</v>
      </c>
      <c r="AD197" s="28">
        <f t="shared" si="196"/>
        <v>0</v>
      </c>
      <c r="AE197" s="28">
        <f t="shared" si="196"/>
        <v>0</v>
      </c>
      <c r="AF197" s="28">
        <f t="shared" si="196"/>
        <v>0</v>
      </c>
      <c r="AG197" s="28">
        <f t="shared" si="196"/>
        <v>0</v>
      </c>
      <c r="AH197" s="28">
        <f t="shared" si="196"/>
        <v>0</v>
      </c>
      <c r="AI197" s="28">
        <f t="shared" si="196"/>
        <v>0</v>
      </c>
      <c r="AJ197" s="28">
        <f t="shared" si="196"/>
        <v>0</v>
      </c>
      <c r="AK197" s="28">
        <f t="shared" si="196"/>
        <v>0</v>
      </c>
      <c r="AL197" s="28">
        <f t="shared" si="196"/>
        <v>0</v>
      </c>
      <c r="AM197" s="28">
        <f t="shared" si="196"/>
        <v>0</v>
      </c>
      <c r="AN197" s="28">
        <f t="shared" si="196"/>
        <v>0</v>
      </c>
      <c r="AO197" s="28">
        <f t="shared" si="196"/>
        <v>0</v>
      </c>
      <c r="AP197" s="28">
        <f t="shared" si="196"/>
        <v>0</v>
      </c>
      <c r="AQ197" s="28">
        <f t="shared" si="196"/>
        <v>25</v>
      </c>
      <c r="AR197" s="28">
        <f t="shared" si="196"/>
        <v>0</v>
      </c>
      <c r="AS197" s="28">
        <f t="shared" si="196"/>
        <v>0</v>
      </c>
      <c r="AT197" s="28">
        <f t="shared" si="196"/>
        <v>0</v>
      </c>
    </row>
    <row r="198">
      <c r="A198" s="5" t="s">
        <v>208</v>
      </c>
      <c r="B198" s="6">
        <v>100.0</v>
      </c>
      <c r="C198" s="7" t="s">
        <v>35</v>
      </c>
      <c r="D198" s="15">
        <v>75201.0</v>
      </c>
      <c r="F198" s="15">
        <f>IFERROR(__xludf.DUMMYFUNCTION("""COMPUTED_VALUE"""),75407.0)</f>
        <v>75407</v>
      </c>
      <c r="G198" s="26">
        <f t="shared" si="2"/>
        <v>25</v>
      </c>
      <c r="J198" s="27">
        <f>IFERROR(__xludf.DUMMYFUNCTION("""COMPUTED_VALUE"""),75407.0)</f>
        <v>75407</v>
      </c>
      <c r="K198" s="28">
        <f t="shared" ref="K198:AT198" si="197">sumifs($B:$B,$D:$D,$J198,$C:$C,K$1)</f>
        <v>0</v>
      </c>
      <c r="L198" s="28">
        <f t="shared" si="197"/>
        <v>0</v>
      </c>
      <c r="M198" s="28">
        <f t="shared" si="197"/>
        <v>0</v>
      </c>
      <c r="N198" s="28">
        <f t="shared" si="197"/>
        <v>0</v>
      </c>
      <c r="O198" s="28">
        <f t="shared" si="197"/>
        <v>0</v>
      </c>
      <c r="P198" s="28">
        <f t="shared" si="197"/>
        <v>0</v>
      </c>
      <c r="Q198" s="28">
        <f t="shared" si="197"/>
        <v>0</v>
      </c>
      <c r="R198" s="28">
        <f t="shared" si="197"/>
        <v>0</v>
      </c>
      <c r="S198" s="28">
        <f t="shared" si="197"/>
        <v>0</v>
      </c>
      <c r="T198" s="28">
        <f t="shared" si="197"/>
        <v>0</v>
      </c>
      <c r="U198" s="28">
        <f t="shared" si="197"/>
        <v>0</v>
      </c>
      <c r="V198" s="28">
        <f t="shared" si="197"/>
        <v>0</v>
      </c>
      <c r="W198" s="28">
        <f t="shared" si="197"/>
        <v>0</v>
      </c>
      <c r="X198" s="28">
        <f t="shared" si="197"/>
        <v>0</v>
      </c>
      <c r="Y198" s="28">
        <f t="shared" si="197"/>
        <v>0</v>
      </c>
      <c r="Z198" s="28">
        <f t="shared" si="197"/>
        <v>0</v>
      </c>
      <c r="AA198" s="28">
        <f t="shared" si="197"/>
        <v>0</v>
      </c>
      <c r="AB198" s="28">
        <f t="shared" si="197"/>
        <v>0</v>
      </c>
      <c r="AC198" s="28">
        <f t="shared" si="197"/>
        <v>0</v>
      </c>
      <c r="AD198" s="28">
        <f t="shared" si="197"/>
        <v>0</v>
      </c>
      <c r="AE198" s="28">
        <f t="shared" si="197"/>
        <v>0</v>
      </c>
      <c r="AF198" s="28">
        <f t="shared" si="197"/>
        <v>0</v>
      </c>
      <c r="AG198" s="28">
        <f t="shared" si="197"/>
        <v>0</v>
      </c>
      <c r="AH198" s="28">
        <f t="shared" si="197"/>
        <v>0</v>
      </c>
      <c r="AI198" s="28">
        <f t="shared" si="197"/>
        <v>0</v>
      </c>
      <c r="AJ198" s="28">
        <f t="shared" si="197"/>
        <v>0</v>
      </c>
      <c r="AK198" s="28">
        <f t="shared" si="197"/>
        <v>0</v>
      </c>
      <c r="AL198" s="28">
        <f t="shared" si="197"/>
        <v>0</v>
      </c>
      <c r="AM198" s="28">
        <f t="shared" si="197"/>
        <v>0</v>
      </c>
      <c r="AN198" s="28">
        <f t="shared" si="197"/>
        <v>0</v>
      </c>
      <c r="AO198" s="28">
        <f t="shared" si="197"/>
        <v>0</v>
      </c>
      <c r="AP198" s="28">
        <f t="shared" si="197"/>
        <v>0</v>
      </c>
      <c r="AQ198" s="28">
        <f t="shared" si="197"/>
        <v>25</v>
      </c>
      <c r="AR198" s="28">
        <f t="shared" si="197"/>
        <v>0</v>
      </c>
      <c r="AS198" s="28">
        <f t="shared" si="197"/>
        <v>0</v>
      </c>
      <c r="AT198" s="28">
        <f t="shared" si="197"/>
        <v>0</v>
      </c>
    </row>
    <row r="199">
      <c r="A199" s="10"/>
      <c r="B199" s="11"/>
      <c r="C199" s="12"/>
      <c r="D199" s="15"/>
      <c r="F199" s="15">
        <f>IFERROR(__xludf.DUMMYFUNCTION("""COMPUTED_VALUE"""),75339.0)</f>
        <v>75339</v>
      </c>
      <c r="G199" s="26">
        <f t="shared" si="2"/>
        <v>1100</v>
      </c>
      <c r="J199" s="27">
        <f>IFERROR(__xludf.DUMMYFUNCTION("""COMPUTED_VALUE"""),75339.0)</f>
        <v>75339</v>
      </c>
      <c r="K199" s="28">
        <f t="shared" ref="K199:AT199" si="198">sumifs($B:$B,$D:$D,$J199,$C:$C,K$1)</f>
        <v>0</v>
      </c>
      <c r="L199" s="28">
        <f t="shared" si="198"/>
        <v>0</v>
      </c>
      <c r="M199" s="28">
        <f t="shared" si="198"/>
        <v>0</v>
      </c>
      <c r="N199" s="28">
        <f t="shared" si="198"/>
        <v>0</v>
      </c>
      <c r="O199" s="28">
        <f t="shared" si="198"/>
        <v>0</v>
      </c>
      <c r="P199" s="28">
        <f t="shared" si="198"/>
        <v>0</v>
      </c>
      <c r="Q199" s="28">
        <f t="shared" si="198"/>
        <v>0</v>
      </c>
      <c r="R199" s="28">
        <f t="shared" si="198"/>
        <v>0</v>
      </c>
      <c r="S199" s="28">
        <f t="shared" si="198"/>
        <v>0</v>
      </c>
      <c r="T199" s="28">
        <f t="shared" si="198"/>
        <v>0</v>
      </c>
      <c r="U199" s="28">
        <f t="shared" si="198"/>
        <v>0</v>
      </c>
      <c r="V199" s="28">
        <f t="shared" si="198"/>
        <v>0</v>
      </c>
      <c r="W199" s="28">
        <f t="shared" si="198"/>
        <v>0</v>
      </c>
      <c r="X199" s="28">
        <f t="shared" si="198"/>
        <v>0</v>
      </c>
      <c r="Y199" s="28">
        <f t="shared" si="198"/>
        <v>0</v>
      </c>
      <c r="Z199" s="28">
        <f t="shared" si="198"/>
        <v>100</v>
      </c>
      <c r="AA199" s="28">
        <f t="shared" si="198"/>
        <v>0</v>
      </c>
      <c r="AB199" s="28">
        <f t="shared" si="198"/>
        <v>0</v>
      </c>
      <c r="AC199" s="28">
        <f t="shared" si="198"/>
        <v>0</v>
      </c>
      <c r="AD199" s="28">
        <f t="shared" si="198"/>
        <v>0</v>
      </c>
      <c r="AE199" s="28">
        <f t="shared" si="198"/>
        <v>0</v>
      </c>
      <c r="AF199" s="28">
        <f t="shared" si="198"/>
        <v>0</v>
      </c>
      <c r="AG199" s="28">
        <f t="shared" si="198"/>
        <v>0</v>
      </c>
      <c r="AH199" s="28">
        <f t="shared" si="198"/>
        <v>0</v>
      </c>
      <c r="AI199" s="28">
        <f t="shared" si="198"/>
        <v>0</v>
      </c>
      <c r="AJ199" s="28">
        <f t="shared" si="198"/>
        <v>0</v>
      </c>
      <c r="AK199" s="28">
        <f t="shared" si="198"/>
        <v>0</v>
      </c>
      <c r="AL199" s="28">
        <f t="shared" si="198"/>
        <v>0</v>
      </c>
      <c r="AM199" s="28">
        <f t="shared" si="198"/>
        <v>0</v>
      </c>
      <c r="AN199" s="28">
        <f t="shared" si="198"/>
        <v>0</v>
      </c>
      <c r="AO199" s="28">
        <f t="shared" si="198"/>
        <v>0</v>
      </c>
      <c r="AP199" s="28">
        <f t="shared" si="198"/>
        <v>0</v>
      </c>
      <c r="AQ199" s="28">
        <f t="shared" si="198"/>
        <v>1000</v>
      </c>
      <c r="AR199" s="28">
        <f t="shared" si="198"/>
        <v>0</v>
      </c>
      <c r="AS199" s="28">
        <f t="shared" si="198"/>
        <v>0</v>
      </c>
      <c r="AT199" s="28">
        <f t="shared" si="198"/>
        <v>0</v>
      </c>
    </row>
    <row r="200">
      <c r="A200" s="5" t="s">
        <v>210</v>
      </c>
      <c r="B200" s="6">
        <v>100.0</v>
      </c>
      <c r="C200" s="7" t="s">
        <v>35</v>
      </c>
      <c r="D200" s="15">
        <v>75214.0</v>
      </c>
      <c r="F200" s="15">
        <f>IFERROR(__xludf.DUMMYFUNCTION("""COMPUTED_VALUE"""),75044.0)</f>
        <v>75044</v>
      </c>
      <c r="G200" s="26">
        <f t="shared" si="2"/>
        <v>2100</v>
      </c>
      <c r="J200" s="27">
        <f>IFERROR(__xludf.DUMMYFUNCTION("""COMPUTED_VALUE"""),75044.0)</f>
        <v>75044</v>
      </c>
      <c r="K200" s="28">
        <f t="shared" ref="K200:AT200" si="199">sumifs($B:$B,$D:$D,$J200,$C:$C,K$1)</f>
        <v>2000</v>
      </c>
      <c r="L200" s="28">
        <f t="shared" si="199"/>
        <v>0</v>
      </c>
      <c r="M200" s="28">
        <f t="shared" si="199"/>
        <v>0</v>
      </c>
      <c r="N200" s="28">
        <f t="shared" si="199"/>
        <v>0</v>
      </c>
      <c r="O200" s="28">
        <f t="shared" si="199"/>
        <v>0</v>
      </c>
      <c r="P200" s="28">
        <f t="shared" si="199"/>
        <v>100</v>
      </c>
      <c r="Q200" s="28">
        <f t="shared" si="199"/>
        <v>0</v>
      </c>
      <c r="R200" s="28">
        <f t="shared" si="199"/>
        <v>0</v>
      </c>
      <c r="S200" s="28">
        <f t="shared" si="199"/>
        <v>0</v>
      </c>
      <c r="T200" s="28">
        <f t="shared" si="199"/>
        <v>0</v>
      </c>
      <c r="U200" s="28">
        <f t="shared" si="199"/>
        <v>0</v>
      </c>
      <c r="V200" s="28">
        <f t="shared" si="199"/>
        <v>0</v>
      </c>
      <c r="W200" s="28">
        <f t="shared" si="199"/>
        <v>0</v>
      </c>
      <c r="X200" s="28">
        <f t="shared" si="199"/>
        <v>0</v>
      </c>
      <c r="Y200" s="28">
        <f t="shared" si="199"/>
        <v>0</v>
      </c>
      <c r="Z200" s="28">
        <f t="shared" si="199"/>
        <v>0</v>
      </c>
      <c r="AA200" s="28">
        <f t="shared" si="199"/>
        <v>0</v>
      </c>
      <c r="AB200" s="28">
        <f t="shared" si="199"/>
        <v>0</v>
      </c>
      <c r="AC200" s="28">
        <f t="shared" si="199"/>
        <v>0</v>
      </c>
      <c r="AD200" s="28">
        <f t="shared" si="199"/>
        <v>0</v>
      </c>
      <c r="AE200" s="28">
        <f t="shared" si="199"/>
        <v>0</v>
      </c>
      <c r="AF200" s="28">
        <f t="shared" si="199"/>
        <v>0</v>
      </c>
      <c r="AG200" s="28">
        <f t="shared" si="199"/>
        <v>0</v>
      </c>
      <c r="AH200" s="28">
        <f t="shared" si="199"/>
        <v>0</v>
      </c>
      <c r="AI200" s="28">
        <f t="shared" si="199"/>
        <v>0</v>
      </c>
      <c r="AJ200" s="28">
        <f t="shared" si="199"/>
        <v>0</v>
      </c>
      <c r="AK200" s="28">
        <f t="shared" si="199"/>
        <v>0</v>
      </c>
      <c r="AL200" s="28">
        <f t="shared" si="199"/>
        <v>0</v>
      </c>
      <c r="AM200" s="28">
        <f t="shared" si="199"/>
        <v>0</v>
      </c>
      <c r="AN200" s="28">
        <f t="shared" si="199"/>
        <v>0</v>
      </c>
      <c r="AO200" s="28">
        <f t="shared" si="199"/>
        <v>0</v>
      </c>
      <c r="AP200" s="28">
        <f t="shared" si="199"/>
        <v>0</v>
      </c>
      <c r="AQ200" s="28">
        <f t="shared" si="199"/>
        <v>0</v>
      </c>
      <c r="AR200" s="28">
        <f t="shared" si="199"/>
        <v>0</v>
      </c>
      <c r="AS200" s="28">
        <f t="shared" si="199"/>
        <v>0</v>
      </c>
      <c r="AT200" s="28">
        <f t="shared" si="199"/>
        <v>0</v>
      </c>
    </row>
    <row r="201">
      <c r="A201" s="10" t="s">
        <v>211</v>
      </c>
      <c r="B201" s="11">
        <v>250.0</v>
      </c>
      <c r="C201" s="12" t="s">
        <v>35</v>
      </c>
      <c r="D201" s="15">
        <v>75070.0</v>
      </c>
      <c r="F201" s="15">
        <f>IFERROR(__xludf.DUMMYFUNCTION("""COMPUTED_VALUE"""),76001.0)</f>
        <v>76001</v>
      </c>
      <c r="G201" s="26">
        <f t="shared" si="2"/>
        <v>200</v>
      </c>
      <c r="J201" s="27">
        <f>IFERROR(__xludf.DUMMYFUNCTION("""COMPUTED_VALUE"""),76001.0)</f>
        <v>76001</v>
      </c>
      <c r="K201" s="28">
        <f t="shared" ref="K201:AT201" si="200">sumifs($B:$B,$D:$D,$J201,$C:$C,K$1)</f>
        <v>0</v>
      </c>
      <c r="L201" s="28">
        <f t="shared" si="200"/>
        <v>0</v>
      </c>
      <c r="M201" s="28">
        <f t="shared" si="200"/>
        <v>0</v>
      </c>
      <c r="N201" s="28">
        <f t="shared" si="200"/>
        <v>0</v>
      </c>
      <c r="O201" s="28">
        <f t="shared" si="200"/>
        <v>0</v>
      </c>
      <c r="P201" s="28">
        <f t="shared" si="200"/>
        <v>200</v>
      </c>
      <c r="Q201" s="28">
        <f t="shared" si="200"/>
        <v>0</v>
      </c>
      <c r="R201" s="28">
        <f t="shared" si="200"/>
        <v>0</v>
      </c>
      <c r="S201" s="28">
        <f t="shared" si="200"/>
        <v>0</v>
      </c>
      <c r="T201" s="28">
        <f t="shared" si="200"/>
        <v>0</v>
      </c>
      <c r="U201" s="28">
        <f t="shared" si="200"/>
        <v>0</v>
      </c>
      <c r="V201" s="28">
        <f t="shared" si="200"/>
        <v>0</v>
      </c>
      <c r="W201" s="28">
        <f t="shared" si="200"/>
        <v>0</v>
      </c>
      <c r="X201" s="28">
        <f t="shared" si="200"/>
        <v>0</v>
      </c>
      <c r="Y201" s="28">
        <f t="shared" si="200"/>
        <v>0</v>
      </c>
      <c r="Z201" s="28">
        <f t="shared" si="200"/>
        <v>0</v>
      </c>
      <c r="AA201" s="28">
        <f t="shared" si="200"/>
        <v>0</v>
      </c>
      <c r="AB201" s="28">
        <f t="shared" si="200"/>
        <v>0</v>
      </c>
      <c r="AC201" s="28">
        <f t="shared" si="200"/>
        <v>0</v>
      </c>
      <c r="AD201" s="28">
        <f t="shared" si="200"/>
        <v>0</v>
      </c>
      <c r="AE201" s="28">
        <f t="shared" si="200"/>
        <v>0</v>
      </c>
      <c r="AF201" s="28">
        <f t="shared" si="200"/>
        <v>0</v>
      </c>
      <c r="AG201" s="28">
        <f t="shared" si="200"/>
        <v>0</v>
      </c>
      <c r="AH201" s="28">
        <f t="shared" si="200"/>
        <v>0</v>
      </c>
      <c r="AI201" s="28">
        <f t="shared" si="200"/>
        <v>0</v>
      </c>
      <c r="AJ201" s="28">
        <f t="shared" si="200"/>
        <v>0</v>
      </c>
      <c r="AK201" s="28">
        <f t="shared" si="200"/>
        <v>0</v>
      </c>
      <c r="AL201" s="28">
        <f t="shared" si="200"/>
        <v>0</v>
      </c>
      <c r="AM201" s="28">
        <f t="shared" si="200"/>
        <v>0</v>
      </c>
      <c r="AN201" s="28">
        <f t="shared" si="200"/>
        <v>0</v>
      </c>
      <c r="AO201" s="28">
        <f t="shared" si="200"/>
        <v>0</v>
      </c>
      <c r="AP201" s="28">
        <f t="shared" si="200"/>
        <v>0</v>
      </c>
      <c r="AQ201" s="28">
        <f t="shared" si="200"/>
        <v>0</v>
      </c>
      <c r="AR201" s="28">
        <f t="shared" si="200"/>
        <v>0</v>
      </c>
      <c r="AS201" s="28">
        <f t="shared" si="200"/>
        <v>0</v>
      </c>
      <c r="AT201" s="28">
        <f t="shared" si="200"/>
        <v>0</v>
      </c>
    </row>
    <row r="202">
      <c r="A202" s="5" t="s">
        <v>212</v>
      </c>
      <c r="B202" s="6">
        <v>100.0</v>
      </c>
      <c r="C202" s="7" t="s">
        <v>35</v>
      </c>
      <c r="D202" s="15">
        <v>75209.0</v>
      </c>
      <c r="F202" s="15">
        <f>IFERROR(__xludf.DUMMYFUNCTION("""COMPUTED_VALUE"""),76653.0)</f>
        <v>76653</v>
      </c>
      <c r="G202" s="26">
        <f t="shared" si="2"/>
        <v>500</v>
      </c>
      <c r="J202" s="27">
        <f>IFERROR(__xludf.DUMMYFUNCTION("""COMPUTED_VALUE"""),76653.0)</f>
        <v>76653</v>
      </c>
      <c r="K202" s="28">
        <f t="shared" ref="K202:AT202" si="201">sumifs($B:$B,$D:$D,$J202,$C:$C,K$1)</f>
        <v>0</v>
      </c>
      <c r="L202" s="28">
        <f t="shared" si="201"/>
        <v>0</v>
      </c>
      <c r="M202" s="28">
        <f t="shared" si="201"/>
        <v>0</v>
      </c>
      <c r="N202" s="28">
        <f t="shared" si="201"/>
        <v>0</v>
      </c>
      <c r="O202" s="28">
        <f t="shared" si="201"/>
        <v>0</v>
      </c>
      <c r="P202" s="28">
        <f t="shared" si="201"/>
        <v>500</v>
      </c>
      <c r="Q202" s="28">
        <f t="shared" si="201"/>
        <v>0</v>
      </c>
      <c r="R202" s="28">
        <f t="shared" si="201"/>
        <v>0</v>
      </c>
      <c r="S202" s="28">
        <f t="shared" si="201"/>
        <v>0</v>
      </c>
      <c r="T202" s="28">
        <f t="shared" si="201"/>
        <v>0</v>
      </c>
      <c r="U202" s="28">
        <f t="shared" si="201"/>
        <v>0</v>
      </c>
      <c r="V202" s="28">
        <f t="shared" si="201"/>
        <v>0</v>
      </c>
      <c r="W202" s="28">
        <f t="shared" si="201"/>
        <v>0</v>
      </c>
      <c r="X202" s="28">
        <f t="shared" si="201"/>
        <v>0</v>
      </c>
      <c r="Y202" s="28">
        <f t="shared" si="201"/>
        <v>0</v>
      </c>
      <c r="Z202" s="28">
        <f t="shared" si="201"/>
        <v>0</v>
      </c>
      <c r="AA202" s="28">
        <f t="shared" si="201"/>
        <v>0</v>
      </c>
      <c r="AB202" s="28">
        <f t="shared" si="201"/>
        <v>0</v>
      </c>
      <c r="AC202" s="28">
        <f t="shared" si="201"/>
        <v>0</v>
      </c>
      <c r="AD202" s="28">
        <f t="shared" si="201"/>
        <v>0</v>
      </c>
      <c r="AE202" s="28">
        <f t="shared" si="201"/>
        <v>0</v>
      </c>
      <c r="AF202" s="28">
        <f t="shared" si="201"/>
        <v>0</v>
      </c>
      <c r="AG202" s="28">
        <f t="shared" si="201"/>
        <v>0</v>
      </c>
      <c r="AH202" s="28">
        <f t="shared" si="201"/>
        <v>0</v>
      </c>
      <c r="AI202" s="28">
        <f t="shared" si="201"/>
        <v>0</v>
      </c>
      <c r="AJ202" s="28">
        <f t="shared" si="201"/>
        <v>0</v>
      </c>
      <c r="AK202" s="28">
        <f t="shared" si="201"/>
        <v>0</v>
      </c>
      <c r="AL202" s="28">
        <f t="shared" si="201"/>
        <v>0</v>
      </c>
      <c r="AM202" s="28">
        <f t="shared" si="201"/>
        <v>0</v>
      </c>
      <c r="AN202" s="28">
        <f t="shared" si="201"/>
        <v>0</v>
      </c>
      <c r="AO202" s="28">
        <f t="shared" si="201"/>
        <v>0</v>
      </c>
      <c r="AP202" s="28">
        <f t="shared" si="201"/>
        <v>0</v>
      </c>
      <c r="AQ202" s="28">
        <f t="shared" si="201"/>
        <v>0</v>
      </c>
      <c r="AR202" s="28">
        <f t="shared" si="201"/>
        <v>0</v>
      </c>
      <c r="AS202" s="28">
        <f t="shared" si="201"/>
        <v>0</v>
      </c>
      <c r="AT202" s="28">
        <f t="shared" si="201"/>
        <v>0</v>
      </c>
    </row>
    <row r="203">
      <c r="A203" s="10" t="s">
        <v>213</v>
      </c>
      <c r="B203" s="11">
        <v>100.0</v>
      </c>
      <c r="C203" s="12" t="s">
        <v>35</v>
      </c>
      <c r="D203" s="15">
        <v>75219.0</v>
      </c>
      <c r="F203" s="15">
        <f>IFERROR(__xludf.DUMMYFUNCTION("""COMPUTED_VALUE"""),78748.0)</f>
        <v>78748</v>
      </c>
      <c r="G203" s="26">
        <f t="shared" si="2"/>
        <v>200</v>
      </c>
      <c r="J203" s="27">
        <f>IFERROR(__xludf.DUMMYFUNCTION("""COMPUTED_VALUE"""),78748.0)</f>
        <v>78748</v>
      </c>
      <c r="K203" s="28">
        <f t="shared" ref="K203:AT203" si="202">sumifs($B:$B,$D:$D,$J203,$C:$C,K$1)</f>
        <v>0</v>
      </c>
      <c r="L203" s="28">
        <f t="shared" si="202"/>
        <v>0</v>
      </c>
      <c r="M203" s="28">
        <f t="shared" si="202"/>
        <v>0</v>
      </c>
      <c r="N203" s="28">
        <f t="shared" si="202"/>
        <v>0</v>
      </c>
      <c r="O203" s="28">
        <f t="shared" si="202"/>
        <v>0</v>
      </c>
      <c r="P203" s="28">
        <f t="shared" si="202"/>
        <v>100</v>
      </c>
      <c r="Q203" s="28">
        <f t="shared" si="202"/>
        <v>0</v>
      </c>
      <c r="R203" s="28">
        <f t="shared" si="202"/>
        <v>0</v>
      </c>
      <c r="S203" s="28">
        <f t="shared" si="202"/>
        <v>0</v>
      </c>
      <c r="T203" s="28">
        <f t="shared" si="202"/>
        <v>0</v>
      </c>
      <c r="U203" s="28">
        <f t="shared" si="202"/>
        <v>0</v>
      </c>
      <c r="V203" s="28">
        <f t="shared" si="202"/>
        <v>0</v>
      </c>
      <c r="W203" s="28">
        <f t="shared" si="202"/>
        <v>0</v>
      </c>
      <c r="X203" s="28">
        <f t="shared" si="202"/>
        <v>0</v>
      </c>
      <c r="Y203" s="28">
        <f t="shared" si="202"/>
        <v>0</v>
      </c>
      <c r="Z203" s="28">
        <f t="shared" si="202"/>
        <v>0</v>
      </c>
      <c r="AA203" s="28">
        <f t="shared" si="202"/>
        <v>0</v>
      </c>
      <c r="AB203" s="28">
        <f t="shared" si="202"/>
        <v>0</v>
      </c>
      <c r="AC203" s="28">
        <f t="shared" si="202"/>
        <v>0</v>
      </c>
      <c r="AD203" s="28">
        <f t="shared" si="202"/>
        <v>0</v>
      </c>
      <c r="AE203" s="28">
        <f t="shared" si="202"/>
        <v>0</v>
      </c>
      <c r="AF203" s="28">
        <f t="shared" si="202"/>
        <v>100</v>
      </c>
      <c r="AG203" s="28">
        <f t="shared" si="202"/>
        <v>0</v>
      </c>
      <c r="AH203" s="28">
        <f t="shared" si="202"/>
        <v>0</v>
      </c>
      <c r="AI203" s="28">
        <f t="shared" si="202"/>
        <v>0</v>
      </c>
      <c r="AJ203" s="28">
        <f t="shared" si="202"/>
        <v>0</v>
      </c>
      <c r="AK203" s="28">
        <f t="shared" si="202"/>
        <v>0</v>
      </c>
      <c r="AL203" s="28">
        <f t="shared" si="202"/>
        <v>0</v>
      </c>
      <c r="AM203" s="28">
        <f t="shared" si="202"/>
        <v>0</v>
      </c>
      <c r="AN203" s="28">
        <f t="shared" si="202"/>
        <v>0</v>
      </c>
      <c r="AO203" s="28">
        <f t="shared" si="202"/>
        <v>0</v>
      </c>
      <c r="AP203" s="28">
        <f t="shared" si="202"/>
        <v>0</v>
      </c>
      <c r="AQ203" s="28">
        <f t="shared" si="202"/>
        <v>0</v>
      </c>
      <c r="AR203" s="28">
        <f t="shared" si="202"/>
        <v>0</v>
      </c>
      <c r="AS203" s="28">
        <f t="shared" si="202"/>
        <v>0</v>
      </c>
      <c r="AT203" s="28">
        <f t="shared" si="202"/>
        <v>0</v>
      </c>
    </row>
    <row r="204">
      <c r="A204" s="5" t="s">
        <v>214</v>
      </c>
      <c r="B204" s="6">
        <v>1000.0</v>
      </c>
      <c r="C204" s="7" t="s">
        <v>35</v>
      </c>
      <c r="D204" s="15">
        <v>75116.0</v>
      </c>
      <c r="F204" s="15">
        <f>IFERROR(__xludf.DUMMYFUNCTION("""COMPUTED_VALUE"""),76209.0)</f>
        <v>76209</v>
      </c>
      <c r="G204" s="26">
        <f t="shared" si="2"/>
        <v>100</v>
      </c>
      <c r="J204" s="27">
        <f>IFERROR(__xludf.DUMMYFUNCTION("""COMPUTED_VALUE"""),76209.0)</f>
        <v>76209</v>
      </c>
      <c r="K204" s="28">
        <f t="shared" ref="K204:AT204" si="203">sumifs($B:$B,$D:$D,$J204,$C:$C,K$1)</f>
        <v>0</v>
      </c>
      <c r="L204" s="28">
        <f t="shared" si="203"/>
        <v>0</v>
      </c>
      <c r="M204" s="28">
        <f t="shared" si="203"/>
        <v>0</v>
      </c>
      <c r="N204" s="28">
        <f t="shared" si="203"/>
        <v>0</v>
      </c>
      <c r="O204" s="28">
        <f t="shared" si="203"/>
        <v>0</v>
      </c>
      <c r="P204" s="28">
        <f t="shared" si="203"/>
        <v>100</v>
      </c>
      <c r="Q204" s="28">
        <f t="shared" si="203"/>
        <v>0</v>
      </c>
      <c r="R204" s="28">
        <f t="shared" si="203"/>
        <v>0</v>
      </c>
      <c r="S204" s="28">
        <f t="shared" si="203"/>
        <v>0</v>
      </c>
      <c r="T204" s="28">
        <f t="shared" si="203"/>
        <v>0</v>
      </c>
      <c r="U204" s="28">
        <f t="shared" si="203"/>
        <v>0</v>
      </c>
      <c r="V204" s="28">
        <f t="shared" si="203"/>
        <v>0</v>
      </c>
      <c r="W204" s="28">
        <f t="shared" si="203"/>
        <v>0</v>
      </c>
      <c r="X204" s="28">
        <f t="shared" si="203"/>
        <v>0</v>
      </c>
      <c r="Y204" s="28">
        <f t="shared" si="203"/>
        <v>0</v>
      </c>
      <c r="Z204" s="28">
        <f t="shared" si="203"/>
        <v>0</v>
      </c>
      <c r="AA204" s="28">
        <f t="shared" si="203"/>
        <v>0</v>
      </c>
      <c r="AB204" s="28">
        <f t="shared" si="203"/>
        <v>0</v>
      </c>
      <c r="AC204" s="28">
        <f t="shared" si="203"/>
        <v>0</v>
      </c>
      <c r="AD204" s="28">
        <f t="shared" si="203"/>
        <v>0</v>
      </c>
      <c r="AE204" s="28">
        <f t="shared" si="203"/>
        <v>0</v>
      </c>
      <c r="AF204" s="28">
        <f t="shared" si="203"/>
        <v>0</v>
      </c>
      <c r="AG204" s="28">
        <f t="shared" si="203"/>
        <v>0</v>
      </c>
      <c r="AH204" s="28">
        <f t="shared" si="203"/>
        <v>0</v>
      </c>
      <c r="AI204" s="28">
        <f t="shared" si="203"/>
        <v>0</v>
      </c>
      <c r="AJ204" s="28">
        <f t="shared" si="203"/>
        <v>0</v>
      </c>
      <c r="AK204" s="28">
        <f t="shared" si="203"/>
        <v>0</v>
      </c>
      <c r="AL204" s="28">
        <f t="shared" si="203"/>
        <v>0</v>
      </c>
      <c r="AM204" s="28">
        <f t="shared" si="203"/>
        <v>0</v>
      </c>
      <c r="AN204" s="28">
        <f t="shared" si="203"/>
        <v>0</v>
      </c>
      <c r="AO204" s="28">
        <f t="shared" si="203"/>
        <v>0</v>
      </c>
      <c r="AP204" s="28">
        <f t="shared" si="203"/>
        <v>0</v>
      </c>
      <c r="AQ204" s="28">
        <f t="shared" si="203"/>
        <v>0</v>
      </c>
      <c r="AR204" s="28">
        <f t="shared" si="203"/>
        <v>0</v>
      </c>
      <c r="AS204" s="28">
        <f t="shared" si="203"/>
        <v>0</v>
      </c>
      <c r="AT204" s="28">
        <f t="shared" si="203"/>
        <v>0</v>
      </c>
    </row>
    <row r="205">
      <c r="A205" s="10" t="s">
        <v>215</v>
      </c>
      <c r="B205" s="11">
        <v>50.0</v>
      </c>
      <c r="C205" s="12" t="s">
        <v>35</v>
      </c>
      <c r="D205" s="15">
        <v>75230.0</v>
      </c>
      <c r="F205" s="15">
        <f>IFERROR(__xludf.DUMMYFUNCTION("""COMPUTED_VALUE"""),77055.0)</f>
        <v>77055</v>
      </c>
      <c r="G205" s="26">
        <f t="shared" si="2"/>
        <v>1000</v>
      </c>
      <c r="J205" s="27">
        <f>IFERROR(__xludf.DUMMYFUNCTION("""COMPUTED_VALUE"""),77055.0)</f>
        <v>77055</v>
      </c>
      <c r="K205" s="28">
        <f t="shared" ref="K205:AT205" si="204">sumifs($B:$B,$D:$D,$J205,$C:$C,K$1)</f>
        <v>0</v>
      </c>
      <c r="L205" s="28">
        <f t="shared" si="204"/>
        <v>0</v>
      </c>
      <c r="M205" s="28">
        <f t="shared" si="204"/>
        <v>0</v>
      </c>
      <c r="N205" s="28">
        <f t="shared" si="204"/>
        <v>1000</v>
      </c>
      <c r="O205" s="28">
        <f t="shared" si="204"/>
        <v>0</v>
      </c>
      <c r="P205" s="28">
        <f t="shared" si="204"/>
        <v>0</v>
      </c>
      <c r="Q205" s="28">
        <f t="shared" si="204"/>
        <v>0</v>
      </c>
      <c r="R205" s="28">
        <f t="shared" si="204"/>
        <v>0</v>
      </c>
      <c r="S205" s="28">
        <f t="shared" si="204"/>
        <v>0</v>
      </c>
      <c r="T205" s="28">
        <f t="shared" si="204"/>
        <v>0</v>
      </c>
      <c r="U205" s="28">
        <f t="shared" si="204"/>
        <v>0</v>
      </c>
      <c r="V205" s="28">
        <f t="shared" si="204"/>
        <v>0</v>
      </c>
      <c r="W205" s="28">
        <f t="shared" si="204"/>
        <v>0</v>
      </c>
      <c r="X205" s="28">
        <f t="shared" si="204"/>
        <v>0</v>
      </c>
      <c r="Y205" s="28">
        <f t="shared" si="204"/>
        <v>0</v>
      </c>
      <c r="Z205" s="28">
        <f t="shared" si="204"/>
        <v>0</v>
      </c>
      <c r="AA205" s="28">
        <f t="shared" si="204"/>
        <v>0</v>
      </c>
      <c r="AB205" s="28">
        <f t="shared" si="204"/>
        <v>0</v>
      </c>
      <c r="AC205" s="28">
        <f t="shared" si="204"/>
        <v>0</v>
      </c>
      <c r="AD205" s="28">
        <f t="shared" si="204"/>
        <v>0</v>
      </c>
      <c r="AE205" s="28">
        <f t="shared" si="204"/>
        <v>0</v>
      </c>
      <c r="AF205" s="28">
        <f t="shared" si="204"/>
        <v>0</v>
      </c>
      <c r="AG205" s="28">
        <f t="shared" si="204"/>
        <v>0</v>
      </c>
      <c r="AH205" s="28">
        <f t="shared" si="204"/>
        <v>0</v>
      </c>
      <c r="AI205" s="28">
        <f t="shared" si="204"/>
        <v>0</v>
      </c>
      <c r="AJ205" s="28">
        <f t="shared" si="204"/>
        <v>0</v>
      </c>
      <c r="AK205" s="28">
        <f t="shared" si="204"/>
        <v>0</v>
      </c>
      <c r="AL205" s="28">
        <f t="shared" si="204"/>
        <v>0</v>
      </c>
      <c r="AM205" s="28">
        <f t="shared" si="204"/>
        <v>0</v>
      </c>
      <c r="AN205" s="28">
        <f t="shared" si="204"/>
        <v>0</v>
      </c>
      <c r="AO205" s="28">
        <f t="shared" si="204"/>
        <v>0</v>
      </c>
      <c r="AP205" s="28">
        <f t="shared" si="204"/>
        <v>0</v>
      </c>
      <c r="AQ205" s="28">
        <f t="shared" si="204"/>
        <v>0</v>
      </c>
      <c r="AR205" s="28">
        <f t="shared" si="204"/>
        <v>0</v>
      </c>
      <c r="AS205" s="28">
        <f t="shared" si="204"/>
        <v>0</v>
      </c>
      <c r="AT205" s="28">
        <f t="shared" si="204"/>
        <v>0</v>
      </c>
    </row>
    <row r="206">
      <c r="A206" s="5" t="s">
        <v>216</v>
      </c>
      <c r="B206" s="6">
        <v>100.0</v>
      </c>
      <c r="C206" s="7" t="s">
        <v>35</v>
      </c>
      <c r="D206" s="15">
        <v>75214.0</v>
      </c>
      <c r="F206" s="15">
        <f>IFERROR(__xludf.DUMMYFUNCTION("""COMPUTED_VALUE"""),75092.0)</f>
        <v>75092</v>
      </c>
      <c r="G206" s="26">
        <f t="shared" si="2"/>
        <v>100</v>
      </c>
      <c r="J206" s="27">
        <f>IFERROR(__xludf.DUMMYFUNCTION("""COMPUTED_VALUE"""),75092.0)</f>
        <v>75092</v>
      </c>
      <c r="K206" s="28">
        <f t="shared" ref="K206:AT206" si="205">sumifs($B:$B,$D:$D,$J206,$C:$C,K$1)</f>
        <v>100</v>
      </c>
      <c r="L206" s="28">
        <f t="shared" si="205"/>
        <v>0</v>
      </c>
      <c r="M206" s="28">
        <f t="shared" si="205"/>
        <v>0</v>
      </c>
      <c r="N206" s="28">
        <f t="shared" si="205"/>
        <v>0</v>
      </c>
      <c r="O206" s="28">
        <f t="shared" si="205"/>
        <v>0</v>
      </c>
      <c r="P206" s="28">
        <f t="shared" si="205"/>
        <v>0</v>
      </c>
      <c r="Q206" s="28">
        <f t="shared" si="205"/>
        <v>0</v>
      </c>
      <c r="R206" s="28">
        <f t="shared" si="205"/>
        <v>0</v>
      </c>
      <c r="S206" s="28">
        <f t="shared" si="205"/>
        <v>0</v>
      </c>
      <c r="T206" s="28">
        <f t="shared" si="205"/>
        <v>0</v>
      </c>
      <c r="U206" s="28">
        <f t="shared" si="205"/>
        <v>0</v>
      </c>
      <c r="V206" s="28">
        <f t="shared" si="205"/>
        <v>0</v>
      </c>
      <c r="W206" s="28">
        <f t="shared" si="205"/>
        <v>0</v>
      </c>
      <c r="X206" s="28">
        <f t="shared" si="205"/>
        <v>0</v>
      </c>
      <c r="Y206" s="28">
        <f t="shared" si="205"/>
        <v>0</v>
      </c>
      <c r="Z206" s="28">
        <f t="shared" si="205"/>
        <v>0</v>
      </c>
      <c r="AA206" s="28">
        <f t="shared" si="205"/>
        <v>0</v>
      </c>
      <c r="AB206" s="28">
        <f t="shared" si="205"/>
        <v>0</v>
      </c>
      <c r="AC206" s="28">
        <f t="shared" si="205"/>
        <v>0</v>
      </c>
      <c r="AD206" s="28">
        <f t="shared" si="205"/>
        <v>0</v>
      </c>
      <c r="AE206" s="28">
        <f t="shared" si="205"/>
        <v>0</v>
      </c>
      <c r="AF206" s="28">
        <f t="shared" si="205"/>
        <v>0</v>
      </c>
      <c r="AG206" s="28">
        <f t="shared" si="205"/>
        <v>0</v>
      </c>
      <c r="AH206" s="28">
        <f t="shared" si="205"/>
        <v>0</v>
      </c>
      <c r="AI206" s="28">
        <f t="shared" si="205"/>
        <v>0</v>
      </c>
      <c r="AJ206" s="28">
        <f t="shared" si="205"/>
        <v>0</v>
      </c>
      <c r="AK206" s="28">
        <f t="shared" si="205"/>
        <v>0</v>
      </c>
      <c r="AL206" s="28">
        <f t="shared" si="205"/>
        <v>0</v>
      </c>
      <c r="AM206" s="28">
        <f t="shared" si="205"/>
        <v>0</v>
      </c>
      <c r="AN206" s="28">
        <f t="shared" si="205"/>
        <v>0</v>
      </c>
      <c r="AO206" s="28">
        <f t="shared" si="205"/>
        <v>0</v>
      </c>
      <c r="AP206" s="28">
        <f t="shared" si="205"/>
        <v>0</v>
      </c>
      <c r="AQ206" s="28">
        <f t="shared" si="205"/>
        <v>0</v>
      </c>
      <c r="AR206" s="28">
        <f t="shared" si="205"/>
        <v>0</v>
      </c>
      <c r="AS206" s="28">
        <f t="shared" si="205"/>
        <v>0</v>
      </c>
      <c r="AT206" s="28">
        <f t="shared" si="205"/>
        <v>0</v>
      </c>
    </row>
    <row r="207">
      <c r="A207" s="10" t="s">
        <v>217</v>
      </c>
      <c r="B207" s="11">
        <v>100.0</v>
      </c>
      <c r="C207" s="12" t="s">
        <v>35</v>
      </c>
      <c r="D207" s="15">
        <v>75211.0</v>
      </c>
      <c r="F207" s="15">
        <f>IFERROR(__xludf.DUMMYFUNCTION("""COMPUTED_VALUE"""),77073.0)</f>
        <v>77073</v>
      </c>
      <c r="G207" s="26">
        <f t="shared" si="2"/>
        <v>2000</v>
      </c>
      <c r="J207" s="27">
        <f>IFERROR(__xludf.DUMMYFUNCTION("""COMPUTED_VALUE"""),77073.0)</f>
        <v>77073</v>
      </c>
      <c r="K207" s="28">
        <f t="shared" ref="K207:AT207" si="206">sumifs($B:$B,$D:$D,$J207,$C:$C,K$1)</f>
        <v>0</v>
      </c>
      <c r="L207" s="28">
        <f t="shared" si="206"/>
        <v>0</v>
      </c>
      <c r="M207" s="28">
        <f t="shared" si="206"/>
        <v>0</v>
      </c>
      <c r="N207" s="28">
        <f t="shared" si="206"/>
        <v>0</v>
      </c>
      <c r="O207" s="28">
        <f t="shared" si="206"/>
        <v>0</v>
      </c>
      <c r="P207" s="28">
        <f t="shared" si="206"/>
        <v>0</v>
      </c>
      <c r="Q207" s="28">
        <f t="shared" si="206"/>
        <v>0</v>
      </c>
      <c r="R207" s="28">
        <f t="shared" si="206"/>
        <v>0</v>
      </c>
      <c r="S207" s="28">
        <f t="shared" si="206"/>
        <v>0</v>
      </c>
      <c r="T207" s="28">
        <f t="shared" si="206"/>
        <v>0</v>
      </c>
      <c r="U207" s="28">
        <f t="shared" si="206"/>
        <v>0</v>
      </c>
      <c r="V207" s="28">
        <f t="shared" si="206"/>
        <v>0</v>
      </c>
      <c r="W207" s="28">
        <f t="shared" si="206"/>
        <v>0</v>
      </c>
      <c r="X207" s="28">
        <f t="shared" si="206"/>
        <v>1000</v>
      </c>
      <c r="Y207" s="28">
        <f t="shared" si="206"/>
        <v>0</v>
      </c>
      <c r="Z207" s="28">
        <f t="shared" si="206"/>
        <v>0</v>
      </c>
      <c r="AA207" s="28">
        <f t="shared" si="206"/>
        <v>0</v>
      </c>
      <c r="AB207" s="28">
        <f t="shared" si="206"/>
        <v>0</v>
      </c>
      <c r="AC207" s="28">
        <f t="shared" si="206"/>
        <v>0</v>
      </c>
      <c r="AD207" s="28">
        <f t="shared" si="206"/>
        <v>0</v>
      </c>
      <c r="AE207" s="28">
        <f t="shared" si="206"/>
        <v>0</v>
      </c>
      <c r="AF207" s="28">
        <f t="shared" si="206"/>
        <v>0</v>
      </c>
      <c r="AG207" s="28">
        <f t="shared" si="206"/>
        <v>0</v>
      </c>
      <c r="AH207" s="28">
        <f t="shared" si="206"/>
        <v>0</v>
      </c>
      <c r="AI207" s="28">
        <f t="shared" si="206"/>
        <v>0</v>
      </c>
      <c r="AJ207" s="28">
        <f t="shared" si="206"/>
        <v>0</v>
      </c>
      <c r="AK207" s="28">
        <f t="shared" si="206"/>
        <v>1000</v>
      </c>
      <c r="AL207" s="28">
        <f t="shared" si="206"/>
        <v>0</v>
      </c>
      <c r="AM207" s="28">
        <f t="shared" si="206"/>
        <v>0</v>
      </c>
      <c r="AN207" s="28">
        <f t="shared" si="206"/>
        <v>0</v>
      </c>
      <c r="AO207" s="28">
        <f t="shared" si="206"/>
        <v>0</v>
      </c>
      <c r="AP207" s="28">
        <f t="shared" si="206"/>
        <v>0</v>
      </c>
      <c r="AQ207" s="28">
        <f t="shared" si="206"/>
        <v>0</v>
      </c>
      <c r="AR207" s="28">
        <f t="shared" si="206"/>
        <v>0</v>
      </c>
      <c r="AS207" s="28">
        <f t="shared" si="206"/>
        <v>0</v>
      </c>
      <c r="AT207" s="28">
        <f t="shared" si="206"/>
        <v>0</v>
      </c>
    </row>
    <row r="208">
      <c r="A208" s="5" t="s">
        <v>218</v>
      </c>
      <c r="B208" s="6">
        <v>50.0</v>
      </c>
      <c r="C208" s="7" t="s">
        <v>35</v>
      </c>
      <c r="D208" s="15">
        <v>75204.0</v>
      </c>
      <c r="F208" s="15">
        <f>IFERROR(__xludf.DUMMYFUNCTION("""COMPUTED_VALUE"""),76110.0)</f>
        <v>76110</v>
      </c>
      <c r="G208" s="26">
        <f t="shared" si="2"/>
        <v>474.7</v>
      </c>
      <c r="J208" s="27">
        <f>IFERROR(__xludf.DUMMYFUNCTION("""COMPUTED_VALUE"""),76110.0)</f>
        <v>76110</v>
      </c>
      <c r="K208" s="28">
        <f t="shared" ref="K208:AT208" si="207">sumifs($B:$B,$D:$D,$J208,$C:$C,K$1)</f>
        <v>0</v>
      </c>
      <c r="L208" s="28">
        <f t="shared" si="207"/>
        <v>0</v>
      </c>
      <c r="M208" s="28">
        <f t="shared" si="207"/>
        <v>0</v>
      </c>
      <c r="N208" s="28">
        <f t="shared" si="207"/>
        <v>0</v>
      </c>
      <c r="O208" s="28">
        <f t="shared" si="207"/>
        <v>0</v>
      </c>
      <c r="P208" s="28">
        <f t="shared" si="207"/>
        <v>0</v>
      </c>
      <c r="Q208" s="28">
        <f t="shared" si="207"/>
        <v>0</v>
      </c>
      <c r="R208" s="28">
        <f t="shared" si="207"/>
        <v>0</v>
      </c>
      <c r="S208" s="28">
        <f t="shared" si="207"/>
        <v>0</v>
      </c>
      <c r="T208" s="28">
        <f t="shared" si="207"/>
        <v>0</v>
      </c>
      <c r="U208" s="28">
        <f t="shared" si="207"/>
        <v>0</v>
      </c>
      <c r="V208" s="28">
        <f t="shared" si="207"/>
        <v>0</v>
      </c>
      <c r="W208" s="28">
        <f t="shared" si="207"/>
        <v>0</v>
      </c>
      <c r="X208" s="28">
        <f t="shared" si="207"/>
        <v>0</v>
      </c>
      <c r="Y208" s="28">
        <f t="shared" si="207"/>
        <v>0</v>
      </c>
      <c r="Z208" s="28">
        <f t="shared" si="207"/>
        <v>0</v>
      </c>
      <c r="AA208" s="28">
        <f t="shared" si="207"/>
        <v>0</v>
      </c>
      <c r="AB208" s="28">
        <f t="shared" si="207"/>
        <v>0</v>
      </c>
      <c r="AC208" s="28">
        <f t="shared" si="207"/>
        <v>474.7</v>
      </c>
      <c r="AD208" s="28">
        <f t="shared" si="207"/>
        <v>0</v>
      </c>
      <c r="AE208" s="28">
        <f t="shared" si="207"/>
        <v>0</v>
      </c>
      <c r="AF208" s="28">
        <f t="shared" si="207"/>
        <v>0</v>
      </c>
      <c r="AG208" s="28">
        <f t="shared" si="207"/>
        <v>0</v>
      </c>
      <c r="AH208" s="28">
        <f t="shared" si="207"/>
        <v>0</v>
      </c>
      <c r="AI208" s="28">
        <f t="shared" si="207"/>
        <v>0</v>
      </c>
      <c r="AJ208" s="28">
        <f t="shared" si="207"/>
        <v>0</v>
      </c>
      <c r="AK208" s="28">
        <f t="shared" si="207"/>
        <v>0</v>
      </c>
      <c r="AL208" s="28">
        <f t="shared" si="207"/>
        <v>0</v>
      </c>
      <c r="AM208" s="28">
        <f t="shared" si="207"/>
        <v>0</v>
      </c>
      <c r="AN208" s="28">
        <f t="shared" si="207"/>
        <v>0</v>
      </c>
      <c r="AO208" s="28">
        <f t="shared" si="207"/>
        <v>0</v>
      </c>
      <c r="AP208" s="28">
        <f t="shared" si="207"/>
        <v>0</v>
      </c>
      <c r="AQ208" s="28">
        <f t="shared" si="207"/>
        <v>0</v>
      </c>
      <c r="AR208" s="28">
        <f t="shared" si="207"/>
        <v>0</v>
      </c>
      <c r="AS208" s="28">
        <f t="shared" si="207"/>
        <v>0</v>
      </c>
      <c r="AT208" s="28">
        <f t="shared" si="207"/>
        <v>0</v>
      </c>
    </row>
    <row r="209">
      <c r="A209" s="10" t="s">
        <v>219</v>
      </c>
      <c r="B209" s="11">
        <v>27.0</v>
      </c>
      <c r="C209" s="12" t="s">
        <v>35</v>
      </c>
      <c r="D209" s="15">
        <v>75220.0</v>
      </c>
      <c r="F209" s="15">
        <f>IFERROR(__xludf.DUMMYFUNCTION("""COMPUTED_VALUE"""),76092.0)</f>
        <v>76092</v>
      </c>
      <c r="G209" s="26">
        <f t="shared" si="2"/>
        <v>1000</v>
      </c>
      <c r="J209" s="27">
        <f>IFERROR(__xludf.DUMMYFUNCTION("""COMPUTED_VALUE"""),76092.0)</f>
        <v>76092</v>
      </c>
      <c r="K209" s="28">
        <f t="shared" ref="K209:AT209" si="208">sumifs($B:$B,$D:$D,$J209,$C:$C,K$1)</f>
        <v>0</v>
      </c>
      <c r="L209" s="28">
        <f t="shared" si="208"/>
        <v>0</v>
      </c>
      <c r="M209" s="28">
        <f t="shared" si="208"/>
        <v>0</v>
      </c>
      <c r="N209" s="28">
        <f t="shared" si="208"/>
        <v>0</v>
      </c>
      <c r="O209" s="28">
        <f t="shared" si="208"/>
        <v>0</v>
      </c>
      <c r="P209" s="28">
        <f t="shared" si="208"/>
        <v>0</v>
      </c>
      <c r="Q209" s="28">
        <f t="shared" si="208"/>
        <v>0</v>
      </c>
      <c r="R209" s="28">
        <f t="shared" si="208"/>
        <v>0</v>
      </c>
      <c r="S209" s="28">
        <f t="shared" si="208"/>
        <v>0</v>
      </c>
      <c r="T209" s="28">
        <f t="shared" si="208"/>
        <v>0</v>
      </c>
      <c r="U209" s="28">
        <f t="shared" si="208"/>
        <v>0</v>
      </c>
      <c r="V209" s="28">
        <f t="shared" si="208"/>
        <v>0</v>
      </c>
      <c r="W209" s="28">
        <f t="shared" si="208"/>
        <v>0</v>
      </c>
      <c r="X209" s="28">
        <f t="shared" si="208"/>
        <v>0</v>
      </c>
      <c r="Y209" s="28">
        <f t="shared" si="208"/>
        <v>0</v>
      </c>
      <c r="Z209" s="28">
        <f t="shared" si="208"/>
        <v>0</v>
      </c>
      <c r="AA209" s="28">
        <f t="shared" si="208"/>
        <v>0</v>
      </c>
      <c r="AB209" s="28">
        <f t="shared" si="208"/>
        <v>0</v>
      </c>
      <c r="AC209" s="28">
        <f t="shared" si="208"/>
        <v>1000</v>
      </c>
      <c r="AD209" s="28">
        <f t="shared" si="208"/>
        <v>0</v>
      </c>
      <c r="AE209" s="28">
        <f t="shared" si="208"/>
        <v>0</v>
      </c>
      <c r="AF209" s="28">
        <f t="shared" si="208"/>
        <v>0</v>
      </c>
      <c r="AG209" s="28">
        <f t="shared" si="208"/>
        <v>0</v>
      </c>
      <c r="AH209" s="28">
        <f t="shared" si="208"/>
        <v>0</v>
      </c>
      <c r="AI209" s="28">
        <f t="shared" si="208"/>
        <v>0</v>
      </c>
      <c r="AJ209" s="28">
        <f t="shared" si="208"/>
        <v>0</v>
      </c>
      <c r="AK209" s="28">
        <f t="shared" si="208"/>
        <v>0</v>
      </c>
      <c r="AL209" s="28">
        <f t="shared" si="208"/>
        <v>0</v>
      </c>
      <c r="AM209" s="28">
        <f t="shared" si="208"/>
        <v>0</v>
      </c>
      <c r="AN209" s="28">
        <f t="shared" si="208"/>
        <v>0</v>
      </c>
      <c r="AO209" s="28">
        <f t="shared" si="208"/>
        <v>0</v>
      </c>
      <c r="AP209" s="28">
        <f t="shared" si="208"/>
        <v>0</v>
      </c>
      <c r="AQ209" s="28">
        <f t="shared" si="208"/>
        <v>0</v>
      </c>
      <c r="AR209" s="28">
        <f t="shared" si="208"/>
        <v>0</v>
      </c>
      <c r="AS209" s="28">
        <f t="shared" si="208"/>
        <v>0</v>
      </c>
      <c r="AT209" s="28">
        <f t="shared" si="208"/>
        <v>0</v>
      </c>
    </row>
    <row r="210">
      <c r="A210" s="5" t="s">
        <v>220</v>
      </c>
      <c r="B210" s="6">
        <v>100.0</v>
      </c>
      <c r="C210" s="7" t="s">
        <v>35</v>
      </c>
      <c r="D210" s="15">
        <v>75137.0</v>
      </c>
      <c r="F210" s="15">
        <f>IFERROR(__xludf.DUMMYFUNCTION("""COMPUTED_VALUE"""),76104.0)</f>
        <v>76104</v>
      </c>
      <c r="G210" s="26">
        <f t="shared" si="2"/>
        <v>1000</v>
      </c>
      <c r="J210" s="27">
        <f>IFERROR(__xludf.DUMMYFUNCTION("""COMPUTED_VALUE"""),76104.0)</f>
        <v>76104</v>
      </c>
      <c r="K210" s="28">
        <f t="shared" ref="K210:AT210" si="209">sumifs($B:$B,$D:$D,$J210,$C:$C,K$1)</f>
        <v>0</v>
      </c>
      <c r="L210" s="28">
        <f t="shared" si="209"/>
        <v>0</v>
      </c>
      <c r="M210" s="28">
        <f t="shared" si="209"/>
        <v>0</v>
      </c>
      <c r="N210" s="28">
        <f t="shared" si="209"/>
        <v>0</v>
      </c>
      <c r="O210" s="28">
        <f t="shared" si="209"/>
        <v>0</v>
      </c>
      <c r="P210" s="28">
        <f t="shared" si="209"/>
        <v>0</v>
      </c>
      <c r="Q210" s="28">
        <f t="shared" si="209"/>
        <v>0</v>
      </c>
      <c r="R210" s="28">
        <f t="shared" si="209"/>
        <v>0</v>
      </c>
      <c r="S210" s="28">
        <f t="shared" si="209"/>
        <v>0</v>
      </c>
      <c r="T210" s="28">
        <f t="shared" si="209"/>
        <v>0</v>
      </c>
      <c r="U210" s="28">
        <f t="shared" si="209"/>
        <v>0</v>
      </c>
      <c r="V210" s="28">
        <f t="shared" si="209"/>
        <v>0</v>
      </c>
      <c r="W210" s="28">
        <f t="shared" si="209"/>
        <v>0</v>
      </c>
      <c r="X210" s="28">
        <f t="shared" si="209"/>
        <v>0</v>
      </c>
      <c r="Y210" s="28">
        <f t="shared" si="209"/>
        <v>0</v>
      </c>
      <c r="Z210" s="28">
        <f t="shared" si="209"/>
        <v>0</v>
      </c>
      <c r="AA210" s="28">
        <f t="shared" si="209"/>
        <v>0</v>
      </c>
      <c r="AB210" s="28">
        <f t="shared" si="209"/>
        <v>0</v>
      </c>
      <c r="AC210" s="28">
        <f t="shared" si="209"/>
        <v>1000</v>
      </c>
      <c r="AD210" s="28">
        <f t="shared" si="209"/>
        <v>0</v>
      </c>
      <c r="AE210" s="28">
        <f t="shared" si="209"/>
        <v>0</v>
      </c>
      <c r="AF210" s="28">
        <f t="shared" si="209"/>
        <v>0</v>
      </c>
      <c r="AG210" s="28">
        <f t="shared" si="209"/>
        <v>0</v>
      </c>
      <c r="AH210" s="28">
        <f t="shared" si="209"/>
        <v>0</v>
      </c>
      <c r="AI210" s="28">
        <f t="shared" si="209"/>
        <v>0</v>
      </c>
      <c r="AJ210" s="28">
        <f t="shared" si="209"/>
        <v>0</v>
      </c>
      <c r="AK210" s="28">
        <f t="shared" si="209"/>
        <v>0</v>
      </c>
      <c r="AL210" s="28">
        <f t="shared" si="209"/>
        <v>0</v>
      </c>
      <c r="AM210" s="28">
        <f t="shared" si="209"/>
        <v>0</v>
      </c>
      <c r="AN210" s="28">
        <f t="shared" si="209"/>
        <v>0</v>
      </c>
      <c r="AO210" s="28">
        <f t="shared" si="209"/>
        <v>0</v>
      </c>
      <c r="AP210" s="28">
        <f t="shared" si="209"/>
        <v>0</v>
      </c>
      <c r="AQ210" s="28">
        <f t="shared" si="209"/>
        <v>0</v>
      </c>
      <c r="AR210" s="28">
        <f t="shared" si="209"/>
        <v>0</v>
      </c>
      <c r="AS210" s="28">
        <f t="shared" si="209"/>
        <v>0</v>
      </c>
      <c r="AT210" s="28">
        <f t="shared" si="209"/>
        <v>0</v>
      </c>
    </row>
    <row r="211">
      <c r="A211" s="10" t="s">
        <v>221</v>
      </c>
      <c r="B211" s="11">
        <v>100.0</v>
      </c>
      <c r="C211" s="12" t="s">
        <v>35</v>
      </c>
      <c r="D211" s="15">
        <v>78640.0</v>
      </c>
      <c r="F211" s="15">
        <f>IFERROR(__xludf.DUMMYFUNCTION("""COMPUTED_VALUE"""),76712.0)</f>
        <v>76712</v>
      </c>
      <c r="G211" s="26">
        <f t="shared" si="2"/>
        <v>250</v>
      </c>
      <c r="J211" s="27">
        <f>IFERROR(__xludf.DUMMYFUNCTION("""COMPUTED_VALUE"""),76712.0)</f>
        <v>76712</v>
      </c>
      <c r="K211" s="28">
        <f t="shared" ref="K211:AT211" si="210">sumifs($B:$B,$D:$D,$J211,$C:$C,K$1)</f>
        <v>0</v>
      </c>
      <c r="L211" s="28">
        <f t="shared" si="210"/>
        <v>0</v>
      </c>
      <c r="M211" s="28">
        <f t="shared" si="210"/>
        <v>0</v>
      </c>
      <c r="N211" s="28">
        <f t="shared" si="210"/>
        <v>0</v>
      </c>
      <c r="O211" s="28">
        <f t="shared" si="210"/>
        <v>0</v>
      </c>
      <c r="P211" s="28">
        <f t="shared" si="210"/>
        <v>0</v>
      </c>
      <c r="Q211" s="28">
        <f t="shared" si="210"/>
        <v>0</v>
      </c>
      <c r="R211" s="28">
        <f t="shared" si="210"/>
        <v>0</v>
      </c>
      <c r="S211" s="28">
        <f t="shared" si="210"/>
        <v>0</v>
      </c>
      <c r="T211" s="28">
        <f t="shared" si="210"/>
        <v>0</v>
      </c>
      <c r="U211" s="28">
        <f t="shared" si="210"/>
        <v>0</v>
      </c>
      <c r="V211" s="28">
        <f t="shared" si="210"/>
        <v>0</v>
      </c>
      <c r="W211" s="28">
        <f t="shared" si="210"/>
        <v>0</v>
      </c>
      <c r="X211" s="28">
        <f t="shared" si="210"/>
        <v>0</v>
      </c>
      <c r="Y211" s="28">
        <f t="shared" si="210"/>
        <v>0</v>
      </c>
      <c r="Z211" s="28">
        <f t="shared" si="210"/>
        <v>0</v>
      </c>
      <c r="AA211" s="28">
        <f t="shared" si="210"/>
        <v>0</v>
      </c>
      <c r="AB211" s="28">
        <f t="shared" si="210"/>
        <v>0</v>
      </c>
      <c r="AC211" s="28">
        <f t="shared" si="210"/>
        <v>0</v>
      </c>
      <c r="AD211" s="28">
        <f t="shared" si="210"/>
        <v>0</v>
      </c>
      <c r="AE211" s="28">
        <f t="shared" si="210"/>
        <v>0</v>
      </c>
      <c r="AF211" s="28">
        <f t="shared" si="210"/>
        <v>250</v>
      </c>
      <c r="AG211" s="28">
        <f t="shared" si="210"/>
        <v>0</v>
      </c>
      <c r="AH211" s="28">
        <f t="shared" si="210"/>
        <v>0</v>
      </c>
      <c r="AI211" s="28">
        <f t="shared" si="210"/>
        <v>0</v>
      </c>
      <c r="AJ211" s="28">
        <f t="shared" si="210"/>
        <v>0</v>
      </c>
      <c r="AK211" s="28">
        <f t="shared" si="210"/>
        <v>0</v>
      </c>
      <c r="AL211" s="28">
        <f t="shared" si="210"/>
        <v>0</v>
      </c>
      <c r="AM211" s="28">
        <f t="shared" si="210"/>
        <v>0</v>
      </c>
      <c r="AN211" s="28">
        <f t="shared" si="210"/>
        <v>0</v>
      </c>
      <c r="AO211" s="28">
        <f t="shared" si="210"/>
        <v>0</v>
      </c>
      <c r="AP211" s="28">
        <f t="shared" si="210"/>
        <v>0</v>
      </c>
      <c r="AQ211" s="28">
        <f t="shared" si="210"/>
        <v>0</v>
      </c>
      <c r="AR211" s="28">
        <f t="shared" si="210"/>
        <v>0</v>
      </c>
      <c r="AS211" s="28">
        <f t="shared" si="210"/>
        <v>0</v>
      </c>
      <c r="AT211" s="28">
        <f t="shared" si="210"/>
        <v>0</v>
      </c>
    </row>
    <row r="212">
      <c r="A212" s="5" t="s">
        <v>222</v>
      </c>
      <c r="B212" s="6">
        <v>50.0</v>
      </c>
      <c r="C212" s="7" t="s">
        <v>35</v>
      </c>
      <c r="D212" s="15">
        <v>75088.0</v>
      </c>
      <c r="F212" s="15">
        <f>IFERROR(__xludf.DUMMYFUNCTION("""COMPUTED_VALUE"""),78610.0)</f>
        <v>78610</v>
      </c>
      <c r="G212" s="26">
        <f t="shared" si="2"/>
        <v>2050</v>
      </c>
      <c r="J212" s="27">
        <f>IFERROR(__xludf.DUMMYFUNCTION("""COMPUTED_VALUE"""),78610.0)</f>
        <v>78610</v>
      </c>
      <c r="K212" s="28">
        <f t="shared" ref="K212:AT212" si="211">sumifs($B:$B,$D:$D,$J212,$C:$C,K$1)</f>
        <v>0</v>
      </c>
      <c r="L212" s="28">
        <f t="shared" si="211"/>
        <v>0</v>
      </c>
      <c r="M212" s="28">
        <f t="shared" si="211"/>
        <v>0</v>
      </c>
      <c r="N212" s="28">
        <f t="shared" si="211"/>
        <v>0</v>
      </c>
      <c r="O212" s="28">
        <f t="shared" si="211"/>
        <v>0</v>
      </c>
      <c r="P212" s="28">
        <f t="shared" si="211"/>
        <v>0</v>
      </c>
      <c r="Q212" s="28">
        <f t="shared" si="211"/>
        <v>0</v>
      </c>
      <c r="R212" s="28">
        <f t="shared" si="211"/>
        <v>0</v>
      </c>
      <c r="S212" s="28">
        <f t="shared" si="211"/>
        <v>0</v>
      </c>
      <c r="T212" s="28">
        <f t="shared" si="211"/>
        <v>0</v>
      </c>
      <c r="U212" s="28">
        <f t="shared" si="211"/>
        <v>0</v>
      </c>
      <c r="V212" s="28">
        <f t="shared" si="211"/>
        <v>0</v>
      </c>
      <c r="W212" s="28">
        <f t="shared" si="211"/>
        <v>0</v>
      </c>
      <c r="X212" s="28">
        <f t="shared" si="211"/>
        <v>0</v>
      </c>
      <c r="Y212" s="28">
        <f t="shared" si="211"/>
        <v>0</v>
      </c>
      <c r="Z212" s="28">
        <f t="shared" si="211"/>
        <v>0</v>
      </c>
      <c r="AA212" s="28">
        <f t="shared" si="211"/>
        <v>0</v>
      </c>
      <c r="AB212" s="28">
        <f t="shared" si="211"/>
        <v>0</v>
      </c>
      <c r="AC212" s="28">
        <f t="shared" si="211"/>
        <v>0</v>
      </c>
      <c r="AD212" s="28">
        <f t="shared" si="211"/>
        <v>0</v>
      </c>
      <c r="AE212" s="28">
        <f t="shared" si="211"/>
        <v>0</v>
      </c>
      <c r="AF212" s="28">
        <f t="shared" si="211"/>
        <v>250</v>
      </c>
      <c r="AG212" s="28">
        <f t="shared" si="211"/>
        <v>0</v>
      </c>
      <c r="AH212" s="28">
        <f t="shared" si="211"/>
        <v>0</v>
      </c>
      <c r="AI212" s="28">
        <f t="shared" si="211"/>
        <v>1800</v>
      </c>
      <c r="AJ212" s="28">
        <f t="shared" si="211"/>
        <v>0</v>
      </c>
      <c r="AK212" s="28">
        <f t="shared" si="211"/>
        <v>0</v>
      </c>
      <c r="AL212" s="28">
        <f t="shared" si="211"/>
        <v>0</v>
      </c>
      <c r="AM212" s="28">
        <f t="shared" si="211"/>
        <v>0</v>
      </c>
      <c r="AN212" s="28">
        <f t="shared" si="211"/>
        <v>0</v>
      </c>
      <c r="AO212" s="28">
        <f t="shared" si="211"/>
        <v>0</v>
      </c>
      <c r="AP212" s="28">
        <f t="shared" si="211"/>
        <v>0</v>
      </c>
      <c r="AQ212" s="28">
        <f t="shared" si="211"/>
        <v>0</v>
      </c>
      <c r="AR212" s="28">
        <f t="shared" si="211"/>
        <v>0</v>
      </c>
      <c r="AS212" s="28">
        <f t="shared" si="211"/>
        <v>0</v>
      </c>
      <c r="AT212" s="28">
        <f t="shared" si="211"/>
        <v>0</v>
      </c>
    </row>
    <row r="213">
      <c r="A213" s="10" t="s">
        <v>223</v>
      </c>
      <c r="B213" s="11">
        <v>100.0</v>
      </c>
      <c r="C213" s="12" t="s">
        <v>35</v>
      </c>
      <c r="D213" s="15">
        <v>75220.0</v>
      </c>
      <c r="F213" s="15">
        <f>IFERROR(__xludf.DUMMYFUNCTION("""COMPUTED_VALUE"""),78737.0)</f>
        <v>78737</v>
      </c>
      <c r="G213" s="26">
        <f t="shared" si="2"/>
        <v>120</v>
      </c>
      <c r="J213" s="27">
        <f>IFERROR(__xludf.DUMMYFUNCTION("""COMPUTED_VALUE"""),78737.0)</f>
        <v>78737</v>
      </c>
      <c r="K213" s="28">
        <f t="shared" ref="K213:AT213" si="212">sumifs($B:$B,$D:$D,$J213,$C:$C,K$1)</f>
        <v>0</v>
      </c>
      <c r="L213" s="28">
        <f t="shared" si="212"/>
        <v>0</v>
      </c>
      <c r="M213" s="28">
        <f t="shared" si="212"/>
        <v>0</v>
      </c>
      <c r="N213" s="28">
        <f t="shared" si="212"/>
        <v>0</v>
      </c>
      <c r="O213" s="28">
        <f t="shared" si="212"/>
        <v>0</v>
      </c>
      <c r="P213" s="28">
        <f t="shared" si="212"/>
        <v>0</v>
      </c>
      <c r="Q213" s="28">
        <f t="shared" si="212"/>
        <v>0</v>
      </c>
      <c r="R213" s="28">
        <f t="shared" si="212"/>
        <v>0</v>
      </c>
      <c r="S213" s="28">
        <f t="shared" si="212"/>
        <v>0</v>
      </c>
      <c r="T213" s="28">
        <f t="shared" si="212"/>
        <v>0</v>
      </c>
      <c r="U213" s="28">
        <f t="shared" si="212"/>
        <v>0</v>
      </c>
      <c r="V213" s="28">
        <f t="shared" si="212"/>
        <v>0</v>
      </c>
      <c r="W213" s="28">
        <f t="shared" si="212"/>
        <v>0</v>
      </c>
      <c r="X213" s="28">
        <f t="shared" si="212"/>
        <v>0</v>
      </c>
      <c r="Y213" s="28">
        <f t="shared" si="212"/>
        <v>0</v>
      </c>
      <c r="Z213" s="28">
        <f t="shared" si="212"/>
        <v>0</v>
      </c>
      <c r="AA213" s="28">
        <f t="shared" si="212"/>
        <v>0</v>
      </c>
      <c r="AB213" s="28">
        <f t="shared" si="212"/>
        <v>0</v>
      </c>
      <c r="AC213" s="28">
        <f t="shared" si="212"/>
        <v>0</v>
      </c>
      <c r="AD213" s="28">
        <f t="shared" si="212"/>
        <v>0</v>
      </c>
      <c r="AE213" s="28">
        <f t="shared" si="212"/>
        <v>0</v>
      </c>
      <c r="AF213" s="28">
        <f t="shared" si="212"/>
        <v>120</v>
      </c>
      <c r="AG213" s="28">
        <f t="shared" si="212"/>
        <v>0</v>
      </c>
      <c r="AH213" s="28">
        <f t="shared" si="212"/>
        <v>0</v>
      </c>
      <c r="AI213" s="28">
        <f t="shared" si="212"/>
        <v>0</v>
      </c>
      <c r="AJ213" s="28">
        <f t="shared" si="212"/>
        <v>0</v>
      </c>
      <c r="AK213" s="28">
        <f t="shared" si="212"/>
        <v>0</v>
      </c>
      <c r="AL213" s="28">
        <f t="shared" si="212"/>
        <v>0</v>
      </c>
      <c r="AM213" s="28">
        <f t="shared" si="212"/>
        <v>0</v>
      </c>
      <c r="AN213" s="28">
        <f t="shared" si="212"/>
        <v>0</v>
      </c>
      <c r="AO213" s="28">
        <f t="shared" si="212"/>
        <v>0</v>
      </c>
      <c r="AP213" s="28">
        <f t="shared" si="212"/>
        <v>0</v>
      </c>
      <c r="AQ213" s="28">
        <f t="shared" si="212"/>
        <v>0</v>
      </c>
      <c r="AR213" s="28">
        <f t="shared" si="212"/>
        <v>0</v>
      </c>
      <c r="AS213" s="28">
        <f t="shared" si="212"/>
        <v>0</v>
      </c>
      <c r="AT213" s="28">
        <f t="shared" si="212"/>
        <v>0</v>
      </c>
    </row>
    <row r="214">
      <c r="A214" s="5"/>
      <c r="B214" s="6"/>
      <c r="C214" s="7"/>
      <c r="D214" s="15"/>
      <c r="F214" s="15">
        <f>IFERROR(__xludf.DUMMYFUNCTION("""COMPUTED_VALUE"""),76011.0)</f>
        <v>76011</v>
      </c>
      <c r="G214" s="26">
        <f t="shared" si="2"/>
        <v>1100</v>
      </c>
      <c r="J214" s="27">
        <f>IFERROR(__xludf.DUMMYFUNCTION("""COMPUTED_VALUE"""),76011.0)</f>
        <v>76011</v>
      </c>
      <c r="K214" s="28">
        <f t="shared" ref="K214:AT214" si="213">sumifs($B:$B,$D:$D,$J214,$C:$C,K$1)</f>
        <v>0</v>
      </c>
      <c r="L214" s="28">
        <f t="shared" si="213"/>
        <v>0</v>
      </c>
      <c r="M214" s="28">
        <f t="shared" si="213"/>
        <v>0</v>
      </c>
      <c r="N214" s="28">
        <f t="shared" si="213"/>
        <v>0</v>
      </c>
      <c r="O214" s="28">
        <f t="shared" si="213"/>
        <v>0</v>
      </c>
      <c r="P214" s="28">
        <f t="shared" si="213"/>
        <v>0</v>
      </c>
      <c r="Q214" s="28">
        <f t="shared" si="213"/>
        <v>0</v>
      </c>
      <c r="R214" s="28">
        <f t="shared" si="213"/>
        <v>0</v>
      </c>
      <c r="S214" s="28">
        <f t="shared" si="213"/>
        <v>0</v>
      </c>
      <c r="T214" s="28">
        <f t="shared" si="213"/>
        <v>0</v>
      </c>
      <c r="U214" s="28">
        <f t="shared" si="213"/>
        <v>0</v>
      </c>
      <c r="V214" s="28">
        <f t="shared" si="213"/>
        <v>0</v>
      </c>
      <c r="W214" s="28">
        <f t="shared" si="213"/>
        <v>0</v>
      </c>
      <c r="X214" s="28">
        <f t="shared" si="213"/>
        <v>0</v>
      </c>
      <c r="Y214" s="28">
        <f t="shared" si="213"/>
        <v>0</v>
      </c>
      <c r="Z214" s="28">
        <f t="shared" si="213"/>
        <v>0</v>
      </c>
      <c r="AA214" s="28">
        <f t="shared" si="213"/>
        <v>0</v>
      </c>
      <c r="AB214" s="28">
        <f t="shared" si="213"/>
        <v>0</v>
      </c>
      <c r="AC214" s="28">
        <f t="shared" si="213"/>
        <v>0</v>
      </c>
      <c r="AD214" s="28">
        <f t="shared" si="213"/>
        <v>0</v>
      </c>
      <c r="AE214" s="28">
        <f t="shared" si="213"/>
        <v>0</v>
      </c>
      <c r="AF214" s="28">
        <f t="shared" si="213"/>
        <v>100</v>
      </c>
      <c r="AG214" s="28">
        <f t="shared" si="213"/>
        <v>0</v>
      </c>
      <c r="AH214" s="28">
        <f t="shared" si="213"/>
        <v>0</v>
      </c>
      <c r="AI214" s="28">
        <f t="shared" si="213"/>
        <v>0</v>
      </c>
      <c r="AJ214" s="28">
        <f t="shared" si="213"/>
        <v>0</v>
      </c>
      <c r="AK214" s="28">
        <f t="shared" si="213"/>
        <v>1000</v>
      </c>
      <c r="AL214" s="28">
        <f t="shared" si="213"/>
        <v>0</v>
      </c>
      <c r="AM214" s="28">
        <f t="shared" si="213"/>
        <v>0</v>
      </c>
      <c r="AN214" s="28">
        <f t="shared" si="213"/>
        <v>0</v>
      </c>
      <c r="AO214" s="28">
        <f t="shared" si="213"/>
        <v>0</v>
      </c>
      <c r="AP214" s="28">
        <f t="shared" si="213"/>
        <v>0</v>
      </c>
      <c r="AQ214" s="28">
        <f t="shared" si="213"/>
        <v>0</v>
      </c>
      <c r="AR214" s="28">
        <f t="shared" si="213"/>
        <v>0</v>
      </c>
      <c r="AS214" s="28">
        <f t="shared" si="213"/>
        <v>0</v>
      </c>
      <c r="AT214" s="28">
        <f t="shared" si="213"/>
        <v>0</v>
      </c>
    </row>
    <row r="215">
      <c r="A215" s="10" t="s">
        <v>225</v>
      </c>
      <c r="B215" s="11">
        <v>1000.0</v>
      </c>
      <c r="C215" s="12" t="s">
        <v>35</v>
      </c>
      <c r="D215" s="15">
        <v>75201.0</v>
      </c>
      <c r="F215" s="15">
        <f>IFERROR(__xludf.DUMMYFUNCTION("""COMPUTED_VALUE"""),75022.0)</f>
        <v>75022</v>
      </c>
      <c r="G215" s="26">
        <f t="shared" si="2"/>
        <v>4551</v>
      </c>
      <c r="J215" s="27">
        <f>IFERROR(__xludf.DUMMYFUNCTION("""COMPUTED_VALUE"""),75022.0)</f>
        <v>75022</v>
      </c>
      <c r="K215" s="28">
        <f t="shared" ref="K215:AT215" si="214">sumifs($B:$B,$D:$D,$J215,$C:$C,K$1)</f>
        <v>0</v>
      </c>
      <c r="L215" s="28">
        <f t="shared" si="214"/>
        <v>0</v>
      </c>
      <c r="M215" s="28">
        <f t="shared" si="214"/>
        <v>0</v>
      </c>
      <c r="N215" s="28">
        <f t="shared" si="214"/>
        <v>0</v>
      </c>
      <c r="O215" s="28">
        <f t="shared" si="214"/>
        <v>0</v>
      </c>
      <c r="P215" s="28">
        <f t="shared" si="214"/>
        <v>0</v>
      </c>
      <c r="Q215" s="28">
        <f t="shared" si="214"/>
        <v>0</v>
      </c>
      <c r="R215" s="28">
        <f t="shared" si="214"/>
        <v>0</v>
      </c>
      <c r="S215" s="28">
        <f t="shared" si="214"/>
        <v>0</v>
      </c>
      <c r="T215" s="28">
        <f t="shared" si="214"/>
        <v>0</v>
      </c>
      <c r="U215" s="28">
        <f t="shared" si="214"/>
        <v>0</v>
      </c>
      <c r="V215" s="28">
        <f t="shared" si="214"/>
        <v>0</v>
      </c>
      <c r="W215" s="28">
        <f t="shared" si="214"/>
        <v>0</v>
      </c>
      <c r="X215" s="28">
        <f t="shared" si="214"/>
        <v>0</v>
      </c>
      <c r="Y215" s="28">
        <f t="shared" si="214"/>
        <v>0</v>
      </c>
      <c r="Z215" s="28">
        <f t="shared" si="214"/>
        <v>0</v>
      </c>
      <c r="AA215" s="28">
        <f t="shared" si="214"/>
        <v>51</v>
      </c>
      <c r="AB215" s="28">
        <f t="shared" si="214"/>
        <v>0</v>
      </c>
      <c r="AC215" s="28">
        <f t="shared" si="214"/>
        <v>500</v>
      </c>
      <c r="AD215" s="28">
        <f t="shared" si="214"/>
        <v>0</v>
      </c>
      <c r="AE215" s="28">
        <f t="shared" si="214"/>
        <v>0</v>
      </c>
      <c r="AF215" s="28">
        <f t="shared" si="214"/>
        <v>0</v>
      </c>
      <c r="AG215" s="28">
        <f t="shared" si="214"/>
        <v>0</v>
      </c>
      <c r="AH215" s="28">
        <f t="shared" si="214"/>
        <v>0</v>
      </c>
      <c r="AI215" s="28">
        <f t="shared" si="214"/>
        <v>4000</v>
      </c>
      <c r="AJ215" s="28">
        <f t="shared" si="214"/>
        <v>0</v>
      </c>
      <c r="AK215" s="28">
        <f t="shared" si="214"/>
        <v>0</v>
      </c>
      <c r="AL215" s="28">
        <f t="shared" si="214"/>
        <v>0</v>
      </c>
      <c r="AM215" s="28">
        <f t="shared" si="214"/>
        <v>0</v>
      </c>
      <c r="AN215" s="28">
        <f t="shared" si="214"/>
        <v>0</v>
      </c>
      <c r="AO215" s="28">
        <f t="shared" si="214"/>
        <v>0</v>
      </c>
      <c r="AP215" s="28">
        <f t="shared" si="214"/>
        <v>0</v>
      </c>
      <c r="AQ215" s="28">
        <f t="shared" si="214"/>
        <v>0</v>
      </c>
      <c r="AR215" s="28">
        <f t="shared" si="214"/>
        <v>0</v>
      </c>
      <c r="AS215" s="28">
        <f t="shared" si="214"/>
        <v>0</v>
      </c>
      <c r="AT215" s="28">
        <f t="shared" si="214"/>
        <v>0</v>
      </c>
    </row>
    <row r="216">
      <c r="A216" s="5" t="s">
        <v>226</v>
      </c>
      <c r="B216" s="6">
        <v>50.0</v>
      </c>
      <c r="C216" s="7" t="s">
        <v>35</v>
      </c>
      <c r="D216" s="15">
        <v>75219.0</v>
      </c>
      <c r="F216" s="15">
        <f>IFERROR(__xludf.DUMMYFUNCTION("""COMPUTED_VALUE"""),76133.0)</f>
        <v>76133</v>
      </c>
      <c r="G216" s="26">
        <f t="shared" si="2"/>
        <v>20</v>
      </c>
      <c r="J216" s="27">
        <f>IFERROR(__xludf.DUMMYFUNCTION("""COMPUTED_VALUE"""),76133.0)</f>
        <v>76133</v>
      </c>
      <c r="K216" s="28">
        <f t="shared" ref="K216:AT216" si="215">sumifs($B:$B,$D:$D,$J216,$C:$C,K$1)</f>
        <v>0</v>
      </c>
      <c r="L216" s="28">
        <f t="shared" si="215"/>
        <v>0</v>
      </c>
      <c r="M216" s="28">
        <f t="shared" si="215"/>
        <v>0</v>
      </c>
      <c r="N216" s="28">
        <f t="shared" si="215"/>
        <v>0</v>
      </c>
      <c r="O216" s="28">
        <f t="shared" si="215"/>
        <v>0</v>
      </c>
      <c r="P216" s="28">
        <f t="shared" si="215"/>
        <v>0</v>
      </c>
      <c r="Q216" s="28">
        <f t="shared" si="215"/>
        <v>0</v>
      </c>
      <c r="R216" s="28">
        <f t="shared" si="215"/>
        <v>0</v>
      </c>
      <c r="S216" s="28">
        <f t="shared" si="215"/>
        <v>0</v>
      </c>
      <c r="T216" s="28">
        <f t="shared" si="215"/>
        <v>0</v>
      </c>
      <c r="U216" s="28">
        <f t="shared" si="215"/>
        <v>0</v>
      </c>
      <c r="V216" s="28">
        <f t="shared" si="215"/>
        <v>0</v>
      </c>
      <c r="W216" s="28">
        <f t="shared" si="215"/>
        <v>0</v>
      </c>
      <c r="X216" s="28">
        <f t="shared" si="215"/>
        <v>0</v>
      </c>
      <c r="Y216" s="28">
        <f t="shared" si="215"/>
        <v>0</v>
      </c>
      <c r="Z216" s="28">
        <f t="shared" si="215"/>
        <v>0</v>
      </c>
      <c r="AA216" s="28">
        <f t="shared" si="215"/>
        <v>0</v>
      </c>
      <c r="AB216" s="28">
        <f t="shared" si="215"/>
        <v>0</v>
      </c>
      <c r="AC216" s="28">
        <f t="shared" si="215"/>
        <v>0</v>
      </c>
      <c r="AD216" s="28">
        <f t="shared" si="215"/>
        <v>0</v>
      </c>
      <c r="AE216" s="28">
        <f t="shared" si="215"/>
        <v>0</v>
      </c>
      <c r="AF216" s="28">
        <f t="shared" si="215"/>
        <v>0</v>
      </c>
      <c r="AG216" s="28">
        <f t="shared" si="215"/>
        <v>0</v>
      </c>
      <c r="AH216" s="28">
        <f t="shared" si="215"/>
        <v>0</v>
      </c>
      <c r="AI216" s="28">
        <f t="shared" si="215"/>
        <v>0</v>
      </c>
      <c r="AJ216" s="28">
        <f t="shared" si="215"/>
        <v>0</v>
      </c>
      <c r="AK216" s="28">
        <f t="shared" si="215"/>
        <v>0</v>
      </c>
      <c r="AL216" s="28">
        <f t="shared" si="215"/>
        <v>0</v>
      </c>
      <c r="AM216" s="28">
        <f t="shared" si="215"/>
        <v>0</v>
      </c>
      <c r="AN216" s="28">
        <f t="shared" si="215"/>
        <v>0</v>
      </c>
      <c r="AO216" s="28">
        <f t="shared" si="215"/>
        <v>0</v>
      </c>
      <c r="AP216" s="28">
        <f t="shared" si="215"/>
        <v>0</v>
      </c>
      <c r="AQ216" s="28">
        <f t="shared" si="215"/>
        <v>0</v>
      </c>
      <c r="AR216" s="28">
        <f t="shared" si="215"/>
        <v>20</v>
      </c>
      <c r="AS216" s="28">
        <f t="shared" si="215"/>
        <v>0</v>
      </c>
      <c r="AT216" s="28">
        <f t="shared" si="215"/>
        <v>0</v>
      </c>
    </row>
    <row r="217">
      <c r="A217" s="10" t="s">
        <v>227</v>
      </c>
      <c r="B217" s="11">
        <v>50.0</v>
      </c>
      <c r="C217" s="12" t="s">
        <v>35</v>
      </c>
      <c r="D217" s="15">
        <v>75207.0</v>
      </c>
      <c r="F217" s="15">
        <f>IFERROR(__xludf.DUMMYFUNCTION("""COMPUTED_VALUE"""),79707.0)</f>
        <v>79707</v>
      </c>
      <c r="G217" s="26">
        <f t="shared" si="2"/>
        <v>5000</v>
      </c>
      <c r="J217" s="27">
        <f>IFERROR(__xludf.DUMMYFUNCTION("""COMPUTED_VALUE"""),79707.0)</f>
        <v>79707</v>
      </c>
      <c r="K217" s="28">
        <f t="shared" ref="K217:AT217" si="216">sumifs($B:$B,$D:$D,$J217,$C:$C,K$1)</f>
        <v>0</v>
      </c>
      <c r="L217" s="28">
        <f t="shared" si="216"/>
        <v>0</v>
      </c>
      <c r="M217" s="28">
        <f t="shared" si="216"/>
        <v>0</v>
      </c>
      <c r="N217" s="28">
        <f t="shared" si="216"/>
        <v>0</v>
      </c>
      <c r="O217" s="28">
        <f t="shared" si="216"/>
        <v>0</v>
      </c>
      <c r="P217" s="28">
        <f t="shared" si="216"/>
        <v>0</v>
      </c>
      <c r="Q217" s="28">
        <f t="shared" si="216"/>
        <v>0</v>
      </c>
      <c r="R217" s="28">
        <f t="shared" si="216"/>
        <v>0</v>
      </c>
      <c r="S217" s="28">
        <f t="shared" si="216"/>
        <v>0</v>
      </c>
      <c r="T217" s="28">
        <f t="shared" si="216"/>
        <v>0</v>
      </c>
      <c r="U217" s="28">
        <f t="shared" si="216"/>
        <v>0</v>
      </c>
      <c r="V217" s="28">
        <f t="shared" si="216"/>
        <v>0</v>
      </c>
      <c r="W217" s="28">
        <f t="shared" si="216"/>
        <v>0</v>
      </c>
      <c r="X217" s="28">
        <f t="shared" si="216"/>
        <v>0</v>
      </c>
      <c r="Y217" s="28">
        <f t="shared" si="216"/>
        <v>0</v>
      </c>
      <c r="Z217" s="28">
        <f t="shared" si="216"/>
        <v>0</v>
      </c>
      <c r="AA217" s="28">
        <f t="shared" si="216"/>
        <v>0</v>
      </c>
      <c r="AB217" s="28">
        <f t="shared" si="216"/>
        <v>0</v>
      </c>
      <c r="AC217" s="28">
        <f t="shared" si="216"/>
        <v>0</v>
      </c>
      <c r="AD217" s="28">
        <f t="shared" si="216"/>
        <v>0</v>
      </c>
      <c r="AE217" s="28">
        <f t="shared" si="216"/>
        <v>0</v>
      </c>
      <c r="AF217" s="28">
        <f t="shared" si="216"/>
        <v>5000</v>
      </c>
      <c r="AG217" s="28">
        <f t="shared" si="216"/>
        <v>0</v>
      </c>
      <c r="AH217" s="28">
        <f t="shared" si="216"/>
        <v>0</v>
      </c>
      <c r="AI217" s="28">
        <f t="shared" si="216"/>
        <v>0</v>
      </c>
      <c r="AJ217" s="28">
        <f t="shared" si="216"/>
        <v>0</v>
      </c>
      <c r="AK217" s="28">
        <f t="shared" si="216"/>
        <v>0</v>
      </c>
      <c r="AL217" s="28">
        <f t="shared" si="216"/>
        <v>0</v>
      </c>
      <c r="AM217" s="28">
        <f t="shared" si="216"/>
        <v>0</v>
      </c>
      <c r="AN217" s="28">
        <f t="shared" si="216"/>
        <v>0</v>
      </c>
      <c r="AO217" s="28">
        <f t="shared" si="216"/>
        <v>0</v>
      </c>
      <c r="AP217" s="28">
        <f t="shared" si="216"/>
        <v>0</v>
      </c>
      <c r="AQ217" s="28">
        <f t="shared" si="216"/>
        <v>0</v>
      </c>
      <c r="AR217" s="28">
        <f t="shared" si="216"/>
        <v>0</v>
      </c>
      <c r="AS217" s="28">
        <f t="shared" si="216"/>
        <v>0</v>
      </c>
      <c r="AT217" s="28">
        <f t="shared" si="216"/>
        <v>0</v>
      </c>
    </row>
    <row r="218">
      <c r="A218" s="5" t="s">
        <v>228</v>
      </c>
      <c r="B218" s="6">
        <v>50.0</v>
      </c>
      <c r="C218" s="7" t="s">
        <v>35</v>
      </c>
      <c r="D218" s="15">
        <v>75203.0</v>
      </c>
      <c r="F218" s="15">
        <f>IFERROR(__xludf.DUMMYFUNCTION("""COMPUTED_VALUE"""),75094.0)</f>
        <v>75094</v>
      </c>
      <c r="G218" s="26">
        <f t="shared" si="2"/>
        <v>1000</v>
      </c>
      <c r="J218" s="27">
        <f>IFERROR(__xludf.DUMMYFUNCTION("""COMPUTED_VALUE"""),75094.0)</f>
        <v>75094</v>
      </c>
      <c r="K218" s="28">
        <f t="shared" ref="K218:AT218" si="217">sumifs($B:$B,$D:$D,$J218,$C:$C,K$1)</f>
        <v>0</v>
      </c>
      <c r="L218" s="28">
        <f t="shared" si="217"/>
        <v>0</v>
      </c>
      <c r="M218" s="28">
        <f t="shared" si="217"/>
        <v>0</v>
      </c>
      <c r="N218" s="28">
        <f t="shared" si="217"/>
        <v>0</v>
      </c>
      <c r="O218" s="28">
        <f t="shared" si="217"/>
        <v>0</v>
      </c>
      <c r="P218" s="28">
        <f t="shared" si="217"/>
        <v>0</v>
      </c>
      <c r="Q218" s="28">
        <f t="shared" si="217"/>
        <v>0</v>
      </c>
      <c r="R218" s="28">
        <f t="shared" si="217"/>
        <v>0</v>
      </c>
      <c r="S218" s="28">
        <f t="shared" si="217"/>
        <v>0</v>
      </c>
      <c r="T218" s="28">
        <f t="shared" si="217"/>
        <v>0</v>
      </c>
      <c r="U218" s="28">
        <f t="shared" si="217"/>
        <v>0</v>
      </c>
      <c r="V218" s="28">
        <f t="shared" si="217"/>
        <v>0</v>
      </c>
      <c r="W218" s="28">
        <f t="shared" si="217"/>
        <v>0</v>
      </c>
      <c r="X218" s="28">
        <f t="shared" si="217"/>
        <v>0</v>
      </c>
      <c r="Y218" s="28">
        <f t="shared" si="217"/>
        <v>0</v>
      </c>
      <c r="Z218" s="28">
        <f t="shared" si="217"/>
        <v>0</v>
      </c>
      <c r="AA218" s="28">
        <f t="shared" si="217"/>
        <v>0</v>
      </c>
      <c r="AB218" s="28">
        <f t="shared" si="217"/>
        <v>0</v>
      </c>
      <c r="AC218" s="28">
        <f t="shared" si="217"/>
        <v>0</v>
      </c>
      <c r="AD218" s="28">
        <f t="shared" si="217"/>
        <v>0</v>
      </c>
      <c r="AE218" s="28">
        <f t="shared" si="217"/>
        <v>0</v>
      </c>
      <c r="AF218" s="28">
        <f t="shared" si="217"/>
        <v>0</v>
      </c>
      <c r="AG218" s="28">
        <f t="shared" si="217"/>
        <v>0</v>
      </c>
      <c r="AH218" s="28">
        <f t="shared" si="217"/>
        <v>0</v>
      </c>
      <c r="AI218" s="28">
        <f t="shared" si="217"/>
        <v>0</v>
      </c>
      <c r="AJ218" s="28">
        <f t="shared" si="217"/>
        <v>0</v>
      </c>
      <c r="AK218" s="28">
        <f t="shared" si="217"/>
        <v>1000</v>
      </c>
      <c r="AL218" s="28">
        <f t="shared" si="217"/>
        <v>0</v>
      </c>
      <c r="AM218" s="28">
        <f t="shared" si="217"/>
        <v>0</v>
      </c>
      <c r="AN218" s="28">
        <f t="shared" si="217"/>
        <v>0</v>
      </c>
      <c r="AO218" s="28">
        <f t="shared" si="217"/>
        <v>0</v>
      </c>
      <c r="AP218" s="28">
        <f t="shared" si="217"/>
        <v>0</v>
      </c>
      <c r="AQ218" s="28">
        <f t="shared" si="217"/>
        <v>0</v>
      </c>
      <c r="AR218" s="28">
        <f t="shared" si="217"/>
        <v>0</v>
      </c>
      <c r="AS218" s="28">
        <f t="shared" si="217"/>
        <v>0</v>
      </c>
      <c r="AT218" s="28">
        <f t="shared" si="217"/>
        <v>0</v>
      </c>
    </row>
    <row r="219">
      <c r="A219" s="10" t="s">
        <v>229</v>
      </c>
      <c r="B219" s="11">
        <v>50.0</v>
      </c>
      <c r="C219" s="12" t="s">
        <v>35</v>
      </c>
      <c r="D219" s="15">
        <v>75208.0</v>
      </c>
      <c r="F219" s="15">
        <f>IFERROR(__xludf.DUMMYFUNCTION("""COMPUTED_VALUE"""),77008.0)</f>
        <v>77008</v>
      </c>
      <c r="G219" s="26">
        <f t="shared" si="2"/>
        <v>550</v>
      </c>
      <c r="J219" s="27">
        <f>IFERROR(__xludf.DUMMYFUNCTION("""COMPUTED_VALUE"""),77008.0)</f>
        <v>77008</v>
      </c>
      <c r="K219" s="28">
        <f t="shared" ref="K219:AT219" si="218">sumifs($B:$B,$D:$D,$J219,$C:$C,K$1)</f>
        <v>0</v>
      </c>
      <c r="L219" s="28">
        <f t="shared" si="218"/>
        <v>0</v>
      </c>
      <c r="M219" s="28">
        <f t="shared" si="218"/>
        <v>0</v>
      </c>
      <c r="N219" s="28">
        <f t="shared" si="218"/>
        <v>0</v>
      </c>
      <c r="O219" s="28">
        <f t="shared" si="218"/>
        <v>0</v>
      </c>
      <c r="P219" s="28">
        <f t="shared" si="218"/>
        <v>0</v>
      </c>
      <c r="Q219" s="28">
        <f t="shared" si="218"/>
        <v>0</v>
      </c>
      <c r="R219" s="28">
        <f t="shared" si="218"/>
        <v>0</v>
      </c>
      <c r="S219" s="28">
        <f t="shared" si="218"/>
        <v>0</v>
      </c>
      <c r="T219" s="28">
        <f t="shared" si="218"/>
        <v>0</v>
      </c>
      <c r="U219" s="28">
        <f t="shared" si="218"/>
        <v>0</v>
      </c>
      <c r="V219" s="28">
        <f t="shared" si="218"/>
        <v>0</v>
      </c>
      <c r="W219" s="28">
        <f t="shared" si="218"/>
        <v>0</v>
      </c>
      <c r="X219" s="28">
        <f t="shared" si="218"/>
        <v>0</v>
      </c>
      <c r="Y219" s="28">
        <f t="shared" si="218"/>
        <v>0</v>
      </c>
      <c r="Z219" s="28">
        <f t="shared" si="218"/>
        <v>0</v>
      </c>
      <c r="AA219" s="28">
        <f t="shared" si="218"/>
        <v>0</v>
      </c>
      <c r="AB219" s="28">
        <f t="shared" si="218"/>
        <v>0</v>
      </c>
      <c r="AC219" s="28">
        <f t="shared" si="218"/>
        <v>0</v>
      </c>
      <c r="AD219" s="28">
        <f t="shared" si="218"/>
        <v>0</v>
      </c>
      <c r="AE219" s="28">
        <f t="shared" si="218"/>
        <v>0</v>
      </c>
      <c r="AF219" s="28">
        <f t="shared" si="218"/>
        <v>0</v>
      </c>
      <c r="AG219" s="28">
        <f t="shared" si="218"/>
        <v>0</v>
      </c>
      <c r="AH219" s="28">
        <f t="shared" si="218"/>
        <v>0</v>
      </c>
      <c r="AI219" s="28">
        <f t="shared" si="218"/>
        <v>550</v>
      </c>
      <c r="AJ219" s="28">
        <f t="shared" si="218"/>
        <v>0</v>
      </c>
      <c r="AK219" s="28">
        <f t="shared" si="218"/>
        <v>0</v>
      </c>
      <c r="AL219" s="28">
        <f t="shared" si="218"/>
        <v>0</v>
      </c>
      <c r="AM219" s="28">
        <f t="shared" si="218"/>
        <v>0</v>
      </c>
      <c r="AN219" s="28">
        <f t="shared" si="218"/>
        <v>0</v>
      </c>
      <c r="AO219" s="28">
        <f t="shared" si="218"/>
        <v>0</v>
      </c>
      <c r="AP219" s="28">
        <f t="shared" si="218"/>
        <v>0</v>
      </c>
      <c r="AQ219" s="28">
        <f t="shared" si="218"/>
        <v>0</v>
      </c>
      <c r="AR219" s="28">
        <f t="shared" si="218"/>
        <v>0</v>
      </c>
      <c r="AS219" s="28">
        <f t="shared" si="218"/>
        <v>0</v>
      </c>
      <c r="AT219" s="28">
        <f t="shared" si="218"/>
        <v>0</v>
      </c>
    </row>
    <row r="220">
      <c r="A220" s="5" t="s">
        <v>230</v>
      </c>
      <c r="B220" s="6">
        <v>100.0</v>
      </c>
      <c r="C220" s="7" t="s">
        <v>35</v>
      </c>
      <c r="D220" s="15">
        <v>75214.0</v>
      </c>
      <c r="F220" s="15">
        <f>IFERROR(__xludf.DUMMYFUNCTION("""COMPUTED_VALUE"""),77057.0)</f>
        <v>77057</v>
      </c>
      <c r="G220" s="26">
        <f t="shared" si="2"/>
        <v>500</v>
      </c>
      <c r="J220" s="27">
        <f>IFERROR(__xludf.DUMMYFUNCTION("""COMPUTED_VALUE"""),77057.0)</f>
        <v>77057</v>
      </c>
      <c r="K220" s="28">
        <f t="shared" ref="K220:AT220" si="219">sumifs($B:$B,$D:$D,$J220,$C:$C,K$1)</f>
        <v>0</v>
      </c>
      <c r="L220" s="28">
        <f t="shared" si="219"/>
        <v>0</v>
      </c>
      <c r="M220" s="28">
        <f t="shared" si="219"/>
        <v>0</v>
      </c>
      <c r="N220" s="28">
        <f t="shared" si="219"/>
        <v>0</v>
      </c>
      <c r="O220" s="28">
        <f t="shared" si="219"/>
        <v>0</v>
      </c>
      <c r="P220" s="28">
        <f t="shared" si="219"/>
        <v>0</v>
      </c>
      <c r="Q220" s="28">
        <f t="shared" si="219"/>
        <v>0</v>
      </c>
      <c r="R220" s="28">
        <f t="shared" si="219"/>
        <v>0</v>
      </c>
      <c r="S220" s="28">
        <f t="shared" si="219"/>
        <v>0</v>
      </c>
      <c r="T220" s="28">
        <f t="shared" si="219"/>
        <v>0</v>
      </c>
      <c r="U220" s="28">
        <f t="shared" si="219"/>
        <v>0</v>
      </c>
      <c r="V220" s="28">
        <f t="shared" si="219"/>
        <v>0</v>
      </c>
      <c r="W220" s="28">
        <f t="shared" si="219"/>
        <v>0</v>
      </c>
      <c r="X220" s="28">
        <f t="shared" si="219"/>
        <v>0</v>
      </c>
      <c r="Y220" s="28">
        <f t="shared" si="219"/>
        <v>0</v>
      </c>
      <c r="Z220" s="28">
        <f t="shared" si="219"/>
        <v>0</v>
      </c>
      <c r="AA220" s="28">
        <f t="shared" si="219"/>
        <v>0</v>
      </c>
      <c r="AB220" s="28">
        <f t="shared" si="219"/>
        <v>0</v>
      </c>
      <c r="AC220" s="28">
        <f t="shared" si="219"/>
        <v>0</v>
      </c>
      <c r="AD220" s="28">
        <f t="shared" si="219"/>
        <v>0</v>
      </c>
      <c r="AE220" s="28">
        <f t="shared" si="219"/>
        <v>0</v>
      </c>
      <c r="AF220" s="28">
        <f t="shared" si="219"/>
        <v>0</v>
      </c>
      <c r="AG220" s="28">
        <f t="shared" si="219"/>
        <v>0</v>
      </c>
      <c r="AH220" s="28">
        <f t="shared" si="219"/>
        <v>0</v>
      </c>
      <c r="AI220" s="28">
        <f t="shared" si="219"/>
        <v>500</v>
      </c>
      <c r="AJ220" s="28">
        <f t="shared" si="219"/>
        <v>0</v>
      </c>
      <c r="AK220" s="28">
        <f t="shared" si="219"/>
        <v>0</v>
      </c>
      <c r="AL220" s="28">
        <f t="shared" si="219"/>
        <v>0</v>
      </c>
      <c r="AM220" s="28">
        <f t="shared" si="219"/>
        <v>0</v>
      </c>
      <c r="AN220" s="28">
        <f t="shared" si="219"/>
        <v>0</v>
      </c>
      <c r="AO220" s="28">
        <f t="shared" si="219"/>
        <v>0</v>
      </c>
      <c r="AP220" s="28">
        <f t="shared" si="219"/>
        <v>0</v>
      </c>
      <c r="AQ220" s="28">
        <f t="shared" si="219"/>
        <v>0</v>
      </c>
      <c r="AR220" s="28">
        <f t="shared" si="219"/>
        <v>0</v>
      </c>
      <c r="AS220" s="28">
        <f t="shared" si="219"/>
        <v>0</v>
      </c>
      <c r="AT220" s="28">
        <f t="shared" si="219"/>
        <v>0</v>
      </c>
    </row>
    <row r="221">
      <c r="A221" s="10" t="s">
        <v>219</v>
      </c>
      <c r="B221" s="11">
        <v>27.0</v>
      </c>
      <c r="C221" s="12" t="s">
        <v>35</v>
      </c>
      <c r="D221" s="15">
        <v>75220.0</v>
      </c>
      <c r="F221" s="15">
        <f>IFERROR(__xludf.DUMMYFUNCTION("""COMPUTED_VALUE"""),77002.0)</f>
        <v>77002</v>
      </c>
      <c r="G221" s="26">
        <f t="shared" si="2"/>
        <v>13550</v>
      </c>
      <c r="J221" s="27">
        <f>IFERROR(__xludf.DUMMYFUNCTION("""COMPUTED_VALUE"""),77002.0)</f>
        <v>77002</v>
      </c>
      <c r="K221" s="28">
        <f t="shared" ref="K221:AT221" si="220">sumifs($B:$B,$D:$D,$J221,$C:$C,K$1)</f>
        <v>0</v>
      </c>
      <c r="L221" s="28">
        <f t="shared" si="220"/>
        <v>0</v>
      </c>
      <c r="M221" s="28">
        <f t="shared" si="220"/>
        <v>0</v>
      </c>
      <c r="N221" s="28">
        <f t="shared" si="220"/>
        <v>0</v>
      </c>
      <c r="O221" s="28">
        <f t="shared" si="220"/>
        <v>0</v>
      </c>
      <c r="P221" s="28">
        <f t="shared" si="220"/>
        <v>0</v>
      </c>
      <c r="Q221" s="28">
        <f t="shared" si="220"/>
        <v>0</v>
      </c>
      <c r="R221" s="28">
        <f t="shared" si="220"/>
        <v>0</v>
      </c>
      <c r="S221" s="28">
        <f t="shared" si="220"/>
        <v>0</v>
      </c>
      <c r="T221" s="28">
        <f t="shared" si="220"/>
        <v>0</v>
      </c>
      <c r="U221" s="28">
        <f t="shared" si="220"/>
        <v>0</v>
      </c>
      <c r="V221" s="28">
        <f t="shared" si="220"/>
        <v>0</v>
      </c>
      <c r="W221" s="28">
        <f t="shared" si="220"/>
        <v>0</v>
      </c>
      <c r="X221" s="28">
        <f t="shared" si="220"/>
        <v>0</v>
      </c>
      <c r="Y221" s="28">
        <f t="shared" si="220"/>
        <v>0</v>
      </c>
      <c r="Z221" s="28">
        <f t="shared" si="220"/>
        <v>0</v>
      </c>
      <c r="AA221" s="28">
        <f t="shared" si="220"/>
        <v>0</v>
      </c>
      <c r="AB221" s="28">
        <f t="shared" si="220"/>
        <v>0</v>
      </c>
      <c r="AC221" s="28">
        <f t="shared" si="220"/>
        <v>0</v>
      </c>
      <c r="AD221" s="28">
        <f t="shared" si="220"/>
        <v>0</v>
      </c>
      <c r="AE221" s="28">
        <f t="shared" si="220"/>
        <v>0</v>
      </c>
      <c r="AF221" s="28">
        <f t="shared" si="220"/>
        <v>0</v>
      </c>
      <c r="AG221" s="28">
        <f t="shared" si="220"/>
        <v>0</v>
      </c>
      <c r="AH221" s="28">
        <f t="shared" si="220"/>
        <v>0</v>
      </c>
      <c r="AI221" s="28">
        <f t="shared" si="220"/>
        <v>13550</v>
      </c>
      <c r="AJ221" s="28">
        <f t="shared" si="220"/>
        <v>0</v>
      </c>
      <c r="AK221" s="28">
        <f t="shared" si="220"/>
        <v>0</v>
      </c>
      <c r="AL221" s="28">
        <f t="shared" si="220"/>
        <v>0</v>
      </c>
      <c r="AM221" s="28">
        <f t="shared" si="220"/>
        <v>0</v>
      </c>
      <c r="AN221" s="28">
        <f t="shared" si="220"/>
        <v>0</v>
      </c>
      <c r="AO221" s="28">
        <f t="shared" si="220"/>
        <v>0</v>
      </c>
      <c r="AP221" s="28">
        <f t="shared" si="220"/>
        <v>0</v>
      </c>
      <c r="AQ221" s="28">
        <f t="shared" si="220"/>
        <v>0</v>
      </c>
      <c r="AR221" s="28">
        <f t="shared" si="220"/>
        <v>0</v>
      </c>
      <c r="AS221" s="28">
        <f t="shared" si="220"/>
        <v>0</v>
      </c>
      <c r="AT221" s="28">
        <f t="shared" si="220"/>
        <v>0</v>
      </c>
    </row>
    <row r="222">
      <c r="A222" s="5" t="s">
        <v>231</v>
      </c>
      <c r="B222" s="6">
        <v>200.0</v>
      </c>
      <c r="C222" s="7" t="s">
        <v>35</v>
      </c>
      <c r="D222" s="15">
        <v>75220.0</v>
      </c>
      <c r="F222" s="15">
        <f>IFERROR(__xludf.DUMMYFUNCTION("""COMPUTED_VALUE"""),75182.0)</f>
        <v>75182</v>
      </c>
      <c r="G222" s="26">
        <f t="shared" si="2"/>
        <v>2100</v>
      </c>
      <c r="J222" s="27">
        <f>IFERROR(__xludf.DUMMYFUNCTION("""COMPUTED_VALUE"""),75182.0)</f>
        <v>75182</v>
      </c>
      <c r="K222" s="28">
        <f t="shared" ref="K222:AT222" si="221">sumifs($B:$B,$D:$D,$J222,$C:$C,K$1)</f>
        <v>0</v>
      </c>
      <c r="L222" s="28">
        <f t="shared" si="221"/>
        <v>0</v>
      </c>
      <c r="M222" s="28">
        <f t="shared" si="221"/>
        <v>0</v>
      </c>
      <c r="N222" s="28">
        <f t="shared" si="221"/>
        <v>0</v>
      </c>
      <c r="O222" s="28">
        <f t="shared" si="221"/>
        <v>0</v>
      </c>
      <c r="P222" s="28">
        <f t="shared" si="221"/>
        <v>0</v>
      </c>
      <c r="Q222" s="28">
        <f t="shared" si="221"/>
        <v>0</v>
      </c>
      <c r="R222" s="28">
        <f t="shared" si="221"/>
        <v>0</v>
      </c>
      <c r="S222" s="28">
        <f t="shared" si="221"/>
        <v>0</v>
      </c>
      <c r="T222" s="28">
        <f t="shared" si="221"/>
        <v>0</v>
      </c>
      <c r="U222" s="28">
        <f t="shared" si="221"/>
        <v>0</v>
      </c>
      <c r="V222" s="28">
        <f t="shared" si="221"/>
        <v>0</v>
      </c>
      <c r="W222" s="28">
        <f t="shared" si="221"/>
        <v>0</v>
      </c>
      <c r="X222" s="28">
        <f t="shared" si="221"/>
        <v>0</v>
      </c>
      <c r="Y222" s="28">
        <f t="shared" si="221"/>
        <v>0</v>
      </c>
      <c r="Z222" s="28">
        <f t="shared" si="221"/>
        <v>0</v>
      </c>
      <c r="AA222" s="28">
        <f t="shared" si="221"/>
        <v>0</v>
      </c>
      <c r="AB222" s="28">
        <f t="shared" si="221"/>
        <v>0</v>
      </c>
      <c r="AC222" s="28">
        <f t="shared" si="221"/>
        <v>0</v>
      </c>
      <c r="AD222" s="28">
        <f t="shared" si="221"/>
        <v>0</v>
      </c>
      <c r="AE222" s="28">
        <f t="shared" si="221"/>
        <v>0</v>
      </c>
      <c r="AF222" s="28">
        <f t="shared" si="221"/>
        <v>100</v>
      </c>
      <c r="AG222" s="28">
        <f t="shared" si="221"/>
        <v>0</v>
      </c>
      <c r="AH222" s="28">
        <f t="shared" si="221"/>
        <v>0</v>
      </c>
      <c r="AI222" s="28">
        <f t="shared" si="221"/>
        <v>2000</v>
      </c>
      <c r="AJ222" s="28">
        <f t="shared" si="221"/>
        <v>0</v>
      </c>
      <c r="AK222" s="28">
        <f t="shared" si="221"/>
        <v>0</v>
      </c>
      <c r="AL222" s="28">
        <f t="shared" si="221"/>
        <v>0</v>
      </c>
      <c r="AM222" s="28">
        <f t="shared" si="221"/>
        <v>0</v>
      </c>
      <c r="AN222" s="28">
        <f t="shared" si="221"/>
        <v>0</v>
      </c>
      <c r="AO222" s="28">
        <f t="shared" si="221"/>
        <v>0</v>
      </c>
      <c r="AP222" s="28">
        <f t="shared" si="221"/>
        <v>0</v>
      </c>
      <c r="AQ222" s="28">
        <f t="shared" si="221"/>
        <v>0</v>
      </c>
      <c r="AR222" s="28">
        <f t="shared" si="221"/>
        <v>0</v>
      </c>
      <c r="AS222" s="28">
        <f t="shared" si="221"/>
        <v>0</v>
      </c>
      <c r="AT222" s="28">
        <f t="shared" si="221"/>
        <v>0</v>
      </c>
    </row>
    <row r="223">
      <c r="A223" s="10" t="s">
        <v>232</v>
      </c>
      <c r="B223" s="11">
        <v>27.0</v>
      </c>
      <c r="C223" s="12" t="s">
        <v>35</v>
      </c>
      <c r="D223" s="15">
        <v>75220.0</v>
      </c>
      <c r="F223" s="15">
        <f>IFERROR(__xludf.DUMMYFUNCTION("""COMPUTED_VALUE"""),76120.0)</f>
        <v>76120</v>
      </c>
      <c r="G223" s="26">
        <f t="shared" si="2"/>
        <v>5250</v>
      </c>
      <c r="J223" s="27">
        <f>IFERROR(__xludf.DUMMYFUNCTION("""COMPUTED_VALUE"""),76120.0)</f>
        <v>76120</v>
      </c>
      <c r="K223" s="28">
        <f t="shared" ref="K223:AT223" si="222">sumifs($B:$B,$D:$D,$J223,$C:$C,K$1)</f>
        <v>0</v>
      </c>
      <c r="L223" s="28">
        <f t="shared" si="222"/>
        <v>0</v>
      </c>
      <c r="M223" s="28">
        <f t="shared" si="222"/>
        <v>0</v>
      </c>
      <c r="N223" s="28">
        <f t="shared" si="222"/>
        <v>0</v>
      </c>
      <c r="O223" s="28">
        <f t="shared" si="222"/>
        <v>0</v>
      </c>
      <c r="P223" s="28">
        <f t="shared" si="222"/>
        <v>0</v>
      </c>
      <c r="Q223" s="28">
        <f t="shared" si="222"/>
        <v>0</v>
      </c>
      <c r="R223" s="28">
        <f t="shared" si="222"/>
        <v>0</v>
      </c>
      <c r="S223" s="28">
        <f t="shared" si="222"/>
        <v>0</v>
      </c>
      <c r="T223" s="28">
        <f t="shared" si="222"/>
        <v>0</v>
      </c>
      <c r="U223" s="28">
        <f t="shared" si="222"/>
        <v>0</v>
      </c>
      <c r="V223" s="28">
        <f t="shared" si="222"/>
        <v>0</v>
      </c>
      <c r="W223" s="28">
        <f t="shared" si="222"/>
        <v>0</v>
      </c>
      <c r="X223" s="28">
        <f t="shared" si="222"/>
        <v>0</v>
      </c>
      <c r="Y223" s="28">
        <f t="shared" si="222"/>
        <v>0</v>
      </c>
      <c r="Z223" s="28">
        <f t="shared" si="222"/>
        <v>0</v>
      </c>
      <c r="AA223" s="28">
        <f t="shared" si="222"/>
        <v>0</v>
      </c>
      <c r="AB223" s="28">
        <f t="shared" si="222"/>
        <v>0</v>
      </c>
      <c r="AC223" s="28">
        <f t="shared" si="222"/>
        <v>0</v>
      </c>
      <c r="AD223" s="28">
        <f t="shared" si="222"/>
        <v>0</v>
      </c>
      <c r="AE223" s="28">
        <f t="shared" si="222"/>
        <v>0</v>
      </c>
      <c r="AF223" s="28">
        <f t="shared" si="222"/>
        <v>0</v>
      </c>
      <c r="AG223" s="28">
        <f t="shared" si="222"/>
        <v>0</v>
      </c>
      <c r="AH223" s="28">
        <f t="shared" si="222"/>
        <v>0</v>
      </c>
      <c r="AI223" s="28">
        <f t="shared" si="222"/>
        <v>5250</v>
      </c>
      <c r="AJ223" s="28">
        <f t="shared" si="222"/>
        <v>0</v>
      </c>
      <c r="AK223" s="28">
        <f t="shared" si="222"/>
        <v>0</v>
      </c>
      <c r="AL223" s="28">
        <f t="shared" si="222"/>
        <v>0</v>
      </c>
      <c r="AM223" s="28">
        <f t="shared" si="222"/>
        <v>0</v>
      </c>
      <c r="AN223" s="28">
        <f t="shared" si="222"/>
        <v>0</v>
      </c>
      <c r="AO223" s="28">
        <f t="shared" si="222"/>
        <v>0</v>
      </c>
      <c r="AP223" s="28">
        <f t="shared" si="222"/>
        <v>0</v>
      </c>
      <c r="AQ223" s="28">
        <f t="shared" si="222"/>
        <v>0</v>
      </c>
      <c r="AR223" s="28">
        <f t="shared" si="222"/>
        <v>0</v>
      </c>
      <c r="AS223" s="28">
        <f t="shared" si="222"/>
        <v>0</v>
      </c>
      <c r="AT223" s="28">
        <f t="shared" si="222"/>
        <v>0</v>
      </c>
    </row>
    <row r="224">
      <c r="A224" s="5" t="s">
        <v>233</v>
      </c>
      <c r="B224" s="6">
        <v>1000.0</v>
      </c>
      <c r="C224" s="7" t="s">
        <v>35</v>
      </c>
      <c r="D224" s="15">
        <v>75209.0</v>
      </c>
      <c r="F224" s="15">
        <f>IFERROR(__xludf.DUMMYFUNCTION("""COMPUTED_VALUE"""),76710.0)</f>
        <v>76710</v>
      </c>
      <c r="G224" s="26">
        <f t="shared" si="2"/>
        <v>7500</v>
      </c>
      <c r="J224" s="27">
        <f>IFERROR(__xludf.DUMMYFUNCTION("""COMPUTED_VALUE"""),76710.0)</f>
        <v>76710</v>
      </c>
      <c r="K224" s="28">
        <f t="shared" ref="K224:AT224" si="223">sumifs($B:$B,$D:$D,$J224,$C:$C,K$1)</f>
        <v>0</v>
      </c>
      <c r="L224" s="28">
        <f t="shared" si="223"/>
        <v>0</v>
      </c>
      <c r="M224" s="28">
        <f t="shared" si="223"/>
        <v>0</v>
      </c>
      <c r="N224" s="28">
        <f t="shared" si="223"/>
        <v>0</v>
      </c>
      <c r="O224" s="28">
        <f t="shared" si="223"/>
        <v>0</v>
      </c>
      <c r="P224" s="28">
        <f t="shared" si="223"/>
        <v>0</v>
      </c>
      <c r="Q224" s="28">
        <f t="shared" si="223"/>
        <v>0</v>
      </c>
      <c r="R224" s="28">
        <f t="shared" si="223"/>
        <v>0</v>
      </c>
      <c r="S224" s="28">
        <f t="shared" si="223"/>
        <v>0</v>
      </c>
      <c r="T224" s="28">
        <f t="shared" si="223"/>
        <v>0</v>
      </c>
      <c r="U224" s="28">
        <f t="shared" si="223"/>
        <v>0</v>
      </c>
      <c r="V224" s="28">
        <f t="shared" si="223"/>
        <v>0</v>
      </c>
      <c r="W224" s="28">
        <f t="shared" si="223"/>
        <v>0</v>
      </c>
      <c r="X224" s="28">
        <f t="shared" si="223"/>
        <v>0</v>
      </c>
      <c r="Y224" s="28">
        <f t="shared" si="223"/>
        <v>0</v>
      </c>
      <c r="Z224" s="28">
        <f t="shared" si="223"/>
        <v>0</v>
      </c>
      <c r="AA224" s="28">
        <f t="shared" si="223"/>
        <v>0</v>
      </c>
      <c r="AB224" s="28">
        <f t="shared" si="223"/>
        <v>0</v>
      </c>
      <c r="AC224" s="28">
        <f t="shared" si="223"/>
        <v>0</v>
      </c>
      <c r="AD224" s="28">
        <f t="shared" si="223"/>
        <v>0</v>
      </c>
      <c r="AE224" s="28">
        <f t="shared" si="223"/>
        <v>0</v>
      </c>
      <c r="AF224" s="28">
        <f t="shared" si="223"/>
        <v>0</v>
      </c>
      <c r="AG224" s="28">
        <f t="shared" si="223"/>
        <v>0</v>
      </c>
      <c r="AH224" s="28">
        <f t="shared" si="223"/>
        <v>0</v>
      </c>
      <c r="AI224" s="28">
        <f t="shared" si="223"/>
        <v>7500</v>
      </c>
      <c r="AJ224" s="28">
        <f t="shared" si="223"/>
        <v>0</v>
      </c>
      <c r="AK224" s="28">
        <f t="shared" si="223"/>
        <v>0</v>
      </c>
      <c r="AL224" s="28">
        <f t="shared" si="223"/>
        <v>0</v>
      </c>
      <c r="AM224" s="28">
        <f t="shared" si="223"/>
        <v>0</v>
      </c>
      <c r="AN224" s="28">
        <f t="shared" si="223"/>
        <v>0</v>
      </c>
      <c r="AO224" s="28">
        <f t="shared" si="223"/>
        <v>0</v>
      </c>
      <c r="AP224" s="28">
        <f t="shared" si="223"/>
        <v>0</v>
      </c>
      <c r="AQ224" s="28">
        <f t="shared" si="223"/>
        <v>0</v>
      </c>
      <c r="AR224" s="28">
        <f t="shared" si="223"/>
        <v>0</v>
      </c>
      <c r="AS224" s="28">
        <f t="shared" si="223"/>
        <v>0</v>
      </c>
      <c r="AT224" s="28">
        <f t="shared" si="223"/>
        <v>0</v>
      </c>
    </row>
    <row r="225">
      <c r="A225" s="10" t="s">
        <v>234</v>
      </c>
      <c r="B225" s="11">
        <v>50.0</v>
      </c>
      <c r="C225" s="12" t="s">
        <v>35</v>
      </c>
      <c r="D225" s="15">
        <v>75220.0</v>
      </c>
      <c r="F225" s="15">
        <f>IFERROR(__xludf.DUMMYFUNCTION("""COMPUTED_VALUE"""),77041.0)</f>
        <v>77041</v>
      </c>
      <c r="G225" s="26">
        <f t="shared" si="2"/>
        <v>100</v>
      </c>
      <c r="J225" s="27">
        <f>IFERROR(__xludf.DUMMYFUNCTION("""COMPUTED_VALUE"""),77041.0)</f>
        <v>77041</v>
      </c>
      <c r="K225" s="28">
        <f t="shared" ref="K225:AT225" si="224">sumifs($B:$B,$D:$D,$J225,$C:$C,K$1)</f>
        <v>0</v>
      </c>
      <c r="L225" s="28">
        <f t="shared" si="224"/>
        <v>0</v>
      </c>
      <c r="M225" s="28">
        <f t="shared" si="224"/>
        <v>0</v>
      </c>
      <c r="N225" s="28">
        <f t="shared" si="224"/>
        <v>0</v>
      </c>
      <c r="O225" s="28">
        <f t="shared" si="224"/>
        <v>0</v>
      </c>
      <c r="P225" s="28">
        <f t="shared" si="224"/>
        <v>0</v>
      </c>
      <c r="Q225" s="28">
        <f t="shared" si="224"/>
        <v>0</v>
      </c>
      <c r="R225" s="28">
        <f t="shared" si="224"/>
        <v>0</v>
      </c>
      <c r="S225" s="28">
        <f t="shared" si="224"/>
        <v>0</v>
      </c>
      <c r="T225" s="28">
        <f t="shared" si="224"/>
        <v>0</v>
      </c>
      <c r="U225" s="28">
        <f t="shared" si="224"/>
        <v>0</v>
      </c>
      <c r="V225" s="28">
        <f t="shared" si="224"/>
        <v>0</v>
      </c>
      <c r="W225" s="28">
        <f t="shared" si="224"/>
        <v>0</v>
      </c>
      <c r="X225" s="28">
        <f t="shared" si="224"/>
        <v>0</v>
      </c>
      <c r="Y225" s="28">
        <f t="shared" si="224"/>
        <v>0</v>
      </c>
      <c r="Z225" s="28">
        <f t="shared" si="224"/>
        <v>0</v>
      </c>
      <c r="AA225" s="28">
        <f t="shared" si="224"/>
        <v>0</v>
      </c>
      <c r="AB225" s="28">
        <f t="shared" si="224"/>
        <v>0</v>
      </c>
      <c r="AC225" s="28">
        <f t="shared" si="224"/>
        <v>0</v>
      </c>
      <c r="AD225" s="28">
        <f t="shared" si="224"/>
        <v>0</v>
      </c>
      <c r="AE225" s="28">
        <f t="shared" si="224"/>
        <v>0</v>
      </c>
      <c r="AF225" s="28">
        <f t="shared" si="224"/>
        <v>0</v>
      </c>
      <c r="AG225" s="28">
        <f t="shared" si="224"/>
        <v>0</v>
      </c>
      <c r="AH225" s="28">
        <f t="shared" si="224"/>
        <v>0</v>
      </c>
      <c r="AI225" s="28">
        <f t="shared" si="224"/>
        <v>100</v>
      </c>
      <c r="AJ225" s="28">
        <f t="shared" si="224"/>
        <v>0</v>
      </c>
      <c r="AK225" s="28">
        <f t="shared" si="224"/>
        <v>0</v>
      </c>
      <c r="AL225" s="28">
        <f t="shared" si="224"/>
        <v>0</v>
      </c>
      <c r="AM225" s="28">
        <f t="shared" si="224"/>
        <v>0</v>
      </c>
      <c r="AN225" s="28">
        <f t="shared" si="224"/>
        <v>0</v>
      </c>
      <c r="AO225" s="28">
        <f t="shared" si="224"/>
        <v>0</v>
      </c>
      <c r="AP225" s="28">
        <f t="shared" si="224"/>
        <v>0</v>
      </c>
      <c r="AQ225" s="28">
        <f t="shared" si="224"/>
        <v>0</v>
      </c>
      <c r="AR225" s="28">
        <f t="shared" si="224"/>
        <v>0</v>
      </c>
      <c r="AS225" s="28">
        <f t="shared" si="224"/>
        <v>0</v>
      </c>
      <c r="AT225" s="28">
        <f t="shared" si="224"/>
        <v>0</v>
      </c>
    </row>
    <row r="226">
      <c r="A226" s="5" t="s">
        <v>235</v>
      </c>
      <c r="B226" s="6">
        <v>500.0</v>
      </c>
      <c r="C226" s="7" t="s">
        <v>35</v>
      </c>
      <c r="D226" s="15">
        <v>75229.0</v>
      </c>
      <c r="F226" s="15">
        <f>IFERROR(__xludf.DUMMYFUNCTION("""COMPUTED_VALUE"""),78739.0)</f>
        <v>78739</v>
      </c>
      <c r="G226" s="26">
        <f t="shared" si="2"/>
        <v>5000</v>
      </c>
      <c r="J226" s="27">
        <f>IFERROR(__xludf.DUMMYFUNCTION("""COMPUTED_VALUE"""),78739.0)</f>
        <v>78739</v>
      </c>
      <c r="K226" s="28">
        <f t="shared" ref="K226:AT226" si="225">sumifs($B:$B,$D:$D,$J226,$C:$C,K$1)</f>
        <v>0</v>
      </c>
      <c r="L226" s="28">
        <f t="shared" si="225"/>
        <v>0</v>
      </c>
      <c r="M226" s="28">
        <f t="shared" si="225"/>
        <v>0</v>
      </c>
      <c r="N226" s="28">
        <f t="shared" si="225"/>
        <v>0</v>
      </c>
      <c r="O226" s="28">
        <f t="shared" si="225"/>
        <v>0</v>
      </c>
      <c r="P226" s="28">
        <f t="shared" si="225"/>
        <v>0</v>
      </c>
      <c r="Q226" s="28">
        <f t="shared" si="225"/>
        <v>0</v>
      </c>
      <c r="R226" s="28">
        <f t="shared" si="225"/>
        <v>0</v>
      </c>
      <c r="S226" s="28">
        <f t="shared" si="225"/>
        <v>0</v>
      </c>
      <c r="T226" s="28">
        <f t="shared" si="225"/>
        <v>0</v>
      </c>
      <c r="U226" s="28">
        <f t="shared" si="225"/>
        <v>0</v>
      </c>
      <c r="V226" s="28">
        <f t="shared" si="225"/>
        <v>0</v>
      </c>
      <c r="W226" s="28">
        <f t="shared" si="225"/>
        <v>0</v>
      </c>
      <c r="X226" s="28">
        <f t="shared" si="225"/>
        <v>0</v>
      </c>
      <c r="Y226" s="28">
        <f t="shared" si="225"/>
        <v>0</v>
      </c>
      <c r="Z226" s="28">
        <f t="shared" si="225"/>
        <v>0</v>
      </c>
      <c r="AA226" s="28">
        <f t="shared" si="225"/>
        <v>0</v>
      </c>
      <c r="AB226" s="28">
        <f t="shared" si="225"/>
        <v>0</v>
      </c>
      <c r="AC226" s="28">
        <f t="shared" si="225"/>
        <v>0</v>
      </c>
      <c r="AD226" s="28">
        <f t="shared" si="225"/>
        <v>0</v>
      </c>
      <c r="AE226" s="28">
        <f t="shared" si="225"/>
        <v>0</v>
      </c>
      <c r="AF226" s="28">
        <f t="shared" si="225"/>
        <v>0</v>
      </c>
      <c r="AG226" s="28">
        <f t="shared" si="225"/>
        <v>0</v>
      </c>
      <c r="AH226" s="28">
        <f t="shared" si="225"/>
        <v>0</v>
      </c>
      <c r="AI226" s="28">
        <f t="shared" si="225"/>
        <v>5000</v>
      </c>
      <c r="AJ226" s="28">
        <f t="shared" si="225"/>
        <v>0</v>
      </c>
      <c r="AK226" s="28">
        <f t="shared" si="225"/>
        <v>0</v>
      </c>
      <c r="AL226" s="28">
        <f t="shared" si="225"/>
        <v>0</v>
      </c>
      <c r="AM226" s="28">
        <f t="shared" si="225"/>
        <v>0</v>
      </c>
      <c r="AN226" s="28">
        <f t="shared" si="225"/>
        <v>0</v>
      </c>
      <c r="AO226" s="28">
        <f t="shared" si="225"/>
        <v>0</v>
      </c>
      <c r="AP226" s="28">
        <f t="shared" si="225"/>
        <v>0</v>
      </c>
      <c r="AQ226" s="28">
        <f t="shared" si="225"/>
        <v>0</v>
      </c>
      <c r="AR226" s="28">
        <f t="shared" si="225"/>
        <v>0</v>
      </c>
      <c r="AS226" s="28">
        <f t="shared" si="225"/>
        <v>0</v>
      </c>
      <c r="AT226" s="28">
        <f t="shared" si="225"/>
        <v>0</v>
      </c>
    </row>
    <row r="227">
      <c r="A227" s="10" t="s">
        <v>236</v>
      </c>
      <c r="B227" s="11">
        <v>500.0</v>
      </c>
      <c r="C227" s="12" t="s">
        <v>35</v>
      </c>
      <c r="D227" s="15">
        <v>75063.0</v>
      </c>
      <c r="F227" s="15">
        <f>IFERROR(__xludf.DUMMYFUNCTION("""COMPUTED_VALUE"""),76227.0)</f>
        <v>76227</v>
      </c>
      <c r="G227" s="26">
        <f t="shared" si="2"/>
        <v>500</v>
      </c>
      <c r="J227" s="27">
        <f>IFERROR(__xludf.DUMMYFUNCTION("""COMPUTED_VALUE"""),76227.0)</f>
        <v>76227</v>
      </c>
      <c r="K227" s="28">
        <f t="shared" ref="K227:AT227" si="226">sumifs($B:$B,$D:$D,$J227,$C:$C,K$1)</f>
        <v>0</v>
      </c>
      <c r="L227" s="28">
        <f t="shared" si="226"/>
        <v>0</v>
      </c>
      <c r="M227" s="28">
        <f t="shared" si="226"/>
        <v>0</v>
      </c>
      <c r="N227" s="28">
        <f t="shared" si="226"/>
        <v>0</v>
      </c>
      <c r="O227" s="28">
        <f t="shared" si="226"/>
        <v>0</v>
      </c>
      <c r="P227" s="28">
        <f t="shared" si="226"/>
        <v>0</v>
      </c>
      <c r="Q227" s="28">
        <f t="shared" si="226"/>
        <v>0</v>
      </c>
      <c r="R227" s="28">
        <f t="shared" si="226"/>
        <v>0</v>
      </c>
      <c r="S227" s="28">
        <f t="shared" si="226"/>
        <v>0</v>
      </c>
      <c r="T227" s="28">
        <f t="shared" si="226"/>
        <v>0</v>
      </c>
      <c r="U227" s="28">
        <f t="shared" si="226"/>
        <v>0</v>
      </c>
      <c r="V227" s="28">
        <f t="shared" si="226"/>
        <v>0</v>
      </c>
      <c r="W227" s="28">
        <f t="shared" si="226"/>
        <v>0</v>
      </c>
      <c r="X227" s="28">
        <f t="shared" si="226"/>
        <v>0</v>
      </c>
      <c r="Y227" s="28">
        <f t="shared" si="226"/>
        <v>0</v>
      </c>
      <c r="Z227" s="28">
        <f t="shared" si="226"/>
        <v>0</v>
      </c>
      <c r="AA227" s="28">
        <f t="shared" si="226"/>
        <v>0</v>
      </c>
      <c r="AB227" s="28">
        <f t="shared" si="226"/>
        <v>0</v>
      </c>
      <c r="AC227" s="28">
        <f t="shared" si="226"/>
        <v>0</v>
      </c>
      <c r="AD227" s="28">
        <f t="shared" si="226"/>
        <v>0</v>
      </c>
      <c r="AE227" s="28">
        <f t="shared" si="226"/>
        <v>0</v>
      </c>
      <c r="AF227" s="28">
        <f t="shared" si="226"/>
        <v>0</v>
      </c>
      <c r="AG227" s="28">
        <f t="shared" si="226"/>
        <v>0</v>
      </c>
      <c r="AH227" s="28">
        <f t="shared" si="226"/>
        <v>0</v>
      </c>
      <c r="AI227" s="28">
        <f t="shared" si="226"/>
        <v>500</v>
      </c>
      <c r="AJ227" s="28">
        <f t="shared" si="226"/>
        <v>0</v>
      </c>
      <c r="AK227" s="28">
        <f t="shared" si="226"/>
        <v>0</v>
      </c>
      <c r="AL227" s="28">
        <f t="shared" si="226"/>
        <v>0</v>
      </c>
      <c r="AM227" s="28">
        <f t="shared" si="226"/>
        <v>0</v>
      </c>
      <c r="AN227" s="28">
        <f t="shared" si="226"/>
        <v>0</v>
      </c>
      <c r="AO227" s="28">
        <f t="shared" si="226"/>
        <v>0</v>
      </c>
      <c r="AP227" s="28">
        <f t="shared" si="226"/>
        <v>0</v>
      </c>
      <c r="AQ227" s="28">
        <f t="shared" si="226"/>
        <v>0</v>
      </c>
      <c r="AR227" s="28">
        <f t="shared" si="226"/>
        <v>0</v>
      </c>
      <c r="AS227" s="28">
        <f t="shared" si="226"/>
        <v>0</v>
      </c>
      <c r="AT227" s="28">
        <f t="shared" si="226"/>
        <v>0</v>
      </c>
    </row>
    <row r="228">
      <c r="A228" s="5" t="s">
        <v>237</v>
      </c>
      <c r="B228" s="6">
        <v>1000.0</v>
      </c>
      <c r="C228" s="7" t="s">
        <v>35</v>
      </c>
      <c r="D228" s="15">
        <v>75229.0</v>
      </c>
      <c r="F228" s="15">
        <f>IFERROR(__xludf.DUMMYFUNCTION("""COMPUTED_VALUE"""),75146.0)</f>
        <v>75146</v>
      </c>
      <c r="G228" s="26">
        <f t="shared" si="2"/>
        <v>200</v>
      </c>
      <c r="J228" s="27">
        <f>IFERROR(__xludf.DUMMYFUNCTION("""COMPUTED_VALUE"""),75146.0)</f>
        <v>75146</v>
      </c>
      <c r="K228" s="28">
        <f t="shared" ref="K228:AT228" si="227">sumifs($B:$B,$D:$D,$J228,$C:$C,K$1)</f>
        <v>0</v>
      </c>
      <c r="L228" s="28">
        <f t="shared" si="227"/>
        <v>0</v>
      </c>
      <c r="M228" s="28">
        <f t="shared" si="227"/>
        <v>0</v>
      </c>
      <c r="N228" s="28">
        <f t="shared" si="227"/>
        <v>0</v>
      </c>
      <c r="O228" s="28">
        <f t="shared" si="227"/>
        <v>0</v>
      </c>
      <c r="P228" s="28">
        <f t="shared" si="227"/>
        <v>0</v>
      </c>
      <c r="Q228" s="28">
        <f t="shared" si="227"/>
        <v>0</v>
      </c>
      <c r="R228" s="28">
        <f t="shared" si="227"/>
        <v>0</v>
      </c>
      <c r="S228" s="28">
        <f t="shared" si="227"/>
        <v>0</v>
      </c>
      <c r="T228" s="28">
        <f t="shared" si="227"/>
        <v>0</v>
      </c>
      <c r="U228" s="28">
        <f t="shared" si="227"/>
        <v>0</v>
      </c>
      <c r="V228" s="28">
        <f t="shared" si="227"/>
        <v>0</v>
      </c>
      <c r="W228" s="28">
        <f t="shared" si="227"/>
        <v>0</v>
      </c>
      <c r="X228" s="28">
        <f t="shared" si="227"/>
        <v>0</v>
      </c>
      <c r="Y228" s="28">
        <f t="shared" si="227"/>
        <v>0</v>
      </c>
      <c r="Z228" s="28">
        <f t="shared" si="227"/>
        <v>0</v>
      </c>
      <c r="AA228" s="28">
        <f t="shared" si="227"/>
        <v>0</v>
      </c>
      <c r="AB228" s="28">
        <f t="shared" si="227"/>
        <v>0</v>
      </c>
      <c r="AC228" s="28">
        <f t="shared" si="227"/>
        <v>0</v>
      </c>
      <c r="AD228" s="28">
        <f t="shared" si="227"/>
        <v>0</v>
      </c>
      <c r="AE228" s="28">
        <f t="shared" si="227"/>
        <v>0</v>
      </c>
      <c r="AF228" s="28">
        <f t="shared" si="227"/>
        <v>0</v>
      </c>
      <c r="AG228" s="28">
        <f t="shared" si="227"/>
        <v>0</v>
      </c>
      <c r="AH228" s="28">
        <f t="shared" si="227"/>
        <v>0</v>
      </c>
      <c r="AI228" s="28">
        <f t="shared" si="227"/>
        <v>200</v>
      </c>
      <c r="AJ228" s="28">
        <f t="shared" si="227"/>
        <v>0</v>
      </c>
      <c r="AK228" s="28">
        <f t="shared" si="227"/>
        <v>0</v>
      </c>
      <c r="AL228" s="28">
        <f t="shared" si="227"/>
        <v>0</v>
      </c>
      <c r="AM228" s="28">
        <f t="shared" si="227"/>
        <v>0</v>
      </c>
      <c r="AN228" s="28">
        <f t="shared" si="227"/>
        <v>0</v>
      </c>
      <c r="AO228" s="28">
        <f t="shared" si="227"/>
        <v>0</v>
      </c>
      <c r="AP228" s="28">
        <f t="shared" si="227"/>
        <v>0</v>
      </c>
      <c r="AQ228" s="28">
        <f t="shared" si="227"/>
        <v>0</v>
      </c>
      <c r="AR228" s="28">
        <f t="shared" si="227"/>
        <v>0</v>
      </c>
      <c r="AS228" s="28">
        <f t="shared" si="227"/>
        <v>0</v>
      </c>
      <c r="AT228" s="28">
        <f t="shared" si="227"/>
        <v>0</v>
      </c>
    </row>
    <row r="229">
      <c r="A229" s="10" t="s">
        <v>238</v>
      </c>
      <c r="B229" s="11">
        <v>1000.0</v>
      </c>
      <c r="C229" s="12" t="s">
        <v>35</v>
      </c>
      <c r="D229" s="15">
        <v>75007.0</v>
      </c>
      <c r="F229" s="15">
        <f>IFERROR(__xludf.DUMMYFUNCTION("""COMPUTED_VALUE"""),75009.0)</f>
        <v>75009</v>
      </c>
      <c r="G229" s="26">
        <f t="shared" si="2"/>
        <v>200</v>
      </c>
      <c r="J229" s="27">
        <f>IFERROR(__xludf.DUMMYFUNCTION("""COMPUTED_VALUE"""),75009.0)</f>
        <v>75009</v>
      </c>
      <c r="K229" s="28">
        <f t="shared" ref="K229:AT229" si="228">sumifs($B:$B,$D:$D,$J229,$C:$C,K$1)</f>
        <v>0</v>
      </c>
      <c r="L229" s="28">
        <f t="shared" si="228"/>
        <v>0</v>
      </c>
      <c r="M229" s="28">
        <f t="shared" si="228"/>
        <v>0</v>
      </c>
      <c r="N229" s="28">
        <f t="shared" si="228"/>
        <v>100</v>
      </c>
      <c r="O229" s="28">
        <f t="shared" si="228"/>
        <v>0</v>
      </c>
      <c r="P229" s="28">
        <f t="shared" si="228"/>
        <v>0</v>
      </c>
      <c r="Q229" s="28">
        <f t="shared" si="228"/>
        <v>0</v>
      </c>
      <c r="R229" s="28">
        <f t="shared" si="228"/>
        <v>0</v>
      </c>
      <c r="S229" s="28">
        <f t="shared" si="228"/>
        <v>0</v>
      </c>
      <c r="T229" s="28">
        <f t="shared" si="228"/>
        <v>0</v>
      </c>
      <c r="U229" s="28">
        <f t="shared" si="228"/>
        <v>0</v>
      </c>
      <c r="V229" s="28">
        <f t="shared" si="228"/>
        <v>0</v>
      </c>
      <c r="W229" s="28">
        <f t="shared" si="228"/>
        <v>0</v>
      </c>
      <c r="X229" s="28">
        <f t="shared" si="228"/>
        <v>0</v>
      </c>
      <c r="Y229" s="28">
        <f t="shared" si="228"/>
        <v>0</v>
      </c>
      <c r="Z229" s="28">
        <f t="shared" si="228"/>
        <v>0</v>
      </c>
      <c r="AA229" s="28">
        <f t="shared" si="228"/>
        <v>0</v>
      </c>
      <c r="AB229" s="28">
        <f t="shared" si="228"/>
        <v>0</v>
      </c>
      <c r="AC229" s="28">
        <f t="shared" si="228"/>
        <v>0</v>
      </c>
      <c r="AD229" s="28">
        <f t="shared" si="228"/>
        <v>0</v>
      </c>
      <c r="AE229" s="28">
        <f t="shared" si="228"/>
        <v>0</v>
      </c>
      <c r="AF229" s="28">
        <f t="shared" si="228"/>
        <v>0</v>
      </c>
      <c r="AG229" s="28">
        <f t="shared" si="228"/>
        <v>0</v>
      </c>
      <c r="AH229" s="28">
        <f t="shared" si="228"/>
        <v>0</v>
      </c>
      <c r="AI229" s="28">
        <f t="shared" si="228"/>
        <v>100</v>
      </c>
      <c r="AJ229" s="28">
        <f t="shared" si="228"/>
        <v>0</v>
      </c>
      <c r="AK229" s="28">
        <f t="shared" si="228"/>
        <v>0</v>
      </c>
      <c r="AL229" s="28">
        <f t="shared" si="228"/>
        <v>0</v>
      </c>
      <c r="AM229" s="28">
        <f t="shared" si="228"/>
        <v>0</v>
      </c>
      <c r="AN229" s="28">
        <f t="shared" si="228"/>
        <v>0</v>
      </c>
      <c r="AO229" s="28">
        <f t="shared" si="228"/>
        <v>0</v>
      </c>
      <c r="AP229" s="28">
        <f t="shared" si="228"/>
        <v>0</v>
      </c>
      <c r="AQ229" s="28">
        <f t="shared" si="228"/>
        <v>0</v>
      </c>
      <c r="AR229" s="28">
        <f t="shared" si="228"/>
        <v>0</v>
      </c>
      <c r="AS229" s="28">
        <f t="shared" si="228"/>
        <v>0</v>
      </c>
      <c r="AT229" s="28">
        <f t="shared" si="228"/>
        <v>0</v>
      </c>
    </row>
    <row r="230">
      <c r="A230" s="5" t="s">
        <v>239</v>
      </c>
      <c r="B230" s="6">
        <v>500.0</v>
      </c>
      <c r="C230" s="7" t="s">
        <v>35</v>
      </c>
      <c r="D230" s="15">
        <v>75063.0</v>
      </c>
      <c r="F230" s="15">
        <f>IFERROR(__xludf.DUMMYFUNCTION("""COMPUTED_VALUE"""),77021.0)</f>
        <v>77021</v>
      </c>
      <c r="G230" s="26">
        <f t="shared" si="2"/>
        <v>12000</v>
      </c>
      <c r="J230" s="27">
        <f>IFERROR(__xludf.DUMMYFUNCTION("""COMPUTED_VALUE"""),77021.0)</f>
        <v>77021</v>
      </c>
      <c r="K230" s="28">
        <f t="shared" ref="K230:AT230" si="229">sumifs($B:$B,$D:$D,$J230,$C:$C,K$1)</f>
        <v>0</v>
      </c>
      <c r="L230" s="28">
        <f t="shared" si="229"/>
        <v>0</v>
      </c>
      <c r="M230" s="28">
        <f t="shared" si="229"/>
        <v>0</v>
      </c>
      <c r="N230" s="28">
        <f t="shared" si="229"/>
        <v>0</v>
      </c>
      <c r="O230" s="28">
        <f t="shared" si="229"/>
        <v>0</v>
      </c>
      <c r="P230" s="28">
        <f t="shared" si="229"/>
        <v>0</v>
      </c>
      <c r="Q230" s="28">
        <f t="shared" si="229"/>
        <v>0</v>
      </c>
      <c r="R230" s="28">
        <f t="shared" si="229"/>
        <v>0</v>
      </c>
      <c r="S230" s="28">
        <f t="shared" si="229"/>
        <v>0</v>
      </c>
      <c r="T230" s="28">
        <f t="shared" si="229"/>
        <v>0</v>
      </c>
      <c r="U230" s="28">
        <f t="shared" si="229"/>
        <v>0</v>
      </c>
      <c r="V230" s="28">
        <f t="shared" si="229"/>
        <v>0</v>
      </c>
      <c r="W230" s="28">
        <f t="shared" si="229"/>
        <v>0</v>
      </c>
      <c r="X230" s="28">
        <f t="shared" si="229"/>
        <v>0</v>
      </c>
      <c r="Y230" s="28">
        <f t="shared" si="229"/>
        <v>0</v>
      </c>
      <c r="Z230" s="28">
        <f t="shared" si="229"/>
        <v>0</v>
      </c>
      <c r="AA230" s="28">
        <f t="shared" si="229"/>
        <v>0</v>
      </c>
      <c r="AB230" s="28">
        <f t="shared" si="229"/>
        <v>0</v>
      </c>
      <c r="AC230" s="28">
        <f t="shared" si="229"/>
        <v>0</v>
      </c>
      <c r="AD230" s="28">
        <f t="shared" si="229"/>
        <v>0</v>
      </c>
      <c r="AE230" s="28">
        <f t="shared" si="229"/>
        <v>0</v>
      </c>
      <c r="AF230" s="28">
        <f t="shared" si="229"/>
        <v>1000</v>
      </c>
      <c r="AG230" s="28">
        <f t="shared" si="229"/>
        <v>0</v>
      </c>
      <c r="AH230" s="28">
        <f t="shared" si="229"/>
        <v>0</v>
      </c>
      <c r="AI230" s="28">
        <f t="shared" si="229"/>
        <v>11000</v>
      </c>
      <c r="AJ230" s="28">
        <f t="shared" si="229"/>
        <v>0</v>
      </c>
      <c r="AK230" s="28">
        <f t="shared" si="229"/>
        <v>0</v>
      </c>
      <c r="AL230" s="28">
        <f t="shared" si="229"/>
        <v>0</v>
      </c>
      <c r="AM230" s="28">
        <f t="shared" si="229"/>
        <v>0</v>
      </c>
      <c r="AN230" s="28">
        <f t="shared" si="229"/>
        <v>0</v>
      </c>
      <c r="AO230" s="28">
        <f t="shared" si="229"/>
        <v>0</v>
      </c>
      <c r="AP230" s="28">
        <f t="shared" si="229"/>
        <v>0</v>
      </c>
      <c r="AQ230" s="28">
        <f t="shared" si="229"/>
        <v>0</v>
      </c>
      <c r="AR230" s="28">
        <f t="shared" si="229"/>
        <v>0</v>
      </c>
      <c r="AS230" s="28">
        <f t="shared" si="229"/>
        <v>0</v>
      </c>
      <c r="AT230" s="28">
        <f t="shared" si="229"/>
        <v>0</v>
      </c>
    </row>
    <row r="231">
      <c r="A231" s="10" t="s">
        <v>240</v>
      </c>
      <c r="B231" s="11">
        <v>500.0</v>
      </c>
      <c r="C231" s="12" t="s">
        <v>241</v>
      </c>
      <c r="D231" s="15">
        <v>75215.0</v>
      </c>
      <c r="F231" s="15">
        <f>IFERROR(__xludf.DUMMYFUNCTION("""COMPUTED_VALUE"""),78731.0)</f>
        <v>78731</v>
      </c>
      <c r="G231" s="26">
        <f t="shared" si="2"/>
        <v>1000</v>
      </c>
      <c r="J231" s="27">
        <f>IFERROR(__xludf.DUMMYFUNCTION("""COMPUTED_VALUE"""),78731.0)</f>
        <v>78731</v>
      </c>
      <c r="K231" s="28">
        <f t="shared" ref="K231:AT231" si="230">sumifs($B:$B,$D:$D,$J231,$C:$C,K$1)</f>
        <v>0</v>
      </c>
      <c r="L231" s="28">
        <f t="shared" si="230"/>
        <v>0</v>
      </c>
      <c r="M231" s="28">
        <f t="shared" si="230"/>
        <v>0</v>
      </c>
      <c r="N231" s="28">
        <f t="shared" si="230"/>
        <v>0</v>
      </c>
      <c r="O231" s="28">
        <f t="shared" si="230"/>
        <v>0</v>
      </c>
      <c r="P231" s="28">
        <f t="shared" si="230"/>
        <v>0</v>
      </c>
      <c r="Q231" s="28">
        <f t="shared" si="230"/>
        <v>0</v>
      </c>
      <c r="R231" s="28">
        <f t="shared" si="230"/>
        <v>0</v>
      </c>
      <c r="S231" s="28">
        <f t="shared" si="230"/>
        <v>0</v>
      </c>
      <c r="T231" s="28">
        <f t="shared" si="230"/>
        <v>0</v>
      </c>
      <c r="U231" s="28">
        <f t="shared" si="230"/>
        <v>0</v>
      </c>
      <c r="V231" s="28">
        <f t="shared" si="230"/>
        <v>0</v>
      </c>
      <c r="W231" s="28">
        <f t="shared" si="230"/>
        <v>0</v>
      </c>
      <c r="X231" s="28">
        <f t="shared" si="230"/>
        <v>0</v>
      </c>
      <c r="Y231" s="28">
        <f t="shared" si="230"/>
        <v>0</v>
      </c>
      <c r="Z231" s="28">
        <f t="shared" si="230"/>
        <v>0</v>
      </c>
      <c r="AA231" s="28">
        <f t="shared" si="230"/>
        <v>0</v>
      </c>
      <c r="AB231" s="28">
        <f t="shared" si="230"/>
        <v>0</v>
      </c>
      <c r="AC231" s="28">
        <f t="shared" si="230"/>
        <v>0</v>
      </c>
      <c r="AD231" s="28">
        <f t="shared" si="230"/>
        <v>0</v>
      </c>
      <c r="AE231" s="28">
        <f t="shared" si="230"/>
        <v>0</v>
      </c>
      <c r="AF231" s="28">
        <f t="shared" si="230"/>
        <v>0</v>
      </c>
      <c r="AG231" s="28">
        <f t="shared" si="230"/>
        <v>0</v>
      </c>
      <c r="AH231" s="28">
        <f t="shared" si="230"/>
        <v>0</v>
      </c>
      <c r="AI231" s="28">
        <f t="shared" si="230"/>
        <v>0</v>
      </c>
      <c r="AJ231" s="28">
        <f t="shared" si="230"/>
        <v>0</v>
      </c>
      <c r="AK231" s="28">
        <f t="shared" si="230"/>
        <v>0</v>
      </c>
      <c r="AL231" s="28">
        <f t="shared" si="230"/>
        <v>1000</v>
      </c>
      <c r="AM231" s="28">
        <f t="shared" si="230"/>
        <v>0</v>
      </c>
      <c r="AN231" s="28">
        <f t="shared" si="230"/>
        <v>0</v>
      </c>
      <c r="AO231" s="28">
        <f t="shared" si="230"/>
        <v>0</v>
      </c>
      <c r="AP231" s="28">
        <f t="shared" si="230"/>
        <v>0</v>
      </c>
      <c r="AQ231" s="28">
        <f t="shared" si="230"/>
        <v>0</v>
      </c>
      <c r="AR231" s="28">
        <f t="shared" si="230"/>
        <v>0</v>
      </c>
      <c r="AS231" s="28">
        <f t="shared" si="230"/>
        <v>0</v>
      </c>
      <c r="AT231" s="28">
        <f t="shared" si="230"/>
        <v>0</v>
      </c>
    </row>
    <row r="232">
      <c r="A232" s="5" t="s">
        <v>242</v>
      </c>
      <c r="B232" s="6">
        <v>200.0</v>
      </c>
      <c r="C232" s="7" t="s">
        <v>35</v>
      </c>
      <c r="D232" s="15">
        <v>75063.0</v>
      </c>
      <c r="F232" s="15">
        <f>IFERROR(__xludf.DUMMYFUNCTION("""COMPUTED_VALUE"""),78616.0)</f>
        <v>78616</v>
      </c>
      <c r="G232" s="26">
        <f t="shared" si="2"/>
        <v>100</v>
      </c>
      <c r="J232" s="27">
        <f>IFERROR(__xludf.DUMMYFUNCTION("""COMPUTED_VALUE"""),78616.0)</f>
        <v>78616</v>
      </c>
      <c r="K232" s="28">
        <f t="shared" ref="K232:AT232" si="231">sumifs($B:$B,$D:$D,$J232,$C:$C,K$1)</f>
        <v>0</v>
      </c>
      <c r="L232" s="28">
        <f t="shared" si="231"/>
        <v>0</v>
      </c>
      <c r="M232" s="28">
        <f t="shared" si="231"/>
        <v>0</v>
      </c>
      <c r="N232" s="28">
        <f t="shared" si="231"/>
        <v>0</v>
      </c>
      <c r="O232" s="28">
        <f t="shared" si="231"/>
        <v>0</v>
      </c>
      <c r="P232" s="28">
        <f t="shared" si="231"/>
        <v>0</v>
      </c>
      <c r="Q232" s="28">
        <f t="shared" si="231"/>
        <v>0</v>
      </c>
      <c r="R232" s="28">
        <f t="shared" si="231"/>
        <v>0</v>
      </c>
      <c r="S232" s="28">
        <f t="shared" si="231"/>
        <v>0</v>
      </c>
      <c r="T232" s="28">
        <f t="shared" si="231"/>
        <v>0</v>
      </c>
      <c r="U232" s="28">
        <f t="shared" si="231"/>
        <v>0</v>
      </c>
      <c r="V232" s="28">
        <f t="shared" si="231"/>
        <v>0</v>
      </c>
      <c r="W232" s="28">
        <f t="shared" si="231"/>
        <v>0</v>
      </c>
      <c r="X232" s="28">
        <f t="shared" si="231"/>
        <v>0</v>
      </c>
      <c r="Y232" s="28">
        <f t="shared" si="231"/>
        <v>0</v>
      </c>
      <c r="Z232" s="28">
        <f t="shared" si="231"/>
        <v>0</v>
      </c>
      <c r="AA232" s="28">
        <f t="shared" si="231"/>
        <v>0</v>
      </c>
      <c r="AB232" s="28">
        <f t="shared" si="231"/>
        <v>0</v>
      </c>
      <c r="AC232" s="28">
        <f t="shared" si="231"/>
        <v>0</v>
      </c>
      <c r="AD232" s="28">
        <f t="shared" si="231"/>
        <v>0</v>
      </c>
      <c r="AE232" s="28">
        <f t="shared" si="231"/>
        <v>0</v>
      </c>
      <c r="AF232" s="28">
        <f t="shared" si="231"/>
        <v>0</v>
      </c>
      <c r="AG232" s="28">
        <f t="shared" si="231"/>
        <v>0</v>
      </c>
      <c r="AH232" s="28">
        <f t="shared" si="231"/>
        <v>0</v>
      </c>
      <c r="AI232" s="28">
        <f t="shared" si="231"/>
        <v>0</v>
      </c>
      <c r="AJ232" s="28">
        <f t="shared" si="231"/>
        <v>0</v>
      </c>
      <c r="AK232" s="28">
        <f t="shared" si="231"/>
        <v>0</v>
      </c>
      <c r="AL232" s="28">
        <f t="shared" si="231"/>
        <v>100</v>
      </c>
      <c r="AM232" s="28">
        <f t="shared" si="231"/>
        <v>0</v>
      </c>
      <c r="AN232" s="28">
        <f t="shared" si="231"/>
        <v>0</v>
      </c>
      <c r="AO232" s="28">
        <f t="shared" si="231"/>
        <v>0</v>
      </c>
      <c r="AP232" s="28">
        <f t="shared" si="231"/>
        <v>0</v>
      </c>
      <c r="AQ232" s="28">
        <f t="shared" si="231"/>
        <v>0</v>
      </c>
      <c r="AR232" s="28">
        <f t="shared" si="231"/>
        <v>0</v>
      </c>
      <c r="AS232" s="28">
        <f t="shared" si="231"/>
        <v>0</v>
      </c>
      <c r="AT232" s="28">
        <f t="shared" si="231"/>
        <v>0</v>
      </c>
    </row>
    <row r="233">
      <c r="A233" s="10" t="s">
        <v>243</v>
      </c>
      <c r="B233" s="11">
        <v>300.0</v>
      </c>
      <c r="C233" s="12" t="s">
        <v>35</v>
      </c>
      <c r="D233" s="15">
        <v>75019.0</v>
      </c>
      <c r="F233" s="15">
        <f>IFERROR(__xludf.DUMMYFUNCTION("""COMPUTED_VALUE"""),76264.0)</f>
        <v>76264</v>
      </c>
      <c r="G233" s="26">
        <f t="shared" si="2"/>
        <v>1000</v>
      </c>
      <c r="J233" s="27">
        <f>IFERROR(__xludf.DUMMYFUNCTION("""COMPUTED_VALUE"""),76264.0)</f>
        <v>76264</v>
      </c>
      <c r="K233" s="28">
        <f t="shared" ref="K233:AT233" si="232">sumifs($B:$B,$D:$D,$J233,$C:$C,K$1)</f>
        <v>0</v>
      </c>
      <c r="L233" s="28">
        <f t="shared" si="232"/>
        <v>0</v>
      </c>
      <c r="M233" s="28">
        <f t="shared" si="232"/>
        <v>0</v>
      </c>
      <c r="N233" s="28">
        <f t="shared" si="232"/>
        <v>0</v>
      </c>
      <c r="O233" s="28">
        <f t="shared" si="232"/>
        <v>0</v>
      </c>
      <c r="P233" s="28">
        <f t="shared" si="232"/>
        <v>0</v>
      </c>
      <c r="Q233" s="28">
        <f t="shared" si="232"/>
        <v>0</v>
      </c>
      <c r="R233" s="28">
        <f t="shared" si="232"/>
        <v>0</v>
      </c>
      <c r="S233" s="28">
        <f t="shared" si="232"/>
        <v>0</v>
      </c>
      <c r="T233" s="28">
        <f t="shared" si="232"/>
        <v>0</v>
      </c>
      <c r="U233" s="28">
        <f t="shared" si="232"/>
        <v>0</v>
      </c>
      <c r="V233" s="28">
        <f t="shared" si="232"/>
        <v>0</v>
      </c>
      <c r="W233" s="28">
        <f t="shared" si="232"/>
        <v>0</v>
      </c>
      <c r="X233" s="28">
        <f t="shared" si="232"/>
        <v>0</v>
      </c>
      <c r="Y233" s="28">
        <f t="shared" si="232"/>
        <v>0</v>
      </c>
      <c r="Z233" s="28">
        <f t="shared" si="232"/>
        <v>0</v>
      </c>
      <c r="AA233" s="28">
        <f t="shared" si="232"/>
        <v>0</v>
      </c>
      <c r="AB233" s="28">
        <f t="shared" si="232"/>
        <v>0</v>
      </c>
      <c r="AC233" s="28">
        <f t="shared" si="232"/>
        <v>0</v>
      </c>
      <c r="AD233" s="28">
        <f t="shared" si="232"/>
        <v>0</v>
      </c>
      <c r="AE233" s="28">
        <f t="shared" si="232"/>
        <v>0</v>
      </c>
      <c r="AF233" s="28">
        <f t="shared" si="232"/>
        <v>0</v>
      </c>
      <c r="AG233" s="28">
        <f t="shared" si="232"/>
        <v>0</v>
      </c>
      <c r="AH233" s="28">
        <f t="shared" si="232"/>
        <v>0</v>
      </c>
      <c r="AI233" s="28">
        <f t="shared" si="232"/>
        <v>0</v>
      </c>
      <c r="AJ233" s="28">
        <f t="shared" si="232"/>
        <v>0</v>
      </c>
      <c r="AK233" s="28">
        <f t="shared" si="232"/>
        <v>1000</v>
      </c>
      <c r="AL233" s="28">
        <f t="shared" si="232"/>
        <v>0</v>
      </c>
      <c r="AM233" s="28">
        <f t="shared" si="232"/>
        <v>0</v>
      </c>
      <c r="AN233" s="28">
        <f t="shared" si="232"/>
        <v>0</v>
      </c>
      <c r="AO233" s="28">
        <f t="shared" si="232"/>
        <v>0</v>
      </c>
      <c r="AP233" s="28">
        <f t="shared" si="232"/>
        <v>0</v>
      </c>
      <c r="AQ233" s="28">
        <f t="shared" si="232"/>
        <v>0</v>
      </c>
      <c r="AR233" s="28">
        <f t="shared" si="232"/>
        <v>0</v>
      </c>
      <c r="AS233" s="28">
        <f t="shared" si="232"/>
        <v>0</v>
      </c>
      <c r="AT233" s="28">
        <f t="shared" si="232"/>
        <v>0</v>
      </c>
    </row>
    <row r="234">
      <c r="A234" s="5" t="s">
        <v>240</v>
      </c>
      <c r="B234" s="6">
        <v>500.0</v>
      </c>
      <c r="C234" s="7" t="s">
        <v>241</v>
      </c>
      <c r="D234" s="15">
        <v>75215.0</v>
      </c>
      <c r="F234" s="15">
        <f>IFERROR(__xludf.DUMMYFUNCTION("""COMPUTED_VALUE"""),76040.0)</f>
        <v>76040</v>
      </c>
      <c r="G234" s="26">
        <f t="shared" si="2"/>
        <v>6750</v>
      </c>
      <c r="J234" s="27">
        <f>IFERROR(__xludf.DUMMYFUNCTION("""COMPUTED_VALUE"""),76040.0)</f>
        <v>76040</v>
      </c>
      <c r="K234" s="28">
        <f t="shared" ref="K234:AT234" si="233">sumifs($B:$B,$D:$D,$J234,$C:$C,K$1)</f>
        <v>0</v>
      </c>
      <c r="L234" s="28">
        <f t="shared" si="233"/>
        <v>0</v>
      </c>
      <c r="M234" s="28">
        <f t="shared" si="233"/>
        <v>0</v>
      </c>
      <c r="N234" s="28">
        <f t="shared" si="233"/>
        <v>0</v>
      </c>
      <c r="O234" s="28">
        <f t="shared" si="233"/>
        <v>0</v>
      </c>
      <c r="P234" s="28">
        <f t="shared" si="233"/>
        <v>0</v>
      </c>
      <c r="Q234" s="28">
        <f t="shared" si="233"/>
        <v>0</v>
      </c>
      <c r="R234" s="28">
        <f t="shared" si="233"/>
        <v>0</v>
      </c>
      <c r="S234" s="28">
        <f t="shared" si="233"/>
        <v>0</v>
      </c>
      <c r="T234" s="28">
        <f t="shared" si="233"/>
        <v>0</v>
      </c>
      <c r="U234" s="28">
        <f t="shared" si="233"/>
        <v>0</v>
      </c>
      <c r="V234" s="28">
        <f t="shared" si="233"/>
        <v>0</v>
      </c>
      <c r="W234" s="28">
        <f t="shared" si="233"/>
        <v>0</v>
      </c>
      <c r="X234" s="28">
        <f t="shared" si="233"/>
        <v>0</v>
      </c>
      <c r="Y234" s="28">
        <f t="shared" si="233"/>
        <v>0</v>
      </c>
      <c r="Z234" s="28">
        <f t="shared" si="233"/>
        <v>0</v>
      </c>
      <c r="AA234" s="28">
        <f t="shared" si="233"/>
        <v>0</v>
      </c>
      <c r="AB234" s="28">
        <f t="shared" si="233"/>
        <v>0</v>
      </c>
      <c r="AC234" s="28">
        <f t="shared" si="233"/>
        <v>500</v>
      </c>
      <c r="AD234" s="28">
        <f t="shared" si="233"/>
        <v>0</v>
      </c>
      <c r="AE234" s="28">
        <f t="shared" si="233"/>
        <v>0</v>
      </c>
      <c r="AF234" s="28">
        <f t="shared" si="233"/>
        <v>0</v>
      </c>
      <c r="AG234" s="28">
        <f t="shared" si="233"/>
        <v>0</v>
      </c>
      <c r="AH234" s="28">
        <f t="shared" si="233"/>
        <v>0</v>
      </c>
      <c r="AI234" s="28">
        <f t="shared" si="233"/>
        <v>5000</v>
      </c>
      <c r="AJ234" s="28">
        <f t="shared" si="233"/>
        <v>0</v>
      </c>
      <c r="AK234" s="28">
        <f t="shared" si="233"/>
        <v>1250</v>
      </c>
      <c r="AL234" s="28">
        <f t="shared" si="233"/>
        <v>0</v>
      </c>
      <c r="AM234" s="28">
        <f t="shared" si="233"/>
        <v>0</v>
      </c>
      <c r="AN234" s="28">
        <f t="shared" si="233"/>
        <v>0</v>
      </c>
      <c r="AO234" s="28">
        <f t="shared" si="233"/>
        <v>0</v>
      </c>
      <c r="AP234" s="28">
        <f t="shared" si="233"/>
        <v>0</v>
      </c>
      <c r="AQ234" s="28">
        <f t="shared" si="233"/>
        <v>0</v>
      </c>
      <c r="AR234" s="28">
        <f t="shared" si="233"/>
        <v>0</v>
      </c>
      <c r="AS234" s="28">
        <f t="shared" si="233"/>
        <v>0</v>
      </c>
      <c r="AT234" s="28">
        <f t="shared" si="233"/>
        <v>0</v>
      </c>
    </row>
    <row r="235">
      <c r="A235" s="10" t="s">
        <v>244</v>
      </c>
      <c r="B235" s="11">
        <v>500.0</v>
      </c>
      <c r="C235" s="12" t="s">
        <v>35</v>
      </c>
      <c r="D235" s="15">
        <v>75019.0</v>
      </c>
      <c r="F235" s="15">
        <f>IFERROR(__xludf.DUMMYFUNCTION("""COMPUTED_VALUE"""),78759.0)</f>
        <v>78759</v>
      </c>
      <c r="G235" s="26">
        <f t="shared" si="2"/>
        <v>100</v>
      </c>
      <c r="J235" s="27">
        <f>IFERROR(__xludf.DUMMYFUNCTION("""COMPUTED_VALUE"""),78759.0)</f>
        <v>78759</v>
      </c>
      <c r="K235" s="28">
        <f t="shared" ref="K235:AT235" si="234">sumifs($B:$B,$D:$D,$J235,$C:$C,K$1)</f>
        <v>0</v>
      </c>
      <c r="L235" s="28">
        <f t="shared" si="234"/>
        <v>0</v>
      </c>
      <c r="M235" s="28">
        <f t="shared" si="234"/>
        <v>0</v>
      </c>
      <c r="N235" s="28">
        <f t="shared" si="234"/>
        <v>0</v>
      </c>
      <c r="O235" s="28">
        <f t="shared" si="234"/>
        <v>0</v>
      </c>
      <c r="P235" s="28">
        <f t="shared" si="234"/>
        <v>0</v>
      </c>
      <c r="Q235" s="28">
        <f t="shared" si="234"/>
        <v>0</v>
      </c>
      <c r="R235" s="28">
        <f t="shared" si="234"/>
        <v>0</v>
      </c>
      <c r="S235" s="28">
        <f t="shared" si="234"/>
        <v>0</v>
      </c>
      <c r="T235" s="28">
        <f t="shared" si="234"/>
        <v>0</v>
      </c>
      <c r="U235" s="28">
        <f t="shared" si="234"/>
        <v>0</v>
      </c>
      <c r="V235" s="28">
        <f t="shared" si="234"/>
        <v>0</v>
      </c>
      <c r="W235" s="28">
        <f t="shared" si="234"/>
        <v>0</v>
      </c>
      <c r="X235" s="28">
        <f t="shared" si="234"/>
        <v>0</v>
      </c>
      <c r="Y235" s="28">
        <f t="shared" si="234"/>
        <v>0</v>
      </c>
      <c r="Z235" s="28">
        <f t="shared" si="234"/>
        <v>0</v>
      </c>
      <c r="AA235" s="28">
        <f t="shared" si="234"/>
        <v>0</v>
      </c>
      <c r="AB235" s="28">
        <f t="shared" si="234"/>
        <v>0</v>
      </c>
      <c r="AC235" s="28">
        <f t="shared" si="234"/>
        <v>0</v>
      </c>
      <c r="AD235" s="28">
        <f t="shared" si="234"/>
        <v>0</v>
      </c>
      <c r="AE235" s="28">
        <f t="shared" si="234"/>
        <v>0</v>
      </c>
      <c r="AF235" s="28">
        <f t="shared" si="234"/>
        <v>0</v>
      </c>
      <c r="AG235" s="28">
        <f t="shared" si="234"/>
        <v>0</v>
      </c>
      <c r="AH235" s="28">
        <f t="shared" si="234"/>
        <v>0</v>
      </c>
      <c r="AI235" s="28">
        <f t="shared" si="234"/>
        <v>0</v>
      </c>
      <c r="AJ235" s="28">
        <f t="shared" si="234"/>
        <v>0</v>
      </c>
      <c r="AK235" s="28">
        <f t="shared" si="234"/>
        <v>0</v>
      </c>
      <c r="AL235" s="28">
        <f t="shared" si="234"/>
        <v>100</v>
      </c>
      <c r="AM235" s="28">
        <f t="shared" si="234"/>
        <v>0</v>
      </c>
      <c r="AN235" s="28">
        <f t="shared" si="234"/>
        <v>0</v>
      </c>
      <c r="AO235" s="28">
        <f t="shared" si="234"/>
        <v>0</v>
      </c>
      <c r="AP235" s="28">
        <f t="shared" si="234"/>
        <v>0</v>
      </c>
      <c r="AQ235" s="28">
        <f t="shared" si="234"/>
        <v>0</v>
      </c>
      <c r="AR235" s="28">
        <f t="shared" si="234"/>
        <v>0</v>
      </c>
      <c r="AS235" s="28">
        <f t="shared" si="234"/>
        <v>0</v>
      </c>
      <c r="AT235" s="28">
        <f t="shared" si="234"/>
        <v>0</v>
      </c>
    </row>
    <row r="236">
      <c r="A236" s="5"/>
      <c r="B236" s="6"/>
      <c r="C236" s="7"/>
      <c r="D236" s="15"/>
      <c r="F236" s="15">
        <f>IFERROR(__xludf.DUMMYFUNCTION("""COMPUTED_VALUE"""),77434.0)</f>
        <v>77434</v>
      </c>
      <c r="G236" s="26">
        <f t="shared" si="2"/>
        <v>500</v>
      </c>
      <c r="J236" s="27">
        <f>IFERROR(__xludf.DUMMYFUNCTION("""COMPUTED_VALUE"""),77434.0)</f>
        <v>77434</v>
      </c>
      <c r="K236" s="28">
        <f t="shared" ref="K236:AT236" si="235">sumifs($B:$B,$D:$D,$J236,$C:$C,K$1)</f>
        <v>0</v>
      </c>
      <c r="L236" s="28">
        <f t="shared" si="235"/>
        <v>0</v>
      </c>
      <c r="M236" s="28">
        <f t="shared" si="235"/>
        <v>0</v>
      </c>
      <c r="N236" s="28">
        <f t="shared" si="235"/>
        <v>0</v>
      </c>
      <c r="O236" s="28">
        <f t="shared" si="235"/>
        <v>0</v>
      </c>
      <c r="P236" s="28">
        <f t="shared" si="235"/>
        <v>0</v>
      </c>
      <c r="Q236" s="28">
        <f t="shared" si="235"/>
        <v>0</v>
      </c>
      <c r="R236" s="28">
        <f t="shared" si="235"/>
        <v>0</v>
      </c>
      <c r="S236" s="28">
        <f t="shared" si="235"/>
        <v>0</v>
      </c>
      <c r="T236" s="28">
        <f t="shared" si="235"/>
        <v>0</v>
      </c>
      <c r="U236" s="28">
        <f t="shared" si="235"/>
        <v>0</v>
      </c>
      <c r="V236" s="28">
        <f t="shared" si="235"/>
        <v>0</v>
      </c>
      <c r="W236" s="28">
        <f t="shared" si="235"/>
        <v>0</v>
      </c>
      <c r="X236" s="28">
        <f t="shared" si="235"/>
        <v>0</v>
      </c>
      <c r="Y236" s="28">
        <f t="shared" si="235"/>
        <v>0</v>
      </c>
      <c r="Z236" s="28">
        <f t="shared" si="235"/>
        <v>0</v>
      </c>
      <c r="AA236" s="28">
        <f t="shared" si="235"/>
        <v>0</v>
      </c>
      <c r="AB236" s="28">
        <f t="shared" si="235"/>
        <v>0</v>
      </c>
      <c r="AC236" s="28">
        <f t="shared" si="235"/>
        <v>0</v>
      </c>
      <c r="AD236" s="28">
        <f t="shared" si="235"/>
        <v>0</v>
      </c>
      <c r="AE236" s="28">
        <f t="shared" si="235"/>
        <v>0</v>
      </c>
      <c r="AF236" s="28">
        <f t="shared" si="235"/>
        <v>0</v>
      </c>
      <c r="AG236" s="28">
        <f t="shared" si="235"/>
        <v>0</v>
      </c>
      <c r="AH236" s="28">
        <f t="shared" si="235"/>
        <v>0</v>
      </c>
      <c r="AI236" s="28">
        <f t="shared" si="235"/>
        <v>500</v>
      </c>
      <c r="AJ236" s="28">
        <f t="shared" si="235"/>
        <v>0</v>
      </c>
      <c r="AK236" s="28">
        <f t="shared" si="235"/>
        <v>0</v>
      </c>
      <c r="AL236" s="28">
        <f t="shared" si="235"/>
        <v>0</v>
      </c>
      <c r="AM236" s="28">
        <f t="shared" si="235"/>
        <v>0</v>
      </c>
      <c r="AN236" s="28">
        <f t="shared" si="235"/>
        <v>0</v>
      </c>
      <c r="AO236" s="28">
        <f t="shared" si="235"/>
        <v>0</v>
      </c>
      <c r="AP236" s="28">
        <f t="shared" si="235"/>
        <v>0</v>
      </c>
      <c r="AQ236" s="28">
        <f t="shared" si="235"/>
        <v>0</v>
      </c>
      <c r="AR236" s="28">
        <f t="shared" si="235"/>
        <v>0</v>
      </c>
      <c r="AS236" s="28">
        <f t="shared" si="235"/>
        <v>0</v>
      </c>
      <c r="AT236" s="28">
        <f t="shared" si="235"/>
        <v>0</v>
      </c>
    </row>
    <row r="237">
      <c r="A237" s="10"/>
      <c r="B237" s="11"/>
      <c r="C237" s="12"/>
      <c r="D237" s="15"/>
      <c r="F237" s="15">
        <f>IFERROR(__xludf.DUMMYFUNCTION("""COMPUTED_VALUE"""),77019.0)</f>
        <v>77019</v>
      </c>
      <c r="G237" s="26">
        <f t="shared" si="2"/>
        <v>3250</v>
      </c>
      <c r="J237" s="27">
        <f>IFERROR(__xludf.DUMMYFUNCTION("""COMPUTED_VALUE"""),77019.0)</f>
        <v>77019</v>
      </c>
      <c r="K237" s="28">
        <f t="shared" ref="K237:AT237" si="236">sumifs($B:$B,$D:$D,$J237,$C:$C,K$1)</f>
        <v>0</v>
      </c>
      <c r="L237" s="28">
        <f t="shared" si="236"/>
        <v>0</v>
      </c>
      <c r="M237" s="28">
        <f t="shared" si="236"/>
        <v>0</v>
      </c>
      <c r="N237" s="28">
        <f t="shared" si="236"/>
        <v>0</v>
      </c>
      <c r="O237" s="28">
        <f t="shared" si="236"/>
        <v>0</v>
      </c>
      <c r="P237" s="28">
        <f t="shared" si="236"/>
        <v>0</v>
      </c>
      <c r="Q237" s="28">
        <f t="shared" si="236"/>
        <v>0</v>
      </c>
      <c r="R237" s="28">
        <f t="shared" si="236"/>
        <v>0</v>
      </c>
      <c r="S237" s="28">
        <f t="shared" si="236"/>
        <v>0</v>
      </c>
      <c r="T237" s="28">
        <f t="shared" si="236"/>
        <v>0</v>
      </c>
      <c r="U237" s="28">
        <f t="shared" si="236"/>
        <v>0</v>
      </c>
      <c r="V237" s="28">
        <f t="shared" si="236"/>
        <v>0</v>
      </c>
      <c r="W237" s="28">
        <f t="shared" si="236"/>
        <v>0</v>
      </c>
      <c r="X237" s="28">
        <f t="shared" si="236"/>
        <v>0</v>
      </c>
      <c r="Y237" s="28">
        <f t="shared" si="236"/>
        <v>0</v>
      </c>
      <c r="Z237" s="28">
        <f t="shared" si="236"/>
        <v>0</v>
      </c>
      <c r="AA237" s="28">
        <f t="shared" si="236"/>
        <v>0</v>
      </c>
      <c r="AB237" s="28">
        <f t="shared" si="236"/>
        <v>0</v>
      </c>
      <c r="AC237" s="28">
        <f t="shared" si="236"/>
        <v>0</v>
      </c>
      <c r="AD237" s="28">
        <f t="shared" si="236"/>
        <v>0</v>
      </c>
      <c r="AE237" s="28">
        <f t="shared" si="236"/>
        <v>0</v>
      </c>
      <c r="AF237" s="28">
        <f t="shared" si="236"/>
        <v>0</v>
      </c>
      <c r="AG237" s="28">
        <f t="shared" si="236"/>
        <v>0</v>
      </c>
      <c r="AH237" s="28">
        <f t="shared" si="236"/>
        <v>0</v>
      </c>
      <c r="AI237" s="28">
        <f t="shared" si="236"/>
        <v>3250</v>
      </c>
      <c r="AJ237" s="28">
        <f t="shared" si="236"/>
        <v>0</v>
      </c>
      <c r="AK237" s="28">
        <f t="shared" si="236"/>
        <v>0</v>
      </c>
      <c r="AL237" s="28">
        <f t="shared" si="236"/>
        <v>0</v>
      </c>
      <c r="AM237" s="28">
        <f t="shared" si="236"/>
        <v>0</v>
      </c>
      <c r="AN237" s="28">
        <f t="shared" si="236"/>
        <v>0</v>
      </c>
      <c r="AO237" s="28">
        <f t="shared" si="236"/>
        <v>0</v>
      </c>
      <c r="AP237" s="28">
        <f t="shared" si="236"/>
        <v>0</v>
      </c>
      <c r="AQ237" s="28">
        <f t="shared" si="236"/>
        <v>0</v>
      </c>
      <c r="AR237" s="28">
        <f t="shared" si="236"/>
        <v>0</v>
      </c>
      <c r="AS237" s="28">
        <f t="shared" si="236"/>
        <v>0</v>
      </c>
      <c r="AT237" s="28">
        <f t="shared" si="236"/>
        <v>0</v>
      </c>
    </row>
    <row r="238">
      <c r="A238" s="5"/>
      <c r="B238" s="6"/>
      <c r="C238" s="7"/>
      <c r="D238" s="15"/>
      <c r="F238" s="15">
        <f>IFERROR(__xludf.DUMMYFUNCTION("""COMPUTED_VALUE"""),787701.0)</f>
        <v>787701</v>
      </c>
      <c r="G238" s="26">
        <f t="shared" si="2"/>
        <v>5000</v>
      </c>
      <c r="J238" s="27">
        <f>IFERROR(__xludf.DUMMYFUNCTION("""COMPUTED_VALUE"""),787701.0)</f>
        <v>787701</v>
      </c>
      <c r="K238" s="28">
        <f t="shared" ref="K238:AT238" si="237">sumifs($B:$B,$D:$D,$J238,$C:$C,K$1)</f>
        <v>0</v>
      </c>
      <c r="L238" s="28">
        <f t="shared" si="237"/>
        <v>0</v>
      </c>
      <c r="M238" s="28">
        <f t="shared" si="237"/>
        <v>0</v>
      </c>
      <c r="N238" s="28">
        <f t="shared" si="237"/>
        <v>0</v>
      </c>
      <c r="O238" s="28">
        <f t="shared" si="237"/>
        <v>0</v>
      </c>
      <c r="P238" s="28">
        <f t="shared" si="237"/>
        <v>0</v>
      </c>
      <c r="Q238" s="28">
        <f t="shared" si="237"/>
        <v>0</v>
      </c>
      <c r="R238" s="28">
        <f t="shared" si="237"/>
        <v>0</v>
      </c>
      <c r="S238" s="28">
        <f t="shared" si="237"/>
        <v>0</v>
      </c>
      <c r="T238" s="28">
        <f t="shared" si="237"/>
        <v>0</v>
      </c>
      <c r="U238" s="28">
        <f t="shared" si="237"/>
        <v>0</v>
      </c>
      <c r="V238" s="28">
        <f t="shared" si="237"/>
        <v>0</v>
      </c>
      <c r="W238" s="28">
        <f t="shared" si="237"/>
        <v>0</v>
      </c>
      <c r="X238" s="28">
        <f t="shared" si="237"/>
        <v>0</v>
      </c>
      <c r="Y238" s="28">
        <f t="shared" si="237"/>
        <v>0</v>
      </c>
      <c r="Z238" s="28">
        <f t="shared" si="237"/>
        <v>0</v>
      </c>
      <c r="AA238" s="28">
        <f t="shared" si="237"/>
        <v>0</v>
      </c>
      <c r="AB238" s="28">
        <f t="shared" si="237"/>
        <v>0</v>
      </c>
      <c r="AC238" s="28">
        <f t="shared" si="237"/>
        <v>0</v>
      </c>
      <c r="AD238" s="28">
        <f t="shared" si="237"/>
        <v>0</v>
      </c>
      <c r="AE238" s="28">
        <f t="shared" si="237"/>
        <v>0</v>
      </c>
      <c r="AF238" s="28">
        <f t="shared" si="237"/>
        <v>0</v>
      </c>
      <c r="AG238" s="28">
        <f t="shared" si="237"/>
        <v>0</v>
      </c>
      <c r="AH238" s="28">
        <f t="shared" si="237"/>
        <v>0</v>
      </c>
      <c r="AI238" s="28">
        <f t="shared" si="237"/>
        <v>5000</v>
      </c>
      <c r="AJ238" s="28">
        <f t="shared" si="237"/>
        <v>0</v>
      </c>
      <c r="AK238" s="28">
        <f t="shared" si="237"/>
        <v>0</v>
      </c>
      <c r="AL238" s="28">
        <f t="shared" si="237"/>
        <v>0</v>
      </c>
      <c r="AM238" s="28">
        <f t="shared" si="237"/>
        <v>0</v>
      </c>
      <c r="AN238" s="28">
        <f t="shared" si="237"/>
        <v>0</v>
      </c>
      <c r="AO238" s="28">
        <f t="shared" si="237"/>
        <v>0</v>
      </c>
      <c r="AP238" s="28">
        <f t="shared" si="237"/>
        <v>0</v>
      </c>
      <c r="AQ238" s="28">
        <f t="shared" si="237"/>
        <v>0</v>
      </c>
      <c r="AR238" s="28">
        <f t="shared" si="237"/>
        <v>0</v>
      </c>
      <c r="AS238" s="28">
        <f t="shared" si="237"/>
        <v>0</v>
      </c>
      <c r="AT238" s="28">
        <f t="shared" si="237"/>
        <v>0</v>
      </c>
    </row>
    <row r="239">
      <c r="A239" s="10" t="s">
        <v>248</v>
      </c>
      <c r="B239" s="11">
        <v>500.0</v>
      </c>
      <c r="C239" s="12" t="s">
        <v>35</v>
      </c>
      <c r="D239" s="15">
        <v>75019.0</v>
      </c>
      <c r="F239" s="15">
        <f>IFERROR(__xludf.DUMMYFUNCTION("""COMPUTED_VALUE"""),77010.0)</f>
        <v>77010</v>
      </c>
      <c r="G239" s="26">
        <f t="shared" si="2"/>
        <v>2500</v>
      </c>
      <c r="J239" s="27">
        <f>IFERROR(__xludf.DUMMYFUNCTION("""COMPUTED_VALUE"""),77010.0)</f>
        <v>77010</v>
      </c>
      <c r="K239" s="28">
        <f t="shared" ref="K239:AT239" si="238">sumifs($B:$B,$D:$D,$J239,$C:$C,K$1)</f>
        <v>0</v>
      </c>
      <c r="L239" s="28">
        <f t="shared" si="238"/>
        <v>0</v>
      </c>
      <c r="M239" s="28">
        <f t="shared" si="238"/>
        <v>0</v>
      </c>
      <c r="N239" s="28">
        <f t="shared" si="238"/>
        <v>0</v>
      </c>
      <c r="O239" s="28">
        <f t="shared" si="238"/>
        <v>0</v>
      </c>
      <c r="P239" s="28">
        <f t="shared" si="238"/>
        <v>0</v>
      </c>
      <c r="Q239" s="28">
        <f t="shared" si="238"/>
        <v>0</v>
      </c>
      <c r="R239" s="28">
        <f t="shared" si="238"/>
        <v>0</v>
      </c>
      <c r="S239" s="28">
        <f t="shared" si="238"/>
        <v>0</v>
      </c>
      <c r="T239" s="28">
        <f t="shared" si="238"/>
        <v>0</v>
      </c>
      <c r="U239" s="28">
        <f t="shared" si="238"/>
        <v>0</v>
      </c>
      <c r="V239" s="28">
        <f t="shared" si="238"/>
        <v>0</v>
      </c>
      <c r="W239" s="28">
        <f t="shared" si="238"/>
        <v>0</v>
      </c>
      <c r="X239" s="28">
        <f t="shared" si="238"/>
        <v>0</v>
      </c>
      <c r="Y239" s="28">
        <f t="shared" si="238"/>
        <v>0</v>
      </c>
      <c r="Z239" s="28">
        <f t="shared" si="238"/>
        <v>0</v>
      </c>
      <c r="AA239" s="28">
        <f t="shared" si="238"/>
        <v>0</v>
      </c>
      <c r="AB239" s="28">
        <f t="shared" si="238"/>
        <v>0</v>
      </c>
      <c r="AC239" s="28">
        <f t="shared" si="238"/>
        <v>0</v>
      </c>
      <c r="AD239" s="28">
        <f t="shared" si="238"/>
        <v>0</v>
      </c>
      <c r="AE239" s="28">
        <f t="shared" si="238"/>
        <v>0</v>
      </c>
      <c r="AF239" s="28">
        <f t="shared" si="238"/>
        <v>0</v>
      </c>
      <c r="AG239" s="28">
        <f t="shared" si="238"/>
        <v>0</v>
      </c>
      <c r="AH239" s="28">
        <f t="shared" si="238"/>
        <v>0</v>
      </c>
      <c r="AI239" s="28">
        <f t="shared" si="238"/>
        <v>2500</v>
      </c>
      <c r="AJ239" s="28">
        <f t="shared" si="238"/>
        <v>0</v>
      </c>
      <c r="AK239" s="28">
        <f t="shared" si="238"/>
        <v>0</v>
      </c>
      <c r="AL239" s="28">
        <f t="shared" si="238"/>
        <v>0</v>
      </c>
      <c r="AM239" s="28">
        <f t="shared" si="238"/>
        <v>0</v>
      </c>
      <c r="AN239" s="28">
        <f t="shared" si="238"/>
        <v>0</v>
      </c>
      <c r="AO239" s="28">
        <f t="shared" si="238"/>
        <v>0</v>
      </c>
      <c r="AP239" s="28">
        <f t="shared" si="238"/>
        <v>0</v>
      </c>
      <c r="AQ239" s="28">
        <f t="shared" si="238"/>
        <v>0</v>
      </c>
      <c r="AR239" s="28">
        <f t="shared" si="238"/>
        <v>0</v>
      </c>
      <c r="AS239" s="28">
        <f t="shared" si="238"/>
        <v>0</v>
      </c>
      <c r="AT239" s="28">
        <f t="shared" si="238"/>
        <v>0</v>
      </c>
    </row>
    <row r="240">
      <c r="A240" s="5" t="s">
        <v>249</v>
      </c>
      <c r="B240" s="6">
        <v>1000.0</v>
      </c>
      <c r="C240" s="7" t="s">
        <v>35</v>
      </c>
      <c r="D240" s="15">
        <v>75048.0</v>
      </c>
      <c r="F240" s="15">
        <f>IFERROR(__xludf.DUMMYFUNCTION("""COMPUTED_VALUE"""),77042.0)</f>
        <v>77042</v>
      </c>
      <c r="G240" s="26">
        <f t="shared" si="2"/>
        <v>500</v>
      </c>
      <c r="J240" s="27">
        <f>IFERROR(__xludf.DUMMYFUNCTION("""COMPUTED_VALUE"""),77042.0)</f>
        <v>77042</v>
      </c>
      <c r="K240" s="28">
        <f t="shared" ref="K240:AT240" si="239">sumifs($B:$B,$D:$D,$J240,$C:$C,K$1)</f>
        <v>0</v>
      </c>
      <c r="L240" s="28">
        <f t="shared" si="239"/>
        <v>0</v>
      </c>
      <c r="M240" s="28">
        <f t="shared" si="239"/>
        <v>0</v>
      </c>
      <c r="N240" s="28">
        <f t="shared" si="239"/>
        <v>0</v>
      </c>
      <c r="O240" s="28">
        <f t="shared" si="239"/>
        <v>0</v>
      </c>
      <c r="P240" s="28">
        <f t="shared" si="239"/>
        <v>0</v>
      </c>
      <c r="Q240" s="28">
        <f t="shared" si="239"/>
        <v>0</v>
      </c>
      <c r="R240" s="28">
        <f t="shared" si="239"/>
        <v>0</v>
      </c>
      <c r="S240" s="28">
        <f t="shared" si="239"/>
        <v>0</v>
      </c>
      <c r="T240" s="28">
        <f t="shared" si="239"/>
        <v>0</v>
      </c>
      <c r="U240" s="28">
        <f t="shared" si="239"/>
        <v>0</v>
      </c>
      <c r="V240" s="28">
        <f t="shared" si="239"/>
        <v>0</v>
      </c>
      <c r="W240" s="28">
        <f t="shared" si="239"/>
        <v>0</v>
      </c>
      <c r="X240" s="28">
        <f t="shared" si="239"/>
        <v>0</v>
      </c>
      <c r="Y240" s="28">
        <f t="shared" si="239"/>
        <v>0</v>
      </c>
      <c r="Z240" s="28">
        <f t="shared" si="239"/>
        <v>0</v>
      </c>
      <c r="AA240" s="28">
        <f t="shared" si="239"/>
        <v>0</v>
      </c>
      <c r="AB240" s="28">
        <f t="shared" si="239"/>
        <v>0</v>
      </c>
      <c r="AC240" s="28">
        <f t="shared" si="239"/>
        <v>0</v>
      </c>
      <c r="AD240" s="28">
        <f t="shared" si="239"/>
        <v>0</v>
      </c>
      <c r="AE240" s="28">
        <f t="shared" si="239"/>
        <v>0</v>
      </c>
      <c r="AF240" s="28">
        <f t="shared" si="239"/>
        <v>0</v>
      </c>
      <c r="AG240" s="28">
        <f t="shared" si="239"/>
        <v>0</v>
      </c>
      <c r="AH240" s="28">
        <f t="shared" si="239"/>
        <v>0</v>
      </c>
      <c r="AI240" s="28">
        <f t="shared" si="239"/>
        <v>500</v>
      </c>
      <c r="AJ240" s="28">
        <f t="shared" si="239"/>
        <v>0</v>
      </c>
      <c r="AK240" s="28">
        <f t="shared" si="239"/>
        <v>0</v>
      </c>
      <c r="AL240" s="28">
        <f t="shared" si="239"/>
        <v>0</v>
      </c>
      <c r="AM240" s="28">
        <f t="shared" si="239"/>
        <v>0</v>
      </c>
      <c r="AN240" s="28">
        <f t="shared" si="239"/>
        <v>0</v>
      </c>
      <c r="AO240" s="28">
        <f t="shared" si="239"/>
        <v>0</v>
      </c>
      <c r="AP240" s="28">
        <f t="shared" si="239"/>
        <v>0</v>
      </c>
      <c r="AQ240" s="28">
        <f t="shared" si="239"/>
        <v>0</v>
      </c>
      <c r="AR240" s="28">
        <f t="shared" si="239"/>
        <v>0</v>
      </c>
      <c r="AS240" s="28">
        <f t="shared" si="239"/>
        <v>0</v>
      </c>
      <c r="AT240" s="28">
        <f t="shared" si="239"/>
        <v>0</v>
      </c>
    </row>
    <row r="241">
      <c r="A241" s="10" t="s">
        <v>250</v>
      </c>
      <c r="B241" s="11">
        <v>500.0</v>
      </c>
      <c r="C241" s="12" t="s">
        <v>35</v>
      </c>
      <c r="D241" s="15">
        <v>75063.0</v>
      </c>
      <c r="F241" s="15">
        <f>IFERROR(__xludf.DUMMYFUNCTION("""COMPUTED_VALUE"""),78738.0)</f>
        <v>78738</v>
      </c>
      <c r="G241" s="26">
        <f t="shared" si="2"/>
        <v>2000</v>
      </c>
      <c r="J241" s="27">
        <f>IFERROR(__xludf.DUMMYFUNCTION("""COMPUTED_VALUE"""),78738.0)</f>
        <v>78738</v>
      </c>
      <c r="K241" s="28">
        <f t="shared" ref="K241:AT241" si="240">sumifs($B:$B,$D:$D,$J241,$C:$C,K$1)</f>
        <v>0</v>
      </c>
      <c r="L241" s="28">
        <f t="shared" si="240"/>
        <v>0</v>
      </c>
      <c r="M241" s="28">
        <f t="shared" si="240"/>
        <v>0</v>
      </c>
      <c r="N241" s="28">
        <f t="shared" si="240"/>
        <v>0</v>
      </c>
      <c r="O241" s="28">
        <f t="shared" si="240"/>
        <v>0</v>
      </c>
      <c r="P241" s="28">
        <f t="shared" si="240"/>
        <v>0</v>
      </c>
      <c r="Q241" s="28">
        <f t="shared" si="240"/>
        <v>0</v>
      </c>
      <c r="R241" s="28">
        <f t="shared" si="240"/>
        <v>0</v>
      </c>
      <c r="S241" s="28">
        <f t="shared" si="240"/>
        <v>0</v>
      </c>
      <c r="T241" s="28">
        <f t="shared" si="240"/>
        <v>0</v>
      </c>
      <c r="U241" s="28">
        <f t="shared" si="240"/>
        <v>0</v>
      </c>
      <c r="V241" s="28">
        <f t="shared" si="240"/>
        <v>0</v>
      </c>
      <c r="W241" s="28">
        <f t="shared" si="240"/>
        <v>0</v>
      </c>
      <c r="X241" s="28">
        <f t="shared" si="240"/>
        <v>0</v>
      </c>
      <c r="Y241" s="28">
        <f t="shared" si="240"/>
        <v>0</v>
      </c>
      <c r="Z241" s="28">
        <f t="shared" si="240"/>
        <v>0</v>
      </c>
      <c r="AA241" s="28">
        <f t="shared" si="240"/>
        <v>0</v>
      </c>
      <c r="AB241" s="28">
        <f t="shared" si="240"/>
        <v>0</v>
      </c>
      <c r="AC241" s="28">
        <f t="shared" si="240"/>
        <v>0</v>
      </c>
      <c r="AD241" s="28">
        <f t="shared" si="240"/>
        <v>0</v>
      </c>
      <c r="AE241" s="28">
        <f t="shared" si="240"/>
        <v>0</v>
      </c>
      <c r="AF241" s="28">
        <f t="shared" si="240"/>
        <v>0</v>
      </c>
      <c r="AG241" s="28">
        <f t="shared" si="240"/>
        <v>0</v>
      </c>
      <c r="AH241" s="28">
        <f t="shared" si="240"/>
        <v>0</v>
      </c>
      <c r="AI241" s="28">
        <f t="shared" si="240"/>
        <v>2000</v>
      </c>
      <c r="AJ241" s="28">
        <f t="shared" si="240"/>
        <v>0</v>
      </c>
      <c r="AK241" s="28">
        <f t="shared" si="240"/>
        <v>0</v>
      </c>
      <c r="AL241" s="28">
        <f t="shared" si="240"/>
        <v>0</v>
      </c>
      <c r="AM241" s="28">
        <f t="shared" si="240"/>
        <v>0</v>
      </c>
      <c r="AN241" s="28">
        <f t="shared" si="240"/>
        <v>0</v>
      </c>
      <c r="AO241" s="28">
        <f t="shared" si="240"/>
        <v>0</v>
      </c>
      <c r="AP241" s="28">
        <f t="shared" si="240"/>
        <v>0</v>
      </c>
      <c r="AQ241" s="28">
        <f t="shared" si="240"/>
        <v>0</v>
      </c>
      <c r="AR241" s="28">
        <f t="shared" si="240"/>
        <v>0</v>
      </c>
      <c r="AS241" s="28">
        <f t="shared" si="240"/>
        <v>0</v>
      </c>
      <c r="AT241" s="28">
        <f t="shared" si="240"/>
        <v>0</v>
      </c>
    </row>
    <row r="242">
      <c r="A242" s="5"/>
      <c r="B242" s="6"/>
      <c r="C242" s="7"/>
      <c r="D242" s="15"/>
      <c r="F242" s="15">
        <f>IFERROR(__xludf.DUMMYFUNCTION("""COMPUTED_VALUE"""),76448.0)</f>
        <v>76448</v>
      </c>
      <c r="G242" s="26">
        <f t="shared" si="2"/>
        <v>1500</v>
      </c>
      <c r="J242" s="27">
        <f>IFERROR(__xludf.DUMMYFUNCTION("""COMPUTED_VALUE"""),76448.0)</f>
        <v>76448</v>
      </c>
      <c r="K242" s="28">
        <f t="shared" ref="K242:AT242" si="241">sumifs($B:$B,$D:$D,$J242,$C:$C,K$1)</f>
        <v>0</v>
      </c>
      <c r="L242" s="28">
        <f t="shared" si="241"/>
        <v>0</v>
      </c>
      <c r="M242" s="28">
        <f t="shared" si="241"/>
        <v>0</v>
      </c>
      <c r="N242" s="28">
        <f t="shared" si="241"/>
        <v>0</v>
      </c>
      <c r="O242" s="28">
        <f t="shared" si="241"/>
        <v>0</v>
      </c>
      <c r="P242" s="28">
        <f t="shared" si="241"/>
        <v>0</v>
      </c>
      <c r="Q242" s="28">
        <f t="shared" si="241"/>
        <v>0</v>
      </c>
      <c r="R242" s="28">
        <f t="shared" si="241"/>
        <v>0</v>
      </c>
      <c r="S242" s="28">
        <f t="shared" si="241"/>
        <v>0</v>
      </c>
      <c r="T242" s="28">
        <f t="shared" si="241"/>
        <v>0</v>
      </c>
      <c r="U242" s="28">
        <f t="shared" si="241"/>
        <v>0</v>
      </c>
      <c r="V242" s="28">
        <f t="shared" si="241"/>
        <v>0</v>
      </c>
      <c r="W242" s="28">
        <f t="shared" si="241"/>
        <v>0</v>
      </c>
      <c r="X242" s="28">
        <f t="shared" si="241"/>
        <v>0</v>
      </c>
      <c r="Y242" s="28">
        <f t="shared" si="241"/>
        <v>0</v>
      </c>
      <c r="Z242" s="28">
        <f t="shared" si="241"/>
        <v>0</v>
      </c>
      <c r="AA242" s="28">
        <f t="shared" si="241"/>
        <v>0</v>
      </c>
      <c r="AB242" s="28">
        <f t="shared" si="241"/>
        <v>0</v>
      </c>
      <c r="AC242" s="28">
        <f t="shared" si="241"/>
        <v>0</v>
      </c>
      <c r="AD242" s="28">
        <f t="shared" si="241"/>
        <v>0</v>
      </c>
      <c r="AE242" s="28">
        <f t="shared" si="241"/>
        <v>0</v>
      </c>
      <c r="AF242" s="28">
        <f t="shared" si="241"/>
        <v>0</v>
      </c>
      <c r="AG242" s="28">
        <f t="shared" si="241"/>
        <v>0</v>
      </c>
      <c r="AH242" s="28">
        <f t="shared" si="241"/>
        <v>0</v>
      </c>
      <c r="AI242" s="28">
        <f t="shared" si="241"/>
        <v>1500</v>
      </c>
      <c r="AJ242" s="28">
        <f t="shared" si="241"/>
        <v>0</v>
      </c>
      <c r="AK242" s="28">
        <f t="shared" si="241"/>
        <v>0</v>
      </c>
      <c r="AL242" s="28">
        <f t="shared" si="241"/>
        <v>0</v>
      </c>
      <c r="AM242" s="28">
        <f t="shared" si="241"/>
        <v>0</v>
      </c>
      <c r="AN242" s="28">
        <f t="shared" si="241"/>
        <v>0</v>
      </c>
      <c r="AO242" s="28">
        <f t="shared" si="241"/>
        <v>0</v>
      </c>
      <c r="AP242" s="28">
        <f t="shared" si="241"/>
        <v>0</v>
      </c>
      <c r="AQ242" s="28">
        <f t="shared" si="241"/>
        <v>0</v>
      </c>
      <c r="AR242" s="28">
        <f t="shared" si="241"/>
        <v>0</v>
      </c>
      <c r="AS242" s="28">
        <f t="shared" si="241"/>
        <v>0</v>
      </c>
      <c r="AT242" s="28">
        <f t="shared" si="241"/>
        <v>0</v>
      </c>
    </row>
    <row r="243">
      <c r="A243" s="10"/>
      <c r="B243" s="11"/>
      <c r="C243" s="12"/>
      <c r="D243" s="15"/>
      <c r="F243" s="15">
        <f>IFERROR(__xludf.DUMMYFUNCTION("""COMPUTED_VALUE"""),77077.0)</f>
        <v>77077</v>
      </c>
      <c r="G243" s="26">
        <f t="shared" si="2"/>
        <v>2000</v>
      </c>
      <c r="J243" s="27">
        <f>IFERROR(__xludf.DUMMYFUNCTION("""COMPUTED_VALUE"""),77077.0)</f>
        <v>77077</v>
      </c>
      <c r="K243" s="28">
        <f t="shared" ref="K243:AT243" si="242">sumifs($B:$B,$D:$D,$J243,$C:$C,K$1)</f>
        <v>0</v>
      </c>
      <c r="L243" s="28">
        <f t="shared" si="242"/>
        <v>0</v>
      </c>
      <c r="M243" s="28">
        <f t="shared" si="242"/>
        <v>0</v>
      </c>
      <c r="N243" s="28">
        <f t="shared" si="242"/>
        <v>0</v>
      </c>
      <c r="O243" s="28">
        <f t="shared" si="242"/>
        <v>0</v>
      </c>
      <c r="P243" s="28">
        <f t="shared" si="242"/>
        <v>0</v>
      </c>
      <c r="Q243" s="28">
        <f t="shared" si="242"/>
        <v>0</v>
      </c>
      <c r="R243" s="28">
        <f t="shared" si="242"/>
        <v>0</v>
      </c>
      <c r="S243" s="28">
        <f t="shared" si="242"/>
        <v>0</v>
      </c>
      <c r="T243" s="28">
        <f t="shared" si="242"/>
        <v>0</v>
      </c>
      <c r="U243" s="28">
        <f t="shared" si="242"/>
        <v>0</v>
      </c>
      <c r="V243" s="28">
        <f t="shared" si="242"/>
        <v>0</v>
      </c>
      <c r="W243" s="28">
        <f t="shared" si="242"/>
        <v>0</v>
      </c>
      <c r="X243" s="28">
        <f t="shared" si="242"/>
        <v>0</v>
      </c>
      <c r="Y243" s="28">
        <f t="shared" si="242"/>
        <v>0</v>
      </c>
      <c r="Z243" s="28">
        <f t="shared" si="242"/>
        <v>0</v>
      </c>
      <c r="AA243" s="28">
        <f t="shared" si="242"/>
        <v>0</v>
      </c>
      <c r="AB243" s="28">
        <f t="shared" si="242"/>
        <v>0</v>
      </c>
      <c r="AC243" s="28">
        <f t="shared" si="242"/>
        <v>0</v>
      </c>
      <c r="AD243" s="28">
        <f t="shared" si="242"/>
        <v>0</v>
      </c>
      <c r="AE243" s="28">
        <f t="shared" si="242"/>
        <v>0</v>
      </c>
      <c r="AF243" s="28">
        <f t="shared" si="242"/>
        <v>0</v>
      </c>
      <c r="AG243" s="28">
        <f t="shared" si="242"/>
        <v>0</v>
      </c>
      <c r="AH243" s="28">
        <f t="shared" si="242"/>
        <v>0</v>
      </c>
      <c r="AI243" s="28">
        <f t="shared" si="242"/>
        <v>2000</v>
      </c>
      <c r="AJ243" s="28">
        <f t="shared" si="242"/>
        <v>0</v>
      </c>
      <c r="AK243" s="28">
        <f t="shared" si="242"/>
        <v>0</v>
      </c>
      <c r="AL243" s="28">
        <f t="shared" si="242"/>
        <v>0</v>
      </c>
      <c r="AM243" s="28">
        <f t="shared" si="242"/>
        <v>0</v>
      </c>
      <c r="AN243" s="28">
        <f t="shared" si="242"/>
        <v>0</v>
      </c>
      <c r="AO243" s="28">
        <f t="shared" si="242"/>
        <v>0</v>
      </c>
      <c r="AP243" s="28">
        <f t="shared" si="242"/>
        <v>0</v>
      </c>
      <c r="AQ243" s="28">
        <f t="shared" si="242"/>
        <v>0</v>
      </c>
      <c r="AR243" s="28">
        <f t="shared" si="242"/>
        <v>0</v>
      </c>
      <c r="AS243" s="28">
        <f t="shared" si="242"/>
        <v>0</v>
      </c>
      <c r="AT243" s="28">
        <f t="shared" si="242"/>
        <v>0</v>
      </c>
    </row>
    <row r="244">
      <c r="A244" s="5" t="s">
        <v>253</v>
      </c>
      <c r="B244" s="6">
        <v>500.0</v>
      </c>
      <c r="C244" s="7" t="s">
        <v>35</v>
      </c>
      <c r="D244" s="15">
        <v>75007.0</v>
      </c>
      <c r="F244" s="15">
        <f>IFERROR(__xludf.DUMMYFUNCTION("""COMPUTED_VALUE"""),78768.0)</f>
        <v>78768</v>
      </c>
      <c r="G244" s="26">
        <f t="shared" si="2"/>
        <v>17500</v>
      </c>
      <c r="J244" s="27">
        <f>IFERROR(__xludf.DUMMYFUNCTION("""COMPUTED_VALUE"""),78768.0)</f>
        <v>78768</v>
      </c>
      <c r="K244" s="28">
        <f t="shared" ref="K244:AT244" si="243">sumifs($B:$B,$D:$D,$J244,$C:$C,K$1)</f>
        <v>0</v>
      </c>
      <c r="L244" s="28">
        <f t="shared" si="243"/>
        <v>0</v>
      </c>
      <c r="M244" s="28">
        <f t="shared" si="243"/>
        <v>0</v>
      </c>
      <c r="N244" s="28">
        <f t="shared" si="243"/>
        <v>0</v>
      </c>
      <c r="O244" s="28">
        <f t="shared" si="243"/>
        <v>0</v>
      </c>
      <c r="P244" s="28">
        <f t="shared" si="243"/>
        <v>0</v>
      </c>
      <c r="Q244" s="28">
        <f t="shared" si="243"/>
        <v>0</v>
      </c>
      <c r="R244" s="28">
        <f t="shared" si="243"/>
        <v>0</v>
      </c>
      <c r="S244" s="28">
        <f t="shared" si="243"/>
        <v>0</v>
      </c>
      <c r="T244" s="28">
        <f t="shared" si="243"/>
        <v>0</v>
      </c>
      <c r="U244" s="28">
        <f t="shared" si="243"/>
        <v>0</v>
      </c>
      <c r="V244" s="28">
        <f t="shared" si="243"/>
        <v>0</v>
      </c>
      <c r="W244" s="28">
        <f t="shared" si="243"/>
        <v>0</v>
      </c>
      <c r="X244" s="28">
        <f t="shared" si="243"/>
        <v>0</v>
      </c>
      <c r="Y244" s="28">
        <f t="shared" si="243"/>
        <v>0</v>
      </c>
      <c r="Z244" s="28">
        <f t="shared" si="243"/>
        <v>0</v>
      </c>
      <c r="AA244" s="28">
        <f t="shared" si="243"/>
        <v>0</v>
      </c>
      <c r="AB244" s="28">
        <f t="shared" si="243"/>
        <v>0</v>
      </c>
      <c r="AC244" s="28">
        <f t="shared" si="243"/>
        <v>2500</v>
      </c>
      <c r="AD244" s="28">
        <f t="shared" si="243"/>
        <v>0</v>
      </c>
      <c r="AE244" s="28">
        <f t="shared" si="243"/>
        <v>0</v>
      </c>
      <c r="AF244" s="28">
        <f t="shared" si="243"/>
        <v>2500</v>
      </c>
      <c r="AG244" s="28">
        <f t="shared" si="243"/>
        <v>0</v>
      </c>
      <c r="AH244" s="28">
        <f t="shared" si="243"/>
        <v>0</v>
      </c>
      <c r="AI244" s="28">
        <f t="shared" si="243"/>
        <v>10000</v>
      </c>
      <c r="AJ244" s="28">
        <f t="shared" si="243"/>
        <v>0</v>
      </c>
      <c r="AK244" s="28">
        <f t="shared" si="243"/>
        <v>0</v>
      </c>
      <c r="AL244" s="28">
        <f t="shared" si="243"/>
        <v>0</v>
      </c>
      <c r="AM244" s="28">
        <f t="shared" si="243"/>
        <v>0</v>
      </c>
      <c r="AN244" s="28">
        <f t="shared" si="243"/>
        <v>0</v>
      </c>
      <c r="AO244" s="28">
        <f t="shared" si="243"/>
        <v>0</v>
      </c>
      <c r="AP244" s="28">
        <f t="shared" si="243"/>
        <v>0</v>
      </c>
      <c r="AQ244" s="28">
        <f t="shared" si="243"/>
        <v>0</v>
      </c>
      <c r="AR244" s="28">
        <f t="shared" si="243"/>
        <v>0</v>
      </c>
      <c r="AS244" s="28">
        <f t="shared" si="243"/>
        <v>0</v>
      </c>
      <c r="AT244" s="28">
        <f t="shared" si="243"/>
        <v>2500</v>
      </c>
    </row>
    <row r="245">
      <c r="A245" s="10" t="s">
        <v>254</v>
      </c>
      <c r="B245" s="11">
        <v>250.0</v>
      </c>
      <c r="C245" s="12" t="s">
        <v>35</v>
      </c>
      <c r="D245" s="15">
        <v>75214.0</v>
      </c>
      <c r="F245" s="15">
        <f>IFERROR(__xludf.DUMMYFUNCTION("""COMPUTED_VALUE"""),75016.0)</f>
        <v>75016</v>
      </c>
      <c r="G245" s="26">
        <f t="shared" si="2"/>
        <v>250</v>
      </c>
      <c r="J245" s="27">
        <f>IFERROR(__xludf.DUMMYFUNCTION("""COMPUTED_VALUE"""),75016.0)</f>
        <v>75016</v>
      </c>
      <c r="K245" s="28">
        <f t="shared" ref="K245:AT245" si="244">sumifs($B:$B,$D:$D,$J245,$C:$C,K$1)</f>
        <v>0</v>
      </c>
      <c r="L245" s="28">
        <f t="shared" si="244"/>
        <v>0</v>
      </c>
      <c r="M245" s="28">
        <f t="shared" si="244"/>
        <v>0</v>
      </c>
      <c r="N245" s="28">
        <f t="shared" si="244"/>
        <v>0</v>
      </c>
      <c r="O245" s="28">
        <f t="shared" si="244"/>
        <v>0</v>
      </c>
      <c r="P245" s="28">
        <f t="shared" si="244"/>
        <v>0</v>
      </c>
      <c r="Q245" s="28">
        <f t="shared" si="244"/>
        <v>0</v>
      </c>
      <c r="R245" s="28">
        <f t="shared" si="244"/>
        <v>0</v>
      </c>
      <c r="S245" s="28">
        <f t="shared" si="244"/>
        <v>0</v>
      </c>
      <c r="T245" s="28">
        <f t="shared" si="244"/>
        <v>0</v>
      </c>
      <c r="U245" s="28">
        <f t="shared" si="244"/>
        <v>0</v>
      </c>
      <c r="V245" s="28">
        <f t="shared" si="244"/>
        <v>0</v>
      </c>
      <c r="W245" s="28">
        <f t="shared" si="244"/>
        <v>0</v>
      </c>
      <c r="X245" s="28">
        <f t="shared" si="244"/>
        <v>0</v>
      </c>
      <c r="Y245" s="28">
        <f t="shared" si="244"/>
        <v>0</v>
      </c>
      <c r="Z245" s="28">
        <f t="shared" si="244"/>
        <v>0</v>
      </c>
      <c r="AA245" s="28">
        <f t="shared" si="244"/>
        <v>0</v>
      </c>
      <c r="AB245" s="28">
        <f t="shared" si="244"/>
        <v>0</v>
      </c>
      <c r="AC245" s="28">
        <f t="shared" si="244"/>
        <v>0</v>
      </c>
      <c r="AD245" s="28">
        <f t="shared" si="244"/>
        <v>0</v>
      </c>
      <c r="AE245" s="28">
        <f t="shared" si="244"/>
        <v>0</v>
      </c>
      <c r="AF245" s="28">
        <f t="shared" si="244"/>
        <v>250</v>
      </c>
      <c r="AG245" s="28">
        <f t="shared" si="244"/>
        <v>0</v>
      </c>
      <c r="AH245" s="28">
        <f t="shared" si="244"/>
        <v>0</v>
      </c>
      <c r="AI245" s="28">
        <f t="shared" si="244"/>
        <v>0</v>
      </c>
      <c r="AJ245" s="28">
        <f t="shared" si="244"/>
        <v>0</v>
      </c>
      <c r="AK245" s="28">
        <f t="shared" si="244"/>
        <v>0</v>
      </c>
      <c r="AL245" s="28">
        <f t="shared" si="244"/>
        <v>0</v>
      </c>
      <c r="AM245" s="28">
        <f t="shared" si="244"/>
        <v>0</v>
      </c>
      <c r="AN245" s="28">
        <f t="shared" si="244"/>
        <v>0</v>
      </c>
      <c r="AO245" s="28">
        <f t="shared" si="244"/>
        <v>0</v>
      </c>
      <c r="AP245" s="28">
        <f t="shared" si="244"/>
        <v>0</v>
      </c>
      <c r="AQ245" s="28">
        <f t="shared" si="244"/>
        <v>0</v>
      </c>
      <c r="AR245" s="28">
        <f t="shared" si="244"/>
        <v>0</v>
      </c>
      <c r="AS245" s="28">
        <f t="shared" si="244"/>
        <v>0</v>
      </c>
      <c r="AT245" s="28">
        <f t="shared" si="244"/>
        <v>0</v>
      </c>
    </row>
    <row r="246">
      <c r="A246" s="10" t="s">
        <v>255</v>
      </c>
      <c r="B246" s="11">
        <v>500.0</v>
      </c>
      <c r="C246" s="12" t="s">
        <v>35</v>
      </c>
      <c r="D246" s="15">
        <v>75063.0</v>
      </c>
      <c r="F246" s="15">
        <f>IFERROR(__xludf.DUMMYFUNCTION("""COMPUTED_VALUE"""),76225.0)</f>
        <v>76225</v>
      </c>
      <c r="G246" s="26">
        <f t="shared" si="2"/>
        <v>1000</v>
      </c>
      <c r="J246" s="27">
        <f>IFERROR(__xludf.DUMMYFUNCTION("""COMPUTED_VALUE"""),76225.0)</f>
        <v>76225</v>
      </c>
      <c r="K246" s="28">
        <f t="shared" ref="K246:AT246" si="245">sumifs($B:$B,$D:$D,$J246,$C:$C,K$1)</f>
        <v>0</v>
      </c>
      <c r="L246" s="28">
        <f t="shared" si="245"/>
        <v>0</v>
      </c>
      <c r="M246" s="28">
        <f t="shared" si="245"/>
        <v>0</v>
      </c>
      <c r="N246" s="28">
        <f t="shared" si="245"/>
        <v>1000</v>
      </c>
      <c r="O246" s="28">
        <f t="shared" si="245"/>
        <v>0</v>
      </c>
      <c r="P246" s="28">
        <f t="shared" si="245"/>
        <v>0</v>
      </c>
      <c r="Q246" s="28">
        <f t="shared" si="245"/>
        <v>0</v>
      </c>
      <c r="R246" s="28">
        <f t="shared" si="245"/>
        <v>0</v>
      </c>
      <c r="S246" s="28">
        <f t="shared" si="245"/>
        <v>0</v>
      </c>
      <c r="T246" s="28">
        <f t="shared" si="245"/>
        <v>0</v>
      </c>
      <c r="U246" s="28">
        <f t="shared" si="245"/>
        <v>0</v>
      </c>
      <c r="V246" s="28">
        <f t="shared" si="245"/>
        <v>0</v>
      </c>
      <c r="W246" s="28">
        <f t="shared" si="245"/>
        <v>0</v>
      </c>
      <c r="X246" s="28">
        <f t="shared" si="245"/>
        <v>0</v>
      </c>
      <c r="Y246" s="28">
        <f t="shared" si="245"/>
        <v>0</v>
      </c>
      <c r="Z246" s="28">
        <f t="shared" si="245"/>
        <v>0</v>
      </c>
      <c r="AA246" s="28">
        <f t="shared" si="245"/>
        <v>0</v>
      </c>
      <c r="AB246" s="28">
        <f t="shared" si="245"/>
        <v>0</v>
      </c>
      <c r="AC246" s="28">
        <f t="shared" si="245"/>
        <v>0</v>
      </c>
      <c r="AD246" s="28">
        <f t="shared" si="245"/>
        <v>0</v>
      </c>
      <c r="AE246" s="28">
        <f t="shared" si="245"/>
        <v>0</v>
      </c>
      <c r="AF246" s="28">
        <f t="shared" si="245"/>
        <v>0</v>
      </c>
      <c r="AG246" s="28">
        <f t="shared" si="245"/>
        <v>0</v>
      </c>
      <c r="AH246" s="28">
        <f t="shared" si="245"/>
        <v>0</v>
      </c>
      <c r="AI246" s="28">
        <f t="shared" si="245"/>
        <v>0</v>
      </c>
      <c r="AJ246" s="28">
        <f t="shared" si="245"/>
        <v>0</v>
      </c>
      <c r="AK246" s="28">
        <f t="shared" si="245"/>
        <v>0</v>
      </c>
      <c r="AL246" s="28">
        <f t="shared" si="245"/>
        <v>0</v>
      </c>
      <c r="AM246" s="28">
        <f t="shared" si="245"/>
        <v>0</v>
      </c>
      <c r="AN246" s="28">
        <f t="shared" si="245"/>
        <v>0</v>
      </c>
      <c r="AO246" s="28">
        <f t="shared" si="245"/>
        <v>0</v>
      </c>
      <c r="AP246" s="28">
        <f t="shared" si="245"/>
        <v>0</v>
      </c>
      <c r="AQ246" s="28">
        <f t="shared" si="245"/>
        <v>0</v>
      </c>
      <c r="AR246" s="28">
        <f t="shared" si="245"/>
        <v>0</v>
      </c>
      <c r="AS246" s="28">
        <f t="shared" si="245"/>
        <v>0</v>
      </c>
      <c r="AT246" s="28">
        <f t="shared" si="245"/>
        <v>0</v>
      </c>
    </row>
    <row r="247">
      <c r="A247" s="5" t="s">
        <v>256</v>
      </c>
      <c r="B247" s="6">
        <v>1000.0</v>
      </c>
      <c r="C247" s="7" t="s">
        <v>35</v>
      </c>
      <c r="D247" s="15">
        <v>75007.0</v>
      </c>
      <c r="F247" s="15">
        <f>IFERROR(__xludf.DUMMYFUNCTION("""COMPUTED_VALUE"""),12345.0)</f>
        <v>12345</v>
      </c>
      <c r="G247" s="26">
        <f t="shared" si="2"/>
        <v>100</v>
      </c>
      <c r="J247" s="27">
        <f>IFERROR(__xludf.DUMMYFUNCTION("""COMPUTED_VALUE"""),12345.0)</f>
        <v>12345</v>
      </c>
      <c r="K247" s="28">
        <f t="shared" ref="K247:AT247" si="246">sumifs($B:$B,$D:$D,$J247,$C:$C,K$1)</f>
        <v>0</v>
      </c>
      <c r="L247" s="28">
        <f t="shared" si="246"/>
        <v>0</v>
      </c>
      <c r="M247" s="28">
        <f t="shared" si="246"/>
        <v>0</v>
      </c>
      <c r="N247" s="28">
        <f t="shared" si="246"/>
        <v>0</v>
      </c>
      <c r="O247" s="28">
        <f t="shared" si="246"/>
        <v>0</v>
      </c>
      <c r="P247" s="28">
        <f t="shared" si="246"/>
        <v>0</v>
      </c>
      <c r="Q247" s="28">
        <f t="shared" si="246"/>
        <v>0</v>
      </c>
      <c r="R247" s="28">
        <f t="shared" si="246"/>
        <v>0</v>
      </c>
      <c r="S247" s="28">
        <f t="shared" si="246"/>
        <v>0</v>
      </c>
      <c r="T247" s="28">
        <f t="shared" si="246"/>
        <v>0</v>
      </c>
      <c r="U247" s="28">
        <f t="shared" si="246"/>
        <v>0</v>
      </c>
      <c r="V247" s="28">
        <f t="shared" si="246"/>
        <v>0</v>
      </c>
      <c r="W247" s="28">
        <f t="shared" si="246"/>
        <v>0</v>
      </c>
      <c r="X247" s="28">
        <f t="shared" si="246"/>
        <v>100</v>
      </c>
      <c r="Y247" s="28">
        <f t="shared" si="246"/>
        <v>0</v>
      </c>
      <c r="Z247" s="28">
        <f t="shared" si="246"/>
        <v>0</v>
      </c>
      <c r="AA247" s="28">
        <f t="shared" si="246"/>
        <v>0</v>
      </c>
      <c r="AB247" s="28">
        <f t="shared" si="246"/>
        <v>0</v>
      </c>
      <c r="AC247" s="28">
        <f t="shared" si="246"/>
        <v>0</v>
      </c>
      <c r="AD247" s="28">
        <f t="shared" si="246"/>
        <v>0</v>
      </c>
      <c r="AE247" s="28">
        <f t="shared" si="246"/>
        <v>0</v>
      </c>
      <c r="AF247" s="28">
        <f t="shared" si="246"/>
        <v>0</v>
      </c>
      <c r="AG247" s="28">
        <f t="shared" si="246"/>
        <v>0</v>
      </c>
      <c r="AH247" s="28">
        <f t="shared" si="246"/>
        <v>0</v>
      </c>
      <c r="AI247" s="28">
        <f t="shared" si="246"/>
        <v>0</v>
      </c>
      <c r="AJ247" s="28">
        <f t="shared" si="246"/>
        <v>0</v>
      </c>
      <c r="AK247" s="28">
        <f t="shared" si="246"/>
        <v>0</v>
      </c>
      <c r="AL247" s="28">
        <f t="shared" si="246"/>
        <v>0</v>
      </c>
      <c r="AM247" s="28">
        <f t="shared" si="246"/>
        <v>0</v>
      </c>
      <c r="AN247" s="28">
        <f t="shared" si="246"/>
        <v>0</v>
      </c>
      <c r="AO247" s="28">
        <f t="shared" si="246"/>
        <v>0</v>
      </c>
      <c r="AP247" s="28">
        <f t="shared" si="246"/>
        <v>0</v>
      </c>
      <c r="AQ247" s="28">
        <f t="shared" si="246"/>
        <v>0</v>
      </c>
      <c r="AR247" s="28">
        <f t="shared" si="246"/>
        <v>0</v>
      </c>
      <c r="AS247" s="28">
        <f t="shared" si="246"/>
        <v>0</v>
      </c>
      <c r="AT247" s="28">
        <f t="shared" si="246"/>
        <v>0</v>
      </c>
    </row>
    <row r="248">
      <c r="A248" s="10" t="s">
        <v>257</v>
      </c>
      <c r="B248" s="11">
        <v>500.0</v>
      </c>
      <c r="C248" s="12" t="s">
        <v>35</v>
      </c>
      <c r="D248" s="15">
        <v>75229.0</v>
      </c>
      <c r="F248" s="15">
        <f>IFERROR(__xludf.DUMMYFUNCTION("""COMPUTED_VALUE"""),78756.0)</f>
        <v>78756</v>
      </c>
      <c r="G248" s="26">
        <f t="shared" si="2"/>
        <v>1000</v>
      </c>
      <c r="J248" s="27">
        <f>IFERROR(__xludf.DUMMYFUNCTION("""COMPUTED_VALUE"""),78756.0)</f>
        <v>78756</v>
      </c>
      <c r="K248" s="28">
        <f t="shared" ref="K248:AT248" si="247">sumifs($B:$B,$D:$D,$J248,$C:$C,K$1)</f>
        <v>0</v>
      </c>
      <c r="L248" s="28">
        <f t="shared" si="247"/>
        <v>0</v>
      </c>
      <c r="M248" s="28">
        <f t="shared" si="247"/>
        <v>0</v>
      </c>
      <c r="N248" s="28">
        <f t="shared" si="247"/>
        <v>0</v>
      </c>
      <c r="O248" s="28">
        <f t="shared" si="247"/>
        <v>0</v>
      </c>
      <c r="P248" s="28">
        <f t="shared" si="247"/>
        <v>0</v>
      </c>
      <c r="Q248" s="28">
        <f t="shared" si="247"/>
        <v>0</v>
      </c>
      <c r="R248" s="28">
        <f t="shared" si="247"/>
        <v>0</v>
      </c>
      <c r="S248" s="28">
        <f t="shared" si="247"/>
        <v>0</v>
      </c>
      <c r="T248" s="28">
        <f t="shared" si="247"/>
        <v>0</v>
      </c>
      <c r="U248" s="28">
        <f t="shared" si="247"/>
        <v>0</v>
      </c>
      <c r="V248" s="28">
        <f t="shared" si="247"/>
        <v>0</v>
      </c>
      <c r="W248" s="28">
        <f t="shared" si="247"/>
        <v>0</v>
      </c>
      <c r="X248" s="28">
        <f t="shared" si="247"/>
        <v>0</v>
      </c>
      <c r="Y248" s="28">
        <f t="shared" si="247"/>
        <v>0</v>
      </c>
      <c r="Z248" s="28">
        <f t="shared" si="247"/>
        <v>0</v>
      </c>
      <c r="AA248" s="28">
        <f t="shared" si="247"/>
        <v>0</v>
      </c>
      <c r="AB248" s="28">
        <f t="shared" si="247"/>
        <v>0</v>
      </c>
      <c r="AC248" s="28">
        <f t="shared" si="247"/>
        <v>0</v>
      </c>
      <c r="AD248" s="28">
        <f t="shared" si="247"/>
        <v>0</v>
      </c>
      <c r="AE248" s="28">
        <f t="shared" si="247"/>
        <v>0</v>
      </c>
      <c r="AF248" s="28">
        <f t="shared" si="247"/>
        <v>0</v>
      </c>
      <c r="AG248" s="28">
        <f t="shared" si="247"/>
        <v>0</v>
      </c>
      <c r="AH248" s="28">
        <f t="shared" si="247"/>
        <v>0</v>
      </c>
      <c r="AI248" s="28">
        <f t="shared" si="247"/>
        <v>0</v>
      </c>
      <c r="AJ248" s="28">
        <f t="shared" si="247"/>
        <v>0</v>
      </c>
      <c r="AK248" s="28">
        <f t="shared" si="247"/>
        <v>0</v>
      </c>
      <c r="AL248" s="28">
        <f t="shared" si="247"/>
        <v>1000</v>
      </c>
      <c r="AM248" s="28">
        <f t="shared" si="247"/>
        <v>0</v>
      </c>
      <c r="AN248" s="28">
        <f t="shared" si="247"/>
        <v>0</v>
      </c>
      <c r="AO248" s="28">
        <f t="shared" si="247"/>
        <v>0</v>
      </c>
      <c r="AP248" s="28">
        <f t="shared" si="247"/>
        <v>0</v>
      </c>
      <c r="AQ248" s="28">
        <f t="shared" si="247"/>
        <v>0</v>
      </c>
      <c r="AR248" s="28">
        <f t="shared" si="247"/>
        <v>0</v>
      </c>
      <c r="AS248" s="28">
        <f t="shared" si="247"/>
        <v>0</v>
      </c>
      <c r="AT248" s="28">
        <f t="shared" si="247"/>
        <v>0</v>
      </c>
    </row>
    <row r="249">
      <c r="A249" s="5"/>
      <c r="B249" s="6"/>
      <c r="C249" s="7"/>
      <c r="D249" s="15"/>
      <c r="F249" s="15">
        <f>IFERROR(__xludf.DUMMYFUNCTION("""COMPUTED_VALUE"""),75033.0)</f>
        <v>75033</v>
      </c>
      <c r="G249" s="26">
        <f t="shared" si="2"/>
        <v>500</v>
      </c>
      <c r="J249" s="27">
        <f>IFERROR(__xludf.DUMMYFUNCTION("""COMPUTED_VALUE"""),75033.0)</f>
        <v>75033</v>
      </c>
      <c r="K249" s="28">
        <f t="shared" ref="K249:AT249" si="248">sumifs($B:$B,$D:$D,$J249,$C:$C,K$1)</f>
        <v>0</v>
      </c>
      <c r="L249" s="28">
        <f t="shared" si="248"/>
        <v>0</v>
      </c>
      <c r="M249" s="28">
        <f t="shared" si="248"/>
        <v>0</v>
      </c>
      <c r="N249" s="28">
        <f t="shared" si="248"/>
        <v>0</v>
      </c>
      <c r="O249" s="28">
        <f t="shared" si="248"/>
        <v>0</v>
      </c>
      <c r="P249" s="28">
        <f t="shared" si="248"/>
        <v>0</v>
      </c>
      <c r="Q249" s="28">
        <f t="shared" si="248"/>
        <v>0</v>
      </c>
      <c r="R249" s="28">
        <f t="shared" si="248"/>
        <v>0</v>
      </c>
      <c r="S249" s="28">
        <f t="shared" si="248"/>
        <v>0</v>
      </c>
      <c r="T249" s="28">
        <f t="shared" si="248"/>
        <v>0</v>
      </c>
      <c r="U249" s="28">
        <f t="shared" si="248"/>
        <v>0</v>
      </c>
      <c r="V249" s="28">
        <f t="shared" si="248"/>
        <v>0</v>
      </c>
      <c r="W249" s="28">
        <f t="shared" si="248"/>
        <v>0</v>
      </c>
      <c r="X249" s="28">
        <f t="shared" si="248"/>
        <v>0</v>
      </c>
      <c r="Y249" s="28">
        <f t="shared" si="248"/>
        <v>0</v>
      </c>
      <c r="Z249" s="28">
        <f t="shared" si="248"/>
        <v>0</v>
      </c>
      <c r="AA249" s="28">
        <f t="shared" si="248"/>
        <v>0</v>
      </c>
      <c r="AB249" s="28">
        <f t="shared" si="248"/>
        <v>0</v>
      </c>
      <c r="AC249" s="28">
        <f t="shared" si="248"/>
        <v>0</v>
      </c>
      <c r="AD249" s="28">
        <f t="shared" si="248"/>
        <v>0</v>
      </c>
      <c r="AE249" s="28">
        <f t="shared" si="248"/>
        <v>0</v>
      </c>
      <c r="AF249" s="28">
        <f t="shared" si="248"/>
        <v>0</v>
      </c>
      <c r="AG249" s="28">
        <f t="shared" si="248"/>
        <v>0</v>
      </c>
      <c r="AH249" s="28">
        <f t="shared" si="248"/>
        <v>0</v>
      </c>
      <c r="AI249" s="28">
        <f t="shared" si="248"/>
        <v>500</v>
      </c>
      <c r="AJ249" s="28">
        <f t="shared" si="248"/>
        <v>0</v>
      </c>
      <c r="AK249" s="28">
        <f t="shared" si="248"/>
        <v>0</v>
      </c>
      <c r="AL249" s="28">
        <f t="shared" si="248"/>
        <v>0</v>
      </c>
      <c r="AM249" s="28">
        <f t="shared" si="248"/>
        <v>0</v>
      </c>
      <c r="AN249" s="28">
        <f t="shared" si="248"/>
        <v>0</v>
      </c>
      <c r="AO249" s="28">
        <f t="shared" si="248"/>
        <v>0</v>
      </c>
      <c r="AP249" s="28">
        <f t="shared" si="248"/>
        <v>0</v>
      </c>
      <c r="AQ249" s="28">
        <f t="shared" si="248"/>
        <v>0</v>
      </c>
      <c r="AR249" s="28">
        <f t="shared" si="248"/>
        <v>0</v>
      </c>
      <c r="AS249" s="28">
        <f t="shared" si="248"/>
        <v>0</v>
      </c>
      <c r="AT249" s="28">
        <f t="shared" si="248"/>
        <v>0</v>
      </c>
    </row>
    <row r="250">
      <c r="A250" s="10" t="s">
        <v>259</v>
      </c>
      <c r="B250" s="11">
        <v>1000.0</v>
      </c>
      <c r="C250" s="12" t="s">
        <v>35</v>
      </c>
      <c r="D250" s="15">
        <v>75229.0</v>
      </c>
      <c r="F250" s="15">
        <f>IFERROR(__xludf.DUMMYFUNCTION("""COMPUTED_VALUE"""),75069.0)</f>
        <v>75069</v>
      </c>
      <c r="G250" s="26">
        <f t="shared" si="2"/>
        <v>250</v>
      </c>
      <c r="J250" s="27">
        <f>IFERROR(__xludf.DUMMYFUNCTION("""COMPUTED_VALUE"""),75069.0)</f>
        <v>75069</v>
      </c>
      <c r="K250" s="28">
        <f t="shared" ref="K250:AT250" si="249">sumifs($B:$B,$D:$D,$J250,$C:$C,K$1)</f>
        <v>0</v>
      </c>
      <c r="L250" s="28">
        <f t="shared" si="249"/>
        <v>0</v>
      </c>
      <c r="M250" s="28">
        <f t="shared" si="249"/>
        <v>0</v>
      </c>
      <c r="N250" s="28">
        <f t="shared" si="249"/>
        <v>0</v>
      </c>
      <c r="O250" s="28">
        <f t="shared" si="249"/>
        <v>0</v>
      </c>
      <c r="P250" s="28">
        <f t="shared" si="249"/>
        <v>0</v>
      </c>
      <c r="Q250" s="28">
        <f t="shared" si="249"/>
        <v>0</v>
      </c>
      <c r="R250" s="28">
        <f t="shared" si="249"/>
        <v>0</v>
      </c>
      <c r="S250" s="28">
        <f t="shared" si="249"/>
        <v>0</v>
      </c>
      <c r="T250" s="28">
        <f t="shared" si="249"/>
        <v>0</v>
      </c>
      <c r="U250" s="28">
        <f t="shared" si="249"/>
        <v>0</v>
      </c>
      <c r="V250" s="28">
        <f t="shared" si="249"/>
        <v>0</v>
      </c>
      <c r="W250" s="28">
        <f t="shared" si="249"/>
        <v>0</v>
      </c>
      <c r="X250" s="28">
        <f t="shared" si="249"/>
        <v>0</v>
      </c>
      <c r="Y250" s="28">
        <f t="shared" si="249"/>
        <v>0</v>
      </c>
      <c r="Z250" s="28">
        <f t="shared" si="249"/>
        <v>0</v>
      </c>
      <c r="AA250" s="28">
        <f t="shared" si="249"/>
        <v>0</v>
      </c>
      <c r="AB250" s="28">
        <f t="shared" si="249"/>
        <v>0</v>
      </c>
      <c r="AC250" s="28">
        <f t="shared" si="249"/>
        <v>0</v>
      </c>
      <c r="AD250" s="28">
        <f t="shared" si="249"/>
        <v>0</v>
      </c>
      <c r="AE250" s="28">
        <f t="shared" si="249"/>
        <v>0</v>
      </c>
      <c r="AF250" s="28">
        <f t="shared" si="249"/>
        <v>0</v>
      </c>
      <c r="AG250" s="28">
        <f t="shared" si="249"/>
        <v>0</v>
      </c>
      <c r="AH250" s="28">
        <f t="shared" si="249"/>
        <v>0</v>
      </c>
      <c r="AI250" s="28">
        <f t="shared" si="249"/>
        <v>250</v>
      </c>
      <c r="AJ250" s="28">
        <f t="shared" si="249"/>
        <v>0</v>
      </c>
      <c r="AK250" s="28">
        <f t="shared" si="249"/>
        <v>0</v>
      </c>
      <c r="AL250" s="28">
        <f t="shared" si="249"/>
        <v>0</v>
      </c>
      <c r="AM250" s="28">
        <f t="shared" si="249"/>
        <v>0</v>
      </c>
      <c r="AN250" s="28">
        <f t="shared" si="249"/>
        <v>0</v>
      </c>
      <c r="AO250" s="28">
        <f t="shared" si="249"/>
        <v>0</v>
      </c>
      <c r="AP250" s="28">
        <f t="shared" si="249"/>
        <v>0</v>
      </c>
      <c r="AQ250" s="28">
        <f t="shared" si="249"/>
        <v>0</v>
      </c>
      <c r="AR250" s="28">
        <f t="shared" si="249"/>
        <v>0</v>
      </c>
      <c r="AS250" s="28">
        <f t="shared" si="249"/>
        <v>0</v>
      </c>
      <c r="AT250" s="28">
        <f t="shared" si="249"/>
        <v>0</v>
      </c>
    </row>
    <row r="251">
      <c r="A251" s="5" t="s">
        <v>260</v>
      </c>
      <c r="B251" s="6">
        <v>1000.0</v>
      </c>
      <c r="C251" s="7" t="s">
        <v>35</v>
      </c>
      <c r="D251" s="15">
        <v>75056.0</v>
      </c>
      <c r="F251" s="15">
        <f>IFERROR(__xludf.DUMMYFUNCTION("""COMPUTED_VALUE"""),76034.0)</f>
        <v>76034</v>
      </c>
      <c r="G251" s="26">
        <f t="shared" si="2"/>
        <v>250</v>
      </c>
      <c r="J251" s="27">
        <f>IFERROR(__xludf.DUMMYFUNCTION("""COMPUTED_VALUE"""),76034.0)</f>
        <v>76034</v>
      </c>
      <c r="K251" s="28">
        <f t="shared" ref="K251:AT251" si="250">sumifs($B:$B,$D:$D,$J251,$C:$C,K$1)</f>
        <v>0</v>
      </c>
      <c r="L251" s="28">
        <f t="shared" si="250"/>
        <v>0</v>
      </c>
      <c r="M251" s="28">
        <f t="shared" si="250"/>
        <v>0</v>
      </c>
      <c r="N251" s="28">
        <f t="shared" si="250"/>
        <v>0</v>
      </c>
      <c r="O251" s="28">
        <f t="shared" si="250"/>
        <v>0</v>
      </c>
      <c r="P251" s="28">
        <f t="shared" si="250"/>
        <v>0</v>
      </c>
      <c r="Q251" s="28">
        <f t="shared" si="250"/>
        <v>0</v>
      </c>
      <c r="R251" s="28">
        <f t="shared" si="250"/>
        <v>0</v>
      </c>
      <c r="S251" s="28">
        <f t="shared" si="250"/>
        <v>0</v>
      </c>
      <c r="T251" s="28">
        <f t="shared" si="250"/>
        <v>0</v>
      </c>
      <c r="U251" s="28">
        <f t="shared" si="250"/>
        <v>0</v>
      </c>
      <c r="V251" s="28">
        <f t="shared" si="250"/>
        <v>0</v>
      </c>
      <c r="W251" s="28">
        <f t="shared" si="250"/>
        <v>0</v>
      </c>
      <c r="X251" s="28">
        <f t="shared" si="250"/>
        <v>0</v>
      </c>
      <c r="Y251" s="28">
        <f t="shared" si="250"/>
        <v>0</v>
      </c>
      <c r="Z251" s="28">
        <f t="shared" si="250"/>
        <v>0</v>
      </c>
      <c r="AA251" s="28">
        <f t="shared" si="250"/>
        <v>0</v>
      </c>
      <c r="AB251" s="28">
        <f t="shared" si="250"/>
        <v>0</v>
      </c>
      <c r="AC251" s="28">
        <f t="shared" si="250"/>
        <v>0</v>
      </c>
      <c r="AD251" s="28">
        <f t="shared" si="250"/>
        <v>0</v>
      </c>
      <c r="AE251" s="28">
        <f t="shared" si="250"/>
        <v>0</v>
      </c>
      <c r="AF251" s="28">
        <f t="shared" si="250"/>
        <v>0</v>
      </c>
      <c r="AG251" s="28">
        <f t="shared" si="250"/>
        <v>0</v>
      </c>
      <c r="AH251" s="28">
        <f t="shared" si="250"/>
        <v>0</v>
      </c>
      <c r="AI251" s="28">
        <f t="shared" si="250"/>
        <v>250</v>
      </c>
      <c r="AJ251" s="28">
        <f t="shared" si="250"/>
        <v>0</v>
      </c>
      <c r="AK251" s="28">
        <f t="shared" si="250"/>
        <v>0</v>
      </c>
      <c r="AL251" s="28">
        <f t="shared" si="250"/>
        <v>0</v>
      </c>
      <c r="AM251" s="28">
        <f t="shared" si="250"/>
        <v>0</v>
      </c>
      <c r="AN251" s="28">
        <f t="shared" si="250"/>
        <v>0</v>
      </c>
      <c r="AO251" s="28">
        <f t="shared" si="250"/>
        <v>0</v>
      </c>
      <c r="AP251" s="28">
        <f t="shared" si="250"/>
        <v>0</v>
      </c>
      <c r="AQ251" s="28">
        <f t="shared" si="250"/>
        <v>0</v>
      </c>
      <c r="AR251" s="28">
        <f t="shared" si="250"/>
        <v>0</v>
      </c>
      <c r="AS251" s="28">
        <f t="shared" si="250"/>
        <v>0</v>
      </c>
      <c r="AT251" s="28">
        <f t="shared" si="250"/>
        <v>0</v>
      </c>
    </row>
    <row r="252">
      <c r="A252" s="10" t="s">
        <v>261</v>
      </c>
      <c r="B252" s="11">
        <v>1000.0</v>
      </c>
      <c r="C252" s="12" t="s">
        <v>5</v>
      </c>
      <c r="D252" s="15">
        <v>75225.0</v>
      </c>
      <c r="F252" s="15">
        <f>IFERROR(__xludf.DUMMYFUNCTION("""COMPUTED_VALUE"""),75071.0)</f>
        <v>75071</v>
      </c>
      <c r="G252" s="26">
        <f t="shared" si="2"/>
        <v>949.7</v>
      </c>
      <c r="J252" s="27">
        <f>IFERROR(__xludf.DUMMYFUNCTION("""COMPUTED_VALUE"""),75071.0)</f>
        <v>75071</v>
      </c>
      <c r="K252" s="28">
        <f t="shared" ref="K252:AT252" si="251">sumifs($B:$B,$D:$D,$J252,$C:$C,K$1)</f>
        <v>0</v>
      </c>
      <c r="L252" s="28">
        <f t="shared" si="251"/>
        <v>0</v>
      </c>
      <c r="M252" s="28">
        <f t="shared" si="251"/>
        <v>0</v>
      </c>
      <c r="N252" s="28">
        <f t="shared" si="251"/>
        <v>0</v>
      </c>
      <c r="O252" s="28">
        <f t="shared" si="251"/>
        <v>0</v>
      </c>
      <c r="P252" s="28">
        <f t="shared" si="251"/>
        <v>0</v>
      </c>
      <c r="Q252" s="28">
        <f t="shared" si="251"/>
        <v>0</v>
      </c>
      <c r="R252" s="28">
        <f t="shared" si="251"/>
        <v>0</v>
      </c>
      <c r="S252" s="28">
        <f t="shared" si="251"/>
        <v>0</v>
      </c>
      <c r="T252" s="28">
        <f t="shared" si="251"/>
        <v>0</v>
      </c>
      <c r="U252" s="28">
        <f t="shared" si="251"/>
        <v>0</v>
      </c>
      <c r="V252" s="28">
        <f t="shared" si="251"/>
        <v>0</v>
      </c>
      <c r="W252" s="28">
        <f t="shared" si="251"/>
        <v>0</v>
      </c>
      <c r="X252" s="28">
        <f t="shared" si="251"/>
        <v>0</v>
      </c>
      <c r="Y252" s="28">
        <f t="shared" si="251"/>
        <v>0</v>
      </c>
      <c r="Z252" s="28">
        <f t="shared" si="251"/>
        <v>0</v>
      </c>
      <c r="AA252" s="28">
        <f t="shared" si="251"/>
        <v>0</v>
      </c>
      <c r="AB252" s="28">
        <f t="shared" si="251"/>
        <v>0</v>
      </c>
      <c r="AC252" s="28">
        <f t="shared" si="251"/>
        <v>949.7</v>
      </c>
      <c r="AD252" s="28">
        <f t="shared" si="251"/>
        <v>0</v>
      </c>
      <c r="AE252" s="28">
        <f t="shared" si="251"/>
        <v>0</v>
      </c>
      <c r="AF252" s="28">
        <f t="shared" si="251"/>
        <v>0</v>
      </c>
      <c r="AG252" s="28">
        <f t="shared" si="251"/>
        <v>0</v>
      </c>
      <c r="AH252" s="28">
        <f t="shared" si="251"/>
        <v>0</v>
      </c>
      <c r="AI252" s="28">
        <f t="shared" si="251"/>
        <v>0</v>
      </c>
      <c r="AJ252" s="28">
        <f t="shared" si="251"/>
        <v>0</v>
      </c>
      <c r="AK252" s="28">
        <f t="shared" si="251"/>
        <v>0</v>
      </c>
      <c r="AL252" s="28">
        <f t="shared" si="251"/>
        <v>0</v>
      </c>
      <c r="AM252" s="28">
        <f t="shared" si="251"/>
        <v>0</v>
      </c>
      <c r="AN252" s="28">
        <f t="shared" si="251"/>
        <v>0</v>
      </c>
      <c r="AO252" s="28">
        <f t="shared" si="251"/>
        <v>0</v>
      </c>
      <c r="AP252" s="28">
        <f t="shared" si="251"/>
        <v>0</v>
      </c>
      <c r="AQ252" s="28">
        <f t="shared" si="251"/>
        <v>0</v>
      </c>
      <c r="AR252" s="28">
        <f t="shared" si="251"/>
        <v>0</v>
      </c>
      <c r="AS252" s="28">
        <f t="shared" si="251"/>
        <v>0</v>
      </c>
      <c r="AT252" s="28">
        <f t="shared" si="251"/>
        <v>0</v>
      </c>
    </row>
    <row r="253">
      <c r="A253" s="10" t="s">
        <v>262</v>
      </c>
      <c r="B253" s="11">
        <v>1000.0</v>
      </c>
      <c r="C253" s="12" t="s">
        <v>35</v>
      </c>
      <c r="D253" s="15">
        <v>75070.0</v>
      </c>
      <c r="F253" s="15">
        <f>IFERROR(__xludf.DUMMYFUNCTION("""COMPUTED_VALUE"""),75298.0)</f>
        <v>75298</v>
      </c>
      <c r="G253" s="26">
        <f t="shared" si="2"/>
        <v>250</v>
      </c>
      <c r="J253" s="27">
        <f>IFERROR(__xludf.DUMMYFUNCTION("""COMPUTED_VALUE"""),75298.0)</f>
        <v>75298</v>
      </c>
      <c r="K253" s="28">
        <f t="shared" ref="K253:AT253" si="252">sumifs($B:$B,$D:$D,$J253,$C:$C,K$1)</f>
        <v>0</v>
      </c>
      <c r="L253" s="28">
        <f t="shared" si="252"/>
        <v>0</v>
      </c>
      <c r="M253" s="28">
        <f t="shared" si="252"/>
        <v>0</v>
      </c>
      <c r="N253" s="28">
        <f t="shared" si="252"/>
        <v>0</v>
      </c>
      <c r="O253" s="28">
        <f t="shared" si="252"/>
        <v>0</v>
      </c>
      <c r="P253" s="28">
        <f t="shared" si="252"/>
        <v>0</v>
      </c>
      <c r="Q253" s="28">
        <f t="shared" si="252"/>
        <v>0</v>
      </c>
      <c r="R253" s="28">
        <f t="shared" si="252"/>
        <v>0</v>
      </c>
      <c r="S253" s="28">
        <f t="shared" si="252"/>
        <v>0</v>
      </c>
      <c r="T253" s="28">
        <f t="shared" si="252"/>
        <v>0</v>
      </c>
      <c r="U253" s="28">
        <f t="shared" si="252"/>
        <v>0</v>
      </c>
      <c r="V253" s="28">
        <f t="shared" si="252"/>
        <v>0</v>
      </c>
      <c r="W253" s="28">
        <f t="shared" si="252"/>
        <v>0</v>
      </c>
      <c r="X253" s="28">
        <f t="shared" si="252"/>
        <v>0</v>
      </c>
      <c r="Y253" s="28">
        <f t="shared" si="252"/>
        <v>0</v>
      </c>
      <c r="Z253" s="28">
        <f t="shared" si="252"/>
        <v>0</v>
      </c>
      <c r="AA253" s="28">
        <f t="shared" si="252"/>
        <v>0</v>
      </c>
      <c r="AB253" s="28">
        <f t="shared" si="252"/>
        <v>0</v>
      </c>
      <c r="AC253" s="28">
        <f t="shared" si="252"/>
        <v>250</v>
      </c>
      <c r="AD253" s="28">
        <f t="shared" si="252"/>
        <v>0</v>
      </c>
      <c r="AE253" s="28">
        <f t="shared" si="252"/>
        <v>0</v>
      </c>
      <c r="AF253" s="28">
        <f t="shared" si="252"/>
        <v>0</v>
      </c>
      <c r="AG253" s="28">
        <f t="shared" si="252"/>
        <v>0</v>
      </c>
      <c r="AH253" s="28">
        <f t="shared" si="252"/>
        <v>0</v>
      </c>
      <c r="AI253" s="28">
        <f t="shared" si="252"/>
        <v>0</v>
      </c>
      <c r="AJ253" s="28">
        <f t="shared" si="252"/>
        <v>0</v>
      </c>
      <c r="AK253" s="28">
        <f t="shared" si="252"/>
        <v>0</v>
      </c>
      <c r="AL253" s="28">
        <f t="shared" si="252"/>
        <v>0</v>
      </c>
      <c r="AM253" s="28">
        <f t="shared" si="252"/>
        <v>0</v>
      </c>
      <c r="AN253" s="28">
        <f t="shared" si="252"/>
        <v>0</v>
      </c>
      <c r="AO253" s="28">
        <f t="shared" si="252"/>
        <v>0</v>
      </c>
      <c r="AP253" s="28">
        <f t="shared" si="252"/>
        <v>0</v>
      </c>
      <c r="AQ253" s="28">
        <f t="shared" si="252"/>
        <v>0</v>
      </c>
      <c r="AR253" s="28">
        <f t="shared" si="252"/>
        <v>0</v>
      </c>
      <c r="AS253" s="28">
        <f t="shared" si="252"/>
        <v>0</v>
      </c>
      <c r="AT253" s="28">
        <f t="shared" si="252"/>
        <v>0</v>
      </c>
    </row>
    <row r="254">
      <c r="A254" s="5" t="s">
        <v>263</v>
      </c>
      <c r="B254" s="6">
        <v>1000.0</v>
      </c>
      <c r="C254" s="7" t="s">
        <v>5</v>
      </c>
      <c r="D254" s="15">
        <v>75229.0</v>
      </c>
      <c r="F254" s="15">
        <f>IFERROR(__xludf.DUMMYFUNCTION("""COMPUTED_VALUE"""),75504.0)</f>
        <v>75504</v>
      </c>
      <c r="G254" s="26">
        <f t="shared" si="2"/>
        <v>10000</v>
      </c>
      <c r="J254" s="27">
        <f>IFERROR(__xludf.DUMMYFUNCTION("""COMPUTED_VALUE"""),75504.0)</f>
        <v>75504</v>
      </c>
      <c r="K254" s="28">
        <f t="shared" ref="K254:AT254" si="253">sumifs($B:$B,$D:$D,$J254,$C:$C,K$1)</f>
        <v>0</v>
      </c>
      <c r="L254" s="28">
        <f t="shared" si="253"/>
        <v>0</v>
      </c>
      <c r="M254" s="28">
        <f t="shared" si="253"/>
        <v>0</v>
      </c>
      <c r="N254" s="28">
        <f t="shared" si="253"/>
        <v>0</v>
      </c>
      <c r="O254" s="28">
        <f t="shared" si="253"/>
        <v>0</v>
      </c>
      <c r="P254" s="28">
        <f t="shared" si="253"/>
        <v>0</v>
      </c>
      <c r="Q254" s="28">
        <f t="shared" si="253"/>
        <v>0</v>
      </c>
      <c r="R254" s="28">
        <f t="shared" si="253"/>
        <v>0</v>
      </c>
      <c r="S254" s="28">
        <f t="shared" si="253"/>
        <v>0</v>
      </c>
      <c r="T254" s="28">
        <f t="shared" si="253"/>
        <v>0</v>
      </c>
      <c r="U254" s="28">
        <f t="shared" si="253"/>
        <v>0</v>
      </c>
      <c r="V254" s="28">
        <f t="shared" si="253"/>
        <v>0</v>
      </c>
      <c r="W254" s="28">
        <f t="shared" si="253"/>
        <v>0</v>
      </c>
      <c r="X254" s="28">
        <f t="shared" si="253"/>
        <v>0</v>
      </c>
      <c r="Y254" s="28">
        <f t="shared" si="253"/>
        <v>0</v>
      </c>
      <c r="Z254" s="28">
        <f t="shared" si="253"/>
        <v>0</v>
      </c>
      <c r="AA254" s="28">
        <f t="shared" si="253"/>
        <v>0</v>
      </c>
      <c r="AB254" s="28">
        <f t="shared" si="253"/>
        <v>0</v>
      </c>
      <c r="AC254" s="28">
        <f t="shared" si="253"/>
        <v>0</v>
      </c>
      <c r="AD254" s="28">
        <f t="shared" si="253"/>
        <v>0</v>
      </c>
      <c r="AE254" s="28">
        <f t="shared" si="253"/>
        <v>0</v>
      </c>
      <c r="AF254" s="28">
        <f t="shared" si="253"/>
        <v>0</v>
      </c>
      <c r="AG254" s="28">
        <f t="shared" si="253"/>
        <v>0</v>
      </c>
      <c r="AH254" s="28">
        <f t="shared" si="253"/>
        <v>0</v>
      </c>
      <c r="AI254" s="28">
        <f t="shared" si="253"/>
        <v>10000</v>
      </c>
      <c r="AJ254" s="28">
        <f t="shared" si="253"/>
        <v>0</v>
      </c>
      <c r="AK254" s="28">
        <f t="shared" si="253"/>
        <v>0</v>
      </c>
      <c r="AL254" s="28">
        <f t="shared" si="253"/>
        <v>0</v>
      </c>
      <c r="AM254" s="28">
        <f t="shared" si="253"/>
        <v>0</v>
      </c>
      <c r="AN254" s="28">
        <f t="shared" si="253"/>
        <v>0</v>
      </c>
      <c r="AO254" s="28">
        <f t="shared" si="253"/>
        <v>0</v>
      </c>
      <c r="AP254" s="28">
        <f t="shared" si="253"/>
        <v>0</v>
      </c>
      <c r="AQ254" s="28">
        <f t="shared" si="253"/>
        <v>0</v>
      </c>
      <c r="AR254" s="28">
        <f t="shared" si="253"/>
        <v>0</v>
      </c>
      <c r="AS254" s="28">
        <f t="shared" si="253"/>
        <v>0</v>
      </c>
      <c r="AT254" s="28">
        <f t="shared" si="253"/>
        <v>0</v>
      </c>
    </row>
    <row r="255">
      <c r="A255" s="5" t="s">
        <v>264</v>
      </c>
      <c r="B255" s="6">
        <v>500.0</v>
      </c>
      <c r="C255" s="7" t="s">
        <v>5</v>
      </c>
      <c r="D255" s="15">
        <v>75229.0</v>
      </c>
      <c r="F255" s="15">
        <f>IFERROR(__xludf.DUMMYFUNCTION("""COMPUTED_VALUE"""),75120.0)</f>
        <v>75120</v>
      </c>
      <c r="G255" s="26">
        <f t="shared" si="2"/>
        <v>1000</v>
      </c>
      <c r="J255" s="27">
        <f>IFERROR(__xludf.DUMMYFUNCTION("""COMPUTED_VALUE"""),75120.0)</f>
        <v>75120</v>
      </c>
      <c r="K255" s="28">
        <f t="shared" ref="K255:AT255" si="254">sumifs($B:$B,$D:$D,$J255,$C:$C,K$1)</f>
        <v>0</v>
      </c>
      <c r="L255" s="28">
        <f t="shared" si="254"/>
        <v>0</v>
      </c>
      <c r="M255" s="28">
        <f t="shared" si="254"/>
        <v>0</v>
      </c>
      <c r="N255" s="28">
        <f t="shared" si="254"/>
        <v>0</v>
      </c>
      <c r="O255" s="28">
        <f t="shared" si="254"/>
        <v>0</v>
      </c>
      <c r="P255" s="28">
        <f t="shared" si="254"/>
        <v>0</v>
      </c>
      <c r="Q255" s="28">
        <f t="shared" si="254"/>
        <v>0</v>
      </c>
      <c r="R255" s="28">
        <f t="shared" si="254"/>
        <v>0</v>
      </c>
      <c r="S255" s="28">
        <f t="shared" si="254"/>
        <v>0</v>
      </c>
      <c r="T255" s="28">
        <f t="shared" si="254"/>
        <v>0</v>
      </c>
      <c r="U255" s="28">
        <f t="shared" si="254"/>
        <v>0</v>
      </c>
      <c r="V255" s="28">
        <f t="shared" si="254"/>
        <v>0</v>
      </c>
      <c r="W255" s="28">
        <f t="shared" si="254"/>
        <v>0</v>
      </c>
      <c r="X255" s="28">
        <f t="shared" si="254"/>
        <v>0</v>
      </c>
      <c r="Y255" s="28">
        <f t="shared" si="254"/>
        <v>0</v>
      </c>
      <c r="Z255" s="28">
        <f t="shared" si="254"/>
        <v>0</v>
      </c>
      <c r="AA255" s="28">
        <f t="shared" si="254"/>
        <v>0</v>
      </c>
      <c r="AB255" s="28">
        <f t="shared" si="254"/>
        <v>0</v>
      </c>
      <c r="AC255" s="28">
        <f t="shared" si="254"/>
        <v>0</v>
      </c>
      <c r="AD255" s="28">
        <f t="shared" si="254"/>
        <v>0</v>
      </c>
      <c r="AE255" s="28">
        <f t="shared" si="254"/>
        <v>0</v>
      </c>
      <c r="AF255" s="28">
        <f t="shared" si="254"/>
        <v>0</v>
      </c>
      <c r="AG255" s="28">
        <f t="shared" si="254"/>
        <v>0</v>
      </c>
      <c r="AH255" s="28">
        <f t="shared" si="254"/>
        <v>0</v>
      </c>
      <c r="AI255" s="28">
        <f t="shared" si="254"/>
        <v>1000</v>
      </c>
      <c r="AJ255" s="28">
        <f t="shared" si="254"/>
        <v>0</v>
      </c>
      <c r="AK255" s="28">
        <f t="shared" si="254"/>
        <v>0</v>
      </c>
      <c r="AL255" s="28">
        <f t="shared" si="254"/>
        <v>0</v>
      </c>
      <c r="AM255" s="28">
        <f t="shared" si="254"/>
        <v>0</v>
      </c>
      <c r="AN255" s="28">
        <f t="shared" si="254"/>
        <v>0</v>
      </c>
      <c r="AO255" s="28">
        <f t="shared" si="254"/>
        <v>0</v>
      </c>
      <c r="AP255" s="28">
        <f t="shared" si="254"/>
        <v>0</v>
      </c>
      <c r="AQ255" s="28">
        <f t="shared" si="254"/>
        <v>0</v>
      </c>
      <c r="AR255" s="28">
        <f t="shared" si="254"/>
        <v>0</v>
      </c>
      <c r="AS255" s="28">
        <f t="shared" si="254"/>
        <v>0</v>
      </c>
      <c r="AT255" s="28">
        <f t="shared" si="254"/>
        <v>0</v>
      </c>
    </row>
    <row r="256">
      <c r="A256" s="5" t="s">
        <v>265</v>
      </c>
      <c r="B256" s="6">
        <v>1000.0</v>
      </c>
      <c r="C256" s="7" t="s">
        <v>35</v>
      </c>
      <c r="D256" s="15">
        <v>75035.0</v>
      </c>
      <c r="F256" s="15">
        <f>IFERROR(__xludf.DUMMYFUNCTION("""COMPUTED_VALUE"""),75601.0)</f>
        <v>75601</v>
      </c>
      <c r="G256" s="26">
        <f t="shared" si="2"/>
        <v>5000</v>
      </c>
      <c r="J256" s="27">
        <f>IFERROR(__xludf.DUMMYFUNCTION("""COMPUTED_VALUE"""),75601.0)</f>
        <v>75601</v>
      </c>
      <c r="K256" s="28">
        <f t="shared" ref="K256:AT256" si="255">sumifs($B:$B,$D:$D,$J256,$C:$C,K$1)</f>
        <v>0</v>
      </c>
      <c r="L256" s="28">
        <f t="shared" si="255"/>
        <v>0</v>
      </c>
      <c r="M256" s="28">
        <f t="shared" si="255"/>
        <v>0</v>
      </c>
      <c r="N256" s="28">
        <f t="shared" si="255"/>
        <v>0</v>
      </c>
      <c r="O256" s="28">
        <f t="shared" si="255"/>
        <v>0</v>
      </c>
      <c r="P256" s="28">
        <f t="shared" si="255"/>
        <v>0</v>
      </c>
      <c r="Q256" s="28">
        <f t="shared" si="255"/>
        <v>0</v>
      </c>
      <c r="R256" s="28">
        <f t="shared" si="255"/>
        <v>0</v>
      </c>
      <c r="S256" s="28">
        <f t="shared" si="255"/>
        <v>0</v>
      </c>
      <c r="T256" s="28">
        <f t="shared" si="255"/>
        <v>0</v>
      </c>
      <c r="U256" s="28">
        <f t="shared" si="255"/>
        <v>0</v>
      </c>
      <c r="V256" s="28">
        <f t="shared" si="255"/>
        <v>0</v>
      </c>
      <c r="W256" s="28">
        <f t="shared" si="255"/>
        <v>0</v>
      </c>
      <c r="X256" s="28">
        <f t="shared" si="255"/>
        <v>0</v>
      </c>
      <c r="Y256" s="28">
        <f t="shared" si="255"/>
        <v>0</v>
      </c>
      <c r="Z256" s="28">
        <f t="shared" si="255"/>
        <v>0</v>
      </c>
      <c r="AA256" s="28">
        <f t="shared" si="255"/>
        <v>0</v>
      </c>
      <c r="AB256" s="28">
        <f t="shared" si="255"/>
        <v>0</v>
      </c>
      <c r="AC256" s="28">
        <f t="shared" si="255"/>
        <v>0</v>
      </c>
      <c r="AD256" s="28">
        <f t="shared" si="255"/>
        <v>0</v>
      </c>
      <c r="AE256" s="28">
        <f t="shared" si="255"/>
        <v>0</v>
      </c>
      <c r="AF256" s="28">
        <f t="shared" si="255"/>
        <v>0</v>
      </c>
      <c r="AG256" s="28">
        <f t="shared" si="255"/>
        <v>0</v>
      </c>
      <c r="AH256" s="28">
        <f t="shared" si="255"/>
        <v>0</v>
      </c>
      <c r="AI256" s="28">
        <f t="shared" si="255"/>
        <v>5000</v>
      </c>
      <c r="AJ256" s="28">
        <f t="shared" si="255"/>
        <v>0</v>
      </c>
      <c r="AK256" s="28">
        <f t="shared" si="255"/>
        <v>0</v>
      </c>
      <c r="AL256" s="28">
        <f t="shared" si="255"/>
        <v>0</v>
      </c>
      <c r="AM256" s="28">
        <f t="shared" si="255"/>
        <v>0</v>
      </c>
      <c r="AN256" s="28">
        <f t="shared" si="255"/>
        <v>0</v>
      </c>
      <c r="AO256" s="28">
        <f t="shared" si="255"/>
        <v>0</v>
      </c>
      <c r="AP256" s="28">
        <f t="shared" si="255"/>
        <v>0</v>
      </c>
      <c r="AQ256" s="28">
        <f t="shared" si="255"/>
        <v>0</v>
      </c>
      <c r="AR256" s="28">
        <f t="shared" si="255"/>
        <v>0</v>
      </c>
      <c r="AS256" s="28">
        <f t="shared" si="255"/>
        <v>0</v>
      </c>
      <c r="AT256" s="28">
        <f t="shared" si="255"/>
        <v>0</v>
      </c>
    </row>
    <row r="257">
      <c r="A257" s="10" t="s">
        <v>266</v>
      </c>
      <c r="B257" s="11">
        <v>150.0</v>
      </c>
      <c r="C257" s="12" t="s">
        <v>5</v>
      </c>
      <c r="D257" s="15">
        <v>75206.0</v>
      </c>
      <c r="F257" s="15">
        <f>IFERROR(__xludf.DUMMYFUNCTION("""COMPUTED_VALUE"""),75801.0)</f>
        <v>75801</v>
      </c>
      <c r="G257" s="26">
        <f t="shared" si="2"/>
        <v>100</v>
      </c>
      <c r="J257" s="27">
        <f>IFERROR(__xludf.DUMMYFUNCTION("""COMPUTED_VALUE"""),75801.0)</f>
        <v>75801</v>
      </c>
      <c r="K257" s="28">
        <f t="shared" ref="K257:AT257" si="256">sumifs($B:$B,$D:$D,$J257,$C:$C,K$1)</f>
        <v>0</v>
      </c>
      <c r="L257" s="28">
        <f t="shared" si="256"/>
        <v>0</v>
      </c>
      <c r="M257" s="28">
        <f t="shared" si="256"/>
        <v>0</v>
      </c>
      <c r="N257" s="28">
        <f t="shared" si="256"/>
        <v>0</v>
      </c>
      <c r="O257" s="28">
        <f t="shared" si="256"/>
        <v>0</v>
      </c>
      <c r="P257" s="28">
        <f t="shared" si="256"/>
        <v>0</v>
      </c>
      <c r="Q257" s="28">
        <f t="shared" si="256"/>
        <v>0</v>
      </c>
      <c r="R257" s="28">
        <f t="shared" si="256"/>
        <v>0</v>
      </c>
      <c r="S257" s="28">
        <f t="shared" si="256"/>
        <v>0</v>
      </c>
      <c r="T257" s="28">
        <f t="shared" si="256"/>
        <v>0</v>
      </c>
      <c r="U257" s="28">
        <f t="shared" si="256"/>
        <v>0</v>
      </c>
      <c r="V257" s="28">
        <f t="shared" si="256"/>
        <v>0</v>
      </c>
      <c r="W257" s="28">
        <f t="shared" si="256"/>
        <v>0</v>
      </c>
      <c r="X257" s="28">
        <f t="shared" si="256"/>
        <v>0</v>
      </c>
      <c r="Y257" s="28">
        <f t="shared" si="256"/>
        <v>0</v>
      </c>
      <c r="Z257" s="28">
        <f t="shared" si="256"/>
        <v>0</v>
      </c>
      <c r="AA257" s="28">
        <f t="shared" si="256"/>
        <v>100</v>
      </c>
      <c r="AB257" s="28">
        <f t="shared" si="256"/>
        <v>0</v>
      </c>
      <c r="AC257" s="28">
        <f t="shared" si="256"/>
        <v>0</v>
      </c>
      <c r="AD257" s="28">
        <f t="shared" si="256"/>
        <v>0</v>
      </c>
      <c r="AE257" s="28">
        <f t="shared" si="256"/>
        <v>0</v>
      </c>
      <c r="AF257" s="28">
        <f t="shared" si="256"/>
        <v>0</v>
      </c>
      <c r="AG257" s="28">
        <f t="shared" si="256"/>
        <v>0</v>
      </c>
      <c r="AH257" s="28">
        <f t="shared" si="256"/>
        <v>0</v>
      </c>
      <c r="AI257" s="28">
        <f t="shared" si="256"/>
        <v>0</v>
      </c>
      <c r="AJ257" s="28">
        <f t="shared" si="256"/>
        <v>0</v>
      </c>
      <c r="AK257" s="28">
        <f t="shared" si="256"/>
        <v>0</v>
      </c>
      <c r="AL257" s="28">
        <f t="shared" si="256"/>
        <v>0</v>
      </c>
      <c r="AM257" s="28">
        <f t="shared" si="256"/>
        <v>0</v>
      </c>
      <c r="AN257" s="28">
        <f t="shared" si="256"/>
        <v>0</v>
      </c>
      <c r="AO257" s="28">
        <f t="shared" si="256"/>
        <v>0</v>
      </c>
      <c r="AP257" s="28">
        <f t="shared" si="256"/>
        <v>0</v>
      </c>
      <c r="AQ257" s="28">
        <f t="shared" si="256"/>
        <v>0</v>
      </c>
      <c r="AR257" s="28">
        <f t="shared" si="256"/>
        <v>0</v>
      </c>
      <c r="AS257" s="28">
        <f t="shared" si="256"/>
        <v>0</v>
      </c>
      <c r="AT257" s="28">
        <f t="shared" si="256"/>
        <v>0</v>
      </c>
    </row>
    <row r="258">
      <c r="A258" s="10" t="s">
        <v>267</v>
      </c>
      <c r="B258" s="11">
        <v>1000.0</v>
      </c>
      <c r="C258" s="12" t="s">
        <v>35</v>
      </c>
      <c r="D258" s="15">
        <v>75068.0</v>
      </c>
      <c r="F258" s="15">
        <f>IFERROR(__xludf.DUMMYFUNCTION("""COMPUTED_VALUE"""),76004.0)</f>
        <v>76004</v>
      </c>
      <c r="G258" s="26">
        <f t="shared" si="2"/>
        <v>949.7</v>
      </c>
      <c r="J258" s="27">
        <f>IFERROR(__xludf.DUMMYFUNCTION("""COMPUTED_VALUE"""),76004.0)</f>
        <v>76004</v>
      </c>
      <c r="K258" s="28">
        <f t="shared" ref="K258:AT258" si="257">sumifs($B:$B,$D:$D,$J258,$C:$C,K$1)</f>
        <v>0</v>
      </c>
      <c r="L258" s="28">
        <f t="shared" si="257"/>
        <v>0</v>
      </c>
      <c r="M258" s="28">
        <f t="shared" si="257"/>
        <v>0</v>
      </c>
      <c r="N258" s="28">
        <f t="shared" si="257"/>
        <v>0</v>
      </c>
      <c r="O258" s="28">
        <f t="shared" si="257"/>
        <v>0</v>
      </c>
      <c r="P258" s="28">
        <f t="shared" si="257"/>
        <v>0</v>
      </c>
      <c r="Q258" s="28">
        <f t="shared" si="257"/>
        <v>0</v>
      </c>
      <c r="R258" s="28">
        <f t="shared" si="257"/>
        <v>0</v>
      </c>
      <c r="S258" s="28">
        <f t="shared" si="257"/>
        <v>0</v>
      </c>
      <c r="T258" s="28">
        <f t="shared" si="257"/>
        <v>0</v>
      </c>
      <c r="U258" s="28">
        <f t="shared" si="257"/>
        <v>0</v>
      </c>
      <c r="V258" s="28">
        <f t="shared" si="257"/>
        <v>0</v>
      </c>
      <c r="W258" s="28">
        <f t="shared" si="257"/>
        <v>0</v>
      </c>
      <c r="X258" s="28">
        <f t="shared" si="257"/>
        <v>0</v>
      </c>
      <c r="Y258" s="28">
        <f t="shared" si="257"/>
        <v>0</v>
      </c>
      <c r="Z258" s="28">
        <f t="shared" si="257"/>
        <v>0</v>
      </c>
      <c r="AA258" s="28">
        <f t="shared" si="257"/>
        <v>0</v>
      </c>
      <c r="AB258" s="28">
        <f t="shared" si="257"/>
        <v>0</v>
      </c>
      <c r="AC258" s="28">
        <f t="shared" si="257"/>
        <v>949.7</v>
      </c>
      <c r="AD258" s="28">
        <f t="shared" si="257"/>
        <v>0</v>
      </c>
      <c r="AE258" s="28">
        <f t="shared" si="257"/>
        <v>0</v>
      </c>
      <c r="AF258" s="28">
        <f t="shared" si="257"/>
        <v>0</v>
      </c>
      <c r="AG258" s="28">
        <f t="shared" si="257"/>
        <v>0</v>
      </c>
      <c r="AH258" s="28">
        <f t="shared" si="257"/>
        <v>0</v>
      </c>
      <c r="AI258" s="28">
        <f t="shared" si="257"/>
        <v>0</v>
      </c>
      <c r="AJ258" s="28">
        <f t="shared" si="257"/>
        <v>0</v>
      </c>
      <c r="AK258" s="28">
        <f t="shared" si="257"/>
        <v>0</v>
      </c>
      <c r="AL258" s="28">
        <f t="shared" si="257"/>
        <v>0</v>
      </c>
      <c r="AM258" s="28">
        <f t="shared" si="257"/>
        <v>0</v>
      </c>
      <c r="AN258" s="28">
        <f t="shared" si="257"/>
        <v>0</v>
      </c>
      <c r="AO258" s="28">
        <f t="shared" si="257"/>
        <v>0</v>
      </c>
      <c r="AP258" s="28">
        <f t="shared" si="257"/>
        <v>0</v>
      </c>
      <c r="AQ258" s="28">
        <f t="shared" si="257"/>
        <v>0</v>
      </c>
      <c r="AR258" s="28">
        <f t="shared" si="257"/>
        <v>0</v>
      </c>
      <c r="AS258" s="28">
        <f t="shared" si="257"/>
        <v>0</v>
      </c>
      <c r="AT258" s="28">
        <f t="shared" si="257"/>
        <v>0</v>
      </c>
    </row>
    <row r="259">
      <c r="A259" s="5" t="s">
        <v>268</v>
      </c>
      <c r="B259" s="6">
        <v>150.0</v>
      </c>
      <c r="C259" s="7" t="s">
        <v>5</v>
      </c>
      <c r="D259" s="15">
        <v>75214.0</v>
      </c>
      <c r="F259" s="15">
        <f>IFERROR(__xludf.DUMMYFUNCTION("""COMPUTED_VALUE"""),75049.0)</f>
        <v>75049</v>
      </c>
      <c r="G259" s="26">
        <f t="shared" si="2"/>
        <v>1000</v>
      </c>
      <c r="J259" s="27">
        <f>IFERROR(__xludf.DUMMYFUNCTION("""COMPUTED_VALUE"""),75049.0)</f>
        <v>75049</v>
      </c>
      <c r="K259" s="28">
        <f t="shared" ref="K259:AT259" si="258">sumifs($B:$B,$D:$D,$J259,$C:$C,K$1)</f>
        <v>0</v>
      </c>
      <c r="L259" s="28">
        <f t="shared" si="258"/>
        <v>0</v>
      </c>
      <c r="M259" s="28">
        <f t="shared" si="258"/>
        <v>0</v>
      </c>
      <c r="N259" s="28">
        <f t="shared" si="258"/>
        <v>0</v>
      </c>
      <c r="O259" s="28">
        <f t="shared" si="258"/>
        <v>0</v>
      </c>
      <c r="P259" s="28">
        <f t="shared" si="258"/>
        <v>0</v>
      </c>
      <c r="Q259" s="28">
        <f t="shared" si="258"/>
        <v>0</v>
      </c>
      <c r="R259" s="28">
        <f t="shared" si="258"/>
        <v>0</v>
      </c>
      <c r="S259" s="28">
        <f t="shared" si="258"/>
        <v>0</v>
      </c>
      <c r="T259" s="28">
        <f t="shared" si="258"/>
        <v>0</v>
      </c>
      <c r="U259" s="28">
        <f t="shared" si="258"/>
        <v>0</v>
      </c>
      <c r="V259" s="28">
        <f t="shared" si="258"/>
        <v>0</v>
      </c>
      <c r="W259" s="28">
        <f t="shared" si="258"/>
        <v>0</v>
      </c>
      <c r="X259" s="28">
        <f t="shared" si="258"/>
        <v>0</v>
      </c>
      <c r="Y259" s="28">
        <f t="shared" si="258"/>
        <v>0</v>
      </c>
      <c r="Z259" s="28">
        <f t="shared" si="258"/>
        <v>0</v>
      </c>
      <c r="AA259" s="28">
        <f t="shared" si="258"/>
        <v>0</v>
      </c>
      <c r="AB259" s="28">
        <f t="shared" si="258"/>
        <v>0</v>
      </c>
      <c r="AC259" s="28">
        <f t="shared" si="258"/>
        <v>1000</v>
      </c>
      <c r="AD259" s="28">
        <f t="shared" si="258"/>
        <v>0</v>
      </c>
      <c r="AE259" s="28">
        <f t="shared" si="258"/>
        <v>0</v>
      </c>
      <c r="AF259" s="28">
        <f t="shared" si="258"/>
        <v>0</v>
      </c>
      <c r="AG259" s="28">
        <f t="shared" si="258"/>
        <v>0</v>
      </c>
      <c r="AH259" s="28">
        <f t="shared" si="258"/>
        <v>0</v>
      </c>
      <c r="AI259" s="28">
        <f t="shared" si="258"/>
        <v>0</v>
      </c>
      <c r="AJ259" s="28">
        <f t="shared" si="258"/>
        <v>0</v>
      </c>
      <c r="AK259" s="28">
        <f t="shared" si="258"/>
        <v>0</v>
      </c>
      <c r="AL259" s="28">
        <f t="shared" si="258"/>
        <v>0</v>
      </c>
      <c r="AM259" s="28">
        <f t="shared" si="258"/>
        <v>0</v>
      </c>
      <c r="AN259" s="28">
        <f t="shared" si="258"/>
        <v>0</v>
      </c>
      <c r="AO259" s="28">
        <f t="shared" si="258"/>
        <v>0</v>
      </c>
      <c r="AP259" s="28">
        <f t="shared" si="258"/>
        <v>0</v>
      </c>
      <c r="AQ259" s="28">
        <f t="shared" si="258"/>
        <v>0</v>
      </c>
      <c r="AR259" s="28">
        <f t="shared" si="258"/>
        <v>0</v>
      </c>
      <c r="AS259" s="28">
        <f t="shared" si="258"/>
        <v>0</v>
      </c>
      <c r="AT259" s="28">
        <f t="shared" si="258"/>
        <v>0</v>
      </c>
    </row>
    <row r="260">
      <c r="A260" s="5" t="s">
        <v>269</v>
      </c>
      <c r="B260" s="6">
        <v>1000.0</v>
      </c>
      <c r="C260" s="7" t="s">
        <v>35</v>
      </c>
      <c r="D260" s="15">
        <v>75007.0</v>
      </c>
      <c r="F260" s="15"/>
      <c r="G260" s="26">
        <f t="shared" si="2"/>
        <v>0</v>
      </c>
      <c r="J260" s="27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</row>
    <row r="261">
      <c r="A261" s="10" t="s">
        <v>270</v>
      </c>
      <c r="B261" s="11">
        <v>1000.0</v>
      </c>
      <c r="C261" s="12" t="s">
        <v>35</v>
      </c>
      <c r="D261" s="15">
        <v>75010.0</v>
      </c>
      <c r="F261" s="15"/>
      <c r="G261" s="26"/>
      <c r="K261" s="28">
        <f t="shared" ref="K261:AT261" si="259">SUM(K2:K260)</f>
        <v>71150</v>
      </c>
      <c r="L261" s="28">
        <f t="shared" si="259"/>
        <v>12516</v>
      </c>
      <c r="M261" s="28">
        <f t="shared" si="259"/>
        <v>37936</v>
      </c>
      <c r="N261" s="28">
        <f t="shared" si="259"/>
        <v>85538</v>
      </c>
      <c r="O261" s="28">
        <f t="shared" si="259"/>
        <v>2750</v>
      </c>
      <c r="P261" s="28">
        <f t="shared" si="259"/>
        <v>56777</v>
      </c>
      <c r="Q261" s="28">
        <f t="shared" si="259"/>
        <v>29901</v>
      </c>
      <c r="R261" s="28">
        <f t="shared" si="259"/>
        <v>2100</v>
      </c>
      <c r="S261" s="28">
        <f t="shared" si="259"/>
        <v>1201</v>
      </c>
      <c r="T261" s="28">
        <f t="shared" si="259"/>
        <v>9000</v>
      </c>
      <c r="U261" s="28">
        <f t="shared" si="259"/>
        <v>5900</v>
      </c>
      <c r="V261" s="28">
        <f t="shared" si="259"/>
        <v>1590</v>
      </c>
      <c r="W261" s="28">
        <f t="shared" si="259"/>
        <v>44590</v>
      </c>
      <c r="X261" s="28">
        <f t="shared" si="259"/>
        <v>11655</v>
      </c>
      <c r="Y261" s="28">
        <f t="shared" si="259"/>
        <v>21600</v>
      </c>
      <c r="Z261" s="28">
        <f t="shared" si="259"/>
        <v>127065.18</v>
      </c>
      <c r="AA261" s="28">
        <f t="shared" si="259"/>
        <v>9919</v>
      </c>
      <c r="AB261" s="28">
        <f t="shared" si="259"/>
        <v>15200</v>
      </c>
      <c r="AC261" s="28">
        <f t="shared" si="259"/>
        <v>232940.85</v>
      </c>
      <c r="AD261" s="28">
        <f t="shared" si="259"/>
        <v>9680</v>
      </c>
      <c r="AE261" s="28">
        <f t="shared" si="259"/>
        <v>18160</v>
      </c>
      <c r="AF261" s="28">
        <f t="shared" si="259"/>
        <v>124795</v>
      </c>
      <c r="AG261" s="28">
        <f t="shared" si="259"/>
        <v>4700</v>
      </c>
      <c r="AH261" s="28">
        <f t="shared" si="259"/>
        <v>62029.93</v>
      </c>
      <c r="AI261" s="28">
        <f t="shared" si="259"/>
        <v>810425</v>
      </c>
      <c r="AJ261" s="28">
        <f t="shared" si="259"/>
        <v>24260</v>
      </c>
      <c r="AK261" s="28">
        <f t="shared" si="259"/>
        <v>74450</v>
      </c>
      <c r="AL261" s="28">
        <f t="shared" si="259"/>
        <v>51225</v>
      </c>
      <c r="AM261" s="28">
        <f t="shared" si="259"/>
        <v>27400</v>
      </c>
      <c r="AN261" s="28">
        <f t="shared" si="259"/>
        <v>1000</v>
      </c>
      <c r="AO261" s="28">
        <f t="shared" si="259"/>
        <v>100</v>
      </c>
      <c r="AP261" s="28">
        <f t="shared" si="259"/>
        <v>250</v>
      </c>
      <c r="AQ261" s="28">
        <f t="shared" si="259"/>
        <v>10160</v>
      </c>
      <c r="AR261" s="28">
        <f t="shared" si="259"/>
        <v>20</v>
      </c>
      <c r="AS261" s="28">
        <f t="shared" si="259"/>
        <v>6811.5</v>
      </c>
      <c r="AT261" s="28">
        <f t="shared" si="259"/>
        <v>28500</v>
      </c>
    </row>
    <row r="262">
      <c r="A262" s="5" t="s">
        <v>271</v>
      </c>
      <c r="B262" s="6">
        <v>100.0</v>
      </c>
      <c r="C262" s="7" t="s">
        <v>5</v>
      </c>
      <c r="D262" s="15">
        <v>75229.0</v>
      </c>
      <c r="F262" s="15"/>
      <c r="G262" s="26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9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</row>
    <row r="263">
      <c r="A263" s="5"/>
      <c r="B263" s="6"/>
      <c r="C263" s="7"/>
      <c r="D263" s="15"/>
      <c r="F263" s="15"/>
      <c r="G263" s="26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</row>
    <row r="264">
      <c r="A264" s="10" t="s">
        <v>273</v>
      </c>
      <c r="B264" s="11">
        <v>1000.0</v>
      </c>
      <c r="C264" s="12" t="s">
        <v>5</v>
      </c>
      <c r="D264" s="15">
        <v>75230.0</v>
      </c>
      <c r="F264" s="15"/>
      <c r="G264" s="26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</row>
    <row r="265">
      <c r="A265" s="10" t="s">
        <v>274</v>
      </c>
      <c r="B265" s="11">
        <v>1000.0</v>
      </c>
      <c r="C265" s="12" t="s">
        <v>35</v>
      </c>
      <c r="D265" s="15">
        <v>77063.0</v>
      </c>
      <c r="F265" s="15"/>
      <c r="G265" s="26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</row>
    <row r="266">
      <c r="A266" s="5" t="s">
        <v>275</v>
      </c>
      <c r="B266" s="6">
        <v>100.0</v>
      </c>
      <c r="C266" s="7" t="s">
        <v>35</v>
      </c>
      <c r="D266" s="15">
        <v>75223.0</v>
      </c>
      <c r="F266" s="15"/>
      <c r="G266" s="26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</row>
    <row r="267">
      <c r="A267" s="10"/>
      <c r="B267" s="11"/>
      <c r="C267" s="12"/>
      <c r="D267" s="15"/>
      <c r="F267" s="15"/>
      <c r="G267" s="26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</row>
    <row r="268">
      <c r="A268" s="10" t="s">
        <v>277</v>
      </c>
      <c r="B268" s="11">
        <v>100.0</v>
      </c>
      <c r="C268" s="12" t="s">
        <v>35</v>
      </c>
      <c r="D268" s="15">
        <v>75204.0</v>
      </c>
      <c r="F268" s="15"/>
      <c r="G268" s="26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</row>
    <row r="269">
      <c r="A269" s="5"/>
      <c r="B269" s="6"/>
      <c r="C269" s="7"/>
      <c r="D269" s="15"/>
      <c r="F269" s="15"/>
      <c r="G269" s="26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</row>
    <row r="270">
      <c r="A270" s="5" t="s">
        <v>279</v>
      </c>
      <c r="B270" s="6">
        <v>100.0</v>
      </c>
      <c r="C270" s="7" t="s">
        <v>35</v>
      </c>
      <c r="D270" s="15">
        <v>75115.0</v>
      </c>
      <c r="F270" s="15"/>
      <c r="G270" s="26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</row>
    <row r="271">
      <c r="A271" s="10" t="s">
        <v>280</v>
      </c>
      <c r="B271" s="11">
        <v>500.0</v>
      </c>
      <c r="C271" s="12" t="s">
        <v>5</v>
      </c>
      <c r="D271" s="15">
        <v>75225.0</v>
      </c>
      <c r="F271" s="15"/>
      <c r="G271" s="26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</row>
    <row r="272">
      <c r="A272" s="10" t="s">
        <v>281</v>
      </c>
      <c r="B272" s="11">
        <v>150.0</v>
      </c>
      <c r="C272" s="12" t="s">
        <v>35</v>
      </c>
      <c r="D272" s="15">
        <v>76051.0</v>
      </c>
      <c r="F272" s="15"/>
      <c r="G272" s="26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</row>
    <row r="273">
      <c r="A273" s="5" t="s">
        <v>282</v>
      </c>
      <c r="B273" s="6">
        <v>500.0</v>
      </c>
      <c r="C273" s="7" t="s">
        <v>5</v>
      </c>
      <c r="D273" s="15">
        <v>75230.0</v>
      </c>
      <c r="F273" s="15"/>
      <c r="G273" s="26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</row>
    <row r="274">
      <c r="A274" s="5" t="s">
        <v>283</v>
      </c>
      <c r="B274" s="6">
        <v>150.0</v>
      </c>
      <c r="C274" s="7" t="s">
        <v>35</v>
      </c>
      <c r="D274" s="15">
        <v>75225.0</v>
      </c>
      <c r="F274" s="15"/>
      <c r="G274" s="26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</row>
    <row r="275">
      <c r="A275" s="10" t="s">
        <v>284</v>
      </c>
      <c r="B275" s="11">
        <v>100.0</v>
      </c>
      <c r="C275" s="12" t="s">
        <v>35</v>
      </c>
      <c r="D275" s="15">
        <v>75214.0</v>
      </c>
      <c r="F275" s="15"/>
      <c r="G275" s="26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</row>
    <row r="276">
      <c r="A276" s="5" t="s">
        <v>285</v>
      </c>
      <c r="B276" s="6">
        <v>1000.0</v>
      </c>
      <c r="C276" s="7" t="s">
        <v>5</v>
      </c>
      <c r="D276" s="15">
        <v>75219.0</v>
      </c>
      <c r="F276" s="15"/>
      <c r="G276" s="26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</row>
    <row r="277">
      <c r="A277" s="5" t="s">
        <v>286</v>
      </c>
      <c r="B277" s="6">
        <v>100.0</v>
      </c>
      <c r="C277" s="7" t="s">
        <v>35</v>
      </c>
      <c r="D277" s="15">
        <v>75087.0</v>
      </c>
      <c r="F277" s="15"/>
      <c r="G277" s="26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</row>
    <row r="278">
      <c r="A278" s="10" t="s">
        <v>287</v>
      </c>
      <c r="B278" s="11">
        <v>100.0</v>
      </c>
      <c r="C278" s="12" t="s">
        <v>5</v>
      </c>
      <c r="D278" s="15">
        <v>75244.0</v>
      </c>
      <c r="F278" s="15"/>
      <c r="G278" s="26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</row>
    <row r="279">
      <c r="A279" s="10" t="s">
        <v>288</v>
      </c>
      <c r="B279" s="11">
        <v>500.0</v>
      </c>
      <c r="C279" s="12" t="s">
        <v>35</v>
      </c>
      <c r="D279" s="15">
        <v>75708.0</v>
      </c>
      <c r="F279" s="15"/>
      <c r="G279" s="26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</row>
    <row r="280">
      <c r="A280" s="5" t="s">
        <v>289</v>
      </c>
      <c r="B280" s="6">
        <v>1000.0</v>
      </c>
      <c r="C280" s="7" t="s">
        <v>5</v>
      </c>
      <c r="D280" s="15">
        <v>75225.0</v>
      </c>
      <c r="F280" s="15"/>
      <c r="G280" s="26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</row>
    <row r="281">
      <c r="A281" s="5" t="s">
        <v>290</v>
      </c>
      <c r="B281" s="6">
        <v>500.0</v>
      </c>
      <c r="C281" s="7" t="s">
        <v>35</v>
      </c>
      <c r="D281" s="15">
        <v>75201.0</v>
      </c>
      <c r="F281" s="15"/>
      <c r="G281" s="26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</row>
    <row r="282">
      <c r="A282" s="10" t="s">
        <v>291</v>
      </c>
      <c r="B282" s="11">
        <v>1000.0</v>
      </c>
      <c r="C282" s="12" t="s">
        <v>5</v>
      </c>
      <c r="D282" s="15">
        <v>75225.0</v>
      </c>
      <c r="F282" s="15"/>
      <c r="G282" s="26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</row>
    <row r="283">
      <c r="A283" s="10" t="s">
        <v>292</v>
      </c>
      <c r="B283" s="11">
        <v>1000.0</v>
      </c>
      <c r="C283" s="12" t="s">
        <v>5</v>
      </c>
      <c r="D283" s="15">
        <v>75219.0</v>
      </c>
      <c r="F283" s="15"/>
      <c r="G283" s="26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</row>
    <row r="284">
      <c r="A284" s="10" t="s">
        <v>293</v>
      </c>
      <c r="B284" s="11">
        <v>16.0</v>
      </c>
      <c r="C284" s="12" t="s">
        <v>8</v>
      </c>
      <c r="D284" s="15">
        <v>75230.0</v>
      </c>
      <c r="F284" s="15"/>
      <c r="G284" s="26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</row>
    <row r="285">
      <c r="A285" s="10" t="s">
        <v>294</v>
      </c>
      <c r="B285" s="11">
        <v>100.0</v>
      </c>
      <c r="C285" s="12" t="s">
        <v>5</v>
      </c>
      <c r="D285" s="15">
        <v>75209.0</v>
      </c>
      <c r="F285" s="15"/>
      <c r="G285" s="26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</row>
    <row r="286">
      <c r="A286" s="10" t="s">
        <v>295</v>
      </c>
      <c r="B286" s="11">
        <v>750.0</v>
      </c>
      <c r="C286" s="12" t="s">
        <v>5</v>
      </c>
      <c r="D286" s="15">
        <v>75229.0</v>
      </c>
      <c r="F286" s="15"/>
      <c r="G286" s="26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</row>
    <row r="287">
      <c r="A287" s="10" t="s">
        <v>296</v>
      </c>
      <c r="B287" s="11">
        <v>100.0</v>
      </c>
      <c r="C287" s="12" t="s">
        <v>8</v>
      </c>
      <c r="D287" s="15">
        <v>75243.0</v>
      </c>
      <c r="F287" s="15"/>
      <c r="G287" s="26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</row>
    <row r="288">
      <c r="A288" s="5" t="s">
        <v>297</v>
      </c>
      <c r="B288" s="6">
        <v>250.0</v>
      </c>
      <c r="C288" s="7" t="s">
        <v>33</v>
      </c>
      <c r="D288" s="15">
        <v>75201.0</v>
      </c>
      <c r="F288" s="15"/>
      <c r="G288" s="26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</row>
    <row r="289">
      <c r="A289" s="10" t="s">
        <v>298</v>
      </c>
      <c r="B289" s="11">
        <v>1000.0</v>
      </c>
      <c r="C289" s="12" t="s">
        <v>33</v>
      </c>
      <c r="D289" s="15">
        <v>75209.0</v>
      </c>
      <c r="F289" s="15"/>
      <c r="G289" s="26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</row>
    <row r="290">
      <c r="A290" s="10" t="s">
        <v>299</v>
      </c>
      <c r="B290" s="11">
        <v>250.0</v>
      </c>
      <c r="C290" s="12" t="s">
        <v>33</v>
      </c>
      <c r="D290" s="15">
        <v>75214.0</v>
      </c>
      <c r="F290" s="15"/>
      <c r="G290" s="26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</row>
    <row r="291">
      <c r="A291" s="10" t="s">
        <v>300</v>
      </c>
      <c r="B291" s="11">
        <v>1000.0</v>
      </c>
      <c r="C291" s="12" t="s">
        <v>33</v>
      </c>
      <c r="D291" s="15">
        <v>75205.0</v>
      </c>
      <c r="F291" s="15"/>
      <c r="G291" s="26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</row>
    <row r="292">
      <c r="A292" s="10"/>
      <c r="B292" s="11"/>
      <c r="C292" s="12"/>
      <c r="D292" s="15"/>
      <c r="F292" s="15"/>
      <c r="G292" s="26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</row>
    <row r="293">
      <c r="A293" s="10" t="s">
        <v>302</v>
      </c>
      <c r="B293" s="11">
        <v>500.0</v>
      </c>
      <c r="C293" s="12" t="s">
        <v>33</v>
      </c>
      <c r="D293" s="15">
        <v>75230.0</v>
      </c>
      <c r="F293" s="15"/>
      <c r="G293" s="26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</row>
    <row r="294">
      <c r="A294" s="10" t="s">
        <v>303</v>
      </c>
      <c r="B294" s="11">
        <v>1000.0</v>
      </c>
      <c r="C294" s="12" t="s">
        <v>33</v>
      </c>
      <c r="D294" s="15">
        <v>75205.0</v>
      </c>
      <c r="F294" s="15"/>
      <c r="G294" s="26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</row>
    <row r="295">
      <c r="A295" s="10" t="s">
        <v>304</v>
      </c>
      <c r="B295" s="11">
        <v>1000.0</v>
      </c>
      <c r="C295" s="12" t="s">
        <v>33</v>
      </c>
      <c r="D295" s="15">
        <v>75205.0</v>
      </c>
      <c r="F295" s="15"/>
      <c r="G295" s="26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</row>
    <row r="296">
      <c r="A296" s="10" t="s">
        <v>305</v>
      </c>
      <c r="B296" s="11">
        <v>1000.0</v>
      </c>
      <c r="C296" s="12" t="s">
        <v>33</v>
      </c>
      <c r="D296" s="15">
        <v>75205.0</v>
      </c>
      <c r="F296" s="15"/>
      <c r="G296" s="26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</row>
    <row r="297">
      <c r="A297" s="10" t="s">
        <v>306</v>
      </c>
      <c r="B297" s="11">
        <v>500.0</v>
      </c>
      <c r="C297" s="12" t="s">
        <v>33</v>
      </c>
      <c r="D297" s="15">
        <v>75209.0</v>
      </c>
      <c r="F297" s="15"/>
      <c r="G297" s="26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</row>
    <row r="298">
      <c r="A298" s="10" t="s">
        <v>307</v>
      </c>
      <c r="B298" s="11">
        <v>500.0</v>
      </c>
      <c r="C298" s="12" t="s">
        <v>33</v>
      </c>
      <c r="D298" s="15">
        <v>75225.0</v>
      </c>
      <c r="F298" s="15"/>
      <c r="G298" s="26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</row>
    <row r="299">
      <c r="A299" s="10" t="s">
        <v>308</v>
      </c>
      <c r="B299" s="11">
        <v>500.0</v>
      </c>
      <c r="C299" s="12" t="s">
        <v>33</v>
      </c>
      <c r="D299" s="15">
        <v>75243.0</v>
      </c>
      <c r="F299" s="15"/>
      <c r="G299" s="26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</row>
    <row r="300">
      <c r="A300" s="10" t="s">
        <v>309</v>
      </c>
      <c r="B300" s="11">
        <v>1000.0</v>
      </c>
      <c r="C300" s="12" t="s">
        <v>33</v>
      </c>
      <c r="D300" s="15">
        <v>75220.0</v>
      </c>
      <c r="F300" s="15"/>
      <c r="G300" s="26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</row>
    <row r="301">
      <c r="A301" s="10" t="s">
        <v>310</v>
      </c>
      <c r="B301" s="11">
        <v>1000.0</v>
      </c>
      <c r="C301" s="12" t="s">
        <v>33</v>
      </c>
      <c r="D301" s="15">
        <v>75219.0</v>
      </c>
      <c r="F301" s="15"/>
      <c r="G301" s="26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</row>
    <row r="302">
      <c r="A302" s="10" t="s">
        <v>311</v>
      </c>
      <c r="B302" s="11">
        <v>1000.0</v>
      </c>
      <c r="C302" s="12" t="s">
        <v>33</v>
      </c>
      <c r="D302" s="15">
        <v>75205.0</v>
      </c>
      <c r="F302" s="15"/>
      <c r="G302" s="26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</row>
    <row r="303">
      <c r="A303" s="10" t="s">
        <v>312</v>
      </c>
      <c r="B303" s="11">
        <v>150.0</v>
      </c>
      <c r="C303" s="12" t="s">
        <v>33</v>
      </c>
      <c r="D303" s="15">
        <v>75232.0</v>
      </c>
      <c r="F303" s="15"/>
      <c r="G303" s="26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</row>
    <row r="304">
      <c r="A304" s="10"/>
      <c r="B304" s="11"/>
      <c r="C304" s="12"/>
      <c r="D304" s="15"/>
      <c r="F304" s="15"/>
      <c r="G304" s="26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</row>
    <row r="305">
      <c r="A305" s="10" t="s">
        <v>314</v>
      </c>
      <c r="B305" s="11">
        <v>500.0</v>
      </c>
      <c r="C305" s="12" t="s">
        <v>33</v>
      </c>
      <c r="D305" s="15">
        <v>75220.0</v>
      </c>
      <c r="F305" s="15"/>
      <c r="G305" s="26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</row>
    <row r="306">
      <c r="A306" s="10" t="s">
        <v>315</v>
      </c>
      <c r="B306" s="11">
        <v>300.0</v>
      </c>
      <c r="C306" s="12" t="s">
        <v>33</v>
      </c>
      <c r="D306" s="15">
        <v>75232.0</v>
      </c>
      <c r="F306" s="15"/>
      <c r="G306" s="26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</row>
    <row r="307">
      <c r="A307" s="10" t="s">
        <v>316</v>
      </c>
      <c r="B307" s="11">
        <v>100.0</v>
      </c>
      <c r="C307" s="12" t="s">
        <v>33</v>
      </c>
      <c r="D307" s="15">
        <v>75230.0</v>
      </c>
      <c r="F307" s="15"/>
      <c r="G307" s="26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</row>
    <row r="308">
      <c r="A308" s="10" t="s">
        <v>317</v>
      </c>
      <c r="B308" s="11">
        <v>500.0</v>
      </c>
      <c r="C308" s="12" t="s">
        <v>33</v>
      </c>
      <c r="D308" s="15">
        <v>75201.0</v>
      </c>
      <c r="F308" s="15"/>
      <c r="G308" s="26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</row>
    <row r="309">
      <c r="A309" s="10" t="s">
        <v>318</v>
      </c>
      <c r="B309" s="11">
        <v>500.0</v>
      </c>
      <c r="C309" s="12" t="s">
        <v>33</v>
      </c>
      <c r="D309" s="15">
        <v>75209.0</v>
      </c>
      <c r="F309" s="15"/>
      <c r="G309" s="26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</row>
    <row r="310">
      <c r="A310" s="10" t="s">
        <v>319</v>
      </c>
      <c r="B310" s="11">
        <v>100.0</v>
      </c>
      <c r="C310" s="12" t="s">
        <v>33</v>
      </c>
      <c r="D310" s="15">
        <v>75209.0</v>
      </c>
      <c r="F310" s="15"/>
      <c r="G310" s="26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</row>
    <row r="311">
      <c r="A311" s="10" t="s">
        <v>320</v>
      </c>
      <c r="B311" s="11">
        <v>500.0</v>
      </c>
      <c r="C311" s="12" t="s">
        <v>33</v>
      </c>
      <c r="D311" s="15">
        <v>75225.0</v>
      </c>
      <c r="F311" s="15"/>
      <c r="G311" s="26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</row>
    <row r="312">
      <c r="A312" s="10" t="s">
        <v>321</v>
      </c>
      <c r="B312" s="11">
        <v>250.0</v>
      </c>
      <c r="C312" s="12" t="s">
        <v>33</v>
      </c>
      <c r="D312" s="15">
        <v>75229.0</v>
      </c>
      <c r="F312" s="15"/>
      <c r="G312" s="26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</row>
    <row r="313">
      <c r="A313" s="10" t="s">
        <v>322</v>
      </c>
      <c r="B313" s="11">
        <v>1000.0</v>
      </c>
      <c r="C313" s="12" t="s">
        <v>33</v>
      </c>
      <c r="D313" s="15">
        <v>75225.0</v>
      </c>
      <c r="F313" s="15"/>
      <c r="G313" s="26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</row>
    <row r="314">
      <c r="A314" s="10" t="s">
        <v>323</v>
      </c>
      <c r="B314" s="11">
        <v>1000.0</v>
      </c>
      <c r="C314" s="12" t="s">
        <v>33</v>
      </c>
      <c r="D314" s="15">
        <v>75225.0</v>
      </c>
      <c r="F314" s="15"/>
      <c r="G314" s="26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</row>
    <row r="315">
      <c r="A315" s="10" t="s">
        <v>324</v>
      </c>
      <c r="B315" s="11">
        <v>500.0</v>
      </c>
      <c r="C315" s="12" t="s">
        <v>33</v>
      </c>
      <c r="D315" s="15">
        <v>75225.0</v>
      </c>
      <c r="F315" s="15"/>
      <c r="G315" s="26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</row>
    <row r="316">
      <c r="A316" s="10" t="s">
        <v>325</v>
      </c>
      <c r="B316" s="11">
        <v>1000.0</v>
      </c>
      <c r="C316" s="12" t="s">
        <v>33</v>
      </c>
      <c r="D316" s="15">
        <v>75248.0</v>
      </c>
      <c r="F316" s="15"/>
      <c r="G316" s="26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</row>
    <row r="317">
      <c r="A317" s="10" t="s">
        <v>326</v>
      </c>
      <c r="B317" s="11">
        <v>1000.0</v>
      </c>
      <c r="C317" s="12" t="s">
        <v>33</v>
      </c>
      <c r="D317" s="15">
        <v>75248.0</v>
      </c>
      <c r="F317" s="15"/>
      <c r="G317" s="26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</row>
    <row r="318">
      <c r="A318" s="10" t="s">
        <v>327</v>
      </c>
      <c r="B318" s="11">
        <v>500.0</v>
      </c>
      <c r="C318" s="12" t="s">
        <v>33</v>
      </c>
      <c r="D318" s="15">
        <v>75248.0</v>
      </c>
      <c r="F318" s="15"/>
      <c r="G318" s="26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</row>
    <row r="319">
      <c r="A319" s="10" t="s">
        <v>328</v>
      </c>
      <c r="B319" s="11">
        <v>250.0</v>
      </c>
      <c r="C319" s="12" t="s">
        <v>33</v>
      </c>
      <c r="D319" s="15">
        <v>75225.0</v>
      </c>
      <c r="F319" s="15"/>
      <c r="G319" s="26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</row>
    <row r="320">
      <c r="A320" s="10" t="s">
        <v>329</v>
      </c>
      <c r="B320" s="11">
        <v>1000.0</v>
      </c>
      <c r="C320" s="12" t="s">
        <v>33</v>
      </c>
      <c r="D320" s="15">
        <v>75214.0</v>
      </c>
      <c r="F320" s="15"/>
      <c r="G320" s="26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</row>
    <row r="321">
      <c r="A321" s="10" t="s">
        <v>159</v>
      </c>
      <c r="B321" s="11">
        <v>250.0</v>
      </c>
      <c r="C321" s="12" t="s">
        <v>33</v>
      </c>
      <c r="D321" s="15">
        <v>75201.0</v>
      </c>
      <c r="F321" s="15"/>
      <c r="G321" s="26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</row>
    <row r="322">
      <c r="A322" s="10" t="s">
        <v>330</v>
      </c>
      <c r="B322" s="11">
        <v>1000.0</v>
      </c>
      <c r="C322" s="12" t="s">
        <v>33</v>
      </c>
      <c r="D322" s="15">
        <v>75219.0</v>
      </c>
      <c r="F322" s="15"/>
      <c r="G322" s="26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</row>
    <row r="323">
      <c r="A323" s="10" t="s">
        <v>331</v>
      </c>
      <c r="B323" s="11">
        <v>1000.0</v>
      </c>
      <c r="C323" s="12" t="s">
        <v>33</v>
      </c>
      <c r="D323" s="15">
        <v>75225.0</v>
      </c>
      <c r="F323" s="15"/>
      <c r="G323" s="26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</row>
    <row r="324">
      <c r="A324" s="10" t="s">
        <v>332</v>
      </c>
      <c r="B324" s="11">
        <v>25.0</v>
      </c>
      <c r="C324" s="12" t="s">
        <v>33</v>
      </c>
      <c r="D324" s="15">
        <v>76039.0</v>
      </c>
      <c r="F324" s="15"/>
      <c r="G324" s="26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</row>
    <row r="325">
      <c r="A325" s="10" t="s">
        <v>333</v>
      </c>
      <c r="B325" s="11">
        <v>100.0</v>
      </c>
      <c r="C325" s="12" t="s">
        <v>33</v>
      </c>
      <c r="D325" s="15">
        <v>75244.0</v>
      </c>
      <c r="F325" s="15"/>
      <c r="G325" s="26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</row>
    <row r="326">
      <c r="A326" s="10" t="s">
        <v>334</v>
      </c>
      <c r="B326" s="11">
        <v>1000.0</v>
      </c>
      <c r="C326" s="12" t="s">
        <v>33</v>
      </c>
      <c r="D326" s="15">
        <v>75229.0</v>
      </c>
      <c r="F326" s="15"/>
      <c r="G326" s="26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</row>
    <row r="327">
      <c r="A327" s="10" t="s">
        <v>335</v>
      </c>
      <c r="B327" s="11">
        <v>500.0</v>
      </c>
      <c r="C327" s="12" t="s">
        <v>33</v>
      </c>
      <c r="D327" s="15">
        <v>75220.0</v>
      </c>
      <c r="F327" s="15"/>
      <c r="G327" s="26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</row>
    <row r="328">
      <c r="A328" s="10" t="s">
        <v>336</v>
      </c>
      <c r="B328" s="11">
        <v>500.0</v>
      </c>
      <c r="C328" s="12" t="s">
        <v>33</v>
      </c>
      <c r="D328" s="15">
        <v>75209.0</v>
      </c>
      <c r="F328" s="15"/>
      <c r="G328" s="26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</row>
    <row r="329">
      <c r="A329" s="10" t="s">
        <v>173</v>
      </c>
      <c r="B329" s="11">
        <v>500.0</v>
      </c>
      <c r="C329" s="12" t="s">
        <v>33</v>
      </c>
      <c r="D329" s="15">
        <v>75229.0</v>
      </c>
      <c r="F329" s="15"/>
      <c r="G329" s="26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</row>
    <row r="330">
      <c r="A330" s="10" t="s">
        <v>337</v>
      </c>
      <c r="B330" s="11">
        <v>1000.0</v>
      </c>
      <c r="C330" s="12" t="s">
        <v>33</v>
      </c>
      <c r="D330" s="15">
        <v>75219.0</v>
      </c>
      <c r="F330" s="15"/>
      <c r="G330" s="26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</row>
    <row r="331">
      <c r="A331" s="10" t="s">
        <v>338</v>
      </c>
      <c r="B331" s="11">
        <v>500.0</v>
      </c>
      <c r="C331" s="12" t="s">
        <v>33</v>
      </c>
      <c r="D331" s="15">
        <v>75246.0</v>
      </c>
      <c r="F331" s="15"/>
      <c r="G331" s="26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</row>
    <row r="332">
      <c r="A332" s="10" t="s">
        <v>339</v>
      </c>
      <c r="B332" s="11">
        <v>100.0</v>
      </c>
      <c r="C332" s="12" t="s">
        <v>33</v>
      </c>
      <c r="D332" s="15">
        <v>75233.0</v>
      </c>
      <c r="F332" s="15"/>
      <c r="G332" s="26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</row>
    <row r="333">
      <c r="A333" s="10" t="s">
        <v>340</v>
      </c>
      <c r="B333" s="11">
        <v>1000.0</v>
      </c>
      <c r="C333" s="12" t="s">
        <v>33</v>
      </c>
      <c r="D333" s="15">
        <v>75230.0</v>
      </c>
      <c r="F333" s="15"/>
      <c r="G333" s="26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</row>
    <row r="334">
      <c r="A334" s="10" t="s">
        <v>341</v>
      </c>
      <c r="B334" s="11">
        <v>1000.0</v>
      </c>
      <c r="C334" s="12" t="s">
        <v>33</v>
      </c>
      <c r="D334" s="15">
        <v>75205.0</v>
      </c>
      <c r="F334" s="15"/>
      <c r="G334" s="26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</row>
    <row r="335">
      <c r="A335" s="10" t="s">
        <v>342</v>
      </c>
      <c r="B335" s="11">
        <v>1000.0</v>
      </c>
      <c r="C335" s="12" t="s">
        <v>33</v>
      </c>
      <c r="D335" s="15">
        <v>75205.0</v>
      </c>
      <c r="F335" s="15"/>
      <c r="G335" s="26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</row>
    <row r="336">
      <c r="A336" s="10" t="s">
        <v>343</v>
      </c>
      <c r="B336" s="11">
        <v>250.0</v>
      </c>
      <c r="C336" s="12" t="s">
        <v>33</v>
      </c>
      <c r="D336" s="15">
        <v>75205.0</v>
      </c>
      <c r="F336" s="15"/>
      <c r="G336" s="26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</row>
    <row r="337">
      <c r="A337" s="10" t="s">
        <v>344</v>
      </c>
      <c r="B337" s="11">
        <v>250.0</v>
      </c>
      <c r="C337" s="12" t="s">
        <v>33</v>
      </c>
      <c r="D337" s="15">
        <v>75376.0</v>
      </c>
      <c r="F337" s="15"/>
      <c r="G337" s="26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</row>
    <row r="338">
      <c r="A338" s="10" t="s">
        <v>345</v>
      </c>
      <c r="B338" s="11">
        <v>250.0</v>
      </c>
      <c r="C338" s="12" t="s">
        <v>33</v>
      </c>
      <c r="D338" s="15">
        <v>75233.0</v>
      </c>
      <c r="F338" s="15"/>
      <c r="G338" s="26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</row>
    <row r="339">
      <c r="A339" s="10"/>
      <c r="B339" s="11"/>
      <c r="C339" s="12"/>
      <c r="D339" s="15"/>
      <c r="F339" s="15"/>
      <c r="G339" s="26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</row>
    <row r="340">
      <c r="A340" s="10" t="s">
        <v>347</v>
      </c>
      <c r="B340" s="11">
        <v>500.0</v>
      </c>
      <c r="C340" s="12" t="s">
        <v>33</v>
      </c>
      <c r="D340" s="15">
        <v>75204.0</v>
      </c>
      <c r="F340" s="15"/>
      <c r="G340" s="26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</row>
    <row r="341">
      <c r="A341" s="10" t="s">
        <v>316</v>
      </c>
      <c r="B341" s="11">
        <v>100.0</v>
      </c>
      <c r="C341" s="12" t="s">
        <v>33</v>
      </c>
      <c r="D341" s="15">
        <v>75230.0</v>
      </c>
      <c r="F341" s="15"/>
      <c r="G341" s="26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</row>
    <row r="342">
      <c r="A342" s="10" t="s">
        <v>348</v>
      </c>
      <c r="B342" s="11">
        <v>1000.0</v>
      </c>
      <c r="C342" s="12" t="s">
        <v>349</v>
      </c>
      <c r="D342" s="15">
        <v>75201.0</v>
      </c>
      <c r="F342" s="15"/>
      <c r="G342" s="26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</row>
    <row r="343">
      <c r="A343" s="10" t="s">
        <v>350</v>
      </c>
      <c r="B343" s="11">
        <v>1000.0</v>
      </c>
      <c r="C343" s="12" t="s">
        <v>349</v>
      </c>
      <c r="D343" s="15">
        <v>75201.0</v>
      </c>
      <c r="F343" s="15"/>
      <c r="G343" s="26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</row>
    <row r="344">
      <c r="A344" s="10" t="s">
        <v>351</v>
      </c>
      <c r="B344" s="11">
        <v>1000.0</v>
      </c>
      <c r="C344" s="12" t="s">
        <v>349</v>
      </c>
      <c r="D344" s="15">
        <v>75201.0</v>
      </c>
      <c r="F344" s="15"/>
      <c r="G344" s="26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</row>
    <row r="345">
      <c r="A345" s="10" t="s">
        <v>352</v>
      </c>
      <c r="B345" s="11">
        <v>500.0</v>
      </c>
      <c r="C345" s="12" t="s">
        <v>353</v>
      </c>
      <c r="D345" s="15">
        <v>75229.0</v>
      </c>
      <c r="F345" s="15"/>
      <c r="G345" s="26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</row>
    <row r="346">
      <c r="A346" s="10" t="s">
        <v>354</v>
      </c>
      <c r="B346" s="11">
        <v>500.0</v>
      </c>
      <c r="C346" s="12" t="s">
        <v>353</v>
      </c>
      <c r="D346" s="15">
        <v>75215.0</v>
      </c>
      <c r="F346" s="15"/>
      <c r="G346" s="26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</row>
    <row r="347">
      <c r="A347" s="10" t="s">
        <v>254</v>
      </c>
      <c r="B347" s="11">
        <v>250.0</v>
      </c>
      <c r="C347" s="12" t="s">
        <v>353</v>
      </c>
      <c r="D347" s="15">
        <v>75214.0</v>
      </c>
      <c r="F347" s="15"/>
      <c r="G347" s="26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</row>
    <row r="348">
      <c r="A348" s="10" t="s">
        <v>355</v>
      </c>
      <c r="B348" s="11">
        <v>250.0</v>
      </c>
      <c r="C348" s="12" t="s">
        <v>353</v>
      </c>
      <c r="D348" s="15">
        <v>75232.0</v>
      </c>
      <c r="F348" s="15"/>
      <c r="G348" s="26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</row>
    <row r="349">
      <c r="A349" s="10" t="s">
        <v>356</v>
      </c>
      <c r="B349" s="11">
        <v>250.0</v>
      </c>
      <c r="C349" s="12" t="s">
        <v>353</v>
      </c>
      <c r="D349" s="15">
        <v>75206.0</v>
      </c>
      <c r="F349" s="15"/>
      <c r="G349" s="26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</row>
    <row r="350">
      <c r="A350" s="10" t="s">
        <v>357</v>
      </c>
      <c r="B350" s="11">
        <v>150.0</v>
      </c>
      <c r="C350" s="12" t="s">
        <v>353</v>
      </c>
      <c r="D350" s="15">
        <v>75215.0</v>
      </c>
      <c r="F350" s="15"/>
      <c r="G350" s="26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</row>
    <row r="351">
      <c r="A351" s="10" t="s">
        <v>358</v>
      </c>
      <c r="B351" s="11">
        <v>100.0</v>
      </c>
      <c r="C351" s="12" t="s">
        <v>353</v>
      </c>
      <c r="D351" s="15">
        <v>75231.0</v>
      </c>
      <c r="F351" s="15"/>
      <c r="G351" s="26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</row>
    <row r="352">
      <c r="A352" s="10" t="s">
        <v>359</v>
      </c>
      <c r="B352" s="11">
        <v>1000.0</v>
      </c>
      <c r="C352" s="12" t="s">
        <v>353</v>
      </c>
      <c r="D352" s="15">
        <v>75115.0</v>
      </c>
      <c r="F352" s="15"/>
      <c r="G352" s="26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</row>
    <row r="353">
      <c r="A353" s="10" t="s">
        <v>360</v>
      </c>
      <c r="B353" s="11">
        <v>800.0</v>
      </c>
      <c r="C353" s="12" t="s">
        <v>353</v>
      </c>
      <c r="D353" s="15">
        <v>75115.0</v>
      </c>
      <c r="F353" s="15"/>
      <c r="G353" s="26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</row>
    <row r="354">
      <c r="A354" s="10"/>
      <c r="B354" s="11"/>
      <c r="C354" s="12"/>
      <c r="D354" s="15"/>
      <c r="F354" s="15"/>
      <c r="G354" s="26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</row>
    <row r="355">
      <c r="A355" s="10" t="s">
        <v>363</v>
      </c>
      <c r="B355" s="11">
        <v>100.0</v>
      </c>
      <c r="C355" s="12" t="s">
        <v>362</v>
      </c>
      <c r="D355" s="15">
        <v>75241.0</v>
      </c>
      <c r="F355" s="15"/>
      <c r="G355" s="26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</row>
    <row r="356">
      <c r="A356" s="10" t="s">
        <v>364</v>
      </c>
      <c r="B356" s="11">
        <v>90.0</v>
      </c>
      <c r="C356" s="12" t="s">
        <v>362</v>
      </c>
      <c r="D356" s="15">
        <v>75241.0</v>
      </c>
      <c r="F356" s="15"/>
      <c r="G356" s="26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</row>
    <row r="357">
      <c r="A357" s="10" t="s">
        <v>365</v>
      </c>
      <c r="B357" s="11">
        <v>200.0</v>
      </c>
      <c r="C357" s="12" t="s">
        <v>362</v>
      </c>
      <c r="D357" s="15">
        <v>75211.0</v>
      </c>
      <c r="F357" s="15"/>
      <c r="G357" s="26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</row>
    <row r="358">
      <c r="A358" s="10"/>
      <c r="B358" s="11"/>
      <c r="C358" s="12"/>
      <c r="D358" s="15"/>
      <c r="F358" s="15"/>
      <c r="G358" s="26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</row>
    <row r="359">
      <c r="A359" s="10" t="s">
        <v>367</v>
      </c>
      <c r="B359" s="11">
        <v>100.0</v>
      </c>
      <c r="C359" s="12" t="s">
        <v>362</v>
      </c>
      <c r="D359" s="15">
        <v>75232.0</v>
      </c>
      <c r="F359" s="15"/>
      <c r="G359" s="26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</row>
    <row r="360">
      <c r="A360" s="10" t="s">
        <v>368</v>
      </c>
      <c r="B360" s="11">
        <v>200.0</v>
      </c>
      <c r="C360" s="12" t="s">
        <v>362</v>
      </c>
      <c r="D360" s="15">
        <v>75052.0</v>
      </c>
      <c r="F360" s="15"/>
      <c r="G360" s="26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</row>
    <row r="361">
      <c r="A361" s="10" t="s">
        <v>369</v>
      </c>
      <c r="B361" s="11">
        <v>200.0</v>
      </c>
      <c r="C361" s="12" t="s">
        <v>362</v>
      </c>
      <c r="D361" s="15">
        <v>75115.0</v>
      </c>
      <c r="F361" s="15"/>
      <c r="G361" s="26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</row>
    <row r="362">
      <c r="A362" s="10" t="s">
        <v>370</v>
      </c>
      <c r="B362" s="11">
        <v>200.0</v>
      </c>
      <c r="C362" s="12" t="s">
        <v>362</v>
      </c>
      <c r="D362" s="15">
        <v>75040.0</v>
      </c>
      <c r="F362" s="15"/>
      <c r="G362" s="26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</row>
    <row r="363">
      <c r="A363" s="10" t="s">
        <v>371</v>
      </c>
      <c r="B363" s="11">
        <v>200.0</v>
      </c>
      <c r="C363" s="12" t="s">
        <v>362</v>
      </c>
      <c r="D363" s="15">
        <v>75115.0</v>
      </c>
      <c r="F363" s="15"/>
      <c r="G363" s="26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</row>
    <row r="364">
      <c r="A364" s="10" t="s">
        <v>372</v>
      </c>
      <c r="B364" s="11">
        <v>200.0</v>
      </c>
      <c r="C364" s="12" t="s">
        <v>362</v>
      </c>
      <c r="D364" s="15">
        <v>75067.0</v>
      </c>
      <c r="F364" s="15"/>
      <c r="G364" s="26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</row>
    <row r="365">
      <c r="A365" s="10" t="s">
        <v>373</v>
      </c>
      <c r="B365" s="11">
        <v>100.0</v>
      </c>
      <c r="C365" s="12" t="s">
        <v>362</v>
      </c>
      <c r="D365" s="15">
        <v>75067.0</v>
      </c>
      <c r="F365" s="15"/>
      <c r="G365" s="26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</row>
    <row r="366">
      <c r="A366" s="10" t="s">
        <v>374</v>
      </c>
      <c r="B366" s="11">
        <v>150.0</v>
      </c>
      <c r="C366" s="12" t="s">
        <v>375</v>
      </c>
      <c r="D366" s="15">
        <v>75228.0</v>
      </c>
      <c r="F366" s="15"/>
      <c r="G366" s="26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</row>
    <row r="367">
      <c r="A367" s="10" t="s">
        <v>376</v>
      </c>
      <c r="B367" s="11">
        <v>50.0</v>
      </c>
      <c r="C367" s="12" t="s">
        <v>375</v>
      </c>
      <c r="D367" s="15">
        <v>75230.0</v>
      </c>
      <c r="F367" s="15"/>
      <c r="G367" s="26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</row>
    <row r="368">
      <c r="A368" s="10" t="s">
        <v>377</v>
      </c>
      <c r="B368" s="11">
        <v>200.0</v>
      </c>
      <c r="C368" s="12" t="s">
        <v>375</v>
      </c>
      <c r="D368" s="15">
        <v>75206.0</v>
      </c>
      <c r="F368" s="15"/>
      <c r="G368" s="26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</row>
    <row r="369">
      <c r="A369" s="10" t="s">
        <v>378</v>
      </c>
      <c r="B369" s="11">
        <v>200.0</v>
      </c>
      <c r="C369" s="12" t="s">
        <v>375</v>
      </c>
      <c r="D369" s="15">
        <v>75214.0</v>
      </c>
      <c r="F369" s="15"/>
      <c r="G369" s="26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</row>
    <row r="370">
      <c r="A370" s="10"/>
      <c r="B370" s="11"/>
      <c r="C370" s="12"/>
      <c r="D370" s="15"/>
      <c r="F370" s="15"/>
      <c r="G370" s="26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</row>
    <row r="371">
      <c r="A371" s="10" t="s">
        <v>380</v>
      </c>
      <c r="B371" s="11">
        <v>150.0</v>
      </c>
      <c r="C371" s="12" t="s">
        <v>375</v>
      </c>
      <c r="D371" s="15">
        <v>75206.0</v>
      </c>
      <c r="F371" s="15"/>
      <c r="G371" s="26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</row>
    <row r="372">
      <c r="A372" s="10" t="s">
        <v>381</v>
      </c>
      <c r="B372" s="11">
        <v>500.0</v>
      </c>
      <c r="C372" s="12" t="s">
        <v>375</v>
      </c>
      <c r="D372" s="15">
        <v>75246.0</v>
      </c>
      <c r="F372" s="15"/>
      <c r="G372" s="26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</row>
    <row r="373">
      <c r="A373" s="10" t="s">
        <v>210</v>
      </c>
      <c r="B373" s="11">
        <v>100.0</v>
      </c>
      <c r="C373" s="12" t="s">
        <v>375</v>
      </c>
      <c r="D373" s="15">
        <v>75214.0</v>
      </c>
      <c r="F373" s="15"/>
      <c r="G373" s="26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</row>
    <row r="374">
      <c r="A374" s="10" t="s">
        <v>382</v>
      </c>
      <c r="B374" s="11">
        <v>100.0</v>
      </c>
      <c r="C374" s="12" t="s">
        <v>375</v>
      </c>
      <c r="D374" s="15">
        <v>75215.0</v>
      </c>
      <c r="F374" s="15"/>
      <c r="G374" s="26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</row>
    <row r="375">
      <c r="A375" s="10" t="s">
        <v>383</v>
      </c>
      <c r="B375" s="11">
        <v>100.0</v>
      </c>
      <c r="C375" s="12" t="s">
        <v>375</v>
      </c>
      <c r="D375" s="15">
        <v>75214.0</v>
      </c>
      <c r="F375" s="15"/>
      <c r="G375" s="26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</row>
    <row r="376">
      <c r="A376" s="10" t="s">
        <v>384</v>
      </c>
      <c r="B376" s="11">
        <v>25.0</v>
      </c>
      <c r="C376" s="12" t="s">
        <v>375</v>
      </c>
      <c r="D376" s="15">
        <v>75228.0</v>
      </c>
      <c r="F376" s="15"/>
      <c r="G376" s="26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</row>
    <row r="377">
      <c r="A377" s="10" t="s">
        <v>385</v>
      </c>
      <c r="B377" s="11">
        <v>50.0</v>
      </c>
      <c r="C377" s="12" t="s">
        <v>375</v>
      </c>
      <c r="D377" s="15">
        <v>75223.0</v>
      </c>
      <c r="F377" s="15"/>
      <c r="G377" s="26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</row>
    <row r="378">
      <c r="A378" s="10" t="s">
        <v>386</v>
      </c>
      <c r="B378" s="11">
        <v>1000.0</v>
      </c>
      <c r="C378" s="12" t="s">
        <v>375</v>
      </c>
      <c r="D378" s="15">
        <v>75214.0</v>
      </c>
      <c r="F378" s="15"/>
      <c r="G378" s="26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</row>
    <row r="379">
      <c r="A379" s="10" t="s">
        <v>387</v>
      </c>
      <c r="B379" s="11">
        <v>1000.0</v>
      </c>
      <c r="C379" s="12" t="s">
        <v>375</v>
      </c>
      <c r="D379" s="15">
        <v>75088.0</v>
      </c>
      <c r="F379" s="15"/>
      <c r="G379" s="26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</row>
    <row r="380">
      <c r="A380" s="10" t="s">
        <v>388</v>
      </c>
      <c r="B380" s="11">
        <v>100.0</v>
      </c>
      <c r="C380" s="12" t="s">
        <v>375</v>
      </c>
      <c r="D380" s="15">
        <v>75238.0</v>
      </c>
      <c r="F380" s="15"/>
      <c r="G380" s="26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</row>
    <row r="381">
      <c r="A381" s="10" t="s">
        <v>389</v>
      </c>
      <c r="B381" s="11">
        <v>25.0</v>
      </c>
      <c r="C381" s="12" t="s">
        <v>375</v>
      </c>
      <c r="D381" s="15">
        <v>75214.0</v>
      </c>
      <c r="F381" s="15"/>
      <c r="G381" s="26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</row>
    <row r="382">
      <c r="A382" s="10" t="s">
        <v>390</v>
      </c>
      <c r="B382" s="11">
        <v>500.0</v>
      </c>
      <c r="C382" s="12" t="s">
        <v>375</v>
      </c>
      <c r="D382" s="15">
        <v>75215.0</v>
      </c>
      <c r="F382" s="15"/>
      <c r="G382" s="26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</row>
    <row r="383">
      <c r="A383" s="10" t="s">
        <v>391</v>
      </c>
      <c r="B383" s="11">
        <v>100.0</v>
      </c>
      <c r="C383" s="12" t="s">
        <v>375</v>
      </c>
      <c r="D383" s="15">
        <v>75215.0</v>
      </c>
      <c r="F383" s="15"/>
      <c r="G383" s="26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</row>
    <row r="384">
      <c r="A384" s="10" t="s">
        <v>392</v>
      </c>
      <c r="B384" s="11">
        <v>500.0</v>
      </c>
      <c r="C384" s="12" t="s">
        <v>375</v>
      </c>
      <c r="D384" s="15">
        <v>75248.0</v>
      </c>
      <c r="F384" s="15"/>
      <c r="G384" s="26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</row>
    <row r="385">
      <c r="A385" s="10" t="s">
        <v>393</v>
      </c>
      <c r="B385" s="11">
        <v>100.0</v>
      </c>
      <c r="C385" s="12" t="s">
        <v>375</v>
      </c>
      <c r="D385" s="15">
        <v>75235.0</v>
      </c>
      <c r="F385" s="15"/>
      <c r="G385" s="26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</row>
    <row r="386">
      <c r="A386" s="10" t="s">
        <v>394</v>
      </c>
      <c r="B386" s="11">
        <v>250.0</v>
      </c>
      <c r="C386" s="12" t="s">
        <v>375</v>
      </c>
      <c r="D386" s="15">
        <v>75219.0</v>
      </c>
      <c r="F386" s="15"/>
      <c r="G386" s="26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</row>
    <row r="387">
      <c r="A387" s="10" t="s">
        <v>395</v>
      </c>
      <c r="B387" s="11">
        <v>1000.0</v>
      </c>
      <c r="C387" s="12" t="s">
        <v>375</v>
      </c>
      <c r="D387" s="15">
        <v>75205.0</v>
      </c>
      <c r="F387" s="15"/>
      <c r="G387" s="26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</row>
    <row r="388">
      <c r="A388" s="10" t="s">
        <v>396</v>
      </c>
      <c r="B388" s="11">
        <v>250.0</v>
      </c>
      <c r="C388" s="12" t="s">
        <v>375</v>
      </c>
      <c r="D388" s="15">
        <v>75208.0</v>
      </c>
      <c r="F388" s="15"/>
      <c r="G388" s="26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</row>
    <row r="389">
      <c r="A389" s="10" t="s">
        <v>397</v>
      </c>
      <c r="B389" s="11">
        <v>1000.0</v>
      </c>
      <c r="C389" s="12" t="s">
        <v>375</v>
      </c>
      <c r="D389" s="15">
        <v>75214.0</v>
      </c>
      <c r="F389" s="15"/>
      <c r="G389" s="26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</row>
    <row r="390">
      <c r="A390" s="10" t="s">
        <v>398</v>
      </c>
      <c r="B390" s="11">
        <v>100.0</v>
      </c>
      <c r="C390" s="12" t="s">
        <v>375</v>
      </c>
      <c r="D390" s="15">
        <v>75227.0</v>
      </c>
      <c r="F390" s="15"/>
      <c r="G390" s="26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</row>
    <row r="391">
      <c r="A391" s="10"/>
      <c r="B391" s="11"/>
      <c r="C391" s="12"/>
      <c r="D391" s="15"/>
      <c r="F391" s="15"/>
      <c r="G391" s="26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</row>
    <row r="392">
      <c r="A392" s="10" t="s">
        <v>400</v>
      </c>
      <c r="B392" s="11">
        <v>200.0</v>
      </c>
      <c r="C392" s="12" t="s">
        <v>375</v>
      </c>
      <c r="D392" s="15">
        <v>75208.0</v>
      </c>
      <c r="F392" s="15"/>
      <c r="G392" s="26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</row>
    <row r="393">
      <c r="A393" s="10" t="s">
        <v>401</v>
      </c>
      <c r="B393" s="11">
        <v>200.0</v>
      </c>
      <c r="C393" s="12" t="s">
        <v>375</v>
      </c>
      <c r="D393" s="15">
        <v>75214.0</v>
      </c>
      <c r="F393" s="15"/>
      <c r="G393" s="26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</row>
    <row r="394">
      <c r="A394" s="10" t="s">
        <v>402</v>
      </c>
      <c r="B394" s="11">
        <v>500.0</v>
      </c>
      <c r="C394" s="12" t="s">
        <v>375</v>
      </c>
      <c r="D394" s="15">
        <v>75229.0</v>
      </c>
      <c r="F394" s="15"/>
      <c r="G394" s="26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</row>
    <row r="395">
      <c r="A395" s="10" t="s">
        <v>403</v>
      </c>
      <c r="B395" s="11">
        <v>20.0</v>
      </c>
      <c r="C395" s="12" t="s">
        <v>375</v>
      </c>
      <c r="D395" s="15">
        <v>75243.0</v>
      </c>
      <c r="F395" s="15"/>
      <c r="G395" s="26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</row>
    <row r="396">
      <c r="A396" s="10" t="s">
        <v>404</v>
      </c>
      <c r="B396" s="11">
        <v>20.0</v>
      </c>
      <c r="C396" s="12" t="s">
        <v>375</v>
      </c>
      <c r="D396" s="15">
        <v>75215.0</v>
      </c>
      <c r="F396" s="15"/>
      <c r="G396" s="26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</row>
    <row r="397">
      <c r="A397" s="10" t="s">
        <v>405</v>
      </c>
      <c r="B397" s="11">
        <v>100.0</v>
      </c>
      <c r="C397" s="12" t="s">
        <v>375</v>
      </c>
      <c r="D397" s="15">
        <v>75201.0</v>
      </c>
      <c r="F397" s="15"/>
      <c r="G397" s="26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</row>
    <row r="398">
      <c r="A398" s="10" t="s">
        <v>406</v>
      </c>
      <c r="B398" s="11">
        <v>100.0</v>
      </c>
      <c r="C398" s="12" t="s">
        <v>375</v>
      </c>
      <c r="D398" s="15">
        <v>75204.0</v>
      </c>
      <c r="F398" s="15"/>
      <c r="G398" s="26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</row>
    <row r="399">
      <c r="A399" s="10" t="s">
        <v>178</v>
      </c>
      <c r="B399" s="11">
        <v>100.0</v>
      </c>
      <c r="C399" s="12" t="s">
        <v>375</v>
      </c>
      <c r="D399" s="15">
        <v>75215.0</v>
      </c>
      <c r="F399" s="15"/>
      <c r="G399" s="26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</row>
    <row r="400">
      <c r="A400" s="10" t="s">
        <v>407</v>
      </c>
      <c r="B400" s="11">
        <v>250.0</v>
      </c>
      <c r="C400" s="12" t="s">
        <v>375</v>
      </c>
      <c r="D400" s="15">
        <v>75224.0</v>
      </c>
      <c r="F400" s="15"/>
      <c r="G400" s="26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</row>
    <row r="401">
      <c r="A401" s="10" t="s">
        <v>408</v>
      </c>
      <c r="B401" s="11">
        <v>100.0</v>
      </c>
      <c r="C401" s="12" t="s">
        <v>375</v>
      </c>
      <c r="D401" s="15">
        <v>75235.0</v>
      </c>
      <c r="F401" s="15"/>
      <c r="G401" s="26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</row>
    <row r="402">
      <c r="A402" s="10" t="s">
        <v>409</v>
      </c>
      <c r="B402" s="11">
        <v>100.0</v>
      </c>
      <c r="C402" s="12" t="s">
        <v>375</v>
      </c>
      <c r="D402" s="15">
        <v>75052.0</v>
      </c>
      <c r="F402" s="15"/>
      <c r="G402" s="26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</row>
    <row r="403">
      <c r="A403" s="10" t="s">
        <v>410</v>
      </c>
      <c r="B403" s="11">
        <v>100.0</v>
      </c>
      <c r="C403" s="12" t="s">
        <v>375</v>
      </c>
      <c r="D403" s="15">
        <v>75208.0</v>
      </c>
      <c r="F403" s="15"/>
      <c r="G403" s="26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</row>
    <row r="404">
      <c r="A404" s="10" t="s">
        <v>411</v>
      </c>
      <c r="B404" s="11">
        <v>500.0</v>
      </c>
      <c r="C404" s="12" t="s">
        <v>375</v>
      </c>
      <c r="D404" s="15">
        <v>75235.0</v>
      </c>
      <c r="F404" s="15"/>
      <c r="G404" s="26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</row>
    <row r="405">
      <c r="A405" s="10" t="s">
        <v>412</v>
      </c>
      <c r="B405" s="11">
        <v>50.0</v>
      </c>
      <c r="C405" s="12" t="s">
        <v>375</v>
      </c>
      <c r="D405" s="15">
        <v>75223.0</v>
      </c>
      <c r="F405" s="15"/>
      <c r="G405" s="26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</row>
    <row r="406">
      <c r="A406" s="10" t="s">
        <v>413</v>
      </c>
      <c r="B406" s="11">
        <v>100.0</v>
      </c>
      <c r="C406" s="12" t="s">
        <v>375</v>
      </c>
      <c r="D406" s="15">
        <v>75230.0</v>
      </c>
      <c r="F406" s="15"/>
      <c r="G406" s="26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</row>
    <row r="407">
      <c r="A407" s="10" t="s">
        <v>414</v>
      </c>
      <c r="B407" s="11">
        <v>1000.0</v>
      </c>
      <c r="C407" s="12" t="s">
        <v>375</v>
      </c>
      <c r="D407" s="15">
        <v>75220.0</v>
      </c>
      <c r="F407" s="15"/>
      <c r="G407" s="26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</row>
    <row r="408">
      <c r="A408" s="10" t="s">
        <v>415</v>
      </c>
      <c r="B408" s="11">
        <v>25.0</v>
      </c>
      <c r="C408" s="12" t="s">
        <v>375</v>
      </c>
      <c r="D408" s="15">
        <v>75072.0</v>
      </c>
      <c r="F408" s="15"/>
      <c r="G408" s="26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</row>
    <row r="409">
      <c r="A409" s="10" t="s">
        <v>416</v>
      </c>
      <c r="B409" s="11">
        <v>250.0</v>
      </c>
      <c r="C409" s="12" t="s">
        <v>375</v>
      </c>
      <c r="D409" s="15">
        <v>75201.0</v>
      </c>
      <c r="F409" s="15"/>
      <c r="G409" s="26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</row>
    <row r="410">
      <c r="A410" s="10" t="s">
        <v>417</v>
      </c>
      <c r="B410" s="11">
        <v>50.0</v>
      </c>
      <c r="C410" s="12" t="s">
        <v>375</v>
      </c>
      <c r="D410" s="15">
        <v>75214.0</v>
      </c>
      <c r="F410" s="15"/>
      <c r="G410" s="26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</row>
    <row r="411">
      <c r="A411" s="10" t="s">
        <v>418</v>
      </c>
      <c r="B411" s="11">
        <v>1000.0</v>
      </c>
      <c r="C411" s="12" t="s">
        <v>375</v>
      </c>
      <c r="D411" s="15">
        <v>75208.0</v>
      </c>
      <c r="F411" s="15"/>
      <c r="G411" s="26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</row>
    <row r="412">
      <c r="A412" s="10" t="s">
        <v>419</v>
      </c>
      <c r="B412" s="11">
        <v>1000.0</v>
      </c>
      <c r="C412" s="12" t="s">
        <v>375</v>
      </c>
      <c r="D412" s="15">
        <v>75208.0</v>
      </c>
      <c r="F412" s="15"/>
      <c r="G412" s="26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</row>
    <row r="413">
      <c r="A413" s="10" t="s">
        <v>420</v>
      </c>
      <c r="B413" s="11">
        <v>200.0</v>
      </c>
      <c r="C413" s="12" t="s">
        <v>375</v>
      </c>
      <c r="D413" s="15">
        <v>75214.0</v>
      </c>
      <c r="F413" s="15"/>
      <c r="G413" s="26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</row>
    <row r="414">
      <c r="A414" s="10" t="s">
        <v>421</v>
      </c>
      <c r="B414" s="11">
        <v>250.0</v>
      </c>
      <c r="C414" s="12" t="s">
        <v>375</v>
      </c>
      <c r="D414" s="15">
        <v>75214.0</v>
      </c>
      <c r="F414" s="15"/>
      <c r="G414" s="26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</row>
    <row r="415">
      <c r="A415" s="10" t="s">
        <v>422</v>
      </c>
      <c r="B415" s="11">
        <v>25.0</v>
      </c>
      <c r="C415" s="12" t="s">
        <v>375</v>
      </c>
      <c r="D415" s="15">
        <v>75218.0</v>
      </c>
      <c r="F415" s="15"/>
      <c r="G415" s="26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</row>
    <row r="416">
      <c r="A416" s="10" t="s">
        <v>423</v>
      </c>
      <c r="B416" s="11">
        <v>1000.0</v>
      </c>
      <c r="C416" s="12" t="s">
        <v>106</v>
      </c>
      <c r="D416" s="15">
        <v>75211.0</v>
      </c>
      <c r="F416" s="15"/>
      <c r="G416" s="26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</row>
    <row r="417">
      <c r="A417" s="5" t="s">
        <v>424</v>
      </c>
      <c r="B417" s="6">
        <v>30.0</v>
      </c>
      <c r="C417" s="7" t="s">
        <v>106</v>
      </c>
      <c r="D417" s="15">
        <v>78163.0</v>
      </c>
      <c r="F417" s="15"/>
      <c r="G417" s="26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</row>
    <row r="418">
      <c r="A418" s="10" t="s">
        <v>425</v>
      </c>
      <c r="B418" s="11">
        <v>250.0</v>
      </c>
      <c r="C418" s="12" t="s">
        <v>106</v>
      </c>
      <c r="D418" s="15">
        <v>78045.0</v>
      </c>
      <c r="F418" s="15"/>
      <c r="G418" s="26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</row>
    <row r="419">
      <c r="A419" s="5" t="s">
        <v>426</v>
      </c>
      <c r="B419" s="6">
        <v>250.0</v>
      </c>
      <c r="C419" s="7" t="s">
        <v>106</v>
      </c>
      <c r="D419" s="15">
        <v>78744.0</v>
      </c>
      <c r="F419" s="15"/>
      <c r="G419" s="26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</row>
    <row r="420">
      <c r="A420" s="10" t="s">
        <v>427</v>
      </c>
      <c r="B420" s="11">
        <v>50.0</v>
      </c>
      <c r="C420" s="12" t="s">
        <v>106</v>
      </c>
      <c r="D420" s="15">
        <v>75672.0</v>
      </c>
      <c r="F420" s="15"/>
      <c r="G420" s="26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</row>
    <row r="421">
      <c r="A421" s="5" t="s">
        <v>428</v>
      </c>
      <c r="B421" s="6">
        <v>300.0</v>
      </c>
      <c r="C421" s="7" t="s">
        <v>106</v>
      </c>
      <c r="D421" s="15">
        <v>78744.0</v>
      </c>
      <c r="F421" s="15"/>
      <c r="G421" s="26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</row>
    <row r="422">
      <c r="A422" s="10" t="s">
        <v>429</v>
      </c>
      <c r="B422" s="11">
        <v>100.0</v>
      </c>
      <c r="C422" s="12" t="s">
        <v>106</v>
      </c>
      <c r="D422" s="15">
        <v>75211.0</v>
      </c>
      <c r="F422" s="15"/>
      <c r="G422" s="26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</row>
    <row r="423">
      <c r="A423" s="5" t="s">
        <v>430</v>
      </c>
      <c r="B423" s="6">
        <v>100.0</v>
      </c>
      <c r="C423" s="7" t="s">
        <v>106</v>
      </c>
      <c r="D423" s="15">
        <v>75254.0</v>
      </c>
      <c r="F423" s="15"/>
      <c r="G423" s="26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</row>
    <row r="424">
      <c r="A424" s="10" t="s">
        <v>431</v>
      </c>
      <c r="B424" s="11">
        <v>100.0</v>
      </c>
      <c r="C424" s="12" t="s">
        <v>106</v>
      </c>
      <c r="D424" s="15">
        <v>78621.0</v>
      </c>
      <c r="F424" s="15"/>
      <c r="G424" s="26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</row>
    <row r="425">
      <c r="A425" s="5" t="s">
        <v>432</v>
      </c>
      <c r="B425" s="6">
        <v>100.0</v>
      </c>
      <c r="C425" s="7" t="s">
        <v>106</v>
      </c>
      <c r="D425" s="15">
        <v>75137.0</v>
      </c>
      <c r="F425" s="15"/>
      <c r="G425" s="26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</row>
    <row r="426">
      <c r="A426" s="10" t="s">
        <v>433</v>
      </c>
      <c r="B426" s="11">
        <v>50.0</v>
      </c>
      <c r="C426" s="12" t="s">
        <v>106</v>
      </c>
      <c r="D426" s="15">
        <v>75207.0</v>
      </c>
      <c r="F426" s="15"/>
      <c r="G426" s="26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</row>
    <row r="427">
      <c r="A427" s="5" t="s">
        <v>434</v>
      </c>
      <c r="B427" s="6">
        <v>100.0</v>
      </c>
      <c r="C427" s="7" t="s">
        <v>106</v>
      </c>
      <c r="D427" s="15">
        <v>77354.0</v>
      </c>
      <c r="F427" s="15"/>
      <c r="G427" s="26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</row>
    <row r="428">
      <c r="A428" s="10" t="s">
        <v>435</v>
      </c>
      <c r="B428" s="11">
        <v>250.0</v>
      </c>
      <c r="C428" s="12" t="s">
        <v>106</v>
      </c>
      <c r="D428" s="15">
        <v>79235.0</v>
      </c>
      <c r="F428" s="15"/>
      <c r="G428" s="26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</row>
    <row r="429">
      <c r="A429" s="5" t="s">
        <v>436</v>
      </c>
      <c r="B429" s="6">
        <v>50.0</v>
      </c>
      <c r="C429" s="7" t="s">
        <v>106</v>
      </c>
      <c r="D429" s="15">
        <v>75224.0</v>
      </c>
      <c r="F429" s="15"/>
      <c r="G429" s="26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</row>
    <row r="430">
      <c r="A430" s="10" t="s">
        <v>437</v>
      </c>
      <c r="B430" s="11">
        <v>1000.0</v>
      </c>
      <c r="C430" s="12" t="s">
        <v>106</v>
      </c>
      <c r="D430" s="15">
        <v>75224.0</v>
      </c>
      <c r="F430" s="15"/>
      <c r="G430" s="26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</row>
    <row r="431">
      <c r="A431" s="5" t="s">
        <v>438</v>
      </c>
      <c r="B431" s="6">
        <v>1000.0</v>
      </c>
      <c r="C431" s="7" t="s">
        <v>106</v>
      </c>
      <c r="D431" s="15">
        <v>75023.0</v>
      </c>
      <c r="F431" s="15"/>
      <c r="G431" s="26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</row>
    <row r="432">
      <c r="A432" s="10" t="s">
        <v>439</v>
      </c>
      <c r="B432" s="11">
        <v>40.0</v>
      </c>
      <c r="C432" s="12" t="s">
        <v>106</v>
      </c>
      <c r="D432" s="15">
        <v>75224.0</v>
      </c>
      <c r="F432" s="15"/>
      <c r="G432" s="26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</row>
    <row r="433">
      <c r="A433" s="5"/>
      <c r="B433" s="6"/>
      <c r="C433" s="7"/>
      <c r="D433" s="15"/>
      <c r="F433" s="15"/>
      <c r="G433" s="26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</row>
    <row r="434">
      <c r="A434" s="10" t="s">
        <v>441</v>
      </c>
      <c r="B434" s="11">
        <v>35.0</v>
      </c>
      <c r="C434" s="12" t="s">
        <v>106</v>
      </c>
      <c r="D434" s="15">
        <v>75208.0</v>
      </c>
      <c r="F434" s="15"/>
      <c r="G434" s="26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</row>
    <row r="435">
      <c r="A435" s="5" t="s">
        <v>442</v>
      </c>
      <c r="B435" s="6">
        <v>350.0</v>
      </c>
      <c r="C435" s="7" t="s">
        <v>106</v>
      </c>
      <c r="D435" s="15">
        <v>75043.0</v>
      </c>
      <c r="F435" s="15"/>
      <c r="G435" s="26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</row>
    <row r="436">
      <c r="A436" s="10" t="s">
        <v>443</v>
      </c>
      <c r="B436" s="11">
        <v>100.0</v>
      </c>
      <c r="C436" s="12" t="s">
        <v>106</v>
      </c>
      <c r="D436" s="15">
        <v>75042.0</v>
      </c>
      <c r="F436" s="15"/>
      <c r="G436" s="26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</row>
    <row r="437">
      <c r="A437" s="5" t="s">
        <v>444</v>
      </c>
      <c r="B437" s="6">
        <v>25.0</v>
      </c>
      <c r="C437" s="7" t="s">
        <v>106</v>
      </c>
      <c r="D437" s="15">
        <v>75142.0</v>
      </c>
      <c r="F437" s="15"/>
      <c r="G437" s="26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</row>
    <row r="438">
      <c r="A438" s="10" t="s">
        <v>445</v>
      </c>
      <c r="B438" s="11">
        <v>50.0</v>
      </c>
      <c r="C438" s="12" t="s">
        <v>106</v>
      </c>
      <c r="D438" s="15">
        <v>75054.0</v>
      </c>
      <c r="F438" s="15"/>
      <c r="G438" s="26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</row>
    <row r="439">
      <c r="A439" s="5" t="s">
        <v>446</v>
      </c>
      <c r="B439" s="6">
        <v>50.0</v>
      </c>
      <c r="C439" s="7" t="s">
        <v>106</v>
      </c>
      <c r="D439" s="15">
        <v>75007.0</v>
      </c>
      <c r="F439" s="15"/>
      <c r="G439" s="26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</row>
    <row r="440">
      <c r="A440" s="10" t="s">
        <v>447</v>
      </c>
      <c r="B440" s="11">
        <v>50.0</v>
      </c>
      <c r="C440" s="12" t="s">
        <v>106</v>
      </c>
      <c r="D440" s="15">
        <v>75104.0</v>
      </c>
      <c r="F440" s="15"/>
      <c r="G440" s="26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</row>
    <row r="441">
      <c r="A441" s="5" t="s">
        <v>448</v>
      </c>
      <c r="B441" s="6">
        <v>100.0</v>
      </c>
      <c r="C441" s="7" t="s">
        <v>106</v>
      </c>
      <c r="D441" s="15">
        <v>75214.0</v>
      </c>
      <c r="F441" s="15"/>
      <c r="G441" s="26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</row>
    <row r="442">
      <c r="A442" s="10" t="s">
        <v>449</v>
      </c>
      <c r="B442" s="11">
        <v>100.0</v>
      </c>
      <c r="C442" s="12" t="s">
        <v>106</v>
      </c>
      <c r="D442" s="15">
        <v>75104.0</v>
      </c>
      <c r="F442" s="15"/>
      <c r="G442" s="26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</row>
    <row r="443">
      <c r="A443" s="5" t="s">
        <v>450</v>
      </c>
      <c r="B443" s="6">
        <v>50.0</v>
      </c>
      <c r="C443" s="7" t="s">
        <v>106</v>
      </c>
      <c r="D443" s="15">
        <v>75233.0</v>
      </c>
      <c r="F443" s="15"/>
      <c r="G443" s="26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</row>
    <row r="444">
      <c r="A444" s="10" t="s">
        <v>451</v>
      </c>
      <c r="B444" s="11">
        <v>50.0</v>
      </c>
      <c r="C444" s="12" t="s">
        <v>106</v>
      </c>
      <c r="D444" s="15">
        <v>75217.0</v>
      </c>
      <c r="F444" s="15"/>
      <c r="G444" s="26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</row>
    <row r="445">
      <c r="A445" s="5" t="s">
        <v>452</v>
      </c>
      <c r="B445" s="6">
        <v>50.0</v>
      </c>
      <c r="C445" s="7" t="s">
        <v>106</v>
      </c>
      <c r="D445" s="15">
        <v>78660.0</v>
      </c>
      <c r="F445" s="15"/>
      <c r="G445" s="26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</row>
    <row r="446">
      <c r="A446" s="10" t="s">
        <v>453</v>
      </c>
      <c r="B446" s="11">
        <v>20.0</v>
      </c>
      <c r="C446" s="12" t="s">
        <v>106</v>
      </c>
      <c r="D446" s="15">
        <v>75280.0</v>
      </c>
      <c r="F446" s="15"/>
      <c r="G446" s="26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</row>
    <row r="447">
      <c r="A447" s="5" t="s">
        <v>454</v>
      </c>
      <c r="B447" s="6">
        <v>10.0</v>
      </c>
      <c r="C447" s="7" t="s">
        <v>106</v>
      </c>
      <c r="D447" s="15">
        <v>75211.0</v>
      </c>
      <c r="F447" s="15"/>
      <c r="G447" s="26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</row>
    <row r="448">
      <c r="A448" s="10" t="s">
        <v>455</v>
      </c>
      <c r="B448" s="11">
        <v>100.0</v>
      </c>
      <c r="C448" s="12" t="s">
        <v>106</v>
      </c>
      <c r="D448" s="15">
        <v>75224.0</v>
      </c>
      <c r="F448" s="15"/>
      <c r="G448" s="26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</row>
    <row r="449">
      <c r="A449" s="5" t="s">
        <v>456</v>
      </c>
      <c r="B449" s="6">
        <v>100.0</v>
      </c>
      <c r="C449" s="7" t="s">
        <v>106</v>
      </c>
      <c r="D449" s="15">
        <v>75211.0</v>
      </c>
      <c r="F449" s="15"/>
      <c r="G449" s="26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</row>
    <row r="450">
      <c r="A450" s="10" t="s">
        <v>457</v>
      </c>
      <c r="B450" s="11">
        <v>60.0</v>
      </c>
      <c r="C450" s="12" t="s">
        <v>106</v>
      </c>
      <c r="D450" s="15">
        <v>75116.0</v>
      </c>
      <c r="F450" s="15"/>
      <c r="G450" s="26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</row>
    <row r="451">
      <c r="A451" s="5" t="s">
        <v>458</v>
      </c>
      <c r="B451" s="6">
        <v>50.0</v>
      </c>
      <c r="C451" s="7" t="s">
        <v>106</v>
      </c>
      <c r="D451" s="15">
        <v>75180.0</v>
      </c>
      <c r="F451" s="15"/>
      <c r="G451" s="26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</row>
    <row r="452">
      <c r="A452" s="10" t="s">
        <v>459</v>
      </c>
      <c r="B452" s="11">
        <v>50.0</v>
      </c>
      <c r="C452" s="12" t="s">
        <v>106</v>
      </c>
      <c r="D452" s="15">
        <v>75211.0</v>
      </c>
      <c r="F452" s="15"/>
      <c r="G452" s="26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</row>
    <row r="453">
      <c r="A453" s="5" t="s">
        <v>460</v>
      </c>
      <c r="B453" s="6">
        <v>20.0</v>
      </c>
      <c r="C453" s="7" t="s">
        <v>106</v>
      </c>
      <c r="D453" s="15">
        <v>75211.0</v>
      </c>
      <c r="F453" s="15"/>
      <c r="G453" s="26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</row>
    <row r="454">
      <c r="A454" s="10" t="s">
        <v>461</v>
      </c>
      <c r="B454" s="11">
        <v>100.0</v>
      </c>
      <c r="C454" s="12" t="s">
        <v>106</v>
      </c>
      <c r="D454" s="15">
        <v>75211.0</v>
      </c>
      <c r="F454" s="15"/>
      <c r="G454" s="26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</row>
    <row r="455">
      <c r="A455" s="5" t="s">
        <v>462</v>
      </c>
      <c r="B455" s="6">
        <v>20.0</v>
      </c>
      <c r="C455" s="7" t="s">
        <v>106</v>
      </c>
      <c r="D455" s="15">
        <v>75211.0</v>
      </c>
      <c r="F455" s="15"/>
      <c r="G455" s="26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</row>
    <row r="456">
      <c r="A456" s="10" t="s">
        <v>463</v>
      </c>
      <c r="B456" s="11">
        <v>40.0</v>
      </c>
      <c r="C456" s="12" t="s">
        <v>106</v>
      </c>
      <c r="D456" s="15">
        <v>75208.0</v>
      </c>
      <c r="F456" s="15"/>
      <c r="G456" s="26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</row>
    <row r="457">
      <c r="A457" s="5" t="s">
        <v>464</v>
      </c>
      <c r="B457" s="6">
        <v>40.0</v>
      </c>
      <c r="C457" s="7" t="s">
        <v>106</v>
      </c>
      <c r="D457" s="15">
        <v>75208.0</v>
      </c>
      <c r="F457" s="15"/>
      <c r="G457" s="26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</row>
    <row r="458">
      <c r="A458" s="10" t="s">
        <v>465</v>
      </c>
      <c r="B458" s="11">
        <v>100.0</v>
      </c>
      <c r="C458" s="12" t="s">
        <v>106</v>
      </c>
      <c r="D458" s="15">
        <v>75208.0</v>
      </c>
      <c r="F458" s="15"/>
      <c r="G458" s="26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</row>
    <row r="459">
      <c r="A459" s="5" t="s">
        <v>466</v>
      </c>
      <c r="B459" s="6">
        <v>10.0</v>
      </c>
      <c r="C459" s="7" t="s">
        <v>106</v>
      </c>
      <c r="D459" s="15">
        <v>75224.0</v>
      </c>
      <c r="F459" s="15"/>
      <c r="G459" s="26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</row>
    <row r="460">
      <c r="A460" s="10" t="s">
        <v>467</v>
      </c>
      <c r="B460" s="11">
        <v>150.0</v>
      </c>
      <c r="C460" s="12" t="s">
        <v>106</v>
      </c>
      <c r="D460" s="15">
        <v>75211.0</v>
      </c>
      <c r="F460" s="15"/>
      <c r="G460" s="26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</row>
    <row r="461">
      <c r="A461" s="5" t="s">
        <v>468</v>
      </c>
      <c r="B461" s="6">
        <v>50.0</v>
      </c>
      <c r="C461" s="7" t="s">
        <v>106</v>
      </c>
      <c r="D461" s="15">
        <v>75237.0</v>
      </c>
      <c r="F461" s="15"/>
      <c r="G461" s="26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</row>
    <row r="462">
      <c r="A462" s="10" t="s">
        <v>469</v>
      </c>
      <c r="B462" s="11">
        <v>50.0</v>
      </c>
      <c r="C462" s="12" t="s">
        <v>106</v>
      </c>
      <c r="D462" s="15">
        <v>75212.0</v>
      </c>
      <c r="F462" s="15"/>
      <c r="G462" s="26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</row>
    <row r="463">
      <c r="A463" s="5" t="s">
        <v>470</v>
      </c>
      <c r="B463" s="6">
        <v>100.0</v>
      </c>
      <c r="C463" s="7" t="s">
        <v>106</v>
      </c>
      <c r="D463" s="15">
        <v>75115.0</v>
      </c>
      <c r="F463" s="15"/>
      <c r="G463" s="26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</row>
    <row r="464">
      <c r="A464" s="10" t="s">
        <v>471</v>
      </c>
      <c r="B464" s="11">
        <v>25.0</v>
      </c>
      <c r="C464" s="12" t="s">
        <v>106</v>
      </c>
      <c r="D464" s="15">
        <v>75227.0</v>
      </c>
      <c r="F464" s="15"/>
      <c r="G464" s="26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</row>
    <row r="465">
      <c r="A465" s="5" t="s">
        <v>472</v>
      </c>
      <c r="B465" s="6">
        <v>20.0</v>
      </c>
      <c r="C465" s="7" t="s">
        <v>106</v>
      </c>
      <c r="D465" s="15">
        <v>75023.0</v>
      </c>
      <c r="F465" s="15"/>
      <c r="G465" s="26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</row>
    <row r="466">
      <c r="A466" s="10" t="s">
        <v>473</v>
      </c>
      <c r="B466" s="11">
        <v>50.0</v>
      </c>
      <c r="C466" s="12" t="s">
        <v>106</v>
      </c>
      <c r="D466" s="15">
        <v>75233.0</v>
      </c>
      <c r="F466" s="15"/>
      <c r="G466" s="26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</row>
    <row r="467">
      <c r="A467" s="5" t="s">
        <v>474</v>
      </c>
      <c r="B467" s="6">
        <v>25.0</v>
      </c>
      <c r="C467" s="7" t="s">
        <v>106</v>
      </c>
      <c r="D467" s="15">
        <v>75233.0</v>
      </c>
      <c r="F467" s="15"/>
      <c r="G467" s="26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</row>
    <row r="468">
      <c r="A468" s="10" t="s">
        <v>475</v>
      </c>
      <c r="B468" s="11">
        <v>20.0</v>
      </c>
      <c r="C468" s="12" t="s">
        <v>106</v>
      </c>
      <c r="D468" s="15">
        <v>75211.0</v>
      </c>
      <c r="F468" s="15"/>
      <c r="G468" s="26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</row>
    <row r="469">
      <c r="A469" s="5" t="s">
        <v>476</v>
      </c>
      <c r="B469" s="6">
        <v>50.0</v>
      </c>
      <c r="C469" s="7" t="s">
        <v>106</v>
      </c>
      <c r="D469" s="15">
        <v>75081.0</v>
      </c>
      <c r="F469" s="15"/>
      <c r="G469" s="26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</row>
    <row r="470">
      <c r="A470" s="10" t="s">
        <v>477</v>
      </c>
      <c r="B470" s="11">
        <v>50.0</v>
      </c>
      <c r="C470" s="12" t="s">
        <v>106</v>
      </c>
      <c r="D470" s="15">
        <v>75137.0</v>
      </c>
      <c r="F470" s="15"/>
      <c r="G470" s="26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</row>
    <row r="471">
      <c r="A471" s="5" t="s">
        <v>478</v>
      </c>
      <c r="B471" s="6">
        <v>20.0</v>
      </c>
      <c r="C471" s="7" t="s">
        <v>106</v>
      </c>
      <c r="D471" s="15">
        <v>75056.0</v>
      </c>
      <c r="F471" s="15"/>
      <c r="G471" s="26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</row>
    <row r="472">
      <c r="A472" s="10" t="s">
        <v>105</v>
      </c>
      <c r="B472" s="11">
        <v>20.0</v>
      </c>
      <c r="C472" s="12" t="s">
        <v>106</v>
      </c>
      <c r="D472" s="15">
        <v>75208.0</v>
      </c>
      <c r="F472" s="15"/>
      <c r="G472" s="26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</row>
    <row r="473">
      <c r="A473" s="5" t="s">
        <v>479</v>
      </c>
      <c r="B473" s="6">
        <v>50.0</v>
      </c>
      <c r="C473" s="7" t="s">
        <v>106</v>
      </c>
      <c r="D473" s="15">
        <v>75067.0</v>
      </c>
      <c r="F473" s="15"/>
      <c r="G473" s="26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</row>
    <row r="474">
      <c r="A474" s="10" t="s">
        <v>480</v>
      </c>
      <c r="B474" s="11">
        <v>20.0</v>
      </c>
      <c r="C474" s="12" t="s">
        <v>106</v>
      </c>
      <c r="D474" s="15">
        <v>75208.0</v>
      </c>
      <c r="F474" s="15"/>
      <c r="G474" s="26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</row>
    <row r="475">
      <c r="A475" s="5" t="s">
        <v>478</v>
      </c>
      <c r="B475" s="6">
        <v>100.0</v>
      </c>
      <c r="C475" s="7" t="s">
        <v>106</v>
      </c>
      <c r="D475" s="15">
        <v>75056.0</v>
      </c>
      <c r="F475" s="15"/>
      <c r="G475" s="26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</row>
    <row r="476">
      <c r="A476" s="10" t="s">
        <v>481</v>
      </c>
      <c r="B476" s="11">
        <v>20.0</v>
      </c>
      <c r="C476" s="12" t="s">
        <v>106</v>
      </c>
      <c r="D476" s="15">
        <v>75208.0</v>
      </c>
      <c r="F476" s="15"/>
      <c r="G476" s="26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</row>
    <row r="477">
      <c r="A477" s="5" t="s">
        <v>482</v>
      </c>
      <c r="B477" s="6">
        <v>50.0</v>
      </c>
      <c r="C477" s="7" t="s">
        <v>106</v>
      </c>
      <c r="D477" s="15">
        <v>76002.0</v>
      </c>
      <c r="F477" s="15"/>
      <c r="G477" s="26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</row>
    <row r="478">
      <c r="A478" s="10" t="s">
        <v>483</v>
      </c>
      <c r="B478" s="11">
        <v>100.0</v>
      </c>
      <c r="C478" s="12" t="s">
        <v>106</v>
      </c>
      <c r="D478" s="15">
        <v>75243.0</v>
      </c>
      <c r="F478" s="15"/>
      <c r="G478" s="26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</row>
    <row r="479">
      <c r="A479" s="5" t="s">
        <v>484</v>
      </c>
      <c r="B479" s="6">
        <v>20.0</v>
      </c>
      <c r="C479" s="7" t="s">
        <v>106</v>
      </c>
      <c r="D479" s="15">
        <v>75208.0</v>
      </c>
      <c r="F479" s="15"/>
      <c r="G479" s="26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</row>
    <row r="480">
      <c r="A480" s="10" t="s">
        <v>485</v>
      </c>
      <c r="B480" s="11">
        <v>50.0</v>
      </c>
      <c r="C480" s="12" t="s">
        <v>106</v>
      </c>
      <c r="D480" s="15">
        <v>75208.0</v>
      </c>
      <c r="F480" s="15"/>
      <c r="G480" s="26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</row>
    <row r="481">
      <c r="A481" s="5" t="s">
        <v>486</v>
      </c>
      <c r="B481" s="6">
        <v>10.0</v>
      </c>
      <c r="C481" s="7" t="s">
        <v>106</v>
      </c>
      <c r="D481" s="15">
        <v>75211.0</v>
      </c>
      <c r="F481" s="15"/>
      <c r="G481" s="26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</row>
    <row r="482">
      <c r="A482" s="10" t="s">
        <v>487</v>
      </c>
      <c r="B482" s="11">
        <v>100.0</v>
      </c>
      <c r="C482" s="12" t="s">
        <v>106</v>
      </c>
      <c r="D482" s="15">
        <v>75208.0</v>
      </c>
      <c r="F482" s="15"/>
      <c r="G482" s="26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</row>
    <row r="483">
      <c r="A483" s="5" t="s">
        <v>488</v>
      </c>
      <c r="B483" s="6">
        <v>25.0</v>
      </c>
      <c r="C483" s="7" t="s">
        <v>106</v>
      </c>
      <c r="D483" s="15">
        <v>75211.0</v>
      </c>
      <c r="F483" s="15"/>
      <c r="G483" s="26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</row>
    <row r="484">
      <c r="A484" s="10" t="s">
        <v>489</v>
      </c>
      <c r="B484" s="11">
        <v>20.0</v>
      </c>
      <c r="C484" s="12" t="s">
        <v>106</v>
      </c>
      <c r="D484" s="15">
        <v>75208.0</v>
      </c>
      <c r="F484" s="15"/>
      <c r="G484" s="26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</row>
    <row r="485">
      <c r="A485" s="5" t="s">
        <v>490</v>
      </c>
      <c r="B485" s="6">
        <v>50.0</v>
      </c>
      <c r="C485" s="7" t="s">
        <v>106</v>
      </c>
      <c r="D485" s="15">
        <v>75203.0</v>
      </c>
      <c r="F485" s="15"/>
      <c r="G485" s="26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</row>
    <row r="486">
      <c r="A486" s="10" t="s">
        <v>491</v>
      </c>
      <c r="B486" s="11">
        <v>200.0</v>
      </c>
      <c r="C486" s="12" t="s">
        <v>106</v>
      </c>
      <c r="D486" s="15">
        <v>75040.0</v>
      </c>
      <c r="F486" s="15"/>
      <c r="G486" s="26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</row>
    <row r="487">
      <c r="A487" s="5" t="s">
        <v>492</v>
      </c>
      <c r="B487" s="6">
        <v>10.0</v>
      </c>
      <c r="C487" s="7" t="s">
        <v>106</v>
      </c>
      <c r="D487" s="15">
        <v>75224.0</v>
      </c>
      <c r="F487" s="15"/>
      <c r="G487" s="26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</row>
    <row r="488">
      <c r="A488" s="10" t="s">
        <v>493</v>
      </c>
      <c r="B488" s="11">
        <v>10.0</v>
      </c>
      <c r="C488" s="12" t="s">
        <v>106</v>
      </c>
      <c r="D488" s="15">
        <v>75224.0</v>
      </c>
      <c r="F488" s="15"/>
      <c r="G488" s="26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</row>
    <row r="489">
      <c r="A489" s="5" t="s">
        <v>494</v>
      </c>
      <c r="B489" s="6">
        <v>75.0</v>
      </c>
      <c r="C489" s="7" t="s">
        <v>106</v>
      </c>
      <c r="D489" s="15">
        <v>78247.0</v>
      </c>
      <c r="F489" s="15"/>
      <c r="G489" s="26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</row>
    <row r="490">
      <c r="A490" s="10" t="s">
        <v>495</v>
      </c>
      <c r="B490" s="11">
        <v>25.0</v>
      </c>
      <c r="C490" s="12" t="s">
        <v>106</v>
      </c>
      <c r="D490" s="15">
        <v>78163.0</v>
      </c>
      <c r="F490" s="15"/>
      <c r="G490" s="26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</row>
    <row r="491">
      <c r="A491" s="5" t="s">
        <v>496</v>
      </c>
      <c r="B491" s="6">
        <v>20.0</v>
      </c>
      <c r="C491" s="7" t="s">
        <v>106</v>
      </c>
      <c r="D491" s="15">
        <v>77459.0</v>
      </c>
      <c r="F491" s="15"/>
      <c r="G491" s="26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</row>
    <row r="492">
      <c r="A492" s="10" t="s">
        <v>497</v>
      </c>
      <c r="B492" s="11">
        <v>20.0</v>
      </c>
      <c r="C492" s="12" t="s">
        <v>106</v>
      </c>
      <c r="D492" s="15">
        <v>75211.0</v>
      </c>
      <c r="F492" s="15"/>
      <c r="G492" s="26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</row>
    <row r="493">
      <c r="A493" s="5" t="s">
        <v>498</v>
      </c>
      <c r="B493" s="6">
        <v>100.0</v>
      </c>
      <c r="C493" s="7" t="s">
        <v>106</v>
      </c>
      <c r="D493" s="15">
        <v>75211.0</v>
      </c>
      <c r="F493" s="15"/>
      <c r="G493" s="26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</row>
    <row r="494">
      <c r="A494" s="10" t="s">
        <v>499</v>
      </c>
      <c r="B494" s="11">
        <v>20.0</v>
      </c>
      <c r="C494" s="12" t="s">
        <v>106</v>
      </c>
      <c r="D494" s="15">
        <v>75208.0</v>
      </c>
      <c r="F494" s="15"/>
      <c r="G494" s="26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</row>
    <row r="495">
      <c r="A495" s="5" t="s">
        <v>500</v>
      </c>
      <c r="B495" s="6">
        <v>20.0</v>
      </c>
      <c r="C495" s="7" t="s">
        <v>106</v>
      </c>
      <c r="D495" s="15">
        <v>75208.0</v>
      </c>
      <c r="F495" s="15"/>
      <c r="G495" s="26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</row>
    <row r="496">
      <c r="A496" s="10" t="s">
        <v>501</v>
      </c>
      <c r="B496" s="11">
        <v>10.0</v>
      </c>
      <c r="C496" s="12" t="s">
        <v>106</v>
      </c>
      <c r="D496" s="15">
        <v>75211.0</v>
      </c>
      <c r="F496" s="15"/>
      <c r="G496" s="26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</row>
    <row r="497">
      <c r="A497" s="5" t="s">
        <v>502</v>
      </c>
      <c r="B497" s="6">
        <v>40.0</v>
      </c>
      <c r="C497" s="7" t="s">
        <v>106</v>
      </c>
      <c r="D497" s="15">
        <v>75203.0</v>
      </c>
      <c r="F497" s="15"/>
      <c r="G497" s="26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</row>
    <row r="498">
      <c r="A498" s="10" t="s">
        <v>503</v>
      </c>
      <c r="B498" s="11">
        <v>250.0</v>
      </c>
      <c r="C498" s="12" t="s">
        <v>106</v>
      </c>
      <c r="D498" s="15">
        <v>75208.0</v>
      </c>
      <c r="F498" s="15"/>
      <c r="G498" s="26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</row>
    <row r="499">
      <c r="A499" s="5"/>
      <c r="B499" s="6"/>
      <c r="C499" s="7"/>
      <c r="D499" s="15"/>
      <c r="F499" s="15"/>
      <c r="G499" s="26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</row>
    <row r="500">
      <c r="A500" s="10"/>
      <c r="B500" s="11"/>
      <c r="C500" s="12"/>
      <c r="D500" s="15"/>
      <c r="F500" s="15"/>
      <c r="G500" s="26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</row>
    <row r="501">
      <c r="A501" s="5" t="s">
        <v>506</v>
      </c>
      <c r="B501" s="6">
        <v>20.0</v>
      </c>
      <c r="C501" s="7" t="s">
        <v>106</v>
      </c>
      <c r="D501" s="15">
        <v>75204.0</v>
      </c>
      <c r="F501" s="15"/>
      <c r="G501" s="26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</row>
    <row r="502">
      <c r="A502" s="10" t="s">
        <v>507</v>
      </c>
      <c r="B502" s="11">
        <v>500.0</v>
      </c>
      <c r="C502" s="12" t="s">
        <v>106</v>
      </c>
      <c r="D502" s="15">
        <v>75208.0</v>
      </c>
      <c r="F502" s="15"/>
      <c r="G502" s="26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</row>
    <row r="503">
      <c r="A503" s="5" t="s">
        <v>508</v>
      </c>
      <c r="B503" s="6">
        <v>1000.0</v>
      </c>
      <c r="C503" s="7" t="s">
        <v>106</v>
      </c>
      <c r="D503" s="15">
        <v>75247.0</v>
      </c>
      <c r="F503" s="15"/>
      <c r="G503" s="26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</row>
    <row r="504">
      <c r="A504" s="10"/>
      <c r="B504" s="11"/>
      <c r="C504" s="12"/>
      <c r="D504" s="15"/>
      <c r="F504" s="15"/>
      <c r="G504" s="26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</row>
    <row r="505">
      <c r="A505" s="5"/>
      <c r="B505" s="6"/>
      <c r="C505" s="7"/>
      <c r="D505" s="15"/>
      <c r="F505" s="15"/>
      <c r="G505" s="26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</row>
    <row r="506">
      <c r="A506" s="10"/>
      <c r="B506" s="11"/>
      <c r="C506" s="12"/>
      <c r="D506" s="15"/>
      <c r="F506" s="15"/>
      <c r="G506" s="26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</row>
    <row r="507">
      <c r="A507" s="5" t="s">
        <v>512</v>
      </c>
      <c r="B507" s="6">
        <v>100.0</v>
      </c>
      <c r="C507" s="7" t="s">
        <v>106</v>
      </c>
      <c r="D507" s="15">
        <v>78640.0</v>
      </c>
      <c r="F507" s="15"/>
      <c r="G507" s="26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</row>
    <row r="508">
      <c r="A508" s="10" t="s">
        <v>513</v>
      </c>
      <c r="B508" s="11">
        <v>50.0</v>
      </c>
      <c r="C508" s="12" t="s">
        <v>106</v>
      </c>
      <c r="D508" s="15">
        <v>79845.0</v>
      </c>
      <c r="F508" s="15"/>
      <c r="G508" s="26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</row>
    <row r="509">
      <c r="A509" s="5" t="s">
        <v>514</v>
      </c>
      <c r="B509" s="6">
        <v>100.0</v>
      </c>
      <c r="C509" s="7" t="s">
        <v>106</v>
      </c>
      <c r="D509" s="15">
        <v>75211.0</v>
      </c>
      <c r="F509" s="15"/>
      <c r="G509" s="26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</row>
    <row r="510">
      <c r="A510" s="10"/>
      <c r="B510" s="11"/>
      <c r="C510" s="12"/>
      <c r="D510" s="15"/>
      <c r="F510" s="15"/>
      <c r="G510" s="26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</row>
    <row r="511">
      <c r="A511" s="5" t="s">
        <v>516</v>
      </c>
      <c r="B511" s="6">
        <v>25.0</v>
      </c>
      <c r="C511" s="7" t="s">
        <v>106</v>
      </c>
      <c r="D511" s="15">
        <v>76112.0</v>
      </c>
      <c r="F511" s="15"/>
      <c r="G511" s="26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</row>
    <row r="512">
      <c r="A512" s="10" t="s">
        <v>517</v>
      </c>
      <c r="B512" s="11">
        <v>100.0</v>
      </c>
      <c r="C512" s="12" t="s">
        <v>106</v>
      </c>
      <c r="D512" s="15">
        <v>75208.0</v>
      </c>
      <c r="F512" s="15"/>
      <c r="G512" s="26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</row>
    <row r="513">
      <c r="A513" s="5" t="s">
        <v>518</v>
      </c>
      <c r="B513" s="6">
        <v>50.0</v>
      </c>
      <c r="C513" s="7" t="s">
        <v>106</v>
      </c>
      <c r="D513" s="15">
        <v>75211.0</v>
      </c>
      <c r="F513" s="15"/>
      <c r="G513" s="26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</row>
    <row r="514">
      <c r="A514" s="10" t="s">
        <v>519</v>
      </c>
      <c r="B514" s="11">
        <v>100.0</v>
      </c>
      <c r="C514" s="12" t="s">
        <v>106</v>
      </c>
      <c r="D514" s="15">
        <v>75214.0</v>
      </c>
      <c r="F514" s="15"/>
      <c r="G514" s="26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</row>
    <row r="515">
      <c r="A515" s="5" t="s">
        <v>520</v>
      </c>
      <c r="B515" s="6">
        <v>2500.0</v>
      </c>
      <c r="C515" s="7" t="s">
        <v>106</v>
      </c>
      <c r="D515" s="15">
        <v>75208.0</v>
      </c>
      <c r="F515" s="15"/>
      <c r="G515" s="26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</row>
    <row r="516">
      <c r="A516" s="10" t="s">
        <v>521</v>
      </c>
      <c r="B516" s="11">
        <v>100.0</v>
      </c>
      <c r="C516" s="12" t="s">
        <v>106</v>
      </c>
      <c r="D516" s="15">
        <v>76126.0</v>
      </c>
      <c r="F516" s="15"/>
      <c r="G516" s="26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</row>
    <row r="517">
      <c r="A517" s="5" t="s">
        <v>522</v>
      </c>
      <c r="B517" s="6">
        <v>20.0</v>
      </c>
      <c r="C517" s="7" t="s">
        <v>106</v>
      </c>
      <c r="D517" s="15">
        <v>75208.0</v>
      </c>
      <c r="F517" s="15"/>
      <c r="G517" s="26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</row>
    <row r="518">
      <c r="A518" s="10" t="s">
        <v>523</v>
      </c>
      <c r="B518" s="11">
        <v>250.0</v>
      </c>
      <c r="C518" s="12" t="s">
        <v>106</v>
      </c>
      <c r="D518" s="15">
        <v>75211.0</v>
      </c>
      <c r="F518" s="15"/>
      <c r="G518" s="26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</row>
    <row r="519">
      <c r="A519" s="5" t="s">
        <v>524</v>
      </c>
      <c r="B519" s="6">
        <v>10.0</v>
      </c>
      <c r="C519" s="7" t="s">
        <v>106</v>
      </c>
      <c r="D519" s="15">
        <v>75208.0</v>
      </c>
      <c r="F519" s="15"/>
      <c r="G519" s="26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</row>
    <row r="520">
      <c r="A520" s="10" t="s">
        <v>525</v>
      </c>
      <c r="B520" s="11">
        <v>500.0</v>
      </c>
      <c r="C520" s="12" t="s">
        <v>106</v>
      </c>
      <c r="D520" s="15">
        <v>75051.0</v>
      </c>
      <c r="F520" s="15"/>
      <c r="G520" s="26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</row>
    <row r="521">
      <c r="A521" s="5" t="s">
        <v>526</v>
      </c>
      <c r="B521" s="6">
        <v>40.0</v>
      </c>
      <c r="C521" s="7" t="s">
        <v>106</v>
      </c>
      <c r="D521" s="15">
        <v>75224.0</v>
      </c>
      <c r="F521" s="15"/>
      <c r="G521" s="26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</row>
    <row r="522">
      <c r="A522" s="10" t="s">
        <v>459</v>
      </c>
      <c r="B522" s="11">
        <v>50.0</v>
      </c>
      <c r="C522" s="12" t="s">
        <v>106</v>
      </c>
      <c r="D522" s="15">
        <v>75211.0</v>
      </c>
      <c r="F522" s="15"/>
      <c r="G522" s="26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</row>
    <row r="523">
      <c r="A523" s="5" t="s">
        <v>527</v>
      </c>
      <c r="B523" s="6">
        <v>100.0</v>
      </c>
      <c r="C523" s="7" t="s">
        <v>106</v>
      </c>
      <c r="D523" s="15">
        <v>75208.0</v>
      </c>
      <c r="F523" s="15"/>
      <c r="G523" s="26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</row>
    <row r="524">
      <c r="A524" s="10" t="s">
        <v>461</v>
      </c>
      <c r="B524" s="11">
        <v>100.0</v>
      </c>
      <c r="C524" s="12" t="s">
        <v>106</v>
      </c>
      <c r="D524" s="15">
        <v>75211.0</v>
      </c>
      <c r="F524" s="15"/>
      <c r="G524" s="26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</row>
    <row r="525">
      <c r="A525" s="5" t="s">
        <v>528</v>
      </c>
      <c r="B525" s="6">
        <v>100.0</v>
      </c>
      <c r="C525" s="7" t="s">
        <v>106</v>
      </c>
      <c r="D525" s="15">
        <v>75211.0</v>
      </c>
      <c r="F525" s="15"/>
      <c r="G525" s="26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</row>
    <row r="526">
      <c r="A526" s="10" t="s">
        <v>529</v>
      </c>
      <c r="B526" s="11">
        <v>50.0</v>
      </c>
      <c r="C526" s="12" t="s">
        <v>106</v>
      </c>
      <c r="D526" s="15">
        <v>75211.0</v>
      </c>
      <c r="F526" s="15"/>
      <c r="G526" s="26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</row>
    <row r="527">
      <c r="A527" s="5" t="s">
        <v>442</v>
      </c>
      <c r="B527" s="6">
        <v>100.0</v>
      </c>
      <c r="C527" s="7" t="s">
        <v>106</v>
      </c>
      <c r="D527" s="15">
        <v>75043.0</v>
      </c>
      <c r="F527" s="15"/>
      <c r="G527" s="26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</row>
    <row r="528">
      <c r="A528" s="10" t="s">
        <v>530</v>
      </c>
      <c r="B528" s="11">
        <v>20.0</v>
      </c>
      <c r="C528" s="12" t="s">
        <v>106</v>
      </c>
      <c r="D528" s="15">
        <v>75043.0</v>
      </c>
      <c r="F528" s="15"/>
      <c r="G528" s="26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</row>
    <row r="529">
      <c r="A529" s="5" t="s">
        <v>531</v>
      </c>
      <c r="B529" s="6">
        <v>1000.0</v>
      </c>
      <c r="C529" s="7" t="s">
        <v>106</v>
      </c>
      <c r="D529" s="15">
        <v>75212.0</v>
      </c>
      <c r="F529" s="15"/>
      <c r="G529" s="26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</row>
    <row r="530">
      <c r="A530" s="10" t="s">
        <v>532</v>
      </c>
      <c r="B530" s="11">
        <v>100.0</v>
      </c>
      <c r="C530" s="12" t="s">
        <v>106</v>
      </c>
      <c r="D530" s="15">
        <v>75208.0</v>
      </c>
      <c r="F530" s="15"/>
      <c r="G530" s="26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</row>
    <row r="531">
      <c r="A531" s="5" t="s">
        <v>533</v>
      </c>
      <c r="B531" s="6">
        <v>10.0</v>
      </c>
      <c r="C531" s="7" t="s">
        <v>106</v>
      </c>
      <c r="D531" s="15">
        <v>75224.0</v>
      </c>
      <c r="F531" s="15"/>
      <c r="G531" s="26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</row>
    <row r="532">
      <c r="A532" s="10" t="s">
        <v>534</v>
      </c>
      <c r="B532" s="11">
        <v>50.0</v>
      </c>
      <c r="C532" s="12" t="s">
        <v>106</v>
      </c>
      <c r="D532" s="15">
        <v>75224.0</v>
      </c>
      <c r="F532" s="15"/>
      <c r="G532" s="26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</row>
    <row r="533">
      <c r="A533" s="5" t="s">
        <v>535</v>
      </c>
      <c r="B533" s="6">
        <v>20.0</v>
      </c>
      <c r="C533" s="7" t="s">
        <v>106</v>
      </c>
      <c r="D533" s="15">
        <v>75224.0</v>
      </c>
      <c r="F533" s="15"/>
      <c r="G533" s="26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</row>
    <row r="534">
      <c r="A534" s="10" t="s">
        <v>536</v>
      </c>
      <c r="B534" s="11">
        <v>75.0</v>
      </c>
      <c r="C534" s="12" t="s">
        <v>106</v>
      </c>
      <c r="D534" s="15">
        <v>75050.0</v>
      </c>
      <c r="F534" s="15"/>
      <c r="G534" s="26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</row>
    <row r="535">
      <c r="A535" s="5" t="s">
        <v>537</v>
      </c>
      <c r="B535" s="6">
        <v>50.0</v>
      </c>
      <c r="C535" s="7" t="s">
        <v>106</v>
      </c>
      <c r="D535" s="15">
        <v>75224.0</v>
      </c>
      <c r="F535" s="15"/>
      <c r="G535" s="26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</row>
    <row r="536">
      <c r="A536" s="10" t="s">
        <v>538</v>
      </c>
      <c r="B536" s="11">
        <v>100.0</v>
      </c>
      <c r="C536" s="12" t="s">
        <v>106</v>
      </c>
      <c r="D536" s="15">
        <v>75235.0</v>
      </c>
      <c r="F536" s="15"/>
      <c r="G536" s="26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</row>
    <row r="537">
      <c r="A537" s="5" t="s">
        <v>105</v>
      </c>
      <c r="B537" s="6">
        <v>20.0</v>
      </c>
      <c r="C537" s="7" t="s">
        <v>106</v>
      </c>
      <c r="D537" s="15">
        <v>75208.0</v>
      </c>
      <c r="F537" s="15"/>
      <c r="G537" s="26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</row>
    <row r="538">
      <c r="A538" s="10" t="s">
        <v>539</v>
      </c>
      <c r="B538" s="11">
        <v>500.0</v>
      </c>
      <c r="C538" s="12" t="s">
        <v>106</v>
      </c>
      <c r="D538" s="15">
        <v>75206.0</v>
      </c>
      <c r="F538" s="15"/>
      <c r="G538" s="26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</row>
    <row r="539">
      <c r="A539" s="5" t="s">
        <v>540</v>
      </c>
      <c r="B539" s="6">
        <v>100.0</v>
      </c>
      <c r="C539" s="7" t="s">
        <v>106</v>
      </c>
      <c r="D539" s="15">
        <v>75211.0</v>
      </c>
      <c r="F539" s="15"/>
      <c r="G539" s="26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</row>
    <row r="540">
      <c r="A540" s="10" t="s">
        <v>541</v>
      </c>
      <c r="B540" s="11">
        <v>50.0</v>
      </c>
      <c r="C540" s="12" t="s">
        <v>106</v>
      </c>
      <c r="D540" s="15">
        <v>75224.0</v>
      </c>
      <c r="F540" s="15"/>
      <c r="G540" s="26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</row>
    <row r="541">
      <c r="A541" s="5" t="s">
        <v>542</v>
      </c>
      <c r="B541" s="6">
        <v>20.0</v>
      </c>
      <c r="C541" s="7" t="s">
        <v>106</v>
      </c>
      <c r="D541" s="15">
        <v>75208.0</v>
      </c>
      <c r="F541" s="15"/>
      <c r="G541" s="26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</row>
    <row r="542">
      <c r="A542" s="10" t="s">
        <v>543</v>
      </c>
      <c r="B542" s="11">
        <v>100.0</v>
      </c>
      <c r="C542" s="12" t="s">
        <v>106</v>
      </c>
      <c r="D542" s="15">
        <v>75231.0</v>
      </c>
      <c r="F542" s="15"/>
      <c r="G542" s="26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</row>
    <row r="543">
      <c r="A543" s="5" t="s">
        <v>544</v>
      </c>
      <c r="B543" s="6">
        <v>200.0</v>
      </c>
      <c r="C543" s="7" t="s">
        <v>106</v>
      </c>
      <c r="D543" s="15">
        <v>75062.0</v>
      </c>
      <c r="F543" s="15"/>
      <c r="G543" s="26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</row>
    <row r="544">
      <c r="A544" s="10" t="s">
        <v>545</v>
      </c>
      <c r="B544" s="11">
        <v>250.0</v>
      </c>
      <c r="C544" s="12" t="s">
        <v>106</v>
      </c>
      <c r="D544" s="15">
        <v>75201.0</v>
      </c>
      <c r="F544" s="15"/>
      <c r="G544" s="26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</row>
    <row r="545">
      <c r="A545" s="5" t="s">
        <v>546</v>
      </c>
      <c r="B545" s="6">
        <v>20.0</v>
      </c>
      <c r="C545" s="7" t="s">
        <v>106</v>
      </c>
      <c r="D545" s="15">
        <v>75211.0</v>
      </c>
      <c r="F545" s="15"/>
      <c r="G545" s="26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</row>
    <row r="546">
      <c r="A546" s="10" t="s">
        <v>547</v>
      </c>
      <c r="B546" s="11">
        <v>20.0</v>
      </c>
      <c r="C546" s="12" t="s">
        <v>106</v>
      </c>
      <c r="D546" s="15">
        <v>75224.0</v>
      </c>
      <c r="F546" s="15"/>
      <c r="G546" s="26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</row>
    <row r="547">
      <c r="A547" s="5" t="s">
        <v>548</v>
      </c>
      <c r="B547" s="6">
        <v>100.0</v>
      </c>
      <c r="C547" s="7" t="s">
        <v>106</v>
      </c>
      <c r="D547" s="15">
        <v>75208.0</v>
      </c>
      <c r="F547" s="15"/>
      <c r="G547" s="26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</row>
    <row r="548">
      <c r="A548" s="10"/>
      <c r="B548" s="11"/>
      <c r="C548" s="12"/>
      <c r="D548" s="15"/>
      <c r="F548" s="15"/>
      <c r="G548" s="26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</row>
    <row r="549">
      <c r="A549" s="5" t="s">
        <v>550</v>
      </c>
      <c r="B549" s="6">
        <v>50.0</v>
      </c>
      <c r="C549" s="7" t="s">
        <v>106</v>
      </c>
      <c r="D549" s="15">
        <v>75233.0</v>
      </c>
      <c r="F549" s="15"/>
      <c r="G549" s="26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</row>
    <row r="550">
      <c r="A550" s="10" t="s">
        <v>551</v>
      </c>
      <c r="B550" s="11">
        <v>100.0</v>
      </c>
      <c r="C550" s="12" t="s">
        <v>106</v>
      </c>
      <c r="D550" s="15">
        <v>78611.0</v>
      </c>
      <c r="F550" s="15"/>
      <c r="G550" s="26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</row>
    <row r="551">
      <c r="A551" s="5" t="s">
        <v>475</v>
      </c>
      <c r="B551" s="6">
        <v>50.0</v>
      </c>
      <c r="C551" s="7" t="s">
        <v>106</v>
      </c>
      <c r="D551" s="15">
        <v>75211.0</v>
      </c>
      <c r="F551" s="15"/>
      <c r="G551" s="26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</row>
    <row r="552">
      <c r="A552" s="10" t="s">
        <v>552</v>
      </c>
      <c r="B552" s="11">
        <v>100.0</v>
      </c>
      <c r="C552" s="12" t="s">
        <v>106</v>
      </c>
      <c r="D552" s="15">
        <v>76028.0</v>
      </c>
      <c r="F552" s="15"/>
      <c r="G552" s="26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</row>
    <row r="553">
      <c r="A553" s="5"/>
      <c r="B553" s="6"/>
      <c r="C553" s="7"/>
      <c r="D553" s="15"/>
      <c r="F553" s="15"/>
      <c r="G553" s="26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</row>
    <row r="554">
      <c r="A554" s="10" t="s">
        <v>554</v>
      </c>
      <c r="B554" s="11">
        <v>50.0</v>
      </c>
      <c r="C554" s="12" t="s">
        <v>106</v>
      </c>
      <c r="D554" s="15">
        <v>75211.0</v>
      </c>
      <c r="F554" s="15"/>
      <c r="G554" s="26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</row>
    <row r="555">
      <c r="A555" s="5" t="s">
        <v>555</v>
      </c>
      <c r="B555" s="6">
        <v>500.0</v>
      </c>
      <c r="C555" s="7" t="s">
        <v>106</v>
      </c>
      <c r="D555" s="15">
        <v>75154.0</v>
      </c>
      <c r="F555" s="15"/>
      <c r="G555" s="26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</row>
    <row r="556">
      <c r="A556" s="10" t="s">
        <v>556</v>
      </c>
      <c r="B556" s="11">
        <v>50.0</v>
      </c>
      <c r="C556" s="12" t="s">
        <v>106</v>
      </c>
      <c r="D556" s="15">
        <v>75208.0</v>
      </c>
      <c r="F556" s="15"/>
      <c r="G556" s="26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</row>
    <row r="557">
      <c r="A557" s="5" t="s">
        <v>557</v>
      </c>
      <c r="B557" s="6">
        <v>1000.0</v>
      </c>
      <c r="C557" s="7" t="s">
        <v>106</v>
      </c>
      <c r="D557" s="15">
        <v>75211.0</v>
      </c>
      <c r="F557" s="15"/>
      <c r="G557" s="26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</row>
    <row r="558">
      <c r="A558" s="10" t="s">
        <v>558</v>
      </c>
      <c r="B558" s="11">
        <v>50.0</v>
      </c>
      <c r="C558" s="12" t="s">
        <v>106</v>
      </c>
      <c r="D558" s="15">
        <v>75224.0</v>
      </c>
      <c r="F558" s="15"/>
      <c r="G558" s="26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</row>
    <row r="559">
      <c r="A559" s="5" t="s">
        <v>559</v>
      </c>
      <c r="B559" s="6">
        <v>120.0</v>
      </c>
      <c r="C559" s="7" t="s">
        <v>106</v>
      </c>
      <c r="D559" s="15">
        <v>75043.0</v>
      </c>
      <c r="F559" s="15"/>
      <c r="G559" s="26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</row>
    <row r="560">
      <c r="A560" s="10" t="s">
        <v>560</v>
      </c>
      <c r="B560" s="11">
        <v>25.0</v>
      </c>
      <c r="C560" s="12" t="s">
        <v>106</v>
      </c>
      <c r="D560" s="15">
        <v>75211.0</v>
      </c>
      <c r="F560" s="15"/>
      <c r="G560" s="26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</row>
    <row r="561">
      <c r="A561" s="5" t="s">
        <v>487</v>
      </c>
      <c r="B561" s="6">
        <v>100.0</v>
      </c>
      <c r="C561" s="7" t="s">
        <v>106</v>
      </c>
      <c r="D561" s="15">
        <v>75208.0</v>
      </c>
      <c r="F561" s="15"/>
      <c r="G561" s="26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</row>
    <row r="562">
      <c r="A562" s="10" t="s">
        <v>561</v>
      </c>
      <c r="B562" s="11">
        <v>10.0</v>
      </c>
      <c r="C562" s="12" t="s">
        <v>106</v>
      </c>
      <c r="D562" s="15">
        <v>75217.0</v>
      </c>
      <c r="F562" s="15"/>
      <c r="G562" s="26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</row>
    <row r="563">
      <c r="A563" s="5" t="s">
        <v>562</v>
      </c>
      <c r="B563" s="6">
        <v>100.0</v>
      </c>
      <c r="C563" s="7" t="s">
        <v>106</v>
      </c>
      <c r="D563" s="15">
        <v>78333.0</v>
      </c>
      <c r="F563" s="15"/>
      <c r="G563" s="26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</row>
    <row r="564">
      <c r="A564" s="10" t="s">
        <v>503</v>
      </c>
      <c r="B564" s="11">
        <v>500.0</v>
      </c>
      <c r="C564" s="12" t="s">
        <v>106</v>
      </c>
      <c r="D564" s="15">
        <v>75208.0</v>
      </c>
      <c r="F564" s="15"/>
      <c r="G564" s="26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</row>
    <row r="565">
      <c r="A565" s="5" t="s">
        <v>494</v>
      </c>
      <c r="B565" s="6">
        <v>40.0</v>
      </c>
      <c r="C565" s="7" t="s">
        <v>106</v>
      </c>
      <c r="D565" s="15">
        <v>78247.0</v>
      </c>
      <c r="F565" s="15"/>
      <c r="G565" s="26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</row>
    <row r="566">
      <c r="A566" s="10" t="s">
        <v>563</v>
      </c>
      <c r="B566" s="11">
        <v>600.0</v>
      </c>
      <c r="C566" s="12" t="s">
        <v>106</v>
      </c>
      <c r="D566" s="15">
        <v>78599.0</v>
      </c>
      <c r="F566" s="15"/>
      <c r="G566" s="26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</row>
    <row r="567">
      <c r="A567" s="5" t="s">
        <v>564</v>
      </c>
      <c r="B567" s="6">
        <v>250.0</v>
      </c>
      <c r="C567" s="7" t="s">
        <v>106</v>
      </c>
      <c r="D567" s="15">
        <v>75224.0</v>
      </c>
      <c r="F567" s="15"/>
      <c r="G567" s="26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</row>
    <row r="568">
      <c r="A568" s="10" t="s">
        <v>565</v>
      </c>
      <c r="B568" s="11">
        <v>30.0</v>
      </c>
      <c r="C568" s="12" t="s">
        <v>106</v>
      </c>
      <c r="D568" s="15">
        <v>75208.0</v>
      </c>
      <c r="F568" s="15"/>
      <c r="G568" s="26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</row>
    <row r="569">
      <c r="A569" s="5" t="s">
        <v>547</v>
      </c>
      <c r="B569" s="6">
        <v>10.0</v>
      </c>
      <c r="C569" s="7" t="s">
        <v>106</v>
      </c>
      <c r="D569" s="15">
        <v>75224.0</v>
      </c>
      <c r="F569" s="15"/>
      <c r="G569" s="26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</row>
    <row r="570">
      <c r="A570" s="10" t="s">
        <v>566</v>
      </c>
      <c r="B570" s="11">
        <v>20.0</v>
      </c>
      <c r="C570" s="12" t="s">
        <v>106</v>
      </c>
      <c r="D570" s="15">
        <v>78747.0</v>
      </c>
      <c r="F570" s="15"/>
      <c r="G570" s="26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</row>
    <row r="571">
      <c r="A571" s="5" t="s">
        <v>567</v>
      </c>
      <c r="B571" s="6">
        <v>25.0</v>
      </c>
      <c r="C571" s="7" t="s">
        <v>106</v>
      </c>
      <c r="D571" s="15">
        <v>75224.0</v>
      </c>
      <c r="F571" s="15"/>
      <c r="G571" s="26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</row>
    <row r="572">
      <c r="A572" s="10" t="s">
        <v>425</v>
      </c>
      <c r="B572" s="11">
        <v>10.0</v>
      </c>
      <c r="C572" s="12" t="s">
        <v>106</v>
      </c>
      <c r="D572" s="15">
        <v>78045.0</v>
      </c>
      <c r="F572" s="15"/>
      <c r="G572" s="26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</row>
    <row r="573">
      <c r="A573" s="5" t="s">
        <v>568</v>
      </c>
      <c r="B573" s="6">
        <v>25.0</v>
      </c>
      <c r="C573" s="7" t="s">
        <v>106</v>
      </c>
      <c r="D573" s="15">
        <v>75042.0</v>
      </c>
      <c r="F573" s="15"/>
      <c r="G573" s="26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</row>
    <row r="574">
      <c r="A574" s="10" t="s">
        <v>569</v>
      </c>
      <c r="B574" s="11">
        <v>10.0</v>
      </c>
      <c r="C574" s="12" t="s">
        <v>106</v>
      </c>
      <c r="D574" s="15">
        <v>75233.0</v>
      </c>
      <c r="F574" s="15"/>
      <c r="G574" s="26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</row>
    <row r="575">
      <c r="A575" s="5" t="s">
        <v>570</v>
      </c>
      <c r="B575" s="6">
        <v>25.0</v>
      </c>
      <c r="C575" s="7" t="s">
        <v>106</v>
      </c>
      <c r="D575" s="15">
        <v>75211.0</v>
      </c>
      <c r="F575" s="15"/>
      <c r="G575" s="26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</row>
    <row r="576">
      <c r="A576" s="10" t="s">
        <v>571</v>
      </c>
      <c r="B576" s="11">
        <v>25.0</v>
      </c>
      <c r="C576" s="12" t="s">
        <v>106</v>
      </c>
      <c r="D576" s="15">
        <v>75115.0</v>
      </c>
      <c r="F576" s="15"/>
      <c r="G576" s="26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</row>
    <row r="577">
      <c r="A577" s="5" t="s">
        <v>114</v>
      </c>
      <c r="B577" s="6">
        <v>10.0</v>
      </c>
      <c r="C577" s="7" t="s">
        <v>106</v>
      </c>
      <c r="D577" s="15">
        <v>75217.0</v>
      </c>
      <c r="F577" s="15"/>
      <c r="G577" s="26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</row>
    <row r="578">
      <c r="A578" s="10"/>
      <c r="B578" s="11"/>
      <c r="C578" s="12"/>
      <c r="D578" s="15"/>
      <c r="F578" s="15"/>
      <c r="G578" s="26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</row>
    <row r="579">
      <c r="A579" s="5"/>
      <c r="B579" s="6"/>
      <c r="C579" s="7"/>
      <c r="D579" s="15"/>
      <c r="F579" s="15"/>
      <c r="G579" s="26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</row>
    <row r="580">
      <c r="A580" s="10" t="s">
        <v>574</v>
      </c>
      <c r="B580" s="11">
        <v>10.0</v>
      </c>
      <c r="C580" s="12" t="s">
        <v>106</v>
      </c>
      <c r="D580" s="15">
        <v>75150.0</v>
      </c>
      <c r="F580" s="15"/>
      <c r="G580" s="26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</row>
    <row r="581">
      <c r="A581" s="5" t="s">
        <v>575</v>
      </c>
      <c r="B581" s="6">
        <v>75.0</v>
      </c>
      <c r="C581" s="7" t="s">
        <v>106</v>
      </c>
      <c r="D581" s="15">
        <v>75224.0</v>
      </c>
      <c r="F581" s="15"/>
      <c r="G581" s="26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</row>
    <row r="582">
      <c r="A582" s="10" t="s">
        <v>576</v>
      </c>
      <c r="B582" s="11">
        <v>50.0</v>
      </c>
      <c r="C582" s="12" t="s">
        <v>106</v>
      </c>
      <c r="D582" s="15">
        <v>75167.0</v>
      </c>
      <c r="F582" s="15"/>
      <c r="G582" s="26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</row>
    <row r="583">
      <c r="A583" s="5" t="s">
        <v>577</v>
      </c>
      <c r="B583" s="6">
        <v>20.0</v>
      </c>
      <c r="C583" s="7" t="s">
        <v>106</v>
      </c>
      <c r="D583" s="15">
        <v>75208.0</v>
      </c>
      <c r="F583" s="15"/>
      <c r="G583" s="26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</row>
    <row r="584">
      <c r="A584" s="10" t="s">
        <v>578</v>
      </c>
      <c r="B584" s="11">
        <v>10.0</v>
      </c>
      <c r="C584" s="12" t="s">
        <v>106</v>
      </c>
      <c r="D584" s="15">
        <v>78664.0</v>
      </c>
      <c r="F584" s="15"/>
      <c r="G584" s="26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</row>
    <row r="585">
      <c r="A585" s="5" t="s">
        <v>579</v>
      </c>
      <c r="B585" s="6">
        <v>50.0</v>
      </c>
      <c r="C585" s="7" t="s">
        <v>106</v>
      </c>
      <c r="D585" s="15">
        <v>78626.0</v>
      </c>
      <c r="F585" s="15"/>
      <c r="G585" s="26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</row>
    <row r="586">
      <c r="A586" s="10" t="s">
        <v>580</v>
      </c>
      <c r="B586" s="11">
        <v>100.0</v>
      </c>
      <c r="C586" s="12" t="s">
        <v>106</v>
      </c>
      <c r="D586" s="15">
        <v>75211.0</v>
      </c>
      <c r="F586" s="15"/>
      <c r="G586" s="26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</row>
    <row r="587">
      <c r="A587" s="5" t="s">
        <v>581</v>
      </c>
      <c r="B587" s="6">
        <v>50.0</v>
      </c>
      <c r="C587" s="7" t="s">
        <v>106</v>
      </c>
      <c r="D587" s="15">
        <v>75203.0</v>
      </c>
      <c r="F587" s="15"/>
      <c r="G587" s="26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</row>
    <row r="588">
      <c r="A588" s="10" t="s">
        <v>582</v>
      </c>
      <c r="B588" s="11">
        <v>50.0</v>
      </c>
      <c r="C588" s="12" t="s">
        <v>106</v>
      </c>
      <c r="D588" s="15">
        <v>75208.0</v>
      </c>
      <c r="F588" s="15"/>
      <c r="G588" s="26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</row>
    <row r="589">
      <c r="A589" s="5" t="s">
        <v>583</v>
      </c>
      <c r="B589" s="6">
        <v>10.0</v>
      </c>
      <c r="C589" s="7" t="s">
        <v>106</v>
      </c>
      <c r="D589" s="15">
        <v>75211.0</v>
      </c>
      <c r="F589" s="15"/>
      <c r="G589" s="26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</row>
    <row r="590">
      <c r="A590" s="10" t="s">
        <v>584</v>
      </c>
      <c r="B590" s="11">
        <v>10.0</v>
      </c>
      <c r="C590" s="12" t="s">
        <v>106</v>
      </c>
      <c r="D590" s="15">
        <v>75208.0</v>
      </c>
      <c r="F590" s="15"/>
      <c r="G590" s="26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</row>
    <row r="591">
      <c r="A591" s="5" t="s">
        <v>535</v>
      </c>
      <c r="B591" s="6">
        <v>25.0</v>
      </c>
      <c r="C591" s="7" t="s">
        <v>106</v>
      </c>
      <c r="D591" s="15">
        <v>75224.0</v>
      </c>
      <c r="F591" s="15"/>
      <c r="G591" s="26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</row>
    <row r="592">
      <c r="A592" s="10" t="s">
        <v>585</v>
      </c>
      <c r="B592" s="11">
        <v>10.0</v>
      </c>
      <c r="C592" s="12" t="s">
        <v>106</v>
      </c>
      <c r="D592" s="15">
        <v>77338.0</v>
      </c>
      <c r="F592" s="15"/>
      <c r="G592" s="26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</row>
    <row r="593">
      <c r="A593" s="5" t="s">
        <v>586</v>
      </c>
      <c r="B593" s="6">
        <v>20.0</v>
      </c>
      <c r="C593" s="7" t="s">
        <v>106</v>
      </c>
      <c r="D593" s="15">
        <v>75208.0</v>
      </c>
      <c r="F593" s="15"/>
      <c r="G593" s="26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</row>
    <row r="594">
      <c r="A594" s="10" t="s">
        <v>587</v>
      </c>
      <c r="B594" s="11">
        <v>25.0</v>
      </c>
      <c r="C594" s="12" t="s">
        <v>106</v>
      </c>
      <c r="D594" s="15">
        <v>75081.0</v>
      </c>
      <c r="F594" s="15"/>
      <c r="G594" s="26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</row>
    <row r="595">
      <c r="A595" s="5" t="s">
        <v>588</v>
      </c>
      <c r="B595" s="6">
        <v>150.0</v>
      </c>
      <c r="C595" s="7" t="s">
        <v>106</v>
      </c>
      <c r="D595" s="15">
        <v>75203.0</v>
      </c>
      <c r="F595" s="15"/>
      <c r="G595" s="26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</row>
    <row r="596">
      <c r="A596" s="10" t="s">
        <v>424</v>
      </c>
      <c r="B596" s="11">
        <v>25.0</v>
      </c>
      <c r="C596" s="12" t="s">
        <v>106</v>
      </c>
      <c r="D596" s="15">
        <v>78163.0</v>
      </c>
      <c r="F596" s="15"/>
      <c r="G596" s="26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</row>
    <row r="597">
      <c r="A597" s="5" t="s">
        <v>589</v>
      </c>
      <c r="B597" s="6">
        <v>100.0</v>
      </c>
      <c r="C597" s="7" t="s">
        <v>106</v>
      </c>
      <c r="D597" s="15">
        <v>75211.0</v>
      </c>
      <c r="F597" s="15"/>
      <c r="G597" s="26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</row>
    <row r="598">
      <c r="A598" s="10" t="s">
        <v>590</v>
      </c>
      <c r="B598" s="11">
        <v>100.0</v>
      </c>
      <c r="C598" s="12" t="s">
        <v>106</v>
      </c>
      <c r="D598" s="15">
        <v>75115.0</v>
      </c>
      <c r="F598" s="15"/>
      <c r="G598" s="26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</row>
    <row r="599">
      <c r="A599" s="5" t="s">
        <v>591</v>
      </c>
      <c r="B599" s="6">
        <v>10.0</v>
      </c>
      <c r="C599" s="7" t="s">
        <v>106</v>
      </c>
      <c r="D599" s="15">
        <v>78753.0</v>
      </c>
      <c r="F599" s="15"/>
      <c r="G599" s="26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</row>
    <row r="600">
      <c r="A600" s="10" t="s">
        <v>592</v>
      </c>
      <c r="B600" s="11">
        <v>10.0</v>
      </c>
      <c r="C600" s="12" t="s">
        <v>106</v>
      </c>
      <c r="D600" s="15">
        <v>75211.0</v>
      </c>
      <c r="F600" s="15"/>
      <c r="G600" s="26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</row>
    <row r="601">
      <c r="A601" s="5" t="s">
        <v>593</v>
      </c>
      <c r="B601" s="6">
        <v>50.0</v>
      </c>
      <c r="C601" s="7" t="s">
        <v>106</v>
      </c>
      <c r="D601" s="15">
        <v>78747.0</v>
      </c>
      <c r="F601" s="15"/>
      <c r="G601" s="26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</row>
    <row r="602">
      <c r="A602" s="10" t="s">
        <v>503</v>
      </c>
      <c r="B602" s="11">
        <v>250.0</v>
      </c>
      <c r="C602" s="12" t="s">
        <v>106</v>
      </c>
      <c r="D602" s="15">
        <v>75208.0</v>
      </c>
      <c r="F602" s="15"/>
      <c r="G602" s="26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</row>
    <row r="603">
      <c r="A603" s="5" t="s">
        <v>594</v>
      </c>
      <c r="B603" s="6">
        <v>10.0</v>
      </c>
      <c r="C603" s="7" t="s">
        <v>106</v>
      </c>
      <c r="D603" s="15">
        <v>75211.0</v>
      </c>
      <c r="F603" s="15"/>
      <c r="G603" s="26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</row>
    <row r="604">
      <c r="A604" s="10" t="s">
        <v>595</v>
      </c>
      <c r="B604" s="11">
        <v>100.0</v>
      </c>
      <c r="C604" s="12" t="s">
        <v>106</v>
      </c>
      <c r="D604" s="15">
        <v>75208.0</v>
      </c>
      <c r="F604" s="15"/>
      <c r="G604" s="26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</row>
    <row r="605">
      <c r="A605" s="5" t="s">
        <v>472</v>
      </c>
      <c r="B605" s="6">
        <v>100.0</v>
      </c>
      <c r="C605" s="7" t="s">
        <v>106</v>
      </c>
      <c r="D605" s="15">
        <v>75023.0</v>
      </c>
      <c r="F605" s="15"/>
      <c r="G605" s="26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</row>
    <row r="606">
      <c r="A606" s="10" t="s">
        <v>596</v>
      </c>
      <c r="B606" s="11">
        <v>25.0</v>
      </c>
      <c r="C606" s="12" t="s">
        <v>106</v>
      </c>
      <c r="D606" s="15">
        <v>75211.0</v>
      </c>
      <c r="F606" s="15"/>
      <c r="G606" s="26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</row>
    <row r="607">
      <c r="A607" s="5" t="s">
        <v>597</v>
      </c>
      <c r="B607" s="6">
        <v>10.0</v>
      </c>
      <c r="C607" s="7" t="s">
        <v>106</v>
      </c>
      <c r="D607" s="15">
        <v>75104.0</v>
      </c>
      <c r="F607" s="15"/>
      <c r="G607" s="26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</row>
    <row r="608">
      <c r="A608" s="10" t="s">
        <v>598</v>
      </c>
      <c r="B608" s="11">
        <v>25.0</v>
      </c>
      <c r="C608" s="12" t="s">
        <v>106</v>
      </c>
      <c r="D608" s="15">
        <v>75208.0</v>
      </c>
      <c r="F608" s="15"/>
      <c r="G608" s="26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</row>
    <row r="609">
      <c r="A609" s="5" t="s">
        <v>599</v>
      </c>
      <c r="B609" s="6">
        <v>25.0</v>
      </c>
      <c r="C609" s="7" t="s">
        <v>106</v>
      </c>
      <c r="D609" s="15">
        <v>75233.0</v>
      </c>
      <c r="F609" s="15"/>
      <c r="G609" s="26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</row>
    <row r="610">
      <c r="A610" s="10" t="s">
        <v>600</v>
      </c>
      <c r="B610" s="11">
        <v>250.0</v>
      </c>
      <c r="C610" s="12" t="s">
        <v>106</v>
      </c>
      <c r="D610" s="15">
        <v>78584.0</v>
      </c>
      <c r="F610" s="15"/>
      <c r="G610" s="26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</row>
    <row r="611">
      <c r="A611" s="5" t="s">
        <v>601</v>
      </c>
      <c r="B611" s="6">
        <v>50.0</v>
      </c>
      <c r="C611" s="7" t="s">
        <v>106</v>
      </c>
      <c r="D611" s="15">
        <v>75211.0</v>
      </c>
      <c r="F611" s="15"/>
      <c r="G611" s="26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</row>
    <row r="612">
      <c r="A612" s="10" t="s">
        <v>602</v>
      </c>
      <c r="B612" s="11">
        <v>10.0</v>
      </c>
      <c r="C612" s="12" t="s">
        <v>106</v>
      </c>
      <c r="D612" s="15">
        <v>75224.0</v>
      </c>
      <c r="F612" s="15"/>
      <c r="G612" s="26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</row>
    <row r="613">
      <c r="A613" s="5" t="s">
        <v>603</v>
      </c>
      <c r="B613" s="6">
        <v>175.0</v>
      </c>
      <c r="C613" s="7" t="s">
        <v>106</v>
      </c>
      <c r="D613" s="15">
        <v>77004.0</v>
      </c>
      <c r="F613" s="15"/>
      <c r="G613" s="26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</row>
    <row r="614">
      <c r="A614" s="10" t="s">
        <v>604</v>
      </c>
      <c r="B614" s="11">
        <v>20.0</v>
      </c>
      <c r="C614" s="12" t="s">
        <v>106</v>
      </c>
      <c r="D614" s="15">
        <v>75208.0</v>
      </c>
      <c r="F614" s="15"/>
      <c r="G614" s="26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</row>
    <row r="615">
      <c r="A615" s="5"/>
      <c r="B615" s="6"/>
      <c r="C615" s="7"/>
      <c r="D615" s="15"/>
      <c r="F615" s="15"/>
      <c r="G615" s="26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</row>
    <row r="616">
      <c r="A616" s="10" t="s">
        <v>606</v>
      </c>
      <c r="B616" s="11">
        <v>100.0</v>
      </c>
      <c r="C616" s="12" t="s">
        <v>106</v>
      </c>
      <c r="D616" s="15">
        <v>75211.0</v>
      </c>
      <c r="F616" s="15"/>
      <c r="G616" s="26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</row>
    <row r="617">
      <c r="A617" s="5" t="s">
        <v>607</v>
      </c>
      <c r="B617" s="6">
        <v>200.0</v>
      </c>
      <c r="C617" s="7" t="s">
        <v>106</v>
      </c>
      <c r="D617" s="15">
        <v>75062.0</v>
      </c>
      <c r="F617" s="15"/>
      <c r="G617" s="26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</row>
    <row r="618">
      <c r="A618" s="10" t="s">
        <v>608</v>
      </c>
      <c r="B618" s="11">
        <v>100.0</v>
      </c>
      <c r="C618" s="12" t="s">
        <v>106</v>
      </c>
      <c r="D618" s="15">
        <v>75104.0</v>
      </c>
      <c r="F618" s="15"/>
      <c r="G618" s="26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</row>
    <row r="619">
      <c r="A619" s="5" t="s">
        <v>609</v>
      </c>
      <c r="B619" s="6">
        <v>100.0</v>
      </c>
      <c r="C619" s="7" t="s">
        <v>106</v>
      </c>
      <c r="D619" s="15">
        <v>75208.0</v>
      </c>
      <c r="F619" s="15"/>
      <c r="G619" s="26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</row>
    <row r="620">
      <c r="A620" s="10" t="s">
        <v>537</v>
      </c>
      <c r="B620" s="11">
        <v>50.0</v>
      </c>
      <c r="C620" s="12" t="s">
        <v>106</v>
      </c>
      <c r="D620" s="15">
        <v>75224.0</v>
      </c>
      <c r="F620" s="15"/>
      <c r="G620" s="26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</row>
    <row r="621">
      <c r="A621" s="5" t="s">
        <v>610</v>
      </c>
      <c r="B621" s="6">
        <v>50.0</v>
      </c>
      <c r="C621" s="7" t="s">
        <v>106</v>
      </c>
      <c r="D621" s="15">
        <v>75203.0</v>
      </c>
      <c r="F621" s="15"/>
      <c r="G621" s="26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</row>
    <row r="622">
      <c r="A622" s="10" t="s">
        <v>611</v>
      </c>
      <c r="B622" s="11">
        <v>100.0</v>
      </c>
      <c r="C622" s="12" t="s">
        <v>106</v>
      </c>
      <c r="D622" s="15">
        <v>75211.0</v>
      </c>
      <c r="F622" s="15"/>
      <c r="G622" s="26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</row>
    <row r="623">
      <c r="A623" s="5" t="s">
        <v>612</v>
      </c>
      <c r="B623" s="6">
        <v>40.0</v>
      </c>
      <c r="C623" s="7" t="s">
        <v>106</v>
      </c>
      <c r="D623" s="15">
        <v>75208.0</v>
      </c>
      <c r="F623" s="15"/>
      <c r="G623" s="26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</row>
    <row r="624">
      <c r="A624" s="10" t="s">
        <v>564</v>
      </c>
      <c r="B624" s="11">
        <v>100.0</v>
      </c>
      <c r="C624" s="12" t="s">
        <v>106</v>
      </c>
      <c r="D624" s="15">
        <v>75224.0</v>
      </c>
      <c r="F624" s="15"/>
      <c r="G624" s="26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</row>
    <row r="625">
      <c r="A625" s="5" t="s">
        <v>613</v>
      </c>
      <c r="B625" s="6">
        <v>25.0</v>
      </c>
      <c r="C625" s="7" t="s">
        <v>106</v>
      </c>
      <c r="D625" s="15">
        <v>75211.0</v>
      </c>
      <c r="F625" s="15"/>
      <c r="G625" s="26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</row>
    <row r="626">
      <c r="A626" s="10" t="s">
        <v>614</v>
      </c>
      <c r="B626" s="11">
        <v>25.0</v>
      </c>
      <c r="C626" s="12" t="s">
        <v>106</v>
      </c>
      <c r="D626" s="15">
        <v>75208.0</v>
      </c>
      <c r="F626" s="15"/>
      <c r="G626" s="26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</row>
    <row r="627">
      <c r="A627" s="5" t="s">
        <v>448</v>
      </c>
      <c r="B627" s="6">
        <v>100.0</v>
      </c>
      <c r="C627" s="7" t="s">
        <v>106</v>
      </c>
      <c r="D627" s="15">
        <v>75214.0</v>
      </c>
      <c r="F627" s="15"/>
      <c r="G627" s="26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</row>
    <row r="628">
      <c r="A628" s="10" t="s">
        <v>547</v>
      </c>
      <c r="B628" s="11">
        <v>100.0</v>
      </c>
      <c r="C628" s="12" t="s">
        <v>106</v>
      </c>
      <c r="D628" s="15">
        <v>75224.0</v>
      </c>
      <c r="F628" s="15"/>
      <c r="G628" s="26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</row>
    <row r="629">
      <c r="A629" s="5" t="s">
        <v>615</v>
      </c>
      <c r="B629" s="6">
        <v>10.0</v>
      </c>
      <c r="C629" s="7" t="s">
        <v>106</v>
      </c>
      <c r="D629" s="15">
        <v>75237.0</v>
      </c>
      <c r="F629" s="15"/>
      <c r="G629" s="26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</row>
    <row r="630">
      <c r="A630" s="10" t="s">
        <v>616</v>
      </c>
      <c r="B630" s="11">
        <v>25.0</v>
      </c>
      <c r="C630" s="12" t="s">
        <v>106</v>
      </c>
      <c r="D630" s="15">
        <v>75115.0</v>
      </c>
      <c r="F630" s="15"/>
      <c r="G630" s="26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</row>
    <row r="631">
      <c r="A631" s="5" t="s">
        <v>617</v>
      </c>
      <c r="B631" s="6">
        <v>50.0</v>
      </c>
      <c r="C631" s="7" t="s">
        <v>106</v>
      </c>
      <c r="D631" s="15">
        <v>75224.0</v>
      </c>
      <c r="F631" s="15"/>
      <c r="G631" s="26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</row>
    <row r="632">
      <c r="A632" s="10" t="s">
        <v>618</v>
      </c>
      <c r="B632" s="11">
        <v>50.0</v>
      </c>
      <c r="C632" s="12" t="s">
        <v>106</v>
      </c>
      <c r="D632" s="15">
        <v>75116.0</v>
      </c>
      <c r="F632" s="15"/>
      <c r="G632" s="26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</row>
    <row r="633">
      <c r="A633" s="5" t="s">
        <v>564</v>
      </c>
      <c r="B633" s="6">
        <v>25.0</v>
      </c>
      <c r="C633" s="7" t="s">
        <v>106</v>
      </c>
      <c r="D633" s="15">
        <v>75224.0</v>
      </c>
      <c r="F633" s="15"/>
      <c r="G633" s="26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</row>
    <row r="634">
      <c r="A634" s="10" t="s">
        <v>619</v>
      </c>
      <c r="B634" s="11">
        <v>20.0</v>
      </c>
      <c r="C634" s="12" t="s">
        <v>106</v>
      </c>
      <c r="D634" s="15">
        <v>75208.0</v>
      </c>
      <c r="F634" s="15"/>
      <c r="G634" s="26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</row>
    <row r="635">
      <c r="A635" s="5" t="s">
        <v>620</v>
      </c>
      <c r="B635" s="6">
        <v>25.0</v>
      </c>
      <c r="C635" s="7" t="s">
        <v>106</v>
      </c>
      <c r="D635" s="15">
        <v>75211.0</v>
      </c>
      <c r="F635" s="15"/>
      <c r="G635" s="26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</row>
    <row r="636">
      <c r="A636" s="10" t="s">
        <v>621</v>
      </c>
      <c r="B636" s="11">
        <v>25.0</v>
      </c>
      <c r="C636" s="12" t="s">
        <v>106</v>
      </c>
      <c r="D636" s="15">
        <v>75224.0</v>
      </c>
      <c r="F636" s="15"/>
      <c r="G636" s="26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</row>
    <row r="637">
      <c r="A637" s="5" t="s">
        <v>622</v>
      </c>
      <c r="B637" s="6">
        <v>100.0</v>
      </c>
      <c r="C637" s="7" t="s">
        <v>106</v>
      </c>
      <c r="D637" s="15">
        <v>75104.0</v>
      </c>
      <c r="F637" s="15"/>
      <c r="G637" s="26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</row>
    <row r="638">
      <c r="A638" s="10" t="s">
        <v>623</v>
      </c>
      <c r="B638" s="11">
        <v>100.0</v>
      </c>
      <c r="C638" s="12" t="s">
        <v>106</v>
      </c>
      <c r="D638" s="15">
        <v>78526.0</v>
      </c>
      <c r="F638" s="15"/>
      <c r="G638" s="26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</row>
    <row r="639">
      <c r="A639" s="5" t="s">
        <v>624</v>
      </c>
      <c r="B639" s="6">
        <v>10.0</v>
      </c>
      <c r="C639" s="7" t="s">
        <v>106</v>
      </c>
      <c r="D639" s="15">
        <v>75211.0</v>
      </c>
      <c r="F639" s="15"/>
      <c r="G639" s="26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</row>
    <row r="640">
      <c r="A640" s="10" t="s">
        <v>625</v>
      </c>
      <c r="B640" s="11">
        <v>50.0</v>
      </c>
      <c r="C640" s="12" t="s">
        <v>106</v>
      </c>
      <c r="D640" s="15">
        <v>75208.0</v>
      </c>
      <c r="F640" s="15"/>
      <c r="G640" s="26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</row>
    <row r="641">
      <c r="A641" s="5" t="s">
        <v>626</v>
      </c>
      <c r="B641" s="6">
        <v>0.0</v>
      </c>
      <c r="C641" s="7" t="s">
        <v>627</v>
      </c>
      <c r="D641" s="15">
        <v>78701.0</v>
      </c>
      <c r="F641" s="15"/>
      <c r="G641" s="26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</row>
    <row r="642">
      <c r="A642" s="10" t="s">
        <v>628</v>
      </c>
      <c r="B642" s="11">
        <v>1000.0</v>
      </c>
      <c r="C642" s="12" t="s">
        <v>629</v>
      </c>
      <c r="D642" s="15">
        <v>75048.0</v>
      </c>
      <c r="F642" s="15"/>
      <c r="G642" s="26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</row>
    <row r="643">
      <c r="A643" s="5" t="s">
        <v>630</v>
      </c>
      <c r="B643" s="6">
        <v>1000.0</v>
      </c>
      <c r="C643" s="7" t="s">
        <v>629</v>
      </c>
      <c r="D643" s="15">
        <v>75048.0</v>
      </c>
      <c r="F643" s="15"/>
      <c r="G643" s="26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</row>
    <row r="644">
      <c r="A644" s="10" t="s">
        <v>631</v>
      </c>
      <c r="B644" s="11">
        <v>500.0</v>
      </c>
      <c r="C644" s="12" t="s">
        <v>629</v>
      </c>
      <c r="D644" s="15">
        <v>75230.0</v>
      </c>
      <c r="F644" s="15"/>
      <c r="G644" s="26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</row>
    <row r="645">
      <c r="A645" s="5" t="s">
        <v>632</v>
      </c>
      <c r="B645" s="6">
        <v>100.0</v>
      </c>
      <c r="C645" s="7" t="s">
        <v>353</v>
      </c>
      <c r="D645" s="15">
        <v>75232.0</v>
      </c>
      <c r="F645" s="15"/>
      <c r="G645" s="26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</row>
    <row r="646">
      <c r="A646" s="5" t="s">
        <v>633</v>
      </c>
      <c r="B646" s="6">
        <v>500.0</v>
      </c>
      <c r="C646" s="7" t="s">
        <v>634</v>
      </c>
      <c r="D646" s="15">
        <v>75220.0</v>
      </c>
      <c r="F646" s="15"/>
      <c r="G646" s="26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</row>
    <row r="647">
      <c r="A647" s="5" t="s">
        <v>635</v>
      </c>
      <c r="B647" s="6">
        <v>50.0</v>
      </c>
      <c r="C647" s="7" t="s">
        <v>636</v>
      </c>
      <c r="D647" s="15">
        <v>75238.0</v>
      </c>
      <c r="F647" s="15"/>
      <c r="G647" s="26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</row>
    <row r="648">
      <c r="A648" s="10" t="s">
        <v>637</v>
      </c>
      <c r="B648" s="11">
        <v>50.0</v>
      </c>
      <c r="C648" s="12" t="s">
        <v>636</v>
      </c>
      <c r="D648" s="15">
        <v>75218.0</v>
      </c>
      <c r="F648" s="15"/>
      <c r="G648" s="26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</row>
    <row r="649">
      <c r="A649" s="5" t="s">
        <v>638</v>
      </c>
      <c r="B649" s="6">
        <v>100.0</v>
      </c>
      <c r="C649" s="7" t="s">
        <v>636</v>
      </c>
      <c r="D649" s="15">
        <v>75214.0</v>
      </c>
      <c r="F649" s="15"/>
      <c r="G649" s="26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</row>
    <row r="650">
      <c r="A650" s="10" t="s">
        <v>639</v>
      </c>
      <c r="B650" s="11">
        <v>100.0</v>
      </c>
      <c r="C650" s="12" t="s">
        <v>636</v>
      </c>
      <c r="D650" s="15">
        <v>75238.0</v>
      </c>
      <c r="F650" s="15"/>
      <c r="G650" s="26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</row>
    <row r="651">
      <c r="A651" s="5" t="s">
        <v>640</v>
      </c>
      <c r="B651" s="6">
        <v>1000.0</v>
      </c>
      <c r="C651" s="7" t="s">
        <v>636</v>
      </c>
      <c r="D651" s="15">
        <v>75218.0</v>
      </c>
      <c r="F651" s="15"/>
      <c r="G651" s="26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</row>
    <row r="652">
      <c r="A652" s="10" t="s">
        <v>641</v>
      </c>
      <c r="B652" s="11">
        <v>100.0</v>
      </c>
      <c r="C652" s="12" t="s">
        <v>636</v>
      </c>
      <c r="D652" s="15">
        <v>75201.0</v>
      </c>
      <c r="F652" s="15"/>
      <c r="G652" s="26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</row>
    <row r="653">
      <c r="A653" s="5" t="s">
        <v>642</v>
      </c>
      <c r="B653" s="6">
        <v>500.0</v>
      </c>
      <c r="C653" s="7" t="s">
        <v>643</v>
      </c>
      <c r="D653" s="15">
        <v>75217.0</v>
      </c>
      <c r="F653" s="15"/>
      <c r="G653" s="26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</row>
    <row r="654">
      <c r="A654" s="10" t="s">
        <v>642</v>
      </c>
      <c r="B654" s="11">
        <v>500.0</v>
      </c>
      <c r="C654" s="12" t="s">
        <v>643</v>
      </c>
      <c r="D654" s="15">
        <v>75217.0</v>
      </c>
      <c r="F654" s="15"/>
      <c r="G654" s="26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</row>
    <row r="655">
      <c r="A655" s="5" t="s">
        <v>644</v>
      </c>
      <c r="B655" s="6">
        <v>1000.0</v>
      </c>
      <c r="C655" s="7" t="s">
        <v>643</v>
      </c>
      <c r="D655" s="15">
        <v>75209.0</v>
      </c>
      <c r="F655" s="15"/>
      <c r="G655" s="26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</row>
    <row r="656">
      <c r="A656" s="10" t="s">
        <v>644</v>
      </c>
      <c r="B656" s="11">
        <v>1000.0</v>
      </c>
      <c r="C656" s="12" t="s">
        <v>643</v>
      </c>
      <c r="D656" s="15">
        <v>75209.0</v>
      </c>
      <c r="F656" s="15"/>
      <c r="G656" s="26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</row>
    <row r="657">
      <c r="A657" s="5" t="s">
        <v>45</v>
      </c>
      <c r="B657" s="6">
        <v>1000.0</v>
      </c>
      <c r="C657" s="7" t="s">
        <v>643</v>
      </c>
      <c r="D657" s="15">
        <v>75206.0</v>
      </c>
      <c r="F657" s="15"/>
      <c r="G657" s="26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</row>
    <row r="658">
      <c r="A658" s="10" t="s">
        <v>45</v>
      </c>
      <c r="B658" s="11">
        <v>1000.0</v>
      </c>
      <c r="C658" s="12" t="s">
        <v>643</v>
      </c>
      <c r="D658" s="15">
        <v>75206.0</v>
      </c>
      <c r="F658" s="15"/>
      <c r="G658" s="26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</row>
    <row r="659">
      <c r="A659" s="5" t="s">
        <v>645</v>
      </c>
      <c r="B659" s="6">
        <v>100.0</v>
      </c>
      <c r="C659" s="7" t="s">
        <v>643</v>
      </c>
      <c r="D659" s="15">
        <v>75217.0</v>
      </c>
      <c r="F659" s="15"/>
      <c r="G659" s="26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</row>
    <row r="660">
      <c r="A660" s="10" t="s">
        <v>645</v>
      </c>
      <c r="B660" s="11">
        <v>100.0</v>
      </c>
      <c r="C660" s="12" t="s">
        <v>643</v>
      </c>
      <c r="D660" s="15">
        <v>75217.0</v>
      </c>
      <c r="F660" s="15"/>
      <c r="G660" s="26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</row>
    <row r="661">
      <c r="A661" s="5" t="s">
        <v>43</v>
      </c>
      <c r="B661" s="6">
        <v>1000.0</v>
      </c>
      <c r="C661" s="7" t="s">
        <v>643</v>
      </c>
      <c r="D661" s="15">
        <v>75206.0</v>
      </c>
      <c r="F661" s="15"/>
      <c r="G661" s="26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</row>
    <row r="662">
      <c r="A662" s="10" t="s">
        <v>43</v>
      </c>
      <c r="B662" s="11">
        <v>1000.0</v>
      </c>
      <c r="C662" s="12" t="s">
        <v>643</v>
      </c>
      <c r="D662" s="15">
        <v>75206.0</v>
      </c>
      <c r="F662" s="15"/>
      <c r="G662" s="26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</row>
    <row r="663">
      <c r="A663" s="5" t="s">
        <v>27</v>
      </c>
      <c r="B663" s="6">
        <v>1000.0</v>
      </c>
      <c r="C663" s="7" t="s">
        <v>643</v>
      </c>
      <c r="D663" s="15">
        <v>75229.0</v>
      </c>
      <c r="F663" s="15"/>
      <c r="G663" s="26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</row>
    <row r="664">
      <c r="A664" s="10" t="s">
        <v>27</v>
      </c>
      <c r="B664" s="11">
        <v>1000.0</v>
      </c>
      <c r="C664" s="12" t="s">
        <v>643</v>
      </c>
      <c r="D664" s="15">
        <v>75229.0</v>
      </c>
      <c r="F664" s="15"/>
      <c r="G664" s="26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</row>
    <row r="665">
      <c r="A665" s="5" t="s">
        <v>28</v>
      </c>
      <c r="B665" s="6">
        <v>1000.0</v>
      </c>
      <c r="C665" s="7" t="s">
        <v>643</v>
      </c>
      <c r="D665" s="15">
        <v>75229.0</v>
      </c>
      <c r="F665" s="15"/>
      <c r="G665" s="26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</row>
    <row r="666">
      <c r="A666" s="10" t="s">
        <v>28</v>
      </c>
      <c r="B666" s="11">
        <v>1000.0</v>
      </c>
      <c r="C666" s="12" t="s">
        <v>643</v>
      </c>
      <c r="D666" s="15">
        <v>75229.0</v>
      </c>
      <c r="F666" s="15"/>
      <c r="G666" s="26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</row>
    <row r="667">
      <c r="A667" s="5" t="s">
        <v>646</v>
      </c>
      <c r="B667" s="6">
        <v>1000.0</v>
      </c>
      <c r="C667" s="7" t="s">
        <v>643</v>
      </c>
      <c r="D667" s="15">
        <v>75219.0</v>
      </c>
      <c r="F667" s="15"/>
      <c r="G667" s="26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</row>
    <row r="668">
      <c r="A668" s="10" t="s">
        <v>646</v>
      </c>
      <c r="B668" s="11">
        <v>1000.0</v>
      </c>
      <c r="C668" s="12" t="s">
        <v>643</v>
      </c>
      <c r="D668" s="15">
        <v>75219.0</v>
      </c>
      <c r="F668" s="15"/>
      <c r="G668" s="26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</row>
    <row r="669">
      <c r="A669" s="5" t="s">
        <v>647</v>
      </c>
      <c r="B669" s="6">
        <v>1000.0</v>
      </c>
      <c r="C669" s="7" t="s">
        <v>643</v>
      </c>
      <c r="D669" s="15">
        <v>75219.0</v>
      </c>
      <c r="F669" s="15"/>
      <c r="G669" s="26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</row>
    <row r="670">
      <c r="A670" s="10" t="s">
        <v>647</v>
      </c>
      <c r="B670" s="11">
        <v>1000.0</v>
      </c>
      <c r="C670" s="12" t="s">
        <v>643</v>
      </c>
      <c r="D670" s="15">
        <v>75219.0</v>
      </c>
      <c r="F670" s="15"/>
      <c r="G670" s="26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</row>
    <row r="671">
      <c r="A671" s="5" t="s">
        <v>648</v>
      </c>
      <c r="B671" s="6">
        <v>250.0</v>
      </c>
      <c r="C671" s="7" t="s">
        <v>649</v>
      </c>
      <c r="D671" s="15">
        <v>75208.0</v>
      </c>
      <c r="F671" s="15"/>
      <c r="G671" s="26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</row>
    <row r="672">
      <c r="A672" s="10" t="s">
        <v>650</v>
      </c>
      <c r="B672" s="11">
        <v>250.0</v>
      </c>
      <c r="C672" s="12" t="s">
        <v>649</v>
      </c>
      <c r="D672" s="15">
        <v>75214.0</v>
      </c>
      <c r="F672" s="15"/>
      <c r="G672" s="26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</row>
    <row r="673">
      <c r="A673" s="5" t="s">
        <v>651</v>
      </c>
      <c r="B673" s="6">
        <v>2374.7</v>
      </c>
      <c r="C673" s="7" t="s">
        <v>649</v>
      </c>
      <c r="D673" s="15">
        <v>75201.0</v>
      </c>
      <c r="F673" s="15"/>
      <c r="G673" s="26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</row>
    <row r="674">
      <c r="A674" s="10" t="s">
        <v>652</v>
      </c>
      <c r="B674" s="11">
        <v>474.7</v>
      </c>
      <c r="C674" s="12" t="s">
        <v>649</v>
      </c>
      <c r="D674" s="15">
        <v>75063.0</v>
      </c>
      <c r="F674" s="15"/>
      <c r="G674" s="26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</row>
    <row r="675">
      <c r="A675" s="5" t="s">
        <v>653</v>
      </c>
      <c r="B675" s="6">
        <v>1000.0</v>
      </c>
      <c r="C675" s="7" t="s">
        <v>649</v>
      </c>
      <c r="D675" s="15">
        <v>75205.0</v>
      </c>
      <c r="F675" s="15"/>
      <c r="G675" s="26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</row>
    <row r="676">
      <c r="A676" s="10" t="s">
        <v>654</v>
      </c>
      <c r="B676" s="11">
        <v>200.0</v>
      </c>
      <c r="C676" s="12" t="s">
        <v>649</v>
      </c>
      <c r="D676" s="15">
        <v>75222.0</v>
      </c>
      <c r="F676" s="15"/>
      <c r="G676" s="26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</row>
    <row r="677">
      <c r="A677" s="5" t="s">
        <v>655</v>
      </c>
      <c r="B677" s="6">
        <v>50.0</v>
      </c>
      <c r="C677" s="7" t="s">
        <v>649</v>
      </c>
      <c r="D677" s="15">
        <v>75208.0</v>
      </c>
      <c r="F677" s="15"/>
      <c r="G677" s="26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</row>
    <row r="678">
      <c r="A678" s="10" t="s">
        <v>656</v>
      </c>
      <c r="B678" s="11">
        <v>1000.0</v>
      </c>
      <c r="C678" s="12" t="s">
        <v>649</v>
      </c>
      <c r="D678" s="15">
        <v>75207.0</v>
      </c>
      <c r="F678" s="15"/>
      <c r="G678" s="26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</row>
    <row r="679">
      <c r="A679" s="5" t="s">
        <v>657</v>
      </c>
      <c r="B679" s="6">
        <v>1000.0</v>
      </c>
      <c r="C679" s="7" t="s">
        <v>649</v>
      </c>
      <c r="D679" s="15">
        <v>75254.0</v>
      </c>
      <c r="F679" s="15"/>
      <c r="G679" s="26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</row>
    <row r="680">
      <c r="A680" s="10" t="s">
        <v>658</v>
      </c>
      <c r="B680" s="11">
        <v>474.7</v>
      </c>
      <c r="C680" s="12" t="s">
        <v>649</v>
      </c>
      <c r="D680" s="15">
        <v>75205.0</v>
      </c>
      <c r="F680" s="15"/>
      <c r="G680" s="26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</row>
    <row r="681">
      <c r="A681" s="5" t="s">
        <v>659</v>
      </c>
      <c r="B681" s="6">
        <v>500.0</v>
      </c>
      <c r="C681" s="7" t="s">
        <v>649</v>
      </c>
      <c r="D681" s="15">
        <v>77098.0</v>
      </c>
      <c r="F681" s="15"/>
      <c r="G681" s="26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</row>
    <row r="682">
      <c r="A682" s="10" t="s">
        <v>660</v>
      </c>
      <c r="B682" s="11">
        <v>500.0</v>
      </c>
      <c r="C682" s="12" t="s">
        <v>649</v>
      </c>
      <c r="D682" s="15">
        <v>75208.0</v>
      </c>
      <c r="F682" s="15"/>
      <c r="G682" s="26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</row>
    <row r="683">
      <c r="A683" s="5" t="s">
        <v>661</v>
      </c>
      <c r="B683" s="6">
        <v>1000.0</v>
      </c>
      <c r="C683" s="7" t="s">
        <v>649</v>
      </c>
      <c r="D683" s="15">
        <v>78746.0</v>
      </c>
      <c r="F683" s="15"/>
      <c r="G683" s="26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</row>
    <row r="684">
      <c r="A684" s="10" t="s">
        <v>661</v>
      </c>
      <c r="B684" s="11">
        <v>1374.7</v>
      </c>
      <c r="C684" s="12" t="s">
        <v>649</v>
      </c>
      <c r="D684" s="15">
        <v>78746.0</v>
      </c>
      <c r="F684" s="15"/>
      <c r="G684" s="26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</row>
    <row r="685">
      <c r="A685" s="5" t="s">
        <v>662</v>
      </c>
      <c r="B685" s="6">
        <v>1000.0</v>
      </c>
      <c r="C685" s="7" t="s">
        <v>649</v>
      </c>
      <c r="D685" s="15">
        <v>78703.0</v>
      </c>
      <c r="F685" s="15"/>
      <c r="G685" s="26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</row>
    <row r="686">
      <c r="A686" s="10" t="s">
        <v>663</v>
      </c>
      <c r="B686" s="11">
        <v>1000.0</v>
      </c>
      <c r="C686" s="12" t="s">
        <v>649</v>
      </c>
      <c r="D686" s="15">
        <v>75270.0</v>
      </c>
      <c r="F686" s="15"/>
      <c r="G686" s="26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</row>
    <row r="687">
      <c r="A687" s="5" t="s">
        <v>664</v>
      </c>
      <c r="B687" s="6">
        <v>1000.0</v>
      </c>
      <c r="C687" s="7" t="s">
        <v>649</v>
      </c>
      <c r="D687" s="15">
        <v>75220.0</v>
      </c>
      <c r="F687" s="15"/>
      <c r="G687" s="26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</row>
    <row r="688">
      <c r="A688" s="10" t="s">
        <v>665</v>
      </c>
      <c r="B688" s="11">
        <v>1000.0</v>
      </c>
      <c r="C688" s="12" t="s">
        <v>649</v>
      </c>
      <c r="D688" s="15">
        <v>75208.0</v>
      </c>
      <c r="F688" s="15"/>
      <c r="G688" s="26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</row>
    <row r="689">
      <c r="A689" s="5" t="s">
        <v>666</v>
      </c>
      <c r="B689" s="6">
        <v>1000.0</v>
      </c>
      <c r="C689" s="7" t="s">
        <v>649</v>
      </c>
      <c r="D689" s="15">
        <v>75208.0</v>
      </c>
      <c r="F689" s="15"/>
      <c r="G689" s="26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</row>
    <row r="690">
      <c r="A690" s="10" t="s">
        <v>667</v>
      </c>
      <c r="B690" s="11">
        <v>500.0</v>
      </c>
      <c r="C690" s="12" t="s">
        <v>649</v>
      </c>
      <c r="D690" s="15">
        <v>76063.0</v>
      </c>
      <c r="F690" s="15"/>
      <c r="G690" s="26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</row>
    <row r="691">
      <c r="A691" s="5" t="s">
        <v>668</v>
      </c>
      <c r="B691" s="6">
        <v>94.7</v>
      </c>
      <c r="C691" s="7" t="s">
        <v>649</v>
      </c>
      <c r="D691" s="15">
        <v>75214.0</v>
      </c>
      <c r="F691" s="15"/>
      <c r="G691" s="26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</row>
    <row r="692">
      <c r="A692" s="10" t="s">
        <v>669</v>
      </c>
      <c r="B692" s="11">
        <v>50.0</v>
      </c>
      <c r="C692" s="12" t="s">
        <v>649</v>
      </c>
      <c r="D692" s="15">
        <v>75208.0</v>
      </c>
      <c r="F692" s="15"/>
      <c r="G692" s="26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</row>
    <row r="693">
      <c r="A693" s="5" t="s">
        <v>670</v>
      </c>
      <c r="B693" s="6">
        <v>500.0</v>
      </c>
      <c r="C693" s="7" t="s">
        <v>649</v>
      </c>
      <c r="D693" s="15">
        <v>75229.0</v>
      </c>
      <c r="F693" s="15"/>
      <c r="G693" s="26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</row>
    <row r="694">
      <c r="A694" s="10" t="s">
        <v>671</v>
      </c>
      <c r="B694" s="11">
        <v>25.0</v>
      </c>
      <c r="C694" s="12" t="s">
        <v>649</v>
      </c>
      <c r="D694" s="15">
        <v>75206.0</v>
      </c>
      <c r="F694" s="15"/>
      <c r="G694" s="26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</row>
    <row r="695">
      <c r="A695" s="5" t="s">
        <v>672</v>
      </c>
      <c r="B695" s="6">
        <v>1000.0</v>
      </c>
      <c r="C695" s="7" t="s">
        <v>649</v>
      </c>
      <c r="D695" s="15">
        <v>78727.0</v>
      </c>
      <c r="F695" s="15"/>
      <c r="G695" s="26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</row>
    <row r="696">
      <c r="A696" s="10" t="s">
        <v>672</v>
      </c>
      <c r="B696" s="11">
        <v>1500.0</v>
      </c>
      <c r="C696" s="12" t="s">
        <v>649</v>
      </c>
      <c r="D696" s="15">
        <v>78727.0</v>
      </c>
      <c r="F696" s="15"/>
      <c r="G696" s="26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</row>
    <row r="697">
      <c r="A697" s="5" t="s">
        <v>673</v>
      </c>
      <c r="B697" s="6">
        <v>100.0</v>
      </c>
      <c r="C697" s="7" t="s">
        <v>649</v>
      </c>
      <c r="D697" s="15">
        <v>75208.0</v>
      </c>
      <c r="F697" s="15"/>
      <c r="G697" s="26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</row>
    <row r="698">
      <c r="A698" s="10" t="s">
        <v>674</v>
      </c>
      <c r="B698" s="11">
        <v>25.0</v>
      </c>
      <c r="C698" s="12" t="s">
        <v>649</v>
      </c>
      <c r="D698" s="15">
        <v>77027.0</v>
      </c>
      <c r="F698" s="15"/>
      <c r="G698" s="26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</row>
    <row r="699">
      <c r="A699" s="5" t="s">
        <v>675</v>
      </c>
      <c r="B699" s="6">
        <v>500.0</v>
      </c>
      <c r="C699" s="7" t="s">
        <v>649</v>
      </c>
      <c r="D699" s="15">
        <v>75225.0</v>
      </c>
      <c r="F699" s="15"/>
      <c r="G699" s="26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</row>
    <row r="700">
      <c r="A700" s="10"/>
      <c r="B700" s="11"/>
      <c r="C700" s="12"/>
      <c r="D700" s="15"/>
      <c r="F700" s="15"/>
      <c r="G700" s="26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</row>
    <row r="701">
      <c r="A701" s="5" t="s">
        <v>677</v>
      </c>
      <c r="B701" s="6">
        <v>50.0</v>
      </c>
      <c r="C701" s="7" t="s">
        <v>649</v>
      </c>
      <c r="D701" s="15">
        <v>75208.0</v>
      </c>
      <c r="F701" s="15"/>
      <c r="G701" s="26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</row>
    <row r="702">
      <c r="A702" s="10" t="s">
        <v>678</v>
      </c>
      <c r="B702" s="11">
        <v>1000.0</v>
      </c>
      <c r="C702" s="12" t="s">
        <v>649</v>
      </c>
      <c r="D702" s="15">
        <v>75201.0</v>
      </c>
      <c r="F702" s="15"/>
      <c r="G702" s="26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</row>
    <row r="703">
      <c r="A703" s="5" t="s">
        <v>679</v>
      </c>
      <c r="B703" s="6">
        <v>300.0</v>
      </c>
      <c r="C703" s="7" t="s">
        <v>649</v>
      </c>
      <c r="D703" s="15">
        <v>75224.0</v>
      </c>
      <c r="F703" s="15"/>
      <c r="G703" s="26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</row>
    <row r="704">
      <c r="A704" s="10" t="s">
        <v>680</v>
      </c>
      <c r="B704" s="11">
        <v>500.0</v>
      </c>
      <c r="C704" s="12" t="s">
        <v>649</v>
      </c>
      <c r="D704" s="15">
        <v>75208.0</v>
      </c>
      <c r="F704" s="15"/>
      <c r="G704" s="26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</row>
    <row r="705">
      <c r="A705" s="5" t="s">
        <v>681</v>
      </c>
      <c r="B705" s="6">
        <v>100.0</v>
      </c>
      <c r="C705" s="7" t="s">
        <v>649</v>
      </c>
      <c r="D705" s="15">
        <v>75223.0</v>
      </c>
      <c r="F705" s="15"/>
      <c r="G705" s="26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</row>
    <row r="706">
      <c r="A706" s="10" t="s">
        <v>682</v>
      </c>
      <c r="B706" s="11">
        <v>250.0</v>
      </c>
      <c r="C706" s="12" t="s">
        <v>649</v>
      </c>
      <c r="D706" s="15">
        <v>78205.0</v>
      </c>
      <c r="F706" s="15"/>
      <c r="G706" s="26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</row>
    <row r="707">
      <c r="A707" s="5" t="s">
        <v>683</v>
      </c>
      <c r="B707" s="6">
        <v>500.0</v>
      </c>
      <c r="C707" s="7" t="s">
        <v>649</v>
      </c>
      <c r="D707" s="15">
        <v>75230.0</v>
      </c>
      <c r="F707" s="15"/>
      <c r="G707" s="26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</row>
    <row r="708">
      <c r="A708" s="10" t="s">
        <v>684</v>
      </c>
      <c r="B708" s="11">
        <v>237.2</v>
      </c>
      <c r="C708" s="12" t="s">
        <v>649</v>
      </c>
      <c r="D708" s="15">
        <v>75219.0</v>
      </c>
      <c r="F708" s="15"/>
      <c r="G708" s="26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</row>
    <row r="709">
      <c r="A709" s="5" t="s">
        <v>684</v>
      </c>
      <c r="B709" s="6">
        <v>500.0</v>
      </c>
      <c r="C709" s="7" t="s">
        <v>649</v>
      </c>
      <c r="D709" s="15">
        <v>75219.0</v>
      </c>
      <c r="F709" s="15"/>
      <c r="G709" s="26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</row>
    <row r="710">
      <c r="A710" s="10" t="s">
        <v>684</v>
      </c>
      <c r="B710" s="11">
        <v>212.05</v>
      </c>
      <c r="C710" s="12" t="s">
        <v>649</v>
      </c>
      <c r="D710" s="15">
        <v>75219.0</v>
      </c>
      <c r="F710" s="15"/>
      <c r="G710" s="26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</row>
    <row r="711">
      <c r="A711" s="5" t="s">
        <v>685</v>
      </c>
      <c r="B711" s="6">
        <v>250.0</v>
      </c>
      <c r="C711" s="7" t="s">
        <v>649</v>
      </c>
      <c r="D711" s="15">
        <v>75296.0</v>
      </c>
      <c r="F711" s="15"/>
      <c r="G711" s="26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</row>
    <row r="712">
      <c r="A712" s="10" t="s">
        <v>686</v>
      </c>
      <c r="B712" s="11">
        <v>250.0</v>
      </c>
      <c r="C712" s="12" t="s">
        <v>649</v>
      </c>
      <c r="D712" s="15">
        <v>75247.0</v>
      </c>
      <c r="F712" s="15"/>
      <c r="G712" s="26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</row>
    <row r="713">
      <c r="A713" s="5" t="s">
        <v>687</v>
      </c>
      <c r="B713" s="6">
        <v>50.0</v>
      </c>
      <c r="C713" s="7" t="s">
        <v>649</v>
      </c>
      <c r="D713" s="15">
        <v>75211.0</v>
      </c>
      <c r="F713" s="15"/>
      <c r="G713" s="26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</row>
    <row r="714">
      <c r="A714" s="10" t="s">
        <v>688</v>
      </c>
      <c r="B714" s="11">
        <v>250.0</v>
      </c>
      <c r="C714" s="12" t="s">
        <v>649</v>
      </c>
      <c r="D714" s="15">
        <v>75208.0</v>
      </c>
      <c r="F714" s="15"/>
      <c r="G714" s="26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</row>
    <row r="715">
      <c r="A715" s="5" t="s">
        <v>689</v>
      </c>
      <c r="B715" s="6">
        <v>50.0</v>
      </c>
      <c r="C715" s="7" t="s">
        <v>649</v>
      </c>
      <c r="D715" s="15">
        <v>75208.0</v>
      </c>
      <c r="F715" s="15"/>
      <c r="G715" s="26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</row>
    <row r="716">
      <c r="A716" s="10" t="s">
        <v>690</v>
      </c>
      <c r="B716" s="11">
        <v>1000.0</v>
      </c>
      <c r="C716" s="12" t="s">
        <v>649</v>
      </c>
      <c r="D716" s="15">
        <v>75230.0</v>
      </c>
      <c r="F716" s="15"/>
      <c r="G716" s="26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</row>
    <row r="717">
      <c r="A717" s="5" t="s">
        <v>690</v>
      </c>
      <c r="B717" s="6">
        <v>1500.0</v>
      </c>
      <c r="C717" s="7" t="s">
        <v>649</v>
      </c>
      <c r="D717" s="15">
        <v>75230.0</v>
      </c>
      <c r="F717" s="15"/>
      <c r="G717" s="26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</row>
    <row r="718">
      <c r="A718" s="10" t="s">
        <v>691</v>
      </c>
      <c r="B718" s="11">
        <v>25.0</v>
      </c>
      <c r="C718" s="12" t="s">
        <v>649</v>
      </c>
      <c r="D718" s="15">
        <v>75211.0</v>
      </c>
      <c r="F718" s="15"/>
      <c r="G718" s="26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</row>
    <row r="719">
      <c r="A719" s="5" t="s">
        <v>691</v>
      </c>
      <c r="B719" s="6">
        <v>50.0</v>
      </c>
      <c r="C719" s="7" t="s">
        <v>649</v>
      </c>
      <c r="D719" s="15">
        <v>75211.0</v>
      </c>
      <c r="F719" s="15"/>
      <c r="G719" s="26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</row>
    <row r="720">
      <c r="A720" s="10"/>
      <c r="B720" s="11"/>
      <c r="C720" s="12"/>
      <c r="D720" s="15"/>
      <c r="F720" s="15"/>
      <c r="G720" s="26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</row>
    <row r="721">
      <c r="A721" s="5" t="s">
        <v>693</v>
      </c>
      <c r="B721" s="6">
        <v>1000.0</v>
      </c>
      <c r="C721" s="7" t="s">
        <v>649</v>
      </c>
      <c r="D721" s="15">
        <v>75229.0</v>
      </c>
      <c r="F721" s="15"/>
      <c r="G721" s="26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</row>
    <row r="722">
      <c r="A722" s="10" t="s">
        <v>694</v>
      </c>
      <c r="B722" s="11">
        <v>1000.0</v>
      </c>
      <c r="C722" s="12" t="s">
        <v>649</v>
      </c>
      <c r="D722" s="15">
        <v>75229.0</v>
      </c>
      <c r="F722" s="15"/>
      <c r="G722" s="26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</row>
    <row r="723">
      <c r="A723" s="5" t="s">
        <v>695</v>
      </c>
      <c r="B723" s="6">
        <v>474.7</v>
      </c>
      <c r="C723" s="7" t="s">
        <v>649</v>
      </c>
      <c r="D723" s="15">
        <v>75208.0</v>
      </c>
      <c r="F723" s="15"/>
      <c r="G723" s="26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</row>
    <row r="724">
      <c r="A724" s="10" t="s">
        <v>696</v>
      </c>
      <c r="B724" s="11">
        <v>200.0</v>
      </c>
      <c r="C724" s="12" t="s">
        <v>649</v>
      </c>
      <c r="D724" s="15">
        <v>75219.0</v>
      </c>
      <c r="F724" s="15"/>
      <c r="G724" s="26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</row>
    <row r="725">
      <c r="A725" s="5" t="s">
        <v>697</v>
      </c>
      <c r="B725" s="6">
        <v>250.0</v>
      </c>
      <c r="C725" s="7" t="s">
        <v>649</v>
      </c>
      <c r="D725" s="15">
        <v>75219.0</v>
      </c>
      <c r="F725" s="15"/>
      <c r="G725" s="26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</row>
    <row r="726">
      <c r="A726" s="10" t="s">
        <v>698</v>
      </c>
      <c r="B726" s="11">
        <v>250.0</v>
      </c>
      <c r="C726" s="12" t="s">
        <v>649</v>
      </c>
      <c r="D726" s="15">
        <v>75232.0</v>
      </c>
      <c r="F726" s="15"/>
      <c r="G726" s="26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</row>
    <row r="727">
      <c r="A727" s="5" t="s">
        <v>699</v>
      </c>
      <c r="B727" s="6">
        <v>25.0</v>
      </c>
      <c r="C727" s="7" t="s">
        <v>649</v>
      </c>
      <c r="D727" s="15">
        <v>75082.0</v>
      </c>
      <c r="F727" s="15"/>
      <c r="G727" s="26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</row>
    <row r="728">
      <c r="A728" s="10" t="s">
        <v>700</v>
      </c>
      <c r="B728" s="11">
        <v>250.0</v>
      </c>
      <c r="C728" s="12" t="s">
        <v>649</v>
      </c>
      <c r="D728" s="15">
        <v>75204.0</v>
      </c>
      <c r="F728" s="15"/>
      <c r="G728" s="26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</row>
    <row r="729">
      <c r="A729" s="5" t="s">
        <v>701</v>
      </c>
      <c r="B729" s="6">
        <v>500.0</v>
      </c>
      <c r="C729" s="7" t="s">
        <v>649</v>
      </c>
      <c r="D729" s="15">
        <v>75211.0</v>
      </c>
      <c r="F729" s="15"/>
      <c r="G729" s="26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</row>
    <row r="730">
      <c r="A730" s="10" t="s">
        <v>702</v>
      </c>
      <c r="B730" s="11">
        <v>500.0</v>
      </c>
      <c r="C730" s="12" t="s">
        <v>649</v>
      </c>
      <c r="D730" s="15">
        <v>75215.0</v>
      </c>
      <c r="F730" s="15"/>
      <c r="G730" s="26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</row>
    <row r="731">
      <c r="A731" s="5" t="s">
        <v>703</v>
      </c>
      <c r="B731" s="6">
        <v>100.0</v>
      </c>
      <c r="C731" s="7" t="s">
        <v>649</v>
      </c>
      <c r="D731" s="15">
        <v>77006.0</v>
      </c>
      <c r="F731" s="15"/>
      <c r="G731" s="26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</row>
    <row r="732">
      <c r="A732" s="10" t="s">
        <v>704</v>
      </c>
      <c r="B732" s="11">
        <v>237.2</v>
      </c>
      <c r="C732" s="12" t="s">
        <v>649</v>
      </c>
      <c r="D732" s="15">
        <v>75013.0</v>
      </c>
      <c r="F732" s="15"/>
      <c r="G732" s="26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</row>
    <row r="733">
      <c r="A733" s="5" t="s">
        <v>705</v>
      </c>
      <c r="B733" s="6">
        <v>125.0</v>
      </c>
      <c r="C733" s="7" t="s">
        <v>649</v>
      </c>
      <c r="D733" s="15">
        <v>77007.0</v>
      </c>
      <c r="F733" s="15"/>
      <c r="G733" s="26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</row>
    <row r="734">
      <c r="A734" s="10" t="s">
        <v>706</v>
      </c>
      <c r="B734" s="11">
        <v>250.0</v>
      </c>
      <c r="C734" s="12" t="s">
        <v>649</v>
      </c>
      <c r="D734" s="15">
        <v>75081.0</v>
      </c>
      <c r="F734" s="15"/>
      <c r="G734" s="26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</row>
    <row r="735">
      <c r="A735" s="5" t="s">
        <v>707</v>
      </c>
      <c r="B735" s="6">
        <v>949.7</v>
      </c>
      <c r="C735" s="7" t="s">
        <v>649</v>
      </c>
      <c r="D735" s="15">
        <v>75201.0</v>
      </c>
      <c r="F735" s="15"/>
      <c r="G735" s="26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</row>
    <row r="736">
      <c r="A736" s="10" t="s">
        <v>708</v>
      </c>
      <c r="B736" s="11">
        <v>250.0</v>
      </c>
      <c r="C736" s="12" t="s">
        <v>649</v>
      </c>
      <c r="D736" s="15">
        <v>75208.0</v>
      </c>
      <c r="F736" s="15"/>
      <c r="G736" s="26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</row>
    <row r="737">
      <c r="A737" s="5" t="s">
        <v>709</v>
      </c>
      <c r="B737" s="6">
        <v>100.0</v>
      </c>
      <c r="C737" s="7" t="s">
        <v>649</v>
      </c>
      <c r="D737" s="15">
        <v>75224.0</v>
      </c>
      <c r="F737" s="15"/>
      <c r="G737" s="26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</row>
    <row r="738">
      <c r="A738" s="10"/>
      <c r="B738" s="11"/>
      <c r="C738" s="12"/>
      <c r="D738" s="15"/>
      <c r="F738" s="15"/>
      <c r="G738" s="26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</row>
    <row r="739">
      <c r="A739" s="5" t="s">
        <v>711</v>
      </c>
      <c r="B739" s="6">
        <v>1000.0</v>
      </c>
      <c r="C739" s="7" t="s">
        <v>649</v>
      </c>
      <c r="D739" s="15">
        <v>75024.0</v>
      </c>
      <c r="F739" s="15"/>
      <c r="G739" s="26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</row>
    <row r="740">
      <c r="A740" s="10" t="s">
        <v>711</v>
      </c>
      <c r="B740" s="11">
        <v>1374.7</v>
      </c>
      <c r="C740" s="12" t="s">
        <v>649</v>
      </c>
      <c r="D740" s="15">
        <v>75024.0</v>
      </c>
      <c r="F740" s="15"/>
      <c r="G740" s="26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</row>
    <row r="741">
      <c r="A741" s="5" t="s">
        <v>712</v>
      </c>
      <c r="B741" s="6">
        <v>500.0</v>
      </c>
      <c r="C741" s="7" t="s">
        <v>649</v>
      </c>
      <c r="D741" s="15">
        <v>75231.0</v>
      </c>
      <c r="F741" s="15"/>
      <c r="G741" s="26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</row>
    <row r="742">
      <c r="A742" s="10" t="s">
        <v>713</v>
      </c>
      <c r="B742" s="11">
        <v>500.0</v>
      </c>
      <c r="C742" s="12" t="s">
        <v>649</v>
      </c>
      <c r="D742" s="15">
        <v>75208.0</v>
      </c>
      <c r="F742" s="15"/>
      <c r="G742" s="26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</row>
    <row r="743">
      <c r="A743" s="5" t="s">
        <v>714</v>
      </c>
      <c r="B743" s="6">
        <v>50.0</v>
      </c>
      <c r="C743" s="7" t="s">
        <v>649</v>
      </c>
      <c r="D743" s="15">
        <v>75208.0</v>
      </c>
      <c r="F743" s="15"/>
      <c r="G743" s="26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</row>
    <row r="744">
      <c r="A744" s="10" t="s">
        <v>715</v>
      </c>
      <c r="B744" s="11">
        <v>300.0</v>
      </c>
      <c r="C744" s="12" t="s">
        <v>649</v>
      </c>
      <c r="D744" s="15">
        <v>75225.0</v>
      </c>
      <c r="F744" s="15"/>
      <c r="G744" s="26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</row>
    <row r="745">
      <c r="A745" s="5" t="s">
        <v>716</v>
      </c>
      <c r="B745" s="6">
        <v>250.0</v>
      </c>
      <c r="C745" s="7" t="s">
        <v>649</v>
      </c>
      <c r="D745" s="15">
        <v>75208.0</v>
      </c>
      <c r="F745" s="15"/>
      <c r="G745" s="26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</row>
    <row r="746">
      <c r="A746" s="10" t="s">
        <v>717</v>
      </c>
      <c r="B746" s="11">
        <v>100.0</v>
      </c>
      <c r="C746" s="12" t="s">
        <v>649</v>
      </c>
      <c r="D746" s="15">
        <v>75208.0</v>
      </c>
      <c r="F746" s="15"/>
      <c r="G746" s="26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</row>
    <row r="747">
      <c r="A747" s="5" t="s">
        <v>718</v>
      </c>
      <c r="B747" s="6">
        <v>50.0</v>
      </c>
      <c r="C747" s="7" t="s">
        <v>649</v>
      </c>
      <c r="D747" s="15">
        <v>75219.0</v>
      </c>
      <c r="F747" s="15"/>
      <c r="G747" s="26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</row>
    <row r="748">
      <c r="A748" s="10" t="s">
        <v>719</v>
      </c>
      <c r="B748" s="11">
        <v>250.0</v>
      </c>
      <c r="C748" s="12" t="s">
        <v>649</v>
      </c>
      <c r="D748" s="15">
        <v>75205.0</v>
      </c>
      <c r="F748" s="15"/>
      <c r="G748" s="26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</row>
    <row r="749">
      <c r="A749" s="5" t="s">
        <v>720</v>
      </c>
      <c r="B749" s="6">
        <v>25.0</v>
      </c>
      <c r="C749" s="7" t="s">
        <v>649</v>
      </c>
      <c r="D749" s="15">
        <v>75208.0</v>
      </c>
      <c r="F749" s="15"/>
      <c r="G749" s="26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</row>
    <row r="750">
      <c r="A750" s="10" t="s">
        <v>721</v>
      </c>
      <c r="B750" s="11">
        <v>100.0</v>
      </c>
      <c r="C750" s="12" t="s">
        <v>649</v>
      </c>
      <c r="D750" s="15">
        <v>75208.0</v>
      </c>
      <c r="F750" s="15"/>
      <c r="G750" s="26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</row>
    <row r="751">
      <c r="A751" s="5" t="s">
        <v>722</v>
      </c>
      <c r="B751" s="6">
        <v>100.0</v>
      </c>
      <c r="C751" s="7" t="s">
        <v>649</v>
      </c>
      <c r="D751" s="15">
        <v>75208.0</v>
      </c>
      <c r="F751" s="15"/>
      <c r="G751" s="26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</row>
    <row r="752">
      <c r="A752" s="10" t="s">
        <v>723</v>
      </c>
      <c r="B752" s="11">
        <v>100.0</v>
      </c>
      <c r="C752" s="12" t="s">
        <v>649</v>
      </c>
      <c r="D752" s="15">
        <v>75208.0</v>
      </c>
      <c r="F752" s="15"/>
      <c r="G752" s="26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</row>
    <row r="753">
      <c r="A753" s="5" t="s">
        <v>724</v>
      </c>
      <c r="B753" s="6">
        <v>200.0</v>
      </c>
      <c r="C753" s="7" t="s">
        <v>649</v>
      </c>
      <c r="D753" s="15">
        <v>75202.0</v>
      </c>
      <c r="F753" s="15"/>
      <c r="G753" s="26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</row>
    <row r="754">
      <c r="A754" s="10" t="s">
        <v>725</v>
      </c>
      <c r="B754" s="11">
        <v>100.0</v>
      </c>
      <c r="C754" s="12" t="s">
        <v>649</v>
      </c>
      <c r="D754" s="15">
        <v>75211.0</v>
      </c>
      <c r="F754" s="15"/>
      <c r="G754" s="26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</row>
    <row r="755">
      <c r="A755" s="5" t="s">
        <v>725</v>
      </c>
      <c r="B755" s="6">
        <v>150.0</v>
      </c>
      <c r="C755" s="7" t="s">
        <v>649</v>
      </c>
      <c r="D755" s="15">
        <v>75211.0</v>
      </c>
      <c r="F755" s="15"/>
      <c r="G755" s="26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</row>
    <row r="756">
      <c r="A756" s="10" t="s">
        <v>725</v>
      </c>
      <c r="B756" s="11">
        <v>50.0</v>
      </c>
      <c r="C756" s="12" t="s">
        <v>649</v>
      </c>
      <c r="D756" s="15">
        <v>75211.0</v>
      </c>
      <c r="F756" s="15"/>
      <c r="G756" s="26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</row>
    <row r="757">
      <c r="A757" s="5" t="s">
        <v>726</v>
      </c>
      <c r="B757" s="6">
        <v>100.0</v>
      </c>
      <c r="C757" s="7" t="s">
        <v>649</v>
      </c>
      <c r="D757" s="15">
        <v>75218.0</v>
      </c>
      <c r="F757" s="15"/>
      <c r="G757" s="26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</row>
    <row r="758">
      <c r="A758" s="10" t="s">
        <v>727</v>
      </c>
      <c r="B758" s="11">
        <v>1000.0</v>
      </c>
      <c r="C758" s="12" t="s">
        <v>649</v>
      </c>
      <c r="D758" s="15">
        <v>75211.0</v>
      </c>
      <c r="F758" s="15"/>
      <c r="G758" s="26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</row>
    <row r="759">
      <c r="A759" s="5" t="s">
        <v>316</v>
      </c>
      <c r="B759" s="6">
        <v>94.7</v>
      </c>
      <c r="C759" s="7" t="s">
        <v>649</v>
      </c>
      <c r="D759" s="15">
        <v>75230.0</v>
      </c>
      <c r="F759" s="15"/>
      <c r="G759" s="26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</row>
    <row r="760">
      <c r="A760" s="10" t="s">
        <v>728</v>
      </c>
      <c r="B760" s="11">
        <v>100.0</v>
      </c>
      <c r="C760" s="12" t="s">
        <v>649</v>
      </c>
      <c r="D760" s="15">
        <v>75206.0</v>
      </c>
      <c r="F760" s="15"/>
      <c r="G760" s="26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</row>
    <row r="761">
      <c r="A761" s="5" t="s">
        <v>729</v>
      </c>
      <c r="B761" s="6">
        <v>500.0</v>
      </c>
      <c r="C761" s="7" t="s">
        <v>649</v>
      </c>
      <c r="D761" s="15">
        <v>75240.0</v>
      </c>
      <c r="F761" s="15"/>
      <c r="G761" s="26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</row>
    <row r="762">
      <c r="A762" s="10" t="s">
        <v>730</v>
      </c>
      <c r="B762" s="11">
        <v>1000.0</v>
      </c>
      <c r="C762" s="12" t="s">
        <v>649</v>
      </c>
      <c r="D762" s="15">
        <v>75093.0</v>
      </c>
      <c r="F762" s="15"/>
      <c r="G762" s="26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</row>
    <row r="763">
      <c r="A763" s="5" t="s">
        <v>731</v>
      </c>
      <c r="B763" s="6">
        <v>1000.0</v>
      </c>
      <c r="C763" s="7" t="s">
        <v>649</v>
      </c>
      <c r="D763" s="15">
        <v>75219.0</v>
      </c>
      <c r="F763" s="15"/>
      <c r="G763" s="26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</row>
    <row r="764">
      <c r="A764" s="10" t="s">
        <v>732</v>
      </c>
      <c r="B764" s="11">
        <v>1000.0</v>
      </c>
      <c r="C764" s="12" t="s">
        <v>649</v>
      </c>
      <c r="D764" s="15">
        <v>75208.0</v>
      </c>
      <c r="F764" s="15"/>
      <c r="G764" s="26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</row>
    <row r="765">
      <c r="A765" s="5" t="s">
        <v>733</v>
      </c>
      <c r="B765" s="6">
        <v>100.0</v>
      </c>
      <c r="C765" s="7" t="s">
        <v>649</v>
      </c>
      <c r="D765" s="15">
        <v>75223.0</v>
      </c>
      <c r="F765" s="15"/>
      <c r="G765" s="26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</row>
    <row r="766">
      <c r="A766" s="10" t="s">
        <v>734</v>
      </c>
      <c r="B766" s="11">
        <v>250.0</v>
      </c>
      <c r="C766" s="12" t="s">
        <v>649</v>
      </c>
      <c r="D766" s="15">
        <v>75211.0</v>
      </c>
      <c r="F766" s="15"/>
      <c r="G766" s="26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</row>
    <row r="767">
      <c r="A767" s="5" t="s">
        <v>735</v>
      </c>
      <c r="B767" s="6">
        <v>1000.0</v>
      </c>
      <c r="C767" s="7" t="s">
        <v>649</v>
      </c>
      <c r="D767" s="15">
        <v>75208.0</v>
      </c>
      <c r="F767" s="15"/>
      <c r="G767" s="26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</row>
    <row r="768">
      <c r="A768" s="10" t="s">
        <v>736</v>
      </c>
      <c r="B768" s="11">
        <v>500.0</v>
      </c>
      <c r="C768" s="12" t="s">
        <v>649</v>
      </c>
      <c r="D768" s="15">
        <v>75230.0</v>
      </c>
      <c r="F768" s="15"/>
      <c r="G768" s="26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</row>
    <row r="769">
      <c r="A769" s="5" t="s">
        <v>737</v>
      </c>
      <c r="B769" s="6">
        <v>50.0</v>
      </c>
      <c r="C769" s="7" t="s">
        <v>649</v>
      </c>
      <c r="D769" s="15">
        <v>75208.0</v>
      </c>
      <c r="F769" s="15"/>
      <c r="G769" s="26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</row>
    <row r="770">
      <c r="A770" s="10" t="s">
        <v>737</v>
      </c>
      <c r="B770" s="11">
        <v>25.0</v>
      </c>
      <c r="C770" s="12" t="s">
        <v>649</v>
      </c>
      <c r="D770" s="15">
        <v>75208.0</v>
      </c>
      <c r="F770" s="15"/>
      <c r="G770" s="26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</row>
    <row r="771">
      <c r="A771" s="5" t="s">
        <v>738</v>
      </c>
      <c r="B771" s="6">
        <v>500.0</v>
      </c>
      <c r="C771" s="7" t="s">
        <v>649</v>
      </c>
      <c r="D771" s="15">
        <v>75208.0</v>
      </c>
      <c r="F771" s="15"/>
      <c r="G771" s="26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</row>
    <row r="772">
      <c r="A772" s="10" t="s">
        <v>739</v>
      </c>
      <c r="B772" s="11">
        <v>20.0</v>
      </c>
      <c r="C772" s="12" t="s">
        <v>649</v>
      </c>
      <c r="D772" s="15">
        <v>76132.0</v>
      </c>
      <c r="F772" s="15"/>
      <c r="G772" s="26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</row>
    <row r="773">
      <c r="A773" s="5" t="s">
        <v>740</v>
      </c>
      <c r="B773" s="6">
        <v>300.0</v>
      </c>
      <c r="C773" s="7" t="s">
        <v>649</v>
      </c>
      <c r="D773" s="15">
        <v>75224.0</v>
      </c>
      <c r="F773" s="15"/>
      <c r="G773" s="26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</row>
    <row r="774">
      <c r="A774" s="10" t="s">
        <v>741</v>
      </c>
      <c r="B774" s="11">
        <v>250.0</v>
      </c>
      <c r="C774" s="12" t="s">
        <v>649</v>
      </c>
      <c r="D774" s="15">
        <v>75219.0</v>
      </c>
      <c r="F774" s="15"/>
      <c r="G774" s="26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</row>
    <row r="775">
      <c r="A775" s="5" t="s">
        <v>742</v>
      </c>
      <c r="B775" s="6">
        <v>500.0</v>
      </c>
      <c r="C775" s="7" t="s">
        <v>649</v>
      </c>
      <c r="D775" s="15">
        <v>75203.0</v>
      </c>
      <c r="F775" s="15"/>
      <c r="G775" s="26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</row>
    <row r="776">
      <c r="A776" s="10" t="s">
        <v>743</v>
      </c>
      <c r="B776" s="11">
        <v>100.0</v>
      </c>
      <c r="C776" s="12" t="s">
        <v>649</v>
      </c>
      <c r="D776" s="15">
        <v>75208.0</v>
      </c>
      <c r="F776" s="15"/>
      <c r="G776" s="26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</row>
    <row r="777">
      <c r="A777" s="5"/>
      <c r="B777" s="6"/>
      <c r="C777" s="7"/>
      <c r="D777" s="15"/>
      <c r="F777" s="15"/>
      <c r="G777" s="26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</row>
    <row r="778">
      <c r="A778" s="10" t="s">
        <v>745</v>
      </c>
      <c r="B778" s="11">
        <v>100.0</v>
      </c>
      <c r="C778" s="12" t="s">
        <v>649</v>
      </c>
      <c r="D778" s="15">
        <v>75208.0</v>
      </c>
      <c r="F778" s="15"/>
      <c r="G778" s="26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</row>
    <row r="779">
      <c r="A779" s="5" t="s">
        <v>746</v>
      </c>
      <c r="B779" s="6">
        <v>1000.0</v>
      </c>
      <c r="C779" s="7" t="s">
        <v>649</v>
      </c>
      <c r="D779" s="15">
        <v>78664.0</v>
      </c>
      <c r="F779" s="15"/>
      <c r="G779" s="26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</row>
    <row r="780">
      <c r="A780" s="10" t="s">
        <v>746</v>
      </c>
      <c r="B780" s="11">
        <v>1374.7</v>
      </c>
      <c r="C780" s="12" t="s">
        <v>649</v>
      </c>
      <c r="D780" s="15">
        <v>78664.0</v>
      </c>
      <c r="F780" s="15"/>
      <c r="G780" s="26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</row>
    <row r="781">
      <c r="A781" s="5" t="s">
        <v>747</v>
      </c>
      <c r="B781" s="6">
        <v>100.0</v>
      </c>
      <c r="C781" s="7" t="s">
        <v>649</v>
      </c>
      <c r="D781" s="15">
        <v>75208.0</v>
      </c>
      <c r="F781" s="15"/>
      <c r="G781" s="26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</row>
    <row r="782">
      <c r="A782" s="10" t="s">
        <v>747</v>
      </c>
      <c r="B782" s="11">
        <v>400.0</v>
      </c>
      <c r="C782" s="12" t="s">
        <v>649</v>
      </c>
      <c r="D782" s="15">
        <v>75208.0</v>
      </c>
      <c r="F782" s="15"/>
      <c r="G782" s="26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</row>
    <row r="783">
      <c r="A783" s="5" t="s">
        <v>748</v>
      </c>
      <c r="B783" s="6">
        <v>100.0</v>
      </c>
      <c r="C783" s="7" t="s">
        <v>649</v>
      </c>
      <c r="D783" s="15">
        <v>75214.0</v>
      </c>
      <c r="F783" s="15"/>
      <c r="G783" s="26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</row>
    <row r="784">
      <c r="A784" s="10" t="s">
        <v>749</v>
      </c>
      <c r="B784" s="11">
        <v>500.0</v>
      </c>
      <c r="C784" s="12" t="s">
        <v>649</v>
      </c>
      <c r="D784" s="15">
        <v>75230.0</v>
      </c>
      <c r="F784" s="15"/>
      <c r="G784" s="26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</row>
    <row r="785">
      <c r="A785" s="5" t="s">
        <v>750</v>
      </c>
      <c r="B785" s="6">
        <v>500.0</v>
      </c>
      <c r="C785" s="7" t="s">
        <v>649</v>
      </c>
      <c r="D785" s="15">
        <v>75208.0</v>
      </c>
      <c r="F785" s="15"/>
      <c r="G785" s="26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</row>
    <row r="786">
      <c r="A786" s="10" t="s">
        <v>751</v>
      </c>
      <c r="B786" s="11">
        <v>100.0</v>
      </c>
      <c r="C786" s="12" t="s">
        <v>649</v>
      </c>
      <c r="D786" s="15">
        <v>75215.0</v>
      </c>
      <c r="F786" s="15"/>
      <c r="G786" s="26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</row>
    <row r="787">
      <c r="A787" s="5" t="s">
        <v>752</v>
      </c>
      <c r="B787" s="6">
        <v>25.0</v>
      </c>
      <c r="C787" s="7" t="s">
        <v>649</v>
      </c>
      <c r="D787" s="15">
        <v>75208.0</v>
      </c>
      <c r="F787" s="15"/>
      <c r="G787" s="26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</row>
    <row r="788">
      <c r="A788" s="10" t="s">
        <v>753</v>
      </c>
      <c r="B788" s="11">
        <v>100.0</v>
      </c>
      <c r="C788" s="12" t="s">
        <v>649</v>
      </c>
      <c r="D788" s="15">
        <v>75219.0</v>
      </c>
      <c r="F788" s="15"/>
      <c r="G788" s="26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</row>
    <row r="789">
      <c r="A789" s="5" t="s">
        <v>754</v>
      </c>
      <c r="B789" s="6">
        <v>500.0</v>
      </c>
      <c r="C789" s="7" t="s">
        <v>649</v>
      </c>
      <c r="D789" s="15">
        <v>75214.0</v>
      </c>
      <c r="F789" s="15"/>
      <c r="G789" s="26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</row>
    <row r="790">
      <c r="A790" s="10" t="s">
        <v>755</v>
      </c>
      <c r="B790" s="11">
        <v>50.0</v>
      </c>
      <c r="C790" s="12" t="s">
        <v>649</v>
      </c>
      <c r="D790" s="15">
        <v>75208.0</v>
      </c>
      <c r="F790" s="15"/>
      <c r="G790" s="26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</row>
    <row r="791">
      <c r="A791" s="5" t="s">
        <v>756</v>
      </c>
      <c r="B791" s="6">
        <v>100.0</v>
      </c>
      <c r="C791" s="7" t="s">
        <v>649</v>
      </c>
      <c r="D791" s="15">
        <v>75208.0</v>
      </c>
      <c r="F791" s="15"/>
      <c r="G791" s="26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</row>
    <row r="792">
      <c r="A792" s="10" t="s">
        <v>757</v>
      </c>
      <c r="B792" s="11">
        <v>250.0</v>
      </c>
      <c r="C792" s="12" t="s">
        <v>649</v>
      </c>
      <c r="D792" s="15">
        <v>75208.0</v>
      </c>
      <c r="F792" s="15"/>
      <c r="G792" s="26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</row>
    <row r="793">
      <c r="A793" s="5" t="s">
        <v>758</v>
      </c>
      <c r="B793" s="6">
        <v>23.44</v>
      </c>
      <c r="C793" s="7" t="s">
        <v>649</v>
      </c>
      <c r="D793" s="15">
        <v>75206.0</v>
      </c>
      <c r="F793" s="15"/>
      <c r="G793" s="26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</row>
    <row r="794">
      <c r="A794" s="10" t="s">
        <v>759</v>
      </c>
      <c r="B794" s="11">
        <v>50.0</v>
      </c>
      <c r="C794" s="12" t="s">
        <v>649</v>
      </c>
      <c r="D794" s="15">
        <v>75208.0</v>
      </c>
      <c r="F794" s="15"/>
      <c r="G794" s="26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</row>
    <row r="795">
      <c r="A795" s="5" t="s">
        <v>760</v>
      </c>
      <c r="B795" s="6">
        <v>100.0</v>
      </c>
      <c r="C795" s="7" t="s">
        <v>649</v>
      </c>
      <c r="D795" s="15">
        <v>75224.0</v>
      </c>
      <c r="F795" s="15"/>
      <c r="G795" s="26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</row>
    <row r="796">
      <c r="A796" s="10" t="s">
        <v>761</v>
      </c>
      <c r="B796" s="11">
        <v>100.0</v>
      </c>
      <c r="C796" s="12" t="s">
        <v>649</v>
      </c>
      <c r="D796" s="15">
        <v>75208.0</v>
      </c>
      <c r="F796" s="15"/>
      <c r="G796" s="26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</row>
    <row r="797">
      <c r="A797" s="5" t="s">
        <v>762</v>
      </c>
      <c r="B797" s="6">
        <v>100.0</v>
      </c>
      <c r="C797" s="7" t="s">
        <v>649</v>
      </c>
      <c r="D797" s="15">
        <v>75218.0</v>
      </c>
      <c r="F797" s="15"/>
      <c r="G797" s="26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</row>
    <row r="798">
      <c r="A798" s="10" t="s">
        <v>763</v>
      </c>
      <c r="B798" s="11">
        <v>500.0</v>
      </c>
      <c r="C798" s="12" t="s">
        <v>649</v>
      </c>
      <c r="D798" s="15">
        <v>75208.0</v>
      </c>
      <c r="F798" s="15"/>
      <c r="G798" s="26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</row>
    <row r="799">
      <c r="A799" s="5" t="s">
        <v>764</v>
      </c>
      <c r="B799" s="6">
        <v>50.0</v>
      </c>
      <c r="C799" s="7" t="s">
        <v>649</v>
      </c>
      <c r="D799" s="15">
        <v>75211.0</v>
      </c>
      <c r="F799" s="15"/>
      <c r="G799" s="26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</row>
    <row r="800">
      <c r="A800" s="10" t="s">
        <v>765</v>
      </c>
      <c r="B800" s="11">
        <v>100.0</v>
      </c>
      <c r="C800" s="12" t="s">
        <v>649</v>
      </c>
      <c r="D800" s="15">
        <v>75211.0</v>
      </c>
      <c r="F800" s="15"/>
      <c r="G800" s="26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</row>
    <row r="801">
      <c r="A801" s="5" t="s">
        <v>766</v>
      </c>
      <c r="B801" s="6">
        <v>50.0</v>
      </c>
      <c r="C801" s="7" t="s">
        <v>649</v>
      </c>
      <c r="D801" s="15">
        <v>75208.0</v>
      </c>
      <c r="F801" s="15"/>
      <c r="G801" s="26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</row>
    <row r="802">
      <c r="A802" s="10" t="s">
        <v>767</v>
      </c>
      <c r="B802" s="11">
        <v>50.0</v>
      </c>
      <c r="C802" s="12" t="s">
        <v>649</v>
      </c>
      <c r="D802" s="15">
        <v>75208.0</v>
      </c>
      <c r="F802" s="15"/>
      <c r="G802" s="26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</row>
    <row r="803">
      <c r="A803" s="5" t="s">
        <v>768</v>
      </c>
      <c r="B803" s="6">
        <v>1000.0</v>
      </c>
      <c r="C803" s="7" t="s">
        <v>649</v>
      </c>
      <c r="D803" s="15">
        <v>75254.0</v>
      </c>
      <c r="F803" s="15"/>
      <c r="G803" s="26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</row>
    <row r="804">
      <c r="A804" s="10" t="s">
        <v>769</v>
      </c>
      <c r="B804" s="11">
        <v>1.0</v>
      </c>
      <c r="C804" s="12" t="s">
        <v>33</v>
      </c>
      <c r="D804" s="15">
        <v>75202.0</v>
      </c>
      <c r="F804" s="15"/>
      <c r="G804" s="26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</row>
    <row r="805">
      <c r="A805" s="10"/>
      <c r="B805" s="11"/>
      <c r="C805" s="12"/>
      <c r="D805" s="15"/>
      <c r="F805" s="15"/>
      <c r="G805" s="26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</row>
    <row r="806">
      <c r="A806" s="10" t="s">
        <v>771</v>
      </c>
      <c r="B806" s="11">
        <v>500.0</v>
      </c>
      <c r="C806" s="12" t="s">
        <v>33</v>
      </c>
      <c r="D806" s="15">
        <v>75203.0</v>
      </c>
      <c r="F806" s="15"/>
      <c r="G806" s="26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</row>
    <row r="807">
      <c r="A807" s="10" t="s">
        <v>98</v>
      </c>
      <c r="B807" s="11">
        <v>250.0</v>
      </c>
      <c r="C807" s="12" t="s">
        <v>33</v>
      </c>
      <c r="D807" s="15">
        <v>75238.0</v>
      </c>
      <c r="F807" s="15"/>
      <c r="G807" s="26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</row>
    <row r="808">
      <c r="A808" s="10" t="s">
        <v>772</v>
      </c>
      <c r="B808" s="11">
        <v>250.0</v>
      </c>
      <c r="C808" s="12" t="s">
        <v>33</v>
      </c>
      <c r="D808" s="15">
        <v>75137.0</v>
      </c>
      <c r="F808" s="15"/>
      <c r="G808" s="26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</row>
    <row r="809">
      <c r="A809" s="10" t="s">
        <v>773</v>
      </c>
      <c r="B809" s="11">
        <v>1000.0</v>
      </c>
      <c r="C809" s="12" t="s">
        <v>33</v>
      </c>
      <c r="D809" s="15">
        <v>76063.0</v>
      </c>
      <c r="F809" s="15"/>
      <c r="G809" s="26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</row>
    <row r="810">
      <c r="A810" s="10" t="s">
        <v>774</v>
      </c>
      <c r="B810" s="11">
        <v>100.0</v>
      </c>
      <c r="C810" s="12" t="s">
        <v>33</v>
      </c>
      <c r="D810" s="15">
        <v>75219.0</v>
      </c>
      <c r="F810" s="15"/>
      <c r="G810" s="26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</row>
    <row r="811">
      <c r="A811" s="10" t="s">
        <v>775</v>
      </c>
      <c r="B811" s="11">
        <v>100.0</v>
      </c>
      <c r="C811" s="12" t="s">
        <v>33</v>
      </c>
      <c r="D811" s="15">
        <v>75150.0</v>
      </c>
      <c r="F811" s="15"/>
      <c r="G811" s="26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</row>
    <row r="812">
      <c r="A812" s="10" t="s">
        <v>776</v>
      </c>
      <c r="B812" s="11">
        <v>100.0</v>
      </c>
      <c r="C812" s="12" t="s">
        <v>33</v>
      </c>
      <c r="D812" s="15">
        <v>75115.0</v>
      </c>
      <c r="F812" s="15"/>
      <c r="G812" s="26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</row>
    <row r="813">
      <c r="A813" s="10" t="s">
        <v>777</v>
      </c>
      <c r="B813" s="11">
        <v>150.0</v>
      </c>
      <c r="C813" s="12" t="s">
        <v>33</v>
      </c>
      <c r="D813" s="15">
        <v>75227.0</v>
      </c>
      <c r="F813" s="15"/>
      <c r="G813" s="26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</row>
    <row r="814">
      <c r="A814" s="10" t="s">
        <v>383</v>
      </c>
      <c r="B814" s="11">
        <v>100.0</v>
      </c>
      <c r="C814" s="12" t="s">
        <v>33</v>
      </c>
      <c r="D814" s="15">
        <v>75214.0</v>
      </c>
      <c r="F814" s="15"/>
      <c r="G814" s="26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</row>
    <row r="815">
      <c r="A815" s="10" t="s">
        <v>778</v>
      </c>
      <c r="B815" s="11">
        <v>10.0</v>
      </c>
      <c r="C815" s="12" t="s">
        <v>33</v>
      </c>
      <c r="D815" s="15">
        <v>75232.0</v>
      </c>
      <c r="F815" s="15"/>
      <c r="G815" s="26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</row>
    <row r="816">
      <c r="A816" s="10" t="s">
        <v>779</v>
      </c>
      <c r="B816" s="11">
        <v>50.0</v>
      </c>
      <c r="C816" s="12" t="s">
        <v>33</v>
      </c>
      <c r="D816" s="15">
        <v>75232.0</v>
      </c>
      <c r="F816" s="15"/>
      <c r="G816" s="26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</row>
    <row r="817">
      <c r="A817" s="10" t="s">
        <v>780</v>
      </c>
      <c r="B817" s="11">
        <v>100.0</v>
      </c>
      <c r="C817" s="12" t="s">
        <v>33</v>
      </c>
      <c r="D817" s="15">
        <v>75233.0</v>
      </c>
      <c r="F817" s="15"/>
      <c r="G817" s="26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</row>
    <row r="818">
      <c r="A818" s="10" t="s">
        <v>781</v>
      </c>
      <c r="B818" s="11">
        <v>250.0</v>
      </c>
      <c r="C818" s="12" t="s">
        <v>33</v>
      </c>
      <c r="D818" s="15">
        <v>75212.0</v>
      </c>
      <c r="F818" s="15"/>
      <c r="G818" s="26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</row>
    <row r="819">
      <c r="A819" s="10"/>
      <c r="B819" s="11"/>
      <c r="C819" s="12"/>
      <c r="D819" s="15"/>
      <c r="F819" s="15"/>
      <c r="G819" s="26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</row>
    <row r="820">
      <c r="A820" s="10" t="s">
        <v>783</v>
      </c>
      <c r="B820" s="11">
        <v>250.0</v>
      </c>
      <c r="C820" s="12" t="s">
        <v>33</v>
      </c>
      <c r="D820" s="15">
        <v>75233.0</v>
      </c>
      <c r="F820" s="15"/>
      <c r="G820" s="26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</row>
    <row r="821">
      <c r="A821" s="10" t="s">
        <v>784</v>
      </c>
      <c r="B821" s="11">
        <v>100.0</v>
      </c>
      <c r="C821" s="12" t="s">
        <v>33</v>
      </c>
      <c r="D821" s="15">
        <v>75115.0</v>
      </c>
      <c r="F821" s="15"/>
      <c r="G821" s="26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</row>
    <row r="822">
      <c r="A822" s="10" t="s">
        <v>785</v>
      </c>
      <c r="B822" s="11">
        <v>100.0</v>
      </c>
      <c r="C822" s="12" t="s">
        <v>33</v>
      </c>
      <c r="D822" s="15">
        <v>75241.0</v>
      </c>
      <c r="F822" s="15"/>
      <c r="G822" s="26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</row>
    <row r="823">
      <c r="A823" s="10" t="s">
        <v>786</v>
      </c>
      <c r="B823" s="11">
        <v>500.0</v>
      </c>
      <c r="C823" s="12" t="s">
        <v>33</v>
      </c>
      <c r="D823" s="15">
        <v>75215.0</v>
      </c>
      <c r="F823" s="15"/>
      <c r="G823" s="26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</row>
    <row r="824">
      <c r="A824" s="10" t="s">
        <v>787</v>
      </c>
      <c r="B824" s="11">
        <v>250.0</v>
      </c>
      <c r="C824" s="12" t="s">
        <v>33</v>
      </c>
      <c r="D824" s="15">
        <v>75249.0</v>
      </c>
      <c r="F824" s="15"/>
      <c r="G824" s="26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</row>
    <row r="825">
      <c r="A825" s="10" t="s">
        <v>788</v>
      </c>
      <c r="B825" s="11">
        <v>25.0</v>
      </c>
      <c r="C825" s="12" t="s">
        <v>33</v>
      </c>
      <c r="D825" s="15">
        <v>75231.0</v>
      </c>
      <c r="F825" s="15"/>
      <c r="G825" s="26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</row>
    <row r="826">
      <c r="A826" s="10" t="s">
        <v>789</v>
      </c>
      <c r="B826" s="11">
        <v>100.0</v>
      </c>
      <c r="C826" s="12" t="s">
        <v>33</v>
      </c>
      <c r="D826" s="15">
        <v>75002.0</v>
      </c>
      <c r="F826" s="15"/>
      <c r="G826" s="26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</row>
    <row r="827">
      <c r="A827" s="10" t="s">
        <v>790</v>
      </c>
      <c r="B827" s="11">
        <v>1000.0</v>
      </c>
      <c r="C827" s="12" t="s">
        <v>33</v>
      </c>
      <c r="D827" s="15">
        <v>75219.0</v>
      </c>
      <c r="F827" s="15"/>
      <c r="G827" s="26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</row>
    <row r="828">
      <c r="A828" s="10" t="s">
        <v>791</v>
      </c>
      <c r="B828" s="11">
        <v>100.0</v>
      </c>
      <c r="C828" s="12" t="s">
        <v>33</v>
      </c>
      <c r="D828" s="15">
        <v>75287.0</v>
      </c>
      <c r="F828" s="15"/>
      <c r="G828" s="26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</row>
    <row r="829">
      <c r="A829" s="10" t="s">
        <v>316</v>
      </c>
      <c r="B829" s="11">
        <v>100.0</v>
      </c>
      <c r="C829" s="12" t="s">
        <v>33</v>
      </c>
      <c r="D829" s="15">
        <v>75230.0</v>
      </c>
      <c r="F829" s="15"/>
      <c r="G829" s="26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</row>
    <row r="830">
      <c r="A830" s="10" t="s">
        <v>792</v>
      </c>
      <c r="B830" s="11">
        <v>100.0</v>
      </c>
      <c r="C830" s="12" t="s">
        <v>33</v>
      </c>
      <c r="D830" s="15">
        <v>76063.0</v>
      </c>
      <c r="F830" s="15"/>
      <c r="G830" s="26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</row>
    <row r="831">
      <c r="A831" s="10" t="s">
        <v>793</v>
      </c>
      <c r="B831" s="11">
        <v>25.0</v>
      </c>
      <c r="C831" s="12" t="s">
        <v>33</v>
      </c>
      <c r="D831" s="15">
        <v>75232.0</v>
      </c>
      <c r="F831" s="15"/>
      <c r="G831" s="26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</row>
    <row r="832">
      <c r="A832" s="10" t="s">
        <v>794</v>
      </c>
      <c r="B832" s="11">
        <v>500.0</v>
      </c>
      <c r="C832" s="12" t="s">
        <v>33</v>
      </c>
      <c r="D832" s="15">
        <v>75205.0</v>
      </c>
      <c r="F832" s="15"/>
      <c r="G832" s="26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</row>
    <row r="833">
      <c r="A833" s="10" t="s">
        <v>795</v>
      </c>
      <c r="B833" s="11">
        <v>250.0</v>
      </c>
      <c r="C833" s="12" t="s">
        <v>33</v>
      </c>
      <c r="D833" s="15">
        <v>75235.0</v>
      </c>
      <c r="F833" s="15"/>
      <c r="G833" s="26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</row>
    <row r="834">
      <c r="A834" s="10" t="s">
        <v>796</v>
      </c>
      <c r="B834" s="11">
        <v>500.0</v>
      </c>
      <c r="C834" s="12" t="s">
        <v>33</v>
      </c>
      <c r="D834" s="15">
        <v>75220.0</v>
      </c>
      <c r="F834" s="15"/>
      <c r="G834" s="26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</row>
    <row r="835">
      <c r="A835" s="10" t="s">
        <v>797</v>
      </c>
      <c r="B835" s="11">
        <v>500.0</v>
      </c>
      <c r="C835" s="12" t="s">
        <v>33</v>
      </c>
      <c r="D835" s="15">
        <v>75201.0</v>
      </c>
      <c r="F835" s="15"/>
      <c r="G835" s="26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</row>
    <row r="836">
      <c r="A836" s="5" t="s">
        <v>798</v>
      </c>
      <c r="B836" s="6">
        <v>36.0</v>
      </c>
      <c r="C836" s="7" t="s">
        <v>634</v>
      </c>
      <c r="D836" s="15">
        <v>75230.0</v>
      </c>
      <c r="F836" s="15"/>
      <c r="G836" s="26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</row>
    <row r="837">
      <c r="A837" s="5" t="s">
        <v>799</v>
      </c>
      <c r="B837" s="6">
        <v>250.0</v>
      </c>
      <c r="C837" s="7" t="s">
        <v>634</v>
      </c>
      <c r="D837" s="15">
        <v>75218.0</v>
      </c>
      <c r="F837" s="15"/>
      <c r="G837" s="26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</row>
    <row r="838">
      <c r="A838" s="5" t="s">
        <v>800</v>
      </c>
      <c r="B838" s="6">
        <v>50.0</v>
      </c>
      <c r="C838" s="7" t="s">
        <v>634</v>
      </c>
      <c r="D838" s="15">
        <v>75230.0</v>
      </c>
      <c r="F838" s="15"/>
      <c r="G838" s="26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</row>
    <row r="839">
      <c r="A839" s="5" t="s">
        <v>801</v>
      </c>
      <c r="B839" s="6">
        <v>100.0</v>
      </c>
      <c r="C839" s="7" t="s">
        <v>634</v>
      </c>
      <c r="D839" s="15">
        <v>75219.0</v>
      </c>
      <c r="F839" s="15"/>
      <c r="G839" s="26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</row>
    <row r="840">
      <c r="A840" s="5" t="s">
        <v>802</v>
      </c>
      <c r="B840" s="6">
        <v>1000.0</v>
      </c>
      <c r="C840" s="7" t="s">
        <v>634</v>
      </c>
      <c r="D840" s="15">
        <v>75229.0</v>
      </c>
      <c r="F840" s="15"/>
      <c r="G840" s="26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</row>
    <row r="841">
      <c r="A841" s="5" t="s">
        <v>803</v>
      </c>
      <c r="B841" s="6">
        <v>100.0</v>
      </c>
      <c r="C841" s="7" t="s">
        <v>634</v>
      </c>
      <c r="D841" s="15">
        <v>75225.0</v>
      </c>
      <c r="F841" s="15"/>
      <c r="G841" s="26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</row>
    <row r="842">
      <c r="A842" s="5" t="s">
        <v>804</v>
      </c>
      <c r="B842" s="6">
        <v>250.0</v>
      </c>
      <c r="C842" s="7" t="s">
        <v>634</v>
      </c>
      <c r="D842" s="15">
        <v>75230.0</v>
      </c>
      <c r="F842" s="15"/>
      <c r="G842" s="26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</row>
    <row r="843">
      <c r="A843" s="5" t="s">
        <v>805</v>
      </c>
      <c r="B843" s="6">
        <v>100.0</v>
      </c>
      <c r="C843" s="7" t="s">
        <v>634</v>
      </c>
      <c r="D843" s="15">
        <v>75230.0</v>
      </c>
      <c r="F843" s="15"/>
      <c r="G843" s="26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</row>
    <row r="844">
      <c r="A844" s="5" t="s">
        <v>806</v>
      </c>
      <c r="B844" s="6">
        <v>180.0</v>
      </c>
      <c r="C844" s="7" t="s">
        <v>634</v>
      </c>
      <c r="D844" s="15">
        <v>78704.0</v>
      </c>
      <c r="F844" s="15"/>
      <c r="G844" s="26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</row>
    <row r="845">
      <c r="A845" s="5" t="s">
        <v>807</v>
      </c>
      <c r="B845" s="6">
        <v>25.0</v>
      </c>
      <c r="C845" s="7" t="s">
        <v>634</v>
      </c>
      <c r="D845" s="15">
        <v>75230.0</v>
      </c>
      <c r="F845" s="15"/>
      <c r="G845" s="26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</row>
    <row r="846">
      <c r="A846" s="5" t="s">
        <v>808</v>
      </c>
      <c r="B846" s="6">
        <v>50.0</v>
      </c>
      <c r="C846" s="7" t="s">
        <v>634</v>
      </c>
      <c r="D846" s="15">
        <v>75248.0</v>
      </c>
      <c r="F846" s="15"/>
      <c r="G846" s="26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</row>
    <row r="847">
      <c r="A847" s="5" t="s">
        <v>809</v>
      </c>
      <c r="B847" s="6">
        <v>500.0</v>
      </c>
      <c r="C847" s="7" t="s">
        <v>634</v>
      </c>
      <c r="D847" s="15">
        <v>75230.0</v>
      </c>
      <c r="F847" s="15"/>
      <c r="G847" s="26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</row>
    <row r="848">
      <c r="A848" s="5" t="s">
        <v>810</v>
      </c>
      <c r="B848" s="6">
        <v>150.0</v>
      </c>
      <c r="C848" s="7" t="s">
        <v>634</v>
      </c>
      <c r="D848" s="15">
        <v>75254.0</v>
      </c>
      <c r="F848" s="15"/>
      <c r="G848" s="26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</row>
    <row r="849">
      <c r="A849" s="5" t="s">
        <v>811</v>
      </c>
      <c r="B849" s="6">
        <v>500.0</v>
      </c>
      <c r="C849" s="7" t="s">
        <v>634</v>
      </c>
      <c r="D849" s="15">
        <v>75229.0</v>
      </c>
      <c r="F849" s="15"/>
      <c r="G849" s="26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</row>
    <row r="850">
      <c r="A850" s="5" t="s">
        <v>812</v>
      </c>
      <c r="B850" s="6">
        <v>100.0</v>
      </c>
      <c r="C850" s="7" t="s">
        <v>634</v>
      </c>
      <c r="D850" s="15">
        <v>75230.0</v>
      </c>
      <c r="F850" s="15"/>
      <c r="G850" s="26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</row>
    <row r="851">
      <c r="A851" s="5" t="s">
        <v>813</v>
      </c>
      <c r="B851" s="6">
        <v>150.0</v>
      </c>
      <c r="C851" s="7" t="s">
        <v>634</v>
      </c>
      <c r="D851" s="15">
        <v>75230.0</v>
      </c>
      <c r="F851" s="15"/>
      <c r="G851" s="26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</row>
    <row r="852">
      <c r="A852" s="5" t="s">
        <v>814</v>
      </c>
      <c r="B852" s="6">
        <v>100.0</v>
      </c>
      <c r="C852" s="7" t="s">
        <v>634</v>
      </c>
      <c r="D852" s="15">
        <v>75209.0</v>
      </c>
      <c r="F852" s="15"/>
      <c r="G852" s="26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</row>
    <row r="853">
      <c r="A853" s="5" t="s">
        <v>815</v>
      </c>
      <c r="B853" s="6">
        <v>100.0</v>
      </c>
      <c r="C853" s="7" t="s">
        <v>634</v>
      </c>
      <c r="D853" s="15">
        <v>75287.0</v>
      </c>
      <c r="F853" s="15"/>
      <c r="G853" s="26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</row>
    <row r="854">
      <c r="A854" s="5" t="s">
        <v>816</v>
      </c>
      <c r="B854" s="6">
        <v>100.0</v>
      </c>
      <c r="C854" s="7" t="s">
        <v>634</v>
      </c>
      <c r="D854" s="15">
        <v>75230.0</v>
      </c>
      <c r="F854" s="15"/>
      <c r="G854" s="26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</row>
    <row r="855">
      <c r="A855" s="5" t="s">
        <v>817</v>
      </c>
      <c r="B855" s="6">
        <v>250.0</v>
      </c>
      <c r="C855" s="7" t="s">
        <v>634</v>
      </c>
      <c r="D855" s="15">
        <v>75230.0</v>
      </c>
      <c r="F855" s="15"/>
      <c r="G855" s="26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</row>
    <row r="856">
      <c r="A856" s="5" t="s">
        <v>818</v>
      </c>
      <c r="B856" s="6">
        <v>500.0</v>
      </c>
      <c r="C856" s="7" t="s">
        <v>634</v>
      </c>
      <c r="D856" s="15">
        <v>75230.0</v>
      </c>
      <c r="F856" s="15"/>
      <c r="G856" s="26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</row>
    <row r="857">
      <c r="A857" s="5" t="s">
        <v>819</v>
      </c>
      <c r="B857" s="6">
        <v>250.0</v>
      </c>
      <c r="C857" s="7" t="s">
        <v>634</v>
      </c>
      <c r="D857" s="15">
        <v>75230.0</v>
      </c>
      <c r="F857" s="15"/>
      <c r="G857" s="26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</row>
    <row r="858">
      <c r="A858" s="5" t="s">
        <v>820</v>
      </c>
      <c r="B858" s="6">
        <v>100.0</v>
      </c>
      <c r="C858" s="7" t="s">
        <v>634</v>
      </c>
      <c r="D858" s="15">
        <v>75230.0</v>
      </c>
      <c r="F858" s="15"/>
      <c r="G858" s="26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</row>
    <row r="859">
      <c r="A859" s="5" t="s">
        <v>821</v>
      </c>
      <c r="B859" s="6">
        <v>100.0</v>
      </c>
      <c r="C859" s="7" t="s">
        <v>634</v>
      </c>
      <c r="D859" s="15">
        <v>75248.0</v>
      </c>
      <c r="F859" s="15"/>
      <c r="G859" s="26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</row>
    <row r="860">
      <c r="A860" s="5" t="s">
        <v>822</v>
      </c>
      <c r="B860" s="6">
        <v>50.0</v>
      </c>
      <c r="C860" s="7" t="s">
        <v>634</v>
      </c>
      <c r="D860" s="15">
        <v>75229.0</v>
      </c>
      <c r="F860" s="15"/>
      <c r="G860" s="26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</row>
    <row r="861">
      <c r="A861" s="5" t="s">
        <v>823</v>
      </c>
      <c r="B861" s="6">
        <v>250.0</v>
      </c>
      <c r="C861" s="7" t="s">
        <v>634</v>
      </c>
      <c r="D861" s="15">
        <v>75230.0</v>
      </c>
      <c r="F861" s="15"/>
      <c r="G861" s="26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</row>
    <row r="862">
      <c r="A862" s="5" t="s">
        <v>824</v>
      </c>
      <c r="B862" s="6">
        <v>500.0</v>
      </c>
      <c r="C862" s="7" t="s">
        <v>634</v>
      </c>
      <c r="D862" s="15">
        <v>75231.0</v>
      </c>
      <c r="F862" s="15"/>
      <c r="G862" s="26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</row>
    <row r="863">
      <c r="A863" s="5" t="s">
        <v>825</v>
      </c>
      <c r="B863" s="6">
        <v>36.0</v>
      </c>
      <c r="C863" s="7" t="s">
        <v>634</v>
      </c>
      <c r="D863" s="15">
        <v>75093.0</v>
      </c>
      <c r="F863" s="15"/>
      <c r="G863" s="26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</row>
    <row r="864">
      <c r="A864" s="5" t="s">
        <v>826</v>
      </c>
      <c r="B864" s="6">
        <v>150.0</v>
      </c>
      <c r="C864" s="7" t="s">
        <v>634</v>
      </c>
      <c r="D864" s="15">
        <v>75219.0</v>
      </c>
      <c r="F864" s="15"/>
      <c r="G864" s="26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</row>
    <row r="865">
      <c r="A865" s="5" t="s">
        <v>827</v>
      </c>
      <c r="B865" s="6">
        <v>500.0</v>
      </c>
      <c r="C865" s="7" t="s">
        <v>634</v>
      </c>
      <c r="D865" s="15">
        <v>75248.0</v>
      </c>
      <c r="F865" s="15"/>
      <c r="G865" s="26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</row>
    <row r="866">
      <c r="A866" s="5" t="s">
        <v>828</v>
      </c>
      <c r="B866" s="6">
        <v>100.0</v>
      </c>
      <c r="C866" s="7" t="s">
        <v>634</v>
      </c>
      <c r="D866" s="15">
        <v>75230.0</v>
      </c>
      <c r="F866" s="15"/>
      <c r="G866" s="26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</row>
    <row r="867">
      <c r="A867" s="5" t="s">
        <v>173</v>
      </c>
      <c r="B867" s="6">
        <v>500.0</v>
      </c>
      <c r="C867" s="7" t="s">
        <v>634</v>
      </c>
      <c r="D867" s="15">
        <v>75229.0</v>
      </c>
      <c r="F867" s="15"/>
      <c r="G867" s="26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</row>
    <row r="868">
      <c r="A868" s="5" t="s">
        <v>166</v>
      </c>
      <c r="B868" s="6">
        <v>500.0</v>
      </c>
      <c r="C868" s="7" t="s">
        <v>634</v>
      </c>
      <c r="D868" s="15">
        <v>75229.0</v>
      </c>
      <c r="F868" s="15"/>
      <c r="G868" s="26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</row>
    <row r="869">
      <c r="A869" s="5" t="s">
        <v>829</v>
      </c>
      <c r="B869" s="6">
        <v>500.0</v>
      </c>
      <c r="C869" s="7" t="s">
        <v>634</v>
      </c>
      <c r="D869" s="15">
        <v>75209.0</v>
      </c>
      <c r="F869" s="15"/>
      <c r="G869" s="26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</row>
    <row r="870">
      <c r="A870" s="5" t="s">
        <v>830</v>
      </c>
      <c r="B870" s="6">
        <v>50.0</v>
      </c>
      <c r="C870" s="7" t="s">
        <v>634</v>
      </c>
      <c r="D870" s="15">
        <v>75219.0</v>
      </c>
      <c r="F870" s="15"/>
      <c r="G870" s="26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</row>
    <row r="871">
      <c r="A871" s="5" t="s">
        <v>831</v>
      </c>
      <c r="B871" s="6">
        <v>250.0</v>
      </c>
      <c r="C871" s="7" t="s">
        <v>634</v>
      </c>
      <c r="D871" s="15">
        <v>75230.0</v>
      </c>
      <c r="F871" s="15"/>
      <c r="G871" s="26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</row>
    <row r="872">
      <c r="A872" s="5" t="s">
        <v>832</v>
      </c>
      <c r="B872" s="6">
        <v>100.0</v>
      </c>
      <c r="C872" s="7" t="s">
        <v>634</v>
      </c>
      <c r="D872" s="15">
        <v>75230.0</v>
      </c>
      <c r="F872" s="15"/>
      <c r="G872" s="26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</row>
    <row r="873">
      <c r="A873" s="5" t="s">
        <v>833</v>
      </c>
      <c r="B873" s="6">
        <v>250.0</v>
      </c>
      <c r="C873" s="7" t="s">
        <v>634</v>
      </c>
      <c r="D873" s="15">
        <v>75220.0</v>
      </c>
      <c r="F873" s="15"/>
      <c r="G873" s="26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</row>
    <row r="874">
      <c r="A874" s="5" t="s">
        <v>834</v>
      </c>
      <c r="B874" s="6">
        <v>200.0</v>
      </c>
      <c r="C874" s="7" t="s">
        <v>634</v>
      </c>
      <c r="D874" s="15">
        <v>75062.0</v>
      </c>
      <c r="F874" s="15"/>
      <c r="G874" s="26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</row>
    <row r="875">
      <c r="A875" s="5" t="s">
        <v>835</v>
      </c>
      <c r="B875" s="6">
        <v>500.0</v>
      </c>
      <c r="C875" s="7" t="s">
        <v>634</v>
      </c>
      <c r="D875" s="15">
        <v>75219.0</v>
      </c>
      <c r="F875" s="15"/>
      <c r="G875" s="26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</row>
    <row r="876">
      <c r="A876" s="5" t="s">
        <v>836</v>
      </c>
      <c r="B876" s="6">
        <v>250.0</v>
      </c>
      <c r="C876" s="7" t="s">
        <v>634</v>
      </c>
      <c r="D876" s="15">
        <v>75229.0</v>
      </c>
      <c r="F876" s="15"/>
      <c r="G876" s="26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</row>
    <row r="877">
      <c r="A877" s="5" t="s">
        <v>837</v>
      </c>
      <c r="B877" s="6">
        <v>100.0</v>
      </c>
      <c r="C877" s="7" t="s">
        <v>634</v>
      </c>
      <c r="D877" s="15">
        <v>75231.0</v>
      </c>
      <c r="F877" s="15"/>
      <c r="G877" s="26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</row>
    <row r="878">
      <c r="A878" s="5" t="s">
        <v>838</v>
      </c>
      <c r="B878" s="6">
        <v>500.0</v>
      </c>
      <c r="C878" s="7" t="s">
        <v>634</v>
      </c>
      <c r="D878" s="15">
        <v>75209.0</v>
      </c>
      <c r="F878" s="15"/>
      <c r="G878" s="26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</row>
    <row r="879">
      <c r="A879" s="5" t="s">
        <v>839</v>
      </c>
      <c r="B879" s="6">
        <v>10.0</v>
      </c>
      <c r="C879" s="7" t="s">
        <v>634</v>
      </c>
      <c r="D879" s="15">
        <v>75230.0</v>
      </c>
      <c r="F879" s="15"/>
      <c r="G879" s="26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</row>
    <row r="880">
      <c r="A880" s="5" t="s">
        <v>839</v>
      </c>
      <c r="B880" s="6">
        <v>50.0</v>
      </c>
      <c r="C880" s="7" t="s">
        <v>634</v>
      </c>
      <c r="D880" s="15">
        <v>75230.0</v>
      </c>
      <c r="F880" s="15"/>
      <c r="G880" s="26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</row>
    <row r="881">
      <c r="A881" s="5" t="s">
        <v>840</v>
      </c>
      <c r="B881" s="6">
        <v>250.0</v>
      </c>
      <c r="C881" s="7" t="s">
        <v>634</v>
      </c>
      <c r="D881" s="15">
        <v>75205.0</v>
      </c>
      <c r="F881" s="15"/>
      <c r="G881" s="26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</row>
    <row r="882">
      <c r="A882" s="5" t="s">
        <v>841</v>
      </c>
      <c r="B882" s="6">
        <v>250.0</v>
      </c>
      <c r="C882" s="7" t="s">
        <v>634</v>
      </c>
      <c r="D882" s="15">
        <v>75204.0</v>
      </c>
      <c r="F882" s="15"/>
      <c r="G882" s="26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</row>
    <row r="883">
      <c r="A883" s="5" t="s">
        <v>842</v>
      </c>
      <c r="B883" s="6">
        <v>180.0</v>
      </c>
      <c r="C883" s="7" t="s">
        <v>634</v>
      </c>
      <c r="D883" s="15">
        <v>75225.0</v>
      </c>
      <c r="F883" s="15"/>
      <c r="G883" s="26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</row>
    <row r="884">
      <c r="A884" s="5" t="s">
        <v>843</v>
      </c>
      <c r="B884" s="6">
        <v>500.0</v>
      </c>
      <c r="C884" s="7" t="s">
        <v>634</v>
      </c>
      <c r="D884" s="15">
        <v>75240.0</v>
      </c>
      <c r="F884" s="15"/>
      <c r="G884" s="26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</row>
    <row r="885">
      <c r="A885" s="5" t="s">
        <v>844</v>
      </c>
      <c r="B885" s="6">
        <v>100.0</v>
      </c>
      <c r="C885" s="7" t="s">
        <v>634</v>
      </c>
      <c r="D885" s="15">
        <v>75230.0</v>
      </c>
      <c r="F885" s="15"/>
      <c r="G885" s="26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</row>
    <row r="886">
      <c r="A886" s="5" t="s">
        <v>845</v>
      </c>
      <c r="B886" s="6">
        <v>250.0</v>
      </c>
      <c r="C886" s="7" t="s">
        <v>634</v>
      </c>
      <c r="D886" s="15">
        <v>75230.0</v>
      </c>
      <c r="F886" s="15"/>
      <c r="G886" s="26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</row>
    <row r="887">
      <c r="A887" s="5" t="s">
        <v>846</v>
      </c>
      <c r="B887" s="6">
        <v>1000.0</v>
      </c>
      <c r="C887" s="7" t="s">
        <v>634</v>
      </c>
      <c r="D887" s="15">
        <v>75220.0</v>
      </c>
      <c r="F887" s="15"/>
      <c r="G887" s="26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</row>
    <row r="888">
      <c r="A888" s="5" t="s">
        <v>847</v>
      </c>
      <c r="B888" s="6">
        <v>1000.0</v>
      </c>
      <c r="C888" s="7" t="s">
        <v>634</v>
      </c>
      <c r="D888" s="15">
        <v>75229.0</v>
      </c>
      <c r="F888" s="15"/>
      <c r="G888" s="26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</row>
    <row r="889">
      <c r="A889" s="5" t="s">
        <v>848</v>
      </c>
      <c r="B889" s="6">
        <v>250.0</v>
      </c>
      <c r="C889" s="7" t="s">
        <v>634</v>
      </c>
      <c r="D889" s="15">
        <v>75254.0</v>
      </c>
      <c r="F889" s="15"/>
      <c r="G889" s="26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</row>
    <row r="890">
      <c r="A890" s="5" t="s">
        <v>849</v>
      </c>
      <c r="B890" s="6">
        <v>180.0</v>
      </c>
      <c r="C890" s="7" t="s">
        <v>634</v>
      </c>
      <c r="D890" s="15">
        <v>75225.0</v>
      </c>
      <c r="F890" s="15"/>
      <c r="G890" s="26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</row>
    <row r="891">
      <c r="A891" s="5" t="s">
        <v>850</v>
      </c>
      <c r="B891" s="6">
        <v>300.0</v>
      </c>
      <c r="C891" s="7" t="s">
        <v>634</v>
      </c>
      <c r="D891" s="15">
        <v>75230.0</v>
      </c>
      <c r="F891" s="15"/>
      <c r="G891" s="26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</row>
    <row r="892">
      <c r="A892" s="5" t="s">
        <v>851</v>
      </c>
      <c r="B892" s="6">
        <v>100.0</v>
      </c>
      <c r="C892" s="7" t="s">
        <v>634</v>
      </c>
      <c r="D892" s="15">
        <v>75220.0</v>
      </c>
      <c r="F892" s="15"/>
      <c r="G892" s="26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</row>
    <row r="893">
      <c r="A893" s="5" t="s">
        <v>852</v>
      </c>
      <c r="B893" s="6">
        <v>100.0</v>
      </c>
      <c r="C893" s="7" t="s">
        <v>634</v>
      </c>
      <c r="D893" s="15">
        <v>75230.0</v>
      </c>
      <c r="F893" s="15"/>
      <c r="G893" s="26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</row>
    <row r="894">
      <c r="A894" s="5"/>
      <c r="B894" s="6"/>
      <c r="C894" s="7"/>
      <c r="D894" s="15"/>
      <c r="F894" s="15"/>
      <c r="G894" s="26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</row>
    <row r="895">
      <c r="A895" s="5" t="s">
        <v>21</v>
      </c>
      <c r="B895" s="6">
        <v>500.0</v>
      </c>
      <c r="C895" s="7" t="s">
        <v>634</v>
      </c>
      <c r="D895" s="15">
        <v>75230.0</v>
      </c>
      <c r="F895" s="15"/>
      <c r="G895" s="26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</row>
    <row r="896">
      <c r="A896" s="5" t="s">
        <v>854</v>
      </c>
      <c r="B896" s="6">
        <v>100.0</v>
      </c>
      <c r="C896" s="7" t="s">
        <v>634</v>
      </c>
      <c r="D896" s="15">
        <v>75218.0</v>
      </c>
      <c r="F896" s="15"/>
      <c r="G896" s="26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</row>
    <row r="897">
      <c r="A897" s="5" t="s">
        <v>855</v>
      </c>
      <c r="B897" s="6">
        <v>25.0</v>
      </c>
      <c r="C897" s="7" t="s">
        <v>634</v>
      </c>
      <c r="D897" s="15">
        <v>75248.0</v>
      </c>
      <c r="F897" s="15"/>
      <c r="G897" s="26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</row>
    <row r="898">
      <c r="A898" s="5" t="s">
        <v>855</v>
      </c>
      <c r="B898" s="6">
        <v>25.0</v>
      </c>
      <c r="C898" s="7" t="s">
        <v>634</v>
      </c>
      <c r="D898" s="15">
        <v>75248.0</v>
      </c>
      <c r="F898" s="15"/>
      <c r="G898" s="26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</row>
    <row r="899">
      <c r="A899" s="5" t="s">
        <v>856</v>
      </c>
      <c r="B899" s="6">
        <v>500.0</v>
      </c>
      <c r="C899" s="7" t="s">
        <v>634</v>
      </c>
      <c r="D899" s="15">
        <v>75254.0</v>
      </c>
      <c r="F899" s="15"/>
      <c r="G899" s="26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</row>
    <row r="900">
      <c r="A900" s="5" t="s">
        <v>857</v>
      </c>
      <c r="B900" s="6">
        <v>250.0</v>
      </c>
      <c r="C900" s="7" t="s">
        <v>634</v>
      </c>
      <c r="D900" s="15">
        <v>75207.0</v>
      </c>
      <c r="F900" s="15"/>
      <c r="G900" s="26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</row>
    <row r="901">
      <c r="A901" s="5" t="s">
        <v>858</v>
      </c>
      <c r="B901" s="6">
        <v>250.0</v>
      </c>
      <c r="C901" s="7" t="s">
        <v>634</v>
      </c>
      <c r="D901" s="15">
        <v>75230.0</v>
      </c>
      <c r="F901" s="15"/>
      <c r="G901" s="26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</row>
    <row r="902">
      <c r="A902" s="5" t="s">
        <v>859</v>
      </c>
      <c r="B902" s="6">
        <v>50.0</v>
      </c>
      <c r="C902" s="7" t="s">
        <v>634</v>
      </c>
      <c r="D902" s="15">
        <v>75254.0</v>
      </c>
      <c r="F902" s="15"/>
      <c r="G902" s="26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</row>
    <row r="903">
      <c r="A903" s="5" t="s">
        <v>860</v>
      </c>
      <c r="B903" s="6">
        <v>1000.0</v>
      </c>
      <c r="C903" s="7" t="s">
        <v>634</v>
      </c>
      <c r="D903" s="15">
        <v>75230.0</v>
      </c>
      <c r="F903" s="15"/>
      <c r="G903" s="26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</row>
    <row r="904">
      <c r="A904" s="5" t="s">
        <v>861</v>
      </c>
      <c r="B904" s="6">
        <v>250.0</v>
      </c>
      <c r="C904" s="7" t="s">
        <v>634</v>
      </c>
      <c r="D904" s="15">
        <v>75248.0</v>
      </c>
      <c r="F904" s="15"/>
      <c r="G904" s="26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</row>
    <row r="905">
      <c r="A905" s="5" t="s">
        <v>862</v>
      </c>
      <c r="B905" s="6">
        <v>100.0</v>
      </c>
      <c r="C905" s="7" t="s">
        <v>634</v>
      </c>
      <c r="D905" s="15">
        <v>75206.0</v>
      </c>
      <c r="F905" s="15"/>
      <c r="G905" s="26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</row>
    <row r="906">
      <c r="A906" s="5" t="s">
        <v>863</v>
      </c>
      <c r="B906" s="6">
        <v>1000.0</v>
      </c>
      <c r="C906" s="7" t="s">
        <v>634</v>
      </c>
      <c r="D906" s="15">
        <v>75225.0</v>
      </c>
      <c r="F906" s="15"/>
      <c r="G906" s="26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</row>
    <row r="907">
      <c r="A907" s="5" t="s">
        <v>864</v>
      </c>
      <c r="B907" s="6">
        <v>50.0</v>
      </c>
      <c r="C907" s="7" t="s">
        <v>634</v>
      </c>
      <c r="D907" s="15">
        <v>75230.0</v>
      </c>
      <c r="F907" s="15"/>
      <c r="G907" s="26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</row>
    <row r="908">
      <c r="A908" s="5" t="s">
        <v>865</v>
      </c>
      <c r="B908" s="6">
        <v>500.0</v>
      </c>
      <c r="C908" s="7" t="s">
        <v>634</v>
      </c>
      <c r="D908" s="15">
        <v>75230.0</v>
      </c>
      <c r="F908" s="15"/>
      <c r="G908" s="26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</row>
    <row r="909">
      <c r="A909" s="5" t="s">
        <v>866</v>
      </c>
      <c r="B909" s="6">
        <v>25.0</v>
      </c>
      <c r="C909" s="7" t="s">
        <v>634</v>
      </c>
      <c r="D909" s="15">
        <v>75230.0</v>
      </c>
      <c r="F909" s="15"/>
      <c r="G909" s="26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</row>
    <row r="910">
      <c r="A910" s="5" t="s">
        <v>867</v>
      </c>
      <c r="B910" s="6">
        <v>50.0</v>
      </c>
      <c r="C910" s="7" t="s">
        <v>634</v>
      </c>
      <c r="D910" s="15">
        <v>75214.0</v>
      </c>
      <c r="F910" s="15"/>
      <c r="G910" s="26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</row>
    <row r="911">
      <c r="A911" s="5" t="s">
        <v>868</v>
      </c>
      <c r="B911" s="6">
        <v>1000.0</v>
      </c>
      <c r="C911" s="7" t="s">
        <v>634</v>
      </c>
      <c r="D911" s="15">
        <v>75380.0</v>
      </c>
      <c r="F911" s="15"/>
      <c r="G911" s="26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</row>
    <row r="912">
      <c r="A912" s="5" t="s">
        <v>869</v>
      </c>
      <c r="B912" s="6">
        <v>250.0</v>
      </c>
      <c r="C912" s="7" t="s">
        <v>634</v>
      </c>
      <c r="D912" s="15">
        <v>75230.0</v>
      </c>
      <c r="F912" s="15"/>
      <c r="G912" s="26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</row>
    <row r="913">
      <c r="A913" s="5" t="s">
        <v>870</v>
      </c>
      <c r="B913" s="6">
        <v>100.0</v>
      </c>
      <c r="C913" s="7" t="s">
        <v>634</v>
      </c>
      <c r="D913" s="15">
        <v>75230.0</v>
      </c>
      <c r="F913" s="15"/>
      <c r="G913" s="26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</row>
    <row r="914">
      <c r="A914" s="5" t="s">
        <v>871</v>
      </c>
      <c r="B914" s="6">
        <v>100.0</v>
      </c>
      <c r="C914" s="7" t="s">
        <v>634</v>
      </c>
      <c r="D914" s="15">
        <v>75230.0</v>
      </c>
      <c r="F914" s="15"/>
      <c r="G914" s="26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</row>
    <row r="915">
      <c r="A915" s="5" t="s">
        <v>872</v>
      </c>
      <c r="B915" s="6">
        <v>50.0</v>
      </c>
      <c r="C915" s="7" t="s">
        <v>634</v>
      </c>
      <c r="D915" s="15">
        <v>75224.0</v>
      </c>
      <c r="F915" s="15"/>
      <c r="G915" s="26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</row>
    <row r="916">
      <c r="A916" s="5" t="s">
        <v>873</v>
      </c>
      <c r="B916" s="6">
        <v>500.0</v>
      </c>
      <c r="C916" s="7" t="s">
        <v>634</v>
      </c>
      <c r="D916" s="15">
        <v>75208.0</v>
      </c>
      <c r="F916" s="15"/>
      <c r="G916" s="26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</row>
    <row r="917">
      <c r="A917" s="5" t="s">
        <v>874</v>
      </c>
      <c r="B917" s="6">
        <v>500.0</v>
      </c>
      <c r="C917" s="7" t="s">
        <v>634</v>
      </c>
      <c r="D917" s="15">
        <v>75208.0</v>
      </c>
      <c r="F917" s="15"/>
      <c r="G917" s="26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</row>
    <row r="918">
      <c r="A918" s="5" t="s">
        <v>875</v>
      </c>
      <c r="B918" s="6">
        <v>500.0</v>
      </c>
      <c r="C918" s="7" t="s">
        <v>634</v>
      </c>
      <c r="D918" s="15">
        <v>75230.0</v>
      </c>
      <c r="F918" s="15"/>
      <c r="G918" s="26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</row>
    <row r="919">
      <c r="A919" s="5" t="s">
        <v>413</v>
      </c>
      <c r="B919" s="6">
        <v>250.0</v>
      </c>
      <c r="C919" s="7" t="s">
        <v>634</v>
      </c>
      <c r="D919" s="15">
        <v>75230.0</v>
      </c>
      <c r="F919" s="15"/>
      <c r="G919" s="26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</row>
    <row r="920">
      <c r="A920" s="5" t="s">
        <v>876</v>
      </c>
      <c r="B920" s="6">
        <v>50.0</v>
      </c>
      <c r="C920" s="7" t="s">
        <v>634</v>
      </c>
      <c r="D920" s="15">
        <v>75254.0</v>
      </c>
      <c r="F920" s="15"/>
      <c r="G920" s="26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</row>
    <row r="921">
      <c r="A921" s="5" t="s">
        <v>877</v>
      </c>
      <c r="B921" s="6">
        <v>1000.0</v>
      </c>
      <c r="C921" s="7" t="s">
        <v>634</v>
      </c>
      <c r="D921" s="15">
        <v>75230.0</v>
      </c>
      <c r="F921" s="15"/>
      <c r="G921" s="26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</row>
    <row r="922">
      <c r="A922" s="5" t="s">
        <v>878</v>
      </c>
      <c r="B922" s="6">
        <v>50.0</v>
      </c>
      <c r="C922" s="7" t="s">
        <v>634</v>
      </c>
      <c r="D922" s="15">
        <v>75230.0</v>
      </c>
      <c r="F922" s="15"/>
      <c r="G922" s="26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</row>
    <row r="923">
      <c r="A923" s="5" t="s">
        <v>878</v>
      </c>
      <c r="B923" s="6">
        <v>100.0</v>
      </c>
      <c r="C923" s="7" t="s">
        <v>634</v>
      </c>
      <c r="D923" s="15">
        <v>75230.0</v>
      </c>
      <c r="F923" s="15"/>
      <c r="G923" s="26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</row>
    <row r="924">
      <c r="A924" s="5" t="s">
        <v>879</v>
      </c>
      <c r="B924" s="6">
        <v>100.0</v>
      </c>
      <c r="C924" s="7" t="s">
        <v>634</v>
      </c>
      <c r="D924" s="15">
        <v>75230.0</v>
      </c>
      <c r="F924" s="15"/>
      <c r="G924" s="26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</row>
    <row r="925">
      <c r="A925" s="5" t="s">
        <v>880</v>
      </c>
      <c r="B925" s="6">
        <v>500.0</v>
      </c>
      <c r="C925" s="7" t="s">
        <v>634</v>
      </c>
      <c r="D925" s="15">
        <v>75220.0</v>
      </c>
      <c r="F925" s="15"/>
      <c r="G925" s="26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</row>
    <row r="926">
      <c r="A926" s="5" t="s">
        <v>881</v>
      </c>
      <c r="B926" s="6">
        <v>500.0</v>
      </c>
      <c r="C926" s="7" t="s">
        <v>634</v>
      </c>
      <c r="D926" s="15">
        <v>75230.0</v>
      </c>
      <c r="F926" s="15"/>
      <c r="G926" s="26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</row>
    <row r="927">
      <c r="A927" s="5" t="s">
        <v>882</v>
      </c>
      <c r="B927" s="6">
        <v>250.0</v>
      </c>
      <c r="C927" s="7" t="s">
        <v>634</v>
      </c>
      <c r="D927" s="15">
        <v>75225.0</v>
      </c>
      <c r="F927" s="15"/>
      <c r="G927" s="26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</row>
    <row r="928">
      <c r="A928" s="5" t="s">
        <v>883</v>
      </c>
      <c r="B928" s="6">
        <v>250.0</v>
      </c>
      <c r="C928" s="7" t="s">
        <v>634</v>
      </c>
      <c r="D928" s="15">
        <v>75367.0</v>
      </c>
      <c r="F928" s="15"/>
      <c r="G928" s="26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</row>
    <row r="929">
      <c r="A929" s="5" t="s">
        <v>884</v>
      </c>
      <c r="B929" s="6">
        <v>500.0</v>
      </c>
      <c r="C929" s="7" t="s">
        <v>634</v>
      </c>
      <c r="D929" s="15">
        <v>75230.0</v>
      </c>
      <c r="F929" s="15"/>
      <c r="G929" s="26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</row>
    <row r="930">
      <c r="A930" s="5" t="s">
        <v>885</v>
      </c>
      <c r="B930" s="6">
        <v>10.0</v>
      </c>
      <c r="C930" s="7" t="s">
        <v>634</v>
      </c>
      <c r="D930" s="15">
        <v>75230.0</v>
      </c>
      <c r="F930" s="15"/>
      <c r="G930" s="26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</row>
    <row r="931">
      <c r="A931" s="5" t="s">
        <v>886</v>
      </c>
      <c r="B931" s="6">
        <v>1000.0</v>
      </c>
      <c r="C931" s="7" t="s">
        <v>634</v>
      </c>
      <c r="D931" s="15">
        <v>75230.0</v>
      </c>
      <c r="F931" s="15"/>
      <c r="G931" s="26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</row>
    <row r="932">
      <c r="A932" s="5" t="s">
        <v>887</v>
      </c>
      <c r="B932" s="6">
        <v>250.0</v>
      </c>
      <c r="C932" s="7" t="s">
        <v>634</v>
      </c>
      <c r="D932" s="15">
        <v>75230.0</v>
      </c>
      <c r="F932" s="15"/>
      <c r="G932" s="26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</row>
    <row r="933">
      <c r="A933" s="5" t="s">
        <v>888</v>
      </c>
      <c r="B933" s="6">
        <v>200.0</v>
      </c>
      <c r="C933" s="7" t="s">
        <v>634</v>
      </c>
      <c r="D933" s="15">
        <v>75240.0</v>
      </c>
      <c r="F933" s="15"/>
      <c r="G933" s="26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</row>
    <row r="934">
      <c r="A934" s="5" t="s">
        <v>889</v>
      </c>
      <c r="B934" s="6">
        <v>500.0</v>
      </c>
      <c r="C934" s="7" t="s">
        <v>634</v>
      </c>
      <c r="D934" s="15">
        <v>75248.0</v>
      </c>
      <c r="F934" s="15"/>
      <c r="G934" s="26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</row>
    <row r="935">
      <c r="A935" s="5" t="s">
        <v>890</v>
      </c>
      <c r="B935" s="6">
        <v>500.0</v>
      </c>
      <c r="C935" s="7" t="s">
        <v>634</v>
      </c>
      <c r="D935" s="15">
        <v>75229.0</v>
      </c>
      <c r="F935" s="15"/>
      <c r="G935" s="26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</row>
    <row r="936">
      <c r="A936" s="5" t="s">
        <v>891</v>
      </c>
      <c r="B936" s="6">
        <v>100.0</v>
      </c>
      <c r="C936" s="7" t="s">
        <v>634</v>
      </c>
      <c r="D936" s="15">
        <v>75230.0</v>
      </c>
      <c r="F936" s="15"/>
      <c r="G936" s="26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</row>
    <row r="937">
      <c r="A937" s="5" t="s">
        <v>892</v>
      </c>
      <c r="B937" s="6">
        <v>100.0</v>
      </c>
      <c r="C937" s="7" t="s">
        <v>634</v>
      </c>
      <c r="D937" s="15">
        <v>75248.0</v>
      </c>
      <c r="F937" s="15"/>
      <c r="G937" s="26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</row>
    <row r="938">
      <c r="A938" s="5"/>
      <c r="B938" s="6"/>
      <c r="C938" s="7"/>
      <c r="D938" s="15"/>
      <c r="F938" s="15"/>
      <c r="G938" s="26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</row>
    <row r="939">
      <c r="A939" s="5" t="s">
        <v>894</v>
      </c>
      <c r="B939" s="6">
        <v>1000.0</v>
      </c>
      <c r="C939" s="7" t="s">
        <v>634</v>
      </c>
      <c r="D939" s="15">
        <v>75230.0</v>
      </c>
      <c r="F939" s="15"/>
      <c r="G939" s="26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</row>
    <row r="940">
      <c r="A940" s="5" t="s">
        <v>895</v>
      </c>
      <c r="B940" s="6">
        <v>100.0</v>
      </c>
      <c r="C940" s="7" t="s">
        <v>634</v>
      </c>
      <c r="D940" s="15">
        <v>75248.0</v>
      </c>
      <c r="F940" s="15"/>
      <c r="G940" s="26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</row>
    <row r="941">
      <c r="A941" s="5" t="s">
        <v>896</v>
      </c>
      <c r="B941" s="6">
        <v>500.0</v>
      </c>
      <c r="C941" s="7" t="s">
        <v>634</v>
      </c>
      <c r="D941" s="15">
        <v>75240.0</v>
      </c>
      <c r="F941" s="15"/>
      <c r="G941" s="26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</row>
    <row r="942">
      <c r="A942" s="5"/>
      <c r="B942" s="6"/>
      <c r="C942" s="7"/>
      <c r="D942" s="15"/>
      <c r="F942" s="15"/>
      <c r="G942" s="26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</row>
    <row r="943">
      <c r="A943" s="5" t="s">
        <v>898</v>
      </c>
      <c r="B943" s="6">
        <v>100.0</v>
      </c>
      <c r="C943" s="7" t="s">
        <v>634</v>
      </c>
      <c r="D943" s="15">
        <v>75230.0</v>
      </c>
      <c r="F943" s="15"/>
      <c r="G943" s="26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</row>
    <row r="944">
      <c r="A944" s="5" t="s">
        <v>899</v>
      </c>
      <c r="B944" s="6">
        <v>118.0</v>
      </c>
      <c r="C944" s="7" t="s">
        <v>634</v>
      </c>
      <c r="D944" s="15">
        <v>75230.0</v>
      </c>
      <c r="F944" s="15"/>
      <c r="G944" s="26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</row>
    <row r="945">
      <c r="A945" s="5" t="s">
        <v>900</v>
      </c>
      <c r="B945" s="6">
        <v>50.0</v>
      </c>
      <c r="C945" s="7" t="s">
        <v>634</v>
      </c>
      <c r="D945" s="15">
        <v>75230.0</v>
      </c>
      <c r="F945" s="15"/>
      <c r="G945" s="26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</row>
    <row r="946">
      <c r="A946" s="5" t="s">
        <v>901</v>
      </c>
      <c r="B946" s="6">
        <v>500.0</v>
      </c>
      <c r="C946" s="7" t="s">
        <v>634</v>
      </c>
      <c r="D946" s="15">
        <v>75205.0</v>
      </c>
      <c r="F946" s="15"/>
      <c r="G946" s="26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</row>
    <row r="947">
      <c r="A947" s="5"/>
      <c r="B947" s="6"/>
      <c r="C947" s="7"/>
      <c r="D947" s="15"/>
      <c r="F947" s="15"/>
      <c r="G947" s="26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</row>
    <row r="948">
      <c r="A948" s="5" t="s">
        <v>903</v>
      </c>
      <c r="B948" s="6">
        <v>50.0</v>
      </c>
      <c r="C948" s="7" t="s">
        <v>634</v>
      </c>
      <c r="D948" s="15">
        <v>75248.0</v>
      </c>
      <c r="F948" s="15"/>
      <c r="G948" s="26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</row>
    <row r="949">
      <c r="A949" s="5" t="s">
        <v>904</v>
      </c>
      <c r="B949" s="6">
        <v>100.0</v>
      </c>
      <c r="C949" s="7" t="s">
        <v>634</v>
      </c>
      <c r="D949" s="15">
        <v>75230.0</v>
      </c>
      <c r="F949" s="15"/>
      <c r="G949" s="26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</row>
    <row r="950">
      <c r="A950" s="5" t="s">
        <v>905</v>
      </c>
      <c r="B950" s="6">
        <v>100.0</v>
      </c>
      <c r="C950" s="7" t="s">
        <v>634</v>
      </c>
      <c r="D950" s="15">
        <v>75230.0</v>
      </c>
      <c r="F950" s="15"/>
      <c r="G950" s="26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</row>
    <row r="951">
      <c r="A951" s="5" t="s">
        <v>906</v>
      </c>
      <c r="B951" s="6">
        <v>250.0</v>
      </c>
      <c r="C951" s="7" t="s">
        <v>634</v>
      </c>
      <c r="D951" s="15">
        <v>75230.0</v>
      </c>
      <c r="F951" s="15"/>
      <c r="G951" s="26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</row>
    <row r="952">
      <c r="A952" s="5" t="s">
        <v>907</v>
      </c>
      <c r="B952" s="6">
        <v>50.0</v>
      </c>
      <c r="C952" s="7" t="s">
        <v>634</v>
      </c>
      <c r="D952" s="15">
        <v>75248.0</v>
      </c>
      <c r="F952" s="15"/>
      <c r="G952" s="26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</row>
    <row r="953">
      <c r="A953" s="5" t="s">
        <v>908</v>
      </c>
      <c r="B953" s="6">
        <v>100.0</v>
      </c>
      <c r="C953" s="7" t="s">
        <v>634</v>
      </c>
      <c r="D953" s="15">
        <v>75230.0</v>
      </c>
      <c r="F953" s="15"/>
      <c r="G953" s="26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</row>
    <row r="954">
      <c r="A954" s="5" t="s">
        <v>909</v>
      </c>
      <c r="B954" s="6">
        <v>100.0</v>
      </c>
      <c r="C954" s="7" t="s">
        <v>634</v>
      </c>
      <c r="D954" s="15">
        <v>75230.0</v>
      </c>
      <c r="F954" s="15"/>
      <c r="G954" s="26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</row>
    <row r="955">
      <c r="A955" s="5" t="s">
        <v>910</v>
      </c>
      <c r="B955" s="6">
        <v>250.0</v>
      </c>
      <c r="C955" s="7" t="s">
        <v>634</v>
      </c>
      <c r="D955" s="15">
        <v>75231.0</v>
      </c>
      <c r="F955" s="15"/>
      <c r="G955" s="26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</row>
    <row r="956">
      <c r="A956" s="5" t="s">
        <v>911</v>
      </c>
      <c r="B956" s="6">
        <v>500.0</v>
      </c>
      <c r="C956" s="7" t="s">
        <v>634</v>
      </c>
      <c r="D956" s="15">
        <v>75230.0</v>
      </c>
      <c r="F956" s="15"/>
      <c r="G956" s="26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</row>
    <row r="957">
      <c r="A957" s="5" t="s">
        <v>912</v>
      </c>
      <c r="B957" s="6">
        <v>150.0</v>
      </c>
      <c r="C957" s="7" t="s">
        <v>634</v>
      </c>
      <c r="D957" s="15">
        <v>75367.0</v>
      </c>
      <c r="F957" s="15"/>
      <c r="G957" s="26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</row>
    <row r="958">
      <c r="A958" s="5" t="s">
        <v>913</v>
      </c>
      <c r="B958" s="6">
        <v>500.0</v>
      </c>
      <c r="C958" s="7" t="s">
        <v>629</v>
      </c>
      <c r="D958" s="15">
        <v>75039.0</v>
      </c>
      <c r="F958" s="15"/>
      <c r="G958" s="26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</row>
    <row r="959">
      <c r="A959" s="10" t="s">
        <v>914</v>
      </c>
      <c r="B959" s="11">
        <v>500.0</v>
      </c>
      <c r="C959" s="12" t="s">
        <v>629</v>
      </c>
      <c r="D959" s="15">
        <v>75006.0</v>
      </c>
      <c r="F959" s="15"/>
      <c r="G959" s="26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</row>
    <row r="960">
      <c r="A960" s="5" t="s">
        <v>915</v>
      </c>
      <c r="B960" s="6">
        <v>500.0</v>
      </c>
      <c r="C960" s="7" t="s">
        <v>629</v>
      </c>
      <c r="D960" s="15">
        <v>75056.0</v>
      </c>
      <c r="F960" s="15"/>
      <c r="G960" s="26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</row>
    <row r="961">
      <c r="A961" s="10" t="s">
        <v>916</v>
      </c>
      <c r="B961" s="11">
        <v>1000.0</v>
      </c>
      <c r="C961" s="12" t="s">
        <v>629</v>
      </c>
      <c r="D961" s="15">
        <v>75007.0</v>
      </c>
      <c r="F961" s="15"/>
      <c r="G961" s="26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</row>
    <row r="962">
      <c r="A962" s="5" t="s">
        <v>917</v>
      </c>
      <c r="B962" s="6">
        <v>1000.0</v>
      </c>
      <c r="C962" s="7" t="s">
        <v>629</v>
      </c>
      <c r="D962" s="15">
        <v>75034.0</v>
      </c>
      <c r="F962" s="15"/>
      <c r="G962" s="26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</row>
    <row r="963">
      <c r="A963" s="10" t="s">
        <v>918</v>
      </c>
      <c r="B963" s="11">
        <v>300.0</v>
      </c>
      <c r="C963" s="12" t="s">
        <v>629</v>
      </c>
      <c r="D963" s="15">
        <v>75088.0</v>
      </c>
      <c r="F963" s="15"/>
      <c r="G963" s="26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</row>
    <row r="964">
      <c r="A964" s="5" t="s">
        <v>919</v>
      </c>
      <c r="B964" s="6">
        <v>2000.0</v>
      </c>
      <c r="C964" s="7" t="s">
        <v>629</v>
      </c>
      <c r="D964" s="15">
        <v>75240.0</v>
      </c>
      <c r="F964" s="15"/>
      <c r="G964" s="26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</row>
    <row r="965">
      <c r="A965" s="10" t="s">
        <v>920</v>
      </c>
      <c r="B965" s="11">
        <v>200.0</v>
      </c>
      <c r="C965" s="12" t="s">
        <v>629</v>
      </c>
      <c r="D965" s="15">
        <v>75207.0</v>
      </c>
      <c r="F965" s="15"/>
      <c r="G965" s="26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</row>
    <row r="966">
      <c r="A966" s="5" t="s">
        <v>921</v>
      </c>
      <c r="B966" s="6">
        <v>1000.0</v>
      </c>
      <c r="C966" s="7" t="s">
        <v>629</v>
      </c>
      <c r="D966" s="15">
        <v>75235.0</v>
      </c>
      <c r="F966" s="15"/>
      <c r="G966" s="26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</row>
    <row r="967">
      <c r="A967" s="10" t="s">
        <v>922</v>
      </c>
      <c r="B967" s="11">
        <v>100.0</v>
      </c>
      <c r="C967" s="12" t="s">
        <v>629</v>
      </c>
      <c r="D967" s="15">
        <v>75219.0</v>
      </c>
      <c r="F967" s="15"/>
      <c r="G967" s="26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</row>
    <row r="968">
      <c r="A968" s="5" t="s">
        <v>923</v>
      </c>
      <c r="B968" s="6">
        <v>100.0</v>
      </c>
      <c r="C968" s="7" t="s">
        <v>629</v>
      </c>
      <c r="D968" s="15">
        <v>75208.0</v>
      </c>
      <c r="F968" s="15"/>
      <c r="G968" s="26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</row>
    <row r="969">
      <c r="A969" s="10" t="s">
        <v>924</v>
      </c>
      <c r="B969" s="11">
        <v>1000.0</v>
      </c>
      <c r="C969" s="12" t="s">
        <v>629</v>
      </c>
      <c r="D969" s="15">
        <v>75080.0</v>
      </c>
      <c r="F969" s="15"/>
      <c r="G969" s="26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</row>
    <row r="970">
      <c r="A970" s="5" t="s">
        <v>925</v>
      </c>
      <c r="B970" s="6">
        <v>500.0</v>
      </c>
      <c r="C970" s="7" t="s">
        <v>629</v>
      </c>
      <c r="D970" s="15">
        <v>75224.0</v>
      </c>
      <c r="F970" s="15"/>
      <c r="G970" s="26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</row>
    <row r="971">
      <c r="A971" s="10" t="s">
        <v>926</v>
      </c>
      <c r="B971" s="11">
        <v>1000.0</v>
      </c>
      <c r="C971" s="12" t="s">
        <v>629</v>
      </c>
      <c r="D971" s="15">
        <v>75212.0</v>
      </c>
      <c r="F971" s="15"/>
      <c r="G971" s="26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</row>
    <row r="972">
      <c r="A972" s="5" t="s">
        <v>927</v>
      </c>
      <c r="B972" s="6">
        <v>1000.0</v>
      </c>
      <c r="C972" s="7" t="s">
        <v>629</v>
      </c>
      <c r="D972" s="15">
        <v>75212.0</v>
      </c>
      <c r="F972" s="15"/>
      <c r="G972" s="26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</row>
    <row r="973">
      <c r="A973" s="10"/>
      <c r="B973" s="11"/>
      <c r="C973" s="12"/>
      <c r="D973" s="15"/>
      <c r="F973" s="15"/>
      <c r="G973" s="26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</row>
    <row r="974">
      <c r="A974" s="5" t="s">
        <v>929</v>
      </c>
      <c r="B974" s="6">
        <v>2000.0</v>
      </c>
      <c r="C974" s="7" t="s">
        <v>629</v>
      </c>
      <c r="D974" s="15">
        <v>75208.0</v>
      </c>
      <c r="F974" s="15"/>
      <c r="G974" s="26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</row>
    <row r="975">
      <c r="A975" s="10" t="s">
        <v>930</v>
      </c>
      <c r="B975" s="11">
        <v>100.0</v>
      </c>
      <c r="C975" s="12" t="s">
        <v>931</v>
      </c>
      <c r="D975" s="15">
        <v>75205.0</v>
      </c>
      <c r="F975" s="15"/>
      <c r="G975" s="26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</row>
    <row r="976">
      <c r="A976" s="10" t="s">
        <v>932</v>
      </c>
      <c r="B976" s="11">
        <v>1000.0</v>
      </c>
      <c r="C976" s="12" t="s">
        <v>629</v>
      </c>
      <c r="D976" s="15">
        <v>75201.0</v>
      </c>
      <c r="F976" s="15"/>
      <c r="G976" s="26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</row>
    <row r="977">
      <c r="A977" s="5" t="s">
        <v>933</v>
      </c>
      <c r="B977" s="6">
        <v>1000.0</v>
      </c>
      <c r="C977" s="7" t="s">
        <v>629</v>
      </c>
      <c r="D977" s="15">
        <v>75217.0</v>
      </c>
      <c r="F977" s="15"/>
      <c r="G977" s="26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</row>
    <row r="978">
      <c r="A978" s="10" t="s">
        <v>934</v>
      </c>
      <c r="B978" s="11">
        <v>1000.0</v>
      </c>
      <c r="C978" s="12" t="s">
        <v>629</v>
      </c>
      <c r="D978" s="15">
        <v>75217.0</v>
      </c>
      <c r="F978" s="15"/>
      <c r="G978" s="26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</row>
    <row r="979">
      <c r="A979" s="5" t="s">
        <v>935</v>
      </c>
      <c r="B979" s="6">
        <v>100.0</v>
      </c>
      <c r="C979" s="7" t="s">
        <v>931</v>
      </c>
      <c r="D979" s="15">
        <v>75234.0</v>
      </c>
      <c r="F979" s="15"/>
      <c r="G979" s="26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</row>
    <row r="980">
      <c r="A980" s="5" t="s">
        <v>936</v>
      </c>
      <c r="B980" s="6">
        <v>500.0</v>
      </c>
      <c r="C980" s="7" t="s">
        <v>629</v>
      </c>
      <c r="D980" s="15">
        <v>75219.0</v>
      </c>
      <c r="F980" s="15"/>
      <c r="G980" s="26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</row>
    <row r="981">
      <c r="A981" s="10" t="s">
        <v>937</v>
      </c>
      <c r="B981" s="11">
        <v>500.0</v>
      </c>
      <c r="C981" s="12" t="s">
        <v>629</v>
      </c>
      <c r="D981" s="15">
        <v>75206.0</v>
      </c>
      <c r="F981" s="15"/>
      <c r="G981" s="26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</row>
    <row r="982">
      <c r="A982" s="5" t="s">
        <v>938</v>
      </c>
      <c r="B982" s="6">
        <v>500.0</v>
      </c>
      <c r="C982" s="7" t="s">
        <v>629</v>
      </c>
      <c r="D982" s="15">
        <v>75219.0</v>
      </c>
      <c r="F982" s="15"/>
      <c r="G982" s="26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</row>
    <row r="983">
      <c r="A983" s="10" t="s">
        <v>939</v>
      </c>
      <c r="B983" s="11">
        <v>1000.0</v>
      </c>
      <c r="C983" s="12" t="s">
        <v>931</v>
      </c>
      <c r="D983" s="15">
        <v>75075.0</v>
      </c>
      <c r="F983" s="15"/>
      <c r="G983" s="26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</row>
    <row r="984">
      <c r="A984" s="10" t="s">
        <v>940</v>
      </c>
      <c r="B984" s="11">
        <v>300.0</v>
      </c>
      <c r="C984" s="12" t="s">
        <v>629</v>
      </c>
      <c r="D984" s="15">
        <v>75212.0</v>
      </c>
      <c r="F984" s="15"/>
      <c r="G984" s="26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</row>
    <row r="985">
      <c r="A985" s="5" t="s">
        <v>941</v>
      </c>
      <c r="B985" s="6">
        <v>500.0</v>
      </c>
      <c r="C985" s="7" t="s">
        <v>629</v>
      </c>
      <c r="D985" s="15">
        <v>78232.0</v>
      </c>
      <c r="F985" s="15"/>
      <c r="G985" s="26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</row>
    <row r="986">
      <c r="A986" s="10" t="s">
        <v>942</v>
      </c>
      <c r="B986" s="11">
        <v>500.0</v>
      </c>
      <c r="C986" s="12" t="s">
        <v>629</v>
      </c>
      <c r="D986" s="15">
        <v>75217.0</v>
      </c>
      <c r="F986" s="15"/>
      <c r="G986" s="26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</row>
    <row r="987">
      <c r="A987" s="5" t="s">
        <v>943</v>
      </c>
      <c r="B987" s="6">
        <v>100.0</v>
      </c>
      <c r="C987" s="7" t="s">
        <v>629</v>
      </c>
      <c r="D987" s="15">
        <v>75212.0</v>
      </c>
      <c r="F987" s="15"/>
      <c r="G987" s="26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</row>
    <row r="988">
      <c r="A988" s="10" t="s">
        <v>944</v>
      </c>
      <c r="B988" s="11">
        <v>100.0</v>
      </c>
      <c r="C988" s="12" t="s">
        <v>629</v>
      </c>
      <c r="D988" s="15">
        <v>75212.0</v>
      </c>
      <c r="F988" s="15"/>
      <c r="G988" s="26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</row>
    <row r="989">
      <c r="A989" s="5" t="s">
        <v>945</v>
      </c>
      <c r="B989" s="6">
        <v>100.0</v>
      </c>
      <c r="C989" s="7" t="s">
        <v>629</v>
      </c>
      <c r="D989" s="15">
        <v>75116.0</v>
      </c>
      <c r="F989" s="15"/>
      <c r="G989" s="26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</row>
    <row r="990">
      <c r="A990" s="10" t="s">
        <v>946</v>
      </c>
      <c r="B990" s="11">
        <v>100.0</v>
      </c>
      <c r="C990" s="12" t="s">
        <v>931</v>
      </c>
      <c r="D990" s="15">
        <v>75234.0</v>
      </c>
      <c r="F990" s="15"/>
      <c r="G990" s="26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</row>
    <row r="991">
      <c r="A991" s="10" t="s">
        <v>947</v>
      </c>
      <c r="B991" s="11">
        <v>1000.0</v>
      </c>
      <c r="C991" s="12" t="s">
        <v>931</v>
      </c>
      <c r="D991" s="15">
        <v>75152.0</v>
      </c>
      <c r="F991" s="15"/>
      <c r="G991" s="26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</row>
    <row r="992">
      <c r="A992" s="10" t="s">
        <v>948</v>
      </c>
      <c r="B992" s="11">
        <v>1000.0</v>
      </c>
      <c r="C992" s="12" t="s">
        <v>931</v>
      </c>
      <c r="D992" s="15">
        <v>75152.0</v>
      </c>
      <c r="F992" s="15"/>
      <c r="G992" s="26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</row>
    <row r="993">
      <c r="A993" s="10" t="s">
        <v>949</v>
      </c>
      <c r="B993" s="11">
        <v>200.0</v>
      </c>
      <c r="C993" s="12" t="s">
        <v>931</v>
      </c>
      <c r="D993" s="15">
        <v>75231.0</v>
      </c>
      <c r="F993" s="15"/>
      <c r="G993" s="26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</row>
    <row r="994">
      <c r="A994" s="10" t="s">
        <v>950</v>
      </c>
      <c r="B994" s="11">
        <v>1000.0</v>
      </c>
      <c r="C994" s="12" t="s">
        <v>931</v>
      </c>
      <c r="D994" s="15">
        <v>75229.0</v>
      </c>
      <c r="F994" s="15"/>
      <c r="G994" s="26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</row>
    <row r="995">
      <c r="A995" s="10" t="s">
        <v>951</v>
      </c>
      <c r="B995" s="11">
        <v>500.0</v>
      </c>
      <c r="C995" s="12" t="s">
        <v>931</v>
      </c>
      <c r="D995" s="15">
        <v>75244.0</v>
      </c>
      <c r="F995" s="15"/>
      <c r="G995" s="26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</row>
    <row r="996">
      <c r="A996" s="10" t="s">
        <v>952</v>
      </c>
      <c r="B996" s="11">
        <v>500.0</v>
      </c>
      <c r="C996" s="12" t="s">
        <v>931</v>
      </c>
      <c r="D996" s="15">
        <v>75206.0</v>
      </c>
      <c r="F996" s="15"/>
      <c r="G996" s="26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</row>
    <row r="997">
      <c r="A997" s="10" t="s">
        <v>953</v>
      </c>
      <c r="B997" s="11">
        <v>300.0</v>
      </c>
      <c r="C997" s="12" t="s">
        <v>629</v>
      </c>
      <c r="D997" s="15">
        <v>78504.0</v>
      </c>
      <c r="F997" s="15"/>
      <c r="G997" s="26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</row>
    <row r="998">
      <c r="A998" s="5" t="s">
        <v>954</v>
      </c>
      <c r="B998" s="6">
        <v>1000.0</v>
      </c>
      <c r="C998" s="7" t="s">
        <v>955</v>
      </c>
      <c r="D998" s="15">
        <v>75238.0</v>
      </c>
      <c r="F998" s="15"/>
      <c r="G998" s="26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</row>
    <row r="999">
      <c r="A999" s="10" t="s">
        <v>954</v>
      </c>
      <c r="B999" s="11">
        <v>1000.0</v>
      </c>
      <c r="C999" s="12" t="s">
        <v>955</v>
      </c>
      <c r="D999" s="15">
        <v>75238.0</v>
      </c>
      <c r="F999" s="15"/>
      <c r="G999" s="26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</row>
    <row r="1000">
      <c r="A1000" s="5" t="s">
        <v>956</v>
      </c>
      <c r="B1000" s="6">
        <v>30.0</v>
      </c>
      <c r="C1000" s="7" t="s">
        <v>955</v>
      </c>
      <c r="D1000" s="15">
        <v>75238.0</v>
      </c>
      <c r="F1000" s="15"/>
      <c r="G1000" s="26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</row>
    <row r="1001">
      <c r="A1001" s="10" t="s">
        <v>956</v>
      </c>
      <c r="B1001" s="11">
        <v>30.0</v>
      </c>
      <c r="C1001" s="12" t="s">
        <v>955</v>
      </c>
      <c r="D1001" s="15">
        <v>75238.0</v>
      </c>
      <c r="F1001" s="15"/>
      <c r="G1001" s="26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</row>
    <row r="1002">
      <c r="A1002" s="5" t="s">
        <v>957</v>
      </c>
      <c r="B1002" s="6">
        <v>100.0</v>
      </c>
      <c r="C1002" s="7" t="s">
        <v>955</v>
      </c>
      <c r="D1002" s="15">
        <v>75238.0</v>
      </c>
      <c r="F1002" s="15"/>
      <c r="G1002" s="26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</row>
    <row r="1003">
      <c r="A1003" s="10" t="s">
        <v>957</v>
      </c>
      <c r="B1003" s="11">
        <v>100.0</v>
      </c>
      <c r="C1003" s="12" t="s">
        <v>955</v>
      </c>
      <c r="D1003" s="15">
        <v>75238.0</v>
      </c>
      <c r="F1003" s="15"/>
      <c r="G1003" s="26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</row>
    <row r="1004">
      <c r="A1004" s="5" t="s">
        <v>958</v>
      </c>
      <c r="B1004" s="6">
        <v>250.0</v>
      </c>
      <c r="C1004" s="7" t="s">
        <v>955</v>
      </c>
      <c r="D1004" s="15">
        <v>75238.0</v>
      </c>
      <c r="F1004" s="15"/>
      <c r="G1004" s="26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</row>
    <row r="1005">
      <c r="A1005" s="10" t="s">
        <v>958</v>
      </c>
      <c r="B1005" s="11">
        <v>250.0</v>
      </c>
      <c r="C1005" s="12" t="s">
        <v>955</v>
      </c>
      <c r="D1005" s="15">
        <v>75238.0</v>
      </c>
      <c r="F1005" s="15"/>
      <c r="G1005" s="26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</row>
    <row r="1006">
      <c r="A1006" s="5" t="s">
        <v>959</v>
      </c>
      <c r="B1006" s="6">
        <v>1000.0</v>
      </c>
      <c r="C1006" s="7" t="s">
        <v>955</v>
      </c>
      <c r="D1006" s="15">
        <v>76010.0</v>
      </c>
      <c r="F1006" s="15"/>
      <c r="G1006" s="26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</row>
    <row r="1007">
      <c r="A1007" s="10" t="s">
        <v>959</v>
      </c>
      <c r="B1007" s="11">
        <v>1000.0</v>
      </c>
      <c r="C1007" s="12" t="s">
        <v>955</v>
      </c>
      <c r="D1007" s="15">
        <v>76010.0</v>
      </c>
      <c r="F1007" s="15"/>
      <c r="G1007" s="26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</row>
    <row r="1008">
      <c r="A1008" s="5" t="s">
        <v>960</v>
      </c>
      <c r="B1008" s="6">
        <v>1000.0</v>
      </c>
      <c r="C1008" s="7" t="s">
        <v>955</v>
      </c>
      <c r="D1008" s="15">
        <v>76010.0</v>
      </c>
      <c r="F1008" s="15"/>
      <c r="G1008" s="26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</row>
    <row r="1009">
      <c r="A1009" s="10" t="s">
        <v>960</v>
      </c>
      <c r="B1009" s="11">
        <v>1000.0</v>
      </c>
      <c r="C1009" s="12" t="s">
        <v>955</v>
      </c>
      <c r="D1009" s="15">
        <v>76010.0</v>
      </c>
      <c r="F1009" s="15"/>
      <c r="G1009" s="26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</row>
    <row r="1010">
      <c r="A1010" s="5" t="s">
        <v>961</v>
      </c>
      <c r="B1010" s="6">
        <v>500.0</v>
      </c>
      <c r="C1010" s="7" t="s">
        <v>955</v>
      </c>
      <c r="D1010" s="15">
        <v>75225.0</v>
      </c>
      <c r="F1010" s="15"/>
      <c r="G1010" s="26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</row>
    <row r="1011">
      <c r="A1011" s="10" t="s">
        <v>961</v>
      </c>
      <c r="B1011" s="11">
        <v>500.0</v>
      </c>
      <c r="C1011" s="12" t="s">
        <v>955</v>
      </c>
      <c r="D1011" s="15">
        <v>75225.0</v>
      </c>
      <c r="F1011" s="15"/>
      <c r="G1011" s="26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</row>
    <row r="1012">
      <c r="A1012" s="5" t="s">
        <v>962</v>
      </c>
      <c r="B1012" s="6">
        <v>500.0</v>
      </c>
      <c r="C1012" s="7" t="s">
        <v>955</v>
      </c>
      <c r="D1012" s="15">
        <v>75244.0</v>
      </c>
      <c r="F1012" s="15"/>
      <c r="G1012" s="26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</row>
    <row r="1013">
      <c r="A1013" s="10" t="s">
        <v>962</v>
      </c>
      <c r="B1013" s="11">
        <v>500.0</v>
      </c>
      <c r="C1013" s="12" t="s">
        <v>955</v>
      </c>
      <c r="D1013" s="15">
        <v>75244.0</v>
      </c>
      <c r="F1013" s="15"/>
      <c r="G1013" s="26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</row>
    <row r="1014">
      <c r="A1014" s="5" t="s">
        <v>963</v>
      </c>
      <c r="B1014" s="6">
        <v>1000.0</v>
      </c>
      <c r="C1014" s="7" t="s">
        <v>955</v>
      </c>
      <c r="D1014" s="15">
        <v>75024.0</v>
      </c>
      <c r="F1014" s="15"/>
      <c r="G1014" s="26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</row>
    <row r="1015">
      <c r="A1015" s="10" t="s">
        <v>963</v>
      </c>
      <c r="B1015" s="11">
        <v>1000.0</v>
      </c>
      <c r="C1015" s="12" t="s">
        <v>955</v>
      </c>
      <c r="D1015" s="15">
        <v>75024.0</v>
      </c>
      <c r="F1015" s="15"/>
      <c r="G1015" s="26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</row>
    <row r="1016">
      <c r="A1016" s="5" t="s">
        <v>964</v>
      </c>
      <c r="B1016" s="6">
        <v>400.0</v>
      </c>
      <c r="C1016" s="7" t="s">
        <v>955</v>
      </c>
      <c r="D1016" s="15">
        <v>77024.0</v>
      </c>
      <c r="F1016" s="15"/>
      <c r="G1016" s="26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</row>
    <row r="1017">
      <c r="A1017" s="10" t="s">
        <v>964</v>
      </c>
      <c r="B1017" s="11">
        <v>400.0</v>
      </c>
      <c r="C1017" s="12" t="s">
        <v>955</v>
      </c>
      <c r="D1017" s="15">
        <v>77024.0</v>
      </c>
      <c r="F1017" s="15"/>
      <c r="G1017" s="26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</row>
    <row r="1018">
      <c r="A1018" s="5" t="s">
        <v>965</v>
      </c>
      <c r="B1018" s="6">
        <v>1000.0</v>
      </c>
      <c r="C1018" s="7" t="s">
        <v>955</v>
      </c>
      <c r="D1018" s="15">
        <v>75225.0</v>
      </c>
      <c r="F1018" s="15"/>
      <c r="G1018" s="26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</row>
    <row r="1019">
      <c r="A1019" s="10" t="s">
        <v>965</v>
      </c>
      <c r="B1019" s="11">
        <v>1000.0</v>
      </c>
      <c r="C1019" s="12" t="s">
        <v>955</v>
      </c>
      <c r="D1019" s="15">
        <v>75225.0</v>
      </c>
      <c r="F1019" s="15"/>
      <c r="G1019" s="26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</row>
    <row r="1020">
      <c r="A1020" s="5" t="s">
        <v>966</v>
      </c>
      <c r="B1020" s="6">
        <v>1000.0</v>
      </c>
      <c r="C1020" s="7" t="s">
        <v>955</v>
      </c>
      <c r="D1020" s="15">
        <v>75252.0</v>
      </c>
      <c r="F1020" s="15"/>
      <c r="G1020" s="26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</row>
    <row r="1021">
      <c r="A1021" s="10" t="s">
        <v>966</v>
      </c>
      <c r="B1021" s="11">
        <v>1000.0</v>
      </c>
      <c r="C1021" s="12" t="s">
        <v>955</v>
      </c>
      <c r="D1021" s="15">
        <v>75252.0</v>
      </c>
      <c r="F1021" s="15"/>
      <c r="G1021" s="26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</row>
    <row r="1022">
      <c r="A1022" s="5" t="s">
        <v>967</v>
      </c>
      <c r="B1022" s="6">
        <v>200.0</v>
      </c>
      <c r="C1022" s="7" t="s">
        <v>955</v>
      </c>
      <c r="D1022" s="15">
        <v>75240.0</v>
      </c>
      <c r="F1022" s="15"/>
      <c r="G1022" s="26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</row>
    <row r="1023">
      <c r="A1023" s="10" t="s">
        <v>967</v>
      </c>
      <c r="B1023" s="11">
        <v>200.0</v>
      </c>
      <c r="C1023" s="12" t="s">
        <v>955</v>
      </c>
      <c r="D1023" s="15">
        <v>75240.0</v>
      </c>
      <c r="F1023" s="15"/>
      <c r="G1023" s="26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</row>
    <row r="1024">
      <c r="A1024" s="5" t="s">
        <v>968</v>
      </c>
      <c r="B1024" s="6">
        <v>1000.0</v>
      </c>
      <c r="C1024" s="7" t="s">
        <v>955</v>
      </c>
      <c r="D1024" s="15">
        <v>76107.0</v>
      </c>
      <c r="F1024" s="15"/>
      <c r="G1024" s="26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</row>
    <row r="1025">
      <c r="A1025" s="10" t="s">
        <v>968</v>
      </c>
      <c r="B1025" s="11">
        <v>1000.0</v>
      </c>
      <c r="C1025" s="12" t="s">
        <v>955</v>
      </c>
      <c r="D1025" s="15">
        <v>76107.0</v>
      </c>
      <c r="F1025" s="15"/>
      <c r="G1025" s="26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</row>
    <row r="1026">
      <c r="A1026" s="5" t="s">
        <v>969</v>
      </c>
      <c r="B1026" s="6">
        <v>100.0</v>
      </c>
      <c r="C1026" s="7" t="s">
        <v>955</v>
      </c>
      <c r="D1026" s="15">
        <v>75238.0</v>
      </c>
      <c r="F1026" s="15"/>
      <c r="G1026" s="26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</row>
    <row r="1027">
      <c r="A1027" s="10" t="s">
        <v>969</v>
      </c>
      <c r="B1027" s="11">
        <v>100.0</v>
      </c>
      <c r="C1027" s="12" t="s">
        <v>955</v>
      </c>
      <c r="D1027" s="15">
        <v>75238.0</v>
      </c>
      <c r="F1027" s="15"/>
      <c r="G1027" s="26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</row>
    <row r="1028">
      <c r="A1028" s="5" t="s">
        <v>970</v>
      </c>
      <c r="B1028" s="6">
        <v>100.0</v>
      </c>
      <c r="C1028" s="7" t="s">
        <v>931</v>
      </c>
      <c r="D1028" s="15">
        <v>75234.0</v>
      </c>
      <c r="F1028" s="15"/>
      <c r="G1028" s="26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</row>
    <row r="1029">
      <c r="A1029" s="5" t="s">
        <v>971</v>
      </c>
      <c r="B1029" s="6">
        <v>100.0</v>
      </c>
      <c r="C1029" s="7" t="s">
        <v>931</v>
      </c>
      <c r="D1029" s="15">
        <v>75234.0</v>
      </c>
      <c r="F1029" s="15"/>
      <c r="G1029" s="26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</row>
    <row r="1030">
      <c r="A1030" s="5" t="s">
        <v>972</v>
      </c>
      <c r="B1030" s="6">
        <v>250.0</v>
      </c>
      <c r="C1030" s="7" t="s">
        <v>931</v>
      </c>
      <c r="D1030" s="15">
        <v>75234.0</v>
      </c>
      <c r="F1030" s="15"/>
      <c r="G1030" s="26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</row>
    <row r="1031">
      <c r="A1031" s="5" t="s">
        <v>973</v>
      </c>
      <c r="B1031" s="6">
        <v>500.0</v>
      </c>
      <c r="C1031" s="7" t="s">
        <v>931</v>
      </c>
      <c r="D1031" s="15">
        <v>75206.0</v>
      </c>
      <c r="F1031" s="15"/>
      <c r="G1031" s="26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</row>
    <row r="1032">
      <c r="A1032" s="5" t="s">
        <v>974</v>
      </c>
      <c r="B1032" s="6">
        <v>30.0</v>
      </c>
      <c r="C1032" s="7" t="s">
        <v>931</v>
      </c>
      <c r="D1032" s="15">
        <v>75234.0</v>
      </c>
      <c r="F1032" s="15"/>
      <c r="G1032" s="26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</row>
    <row r="1033">
      <c r="A1033" s="5" t="s">
        <v>975</v>
      </c>
      <c r="B1033" s="6">
        <v>30.0</v>
      </c>
      <c r="C1033" s="7" t="s">
        <v>931</v>
      </c>
      <c r="D1033" s="15">
        <v>75234.0</v>
      </c>
      <c r="F1033" s="15"/>
      <c r="G1033" s="26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</row>
    <row r="1034">
      <c r="A1034" s="5" t="s">
        <v>976</v>
      </c>
      <c r="B1034" s="6">
        <v>50.0</v>
      </c>
      <c r="C1034" s="7" t="s">
        <v>931</v>
      </c>
      <c r="D1034" s="15">
        <v>75243.0</v>
      </c>
      <c r="F1034" s="15"/>
      <c r="G1034" s="26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</row>
    <row r="1035">
      <c r="A1035" s="5" t="s">
        <v>977</v>
      </c>
      <c r="B1035" s="6">
        <v>250.0</v>
      </c>
      <c r="C1035" s="7" t="s">
        <v>931</v>
      </c>
      <c r="D1035" s="15">
        <v>75244.0</v>
      </c>
      <c r="F1035" s="15"/>
      <c r="G1035" s="26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</row>
    <row r="1036">
      <c r="A1036" s="5" t="s">
        <v>978</v>
      </c>
      <c r="B1036" s="6">
        <v>20.0</v>
      </c>
      <c r="C1036" s="7" t="s">
        <v>931</v>
      </c>
      <c r="D1036" s="15">
        <v>75229.0</v>
      </c>
      <c r="F1036" s="15"/>
      <c r="G1036" s="26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</row>
    <row r="1037">
      <c r="A1037" s="5" t="s">
        <v>979</v>
      </c>
      <c r="B1037" s="6">
        <v>1000.0</v>
      </c>
      <c r="C1037" s="7" t="s">
        <v>931</v>
      </c>
      <c r="D1037" s="15">
        <v>75206.0</v>
      </c>
      <c r="F1037" s="15"/>
      <c r="G1037" s="26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</row>
    <row r="1038">
      <c r="A1038" s="5" t="s">
        <v>980</v>
      </c>
      <c r="B1038" s="6">
        <v>1000.0</v>
      </c>
      <c r="C1038" s="7" t="s">
        <v>931</v>
      </c>
      <c r="D1038" s="15">
        <v>75206.0</v>
      </c>
      <c r="F1038" s="15"/>
      <c r="G1038" s="26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</row>
    <row r="1039">
      <c r="A1039" s="5" t="s">
        <v>981</v>
      </c>
      <c r="B1039" s="6">
        <v>500.0</v>
      </c>
      <c r="C1039" s="7" t="s">
        <v>931</v>
      </c>
      <c r="D1039" s="15">
        <v>75209.0</v>
      </c>
      <c r="F1039" s="15"/>
      <c r="G1039" s="26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</row>
    <row r="1040">
      <c r="A1040" s="5" t="s">
        <v>982</v>
      </c>
      <c r="B1040" s="6">
        <v>100.0</v>
      </c>
      <c r="C1040" s="7" t="s">
        <v>931</v>
      </c>
      <c r="D1040" s="15">
        <v>75209.0</v>
      </c>
      <c r="F1040" s="15"/>
      <c r="G1040" s="26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</row>
    <row r="1041">
      <c r="A1041" s="5" t="s">
        <v>983</v>
      </c>
      <c r="B1041" s="6">
        <v>250.0</v>
      </c>
      <c r="C1041" s="7" t="s">
        <v>931</v>
      </c>
      <c r="D1041" s="15">
        <v>75230.0</v>
      </c>
      <c r="F1041" s="15"/>
      <c r="G1041" s="26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</row>
    <row r="1042">
      <c r="A1042" s="5" t="s">
        <v>984</v>
      </c>
      <c r="B1042" s="6">
        <v>100.0</v>
      </c>
      <c r="C1042" s="7" t="s">
        <v>636</v>
      </c>
      <c r="D1042" s="15">
        <v>75243.0</v>
      </c>
      <c r="F1042" s="15"/>
      <c r="G1042" s="26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</row>
    <row r="1043">
      <c r="A1043" s="10" t="s">
        <v>985</v>
      </c>
      <c r="B1043" s="11">
        <v>500.0</v>
      </c>
      <c r="C1043" s="12" t="s">
        <v>636</v>
      </c>
      <c r="D1043" s="15">
        <v>75238.0</v>
      </c>
      <c r="F1043" s="15"/>
      <c r="G1043" s="26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</row>
    <row r="1044">
      <c r="A1044" s="5" t="s">
        <v>986</v>
      </c>
      <c r="B1044" s="6">
        <v>100.0</v>
      </c>
      <c r="C1044" s="7" t="s">
        <v>636</v>
      </c>
      <c r="D1044" s="15">
        <v>75238.0</v>
      </c>
      <c r="F1044" s="15"/>
      <c r="G1044" s="26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</row>
    <row r="1045">
      <c r="A1045" s="10" t="s">
        <v>987</v>
      </c>
      <c r="B1045" s="11">
        <v>100.0</v>
      </c>
      <c r="C1045" s="12" t="s">
        <v>636</v>
      </c>
      <c r="D1045" s="15">
        <v>75231.0</v>
      </c>
      <c r="F1045" s="15"/>
      <c r="G1045" s="26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</row>
    <row r="1046">
      <c r="A1046" s="5" t="s">
        <v>988</v>
      </c>
      <c r="B1046" s="6">
        <v>50.0</v>
      </c>
      <c r="C1046" s="7" t="s">
        <v>636</v>
      </c>
      <c r="D1046" s="15">
        <v>75238.0</v>
      </c>
      <c r="F1046" s="15"/>
      <c r="G1046" s="26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</row>
    <row r="1047">
      <c r="A1047" s="10" t="s">
        <v>989</v>
      </c>
      <c r="B1047" s="11">
        <v>250.0</v>
      </c>
      <c r="C1047" s="12" t="s">
        <v>636</v>
      </c>
      <c r="D1047" s="15">
        <v>75228.0</v>
      </c>
      <c r="F1047" s="15"/>
      <c r="G1047" s="26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</row>
    <row r="1048">
      <c r="A1048" s="5" t="s">
        <v>990</v>
      </c>
      <c r="B1048" s="6">
        <v>25.0</v>
      </c>
      <c r="C1048" s="7" t="s">
        <v>636</v>
      </c>
      <c r="D1048" s="15">
        <v>75214.0</v>
      </c>
      <c r="F1048" s="15"/>
      <c r="G1048" s="26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</row>
    <row r="1049">
      <c r="A1049" s="10" t="s">
        <v>991</v>
      </c>
      <c r="B1049" s="11">
        <v>20.0</v>
      </c>
      <c r="C1049" s="12" t="s">
        <v>636</v>
      </c>
      <c r="D1049" s="15">
        <v>75243.0</v>
      </c>
      <c r="F1049" s="15"/>
      <c r="G1049" s="26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</row>
    <row r="1050">
      <c r="A1050" s="5" t="s">
        <v>992</v>
      </c>
      <c r="B1050" s="6">
        <v>50.0</v>
      </c>
      <c r="C1050" s="7" t="s">
        <v>636</v>
      </c>
      <c r="D1050" s="15">
        <v>75149.0</v>
      </c>
      <c r="F1050" s="15"/>
      <c r="G1050" s="26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</row>
    <row r="1051">
      <c r="A1051" s="10" t="s">
        <v>993</v>
      </c>
      <c r="B1051" s="11">
        <v>200.0</v>
      </c>
      <c r="C1051" s="12" t="s">
        <v>636</v>
      </c>
      <c r="D1051" s="15">
        <v>75238.0</v>
      </c>
      <c r="F1051" s="15"/>
      <c r="G1051" s="26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</row>
    <row r="1052">
      <c r="A1052" s="5" t="s">
        <v>994</v>
      </c>
      <c r="B1052" s="6">
        <v>25.0</v>
      </c>
      <c r="C1052" s="7" t="s">
        <v>636</v>
      </c>
      <c r="D1052" s="15">
        <v>75238.0</v>
      </c>
      <c r="F1052" s="15"/>
      <c r="G1052" s="26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</row>
    <row r="1053">
      <c r="A1053" s="10" t="s">
        <v>374</v>
      </c>
      <c r="B1053" s="11">
        <v>100.0</v>
      </c>
      <c r="C1053" s="12" t="s">
        <v>636</v>
      </c>
      <c r="D1053" s="15">
        <v>75228.0</v>
      </c>
      <c r="F1053" s="15"/>
      <c r="G1053" s="26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</row>
    <row r="1054">
      <c r="A1054" s="5" t="s">
        <v>995</v>
      </c>
      <c r="B1054" s="6">
        <v>250.0</v>
      </c>
      <c r="C1054" s="7" t="s">
        <v>636</v>
      </c>
      <c r="D1054" s="15">
        <v>75214.0</v>
      </c>
      <c r="F1054" s="15"/>
      <c r="G1054" s="26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28"/>
      <c r="AS1054" s="28"/>
      <c r="AT1054" s="28"/>
    </row>
    <row r="1055">
      <c r="A1055" s="10" t="s">
        <v>996</v>
      </c>
      <c r="B1055" s="11">
        <v>100.0</v>
      </c>
      <c r="C1055" s="12" t="s">
        <v>636</v>
      </c>
      <c r="D1055" s="15">
        <v>75238.0</v>
      </c>
      <c r="F1055" s="15"/>
      <c r="G1055" s="26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</row>
    <row r="1056">
      <c r="A1056" s="5" t="s">
        <v>987</v>
      </c>
      <c r="B1056" s="6">
        <v>200.0</v>
      </c>
      <c r="C1056" s="7" t="s">
        <v>636</v>
      </c>
      <c r="D1056" s="15">
        <v>75231.0</v>
      </c>
      <c r="F1056" s="15"/>
      <c r="G1056" s="26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</row>
    <row r="1057">
      <c r="A1057" s="10" t="s">
        <v>997</v>
      </c>
      <c r="B1057" s="11">
        <v>75.0</v>
      </c>
      <c r="C1057" s="12" t="s">
        <v>636</v>
      </c>
      <c r="D1057" s="15">
        <v>75248.0</v>
      </c>
      <c r="F1057" s="15"/>
      <c r="G1057" s="26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</row>
    <row r="1058">
      <c r="A1058" s="5" t="s">
        <v>998</v>
      </c>
      <c r="B1058" s="6">
        <v>50.0</v>
      </c>
      <c r="C1058" s="7" t="s">
        <v>636</v>
      </c>
      <c r="D1058" s="15">
        <v>75228.0</v>
      </c>
      <c r="F1058" s="15"/>
      <c r="G1058" s="26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</row>
    <row r="1059">
      <c r="A1059" s="10" t="s">
        <v>999</v>
      </c>
      <c r="B1059" s="11">
        <v>1000.0</v>
      </c>
      <c r="C1059" s="12" t="s">
        <v>636</v>
      </c>
      <c r="D1059" s="15">
        <v>75013.0</v>
      </c>
      <c r="F1059" s="15"/>
      <c r="G1059" s="26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</row>
    <row r="1060">
      <c r="A1060" s="5" t="s">
        <v>1000</v>
      </c>
      <c r="B1060" s="6">
        <v>50.0</v>
      </c>
      <c r="C1060" s="7" t="s">
        <v>636</v>
      </c>
      <c r="D1060" s="15">
        <v>75243.0</v>
      </c>
      <c r="F1060" s="15"/>
      <c r="G1060" s="26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</row>
    <row r="1061">
      <c r="A1061" s="10"/>
      <c r="B1061" s="11"/>
      <c r="C1061" s="12"/>
      <c r="D1061" s="15"/>
      <c r="F1061" s="15"/>
      <c r="G1061" s="26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</row>
    <row r="1062">
      <c r="A1062" s="5" t="s">
        <v>1002</v>
      </c>
      <c r="B1062" s="6">
        <v>100.0</v>
      </c>
      <c r="C1062" s="7" t="s">
        <v>636</v>
      </c>
      <c r="D1062" s="15">
        <v>75238.0</v>
      </c>
      <c r="F1062" s="15"/>
      <c r="G1062" s="26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28"/>
      <c r="AS1062" s="28"/>
      <c r="AT1062" s="28"/>
    </row>
    <row r="1063">
      <c r="A1063" s="10" t="s">
        <v>1003</v>
      </c>
      <c r="B1063" s="11">
        <v>250.0</v>
      </c>
      <c r="C1063" s="12" t="s">
        <v>636</v>
      </c>
      <c r="D1063" s="15">
        <v>75238.0</v>
      </c>
      <c r="F1063" s="15"/>
      <c r="G1063" s="26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</row>
    <row r="1064">
      <c r="A1064" s="5" t="s">
        <v>748</v>
      </c>
      <c r="B1064" s="6">
        <v>50.0</v>
      </c>
      <c r="C1064" s="7" t="s">
        <v>636</v>
      </c>
      <c r="D1064" s="15">
        <v>75214.0</v>
      </c>
      <c r="F1064" s="15"/>
      <c r="G1064" s="26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</row>
    <row r="1065">
      <c r="A1065" s="10" t="s">
        <v>1004</v>
      </c>
      <c r="B1065" s="11">
        <v>250.0</v>
      </c>
      <c r="C1065" s="12" t="s">
        <v>1005</v>
      </c>
      <c r="D1065" s="15">
        <v>75208.0</v>
      </c>
      <c r="F1065" s="15"/>
      <c r="G1065" s="26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</row>
    <row r="1066">
      <c r="A1066" s="10" t="s">
        <v>1006</v>
      </c>
      <c r="B1066" s="11">
        <v>100.0</v>
      </c>
      <c r="C1066" s="12" t="s">
        <v>1005</v>
      </c>
      <c r="D1066" s="15">
        <v>75214.0</v>
      </c>
      <c r="F1066" s="15"/>
      <c r="G1066" s="26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28"/>
      <c r="AS1066" s="28"/>
      <c r="AT1066" s="28"/>
    </row>
    <row r="1067">
      <c r="A1067" s="10" t="s">
        <v>1007</v>
      </c>
      <c r="B1067" s="11">
        <v>100.0</v>
      </c>
      <c r="C1067" s="12" t="s">
        <v>1005</v>
      </c>
      <c r="D1067" s="15">
        <v>75214.0</v>
      </c>
      <c r="F1067" s="15"/>
      <c r="G1067" s="26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</row>
    <row r="1068">
      <c r="A1068" s="10" t="s">
        <v>1008</v>
      </c>
      <c r="B1068" s="11">
        <v>200.0</v>
      </c>
      <c r="C1068" s="12" t="s">
        <v>1005</v>
      </c>
      <c r="D1068" s="15">
        <v>75218.0</v>
      </c>
      <c r="F1068" s="15"/>
      <c r="G1068" s="26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</row>
    <row r="1069">
      <c r="A1069" s="10" t="s">
        <v>1009</v>
      </c>
      <c r="B1069" s="11">
        <v>100.0</v>
      </c>
      <c r="C1069" s="12" t="s">
        <v>1005</v>
      </c>
      <c r="D1069" s="15">
        <v>75214.0</v>
      </c>
      <c r="F1069" s="15"/>
      <c r="G1069" s="26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</row>
    <row r="1070">
      <c r="A1070" s="10" t="s">
        <v>1010</v>
      </c>
      <c r="B1070" s="11">
        <v>1000.0</v>
      </c>
      <c r="C1070" s="12" t="s">
        <v>1005</v>
      </c>
      <c r="D1070" s="15">
        <v>75214.0</v>
      </c>
      <c r="F1070" s="15"/>
      <c r="G1070" s="26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28"/>
      <c r="AS1070" s="28"/>
      <c r="AT1070" s="28"/>
    </row>
    <row r="1071">
      <c r="A1071" s="10" t="s">
        <v>1011</v>
      </c>
      <c r="B1071" s="11">
        <v>500.0</v>
      </c>
      <c r="C1071" s="12" t="s">
        <v>1005</v>
      </c>
      <c r="D1071" s="15">
        <v>75230.0</v>
      </c>
      <c r="F1071" s="15"/>
      <c r="G1071" s="26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</row>
    <row r="1072">
      <c r="A1072" s="10" t="s">
        <v>1012</v>
      </c>
      <c r="B1072" s="11">
        <v>250.0</v>
      </c>
      <c r="C1072" s="12" t="s">
        <v>1005</v>
      </c>
      <c r="D1072" s="15">
        <v>75230.0</v>
      </c>
      <c r="F1072" s="15"/>
      <c r="G1072" s="26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</row>
    <row r="1073">
      <c r="A1073" s="10" t="s">
        <v>1013</v>
      </c>
      <c r="B1073" s="11">
        <v>50.0</v>
      </c>
      <c r="C1073" s="12" t="s">
        <v>1005</v>
      </c>
      <c r="D1073" s="15">
        <v>75201.0</v>
      </c>
      <c r="F1073" s="15"/>
      <c r="G1073" s="26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/>
    </row>
    <row r="1074">
      <c r="A1074" s="10" t="s">
        <v>1014</v>
      </c>
      <c r="B1074" s="11">
        <v>75.0</v>
      </c>
      <c r="C1074" s="12" t="s">
        <v>1005</v>
      </c>
      <c r="D1074" s="15">
        <v>75228.0</v>
      </c>
      <c r="F1074" s="15"/>
      <c r="G1074" s="26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28"/>
      <c r="AS1074" s="28"/>
      <c r="AT1074" s="28"/>
    </row>
    <row r="1075">
      <c r="A1075" s="10" t="s">
        <v>318</v>
      </c>
      <c r="B1075" s="11">
        <v>500.0</v>
      </c>
      <c r="C1075" s="12" t="s">
        <v>1005</v>
      </c>
      <c r="D1075" s="15">
        <v>75209.0</v>
      </c>
      <c r="F1075" s="15"/>
      <c r="G1075" s="26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</row>
    <row r="1076">
      <c r="A1076" s="10" t="s">
        <v>1015</v>
      </c>
      <c r="B1076" s="11">
        <v>100.0</v>
      </c>
      <c r="C1076" s="12" t="s">
        <v>1005</v>
      </c>
      <c r="D1076" s="15">
        <v>75214.0</v>
      </c>
      <c r="F1076" s="15"/>
      <c r="G1076" s="26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</row>
    <row r="1077">
      <c r="A1077" s="10"/>
      <c r="B1077" s="11"/>
      <c r="C1077" s="12"/>
      <c r="D1077" s="15"/>
      <c r="F1077" s="15"/>
      <c r="G1077" s="26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28"/>
      <c r="AS1077" s="28"/>
      <c r="AT1077" s="28"/>
    </row>
    <row r="1078">
      <c r="A1078" s="10" t="s">
        <v>1017</v>
      </c>
      <c r="B1078" s="11">
        <v>1000.0</v>
      </c>
      <c r="C1078" s="12" t="s">
        <v>1005</v>
      </c>
      <c r="D1078" s="15">
        <v>75244.0</v>
      </c>
      <c r="F1078" s="15"/>
      <c r="G1078" s="26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28"/>
      <c r="AS1078" s="28"/>
      <c r="AT1078" s="28"/>
    </row>
    <row r="1079">
      <c r="A1079" s="10" t="s">
        <v>1018</v>
      </c>
      <c r="B1079" s="11">
        <v>150.0</v>
      </c>
      <c r="C1079" s="12" t="s">
        <v>1005</v>
      </c>
      <c r="D1079" s="15">
        <v>75214.0</v>
      </c>
      <c r="F1079" s="15"/>
      <c r="G1079" s="26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</row>
    <row r="1080">
      <c r="A1080" s="10" t="s">
        <v>1019</v>
      </c>
      <c r="B1080" s="11">
        <v>500.0</v>
      </c>
      <c r="C1080" s="12" t="s">
        <v>1005</v>
      </c>
      <c r="D1080" s="15">
        <v>75208.0</v>
      </c>
      <c r="F1080" s="15"/>
      <c r="G1080" s="26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</row>
    <row r="1081">
      <c r="A1081" s="10" t="s">
        <v>1020</v>
      </c>
      <c r="B1081" s="11">
        <v>100.0</v>
      </c>
      <c r="C1081" s="12" t="s">
        <v>1005</v>
      </c>
      <c r="D1081" s="15">
        <v>75214.0</v>
      </c>
      <c r="F1081" s="15"/>
      <c r="G1081" s="26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</row>
    <row r="1082">
      <c r="A1082" s="10" t="s">
        <v>1021</v>
      </c>
      <c r="B1082" s="11">
        <v>100.0</v>
      </c>
      <c r="C1082" s="12" t="s">
        <v>1005</v>
      </c>
      <c r="D1082" s="15">
        <v>75214.0</v>
      </c>
      <c r="F1082" s="15"/>
      <c r="G1082" s="26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</row>
    <row r="1083">
      <c r="A1083" s="10" t="s">
        <v>1022</v>
      </c>
      <c r="B1083" s="11">
        <v>500.0</v>
      </c>
      <c r="C1083" s="12" t="s">
        <v>1005</v>
      </c>
      <c r="D1083" s="15">
        <v>75214.0</v>
      </c>
      <c r="F1083" s="15"/>
      <c r="G1083" s="26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</row>
    <row r="1084">
      <c r="A1084" s="10" t="s">
        <v>1023</v>
      </c>
      <c r="B1084" s="11">
        <v>250.0</v>
      </c>
      <c r="C1084" s="12" t="s">
        <v>1005</v>
      </c>
      <c r="D1084" s="15">
        <v>75214.0</v>
      </c>
      <c r="F1084" s="15"/>
      <c r="G1084" s="26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</row>
    <row r="1085">
      <c r="A1085" s="10" t="s">
        <v>1024</v>
      </c>
      <c r="B1085" s="11">
        <v>100.0</v>
      </c>
      <c r="C1085" s="12" t="s">
        <v>1005</v>
      </c>
      <c r="D1085" s="15">
        <v>75214.0</v>
      </c>
      <c r="F1085" s="15"/>
      <c r="G1085" s="26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</row>
    <row r="1086">
      <c r="A1086" s="10" t="s">
        <v>1007</v>
      </c>
      <c r="B1086" s="11">
        <v>100.0</v>
      </c>
      <c r="C1086" s="12" t="s">
        <v>1005</v>
      </c>
      <c r="D1086" s="15">
        <v>75214.0</v>
      </c>
      <c r="F1086" s="15"/>
      <c r="G1086" s="26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28"/>
      <c r="AS1086" s="28"/>
      <c r="AT1086" s="28"/>
    </row>
    <row r="1087">
      <c r="A1087" s="10" t="s">
        <v>1025</v>
      </c>
      <c r="B1087" s="11">
        <v>500.0</v>
      </c>
      <c r="C1087" s="12" t="s">
        <v>1005</v>
      </c>
      <c r="D1087" s="15">
        <v>75201.0</v>
      </c>
      <c r="F1087" s="15"/>
      <c r="G1087" s="26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28"/>
      <c r="AS1087" s="28"/>
      <c r="AT1087" s="28"/>
    </row>
    <row r="1088">
      <c r="A1088" s="10" t="s">
        <v>340</v>
      </c>
      <c r="B1088" s="11">
        <v>500.0</v>
      </c>
      <c r="C1088" s="12" t="s">
        <v>1005</v>
      </c>
      <c r="D1088" s="15">
        <v>75230.0</v>
      </c>
      <c r="F1088" s="15"/>
      <c r="G1088" s="26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</row>
    <row r="1089">
      <c r="A1089" s="10" t="s">
        <v>1026</v>
      </c>
      <c r="B1089" s="11">
        <v>100.0</v>
      </c>
      <c r="C1089" s="12" t="s">
        <v>1005</v>
      </c>
      <c r="D1089" s="15">
        <v>75201.0</v>
      </c>
      <c r="F1089" s="15"/>
      <c r="G1089" s="26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</row>
    <row r="1090">
      <c r="A1090" s="10" t="s">
        <v>1027</v>
      </c>
      <c r="B1090" s="11">
        <v>100.0</v>
      </c>
      <c r="C1090" s="12" t="s">
        <v>1005</v>
      </c>
      <c r="D1090" s="15">
        <v>75214.0</v>
      </c>
      <c r="F1090" s="15"/>
      <c r="G1090" s="26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28"/>
      <c r="AS1090" s="28"/>
      <c r="AT1090" s="28"/>
    </row>
    <row r="1091">
      <c r="A1091" s="10" t="s">
        <v>1028</v>
      </c>
      <c r="B1091" s="11">
        <v>250.0</v>
      </c>
      <c r="C1091" s="12" t="s">
        <v>1005</v>
      </c>
      <c r="D1091" s="15">
        <v>75214.0</v>
      </c>
      <c r="F1091" s="15"/>
      <c r="G1091" s="26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28"/>
      <c r="AS1091" s="28"/>
      <c r="AT1091" s="28"/>
    </row>
    <row r="1092">
      <c r="A1092" s="10" t="s">
        <v>1029</v>
      </c>
      <c r="B1092" s="11">
        <v>100.0</v>
      </c>
      <c r="C1092" s="12" t="s">
        <v>1005</v>
      </c>
      <c r="D1092" s="15">
        <v>75214.0</v>
      </c>
      <c r="F1092" s="15"/>
      <c r="G1092" s="26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</row>
    <row r="1093">
      <c r="A1093" s="10" t="s">
        <v>1030</v>
      </c>
      <c r="B1093" s="11">
        <v>100.0</v>
      </c>
      <c r="C1093" s="12" t="s">
        <v>1005</v>
      </c>
      <c r="D1093" s="15">
        <v>75218.0</v>
      </c>
      <c r="F1093" s="15"/>
      <c r="G1093" s="26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</row>
    <row r="1094">
      <c r="A1094" s="10" t="s">
        <v>1031</v>
      </c>
      <c r="B1094" s="11">
        <v>100.0</v>
      </c>
      <c r="C1094" s="12" t="s">
        <v>1005</v>
      </c>
      <c r="D1094" s="15">
        <v>75230.0</v>
      </c>
      <c r="F1094" s="15"/>
      <c r="G1094" s="26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</row>
    <row r="1095">
      <c r="A1095" s="10" t="s">
        <v>1032</v>
      </c>
      <c r="B1095" s="11">
        <v>1000.0</v>
      </c>
      <c r="C1095" s="12" t="s">
        <v>1005</v>
      </c>
      <c r="D1095" s="15">
        <v>75220.0</v>
      </c>
      <c r="F1095" s="15"/>
      <c r="G1095" s="26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</row>
    <row r="1096">
      <c r="A1096" s="10" t="s">
        <v>1033</v>
      </c>
      <c r="B1096" s="11">
        <v>100.0</v>
      </c>
      <c r="C1096" s="12" t="s">
        <v>1005</v>
      </c>
      <c r="D1096" s="15">
        <v>75214.0</v>
      </c>
      <c r="F1096" s="15"/>
      <c r="G1096" s="26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</row>
    <row r="1097">
      <c r="A1097" s="10" t="s">
        <v>1034</v>
      </c>
      <c r="B1097" s="11">
        <v>100.0</v>
      </c>
      <c r="C1097" s="12" t="s">
        <v>1005</v>
      </c>
      <c r="D1097" s="15">
        <v>75201.0</v>
      </c>
      <c r="F1097" s="15"/>
      <c r="G1097" s="26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</row>
    <row r="1098">
      <c r="A1098" s="10" t="s">
        <v>1035</v>
      </c>
      <c r="B1098" s="11">
        <v>250.0</v>
      </c>
      <c r="C1098" s="12" t="s">
        <v>1005</v>
      </c>
      <c r="D1098" s="15">
        <v>75218.0</v>
      </c>
      <c r="F1098" s="15"/>
      <c r="G1098" s="26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</row>
    <row r="1099">
      <c r="A1099" s="10" t="s">
        <v>1036</v>
      </c>
      <c r="B1099" s="11">
        <v>250.0</v>
      </c>
      <c r="C1099" s="12" t="s">
        <v>1005</v>
      </c>
      <c r="D1099" s="15">
        <v>75214.0</v>
      </c>
      <c r="F1099" s="15"/>
      <c r="G1099" s="26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28"/>
      <c r="AS1099" s="28"/>
      <c r="AT1099" s="28"/>
    </row>
    <row r="1100">
      <c r="A1100" s="10" t="s">
        <v>1037</v>
      </c>
      <c r="B1100" s="11">
        <v>1000.0</v>
      </c>
      <c r="C1100" s="12" t="s">
        <v>1005</v>
      </c>
      <c r="D1100" s="15">
        <v>75214.0</v>
      </c>
      <c r="F1100" s="15"/>
      <c r="G1100" s="26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28"/>
      <c r="AS1100" s="28"/>
      <c r="AT1100" s="28"/>
    </row>
    <row r="1101">
      <c r="A1101" s="10" t="s">
        <v>1038</v>
      </c>
      <c r="B1101" s="11">
        <v>500.0</v>
      </c>
      <c r="C1101" s="12" t="s">
        <v>1005</v>
      </c>
      <c r="D1101" s="15">
        <v>75214.0</v>
      </c>
      <c r="F1101" s="15"/>
      <c r="G1101" s="26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28"/>
      <c r="AS1101" s="28"/>
      <c r="AT1101" s="28"/>
    </row>
    <row r="1102">
      <c r="A1102" s="10" t="s">
        <v>1014</v>
      </c>
      <c r="B1102" s="11">
        <v>50.0</v>
      </c>
      <c r="C1102" s="12" t="s">
        <v>1005</v>
      </c>
      <c r="D1102" s="15">
        <v>75228.0</v>
      </c>
      <c r="F1102" s="15"/>
      <c r="G1102" s="26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28"/>
      <c r="AS1102" s="28"/>
      <c r="AT1102" s="28"/>
    </row>
    <row r="1103">
      <c r="A1103" s="10" t="s">
        <v>1039</v>
      </c>
      <c r="B1103" s="11">
        <v>100.0</v>
      </c>
      <c r="C1103" s="12" t="s">
        <v>1005</v>
      </c>
      <c r="D1103" s="15">
        <v>75214.0</v>
      </c>
      <c r="F1103" s="15"/>
      <c r="G1103" s="26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28"/>
      <c r="AS1103" s="28"/>
      <c r="AT1103" s="28"/>
    </row>
    <row r="1104">
      <c r="A1104" s="10" t="s">
        <v>1040</v>
      </c>
      <c r="B1104" s="11">
        <v>1000.0</v>
      </c>
      <c r="C1104" s="12" t="s">
        <v>1005</v>
      </c>
      <c r="D1104" s="15">
        <v>75208.0</v>
      </c>
      <c r="F1104" s="15"/>
      <c r="G1104" s="26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28"/>
      <c r="AS1104" s="28"/>
      <c r="AT1104" s="28"/>
    </row>
    <row r="1105">
      <c r="A1105" s="10" t="s">
        <v>1041</v>
      </c>
      <c r="B1105" s="11">
        <v>1000.0</v>
      </c>
      <c r="C1105" s="12" t="s">
        <v>1005</v>
      </c>
      <c r="D1105" s="15">
        <v>75208.0</v>
      </c>
      <c r="F1105" s="15"/>
      <c r="G1105" s="26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</row>
    <row r="1106">
      <c r="A1106" s="10" t="s">
        <v>1042</v>
      </c>
      <c r="B1106" s="11">
        <v>500.0</v>
      </c>
      <c r="C1106" s="12" t="s">
        <v>1005</v>
      </c>
      <c r="D1106" s="15">
        <v>75205.0</v>
      </c>
      <c r="F1106" s="15"/>
      <c r="G1106" s="26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28"/>
      <c r="AS1106" s="28"/>
      <c r="AT1106" s="28"/>
    </row>
    <row r="1107">
      <c r="A1107" s="10" t="s">
        <v>1043</v>
      </c>
      <c r="B1107" s="11">
        <v>500.0</v>
      </c>
      <c r="C1107" s="12" t="s">
        <v>1005</v>
      </c>
      <c r="D1107" s="15">
        <v>75201.0</v>
      </c>
      <c r="F1107" s="15"/>
      <c r="G1107" s="26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</row>
    <row r="1108">
      <c r="A1108" s="10" t="s">
        <v>1044</v>
      </c>
      <c r="B1108" s="11">
        <v>500.0</v>
      </c>
      <c r="C1108" s="12" t="s">
        <v>1005</v>
      </c>
      <c r="D1108" s="15">
        <v>75206.0</v>
      </c>
      <c r="F1108" s="15"/>
      <c r="G1108" s="26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28"/>
      <c r="AS1108" s="28"/>
      <c r="AT1108" s="28"/>
    </row>
    <row r="1109">
      <c r="A1109" s="10" t="s">
        <v>1045</v>
      </c>
      <c r="B1109" s="11">
        <v>200.0</v>
      </c>
      <c r="C1109" s="12" t="s">
        <v>1005</v>
      </c>
      <c r="D1109" s="15">
        <v>75214.0</v>
      </c>
      <c r="F1109" s="15"/>
      <c r="G1109" s="26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</row>
    <row r="1110">
      <c r="A1110" s="10" t="s">
        <v>1046</v>
      </c>
      <c r="B1110" s="11">
        <v>250.0</v>
      </c>
      <c r="C1110" s="12" t="s">
        <v>1005</v>
      </c>
      <c r="D1110" s="15">
        <v>75214.0</v>
      </c>
      <c r="F1110" s="15"/>
      <c r="G1110" s="26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</row>
    <row r="1111">
      <c r="A1111" s="10" t="s">
        <v>1047</v>
      </c>
      <c r="B1111" s="11">
        <v>500.0</v>
      </c>
      <c r="C1111" s="12" t="s">
        <v>1005</v>
      </c>
      <c r="D1111" s="15">
        <v>75215.0</v>
      </c>
      <c r="F1111" s="15"/>
      <c r="G1111" s="26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</row>
    <row r="1112">
      <c r="A1112" s="10" t="s">
        <v>1048</v>
      </c>
      <c r="B1112" s="11">
        <v>50.0</v>
      </c>
      <c r="C1112" s="12" t="s">
        <v>1005</v>
      </c>
      <c r="D1112" s="15">
        <v>75248.0</v>
      </c>
      <c r="F1112" s="15"/>
      <c r="G1112" s="26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</row>
    <row r="1113">
      <c r="A1113" s="10" t="s">
        <v>1049</v>
      </c>
      <c r="B1113" s="11">
        <v>500.0</v>
      </c>
      <c r="C1113" s="12" t="s">
        <v>1005</v>
      </c>
      <c r="D1113" s="15">
        <v>75214.0</v>
      </c>
      <c r="F1113" s="15"/>
      <c r="G1113" s="26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</row>
    <row r="1114">
      <c r="A1114" s="10" t="s">
        <v>98</v>
      </c>
      <c r="B1114" s="11">
        <v>250.0</v>
      </c>
      <c r="C1114" s="12" t="s">
        <v>1005</v>
      </c>
      <c r="D1114" s="15">
        <v>75238.0</v>
      </c>
      <c r="F1114" s="15"/>
      <c r="G1114" s="26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28"/>
      <c r="AS1114" s="28"/>
      <c r="AT1114" s="28"/>
    </row>
    <row r="1115">
      <c r="A1115" s="10" t="s">
        <v>1050</v>
      </c>
      <c r="B1115" s="11">
        <v>1000.0</v>
      </c>
      <c r="C1115" s="12" t="s">
        <v>1005</v>
      </c>
      <c r="D1115" s="15">
        <v>75034.0</v>
      </c>
      <c r="F1115" s="15"/>
      <c r="G1115" s="26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</row>
    <row r="1116">
      <c r="A1116" s="10" t="s">
        <v>1051</v>
      </c>
      <c r="B1116" s="11">
        <v>200.0</v>
      </c>
      <c r="C1116" s="12" t="s">
        <v>1005</v>
      </c>
      <c r="D1116" s="15">
        <v>75218.0</v>
      </c>
      <c r="F1116" s="15"/>
      <c r="G1116" s="26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28"/>
      <c r="AS1116" s="28"/>
      <c r="AT1116" s="28"/>
    </row>
    <row r="1117">
      <c r="A1117" s="10" t="s">
        <v>1052</v>
      </c>
      <c r="B1117" s="11">
        <v>500.0</v>
      </c>
      <c r="C1117" s="12" t="s">
        <v>1005</v>
      </c>
      <c r="D1117" s="15">
        <v>75208.0</v>
      </c>
      <c r="F1117" s="15"/>
      <c r="G1117" s="26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</row>
    <row r="1118">
      <c r="A1118" s="10" t="s">
        <v>1053</v>
      </c>
      <c r="B1118" s="11">
        <v>250.0</v>
      </c>
      <c r="C1118" s="12" t="s">
        <v>1054</v>
      </c>
      <c r="D1118" s="15">
        <v>75116.0</v>
      </c>
      <c r="F1118" s="15"/>
      <c r="G1118" s="26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28"/>
      <c r="AS1118" s="28"/>
      <c r="AT1118" s="28"/>
    </row>
    <row r="1119">
      <c r="A1119" s="5" t="s">
        <v>1053</v>
      </c>
      <c r="B1119" s="6">
        <v>250.0</v>
      </c>
      <c r="C1119" s="7" t="s">
        <v>1054</v>
      </c>
      <c r="D1119" s="15">
        <v>75116.0</v>
      </c>
      <c r="F1119" s="15"/>
      <c r="G1119" s="26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28"/>
      <c r="AS1119" s="28"/>
      <c r="AT1119" s="28"/>
    </row>
    <row r="1120">
      <c r="A1120" s="5"/>
      <c r="B1120" s="6"/>
      <c r="C1120" s="7"/>
      <c r="D1120" s="15"/>
      <c r="F1120" s="15"/>
      <c r="G1120" s="26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28"/>
      <c r="AS1120" s="28"/>
      <c r="AT1120" s="28"/>
    </row>
    <row r="1121">
      <c r="A1121" s="10"/>
      <c r="B1121" s="11"/>
      <c r="C1121" s="12"/>
      <c r="D1121" s="15"/>
      <c r="F1121" s="15"/>
      <c r="G1121" s="26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28"/>
      <c r="AS1121" s="28"/>
      <c r="AT1121" s="28"/>
    </row>
    <row r="1122">
      <c r="A1122" s="10" t="s">
        <v>1056</v>
      </c>
      <c r="B1122" s="11">
        <v>100.0</v>
      </c>
      <c r="C1122" s="12" t="s">
        <v>1054</v>
      </c>
      <c r="D1122" s="15">
        <v>75224.0</v>
      </c>
      <c r="F1122" s="15"/>
      <c r="G1122" s="26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28"/>
      <c r="AS1122" s="28"/>
      <c r="AT1122" s="28"/>
    </row>
    <row r="1123">
      <c r="A1123" s="5" t="s">
        <v>1056</v>
      </c>
      <c r="B1123" s="6">
        <v>100.0</v>
      </c>
      <c r="C1123" s="7" t="s">
        <v>1054</v>
      </c>
      <c r="D1123" s="15">
        <v>75224.0</v>
      </c>
      <c r="F1123" s="15"/>
      <c r="G1123" s="26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</row>
    <row r="1124">
      <c r="A1124" s="5" t="s">
        <v>1057</v>
      </c>
      <c r="B1124" s="6">
        <v>1000.0</v>
      </c>
      <c r="C1124" s="7" t="s">
        <v>1054</v>
      </c>
      <c r="D1124" s="15">
        <v>75224.0</v>
      </c>
      <c r="F1124" s="15"/>
      <c r="G1124" s="26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</row>
    <row r="1125">
      <c r="A1125" s="10" t="s">
        <v>1057</v>
      </c>
      <c r="B1125" s="11">
        <v>1000.0</v>
      </c>
      <c r="C1125" s="12" t="s">
        <v>1054</v>
      </c>
      <c r="D1125" s="15">
        <v>75224.0</v>
      </c>
      <c r="F1125" s="15"/>
      <c r="G1125" s="26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</row>
    <row r="1126">
      <c r="A1126" s="10" t="s">
        <v>1058</v>
      </c>
      <c r="B1126" s="11">
        <v>1000.0</v>
      </c>
      <c r="C1126" s="12" t="s">
        <v>1054</v>
      </c>
      <c r="D1126" s="15">
        <v>75208.0</v>
      </c>
      <c r="F1126" s="15"/>
      <c r="G1126" s="26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28"/>
      <c r="AS1126" s="28"/>
      <c r="AT1126" s="28"/>
    </row>
    <row r="1127">
      <c r="A1127" s="5" t="s">
        <v>1058</v>
      </c>
      <c r="B1127" s="6">
        <v>1000.0</v>
      </c>
      <c r="C1127" s="7" t="s">
        <v>1054</v>
      </c>
      <c r="D1127" s="15">
        <v>75208.0</v>
      </c>
      <c r="F1127" s="15"/>
      <c r="G1127" s="26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28"/>
      <c r="AS1127" s="28"/>
      <c r="AT1127" s="28"/>
    </row>
    <row r="1128">
      <c r="A1128" s="5" t="s">
        <v>1059</v>
      </c>
      <c r="B1128" s="6">
        <v>100.0</v>
      </c>
      <c r="C1128" s="7" t="s">
        <v>1060</v>
      </c>
      <c r="D1128" s="15">
        <v>75219.0</v>
      </c>
      <c r="F1128" s="15"/>
      <c r="G1128" s="26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28"/>
      <c r="AS1128" s="28"/>
      <c r="AT1128" s="28"/>
    </row>
    <row r="1129">
      <c r="A1129" s="10" t="s">
        <v>1061</v>
      </c>
      <c r="B1129" s="11">
        <v>100.0</v>
      </c>
      <c r="C1129" s="12" t="s">
        <v>1060</v>
      </c>
      <c r="D1129" s="15">
        <v>75206.0</v>
      </c>
      <c r="F1129" s="15"/>
      <c r="G1129" s="26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28"/>
      <c r="AS1129" s="28"/>
      <c r="AT1129" s="28"/>
    </row>
    <row r="1130">
      <c r="A1130" s="5" t="s">
        <v>1062</v>
      </c>
      <c r="B1130" s="6">
        <v>500.0</v>
      </c>
      <c r="C1130" s="7" t="s">
        <v>1060</v>
      </c>
      <c r="D1130" s="15">
        <v>75214.0</v>
      </c>
      <c r="F1130" s="15"/>
      <c r="G1130" s="26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28"/>
      <c r="AS1130" s="28"/>
      <c r="AT1130" s="28"/>
    </row>
    <row r="1131">
      <c r="A1131" s="10" t="s">
        <v>1063</v>
      </c>
      <c r="B1131" s="11">
        <v>250.0</v>
      </c>
      <c r="C1131" s="12" t="s">
        <v>1060</v>
      </c>
      <c r="D1131" s="15">
        <v>75048.0</v>
      </c>
      <c r="F1131" s="15"/>
      <c r="G1131" s="26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</row>
    <row r="1132">
      <c r="A1132" s="5" t="s">
        <v>1064</v>
      </c>
      <c r="B1132" s="6">
        <v>1000.0</v>
      </c>
      <c r="C1132" s="7" t="s">
        <v>1065</v>
      </c>
      <c r="D1132" s="15">
        <v>76126.0</v>
      </c>
      <c r="F1132" s="15"/>
      <c r="G1132" s="26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28"/>
      <c r="AS1132" s="28"/>
      <c r="AT1132" s="28"/>
    </row>
    <row r="1133">
      <c r="A1133" s="5" t="s">
        <v>1066</v>
      </c>
      <c r="B1133" s="6">
        <v>100.0</v>
      </c>
      <c r="C1133" s="7" t="s">
        <v>1065</v>
      </c>
      <c r="D1133" s="15">
        <v>75225.0</v>
      </c>
      <c r="F1133" s="15"/>
      <c r="G1133" s="26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</row>
    <row r="1134">
      <c r="A1134" s="5" t="s">
        <v>1067</v>
      </c>
      <c r="B1134" s="6">
        <v>1500.0</v>
      </c>
      <c r="C1134" s="7" t="s">
        <v>1065</v>
      </c>
      <c r="D1134" s="15">
        <v>75205.0</v>
      </c>
      <c r="F1134" s="15"/>
      <c r="G1134" s="26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</row>
    <row r="1135">
      <c r="A1135" s="5" t="s">
        <v>1068</v>
      </c>
      <c r="B1135" s="6">
        <v>1020.0</v>
      </c>
      <c r="C1135" s="7" t="s">
        <v>1065</v>
      </c>
      <c r="D1135" s="15">
        <v>75206.0</v>
      </c>
      <c r="F1135" s="15"/>
      <c r="G1135" s="26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28"/>
      <c r="AS1135" s="28"/>
      <c r="AT1135" s="28"/>
    </row>
    <row r="1136">
      <c r="A1136" s="5" t="s">
        <v>1069</v>
      </c>
      <c r="B1136" s="6">
        <v>2500.0</v>
      </c>
      <c r="C1136" s="7" t="s">
        <v>1065</v>
      </c>
      <c r="D1136" s="15">
        <v>75248.0</v>
      </c>
      <c r="F1136" s="15"/>
      <c r="G1136" s="26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28"/>
      <c r="AS1136" s="28"/>
      <c r="AT1136" s="28"/>
    </row>
    <row r="1137">
      <c r="A1137" s="5" t="s">
        <v>1070</v>
      </c>
      <c r="B1137" s="6">
        <v>2500.0</v>
      </c>
      <c r="C1137" s="7" t="s">
        <v>1065</v>
      </c>
      <c r="D1137" s="15">
        <v>75219.0</v>
      </c>
      <c r="F1137" s="15"/>
      <c r="G1137" s="26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</row>
    <row r="1138">
      <c r="A1138" s="5" t="s">
        <v>1071</v>
      </c>
      <c r="B1138" s="6">
        <v>500.0</v>
      </c>
      <c r="C1138" s="7" t="s">
        <v>1065</v>
      </c>
      <c r="D1138" s="15">
        <v>75115.0</v>
      </c>
      <c r="F1138" s="15"/>
      <c r="G1138" s="26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28"/>
      <c r="AS1138" s="28"/>
      <c r="AT1138" s="28"/>
    </row>
    <row r="1139">
      <c r="A1139" s="5" t="s">
        <v>1072</v>
      </c>
      <c r="B1139" s="6">
        <v>1000.0</v>
      </c>
      <c r="C1139" s="7" t="s">
        <v>1065</v>
      </c>
      <c r="D1139" s="15">
        <v>75219.0</v>
      </c>
      <c r="F1139" s="15"/>
      <c r="G1139" s="26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</row>
    <row r="1140">
      <c r="A1140" s="5" t="s">
        <v>1073</v>
      </c>
      <c r="B1140" s="6">
        <v>2500.0</v>
      </c>
      <c r="C1140" s="7" t="s">
        <v>1065</v>
      </c>
      <c r="D1140" s="15">
        <v>78701.0</v>
      </c>
      <c r="F1140" s="15"/>
      <c r="G1140" s="26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28"/>
      <c r="AS1140" s="28"/>
      <c r="AT1140" s="28"/>
    </row>
    <row r="1141">
      <c r="A1141" s="5" t="s">
        <v>1074</v>
      </c>
      <c r="B1141" s="6">
        <v>500.0</v>
      </c>
      <c r="C1141" s="7" t="s">
        <v>1065</v>
      </c>
      <c r="D1141" s="15">
        <v>75001.0</v>
      </c>
      <c r="F1141" s="15"/>
      <c r="G1141" s="26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28"/>
      <c r="AS1141" s="28"/>
      <c r="AT1141" s="28"/>
    </row>
    <row r="1142">
      <c r="A1142" s="5"/>
      <c r="B1142" s="6"/>
      <c r="C1142" s="7"/>
      <c r="D1142" s="15"/>
      <c r="F1142" s="15"/>
      <c r="G1142" s="26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28"/>
      <c r="AS1142" s="28"/>
      <c r="AT1142" s="28"/>
    </row>
    <row r="1143">
      <c r="A1143" s="5" t="s">
        <v>1076</v>
      </c>
      <c r="B1143" s="6">
        <v>100.0</v>
      </c>
      <c r="C1143" s="7" t="s">
        <v>1065</v>
      </c>
      <c r="D1143" s="15">
        <v>75228.0</v>
      </c>
      <c r="F1143" s="15"/>
      <c r="G1143" s="26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28"/>
      <c r="AS1143" s="28"/>
      <c r="AT1143" s="28"/>
    </row>
    <row r="1144">
      <c r="A1144" s="5"/>
      <c r="B1144" s="6"/>
      <c r="C1144" s="7"/>
      <c r="D1144" s="15"/>
      <c r="F1144" s="15"/>
      <c r="G1144" s="26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28"/>
      <c r="AS1144" s="28"/>
      <c r="AT1144" s="28"/>
    </row>
    <row r="1145">
      <c r="A1145" s="5" t="s">
        <v>1078</v>
      </c>
      <c r="B1145" s="6">
        <v>2500.0</v>
      </c>
      <c r="C1145" s="7" t="s">
        <v>1065</v>
      </c>
      <c r="D1145" s="15">
        <v>75201.0</v>
      </c>
      <c r="F1145" s="15"/>
      <c r="G1145" s="26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</row>
    <row r="1146">
      <c r="A1146" s="5" t="s">
        <v>1079</v>
      </c>
      <c r="B1146" s="6">
        <v>20.0</v>
      </c>
      <c r="C1146" s="7" t="s">
        <v>1065</v>
      </c>
      <c r="D1146" s="15">
        <v>75225.0</v>
      </c>
      <c r="F1146" s="15"/>
      <c r="G1146" s="26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28"/>
      <c r="AS1146" s="28"/>
      <c r="AT1146" s="28"/>
    </row>
    <row r="1147">
      <c r="A1147" s="5" t="s">
        <v>1080</v>
      </c>
      <c r="B1147" s="6">
        <v>500.0</v>
      </c>
      <c r="C1147" s="7" t="s">
        <v>1065</v>
      </c>
      <c r="D1147" s="15">
        <v>75229.0</v>
      </c>
      <c r="F1147" s="15"/>
      <c r="G1147" s="26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28"/>
      <c r="AS1147" s="28"/>
      <c r="AT1147" s="28"/>
    </row>
    <row r="1148">
      <c r="A1148" s="5" t="s">
        <v>1081</v>
      </c>
      <c r="B1148" s="6">
        <v>500.0</v>
      </c>
      <c r="C1148" s="7" t="s">
        <v>1065</v>
      </c>
      <c r="D1148" s="15">
        <v>75234.0</v>
      </c>
      <c r="F1148" s="15"/>
      <c r="G1148" s="26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28"/>
      <c r="AS1148" s="28"/>
      <c r="AT1148" s="28"/>
    </row>
    <row r="1149">
      <c r="A1149" s="5" t="s">
        <v>1082</v>
      </c>
      <c r="B1149" s="6">
        <v>500.0</v>
      </c>
      <c r="C1149" s="7" t="s">
        <v>1065</v>
      </c>
      <c r="D1149" s="15">
        <v>75230.0</v>
      </c>
      <c r="F1149" s="15"/>
      <c r="G1149" s="26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28"/>
      <c r="AS1149" s="28"/>
      <c r="AT1149" s="28"/>
    </row>
    <row r="1150">
      <c r="A1150" s="5" t="s">
        <v>1083</v>
      </c>
      <c r="B1150" s="6">
        <v>5000.0</v>
      </c>
      <c r="C1150" s="7" t="s">
        <v>1065</v>
      </c>
      <c r="D1150" s="15">
        <v>78701.0</v>
      </c>
      <c r="F1150" s="15"/>
      <c r="G1150" s="26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28"/>
      <c r="AS1150" s="28"/>
      <c r="AT1150" s="28"/>
    </row>
    <row r="1151">
      <c r="A1151" s="5" t="s">
        <v>1084</v>
      </c>
      <c r="B1151" s="6">
        <v>1000.0</v>
      </c>
      <c r="C1151" s="7" t="s">
        <v>1065</v>
      </c>
      <c r="D1151" s="15">
        <v>75154.0</v>
      </c>
      <c r="F1151" s="15"/>
      <c r="G1151" s="26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28"/>
      <c r="AS1151" s="28"/>
      <c r="AT1151" s="28"/>
    </row>
    <row r="1152">
      <c r="A1152" s="5"/>
      <c r="B1152" s="6"/>
      <c r="C1152" s="7"/>
      <c r="D1152" s="15"/>
      <c r="F1152" s="15"/>
      <c r="G1152" s="26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28"/>
      <c r="AS1152" s="28"/>
      <c r="AT1152" s="28"/>
    </row>
    <row r="1153">
      <c r="A1153" s="5" t="s">
        <v>1086</v>
      </c>
      <c r="B1153" s="6">
        <v>100.0</v>
      </c>
      <c r="C1153" s="7" t="s">
        <v>1065</v>
      </c>
      <c r="D1153" s="15">
        <v>75248.0</v>
      </c>
      <c r="F1153" s="15"/>
      <c r="G1153" s="26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28"/>
      <c r="AS1153" s="28"/>
      <c r="AT1153" s="28"/>
    </row>
    <row r="1154">
      <c r="A1154" s="5" t="s">
        <v>1087</v>
      </c>
      <c r="B1154" s="6">
        <v>50.0</v>
      </c>
      <c r="C1154" s="7" t="s">
        <v>1065</v>
      </c>
      <c r="D1154" s="15">
        <v>75228.0</v>
      </c>
      <c r="F1154" s="15"/>
      <c r="G1154" s="26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28"/>
      <c r="AS1154" s="28"/>
      <c r="AT1154" s="28"/>
    </row>
    <row r="1155">
      <c r="A1155" s="5" t="s">
        <v>1088</v>
      </c>
      <c r="B1155" s="6">
        <v>100.0</v>
      </c>
      <c r="C1155" s="7" t="s">
        <v>1065</v>
      </c>
      <c r="D1155" s="15">
        <v>75236.0</v>
      </c>
      <c r="F1155" s="15"/>
      <c r="G1155" s="26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</row>
    <row r="1156">
      <c r="A1156" s="5"/>
      <c r="B1156" s="6"/>
      <c r="C1156" s="7"/>
      <c r="D1156" s="15"/>
      <c r="F1156" s="15"/>
      <c r="G1156" s="26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</row>
    <row r="1157">
      <c r="A1157" s="5" t="s">
        <v>1090</v>
      </c>
      <c r="B1157" s="6">
        <v>25.0</v>
      </c>
      <c r="C1157" s="7" t="s">
        <v>1065</v>
      </c>
      <c r="D1157" s="15">
        <v>75230.0</v>
      </c>
      <c r="F1157" s="15"/>
      <c r="G1157" s="26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</row>
    <row r="1158">
      <c r="A1158" s="5" t="s">
        <v>1091</v>
      </c>
      <c r="B1158" s="6">
        <v>100.0</v>
      </c>
      <c r="C1158" s="7" t="s">
        <v>1065</v>
      </c>
      <c r="D1158" s="15">
        <v>75229.0</v>
      </c>
      <c r="F1158" s="15"/>
      <c r="G1158" s="26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28"/>
      <c r="AS1158" s="28"/>
      <c r="AT1158" s="28"/>
    </row>
    <row r="1159">
      <c r="A1159" s="5" t="s">
        <v>1092</v>
      </c>
      <c r="B1159" s="6">
        <v>250.0</v>
      </c>
      <c r="C1159" s="7" t="s">
        <v>1065</v>
      </c>
      <c r="D1159" s="15">
        <v>75372.0</v>
      </c>
      <c r="F1159" s="15"/>
      <c r="G1159" s="26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28"/>
      <c r="AS1159" s="28"/>
      <c r="AT1159" s="28"/>
    </row>
    <row r="1160">
      <c r="A1160" s="5" t="s">
        <v>1093</v>
      </c>
      <c r="B1160" s="6">
        <v>5000.0</v>
      </c>
      <c r="C1160" s="7" t="s">
        <v>1065</v>
      </c>
      <c r="D1160" s="15">
        <v>75230.0</v>
      </c>
      <c r="F1160" s="15"/>
      <c r="G1160" s="26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28"/>
      <c r="AS1160" s="28"/>
      <c r="AT1160" s="28"/>
    </row>
    <row r="1161">
      <c r="A1161" s="5" t="s">
        <v>1094</v>
      </c>
      <c r="B1161" s="6">
        <v>500.0</v>
      </c>
      <c r="C1161" s="7" t="s">
        <v>1065</v>
      </c>
      <c r="D1161" s="15">
        <v>75115.0</v>
      </c>
      <c r="F1161" s="15"/>
      <c r="G1161" s="26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28"/>
      <c r="AS1161" s="28"/>
      <c r="AT1161" s="28"/>
    </row>
    <row r="1162">
      <c r="A1162" s="5" t="s">
        <v>1095</v>
      </c>
      <c r="B1162" s="6">
        <v>100.0</v>
      </c>
      <c r="C1162" s="7" t="s">
        <v>1065</v>
      </c>
      <c r="D1162" s="15">
        <v>75209.0</v>
      </c>
      <c r="F1162" s="15"/>
      <c r="G1162" s="26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28"/>
      <c r="AS1162" s="28"/>
      <c r="AT1162" s="28"/>
    </row>
    <row r="1163">
      <c r="A1163" s="5" t="s">
        <v>1096</v>
      </c>
      <c r="B1163" s="6">
        <v>500.0</v>
      </c>
      <c r="C1163" s="7" t="s">
        <v>1065</v>
      </c>
      <c r="D1163" s="15">
        <v>75218.0</v>
      </c>
      <c r="F1163" s="15"/>
      <c r="G1163" s="26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28"/>
      <c r="AS1163" s="28"/>
      <c r="AT1163" s="28"/>
    </row>
    <row r="1164">
      <c r="A1164" s="5" t="s">
        <v>1097</v>
      </c>
      <c r="B1164" s="6">
        <v>2500.0</v>
      </c>
      <c r="C1164" s="7" t="s">
        <v>1065</v>
      </c>
      <c r="D1164" s="15">
        <v>75205.0</v>
      </c>
      <c r="F1164" s="15"/>
      <c r="G1164" s="26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28"/>
      <c r="AS1164" s="28"/>
      <c r="AT1164" s="28"/>
    </row>
    <row r="1165">
      <c r="A1165" s="5" t="s">
        <v>1087</v>
      </c>
      <c r="B1165" s="6">
        <v>10.0</v>
      </c>
      <c r="C1165" s="7" t="s">
        <v>1065</v>
      </c>
      <c r="D1165" s="15">
        <v>75228.0</v>
      </c>
      <c r="F1165" s="15"/>
      <c r="G1165" s="26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28"/>
      <c r="AS1165" s="28"/>
      <c r="AT1165" s="28"/>
    </row>
    <row r="1166">
      <c r="A1166" s="5" t="s">
        <v>1098</v>
      </c>
      <c r="B1166" s="6">
        <v>1000.0</v>
      </c>
      <c r="C1166" s="7" t="s">
        <v>1060</v>
      </c>
      <c r="D1166" s="15">
        <v>75214.0</v>
      </c>
      <c r="F1166" s="15"/>
      <c r="G1166" s="26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28"/>
      <c r="AS1166" s="28"/>
      <c r="AT1166" s="28"/>
    </row>
    <row r="1167">
      <c r="A1167" s="10" t="s">
        <v>1099</v>
      </c>
      <c r="B1167" s="11">
        <v>100.0</v>
      </c>
      <c r="C1167" s="12" t="s">
        <v>1060</v>
      </c>
      <c r="D1167" s="15">
        <v>75080.0</v>
      </c>
      <c r="F1167" s="15"/>
      <c r="G1167" s="26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</row>
    <row r="1168">
      <c r="A1168" s="5" t="s">
        <v>1100</v>
      </c>
      <c r="B1168" s="6">
        <v>50.0</v>
      </c>
      <c r="C1168" s="7" t="s">
        <v>1060</v>
      </c>
      <c r="D1168" s="15">
        <v>75219.0</v>
      </c>
      <c r="F1168" s="15"/>
      <c r="G1168" s="26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28"/>
      <c r="AS1168" s="28"/>
      <c r="AT1168" s="28"/>
    </row>
    <row r="1169">
      <c r="A1169" s="10" t="s">
        <v>1101</v>
      </c>
      <c r="B1169" s="11">
        <v>100.0</v>
      </c>
      <c r="C1169" s="12" t="s">
        <v>1060</v>
      </c>
      <c r="D1169" s="15">
        <v>75201.0</v>
      </c>
      <c r="F1169" s="15"/>
      <c r="G1169" s="26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28"/>
      <c r="AS1169" s="28"/>
      <c r="AT1169" s="28"/>
    </row>
    <row r="1170">
      <c r="A1170" s="5" t="s">
        <v>1102</v>
      </c>
      <c r="B1170" s="6">
        <v>75.0</v>
      </c>
      <c r="C1170" s="7" t="s">
        <v>1060</v>
      </c>
      <c r="D1170" s="15">
        <v>75206.0</v>
      </c>
      <c r="F1170" s="15"/>
      <c r="G1170" s="26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28"/>
      <c r="AS1170" s="28"/>
      <c r="AT1170" s="28"/>
    </row>
    <row r="1171">
      <c r="A1171" s="10" t="s">
        <v>1103</v>
      </c>
      <c r="B1171" s="11">
        <v>100.0</v>
      </c>
      <c r="C1171" s="12" t="s">
        <v>1060</v>
      </c>
      <c r="D1171" s="15">
        <v>75206.0</v>
      </c>
      <c r="F1171" s="15"/>
      <c r="G1171" s="26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</row>
    <row r="1172">
      <c r="A1172" s="5" t="s">
        <v>1104</v>
      </c>
      <c r="B1172" s="6">
        <v>50.0</v>
      </c>
      <c r="C1172" s="7" t="s">
        <v>1060</v>
      </c>
      <c r="D1172" s="15">
        <v>75228.0</v>
      </c>
      <c r="F1172" s="15"/>
      <c r="G1172" s="26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28"/>
      <c r="AS1172" s="28"/>
      <c r="AT1172" s="28"/>
    </row>
    <row r="1173">
      <c r="A1173" s="10" t="s">
        <v>1105</v>
      </c>
      <c r="B1173" s="11">
        <v>100.0</v>
      </c>
      <c r="C1173" s="12" t="s">
        <v>1060</v>
      </c>
      <c r="D1173" s="15">
        <v>75214.0</v>
      </c>
      <c r="F1173" s="15"/>
      <c r="G1173" s="26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/>
    </row>
    <row r="1174">
      <c r="A1174" s="5" t="s">
        <v>1106</v>
      </c>
      <c r="B1174" s="6">
        <v>200.0</v>
      </c>
      <c r="C1174" s="7" t="s">
        <v>1060</v>
      </c>
      <c r="D1174" s="15">
        <v>75246.0</v>
      </c>
      <c r="F1174" s="15"/>
      <c r="G1174" s="26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28"/>
      <c r="AS1174" s="28"/>
      <c r="AT1174" s="28"/>
    </row>
    <row r="1175">
      <c r="A1175" s="10" t="s">
        <v>1107</v>
      </c>
      <c r="B1175" s="11">
        <v>500.0</v>
      </c>
      <c r="C1175" s="12" t="s">
        <v>1060</v>
      </c>
      <c r="D1175" s="15">
        <v>75219.0</v>
      </c>
      <c r="F1175" s="15"/>
      <c r="G1175" s="26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</row>
    <row r="1176">
      <c r="A1176" s="5" t="s">
        <v>1108</v>
      </c>
      <c r="B1176" s="6">
        <v>200.0</v>
      </c>
      <c r="C1176" s="7" t="s">
        <v>1060</v>
      </c>
      <c r="D1176" s="15">
        <v>75214.0</v>
      </c>
      <c r="F1176" s="15"/>
      <c r="G1176" s="26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28"/>
      <c r="AS1176" s="28"/>
      <c r="AT1176" s="28"/>
    </row>
    <row r="1177">
      <c r="A1177" s="10" t="s">
        <v>1109</v>
      </c>
      <c r="B1177" s="11">
        <v>50.0</v>
      </c>
      <c r="C1177" s="12" t="s">
        <v>1060</v>
      </c>
      <c r="D1177" s="15">
        <v>75244.0</v>
      </c>
      <c r="F1177" s="15"/>
      <c r="G1177" s="26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</row>
    <row r="1178">
      <c r="A1178" s="5" t="s">
        <v>1110</v>
      </c>
      <c r="B1178" s="6">
        <v>100.0</v>
      </c>
      <c r="C1178" s="7" t="s">
        <v>1060</v>
      </c>
      <c r="D1178" s="15">
        <v>75201.0</v>
      </c>
      <c r="F1178" s="15"/>
      <c r="G1178" s="26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28"/>
      <c r="AS1178" s="28"/>
      <c r="AT1178" s="28"/>
    </row>
    <row r="1179">
      <c r="A1179" s="10" t="s">
        <v>1111</v>
      </c>
      <c r="B1179" s="11">
        <v>750.0</v>
      </c>
      <c r="C1179" s="12" t="s">
        <v>1060</v>
      </c>
      <c r="D1179" s="15">
        <v>75220.0</v>
      </c>
      <c r="F1179" s="15"/>
      <c r="G1179" s="26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28"/>
      <c r="AS1179" s="28"/>
      <c r="AT1179" s="28"/>
    </row>
    <row r="1180">
      <c r="A1180" s="5" t="s">
        <v>1112</v>
      </c>
      <c r="B1180" s="6">
        <v>750.0</v>
      </c>
      <c r="C1180" s="7" t="s">
        <v>1060</v>
      </c>
      <c r="D1180" s="15">
        <v>75220.0</v>
      </c>
      <c r="F1180" s="15"/>
      <c r="G1180" s="26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28"/>
      <c r="AS1180" s="28"/>
      <c r="AT1180" s="28"/>
    </row>
    <row r="1181">
      <c r="A1181" s="10" t="s">
        <v>1113</v>
      </c>
      <c r="B1181" s="11">
        <v>100.0</v>
      </c>
      <c r="C1181" s="12" t="s">
        <v>1060</v>
      </c>
      <c r="D1181" s="15">
        <v>75206.0</v>
      </c>
      <c r="F1181" s="15"/>
      <c r="G1181" s="26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28"/>
      <c r="AS1181" s="28"/>
      <c r="AT1181" s="28"/>
    </row>
    <row r="1182">
      <c r="A1182" s="5" t="s">
        <v>1114</v>
      </c>
      <c r="B1182" s="6">
        <v>1000.0</v>
      </c>
      <c r="C1182" s="7" t="s">
        <v>1060</v>
      </c>
      <c r="D1182" s="15">
        <v>75231.0</v>
      </c>
      <c r="F1182" s="15"/>
      <c r="G1182" s="26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28"/>
      <c r="AS1182" s="28"/>
      <c r="AT1182" s="28"/>
    </row>
    <row r="1183">
      <c r="A1183" s="10" t="s">
        <v>1115</v>
      </c>
      <c r="B1183" s="11">
        <v>500.0</v>
      </c>
      <c r="C1183" s="12" t="s">
        <v>1060</v>
      </c>
      <c r="D1183" s="15">
        <v>75230.0</v>
      </c>
      <c r="F1183" s="15"/>
      <c r="G1183" s="26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28"/>
      <c r="AS1183" s="28"/>
      <c r="AT1183" s="28"/>
    </row>
    <row r="1184">
      <c r="A1184" s="5" t="s">
        <v>1116</v>
      </c>
      <c r="B1184" s="6">
        <v>200.0</v>
      </c>
      <c r="C1184" s="7" t="s">
        <v>1060</v>
      </c>
      <c r="D1184" s="15">
        <v>75205.0</v>
      </c>
      <c r="F1184" s="15"/>
      <c r="G1184" s="26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28"/>
      <c r="AS1184" s="28"/>
      <c r="AT1184" s="28"/>
    </row>
    <row r="1185">
      <c r="A1185" s="10" t="s">
        <v>1117</v>
      </c>
      <c r="B1185" s="11">
        <v>500.0</v>
      </c>
      <c r="C1185" s="12" t="s">
        <v>1060</v>
      </c>
      <c r="D1185" s="15">
        <v>75225.0</v>
      </c>
      <c r="F1185" s="15"/>
      <c r="G1185" s="26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</row>
    <row r="1186">
      <c r="A1186" s="5" t="s">
        <v>1118</v>
      </c>
      <c r="B1186" s="6">
        <v>500.0</v>
      </c>
      <c r="C1186" s="7" t="s">
        <v>1060</v>
      </c>
      <c r="D1186" s="15">
        <v>75002.0</v>
      </c>
      <c r="F1186" s="15"/>
      <c r="G1186" s="26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28"/>
      <c r="AS1186" s="28"/>
      <c r="AT1186" s="28"/>
    </row>
    <row r="1187">
      <c r="A1187" s="10" t="s">
        <v>1119</v>
      </c>
      <c r="B1187" s="11">
        <v>500.0</v>
      </c>
      <c r="C1187" s="12" t="s">
        <v>1060</v>
      </c>
      <c r="D1187" s="15">
        <v>75201.0</v>
      </c>
      <c r="F1187" s="15"/>
      <c r="G1187" s="26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28"/>
      <c r="AS1187" s="28"/>
      <c r="AT1187" s="28"/>
    </row>
    <row r="1188">
      <c r="A1188" s="5" t="s">
        <v>1120</v>
      </c>
      <c r="B1188" s="6">
        <v>250.0</v>
      </c>
      <c r="C1188" s="7" t="s">
        <v>1060</v>
      </c>
      <c r="D1188" s="15">
        <v>75219.0</v>
      </c>
      <c r="F1188" s="15"/>
      <c r="G1188" s="26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</row>
    <row r="1189">
      <c r="A1189" s="10" t="s">
        <v>1121</v>
      </c>
      <c r="B1189" s="11">
        <v>200.0</v>
      </c>
      <c r="C1189" s="12" t="s">
        <v>1060</v>
      </c>
      <c r="D1189" s="15">
        <v>75214.0</v>
      </c>
      <c r="F1189" s="15"/>
      <c r="G1189" s="26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</row>
    <row r="1190">
      <c r="A1190" s="5" t="s">
        <v>1122</v>
      </c>
      <c r="B1190" s="6">
        <v>200.0</v>
      </c>
      <c r="C1190" s="7" t="s">
        <v>1060</v>
      </c>
      <c r="D1190" s="15">
        <v>75219.0</v>
      </c>
      <c r="F1190" s="15"/>
      <c r="G1190" s="26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28"/>
      <c r="AS1190" s="28"/>
      <c r="AT1190" s="28"/>
    </row>
    <row r="1191">
      <c r="A1191" s="10" t="s">
        <v>1123</v>
      </c>
      <c r="B1191" s="11">
        <v>100.0</v>
      </c>
      <c r="C1191" s="12" t="s">
        <v>1060</v>
      </c>
      <c r="D1191" s="15">
        <v>75206.0</v>
      </c>
      <c r="F1191" s="15"/>
      <c r="G1191" s="26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28"/>
      <c r="AS1191" s="28"/>
      <c r="AT1191" s="28"/>
    </row>
    <row r="1192">
      <c r="A1192" s="5" t="s">
        <v>1124</v>
      </c>
      <c r="B1192" s="6">
        <v>100.0</v>
      </c>
      <c r="C1192" s="7" t="s">
        <v>1060</v>
      </c>
      <c r="D1192" s="15">
        <v>75219.0</v>
      </c>
      <c r="F1192" s="15"/>
      <c r="G1192" s="26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28"/>
      <c r="AS1192" s="28"/>
      <c r="AT1192" s="28"/>
    </row>
    <row r="1193">
      <c r="A1193" s="10" t="s">
        <v>1125</v>
      </c>
      <c r="B1193" s="11">
        <v>50.0</v>
      </c>
      <c r="C1193" s="12" t="s">
        <v>1060</v>
      </c>
      <c r="D1193" s="15">
        <v>75219.0</v>
      </c>
      <c r="F1193" s="15"/>
      <c r="G1193" s="26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28"/>
      <c r="AS1193" s="28"/>
      <c r="AT1193" s="28"/>
    </row>
    <row r="1194">
      <c r="A1194" s="5" t="s">
        <v>1102</v>
      </c>
      <c r="B1194" s="6">
        <v>25.0</v>
      </c>
      <c r="C1194" s="7" t="s">
        <v>1060</v>
      </c>
      <c r="D1194" s="15">
        <v>75206.0</v>
      </c>
      <c r="F1194" s="15"/>
      <c r="G1194" s="26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28"/>
      <c r="AS1194" s="28"/>
      <c r="AT1194" s="28"/>
    </row>
    <row r="1195">
      <c r="A1195" s="10" t="s">
        <v>1126</v>
      </c>
      <c r="B1195" s="11">
        <v>25.0</v>
      </c>
      <c r="C1195" s="12" t="s">
        <v>1060</v>
      </c>
      <c r="D1195" s="15">
        <v>75206.0</v>
      </c>
      <c r="F1195" s="15"/>
      <c r="G1195" s="26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28"/>
      <c r="AS1195" s="28"/>
      <c r="AT1195" s="28"/>
    </row>
    <row r="1196">
      <c r="A1196" s="5" t="s">
        <v>1127</v>
      </c>
      <c r="B1196" s="6">
        <v>150.0</v>
      </c>
      <c r="C1196" s="7" t="s">
        <v>1060</v>
      </c>
      <c r="D1196" s="15">
        <v>75219.0</v>
      </c>
      <c r="F1196" s="15"/>
      <c r="G1196" s="26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28"/>
      <c r="AS1196" s="28"/>
      <c r="AT1196" s="28"/>
    </row>
    <row r="1197">
      <c r="A1197" s="10" t="s">
        <v>1128</v>
      </c>
      <c r="B1197" s="11">
        <v>200.0</v>
      </c>
      <c r="C1197" s="12" t="s">
        <v>1060</v>
      </c>
      <c r="D1197" s="15">
        <v>75219.0</v>
      </c>
      <c r="F1197" s="15"/>
      <c r="G1197" s="26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</row>
    <row r="1198">
      <c r="A1198" s="5" t="s">
        <v>1129</v>
      </c>
      <c r="B1198" s="6">
        <v>150.0</v>
      </c>
      <c r="C1198" s="7" t="s">
        <v>1060</v>
      </c>
      <c r="D1198" s="15">
        <v>75214.0</v>
      </c>
      <c r="F1198" s="15"/>
      <c r="G1198" s="26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28"/>
      <c r="AS1198" s="28"/>
      <c r="AT1198" s="28"/>
    </row>
    <row r="1199">
      <c r="A1199" s="10" t="s">
        <v>1130</v>
      </c>
      <c r="B1199" s="11">
        <v>100.0</v>
      </c>
      <c r="C1199" s="12" t="s">
        <v>1060</v>
      </c>
      <c r="D1199" s="15">
        <v>75214.0</v>
      </c>
      <c r="F1199" s="15"/>
      <c r="G1199" s="26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28"/>
      <c r="AS1199" s="28"/>
      <c r="AT1199" s="28"/>
    </row>
    <row r="1200">
      <c r="A1200" s="5" t="s">
        <v>1131</v>
      </c>
      <c r="B1200" s="6">
        <v>750.0</v>
      </c>
      <c r="C1200" s="7" t="s">
        <v>1060</v>
      </c>
      <c r="D1200" s="15">
        <v>75219.0</v>
      </c>
      <c r="F1200" s="15"/>
      <c r="G1200" s="26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28"/>
      <c r="AS1200" s="28"/>
      <c r="AT1200" s="28"/>
    </row>
    <row r="1201">
      <c r="A1201" s="10" t="s">
        <v>1132</v>
      </c>
      <c r="B1201" s="11">
        <v>750.0</v>
      </c>
      <c r="C1201" s="12" t="s">
        <v>1060</v>
      </c>
      <c r="D1201" s="15">
        <v>75219.0</v>
      </c>
      <c r="F1201" s="15"/>
      <c r="G1201" s="26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28"/>
      <c r="AS1201" s="28"/>
      <c r="AT1201" s="28"/>
    </row>
    <row r="1202">
      <c r="A1202" s="5"/>
      <c r="B1202" s="6"/>
      <c r="C1202" s="7"/>
      <c r="D1202" s="15"/>
      <c r="F1202" s="15"/>
      <c r="G1202" s="26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28"/>
      <c r="AS1202" s="28"/>
      <c r="AT1202" s="28"/>
    </row>
    <row r="1203">
      <c r="A1203" s="10" t="s">
        <v>1134</v>
      </c>
      <c r="B1203" s="11">
        <v>1000.0</v>
      </c>
      <c r="C1203" s="12" t="s">
        <v>1060</v>
      </c>
      <c r="D1203" s="15">
        <v>75034.0</v>
      </c>
      <c r="F1203" s="15"/>
      <c r="G1203" s="26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28"/>
      <c r="AS1203" s="28"/>
      <c r="AT1203" s="28"/>
    </row>
    <row r="1204">
      <c r="A1204" s="5" t="s">
        <v>1135</v>
      </c>
      <c r="B1204" s="6">
        <v>1000.0</v>
      </c>
      <c r="C1204" s="7" t="s">
        <v>1060</v>
      </c>
      <c r="D1204" s="15">
        <v>75034.0</v>
      </c>
      <c r="F1204" s="15"/>
      <c r="G1204" s="26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28"/>
      <c r="AS1204" s="28"/>
      <c r="AT1204" s="28"/>
    </row>
    <row r="1205">
      <c r="A1205" s="10" t="s">
        <v>1136</v>
      </c>
      <c r="B1205" s="11">
        <v>1000.0</v>
      </c>
      <c r="C1205" s="12" t="s">
        <v>1060</v>
      </c>
      <c r="D1205" s="15">
        <v>75219.0</v>
      </c>
      <c r="F1205" s="15"/>
      <c r="G1205" s="26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28"/>
      <c r="AS1205" s="28"/>
      <c r="AT1205" s="28"/>
    </row>
    <row r="1206">
      <c r="A1206" s="5" t="s">
        <v>1131</v>
      </c>
      <c r="B1206" s="6">
        <v>250.0</v>
      </c>
      <c r="C1206" s="7" t="s">
        <v>1060</v>
      </c>
      <c r="D1206" s="15">
        <v>75219.0</v>
      </c>
      <c r="F1206" s="15"/>
      <c r="G1206" s="26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28"/>
      <c r="AS1206" s="28"/>
      <c r="AT1206" s="28"/>
    </row>
    <row r="1207">
      <c r="A1207" s="10" t="s">
        <v>1132</v>
      </c>
      <c r="B1207" s="11">
        <v>250.0</v>
      </c>
      <c r="C1207" s="12" t="s">
        <v>1060</v>
      </c>
      <c r="D1207" s="15">
        <v>75219.0</v>
      </c>
      <c r="F1207" s="15"/>
      <c r="G1207" s="26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</row>
    <row r="1208">
      <c r="A1208" s="5" t="s">
        <v>1137</v>
      </c>
      <c r="B1208" s="6">
        <v>150.0</v>
      </c>
      <c r="C1208" s="7" t="s">
        <v>1060</v>
      </c>
      <c r="D1208" s="15">
        <v>75223.0</v>
      </c>
      <c r="F1208" s="15"/>
      <c r="G1208" s="26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28"/>
      <c r="AS1208" s="28"/>
      <c r="AT1208" s="28"/>
    </row>
    <row r="1209">
      <c r="A1209" s="10" t="s">
        <v>1138</v>
      </c>
      <c r="B1209" s="11">
        <v>500.0</v>
      </c>
      <c r="C1209" s="12" t="s">
        <v>1060</v>
      </c>
      <c r="D1209" s="15">
        <v>75201.0</v>
      </c>
      <c r="F1209" s="15"/>
      <c r="G1209" s="26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28"/>
      <c r="AS1209" s="28"/>
      <c r="AT1209" s="28"/>
    </row>
    <row r="1210">
      <c r="A1210" s="5" t="s">
        <v>1139</v>
      </c>
      <c r="B1210" s="6">
        <v>100.0</v>
      </c>
      <c r="C1210" s="7" t="s">
        <v>1060</v>
      </c>
      <c r="D1210" s="15">
        <v>75201.0</v>
      </c>
      <c r="F1210" s="15"/>
      <c r="G1210" s="26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28"/>
      <c r="AS1210" s="28"/>
      <c r="AT1210" s="28"/>
    </row>
    <row r="1211">
      <c r="A1211" s="10" t="s">
        <v>1140</v>
      </c>
      <c r="B1211" s="11">
        <v>1000.0</v>
      </c>
      <c r="C1211" s="12" t="s">
        <v>1060</v>
      </c>
      <c r="D1211" s="15">
        <v>75229.0</v>
      </c>
      <c r="F1211" s="15"/>
      <c r="G1211" s="26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28"/>
      <c r="AS1211" s="28"/>
      <c r="AT1211" s="28"/>
    </row>
    <row r="1212">
      <c r="A1212" s="5" t="s">
        <v>1141</v>
      </c>
      <c r="B1212" s="6">
        <v>50.0</v>
      </c>
      <c r="C1212" s="7" t="s">
        <v>1060</v>
      </c>
      <c r="D1212" s="15">
        <v>75214.0</v>
      </c>
      <c r="F1212" s="15"/>
      <c r="G1212" s="26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28"/>
      <c r="AS1212" s="28"/>
      <c r="AT1212" s="28"/>
    </row>
    <row r="1213">
      <c r="A1213" s="10" t="s">
        <v>1142</v>
      </c>
      <c r="B1213" s="11">
        <v>500.0</v>
      </c>
      <c r="C1213" s="12" t="s">
        <v>1060</v>
      </c>
      <c r="D1213" s="15">
        <v>75231.0</v>
      </c>
      <c r="F1213" s="15"/>
      <c r="G1213" s="26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28"/>
      <c r="AS1213" s="28"/>
      <c r="AT1213" s="28"/>
    </row>
    <row r="1214">
      <c r="A1214" s="5" t="s">
        <v>1143</v>
      </c>
      <c r="B1214" s="6">
        <v>500.0</v>
      </c>
      <c r="C1214" s="7" t="s">
        <v>1060</v>
      </c>
      <c r="D1214" s="15">
        <v>75201.0</v>
      </c>
      <c r="F1214" s="15"/>
      <c r="G1214" s="26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28"/>
      <c r="AS1214" s="28"/>
      <c r="AT1214" s="28"/>
    </row>
    <row r="1215">
      <c r="A1215" s="10" t="s">
        <v>1144</v>
      </c>
      <c r="B1215" s="11">
        <v>100.0</v>
      </c>
      <c r="C1215" s="12" t="s">
        <v>1060</v>
      </c>
      <c r="D1215" s="15">
        <v>75219.0</v>
      </c>
      <c r="F1215" s="15"/>
      <c r="G1215" s="26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28"/>
      <c r="AS1215" s="28"/>
      <c r="AT1215" s="28"/>
    </row>
    <row r="1216">
      <c r="A1216" s="5" t="s">
        <v>1145</v>
      </c>
      <c r="B1216" s="6">
        <v>100.0</v>
      </c>
      <c r="C1216" s="7" t="s">
        <v>1060</v>
      </c>
      <c r="D1216" s="15">
        <v>75204.0</v>
      </c>
      <c r="F1216" s="15"/>
      <c r="G1216" s="26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28"/>
      <c r="AS1216" s="28"/>
      <c r="AT1216" s="28"/>
    </row>
    <row r="1217">
      <c r="A1217" s="10" t="s">
        <v>1146</v>
      </c>
      <c r="B1217" s="11">
        <v>1000.0</v>
      </c>
      <c r="C1217" s="12" t="s">
        <v>1060</v>
      </c>
      <c r="D1217" s="15">
        <v>75214.0</v>
      </c>
      <c r="F1217" s="15"/>
      <c r="G1217" s="26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28"/>
      <c r="AS1217" s="28"/>
      <c r="AT1217" s="28"/>
    </row>
    <row r="1218">
      <c r="A1218" s="5" t="s">
        <v>1147</v>
      </c>
      <c r="B1218" s="6">
        <v>1000.0</v>
      </c>
      <c r="C1218" s="7" t="s">
        <v>1148</v>
      </c>
      <c r="D1218" s="15">
        <v>76244.0</v>
      </c>
      <c r="F1218" s="15"/>
      <c r="G1218" s="26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28"/>
      <c r="AS1218" s="28"/>
      <c r="AT1218" s="28"/>
    </row>
    <row r="1219">
      <c r="A1219" s="10" t="s">
        <v>1149</v>
      </c>
      <c r="B1219" s="11">
        <v>1000.0</v>
      </c>
      <c r="C1219" s="12" t="s">
        <v>1148</v>
      </c>
      <c r="D1219" s="15">
        <v>76244.0</v>
      </c>
      <c r="F1219" s="15"/>
      <c r="G1219" s="26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28"/>
      <c r="AS1219" s="28"/>
      <c r="AT1219" s="28"/>
    </row>
    <row r="1220">
      <c r="A1220" s="5" t="s">
        <v>1150</v>
      </c>
      <c r="B1220" s="6">
        <v>500.0</v>
      </c>
      <c r="C1220" s="7" t="s">
        <v>1151</v>
      </c>
      <c r="D1220" s="15">
        <v>75203.0</v>
      </c>
      <c r="F1220" s="15"/>
      <c r="G1220" s="26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</row>
    <row r="1221">
      <c r="A1221" s="5" t="s">
        <v>1152</v>
      </c>
      <c r="B1221" s="6">
        <v>500.0</v>
      </c>
      <c r="C1221" s="7" t="s">
        <v>1151</v>
      </c>
      <c r="D1221" s="15">
        <v>75208.0</v>
      </c>
      <c r="F1221" s="15"/>
      <c r="G1221" s="26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28"/>
      <c r="AS1221" s="28"/>
      <c r="AT1221" s="28"/>
    </row>
    <row r="1222">
      <c r="A1222" s="5" t="s">
        <v>1153</v>
      </c>
      <c r="B1222" s="6">
        <v>500.0</v>
      </c>
      <c r="C1222" s="7" t="s">
        <v>1151</v>
      </c>
      <c r="D1222" s="15">
        <v>75230.0</v>
      </c>
      <c r="F1222" s="15"/>
      <c r="G1222" s="26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28"/>
      <c r="AS1222" s="28"/>
      <c r="AT1222" s="28"/>
    </row>
    <row r="1223">
      <c r="A1223" s="5" t="s">
        <v>1154</v>
      </c>
      <c r="B1223" s="6">
        <v>1000.0</v>
      </c>
      <c r="C1223" s="7" t="s">
        <v>1151</v>
      </c>
      <c r="D1223" s="15">
        <v>75205.0</v>
      </c>
      <c r="F1223" s="15"/>
      <c r="G1223" s="26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28"/>
      <c r="AS1223" s="28"/>
      <c r="AT1223" s="28"/>
    </row>
    <row r="1224">
      <c r="A1224" s="5" t="s">
        <v>1155</v>
      </c>
      <c r="B1224" s="6">
        <v>1000.0</v>
      </c>
      <c r="C1224" s="7" t="s">
        <v>1151</v>
      </c>
      <c r="D1224" s="15">
        <v>75205.0</v>
      </c>
      <c r="F1224" s="15"/>
      <c r="G1224" s="26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28"/>
      <c r="AS1224" s="28"/>
      <c r="AT1224" s="28"/>
    </row>
    <row r="1225">
      <c r="A1225" s="5" t="s">
        <v>1156</v>
      </c>
      <c r="B1225" s="6">
        <v>250.0</v>
      </c>
      <c r="C1225" s="7" t="s">
        <v>1151</v>
      </c>
      <c r="D1225" s="15">
        <v>75014.0</v>
      </c>
      <c r="F1225" s="15"/>
      <c r="G1225" s="26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28"/>
      <c r="AS1225" s="28"/>
      <c r="AT1225" s="28"/>
    </row>
    <row r="1226">
      <c r="A1226" s="5" t="s">
        <v>1157</v>
      </c>
      <c r="B1226" s="6">
        <v>500.0</v>
      </c>
      <c r="C1226" s="7" t="s">
        <v>1151</v>
      </c>
      <c r="D1226" s="15">
        <v>75376.0</v>
      </c>
      <c r="F1226" s="15"/>
      <c r="G1226" s="26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28"/>
      <c r="AS1226" s="28"/>
      <c r="AT1226" s="28"/>
    </row>
    <row r="1227">
      <c r="A1227" s="5" t="s">
        <v>1158</v>
      </c>
      <c r="B1227" s="6">
        <v>50.0</v>
      </c>
      <c r="C1227" s="7" t="s">
        <v>1151</v>
      </c>
      <c r="D1227" s="15">
        <v>75218.0</v>
      </c>
      <c r="F1227" s="15"/>
      <c r="G1227" s="26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</row>
    <row r="1228">
      <c r="A1228" s="5" t="s">
        <v>1159</v>
      </c>
      <c r="B1228" s="6">
        <v>250.0</v>
      </c>
      <c r="C1228" s="7" t="s">
        <v>1151</v>
      </c>
      <c r="D1228" s="15">
        <v>75232.0</v>
      </c>
      <c r="F1228" s="15"/>
      <c r="G1228" s="26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28"/>
      <c r="AS1228" s="28"/>
      <c r="AT1228" s="28"/>
    </row>
    <row r="1229">
      <c r="A1229" s="5" t="s">
        <v>1160</v>
      </c>
      <c r="B1229" s="6">
        <v>100.0</v>
      </c>
      <c r="C1229" s="7" t="s">
        <v>1151</v>
      </c>
      <c r="D1229" s="15">
        <v>75214.0</v>
      </c>
      <c r="F1229" s="15"/>
      <c r="G1229" s="26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28"/>
      <c r="AS1229" s="28"/>
      <c r="AT1229" s="28"/>
    </row>
    <row r="1230">
      <c r="A1230" s="5" t="s">
        <v>1161</v>
      </c>
      <c r="B1230" s="6">
        <v>500.0</v>
      </c>
      <c r="C1230" s="7" t="s">
        <v>1151</v>
      </c>
      <c r="D1230" s="15">
        <v>75201.0</v>
      </c>
      <c r="F1230" s="15"/>
      <c r="G1230" s="26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28"/>
      <c r="AS1230" s="28"/>
      <c r="AT1230" s="28"/>
    </row>
    <row r="1231">
      <c r="A1231" s="5" t="s">
        <v>1162</v>
      </c>
      <c r="B1231" s="6">
        <v>200.0</v>
      </c>
      <c r="C1231" s="7" t="s">
        <v>627</v>
      </c>
      <c r="D1231" s="15">
        <v>75206.0</v>
      </c>
      <c r="F1231" s="15"/>
      <c r="G1231" s="26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</row>
    <row r="1232">
      <c r="A1232" s="10" t="s">
        <v>1163</v>
      </c>
      <c r="B1232" s="11">
        <v>250.0</v>
      </c>
      <c r="C1232" s="12" t="s">
        <v>627</v>
      </c>
      <c r="D1232" s="15">
        <v>78723.0</v>
      </c>
      <c r="F1232" s="15"/>
      <c r="G1232" s="26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28"/>
      <c r="AS1232" s="28"/>
      <c r="AT1232" s="28"/>
    </row>
    <row r="1233">
      <c r="A1233" s="5" t="s">
        <v>1164</v>
      </c>
      <c r="B1233" s="6">
        <v>1000.0</v>
      </c>
      <c r="C1233" s="7" t="s">
        <v>627</v>
      </c>
      <c r="D1233" s="15">
        <v>75201.0</v>
      </c>
      <c r="F1233" s="15"/>
      <c r="G1233" s="26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28"/>
      <c r="AS1233" s="28"/>
      <c r="AT1233" s="28"/>
    </row>
    <row r="1234">
      <c r="A1234" s="10" t="s">
        <v>1165</v>
      </c>
      <c r="B1234" s="11">
        <v>250.0</v>
      </c>
      <c r="C1234" s="12" t="s">
        <v>627</v>
      </c>
      <c r="D1234" s="15">
        <v>11111.0</v>
      </c>
      <c r="F1234" s="15"/>
      <c r="G1234" s="26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28"/>
      <c r="AS1234" s="28"/>
      <c r="AT1234" s="28"/>
    </row>
    <row r="1235">
      <c r="A1235" s="5" t="s">
        <v>1166</v>
      </c>
      <c r="B1235" s="6">
        <v>50.0</v>
      </c>
      <c r="C1235" s="7" t="s">
        <v>627</v>
      </c>
      <c r="D1235" s="15">
        <v>75217.0</v>
      </c>
      <c r="F1235" s="15"/>
      <c r="G1235" s="26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</row>
    <row r="1236">
      <c r="A1236" s="10" t="s">
        <v>1167</v>
      </c>
      <c r="B1236" s="11">
        <v>1000.0</v>
      </c>
      <c r="C1236" s="12" t="s">
        <v>627</v>
      </c>
      <c r="D1236" s="15">
        <v>75218.0</v>
      </c>
      <c r="F1236" s="15"/>
      <c r="G1236" s="26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</row>
    <row r="1237">
      <c r="A1237" s="5" t="s">
        <v>1168</v>
      </c>
      <c r="B1237" s="6">
        <v>5.0</v>
      </c>
      <c r="C1237" s="7" t="s">
        <v>627</v>
      </c>
      <c r="D1237" s="15">
        <v>75217.0</v>
      </c>
      <c r="F1237" s="15"/>
      <c r="G1237" s="26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28"/>
      <c r="AS1237" s="28"/>
      <c r="AT1237" s="28"/>
    </row>
    <row r="1238">
      <c r="A1238" s="10" t="s">
        <v>1169</v>
      </c>
      <c r="B1238" s="11">
        <v>100.0</v>
      </c>
      <c r="C1238" s="12" t="s">
        <v>627</v>
      </c>
      <c r="D1238" s="15">
        <v>75227.0</v>
      </c>
      <c r="F1238" s="15"/>
      <c r="G1238" s="26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28"/>
      <c r="AS1238" s="28"/>
      <c r="AT1238" s="28"/>
    </row>
    <row r="1239">
      <c r="A1239" s="5" t="s">
        <v>1170</v>
      </c>
      <c r="B1239" s="6">
        <v>100.0</v>
      </c>
      <c r="C1239" s="7" t="s">
        <v>627</v>
      </c>
      <c r="D1239" s="15">
        <v>75137.0</v>
      </c>
      <c r="F1239" s="15"/>
      <c r="G1239" s="26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</row>
    <row r="1240">
      <c r="A1240" s="10" t="s">
        <v>1171</v>
      </c>
      <c r="B1240" s="11">
        <v>1000.0</v>
      </c>
      <c r="C1240" s="12" t="s">
        <v>627</v>
      </c>
      <c r="D1240" s="15">
        <v>75230.0</v>
      </c>
      <c r="F1240" s="15"/>
      <c r="G1240" s="26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28"/>
      <c r="AS1240" s="28"/>
      <c r="AT1240" s="28"/>
    </row>
    <row r="1241">
      <c r="A1241" s="5" t="s">
        <v>1172</v>
      </c>
      <c r="B1241" s="6">
        <v>1000.0</v>
      </c>
      <c r="C1241" s="7" t="s">
        <v>627</v>
      </c>
      <c r="D1241" s="15">
        <v>75134.0</v>
      </c>
      <c r="F1241" s="15"/>
      <c r="G1241" s="26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28"/>
      <c r="AS1241" s="28"/>
      <c r="AT1241" s="28"/>
    </row>
    <row r="1242">
      <c r="A1242" s="10" t="s">
        <v>1173</v>
      </c>
      <c r="B1242" s="11">
        <v>500.0</v>
      </c>
      <c r="C1242" s="12" t="s">
        <v>627</v>
      </c>
      <c r="D1242" s="15">
        <v>75206.0</v>
      </c>
      <c r="F1242" s="15"/>
      <c r="G1242" s="26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28"/>
      <c r="AS1242" s="28"/>
      <c r="AT1242" s="28"/>
    </row>
    <row r="1243">
      <c r="A1243" s="5" t="s">
        <v>1174</v>
      </c>
      <c r="B1243" s="6">
        <v>500.0</v>
      </c>
      <c r="C1243" s="7" t="s">
        <v>627</v>
      </c>
      <c r="D1243" s="15">
        <v>75238.0</v>
      </c>
      <c r="F1243" s="15"/>
      <c r="G1243" s="26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28"/>
      <c r="AS1243" s="28"/>
      <c r="AT1243" s="28"/>
    </row>
    <row r="1244">
      <c r="A1244" s="10" t="s">
        <v>1173</v>
      </c>
      <c r="B1244" s="11">
        <v>300.0</v>
      </c>
      <c r="C1244" s="12" t="s">
        <v>627</v>
      </c>
      <c r="D1244" s="15">
        <v>75206.0</v>
      </c>
      <c r="F1244" s="15"/>
      <c r="G1244" s="26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28"/>
      <c r="AS1244" s="28"/>
      <c r="AT1244" s="28"/>
    </row>
    <row r="1245">
      <c r="A1245" s="5" t="s">
        <v>1175</v>
      </c>
      <c r="B1245" s="6">
        <v>1000.0</v>
      </c>
      <c r="C1245" s="7" t="s">
        <v>634</v>
      </c>
      <c r="D1245" s="15">
        <v>75220.0</v>
      </c>
      <c r="F1245" s="15"/>
      <c r="G1245" s="26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28"/>
      <c r="AS1245" s="28"/>
      <c r="AT1245" s="28"/>
    </row>
    <row r="1246">
      <c r="A1246" s="5" t="s">
        <v>1176</v>
      </c>
      <c r="B1246" s="6">
        <v>500.0</v>
      </c>
      <c r="C1246" s="7" t="s">
        <v>634</v>
      </c>
      <c r="D1246" s="15">
        <v>75230.0</v>
      </c>
      <c r="F1246" s="15"/>
      <c r="G1246" s="26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28"/>
      <c r="AS1246" s="28"/>
      <c r="AT1246" s="28"/>
    </row>
    <row r="1247">
      <c r="A1247" s="5" t="s">
        <v>1177</v>
      </c>
      <c r="B1247" s="6">
        <v>100.0</v>
      </c>
      <c r="C1247" s="7" t="s">
        <v>634</v>
      </c>
      <c r="D1247" s="15">
        <v>75240.0</v>
      </c>
      <c r="F1247" s="15"/>
      <c r="G1247" s="26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28"/>
      <c r="AS1247" s="28"/>
      <c r="AT1247" s="28"/>
    </row>
    <row r="1248">
      <c r="A1248" s="5" t="s">
        <v>1178</v>
      </c>
      <c r="B1248" s="6">
        <v>100.0</v>
      </c>
      <c r="C1248" s="7" t="s">
        <v>634</v>
      </c>
      <c r="D1248" s="15">
        <v>75201.0</v>
      </c>
      <c r="F1248" s="15"/>
      <c r="G1248" s="26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28"/>
      <c r="AS1248" s="28"/>
      <c r="AT1248" s="28"/>
    </row>
    <row r="1249">
      <c r="A1249" s="5" t="s">
        <v>1179</v>
      </c>
      <c r="B1249" s="6">
        <v>1000.0</v>
      </c>
      <c r="C1249" s="7" t="s">
        <v>634</v>
      </c>
      <c r="D1249" s="15">
        <v>75230.0</v>
      </c>
      <c r="F1249" s="15"/>
      <c r="G1249" s="26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</row>
    <row r="1250">
      <c r="A1250" s="5" t="s">
        <v>1180</v>
      </c>
      <c r="B1250" s="6">
        <v>50.0</v>
      </c>
      <c r="C1250" s="7" t="s">
        <v>634</v>
      </c>
      <c r="D1250" s="15">
        <v>75248.0</v>
      </c>
      <c r="F1250" s="15"/>
      <c r="G1250" s="26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28"/>
      <c r="AS1250" s="28"/>
      <c r="AT1250" s="28"/>
    </row>
    <row r="1251">
      <c r="A1251" s="5" t="s">
        <v>1181</v>
      </c>
      <c r="B1251" s="6">
        <v>50.0</v>
      </c>
      <c r="C1251" s="7" t="s">
        <v>634</v>
      </c>
      <c r="D1251" s="15">
        <v>75228.0</v>
      </c>
      <c r="F1251" s="15"/>
      <c r="G1251" s="26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28"/>
      <c r="AS1251" s="28"/>
      <c r="AT1251" s="28"/>
    </row>
    <row r="1252">
      <c r="A1252" s="5" t="s">
        <v>1182</v>
      </c>
      <c r="B1252" s="6">
        <v>500.0</v>
      </c>
      <c r="C1252" s="7" t="s">
        <v>634</v>
      </c>
      <c r="D1252" s="15">
        <v>75230.0</v>
      </c>
      <c r="F1252" s="15"/>
      <c r="G1252" s="26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</row>
    <row r="1253">
      <c r="A1253" s="5" t="s">
        <v>1183</v>
      </c>
      <c r="B1253" s="6">
        <v>50.0</v>
      </c>
      <c r="C1253" s="7" t="s">
        <v>634</v>
      </c>
      <c r="D1253" s="15">
        <v>75230.0</v>
      </c>
      <c r="F1253" s="15"/>
      <c r="G1253" s="26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28"/>
      <c r="AS1253" s="28"/>
      <c r="AT1253" s="28"/>
    </row>
    <row r="1254">
      <c r="A1254" s="5" t="s">
        <v>1184</v>
      </c>
      <c r="B1254" s="6">
        <v>250.0</v>
      </c>
      <c r="C1254" s="7" t="s">
        <v>634</v>
      </c>
      <c r="D1254" s="15">
        <v>75254.0</v>
      </c>
      <c r="F1254" s="15"/>
      <c r="G1254" s="26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28"/>
      <c r="AS1254" s="28"/>
      <c r="AT1254" s="28"/>
    </row>
    <row r="1255">
      <c r="A1255" s="5" t="s">
        <v>1185</v>
      </c>
      <c r="B1255" s="6">
        <v>1000.0</v>
      </c>
      <c r="C1255" s="7" t="s">
        <v>634</v>
      </c>
      <c r="D1255" s="15">
        <v>75254.0</v>
      </c>
      <c r="F1255" s="15"/>
      <c r="G1255" s="26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</row>
    <row r="1256">
      <c r="A1256" s="5" t="s">
        <v>1186</v>
      </c>
      <c r="B1256" s="6">
        <v>50.0</v>
      </c>
      <c r="C1256" s="7" t="s">
        <v>634</v>
      </c>
      <c r="D1256" s="15">
        <v>75230.0</v>
      </c>
      <c r="F1256" s="15"/>
      <c r="G1256" s="26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</row>
    <row r="1257">
      <c r="A1257" s="5" t="s">
        <v>1187</v>
      </c>
      <c r="B1257" s="6">
        <v>100.0</v>
      </c>
      <c r="C1257" s="7" t="s">
        <v>634</v>
      </c>
      <c r="D1257" s="15">
        <v>75240.0</v>
      </c>
      <c r="F1257" s="15"/>
      <c r="G1257" s="26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28"/>
      <c r="AS1257" s="28"/>
      <c r="AT1257" s="28"/>
    </row>
    <row r="1258">
      <c r="A1258" s="5" t="s">
        <v>1188</v>
      </c>
      <c r="B1258" s="6">
        <v>1000.0</v>
      </c>
      <c r="C1258" s="7" t="s">
        <v>634</v>
      </c>
      <c r="D1258" s="15">
        <v>75201.0</v>
      </c>
      <c r="F1258" s="15"/>
      <c r="G1258" s="26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28"/>
      <c r="AS1258" s="28"/>
      <c r="AT1258" s="28"/>
    </row>
    <row r="1259">
      <c r="A1259" s="5" t="s">
        <v>1189</v>
      </c>
      <c r="B1259" s="6">
        <v>1000.0</v>
      </c>
      <c r="C1259" s="7" t="s">
        <v>634</v>
      </c>
      <c r="D1259" s="15">
        <v>75230.0</v>
      </c>
      <c r="F1259" s="15"/>
      <c r="G1259" s="26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28"/>
      <c r="AS1259" s="28"/>
      <c r="AT1259" s="28"/>
    </row>
    <row r="1260">
      <c r="A1260" s="5"/>
      <c r="B1260" s="6"/>
      <c r="C1260" s="7"/>
      <c r="D1260" s="15"/>
      <c r="F1260" s="15"/>
      <c r="G1260" s="26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</row>
    <row r="1261">
      <c r="A1261" s="5" t="s">
        <v>1191</v>
      </c>
      <c r="B1261" s="6">
        <v>100.0</v>
      </c>
      <c r="C1261" s="7" t="s">
        <v>634</v>
      </c>
      <c r="D1261" s="15">
        <v>75252.0</v>
      </c>
      <c r="F1261" s="15"/>
      <c r="G1261" s="26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28"/>
      <c r="AS1261" s="28"/>
      <c r="AT1261" s="28"/>
    </row>
    <row r="1262">
      <c r="A1262" s="5" t="s">
        <v>1192</v>
      </c>
      <c r="B1262" s="6">
        <v>100.0</v>
      </c>
      <c r="C1262" s="7" t="s">
        <v>634</v>
      </c>
      <c r="D1262" s="15">
        <v>75315.0</v>
      </c>
      <c r="F1262" s="15"/>
      <c r="G1262" s="26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28"/>
      <c r="AS1262" s="28"/>
      <c r="AT1262" s="28"/>
    </row>
    <row r="1263">
      <c r="A1263" s="5" t="s">
        <v>1193</v>
      </c>
      <c r="B1263" s="6">
        <v>100.0</v>
      </c>
      <c r="C1263" s="7" t="s">
        <v>634</v>
      </c>
      <c r="D1263" s="15">
        <v>75254.0</v>
      </c>
      <c r="F1263" s="15"/>
      <c r="G1263" s="26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28"/>
      <c r="AS1263" s="28"/>
      <c r="AT1263" s="28"/>
    </row>
    <row r="1264">
      <c r="A1264" s="5" t="s">
        <v>1194</v>
      </c>
      <c r="B1264" s="6">
        <v>250.0</v>
      </c>
      <c r="C1264" s="7" t="s">
        <v>634</v>
      </c>
      <c r="D1264" s="15">
        <v>75219.0</v>
      </c>
      <c r="F1264" s="15"/>
      <c r="G1264" s="26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28"/>
      <c r="AS1264" s="28"/>
      <c r="AT1264" s="28"/>
    </row>
    <row r="1265">
      <c r="A1265" s="5" t="s">
        <v>1195</v>
      </c>
      <c r="B1265" s="6">
        <v>25.0</v>
      </c>
      <c r="C1265" s="7" t="s">
        <v>634</v>
      </c>
      <c r="D1265" s="15">
        <v>75208.0</v>
      </c>
      <c r="F1265" s="15"/>
      <c r="G1265" s="26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</row>
    <row r="1266">
      <c r="A1266" s="5" t="s">
        <v>1196</v>
      </c>
      <c r="B1266" s="6">
        <v>500.0</v>
      </c>
      <c r="C1266" s="7" t="s">
        <v>634</v>
      </c>
      <c r="D1266" s="15">
        <v>75240.0</v>
      </c>
      <c r="F1266" s="15"/>
      <c r="G1266" s="26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28"/>
      <c r="AS1266" s="28"/>
      <c r="AT1266" s="28"/>
    </row>
    <row r="1267">
      <c r="A1267" s="5" t="s">
        <v>1197</v>
      </c>
      <c r="B1267" s="6">
        <v>50.0</v>
      </c>
      <c r="C1267" s="7" t="s">
        <v>634</v>
      </c>
      <c r="D1267" s="15">
        <v>75240.0</v>
      </c>
      <c r="F1267" s="15"/>
      <c r="G1267" s="26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28"/>
      <c r="AS1267" s="28"/>
      <c r="AT1267" s="28"/>
    </row>
    <row r="1268">
      <c r="A1268" s="5" t="s">
        <v>1198</v>
      </c>
      <c r="B1268" s="6">
        <v>100.0</v>
      </c>
      <c r="C1268" s="7" t="s">
        <v>634</v>
      </c>
      <c r="D1268" s="15">
        <v>75225.0</v>
      </c>
      <c r="F1268" s="15"/>
      <c r="G1268" s="26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28"/>
      <c r="AS1268" s="28"/>
      <c r="AT1268" s="28"/>
    </row>
    <row r="1269">
      <c r="A1269" s="5" t="s">
        <v>1199</v>
      </c>
      <c r="B1269" s="6">
        <v>100.0</v>
      </c>
      <c r="C1269" s="7" t="s">
        <v>634</v>
      </c>
      <c r="D1269" s="15">
        <v>75225.0</v>
      </c>
      <c r="F1269" s="15"/>
      <c r="G1269" s="26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28"/>
      <c r="AS1269" s="28"/>
      <c r="AT1269" s="28"/>
    </row>
    <row r="1270">
      <c r="A1270" s="5" t="s">
        <v>1200</v>
      </c>
      <c r="B1270" s="6">
        <v>500.0</v>
      </c>
      <c r="C1270" s="7" t="s">
        <v>634</v>
      </c>
      <c r="D1270" s="15">
        <v>75230.0</v>
      </c>
      <c r="F1270" s="15"/>
      <c r="G1270" s="26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28"/>
      <c r="AS1270" s="28"/>
      <c r="AT1270" s="28"/>
    </row>
    <row r="1271">
      <c r="A1271" s="5" t="s">
        <v>1200</v>
      </c>
      <c r="B1271" s="6">
        <v>500.0</v>
      </c>
      <c r="C1271" s="7" t="s">
        <v>634</v>
      </c>
      <c r="D1271" s="15">
        <v>75230.0</v>
      </c>
      <c r="F1271" s="15"/>
      <c r="G1271" s="26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28"/>
      <c r="AS1271" s="28"/>
      <c r="AT1271" s="28"/>
    </row>
    <row r="1272">
      <c r="A1272" s="5" t="s">
        <v>1201</v>
      </c>
      <c r="B1272" s="6">
        <v>200.0</v>
      </c>
      <c r="C1272" s="7" t="s">
        <v>634</v>
      </c>
      <c r="D1272" s="15">
        <v>75248.0</v>
      </c>
      <c r="F1272" s="15"/>
      <c r="G1272" s="26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28"/>
      <c r="AS1272" s="28"/>
      <c r="AT1272" s="28"/>
    </row>
    <row r="1273">
      <c r="A1273" s="5" t="s">
        <v>1202</v>
      </c>
      <c r="B1273" s="6">
        <v>1000.0</v>
      </c>
      <c r="C1273" s="7" t="s">
        <v>634</v>
      </c>
      <c r="D1273" s="15">
        <v>75230.0</v>
      </c>
      <c r="F1273" s="15"/>
      <c r="G1273" s="26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28"/>
      <c r="AS1273" s="28"/>
      <c r="AT1273" s="28"/>
    </row>
    <row r="1274">
      <c r="A1274" s="5" t="s">
        <v>1203</v>
      </c>
      <c r="B1274" s="6">
        <v>250.0</v>
      </c>
      <c r="C1274" s="7" t="s">
        <v>634</v>
      </c>
      <c r="D1274" s="15">
        <v>75202.0</v>
      </c>
      <c r="F1274" s="15"/>
      <c r="G1274" s="26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28"/>
      <c r="AS1274" s="28"/>
      <c r="AT1274" s="28"/>
    </row>
    <row r="1275">
      <c r="A1275" s="5" t="s">
        <v>1204</v>
      </c>
      <c r="B1275" s="6">
        <v>100.0</v>
      </c>
      <c r="C1275" s="7" t="s">
        <v>634</v>
      </c>
      <c r="D1275" s="15">
        <v>75254.0</v>
      </c>
      <c r="F1275" s="15"/>
      <c r="G1275" s="26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</row>
    <row r="1276">
      <c r="A1276" s="5" t="s">
        <v>1205</v>
      </c>
      <c r="B1276" s="6">
        <v>50.0</v>
      </c>
      <c r="C1276" s="7" t="s">
        <v>634</v>
      </c>
      <c r="D1276" s="15">
        <v>75254.0</v>
      </c>
      <c r="F1276" s="15"/>
      <c r="G1276" s="26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28"/>
      <c r="AS1276" s="28"/>
      <c r="AT1276" s="28"/>
    </row>
    <row r="1277">
      <c r="A1277" s="5" t="s">
        <v>1206</v>
      </c>
      <c r="B1277" s="6">
        <v>500.0</v>
      </c>
      <c r="C1277" s="7" t="s">
        <v>634</v>
      </c>
      <c r="D1277" s="15">
        <v>75230.0</v>
      </c>
      <c r="F1277" s="15"/>
      <c r="G1277" s="26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28"/>
      <c r="AS1277" s="28"/>
      <c r="AT1277" s="28"/>
    </row>
    <row r="1278">
      <c r="A1278" s="5" t="s">
        <v>1207</v>
      </c>
      <c r="B1278" s="6">
        <v>1000.0</v>
      </c>
      <c r="C1278" s="7" t="s">
        <v>634</v>
      </c>
      <c r="D1278" s="15">
        <v>75229.0</v>
      </c>
      <c r="F1278" s="15"/>
      <c r="G1278" s="26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28"/>
      <c r="AS1278" s="28"/>
      <c r="AT1278" s="28"/>
    </row>
    <row r="1279">
      <c r="A1279" s="5" t="s">
        <v>1208</v>
      </c>
      <c r="B1279" s="6">
        <v>100.0</v>
      </c>
      <c r="C1279" s="7" t="s">
        <v>634</v>
      </c>
      <c r="D1279" s="15">
        <v>75201.0</v>
      </c>
      <c r="F1279" s="15"/>
      <c r="G1279" s="26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28"/>
      <c r="AS1279" s="28"/>
      <c r="AT1279" s="28"/>
    </row>
    <row r="1280">
      <c r="A1280" s="5" t="s">
        <v>1209</v>
      </c>
      <c r="B1280" s="6">
        <v>25.0</v>
      </c>
      <c r="C1280" s="7" t="s">
        <v>634</v>
      </c>
      <c r="D1280" s="15">
        <v>75254.0</v>
      </c>
      <c r="F1280" s="15"/>
      <c r="G1280" s="26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</row>
    <row r="1281">
      <c r="A1281" s="5" t="s">
        <v>1210</v>
      </c>
      <c r="B1281" s="6">
        <v>500.0</v>
      </c>
      <c r="C1281" s="7" t="s">
        <v>634</v>
      </c>
      <c r="D1281" s="15">
        <v>75230.0</v>
      </c>
      <c r="F1281" s="15"/>
      <c r="G1281" s="26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28"/>
      <c r="AS1281" s="28"/>
      <c r="AT1281" s="28"/>
    </row>
    <row r="1282">
      <c r="A1282" s="5" t="s">
        <v>1211</v>
      </c>
      <c r="B1282" s="6">
        <v>100.0</v>
      </c>
      <c r="C1282" s="7" t="s">
        <v>634</v>
      </c>
      <c r="D1282" s="15">
        <v>75230.0</v>
      </c>
      <c r="F1282" s="15"/>
      <c r="G1282" s="26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28"/>
      <c r="AS1282" s="28"/>
      <c r="AT1282" s="28"/>
    </row>
    <row r="1283">
      <c r="A1283" s="5" t="s">
        <v>1212</v>
      </c>
      <c r="B1283" s="6">
        <v>100.0</v>
      </c>
      <c r="C1283" s="7" t="s">
        <v>634</v>
      </c>
      <c r="D1283" s="15">
        <v>75075.0</v>
      </c>
      <c r="F1283" s="15"/>
      <c r="G1283" s="26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28"/>
      <c r="AS1283" s="28"/>
      <c r="AT1283" s="28"/>
    </row>
    <row r="1284">
      <c r="A1284" s="5" t="s">
        <v>1213</v>
      </c>
      <c r="B1284" s="6">
        <v>500.0</v>
      </c>
      <c r="C1284" s="7" t="s">
        <v>634</v>
      </c>
      <c r="D1284" s="15">
        <v>75230.0</v>
      </c>
      <c r="F1284" s="15"/>
      <c r="G1284" s="26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28"/>
      <c r="AS1284" s="28"/>
      <c r="AT1284" s="28"/>
    </row>
    <row r="1285">
      <c r="A1285" s="5" t="s">
        <v>1214</v>
      </c>
      <c r="B1285" s="6">
        <v>18.18</v>
      </c>
      <c r="C1285" s="7" t="s">
        <v>634</v>
      </c>
      <c r="D1285" s="15">
        <v>75225.0</v>
      </c>
      <c r="F1285" s="15"/>
      <c r="G1285" s="26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28"/>
      <c r="AS1285" s="28"/>
      <c r="AT1285" s="28"/>
    </row>
    <row r="1286">
      <c r="A1286" s="5" t="s">
        <v>1215</v>
      </c>
      <c r="B1286" s="6">
        <v>250.0</v>
      </c>
      <c r="C1286" s="7" t="s">
        <v>634</v>
      </c>
      <c r="D1286" s="15">
        <v>75248.0</v>
      </c>
      <c r="F1286" s="15"/>
      <c r="G1286" s="26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28"/>
      <c r="AS1286" s="28"/>
      <c r="AT1286" s="28"/>
    </row>
    <row r="1287">
      <c r="A1287" s="5" t="s">
        <v>1216</v>
      </c>
      <c r="B1287" s="6">
        <v>100.0</v>
      </c>
      <c r="C1287" s="7" t="s">
        <v>634</v>
      </c>
      <c r="D1287" s="15">
        <v>75230.0</v>
      </c>
      <c r="F1287" s="15"/>
      <c r="G1287" s="26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28"/>
      <c r="AS1287" s="28"/>
      <c r="AT1287" s="28"/>
    </row>
    <row r="1288">
      <c r="A1288" s="5" t="s">
        <v>1217</v>
      </c>
      <c r="B1288" s="6">
        <v>25.0</v>
      </c>
      <c r="C1288" s="7" t="s">
        <v>634</v>
      </c>
      <c r="D1288" s="15">
        <v>75229.0</v>
      </c>
      <c r="F1288" s="15"/>
      <c r="G1288" s="26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28"/>
      <c r="AS1288" s="28"/>
      <c r="AT1288" s="28"/>
    </row>
    <row r="1289">
      <c r="A1289" s="5" t="s">
        <v>1218</v>
      </c>
      <c r="B1289" s="6">
        <v>1000.0</v>
      </c>
      <c r="C1289" s="7" t="s">
        <v>634</v>
      </c>
      <c r="D1289" s="15">
        <v>75220.0</v>
      </c>
      <c r="F1289" s="15"/>
      <c r="G1289" s="26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</row>
    <row r="1290">
      <c r="A1290" s="5" t="s">
        <v>1219</v>
      </c>
      <c r="B1290" s="6">
        <v>100.0</v>
      </c>
      <c r="C1290" s="7" t="s">
        <v>634</v>
      </c>
      <c r="D1290" s="15">
        <v>75287.0</v>
      </c>
      <c r="F1290" s="15"/>
      <c r="G1290" s="26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28"/>
      <c r="AS1290" s="28"/>
      <c r="AT1290" s="28"/>
    </row>
    <row r="1291">
      <c r="A1291" s="5" t="s">
        <v>1219</v>
      </c>
      <c r="B1291" s="6">
        <v>100.0</v>
      </c>
      <c r="C1291" s="7" t="s">
        <v>634</v>
      </c>
      <c r="D1291" s="15">
        <v>75287.0</v>
      </c>
      <c r="F1291" s="15"/>
      <c r="G1291" s="26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28"/>
      <c r="AS1291" s="28"/>
      <c r="AT1291" s="28"/>
    </row>
    <row r="1292">
      <c r="A1292" s="5" t="s">
        <v>1219</v>
      </c>
      <c r="B1292" s="6">
        <v>100.0</v>
      </c>
      <c r="C1292" s="7" t="s">
        <v>634</v>
      </c>
      <c r="D1292" s="15">
        <v>75287.0</v>
      </c>
      <c r="F1292" s="15"/>
      <c r="G1292" s="26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28"/>
      <c r="AS1292" s="28"/>
      <c r="AT1292" s="28"/>
    </row>
    <row r="1293">
      <c r="A1293" s="5" t="s">
        <v>19</v>
      </c>
      <c r="B1293" s="6">
        <v>250.0</v>
      </c>
      <c r="C1293" s="7" t="s">
        <v>634</v>
      </c>
      <c r="D1293" s="15">
        <v>75048.0</v>
      </c>
      <c r="F1293" s="15"/>
      <c r="G1293" s="26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28"/>
      <c r="AS1293" s="28"/>
      <c r="AT1293" s="28"/>
    </row>
    <row r="1294">
      <c r="A1294" s="5" t="s">
        <v>1220</v>
      </c>
      <c r="B1294" s="6">
        <v>18.0</v>
      </c>
      <c r="C1294" s="7" t="s">
        <v>634</v>
      </c>
      <c r="D1294" s="15">
        <v>75230.0</v>
      </c>
      <c r="F1294" s="15"/>
      <c r="G1294" s="26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28"/>
      <c r="AS1294" s="28"/>
      <c r="AT1294" s="28"/>
    </row>
    <row r="1295">
      <c r="A1295" s="5" t="s">
        <v>1221</v>
      </c>
      <c r="B1295" s="6">
        <v>100.0</v>
      </c>
      <c r="C1295" s="7" t="s">
        <v>634</v>
      </c>
      <c r="D1295" s="15">
        <v>75230.0</v>
      </c>
      <c r="F1295" s="15"/>
      <c r="G1295" s="26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28"/>
      <c r="AS1295" s="28"/>
      <c r="AT1295" s="28"/>
    </row>
    <row r="1296">
      <c r="A1296" s="5" t="s">
        <v>1222</v>
      </c>
      <c r="B1296" s="6">
        <v>100.0</v>
      </c>
      <c r="C1296" s="7" t="s">
        <v>634</v>
      </c>
      <c r="D1296" s="15">
        <v>75208.0</v>
      </c>
      <c r="F1296" s="15"/>
      <c r="G1296" s="26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</row>
    <row r="1297">
      <c r="A1297" s="5" t="s">
        <v>1223</v>
      </c>
      <c r="B1297" s="6">
        <v>250.0</v>
      </c>
      <c r="C1297" s="7" t="s">
        <v>634</v>
      </c>
      <c r="D1297" s="15">
        <v>75230.0</v>
      </c>
      <c r="F1297" s="15"/>
      <c r="G1297" s="26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28"/>
      <c r="AS1297" s="28"/>
      <c r="AT1297" s="28"/>
    </row>
    <row r="1298">
      <c r="A1298" s="5" t="s">
        <v>1224</v>
      </c>
      <c r="B1298" s="6">
        <v>1000.0</v>
      </c>
      <c r="C1298" s="7" t="s">
        <v>634</v>
      </c>
      <c r="D1298" s="15">
        <v>75230.0</v>
      </c>
      <c r="F1298" s="15"/>
      <c r="G1298" s="26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28"/>
      <c r="AS1298" s="28"/>
      <c r="AT1298" s="28"/>
    </row>
    <row r="1299">
      <c r="A1299" s="5" t="s">
        <v>1225</v>
      </c>
      <c r="B1299" s="6">
        <v>50.0</v>
      </c>
      <c r="C1299" s="7" t="s">
        <v>634</v>
      </c>
      <c r="D1299" s="15">
        <v>75254.0</v>
      </c>
      <c r="F1299" s="15"/>
      <c r="G1299" s="26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28"/>
      <c r="AS1299" s="28"/>
      <c r="AT1299" s="28"/>
    </row>
    <row r="1300">
      <c r="A1300" s="5" t="s">
        <v>1226</v>
      </c>
      <c r="B1300" s="6">
        <v>150.0</v>
      </c>
      <c r="C1300" s="7" t="s">
        <v>634</v>
      </c>
      <c r="D1300" s="15">
        <v>75223.0</v>
      </c>
      <c r="F1300" s="15"/>
      <c r="G1300" s="26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28"/>
      <c r="AS1300" s="28"/>
      <c r="AT1300" s="28"/>
    </row>
    <row r="1301">
      <c r="A1301" s="5" t="s">
        <v>1227</v>
      </c>
      <c r="B1301" s="6">
        <v>25.0</v>
      </c>
      <c r="C1301" s="7" t="s">
        <v>634</v>
      </c>
      <c r="D1301" s="15">
        <v>75230.0</v>
      </c>
      <c r="F1301" s="15"/>
      <c r="G1301" s="26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28"/>
      <c r="AS1301" s="28"/>
      <c r="AT1301" s="28"/>
    </row>
    <row r="1302">
      <c r="A1302" s="5" t="s">
        <v>1228</v>
      </c>
      <c r="B1302" s="6">
        <v>250.0</v>
      </c>
      <c r="C1302" s="7" t="s">
        <v>634</v>
      </c>
      <c r="D1302" s="15">
        <v>75248.0</v>
      </c>
      <c r="F1302" s="15"/>
      <c r="G1302" s="26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28"/>
      <c r="AS1302" s="28"/>
      <c r="AT1302" s="28"/>
    </row>
    <row r="1303">
      <c r="A1303" s="5" t="s">
        <v>1229</v>
      </c>
      <c r="B1303" s="6">
        <v>500.0</v>
      </c>
      <c r="C1303" s="7" t="s">
        <v>634</v>
      </c>
      <c r="D1303" s="15">
        <v>75240.0</v>
      </c>
      <c r="F1303" s="15"/>
      <c r="G1303" s="26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</row>
    <row r="1304">
      <c r="A1304" s="5"/>
      <c r="B1304" s="6"/>
      <c r="C1304" s="7"/>
      <c r="D1304" s="15"/>
      <c r="F1304" s="15"/>
      <c r="G1304" s="26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28"/>
      <c r="AS1304" s="28"/>
      <c r="AT1304" s="28"/>
    </row>
    <row r="1305">
      <c r="A1305" s="5" t="s">
        <v>1231</v>
      </c>
      <c r="B1305" s="6">
        <v>1000.0</v>
      </c>
      <c r="C1305" s="7" t="s">
        <v>634</v>
      </c>
      <c r="D1305" s="15">
        <v>75211.0</v>
      </c>
      <c r="F1305" s="15"/>
      <c r="G1305" s="26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28"/>
      <c r="AS1305" s="28"/>
      <c r="AT1305" s="28"/>
    </row>
    <row r="1306">
      <c r="A1306" s="5" t="s">
        <v>1232</v>
      </c>
      <c r="B1306" s="6">
        <v>100.0</v>
      </c>
      <c r="C1306" s="7" t="s">
        <v>634</v>
      </c>
      <c r="D1306" s="15">
        <v>75230.0</v>
      </c>
      <c r="F1306" s="15"/>
      <c r="G1306" s="26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28"/>
      <c r="AS1306" s="28"/>
      <c r="AT1306" s="28"/>
    </row>
    <row r="1307">
      <c r="A1307" s="5" t="s">
        <v>1233</v>
      </c>
      <c r="B1307" s="6">
        <v>1000.0</v>
      </c>
      <c r="C1307" s="7" t="s">
        <v>634</v>
      </c>
      <c r="D1307" s="15">
        <v>75219.0</v>
      </c>
      <c r="F1307" s="15"/>
      <c r="G1307" s="26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28"/>
      <c r="AS1307" s="28"/>
      <c r="AT1307" s="28"/>
    </row>
    <row r="1308">
      <c r="A1308" s="5" t="s">
        <v>1234</v>
      </c>
      <c r="B1308" s="6">
        <v>100.0</v>
      </c>
      <c r="C1308" s="7" t="s">
        <v>634</v>
      </c>
      <c r="D1308" s="15">
        <v>75230.0</v>
      </c>
      <c r="F1308" s="15"/>
      <c r="G1308" s="26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28"/>
      <c r="AS1308" s="28"/>
      <c r="AT1308" s="28"/>
    </row>
    <row r="1309">
      <c r="A1309" s="5" t="s">
        <v>1235</v>
      </c>
      <c r="B1309" s="6">
        <v>360.0</v>
      </c>
      <c r="C1309" s="7" t="s">
        <v>634</v>
      </c>
      <c r="D1309" s="15">
        <v>75093.0</v>
      </c>
      <c r="F1309" s="15"/>
      <c r="G1309" s="26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</row>
    <row r="1310">
      <c r="A1310" s="5" t="s">
        <v>1236</v>
      </c>
      <c r="B1310" s="6">
        <v>1000.0</v>
      </c>
      <c r="C1310" s="7" t="s">
        <v>634</v>
      </c>
      <c r="D1310" s="15">
        <v>75229.0</v>
      </c>
      <c r="F1310" s="15"/>
      <c r="G1310" s="26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28"/>
      <c r="AS1310" s="28"/>
      <c r="AT1310" s="28"/>
    </row>
    <row r="1311">
      <c r="A1311" s="5" t="s">
        <v>1237</v>
      </c>
      <c r="B1311" s="6">
        <v>1000.0</v>
      </c>
      <c r="C1311" s="7" t="s">
        <v>1238</v>
      </c>
      <c r="D1311" s="15">
        <v>75201.0</v>
      </c>
      <c r="F1311" s="15"/>
      <c r="G1311" s="26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28"/>
      <c r="AS1311" s="28"/>
      <c r="AT1311" s="28"/>
    </row>
    <row r="1312">
      <c r="A1312" s="10" t="s">
        <v>1239</v>
      </c>
      <c r="B1312" s="11">
        <v>250.0</v>
      </c>
      <c r="C1312" s="12" t="s">
        <v>1238</v>
      </c>
      <c r="D1312" s="15">
        <v>75238.0</v>
      </c>
      <c r="F1312" s="15"/>
      <c r="G1312" s="26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28"/>
      <c r="AS1312" s="28"/>
      <c r="AT1312" s="28"/>
    </row>
    <row r="1313">
      <c r="A1313" s="10" t="s">
        <v>1240</v>
      </c>
      <c r="B1313" s="11">
        <v>150.0</v>
      </c>
      <c r="C1313" s="12" t="s">
        <v>1238</v>
      </c>
      <c r="D1313" s="15">
        <v>75243.0</v>
      </c>
      <c r="F1313" s="15"/>
      <c r="G1313" s="26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</row>
    <row r="1314">
      <c r="A1314" s="10" t="s">
        <v>1241</v>
      </c>
      <c r="B1314" s="11">
        <v>150.0</v>
      </c>
      <c r="C1314" s="12" t="s">
        <v>1238</v>
      </c>
      <c r="D1314" s="15">
        <v>75243.0</v>
      </c>
      <c r="F1314" s="15"/>
      <c r="G1314" s="26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28"/>
      <c r="AS1314" s="28"/>
      <c r="AT1314" s="28"/>
    </row>
    <row r="1315">
      <c r="A1315" s="10" t="s">
        <v>1242</v>
      </c>
      <c r="B1315" s="11">
        <v>100.0</v>
      </c>
      <c r="C1315" s="12" t="s">
        <v>1238</v>
      </c>
      <c r="D1315" s="15">
        <v>75214.0</v>
      </c>
      <c r="F1315" s="15"/>
      <c r="G1315" s="26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28"/>
      <c r="AS1315" s="28"/>
      <c r="AT1315" s="28"/>
    </row>
    <row r="1316">
      <c r="A1316" s="10" t="s">
        <v>1243</v>
      </c>
      <c r="B1316" s="11">
        <v>150.0</v>
      </c>
      <c r="C1316" s="12" t="s">
        <v>1238</v>
      </c>
      <c r="D1316" s="15">
        <v>75231.0</v>
      </c>
      <c r="F1316" s="15"/>
      <c r="G1316" s="26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</row>
    <row r="1317">
      <c r="A1317" s="10" t="s">
        <v>1244</v>
      </c>
      <c r="B1317" s="11">
        <v>50.0</v>
      </c>
      <c r="C1317" s="12" t="s">
        <v>1151</v>
      </c>
      <c r="D1317" s="15">
        <v>75241.0</v>
      </c>
      <c r="F1317" s="15"/>
      <c r="G1317" s="26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</row>
    <row r="1318">
      <c r="A1318" s="10" t="s">
        <v>1245</v>
      </c>
      <c r="B1318" s="11">
        <v>200.0</v>
      </c>
      <c r="C1318" s="12" t="s">
        <v>1151</v>
      </c>
      <c r="D1318" s="15">
        <v>75001.0</v>
      </c>
      <c r="F1318" s="15"/>
      <c r="G1318" s="26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28"/>
      <c r="AS1318" s="28"/>
      <c r="AT1318" s="28"/>
    </row>
    <row r="1319">
      <c r="A1319" s="10" t="s">
        <v>1246</v>
      </c>
      <c r="B1319" s="11">
        <v>1000.0</v>
      </c>
      <c r="C1319" s="12" t="s">
        <v>1151</v>
      </c>
      <c r="D1319" s="15">
        <v>75208.0</v>
      </c>
      <c r="F1319" s="15"/>
      <c r="G1319" s="26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28"/>
      <c r="AS1319" s="28"/>
      <c r="AT1319" s="28"/>
    </row>
    <row r="1320">
      <c r="A1320" s="10" t="s">
        <v>1247</v>
      </c>
      <c r="B1320" s="11">
        <v>1000.0</v>
      </c>
      <c r="C1320" s="12" t="s">
        <v>1151</v>
      </c>
      <c r="D1320" s="15">
        <v>75115.0</v>
      </c>
      <c r="F1320" s="15"/>
      <c r="G1320" s="26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28"/>
      <c r="AS1320" s="28"/>
      <c r="AT1320" s="28"/>
    </row>
    <row r="1321">
      <c r="A1321" s="10" t="s">
        <v>1248</v>
      </c>
      <c r="B1321" s="11">
        <v>500.0</v>
      </c>
      <c r="C1321" s="12" t="s">
        <v>1151</v>
      </c>
      <c r="D1321" s="15">
        <v>75225.0</v>
      </c>
      <c r="F1321" s="15"/>
      <c r="G1321" s="26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28"/>
      <c r="AS1321" s="28"/>
      <c r="AT1321" s="28"/>
    </row>
    <row r="1322">
      <c r="A1322" s="10" t="s">
        <v>1174</v>
      </c>
      <c r="B1322" s="11">
        <v>250.0</v>
      </c>
      <c r="C1322" s="12" t="s">
        <v>1151</v>
      </c>
      <c r="D1322" s="15">
        <v>75238.0</v>
      </c>
      <c r="F1322" s="15"/>
      <c r="G1322" s="26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28"/>
      <c r="AS1322" s="28"/>
      <c r="AT1322" s="28"/>
    </row>
    <row r="1323">
      <c r="A1323" s="10" t="s">
        <v>1249</v>
      </c>
      <c r="B1323" s="11">
        <v>250.0</v>
      </c>
      <c r="C1323" s="12" t="s">
        <v>1151</v>
      </c>
      <c r="D1323" s="15">
        <v>75214.0</v>
      </c>
      <c r="F1323" s="15"/>
      <c r="G1323" s="26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28"/>
      <c r="AS1323" s="28"/>
      <c r="AT1323" s="28"/>
    </row>
    <row r="1324">
      <c r="A1324" s="10" t="s">
        <v>1250</v>
      </c>
      <c r="B1324" s="11">
        <v>500.0</v>
      </c>
      <c r="C1324" s="12" t="s">
        <v>1151</v>
      </c>
      <c r="D1324" s="15">
        <v>75098.0</v>
      </c>
      <c r="F1324" s="15"/>
      <c r="G1324" s="26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28"/>
      <c r="AS1324" s="28"/>
      <c r="AT1324" s="28"/>
    </row>
    <row r="1325">
      <c r="A1325" s="10" t="s">
        <v>1251</v>
      </c>
      <c r="B1325" s="11">
        <v>1000.0</v>
      </c>
      <c r="C1325" s="12" t="s">
        <v>1151</v>
      </c>
      <c r="D1325" s="15">
        <v>75134.0</v>
      </c>
      <c r="F1325" s="15"/>
      <c r="G1325" s="26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28"/>
      <c r="AS1325" s="28"/>
      <c r="AT1325" s="28"/>
    </row>
    <row r="1326">
      <c r="A1326" s="10" t="s">
        <v>1252</v>
      </c>
      <c r="B1326" s="11">
        <v>200.0</v>
      </c>
      <c r="C1326" s="12" t="s">
        <v>1151</v>
      </c>
      <c r="D1326" s="15">
        <v>75185.0</v>
      </c>
      <c r="F1326" s="15"/>
      <c r="G1326" s="26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28"/>
      <c r="AS1326" s="28"/>
      <c r="AT1326" s="28"/>
    </row>
    <row r="1327">
      <c r="A1327" s="10" t="s">
        <v>1253</v>
      </c>
      <c r="B1327" s="11">
        <v>1000.0</v>
      </c>
      <c r="C1327" s="12" t="s">
        <v>1151</v>
      </c>
      <c r="D1327" s="15">
        <v>75202.0</v>
      </c>
      <c r="F1327" s="15"/>
      <c r="G1327" s="26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</row>
    <row r="1328">
      <c r="A1328" s="10" t="s">
        <v>1254</v>
      </c>
      <c r="B1328" s="11">
        <v>500.0</v>
      </c>
      <c r="C1328" s="12" t="s">
        <v>1151</v>
      </c>
      <c r="D1328" s="15">
        <v>75082.0</v>
      </c>
      <c r="F1328" s="15"/>
      <c r="G1328" s="26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28"/>
      <c r="AS1328" s="28"/>
      <c r="AT1328" s="28"/>
    </row>
    <row r="1329">
      <c r="A1329" s="10" t="s">
        <v>1255</v>
      </c>
      <c r="B1329" s="11">
        <v>500.0</v>
      </c>
      <c r="C1329" s="12" t="s">
        <v>1151</v>
      </c>
      <c r="D1329" s="15">
        <v>75028.0</v>
      </c>
      <c r="F1329" s="15"/>
      <c r="G1329" s="26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28"/>
      <c r="AS1329" s="28"/>
      <c r="AT1329" s="28"/>
    </row>
    <row r="1330">
      <c r="A1330" s="10" t="s">
        <v>1256</v>
      </c>
      <c r="B1330" s="11">
        <v>300.0</v>
      </c>
      <c r="C1330" s="12" t="s">
        <v>1151</v>
      </c>
      <c r="D1330" s="15">
        <v>75010.0</v>
      </c>
      <c r="F1330" s="15"/>
      <c r="G1330" s="26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28"/>
      <c r="AS1330" s="28"/>
      <c r="AT1330" s="28"/>
    </row>
    <row r="1331">
      <c r="A1331" s="10" t="s">
        <v>1257</v>
      </c>
      <c r="B1331" s="11">
        <v>200.0</v>
      </c>
      <c r="C1331" s="12" t="s">
        <v>1151</v>
      </c>
      <c r="D1331" s="15">
        <v>75240.0</v>
      </c>
      <c r="F1331" s="15"/>
      <c r="G1331" s="26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</row>
    <row r="1332">
      <c r="A1332" s="10" t="s">
        <v>1258</v>
      </c>
      <c r="B1332" s="11">
        <v>200.0</v>
      </c>
      <c r="C1332" s="12" t="s">
        <v>1151</v>
      </c>
      <c r="D1332" s="15">
        <v>75093.0</v>
      </c>
      <c r="F1332" s="15"/>
      <c r="G1332" s="26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28"/>
      <c r="AS1332" s="28"/>
      <c r="AT1332" s="28"/>
    </row>
    <row r="1333">
      <c r="A1333" s="10" t="s">
        <v>1259</v>
      </c>
      <c r="B1333" s="11">
        <v>200.0</v>
      </c>
      <c r="C1333" s="12" t="s">
        <v>1151</v>
      </c>
      <c r="D1333" s="15">
        <v>76017.0</v>
      </c>
      <c r="F1333" s="15"/>
      <c r="G1333" s="26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</row>
    <row r="1334">
      <c r="A1334" s="10" t="s">
        <v>1260</v>
      </c>
      <c r="B1334" s="11">
        <v>200.0</v>
      </c>
      <c r="C1334" s="12" t="s">
        <v>1151</v>
      </c>
      <c r="D1334" s="15">
        <v>75080.0</v>
      </c>
      <c r="F1334" s="15"/>
      <c r="G1334" s="26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28"/>
      <c r="AS1334" s="28"/>
      <c r="AT1334" s="28"/>
    </row>
    <row r="1335">
      <c r="A1335" s="10" t="s">
        <v>1261</v>
      </c>
      <c r="B1335" s="11">
        <v>100.0</v>
      </c>
      <c r="C1335" s="12" t="s">
        <v>1151</v>
      </c>
      <c r="D1335" s="15">
        <v>75025.0</v>
      </c>
      <c r="F1335" s="15"/>
      <c r="G1335" s="26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28"/>
      <c r="AS1335" s="28"/>
      <c r="AT1335" s="28"/>
    </row>
    <row r="1336">
      <c r="A1336" s="10" t="s">
        <v>1262</v>
      </c>
      <c r="B1336" s="11">
        <v>100.0</v>
      </c>
      <c r="C1336" s="12" t="s">
        <v>1151</v>
      </c>
      <c r="D1336" s="15">
        <v>75093.0</v>
      </c>
      <c r="F1336" s="15"/>
      <c r="G1336" s="26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</row>
    <row r="1337">
      <c r="A1337" s="10" t="s">
        <v>1263</v>
      </c>
      <c r="B1337" s="11">
        <v>250.0</v>
      </c>
      <c r="C1337" s="12" t="s">
        <v>1151</v>
      </c>
      <c r="D1337" s="15">
        <v>76107.0</v>
      </c>
      <c r="F1337" s="15"/>
      <c r="G1337" s="26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28"/>
      <c r="AS1337" s="28"/>
      <c r="AT1337" s="28"/>
    </row>
    <row r="1338">
      <c r="A1338" s="10" t="s">
        <v>1236</v>
      </c>
      <c r="B1338" s="11">
        <v>1000.0</v>
      </c>
      <c r="C1338" s="12" t="s">
        <v>1151</v>
      </c>
      <c r="D1338" s="15">
        <v>75229.0</v>
      </c>
      <c r="F1338" s="15"/>
      <c r="G1338" s="26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28"/>
      <c r="AS1338" s="28"/>
      <c r="AT1338" s="28"/>
    </row>
    <row r="1339">
      <c r="A1339" s="10" t="s">
        <v>1264</v>
      </c>
      <c r="B1339" s="11">
        <v>1000.0</v>
      </c>
      <c r="C1339" s="12" t="s">
        <v>1151</v>
      </c>
      <c r="D1339" s="15">
        <v>75201.0</v>
      </c>
      <c r="F1339" s="15"/>
      <c r="G1339" s="26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28"/>
      <c r="AS1339" s="28"/>
      <c r="AT1339" s="28"/>
    </row>
    <row r="1340">
      <c r="A1340" s="10" t="s">
        <v>1265</v>
      </c>
      <c r="B1340" s="11">
        <v>1.02</v>
      </c>
      <c r="C1340" s="12" t="s">
        <v>1060</v>
      </c>
      <c r="D1340" s="15">
        <v>75219.0</v>
      </c>
      <c r="F1340" s="15"/>
      <c r="G1340" s="26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</row>
    <row r="1341">
      <c r="A1341" s="5" t="s">
        <v>1266</v>
      </c>
      <c r="B1341" s="6">
        <v>103.48</v>
      </c>
      <c r="C1341" s="7" t="s">
        <v>1060</v>
      </c>
      <c r="D1341" s="15">
        <v>75223.0</v>
      </c>
      <c r="F1341" s="15"/>
      <c r="G1341" s="26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28"/>
      <c r="AS1341" s="28"/>
      <c r="AT1341" s="28"/>
    </row>
    <row r="1342">
      <c r="A1342" s="10" t="s">
        <v>1267</v>
      </c>
      <c r="B1342" s="11">
        <v>51.99</v>
      </c>
      <c r="C1342" s="12" t="s">
        <v>1060</v>
      </c>
      <c r="D1342" s="15">
        <v>75214.0</v>
      </c>
      <c r="F1342" s="15"/>
      <c r="G1342" s="26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28"/>
      <c r="AS1342" s="28"/>
      <c r="AT1342" s="28"/>
    </row>
    <row r="1343">
      <c r="A1343" s="5" t="s">
        <v>1268</v>
      </c>
      <c r="B1343" s="6">
        <v>103.48</v>
      </c>
      <c r="C1343" s="7" t="s">
        <v>1060</v>
      </c>
      <c r="D1343" s="15">
        <v>75219.0</v>
      </c>
      <c r="F1343" s="15"/>
      <c r="G1343" s="26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28"/>
      <c r="AS1343" s="28"/>
      <c r="AT1343" s="28"/>
    </row>
    <row r="1344">
      <c r="A1344" s="10" t="s">
        <v>164</v>
      </c>
      <c r="B1344" s="11">
        <v>257.94</v>
      </c>
      <c r="C1344" s="12" t="s">
        <v>1060</v>
      </c>
      <c r="D1344" s="15">
        <v>75218.0</v>
      </c>
      <c r="F1344" s="15"/>
      <c r="G1344" s="26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28"/>
      <c r="AS1344" s="28"/>
      <c r="AT1344" s="28"/>
    </row>
    <row r="1345">
      <c r="A1345" s="5" t="s">
        <v>1269</v>
      </c>
      <c r="B1345" s="6">
        <v>412.41</v>
      </c>
      <c r="C1345" s="7" t="s">
        <v>1060</v>
      </c>
      <c r="D1345" s="15">
        <v>75214.0</v>
      </c>
      <c r="F1345" s="15"/>
      <c r="G1345" s="26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28"/>
      <c r="AS1345" s="28"/>
      <c r="AT1345" s="28"/>
    </row>
    <row r="1346">
      <c r="A1346" s="10" t="s">
        <v>1270</v>
      </c>
      <c r="B1346" s="11">
        <v>200.0</v>
      </c>
      <c r="C1346" s="12" t="s">
        <v>1060</v>
      </c>
      <c r="D1346" s="15">
        <v>75214.0</v>
      </c>
      <c r="F1346" s="15"/>
      <c r="G1346" s="26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28"/>
      <c r="AS1346" s="28"/>
      <c r="AT1346" s="28"/>
    </row>
    <row r="1347">
      <c r="A1347" s="5" t="s">
        <v>1271</v>
      </c>
      <c r="B1347" s="6">
        <v>206.45</v>
      </c>
      <c r="C1347" s="7" t="s">
        <v>1060</v>
      </c>
      <c r="D1347" s="15">
        <v>75214.0</v>
      </c>
      <c r="F1347" s="15"/>
      <c r="G1347" s="26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28"/>
      <c r="AS1347" s="28"/>
      <c r="AT1347" s="28"/>
    </row>
    <row r="1348">
      <c r="A1348" s="10" t="s">
        <v>1272</v>
      </c>
      <c r="B1348" s="11">
        <v>103.48</v>
      </c>
      <c r="C1348" s="12" t="s">
        <v>1060</v>
      </c>
      <c r="D1348" s="15">
        <v>75214.0</v>
      </c>
      <c r="F1348" s="15"/>
      <c r="G1348" s="26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28"/>
      <c r="AS1348" s="28"/>
      <c r="AT1348" s="28"/>
    </row>
    <row r="1349">
      <c r="A1349" s="5" t="s">
        <v>1273</v>
      </c>
      <c r="B1349" s="6">
        <v>100.0</v>
      </c>
      <c r="C1349" s="7" t="s">
        <v>1060</v>
      </c>
      <c r="D1349" s="15">
        <v>75204.0</v>
      </c>
      <c r="F1349" s="15"/>
      <c r="G1349" s="26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28"/>
      <c r="AS1349" s="28"/>
      <c r="AT1349" s="28"/>
    </row>
    <row r="1350">
      <c r="A1350" s="10" t="s">
        <v>230</v>
      </c>
      <c r="B1350" s="11">
        <v>103.48</v>
      </c>
      <c r="C1350" s="12" t="s">
        <v>1060</v>
      </c>
      <c r="D1350" s="15">
        <v>75214.0</v>
      </c>
      <c r="F1350" s="15"/>
      <c r="G1350" s="26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28"/>
      <c r="AS1350" s="28"/>
      <c r="AT1350" s="28"/>
    </row>
    <row r="1351">
      <c r="A1351" s="5" t="s">
        <v>1274</v>
      </c>
      <c r="B1351" s="6">
        <v>51.99</v>
      </c>
      <c r="C1351" s="7" t="s">
        <v>1060</v>
      </c>
      <c r="D1351" s="15">
        <v>75223.0</v>
      </c>
      <c r="F1351" s="15"/>
      <c r="G1351" s="26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28"/>
      <c r="AS1351" s="28"/>
      <c r="AT1351" s="28"/>
    </row>
    <row r="1352">
      <c r="A1352" s="10" t="s">
        <v>1275</v>
      </c>
      <c r="B1352" s="11">
        <v>257.94</v>
      </c>
      <c r="C1352" s="12" t="s">
        <v>1060</v>
      </c>
      <c r="D1352" s="15">
        <v>75219.0</v>
      </c>
      <c r="F1352" s="15"/>
      <c r="G1352" s="26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28"/>
      <c r="AS1352" s="28"/>
      <c r="AT1352" s="28"/>
    </row>
    <row r="1353">
      <c r="A1353" s="5" t="s">
        <v>1276</v>
      </c>
      <c r="B1353" s="6">
        <v>31.4</v>
      </c>
      <c r="C1353" s="7" t="s">
        <v>1060</v>
      </c>
      <c r="D1353" s="15">
        <v>75093.0</v>
      </c>
      <c r="F1353" s="15"/>
      <c r="G1353" s="26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28"/>
      <c r="AS1353" s="28"/>
      <c r="AT1353" s="28"/>
    </row>
    <row r="1354">
      <c r="A1354" s="10" t="s">
        <v>1277</v>
      </c>
      <c r="B1354" s="11">
        <v>51.99</v>
      </c>
      <c r="C1354" s="12" t="s">
        <v>1060</v>
      </c>
      <c r="D1354" s="15">
        <v>75206.0</v>
      </c>
      <c r="F1354" s="15"/>
      <c r="G1354" s="26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28"/>
      <c r="AS1354" s="28"/>
      <c r="AT1354" s="28"/>
    </row>
    <row r="1355">
      <c r="A1355" s="5" t="s">
        <v>1278</v>
      </c>
      <c r="B1355" s="6">
        <v>103.48</v>
      </c>
      <c r="C1355" s="7" t="s">
        <v>1060</v>
      </c>
      <c r="D1355" s="15">
        <v>75206.0</v>
      </c>
      <c r="F1355" s="15"/>
      <c r="G1355" s="26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</row>
    <row r="1356">
      <c r="A1356" s="10" t="s">
        <v>1279</v>
      </c>
      <c r="B1356" s="11">
        <v>257.94</v>
      </c>
      <c r="C1356" s="12" t="s">
        <v>1060</v>
      </c>
      <c r="D1356" s="15">
        <v>75214.0</v>
      </c>
      <c r="F1356" s="15"/>
      <c r="G1356" s="26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28"/>
      <c r="AS1356" s="28"/>
      <c r="AT1356" s="28"/>
    </row>
    <row r="1357">
      <c r="A1357" s="5" t="s">
        <v>1280</v>
      </c>
      <c r="B1357" s="6">
        <v>206.46</v>
      </c>
      <c r="C1357" s="7" t="s">
        <v>1060</v>
      </c>
      <c r="D1357" s="15">
        <v>75223.0</v>
      </c>
      <c r="F1357" s="15"/>
      <c r="G1357" s="26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28"/>
      <c r="AS1357" s="28"/>
      <c r="AT1357" s="28"/>
    </row>
    <row r="1358">
      <c r="A1358" s="10" t="s">
        <v>1281</v>
      </c>
      <c r="B1358" s="11">
        <v>51.99</v>
      </c>
      <c r="C1358" s="12" t="s">
        <v>1060</v>
      </c>
      <c r="D1358" s="15">
        <v>75214.0</v>
      </c>
      <c r="F1358" s="15"/>
      <c r="G1358" s="26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28"/>
      <c r="AS1358" s="28"/>
      <c r="AT1358" s="28"/>
    </row>
    <row r="1359">
      <c r="A1359" s="5" t="s">
        <v>1282</v>
      </c>
      <c r="B1359" s="6">
        <v>103.48</v>
      </c>
      <c r="C1359" s="7" t="s">
        <v>1060</v>
      </c>
      <c r="D1359" s="15">
        <v>75214.0</v>
      </c>
      <c r="F1359" s="15"/>
      <c r="G1359" s="26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28"/>
      <c r="AS1359" s="28"/>
      <c r="AT1359" s="28"/>
    </row>
    <row r="1360">
      <c r="A1360" s="10" t="s">
        <v>1283</v>
      </c>
      <c r="B1360" s="11">
        <v>309.43</v>
      </c>
      <c r="C1360" s="12" t="s">
        <v>1060</v>
      </c>
      <c r="D1360" s="15">
        <v>75223.0</v>
      </c>
      <c r="F1360" s="15"/>
      <c r="G1360" s="26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28"/>
      <c r="AS1360" s="28"/>
      <c r="AT1360" s="28"/>
    </row>
    <row r="1361">
      <c r="A1361" s="5" t="s">
        <v>1284</v>
      </c>
      <c r="B1361" s="6">
        <v>50.0</v>
      </c>
      <c r="C1361" s="7" t="s">
        <v>1060</v>
      </c>
      <c r="D1361" s="15">
        <v>75219.0</v>
      </c>
      <c r="F1361" s="15"/>
      <c r="G1361" s="26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28"/>
      <c r="AS1361" s="28"/>
      <c r="AT1361" s="28"/>
    </row>
    <row r="1362">
      <c r="A1362" s="10" t="s">
        <v>1285</v>
      </c>
      <c r="B1362" s="11">
        <v>103.48</v>
      </c>
      <c r="C1362" s="12" t="s">
        <v>1060</v>
      </c>
      <c r="D1362" s="15">
        <v>75206.0</v>
      </c>
      <c r="F1362" s="15"/>
      <c r="G1362" s="26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28"/>
      <c r="AS1362" s="28"/>
      <c r="AT1362" s="28"/>
    </row>
    <row r="1363">
      <c r="A1363" s="5" t="s">
        <v>1286</v>
      </c>
      <c r="B1363" s="6">
        <v>51.99</v>
      </c>
      <c r="C1363" s="7" t="s">
        <v>1060</v>
      </c>
      <c r="D1363" s="15">
        <v>75206.0</v>
      </c>
      <c r="F1363" s="15"/>
      <c r="G1363" s="26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28"/>
      <c r="AS1363" s="28"/>
      <c r="AT1363" s="28"/>
    </row>
    <row r="1364">
      <c r="A1364" s="10" t="s">
        <v>1287</v>
      </c>
      <c r="B1364" s="11">
        <v>50.0</v>
      </c>
      <c r="C1364" s="12" t="s">
        <v>1060</v>
      </c>
      <c r="D1364" s="15">
        <v>75214.0</v>
      </c>
      <c r="F1364" s="15"/>
      <c r="G1364" s="26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/>
    </row>
    <row r="1365">
      <c r="A1365" s="5" t="s">
        <v>1288</v>
      </c>
      <c r="B1365" s="6">
        <v>51.99</v>
      </c>
      <c r="C1365" s="7" t="s">
        <v>1060</v>
      </c>
      <c r="D1365" s="15">
        <v>75206.0</v>
      </c>
      <c r="F1365" s="15"/>
      <c r="G1365" s="26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28"/>
      <c r="AS1365" s="28"/>
      <c r="AT1365" s="28"/>
    </row>
    <row r="1366">
      <c r="A1366" s="10" t="s">
        <v>1289</v>
      </c>
      <c r="B1366" s="11">
        <v>100.0</v>
      </c>
      <c r="C1366" s="12" t="s">
        <v>1060</v>
      </c>
      <c r="D1366" s="15">
        <v>75214.0</v>
      </c>
      <c r="F1366" s="15"/>
      <c r="G1366" s="26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28"/>
      <c r="AS1366" s="28"/>
      <c r="AT1366" s="28"/>
    </row>
    <row r="1367">
      <c r="A1367" s="5" t="s">
        <v>1290</v>
      </c>
      <c r="B1367" s="6">
        <v>257.94</v>
      </c>
      <c r="C1367" s="7" t="s">
        <v>1060</v>
      </c>
      <c r="D1367" s="15">
        <v>75214.0</v>
      </c>
      <c r="F1367" s="15"/>
      <c r="G1367" s="26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</row>
    <row r="1368">
      <c r="A1368" s="10" t="s">
        <v>1291</v>
      </c>
      <c r="B1368" s="11">
        <v>206.46</v>
      </c>
      <c r="C1368" s="12" t="s">
        <v>1060</v>
      </c>
      <c r="D1368" s="15">
        <v>75201.0</v>
      </c>
      <c r="F1368" s="15"/>
      <c r="G1368" s="26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28"/>
      <c r="AS1368" s="28"/>
      <c r="AT1368" s="28"/>
    </row>
    <row r="1369">
      <c r="A1369" s="5" t="s">
        <v>1292</v>
      </c>
      <c r="B1369" s="6">
        <v>100.0</v>
      </c>
      <c r="C1369" s="7" t="s">
        <v>1060</v>
      </c>
      <c r="D1369" s="15">
        <v>75209.0</v>
      </c>
      <c r="F1369" s="15"/>
      <c r="G1369" s="26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28"/>
      <c r="AS1369" s="28"/>
      <c r="AT1369" s="28"/>
    </row>
    <row r="1370">
      <c r="A1370" s="10" t="s">
        <v>1293</v>
      </c>
      <c r="B1370" s="11">
        <v>250.0</v>
      </c>
      <c r="C1370" s="12" t="s">
        <v>1060</v>
      </c>
      <c r="D1370" s="15">
        <v>75219.0</v>
      </c>
      <c r="F1370" s="15"/>
      <c r="G1370" s="26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28"/>
      <c r="AS1370" s="28"/>
      <c r="AT1370" s="28"/>
    </row>
    <row r="1371">
      <c r="A1371" s="5" t="s">
        <v>1294</v>
      </c>
      <c r="B1371" s="6">
        <v>100.0</v>
      </c>
      <c r="C1371" s="7" t="s">
        <v>1060</v>
      </c>
      <c r="D1371" s="15">
        <v>75223.0</v>
      </c>
      <c r="F1371" s="15"/>
      <c r="G1371" s="26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28"/>
      <c r="AS1371" s="28"/>
      <c r="AT1371" s="28"/>
    </row>
    <row r="1372">
      <c r="A1372" s="10" t="s">
        <v>1295</v>
      </c>
      <c r="B1372" s="11">
        <v>205.46</v>
      </c>
      <c r="C1372" s="12" t="s">
        <v>1060</v>
      </c>
      <c r="D1372" s="15">
        <v>75223.0</v>
      </c>
      <c r="F1372" s="15"/>
      <c r="G1372" s="26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28"/>
      <c r="AS1372" s="28"/>
      <c r="AT1372" s="28"/>
    </row>
    <row r="1373">
      <c r="A1373" s="5" t="s">
        <v>1296</v>
      </c>
      <c r="B1373" s="6">
        <v>103.48</v>
      </c>
      <c r="C1373" s="7" t="s">
        <v>1060</v>
      </c>
      <c r="D1373" s="15">
        <v>75219.0</v>
      </c>
      <c r="F1373" s="15"/>
      <c r="G1373" s="26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</row>
    <row r="1374">
      <c r="A1374" s="10" t="s">
        <v>1297</v>
      </c>
      <c r="B1374" s="11">
        <v>250.0</v>
      </c>
      <c r="C1374" s="12" t="s">
        <v>1060</v>
      </c>
      <c r="D1374" s="15">
        <v>75208.0</v>
      </c>
      <c r="F1374" s="15"/>
      <c r="G1374" s="26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28"/>
      <c r="AS1374" s="28"/>
      <c r="AT1374" s="28"/>
    </row>
    <row r="1375">
      <c r="A1375" s="5" t="s">
        <v>1298</v>
      </c>
      <c r="B1375" s="6">
        <v>154.97</v>
      </c>
      <c r="C1375" s="7" t="s">
        <v>1060</v>
      </c>
      <c r="D1375" s="15">
        <v>75214.0</v>
      </c>
      <c r="F1375" s="15"/>
      <c r="G1375" s="26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28"/>
      <c r="AS1375" s="28"/>
      <c r="AT1375" s="28"/>
    </row>
    <row r="1376">
      <c r="A1376" s="10" t="s">
        <v>1299</v>
      </c>
      <c r="B1376" s="11">
        <v>250.0</v>
      </c>
      <c r="C1376" s="12" t="s">
        <v>1060</v>
      </c>
      <c r="D1376" s="15">
        <v>75204.0</v>
      </c>
      <c r="F1376" s="15"/>
      <c r="G1376" s="26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</row>
    <row r="1377">
      <c r="A1377" s="5" t="s">
        <v>377</v>
      </c>
      <c r="B1377" s="6">
        <v>25.0</v>
      </c>
      <c r="C1377" s="7" t="s">
        <v>1060</v>
      </c>
      <c r="D1377" s="15">
        <v>75206.0</v>
      </c>
      <c r="F1377" s="15"/>
      <c r="G1377" s="26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28"/>
      <c r="AS1377" s="28"/>
      <c r="AT1377" s="28"/>
    </row>
    <row r="1378">
      <c r="A1378" s="10" t="s">
        <v>1300</v>
      </c>
      <c r="B1378" s="11">
        <v>10.0</v>
      </c>
      <c r="C1378" s="12" t="s">
        <v>1060</v>
      </c>
      <c r="D1378" s="15">
        <v>75219.0</v>
      </c>
      <c r="F1378" s="15"/>
      <c r="G1378" s="26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28"/>
      <c r="AS1378" s="28"/>
      <c r="AT1378" s="28"/>
    </row>
    <row r="1379">
      <c r="A1379" s="5" t="s">
        <v>1301</v>
      </c>
      <c r="B1379" s="6">
        <v>75.0</v>
      </c>
      <c r="C1379" s="7" t="s">
        <v>1060</v>
      </c>
      <c r="D1379" s="15">
        <v>75214.0</v>
      </c>
      <c r="F1379" s="15"/>
      <c r="G1379" s="26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28"/>
      <c r="AS1379" s="28"/>
      <c r="AT1379" s="28"/>
    </row>
    <row r="1380">
      <c r="A1380" s="10" t="s">
        <v>1302</v>
      </c>
      <c r="B1380" s="11">
        <v>26.25</v>
      </c>
      <c r="C1380" s="12" t="s">
        <v>1060</v>
      </c>
      <c r="D1380" s="15">
        <v>75219.0</v>
      </c>
      <c r="F1380" s="15"/>
      <c r="G1380" s="26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28"/>
      <c r="AS1380" s="28"/>
      <c r="AT1380" s="28"/>
    </row>
    <row r="1381">
      <c r="A1381" s="5" t="s">
        <v>1303</v>
      </c>
      <c r="B1381" s="6">
        <v>1000.0</v>
      </c>
      <c r="C1381" s="7" t="s">
        <v>1060</v>
      </c>
      <c r="D1381" s="15">
        <v>75206.0</v>
      </c>
      <c r="F1381" s="15"/>
      <c r="G1381" s="26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28"/>
      <c r="AS1381" s="28"/>
      <c r="AT1381" s="28"/>
    </row>
    <row r="1382">
      <c r="A1382" s="10" t="s">
        <v>1304</v>
      </c>
      <c r="B1382" s="11">
        <v>309.43</v>
      </c>
      <c r="C1382" s="12" t="s">
        <v>1060</v>
      </c>
      <c r="D1382" s="15">
        <v>75214.0</v>
      </c>
      <c r="F1382" s="15"/>
      <c r="G1382" s="26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/>
    </row>
    <row r="1383">
      <c r="A1383" s="5" t="s">
        <v>1305</v>
      </c>
      <c r="B1383" s="6">
        <v>100.0</v>
      </c>
      <c r="C1383" s="7" t="s">
        <v>1060</v>
      </c>
      <c r="D1383" s="15">
        <v>75219.0</v>
      </c>
      <c r="F1383" s="15"/>
      <c r="G1383" s="26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</row>
    <row r="1384">
      <c r="A1384" s="10" t="s">
        <v>1306</v>
      </c>
      <c r="B1384" s="11">
        <v>51.99</v>
      </c>
      <c r="C1384" s="12" t="s">
        <v>1060</v>
      </c>
      <c r="D1384" s="15">
        <v>75223.0</v>
      </c>
      <c r="F1384" s="15"/>
      <c r="G1384" s="26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/>
    </row>
    <row r="1385">
      <c r="A1385" s="5" t="s">
        <v>1307</v>
      </c>
      <c r="B1385" s="6">
        <v>500.0</v>
      </c>
      <c r="C1385" s="7" t="s">
        <v>1060</v>
      </c>
      <c r="D1385" s="15">
        <v>75223.0</v>
      </c>
      <c r="F1385" s="15"/>
      <c r="G1385" s="26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</row>
    <row r="1386">
      <c r="A1386" s="10" t="s">
        <v>1308</v>
      </c>
      <c r="B1386" s="11">
        <v>51.99</v>
      </c>
      <c r="C1386" s="12" t="s">
        <v>1060</v>
      </c>
      <c r="D1386" s="15">
        <v>75214.0</v>
      </c>
      <c r="F1386" s="15"/>
      <c r="G1386" s="26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</row>
    <row r="1387">
      <c r="A1387" s="5" t="s">
        <v>1309</v>
      </c>
      <c r="B1387" s="6">
        <v>1000.0</v>
      </c>
      <c r="C1387" s="7" t="s">
        <v>1060</v>
      </c>
      <c r="D1387" s="15">
        <v>75206.0</v>
      </c>
      <c r="F1387" s="15"/>
      <c r="G1387" s="26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28"/>
      <c r="AS1387" s="28"/>
      <c r="AT1387" s="28"/>
    </row>
    <row r="1388">
      <c r="A1388" s="10" t="s">
        <v>1310</v>
      </c>
      <c r="B1388" s="11">
        <v>100.0</v>
      </c>
      <c r="C1388" s="12" t="s">
        <v>1060</v>
      </c>
      <c r="D1388" s="15">
        <v>75219.0</v>
      </c>
      <c r="F1388" s="15"/>
      <c r="G1388" s="26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28"/>
      <c r="AS1388" s="28"/>
      <c r="AT1388" s="28"/>
    </row>
    <row r="1389">
      <c r="A1389" s="5" t="s">
        <v>1311</v>
      </c>
      <c r="B1389" s="6">
        <v>100.0</v>
      </c>
      <c r="C1389" s="7" t="s">
        <v>1060</v>
      </c>
      <c r="D1389" s="15">
        <v>75218.0</v>
      </c>
      <c r="F1389" s="15"/>
      <c r="G1389" s="26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28"/>
      <c r="AS1389" s="28"/>
      <c r="AT1389" s="28"/>
    </row>
    <row r="1390">
      <c r="A1390" s="10" t="s">
        <v>1312</v>
      </c>
      <c r="B1390" s="11">
        <v>309.43</v>
      </c>
      <c r="C1390" s="12" t="s">
        <v>1060</v>
      </c>
      <c r="D1390" s="15">
        <v>75103.0</v>
      </c>
      <c r="F1390" s="15"/>
      <c r="G1390" s="26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28"/>
      <c r="AS1390" s="28"/>
      <c r="AT1390" s="28"/>
    </row>
    <row r="1391">
      <c r="A1391" s="5" t="s">
        <v>1313</v>
      </c>
      <c r="B1391" s="6">
        <v>103.48</v>
      </c>
      <c r="C1391" s="7" t="s">
        <v>1060</v>
      </c>
      <c r="D1391" s="15">
        <v>75214.0</v>
      </c>
      <c r="F1391" s="15"/>
      <c r="G1391" s="26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</row>
    <row r="1392">
      <c r="A1392" s="10" t="s">
        <v>1314</v>
      </c>
      <c r="B1392" s="11">
        <v>1000.0</v>
      </c>
      <c r="C1392" s="12" t="s">
        <v>1060</v>
      </c>
      <c r="D1392" s="15">
        <v>75225.0</v>
      </c>
      <c r="F1392" s="15"/>
      <c r="G1392" s="26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28"/>
      <c r="AS1392" s="28"/>
      <c r="AT1392" s="28"/>
    </row>
    <row r="1393">
      <c r="A1393" s="5" t="s">
        <v>210</v>
      </c>
      <c r="B1393" s="6">
        <v>100.0</v>
      </c>
      <c r="C1393" s="7" t="s">
        <v>1060</v>
      </c>
      <c r="D1393" s="15">
        <v>75214.0</v>
      </c>
      <c r="F1393" s="15"/>
      <c r="G1393" s="26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28"/>
      <c r="AS1393" s="28"/>
      <c r="AT1393" s="28"/>
    </row>
    <row r="1394">
      <c r="A1394" s="10" t="s">
        <v>1315</v>
      </c>
      <c r="B1394" s="11">
        <v>500.0</v>
      </c>
      <c r="C1394" s="12" t="s">
        <v>1148</v>
      </c>
      <c r="D1394" s="15">
        <v>76248.0</v>
      </c>
      <c r="F1394" s="15"/>
      <c r="G1394" s="26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28"/>
      <c r="AS1394" s="28"/>
      <c r="AT1394" s="28"/>
    </row>
    <row r="1395">
      <c r="A1395" s="5" t="s">
        <v>1316</v>
      </c>
      <c r="B1395" s="6">
        <v>500.0</v>
      </c>
      <c r="C1395" s="7" t="s">
        <v>1148</v>
      </c>
      <c r="D1395" s="15">
        <v>75238.0</v>
      </c>
      <c r="F1395" s="15"/>
      <c r="G1395" s="26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28"/>
      <c r="AS1395" s="28"/>
      <c r="AT1395" s="28"/>
    </row>
    <row r="1396">
      <c r="A1396" s="10" t="s">
        <v>1317</v>
      </c>
      <c r="B1396" s="11">
        <v>100.0</v>
      </c>
      <c r="C1396" s="12" t="s">
        <v>1148</v>
      </c>
      <c r="D1396" s="15">
        <v>75223.0</v>
      </c>
      <c r="F1396" s="15"/>
      <c r="G1396" s="26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28"/>
      <c r="AS1396" s="28"/>
      <c r="AT1396" s="28"/>
    </row>
    <row r="1397">
      <c r="A1397" s="5" t="s">
        <v>1318</v>
      </c>
      <c r="B1397" s="6">
        <v>100.0</v>
      </c>
      <c r="C1397" s="7" t="s">
        <v>1148</v>
      </c>
      <c r="D1397" s="15">
        <v>75223.0</v>
      </c>
      <c r="F1397" s="15"/>
      <c r="G1397" s="26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28"/>
      <c r="AS1397" s="28"/>
      <c r="AT1397" s="28"/>
    </row>
    <row r="1398">
      <c r="A1398" s="10" t="s">
        <v>1319</v>
      </c>
      <c r="B1398" s="11">
        <v>1000.0</v>
      </c>
      <c r="C1398" s="12" t="s">
        <v>1148</v>
      </c>
      <c r="D1398" s="15">
        <v>75214.0</v>
      </c>
      <c r="F1398" s="15"/>
      <c r="G1398" s="26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28"/>
      <c r="AS1398" s="28"/>
      <c r="AT1398" s="28"/>
    </row>
    <row r="1399">
      <c r="A1399" s="5" t="s">
        <v>1320</v>
      </c>
      <c r="B1399" s="6">
        <v>100.0</v>
      </c>
      <c r="C1399" s="7" t="s">
        <v>1148</v>
      </c>
      <c r="D1399" s="15">
        <v>75223.0</v>
      </c>
      <c r="F1399" s="15"/>
      <c r="G1399" s="26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</row>
    <row r="1400">
      <c r="A1400" s="10" t="s">
        <v>670</v>
      </c>
      <c r="B1400" s="11">
        <v>500.0</v>
      </c>
      <c r="C1400" s="12" t="s">
        <v>1148</v>
      </c>
      <c r="D1400" s="15">
        <v>75229.0</v>
      </c>
      <c r="F1400" s="15"/>
      <c r="G1400" s="26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28"/>
      <c r="AS1400" s="28"/>
      <c r="AT1400" s="28"/>
    </row>
    <row r="1401">
      <c r="A1401" s="5" t="s">
        <v>1321</v>
      </c>
      <c r="B1401" s="6">
        <v>50.0</v>
      </c>
      <c r="C1401" s="7" t="s">
        <v>1148</v>
      </c>
      <c r="D1401" s="15">
        <v>75206.0</v>
      </c>
      <c r="F1401" s="15"/>
      <c r="G1401" s="26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</row>
    <row r="1402">
      <c r="A1402" s="10" t="s">
        <v>1322</v>
      </c>
      <c r="B1402" s="11">
        <v>100.0</v>
      </c>
      <c r="C1402" s="12" t="s">
        <v>1148</v>
      </c>
      <c r="D1402" s="15">
        <v>75243.0</v>
      </c>
      <c r="F1402" s="15"/>
      <c r="G1402" s="26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28"/>
      <c r="AS1402" s="28"/>
      <c r="AT1402" s="28"/>
    </row>
    <row r="1403">
      <c r="A1403" s="5" t="s">
        <v>1323</v>
      </c>
      <c r="B1403" s="6">
        <v>50.0</v>
      </c>
      <c r="C1403" s="7" t="s">
        <v>1148</v>
      </c>
      <c r="D1403" s="15">
        <v>75223.0</v>
      </c>
      <c r="F1403" s="15"/>
      <c r="G1403" s="26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28"/>
      <c r="AS1403" s="28"/>
      <c r="AT1403" s="28"/>
    </row>
    <row r="1404">
      <c r="A1404" s="10" t="s">
        <v>1324</v>
      </c>
      <c r="B1404" s="11">
        <v>200.0</v>
      </c>
      <c r="C1404" s="12" t="s">
        <v>1148</v>
      </c>
      <c r="D1404" s="15">
        <v>75206.0</v>
      </c>
      <c r="F1404" s="15"/>
      <c r="G1404" s="26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28"/>
      <c r="AS1404" s="28"/>
      <c r="AT1404" s="28"/>
    </row>
    <row r="1405">
      <c r="A1405" s="5" t="s">
        <v>1325</v>
      </c>
      <c r="B1405" s="6">
        <v>100.0</v>
      </c>
      <c r="C1405" s="7" t="s">
        <v>1148</v>
      </c>
      <c r="D1405" s="15">
        <v>75206.0</v>
      </c>
      <c r="F1405" s="15"/>
      <c r="G1405" s="26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28"/>
      <c r="AS1405" s="28"/>
      <c r="AT1405" s="28"/>
    </row>
    <row r="1406">
      <c r="A1406" s="10" t="s">
        <v>1326</v>
      </c>
      <c r="B1406" s="11">
        <v>100.0</v>
      </c>
      <c r="C1406" s="12" t="s">
        <v>1148</v>
      </c>
      <c r="D1406" s="15">
        <v>75078.0</v>
      </c>
      <c r="F1406" s="15"/>
      <c r="G1406" s="26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28"/>
      <c r="AS1406" s="28"/>
      <c r="AT1406" s="28"/>
    </row>
    <row r="1407">
      <c r="A1407" s="5" t="s">
        <v>1327</v>
      </c>
      <c r="B1407" s="6">
        <v>100.0</v>
      </c>
      <c r="C1407" s="7" t="s">
        <v>1148</v>
      </c>
      <c r="D1407" s="15">
        <v>75203.0</v>
      </c>
      <c r="F1407" s="15"/>
      <c r="G1407" s="26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28"/>
      <c r="AS1407" s="28"/>
      <c r="AT1407" s="28"/>
    </row>
    <row r="1408">
      <c r="A1408" s="10" t="s">
        <v>1328</v>
      </c>
      <c r="B1408" s="11">
        <v>100.0</v>
      </c>
      <c r="C1408" s="12" t="s">
        <v>1148</v>
      </c>
      <c r="D1408" s="15">
        <v>75208.0</v>
      </c>
      <c r="F1408" s="15"/>
      <c r="G1408" s="26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</row>
    <row r="1409">
      <c r="A1409" s="5" t="s">
        <v>1329</v>
      </c>
      <c r="B1409" s="6">
        <v>500.0</v>
      </c>
      <c r="C1409" s="7" t="s">
        <v>1148</v>
      </c>
      <c r="D1409" s="15">
        <v>75223.0</v>
      </c>
      <c r="F1409" s="15"/>
      <c r="G1409" s="26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</row>
    <row r="1410">
      <c r="A1410" s="10" t="s">
        <v>1330</v>
      </c>
      <c r="B1410" s="11">
        <v>500.0</v>
      </c>
      <c r="C1410" s="12" t="s">
        <v>1148</v>
      </c>
      <c r="D1410" s="15">
        <v>75137.0</v>
      </c>
      <c r="F1410" s="15"/>
      <c r="G1410" s="26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28"/>
      <c r="AS1410" s="28"/>
      <c r="AT1410" s="28"/>
    </row>
    <row r="1411">
      <c r="A1411" s="5" t="s">
        <v>1174</v>
      </c>
      <c r="B1411" s="6">
        <v>250.0</v>
      </c>
      <c r="C1411" s="7" t="s">
        <v>1148</v>
      </c>
      <c r="D1411" s="15">
        <v>75238.0</v>
      </c>
      <c r="F1411" s="15"/>
      <c r="G1411" s="26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28"/>
      <c r="AS1411" s="28"/>
      <c r="AT1411" s="28"/>
    </row>
    <row r="1412">
      <c r="A1412" s="10" t="s">
        <v>1331</v>
      </c>
      <c r="B1412" s="11">
        <v>100.0</v>
      </c>
      <c r="C1412" s="12" t="s">
        <v>1148</v>
      </c>
      <c r="D1412" s="15">
        <v>75206.0</v>
      </c>
      <c r="F1412" s="15"/>
      <c r="G1412" s="26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28"/>
      <c r="AS1412" s="28"/>
      <c r="AT1412" s="28"/>
    </row>
    <row r="1413">
      <c r="A1413" s="5" t="s">
        <v>1332</v>
      </c>
      <c r="B1413" s="6">
        <v>500.0</v>
      </c>
      <c r="C1413" s="7" t="s">
        <v>1148</v>
      </c>
      <c r="D1413" s="15">
        <v>75241.0</v>
      </c>
      <c r="F1413" s="15"/>
      <c r="G1413" s="26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</row>
    <row r="1414">
      <c r="A1414" s="10" t="s">
        <v>1333</v>
      </c>
      <c r="B1414" s="11">
        <v>50.0</v>
      </c>
      <c r="C1414" s="12" t="s">
        <v>1148</v>
      </c>
      <c r="D1414" s="15">
        <v>75204.0</v>
      </c>
      <c r="F1414" s="15"/>
      <c r="G1414" s="26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28"/>
      <c r="AS1414" s="28"/>
      <c r="AT1414" s="28"/>
    </row>
    <row r="1415">
      <c r="A1415" s="5" t="s">
        <v>1334</v>
      </c>
      <c r="B1415" s="6">
        <v>50.0</v>
      </c>
      <c r="C1415" s="7" t="s">
        <v>1148</v>
      </c>
      <c r="D1415" s="15">
        <v>75214.0</v>
      </c>
      <c r="F1415" s="15"/>
      <c r="G1415" s="26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28"/>
      <c r="AS1415" s="28"/>
      <c r="AT1415" s="28"/>
    </row>
    <row r="1416">
      <c r="A1416" s="10"/>
      <c r="B1416" s="11"/>
      <c r="C1416" s="12"/>
      <c r="D1416" s="15"/>
      <c r="F1416" s="15"/>
      <c r="G1416" s="26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28"/>
      <c r="AS1416" s="28"/>
      <c r="AT1416" s="28"/>
    </row>
    <row r="1417">
      <c r="A1417" s="5" t="s">
        <v>1336</v>
      </c>
      <c r="B1417" s="6">
        <v>50.0</v>
      </c>
      <c r="C1417" s="7" t="s">
        <v>1148</v>
      </c>
      <c r="D1417" s="15">
        <v>75206.0</v>
      </c>
      <c r="F1417" s="15"/>
      <c r="G1417" s="26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28"/>
      <c r="AS1417" s="28"/>
      <c r="AT1417" s="28"/>
    </row>
    <row r="1418">
      <c r="A1418" s="10" t="s">
        <v>1337</v>
      </c>
      <c r="B1418" s="11">
        <v>100.0</v>
      </c>
      <c r="C1418" s="12" t="s">
        <v>1148</v>
      </c>
      <c r="D1418" s="15">
        <v>75218.0</v>
      </c>
      <c r="F1418" s="15"/>
      <c r="G1418" s="26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28"/>
      <c r="AS1418" s="28"/>
      <c r="AT1418" s="28"/>
    </row>
    <row r="1419">
      <c r="A1419" s="5" t="s">
        <v>1325</v>
      </c>
      <c r="B1419" s="6">
        <v>35.0</v>
      </c>
      <c r="C1419" s="7" t="s">
        <v>1148</v>
      </c>
      <c r="D1419" s="15">
        <v>75206.0</v>
      </c>
      <c r="F1419" s="15"/>
      <c r="G1419" s="26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28"/>
      <c r="AS1419" s="28"/>
      <c r="AT1419" s="28"/>
    </row>
    <row r="1420">
      <c r="A1420" s="10" t="s">
        <v>1318</v>
      </c>
      <c r="B1420" s="11">
        <v>100.0</v>
      </c>
      <c r="C1420" s="12" t="s">
        <v>1148</v>
      </c>
      <c r="D1420" s="15">
        <v>75223.0</v>
      </c>
      <c r="F1420" s="15"/>
      <c r="G1420" s="26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</row>
    <row r="1421">
      <c r="A1421" s="5" t="s">
        <v>1338</v>
      </c>
      <c r="B1421" s="6">
        <v>150.0</v>
      </c>
      <c r="C1421" s="7" t="s">
        <v>1148</v>
      </c>
      <c r="D1421" s="15">
        <v>75206.0</v>
      </c>
      <c r="F1421" s="15"/>
      <c r="G1421" s="26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28"/>
      <c r="AS1421" s="28"/>
      <c r="AT1421" s="28"/>
    </row>
    <row r="1422">
      <c r="A1422" s="10" t="s">
        <v>1339</v>
      </c>
      <c r="B1422" s="11">
        <v>250.0</v>
      </c>
      <c r="C1422" s="12" t="s">
        <v>1148</v>
      </c>
      <c r="D1422" s="15">
        <v>75206.0</v>
      </c>
      <c r="F1422" s="15"/>
      <c r="G1422" s="26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28"/>
      <c r="AS1422" s="28"/>
      <c r="AT1422" s="28"/>
    </row>
    <row r="1423">
      <c r="A1423" s="5" t="s">
        <v>1340</v>
      </c>
      <c r="B1423" s="6">
        <v>250.0</v>
      </c>
      <c r="C1423" s="7" t="s">
        <v>1148</v>
      </c>
      <c r="D1423" s="15">
        <v>75214.0</v>
      </c>
      <c r="F1423" s="15"/>
      <c r="G1423" s="26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28"/>
      <c r="AS1423" s="28"/>
      <c r="AT1423" s="28"/>
    </row>
    <row r="1424">
      <c r="A1424" s="10" t="s">
        <v>1341</v>
      </c>
      <c r="B1424" s="11">
        <v>100.0</v>
      </c>
      <c r="C1424" s="12" t="s">
        <v>1148</v>
      </c>
      <c r="D1424" s="15">
        <v>75206.0</v>
      </c>
      <c r="F1424" s="15"/>
      <c r="G1424" s="26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28"/>
      <c r="AS1424" s="28"/>
      <c r="AT1424" s="28"/>
    </row>
    <row r="1425">
      <c r="A1425" s="5" t="s">
        <v>1342</v>
      </c>
      <c r="B1425" s="6">
        <v>50.0</v>
      </c>
      <c r="C1425" s="7" t="s">
        <v>1148</v>
      </c>
      <c r="D1425" s="15">
        <v>75228.0</v>
      </c>
      <c r="F1425" s="15"/>
      <c r="G1425" s="26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28"/>
      <c r="AS1425" s="28"/>
      <c r="AT1425" s="28"/>
    </row>
    <row r="1426">
      <c r="A1426" s="10" t="s">
        <v>1343</v>
      </c>
      <c r="B1426" s="11">
        <v>300.0</v>
      </c>
      <c r="C1426" s="12" t="s">
        <v>1148</v>
      </c>
      <c r="D1426" s="15">
        <v>75001.0</v>
      </c>
      <c r="F1426" s="15"/>
      <c r="G1426" s="26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28"/>
      <c r="AS1426" s="28"/>
      <c r="AT1426" s="28"/>
    </row>
    <row r="1427">
      <c r="A1427" s="5" t="s">
        <v>1344</v>
      </c>
      <c r="B1427" s="6">
        <v>100.0</v>
      </c>
      <c r="C1427" s="7" t="s">
        <v>1148</v>
      </c>
      <c r="D1427" s="15">
        <v>75231.0</v>
      </c>
      <c r="F1427" s="15"/>
      <c r="G1427" s="26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28"/>
      <c r="AS1427" s="28"/>
      <c r="AT1427" s="28"/>
    </row>
    <row r="1428">
      <c r="A1428" s="10" t="s">
        <v>1345</v>
      </c>
      <c r="B1428" s="11">
        <v>100.0</v>
      </c>
      <c r="C1428" s="12" t="s">
        <v>1148</v>
      </c>
      <c r="D1428" s="15">
        <v>75206.0</v>
      </c>
      <c r="F1428" s="15"/>
      <c r="G1428" s="26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</row>
    <row r="1429">
      <c r="A1429" s="5" t="s">
        <v>1346</v>
      </c>
      <c r="B1429" s="6">
        <v>100.0</v>
      </c>
      <c r="C1429" s="7" t="s">
        <v>1148</v>
      </c>
      <c r="D1429" s="15">
        <v>75206.0</v>
      </c>
      <c r="F1429" s="15"/>
      <c r="G1429" s="26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</row>
    <row r="1430">
      <c r="A1430" s="10" t="s">
        <v>1347</v>
      </c>
      <c r="B1430" s="11">
        <v>100.0</v>
      </c>
      <c r="C1430" s="12" t="s">
        <v>1148</v>
      </c>
      <c r="D1430" s="15">
        <v>75225.0</v>
      </c>
      <c r="F1430" s="15"/>
      <c r="G1430" s="26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28"/>
      <c r="AS1430" s="28"/>
      <c r="AT1430" s="28"/>
    </row>
    <row r="1431">
      <c r="A1431" s="5" t="s">
        <v>1348</v>
      </c>
      <c r="B1431" s="6">
        <v>500.0</v>
      </c>
      <c r="C1431" s="7" t="s">
        <v>1148</v>
      </c>
      <c r="D1431" s="15">
        <v>75229.0</v>
      </c>
      <c r="F1431" s="15"/>
      <c r="G1431" s="26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</row>
    <row r="1432">
      <c r="A1432" s="10" t="s">
        <v>1349</v>
      </c>
      <c r="B1432" s="11">
        <v>50.0</v>
      </c>
      <c r="C1432" s="12" t="s">
        <v>1148</v>
      </c>
      <c r="D1432" s="15">
        <v>75214.0</v>
      </c>
      <c r="F1432" s="15"/>
      <c r="G1432" s="26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28"/>
      <c r="AS1432" s="28"/>
      <c r="AT1432" s="28"/>
    </row>
    <row r="1433">
      <c r="A1433" s="5" t="s">
        <v>1350</v>
      </c>
      <c r="B1433" s="6">
        <v>100.0</v>
      </c>
      <c r="C1433" s="7" t="s">
        <v>1148</v>
      </c>
      <c r="D1433" s="15">
        <v>75219.0</v>
      </c>
      <c r="F1433" s="15"/>
      <c r="G1433" s="26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28"/>
      <c r="AS1433" s="28"/>
      <c r="AT1433" s="28"/>
    </row>
    <row r="1434">
      <c r="A1434" s="10" t="s">
        <v>1351</v>
      </c>
      <c r="B1434" s="11">
        <v>1000.0</v>
      </c>
      <c r="C1434" s="12" t="s">
        <v>1148</v>
      </c>
      <c r="D1434" s="15">
        <v>75205.0</v>
      </c>
      <c r="F1434" s="15"/>
      <c r="G1434" s="26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28"/>
      <c r="AS1434" s="28"/>
      <c r="AT1434" s="28"/>
    </row>
    <row r="1435">
      <c r="A1435" s="5" t="s">
        <v>1017</v>
      </c>
      <c r="B1435" s="6">
        <v>1000.0</v>
      </c>
      <c r="C1435" s="7" t="s">
        <v>1148</v>
      </c>
      <c r="D1435" s="15">
        <v>75244.0</v>
      </c>
      <c r="F1435" s="15"/>
      <c r="G1435" s="26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28"/>
      <c r="AS1435" s="28"/>
      <c r="AT1435" s="28"/>
    </row>
    <row r="1436">
      <c r="A1436" s="10" t="s">
        <v>1352</v>
      </c>
      <c r="B1436" s="11">
        <v>250.0</v>
      </c>
      <c r="C1436" s="12" t="s">
        <v>1148</v>
      </c>
      <c r="D1436" s="15">
        <v>75205.0</v>
      </c>
      <c r="F1436" s="15"/>
      <c r="G1436" s="26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28"/>
      <c r="AS1436" s="28"/>
      <c r="AT1436" s="28"/>
    </row>
    <row r="1437">
      <c r="A1437" s="5" t="s">
        <v>738</v>
      </c>
      <c r="B1437" s="6">
        <v>300.0</v>
      </c>
      <c r="C1437" s="7" t="s">
        <v>1148</v>
      </c>
      <c r="D1437" s="15">
        <v>75208.0</v>
      </c>
      <c r="F1437" s="15"/>
      <c r="G1437" s="26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28"/>
      <c r="AS1437" s="28"/>
      <c r="AT1437" s="28"/>
    </row>
    <row r="1438">
      <c r="A1438" s="10" t="s">
        <v>1353</v>
      </c>
      <c r="B1438" s="11">
        <v>1000.0</v>
      </c>
      <c r="C1438" s="12" t="s">
        <v>1148</v>
      </c>
      <c r="D1438" s="15">
        <v>75201.0</v>
      </c>
      <c r="F1438" s="15"/>
      <c r="G1438" s="26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28"/>
      <c r="AS1438" s="28"/>
      <c r="AT1438" s="28"/>
    </row>
    <row r="1439">
      <c r="A1439" s="5" t="s">
        <v>1354</v>
      </c>
      <c r="B1439" s="6">
        <v>250.0</v>
      </c>
      <c r="C1439" s="7" t="s">
        <v>1148</v>
      </c>
      <c r="D1439" s="15">
        <v>75205.0</v>
      </c>
      <c r="F1439" s="15"/>
      <c r="G1439" s="26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28"/>
      <c r="AS1439" s="28"/>
      <c r="AT1439" s="28"/>
    </row>
    <row r="1440">
      <c r="A1440" s="10" t="s">
        <v>1355</v>
      </c>
      <c r="B1440" s="11">
        <v>500.0</v>
      </c>
      <c r="C1440" s="12" t="s">
        <v>1148</v>
      </c>
      <c r="D1440" s="15">
        <v>75205.0</v>
      </c>
      <c r="F1440" s="15"/>
      <c r="G1440" s="26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28"/>
      <c r="AS1440" s="28"/>
      <c r="AT1440" s="28"/>
    </row>
    <row r="1441">
      <c r="A1441" s="5" t="s">
        <v>1356</v>
      </c>
      <c r="B1441" s="6">
        <v>25.0</v>
      </c>
      <c r="C1441" s="7" t="s">
        <v>1148</v>
      </c>
      <c r="D1441" s="15">
        <v>75214.0</v>
      </c>
      <c r="F1441" s="15"/>
      <c r="G1441" s="26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28"/>
      <c r="AS1441" s="28"/>
      <c r="AT1441" s="28"/>
    </row>
    <row r="1442">
      <c r="A1442" s="10" t="s">
        <v>1357</v>
      </c>
      <c r="B1442" s="11">
        <v>50.0</v>
      </c>
      <c r="C1442" s="12" t="s">
        <v>1148</v>
      </c>
      <c r="D1442" s="15">
        <v>75206.0</v>
      </c>
      <c r="F1442" s="15"/>
      <c r="G1442" s="26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28"/>
      <c r="AS1442" s="28"/>
      <c r="AT1442" s="28"/>
    </row>
    <row r="1443">
      <c r="A1443" s="5" t="s">
        <v>1358</v>
      </c>
      <c r="B1443" s="6">
        <v>100.0</v>
      </c>
      <c r="C1443" s="7" t="s">
        <v>1148</v>
      </c>
      <c r="D1443" s="15">
        <v>75214.0</v>
      </c>
      <c r="F1443" s="15"/>
      <c r="G1443" s="26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28"/>
      <c r="AS1443" s="28"/>
      <c r="AT1443" s="28"/>
    </row>
    <row r="1444">
      <c r="A1444" s="10" t="s">
        <v>1359</v>
      </c>
      <c r="B1444" s="11">
        <v>250.0</v>
      </c>
      <c r="C1444" s="12" t="s">
        <v>1148</v>
      </c>
      <c r="D1444" s="15">
        <v>75230.0</v>
      </c>
      <c r="F1444" s="15"/>
      <c r="G1444" s="26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28"/>
      <c r="AS1444" s="28"/>
      <c r="AT1444" s="28"/>
    </row>
    <row r="1445">
      <c r="A1445" s="5" t="s">
        <v>1360</v>
      </c>
      <c r="B1445" s="6">
        <v>50.0</v>
      </c>
      <c r="C1445" s="7" t="s">
        <v>1148</v>
      </c>
      <c r="D1445" s="15">
        <v>75206.0</v>
      </c>
      <c r="F1445" s="15"/>
      <c r="G1445" s="26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28"/>
      <c r="AS1445" s="28"/>
      <c r="AT1445" s="28"/>
    </row>
    <row r="1446">
      <c r="A1446" s="10" t="s">
        <v>1361</v>
      </c>
      <c r="B1446" s="11">
        <v>50.0</v>
      </c>
      <c r="C1446" s="12" t="s">
        <v>1148</v>
      </c>
      <c r="D1446" s="15">
        <v>75219.0</v>
      </c>
      <c r="F1446" s="15"/>
      <c r="G1446" s="26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28"/>
      <c r="AS1446" s="28"/>
      <c r="AT1446" s="28"/>
    </row>
    <row r="1447">
      <c r="A1447" s="5" t="s">
        <v>1362</v>
      </c>
      <c r="B1447" s="6">
        <v>250.0</v>
      </c>
      <c r="C1447" s="7" t="s">
        <v>1148</v>
      </c>
      <c r="D1447" s="15">
        <v>75230.0</v>
      </c>
      <c r="F1447" s="15"/>
      <c r="G1447" s="26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28"/>
      <c r="AS1447" s="28"/>
      <c r="AT1447" s="28"/>
    </row>
    <row r="1448">
      <c r="A1448" s="10" t="s">
        <v>1363</v>
      </c>
      <c r="B1448" s="11">
        <v>100.0</v>
      </c>
      <c r="C1448" s="12" t="s">
        <v>1148</v>
      </c>
      <c r="D1448" s="15">
        <v>75229.0</v>
      </c>
      <c r="F1448" s="15"/>
      <c r="G1448" s="26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28"/>
      <c r="AS1448" s="28"/>
      <c r="AT1448" s="28"/>
    </row>
    <row r="1449">
      <c r="A1449" s="5" t="s">
        <v>1364</v>
      </c>
      <c r="B1449" s="6">
        <v>100.0</v>
      </c>
      <c r="C1449" s="7" t="s">
        <v>1148</v>
      </c>
      <c r="D1449" s="15">
        <v>75220.0</v>
      </c>
      <c r="F1449" s="15"/>
      <c r="G1449" s="26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</row>
    <row r="1450">
      <c r="A1450" s="10" t="s">
        <v>1365</v>
      </c>
      <c r="B1450" s="11">
        <v>250.0</v>
      </c>
      <c r="C1450" s="12" t="s">
        <v>1148</v>
      </c>
      <c r="D1450" s="15">
        <v>75230.0</v>
      </c>
      <c r="F1450" s="15"/>
      <c r="G1450" s="26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28"/>
      <c r="AS1450" s="28"/>
      <c r="AT1450" s="28"/>
    </row>
    <row r="1451">
      <c r="A1451" s="5" t="s">
        <v>1366</v>
      </c>
      <c r="B1451" s="6">
        <v>250.0</v>
      </c>
      <c r="C1451" s="7" t="s">
        <v>1148</v>
      </c>
      <c r="D1451" s="15">
        <v>75206.0</v>
      </c>
      <c r="F1451" s="15"/>
      <c r="G1451" s="26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</row>
    <row r="1452">
      <c r="A1452" s="10" t="s">
        <v>1367</v>
      </c>
      <c r="B1452" s="11">
        <v>250.0</v>
      </c>
      <c r="C1452" s="12" t="s">
        <v>1148</v>
      </c>
      <c r="D1452" s="15">
        <v>75201.0</v>
      </c>
      <c r="F1452" s="15"/>
      <c r="G1452" s="26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28"/>
      <c r="AS1452" s="28"/>
      <c r="AT1452" s="28"/>
    </row>
    <row r="1453">
      <c r="A1453" s="5" t="s">
        <v>1368</v>
      </c>
      <c r="B1453" s="6">
        <v>150.0</v>
      </c>
      <c r="C1453" s="7" t="s">
        <v>1148</v>
      </c>
      <c r="D1453" s="15">
        <v>75206.0</v>
      </c>
      <c r="F1453" s="15"/>
      <c r="G1453" s="26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</row>
    <row r="1454">
      <c r="A1454" s="10" t="s">
        <v>1369</v>
      </c>
      <c r="B1454" s="11">
        <v>100.0</v>
      </c>
      <c r="C1454" s="12" t="s">
        <v>1148</v>
      </c>
      <c r="D1454" s="15">
        <v>75088.0</v>
      </c>
      <c r="F1454" s="15"/>
      <c r="G1454" s="26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28"/>
      <c r="AS1454" s="28"/>
      <c r="AT1454" s="28"/>
    </row>
    <row r="1455">
      <c r="A1455" s="5" t="s">
        <v>1370</v>
      </c>
      <c r="B1455" s="6">
        <v>250.0</v>
      </c>
      <c r="C1455" s="7" t="s">
        <v>1148</v>
      </c>
      <c r="D1455" s="15">
        <v>75229.0</v>
      </c>
      <c r="F1455" s="15"/>
      <c r="G1455" s="26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28"/>
      <c r="AS1455" s="28"/>
      <c r="AT1455" s="28"/>
    </row>
    <row r="1456">
      <c r="A1456" s="10" t="s">
        <v>1371</v>
      </c>
      <c r="B1456" s="11">
        <v>150.0</v>
      </c>
      <c r="C1456" s="12" t="s">
        <v>1148</v>
      </c>
      <c r="D1456" s="15">
        <v>75206.0</v>
      </c>
      <c r="F1456" s="15"/>
      <c r="G1456" s="26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28"/>
      <c r="AS1456" s="28"/>
      <c r="AT1456" s="28"/>
    </row>
    <row r="1457">
      <c r="A1457" s="5" t="s">
        <v>1324</v>
      </c>
      <c r="B1457" s="6">
        <v>100.0</v>
      </c>
      <c r="C1457" s="7" t="s">
        <v>1148</v>
      </c>
      <c r="D1457" s="15">
        <v>75206.0</v>
      </c>
      <c r="F1457" s="15"/>
      <c r="G1457" s="26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</row>
    <row r="1458">
      <c r="A1458" s="10" t="s">
        <v>1372</v>
      </c>
      <c r="B1458" s="11">
        <v>100.0</v>
      </c>
      <c r="C1458" s="12" t="s">
        <v>1148</v>
      </c>
      <c r="D1458" s="15">
        <v>75208.0</v>
      </c>
      <c r="F1458" s="15"/>
      <c r="G1458" s="26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28"/>
      <c r="AS1458" s="28"/>
      <c r="AT1458" s="28"/>
    </row>
    <row r="1459">
      <c r="A1459" s="5" t="s">
        <v>1373</v>
      </c>
      <c r="B1459" s="6">
        <v>250.0</v>
      </c>
      <c r="C1459" s="7" t="s">
        <v>1148</v>
      </c>
      <c r="D1459" s="15">
        <v>75214.0</v>
      </c>
      <c r="F1459" s="15"/>
      <c r="G1459" s="26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</row>
    <row r="1460">
      <c r="A1460" s="10" t="s">
        <v>1374</v>
      </c>
      <c r="B1460" s="11">
        <v>50.0</v>
      </c>
      <c r="C1460" s="12" t="s">
        <v>1148</v>
      </c>
      <c r="D1460" s="15">
        <v>75246.0</v>
      </c>
      <c r="F1460" s="15"/>
      <c r="G1460" s="26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28"/>
      <c r="AS1460" s="28"/>
      <c r="AT1460" s="28"/>
    </row>
    <row r="1461">
      <c r="A1461" s="5" t="s">
        <v>1375</v>
      </c>
      <c r="B1461" s="6">
        <v>100.0</v>
      </c>
      <c r="C1461" s="7" t="s">
        <v>1148</v>
      </c>
      <c r="D1461" s="15">
        <v>75214.0</v>
      </c>
      <c r="F1461" s="15"/>
      <c r="G1461" s="26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28"/>
      <c r="AS1461" s="28"/>
      <c r="AT1461" s="28"/>
    </row>
    <row r="1462">
      <c r="A1462" s="10" t="s">
        <v>1376</v>
      </c>
      <c r="B1462" s="11">
        <v>1000.0</v>
      </c>
      <c r="C1462" s="12" t="s">
        <v>1148</v>
      </c>
      <c r="D1462" s="15">
        <v>75220.0</v>
      </c>
      <c r="F1462" s="15"/>
      <c r="G1462" s="26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28"/>
      <c r="AS1462" s="28"/>
      <c r="AT1462" s="28"/>
    </row>
    <row r="1463">
      <c r="A1463" s="5" t="s">
        <v>1377</v>
      </c>
      <c r="B1463" s="6">
        <v>1000.0</v>
      </c>
      <c r="C1463" s="7" t="s">
        <v>1148</v>
      </c>
      <c r="D1463" s="15">
        <v>75229.0</v>
      </c>
      <c r="F1463" s="15"/>
      <c r="G1463" s="26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28"/>
      <c r="AS1463" s="28"/>
      <c r="AT1463" s="28"/>
    </row>
    <row r="1464">
      <c r="A1464" s="10" t="s">
        <v>1378</v>
      </c>
      <c r="B1464" s="11">
        <v>1000.0</v>
      </c>
      <c r="C1464" s="12" t="s">
        <v>1148</v>
      </c>
      <c r="D1464" s="15">
        <v>75220.0</v>
      </c>
      <c r="F1464" s="15"/>
      <c r="G1464" s="26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28"/>
      <c r="AS1464" s="28"/>
      <c r="AT1464" s="28"/>
    </row>
    <row r="1465">
      <c r="A1465" s="5" t="s">
        <v>1379</v>
      </c>
      <c r="B1465" s="6">
        <v>1000.0</v>
      </c>
      <c r="C1465" s="7" t="s">
        <v>1148</v>
      </c>
      <c r="D1465" s="15">
        <v>75229.0</v>
      </c>
      <c r="F1465" s="15"/>
      <c r="G1465" s="26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28"/>
      <c r="AS1465" s="28"/>
      <c r="AT1465" s="28"/>
    </row>
    <row r="1466">
      <c r="A1466" s="10" t="s">
        <v>1380</v>
      </c>
      <c r="B1466" s="11">
        <v>100.0</v>
      </c>
      <c r="C1466" s="12" t="s">
        <v>1148</v>
      </c>
      <c r="D1466" s="15">
        <v>75246.0</v>
      </c>
      <c r="F1466" s="15"/>
      <c r="G1466" s="26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28"/>
      <c r="AS1466" s="28"/>
      <c r="AT1466" s="28"/>
    </row>
    <row r="1467">
      <c r="A1467" s="5" t="s">
        <v>1381</v>
      </c>
      <c r="B1467" s="6">
        <v>250.0</v>
      </c>
      <c r="C1467" s="7" t="s">
        <v>1148</v>
      </c>
      <c r="D1467" s="15">
        <v>75218.0</v>
      </c>
      <c r="F1467" s="15"/>
      <c r="G1467" s="26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28"/>
      <c r="AS1467" s="28"/>
      <c r="AT1467" s="28"/>
    </row>
    <row r="1468">
      <c r="A1468" s="10" t="s">
        <v>1382</v>
      </c>
      <c r="B1468" s="11">
        <v>1000.0</v>
      </c>
      <c r="C1468" s="12" t="s">
        <v>1148</v>
      </c>
      <c r="D1468" s="15">
        <v>75230.0</v>
      </c>
      <c r="F1468" s="15"/>
      <c r="G1468" s="26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28"/>
      <c r="AS1468" s="28"/>
      <c r="AT1468" s="28"/>
    </row>
    <row r="1469">
      <c r="A1469" s="5" t="s">
        <v>1383</v>
      </c>
      <c r="B1469" s="6">
        <v>250.0</v>
      </c>
      <c r="C1469" s="7" t="s">
        <v>1148</v>
      </c>
      <c r="D1469" s="15">
        <v>75206.0</v>
      </c>
      <c r="F1469" s="15"/>
      <c r="G1469" s="26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28"/>
      <c r="AS1469" s="28"/>
      <c r="AT1469" s="28"/>
    </row>
    <row r="1470">
      <c r="A1470" s="10" t="s">
        <v>1384</v>
      </c>
      <c r="B1470" s="11">
        <v>100.0</v>
      </c>
      <c r="C1470" s="12" t="s">
        <v>1148</v>
      </c>
      <c r="D1470" s="15">
        <v>75214.0</v>
      </c>
      <c r="F1470" s="15"/>
      <c r="G1470" s="26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28"/>
      <c r="AS1470" s="28"/>
      <c r="AT1470" s="28"/>
    </row>
    <row r="1471">
      <c r="A1471" s="5" t="s">
        <v>1385</v>
      </c>
      <c r="B1471" s="6">
        <v>250.0</v>
      </c>
      <c r="C1471" s="7" t="s">
        <v>1148</v>
      </c>
      <c r="D1471" s="15">
        <v>75206.0</v>
      </c>
      <c r="F1471" s="15"/>
      <c r="G1471" s="26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28"/>
      <c r="AS1471" s="28"/>
      <c r="AT1471" s="28"/>
    </row>
    <row r="1472">
      <c r="A1472" s="10" t="s">
        <v>1386</v>
      </c>
      <c r="B1472" s="11">
        <v>250.0</v>
      </c>
      <c r="C1472" s="12" t="s">
        <v>1148</v>
      </c>
      <c r="D1472" s="15">
        <v>75214.0</v>
      </c>
      <c r="F1472" s="15"/>
      <c r="G1472" s="26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28"/>
      <c r="AS1472" s="28"/>
      <c r="AT1472" s="28"/>
    </row>
    <row r="1473">
      <c r="A1473" s="5" t="s">
        <v>1387</v>
      </c>
      <c r="B1473" s="6">
        <v>500.0</v>
      </c>
      <c r="C1473" s="7" t="s">
        <v>1148</v>
      </c>
      <c r="D1473" s="15">
        <v>75205.0</v>
      </c>
      <c r="F1473" s="15"/>
      <c r="G1473" s="26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28"/>
      <c r="AS1473" s="28"/>
      <c r="AT1473" s="28"/>
    </row>
    <row r="1474">
      <c r="A1474" s="10" t="s">
        <v>1388</v>
      </c>
      <c r="B1474" s="11">
        <v>1000.0</v>
      </c>
      <c r="C1474" s="12" t="s">
        <v>1060</v>
      </c>
      <c r="D1474" s="15">
        <v>75206.0</v>
      </c>
      <c r="F1474" s="15"/>
      <c r="G1474" s="26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28"/>
      <c r="AS1474" s="28"/>
      <c r="AT1474" s="28"/>
    </row>
    <row r="1475">
      <c r="A1475" s="5" t="s">
        <v>1389</v>
      </c>
      <c r="B1475" s="6">
        <v>51.99</v>
      </c>
      <c r="C1475" s="7" t="s">
        <v>1060</v>
      </c>
      <c r="D1475" s="15">
        <v>75214.0</v>
      </c>
      <c r="F1475" s="15"/>
      <c r="G1475" s="26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28"/>
      <c r="AS1475" s="28"/>
      <c r="AT1475" s="28"/>
    </row>
    <row r="1476">
      <c r="A1476" s="10" t="s">
        <v>1390</v>
      </c>
      <c r="B1476" s="11">
        <v>100.0</v>
      </c>
      <c r="C1476" s="12" t="s">
        <v>1148</v>
      </c>
      <c r="D1476" s="15">
        <v>75357.0</v>
      </c>
      <c r="F1476" s="15"/>
      <c r="G1476" s="26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28"/>
      <c r="AS1476" s="28"/>
      <c r="AT1476" s="28"/>
    </row>
    <row r="1477">
      <c r="A1477" s="5" t="s">
        <v>1391</v>
      </c>
      <c r="B1477" s="6">
        <v>100.0</v>
      </c>
      <c r="C1477" s="7" t="s">
        <v>1148</v>
      </c>
      <c r="D1477" s="15">
        <v>75229.0</v>
      </c>
      <c r="F1477" s="15"/>
      <c r="G1477" s="26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28"/>
      <c r="AS1477" s="28"/>
      <c r="AT1477" s="28"/>
    </row>
    <row r="1478">
      <c r="A1478" s="10" t="s">
        <v>1392</v>
      </c>
      <c r="B1478" s="11">
        <v>103.48</v>
      </c>
      <c r="C1478" s="12" t="s">
        <v>1060</v>
      </c>
      <c r="D1478" s="15">
        <v>75206.0</v>
      </c>
      <c r="F1478" s="15"/>
      <c r="G1478" s="26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28"/>
      <c r="AS1478" s="28"/>
      <c r="AT1478" s="28"/>
    </row>
    <row r="1479">
      <c r="A1479" s="5" t="s">
        <v>1390</v>
      </c>
      <c r="B1479" s="6">
        <v>50.0</v>
      </c>
      <c r="C1479" s="7" t="s">
        <v>1148</v>
      </c>
      <c r="D1479" s="15">
        <v>75357.0</v>
      </c>
      <c r="F1479" s="15"/>
      <c r="G1479" s="26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28"/>
      <c r="AS1479" s="28"/>
      <c r="AT1479" s="28"/>
    </row>
    <row r="1480">
      <c r="A1480" s="10" t="s">
        <v>1390</v>
      </c>
      <c r="B1480" s="11">
        <v>50.0</v>
      </c>
      <c r="C1480" s="12" t="s">
        <v>1148</v>
      </c>
      <c r="D1480" s="15">
        <v>75357.0</v>
      </c>
      <c r="F1480" s="15"/>
      <c r="G1480" s="26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28"/>
      <c r="AS1480" s="28"/>
      <c r="AT1480" s="28"/>
    </row>
    <row r="1481">
      <c r="A1481" s="5" t="s">
        <v>1393</v>
      </c>
      <c r="B1481" s="6">
        <v>103.48</v>
      </c>
      <c r="C1481" s="7" t="s">
        <v>1060</v>
      </c>
      <c r="D1481" s="15">
        <v>75214.0</v>
      </c>
      <c r="F1481" s="15"/>
      <c r="G1481" s="26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28"/>
      <c r="AS1481" s="28"/>
      <c r="AT1481" s="28"/>
    </row>
    <row r="1482">
      <c r="A1482" s="10" t="s">
        <v>1394</v>
      </c>
      <c r="B1482" s="11">
        <v>103.48</v>
      </c>
      <c r="C1482" s="12" t="s">
        <v>1060</v>
      </c>
      <c r="D1482" s="15">
        <v>75206.0</v>
      </c>
      <c r="F1482" s="15"/>
      <c r="G1482" s="26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28"/>
      <c r="AS1482" s="28"/>
      <c r="AT1482" s="28"/>
    </row>
    <row r="1483">
      <c r="A1483" s="5" t="s">
        <v>1293</v>
      </c>
      <c r="B1483" s="6">
        <v>750.0</v>
      </c>
      <c r="C1483" s="7" t="s">
        <v>1060</v>
      </c>
      <c r="D1483" s="15">
        <v>75219.0</v>
      </c>
      <c r="F1483" s="15"/>
      <c r="G1483" s="26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28"/>
      <c r="AS1483" s="28"/>
      <c r="AT1483" s="28"/>
    </row>
    <row r="1484">
      <c r="A1484" s="10" t="s">
        <v>1137</v>
      </c>
      <c r="B1484" s="11">
        <v>250.0</v>
      </c>
      <c r="C1484" s="12" t="s">
        <v>1060</v>
      </c>
      <c r="D1484" s="15">
        <v>75223.0</v>
      </c>
      <c r="F1484" s="15"/>
      <c r="G1484" s="26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28"/>
      <c r="AS1484" s="28"/>
      <c r="AT1484" s="28"/>
    </row>
    <row r="1485">
      <c r="A1485" s="5"/>
      <c r="B1485" s="6"/>
      <c r="C1485" s="7"/>
      <c r="D1485" s="15"/>
      <c r="F1485" s="15"/>
      <c r="G1485" s="26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28"/>
      <c r="AS1485" s="28"/>
      <c r="AT1485" s="28"/>
    </row>
    <row r="1486">
      <c r="A1486" s="10" t="s">
        <v>1396</v>
      </c>
      <c r="B1486" s="11">
        <v>103.48</v>
      </c>
      <c r="C1486" s="12" t="s">
        <v>1060</v>
      </c>
      <c r="D1486" s="15">
        <v>75206.0</v>
      </c>
      <c r="F1486" s="15"/>
      <c r="G1486" s="26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28"/>
      <c r="AS1486" s="28"/>
      <c r="AT1486" s="28"/>
    </row>
    <row r="1487">
      <c r="A1487" s="5"/>
      <c r="B1487" s="6"/>
      <c r="C1487" s="7"/>
      <c r="D1487" s="15"/>
      <c r="F1487" s="15"/>
      <c r="G1487" s="26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28"/>
      <c r="AS1487" s="28"/>
      <c r="AT1487" s="28"/>
    </row>
    <row r="1488">
      <c r="A1488" s="10" t="s">
        <v>1398</v>
      </c>
      <c r="B1488" s="11">
        <v>103.48</v>
      </c>
      <c r="C1488" s="12" t="s">
        <v>1060</v>
      </c>
      <c r="D1488" s="15">
        <v>75223.0</v>
      </c>
      <c r="F1488" s="15"/>
      <c r="G1488" s="26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28"/>
      <c r="AS1488" s="28"/>
      <c r="AT1488" s="28"/>
    </row>
    <row r="1489">
      <c r="A1489" s="5" t="s">
        <v>1399</v>
      </c>
      <c r="B1489" s="6">
        <v>51.0</v>
      </c>
      <c r="C1489" s="7" t="s">
        <v>1060</v>
      </c>
      <c r="D1489" s="15">
        <v>75206.0</v>
      </c>
      <c r="F1489" s="15"/>
      <c r="G1489" s="26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28"/>
      <c r="AS1489" s="28"/>
      <c r="AT1489" s="28"/>
    </row>
    <row r="1490">
      <c r="A1490" s="10" t="s">
        <v>1400</v>
      </c>
      <c r="B1490" s="11">
        <v>206.46</v>
      </c>
      <c r="C1490" s="12" t="s">
        <v>1060</v>
      </c>
      <c r="D1490" s="15">
        <v>75223.0</v>
      </c>
      <c r="F1490" s="15"/>
      <c r="G1490" s="26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28"/>
      <c r="AS1490" s="28"/>
      <c r="AT1490" s="28"/>
    </row>
    <row r="1491">
      <c r="A1491" s="5" t="s">
        <v>1401</v>
      </c>
      <c r="B1491" s="6">
        <v>206.46</v>
      </c>
      <c r="C1491" s="7" t="s">
        <v>1060</v>
      </c>
      <c r="D1491" s="15">
        <v>75219.0</v>
      </c>
      <c r="F1491" s="15"/>
      <c r="G1491" s="26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28"/>
      <c r="AS1491" s="28"/>
      <c r="AT1491" s="28"/>
    </row>
    <row r="1492">
      <c r="A1492" s="10" t="s">
        <v>1294</v>
      </c>
      <c r="B1492" s="11">
        <v>100.0</v>
      </c>
      <c r="C1492" s="12" t="s">
        <v>1060</v>
      </c>
      <c r="D1492" s="15">
        <v>75223.0</v>
      </c>
      <c r="F1492" s="15"/>
      <c r="G1492" s="26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28"/>
      <c r="AS1492" s="28"/>
      <c r="AT1492" s="28"/>
    </row>
    <row r="1493">
      <c r="A1493" s="5" t="s">
        <v>1402</v>
      </c>
      <c r="B1493" s="6">
        <v>515.38</v>
      </c>
      <c r="C1493" s="7" t="s">
        <v>1060</v>
      </c>
      <c r="D1493" s="15">
        <v>75205.0</v>
      </c>
      <c r="F1493" s="15"/>
      <c r="G1493" s="26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28"/>
      <c r="AS1493" s="28"/>
      <c r="AT1493" s="28"/>
    </row>
    <row r="1494">
      <c r="A1494" s="10" t="s">
        <v>1265</v>
      </c>
      <c r="B1494" s="11">
        <v>50.0</v>
      </c>
      <c r="C1494" s="12" t="s">
        <v>1060</v>
      </c>
      <c r="D1494" s="15">
        <v>75219.0</v>
      </c>
      <c r="F1494" s="15"/>
      <c r="G1494" s="26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28"/>
      <c r="AS1494" s="28"/>
      <c r="AT1494" s="28"/>
    </row>
    <row r="1495">
      <c r="A1495" s="5" t="s">
        <v>1403</v>
      </c>
      <c r="B1495" s="6">
        <v>205.0</v>
      </c>
      <c r="C1495" s="7" t="s">
        <v>1060</v>
      </c>
      <c r="D1495" s="15">
        <v>75205.0</v>
      </c>
      <c r="F1495" s="15"/>
      <c r="G1495" s="26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28"/>
      <c r="AS1495" s="28"/>
      <c r="AT1495" s="28"/>
    </row>
    <row r="1496">
      <c r="A1496" s="10" t="s">
        <v>162</v>
      </c>
      <c r="B1496" s="11">
        <v>50.0</v>
      </c>
      <c r="C1496" s="12" t="s">
        <v>1060</v>
      </c>
      <c r="D1496" s="15">
        <v>75214.0</v>
      </c>
      <c r="F1496" s="15"/>
      <c r="G1496" s="26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28"/>
      <c r="AS1496" s="28"/>
      <c r="AT1496" s="28"/>
    </row>
    <row r="1497">
      <c r="A1497" s="5" t="s">
        <v>1398</v>
      </c>
      <c r="B1497" s="6">
        <v>103.48</v>
      </c>
      <c r="C1497" s="7" t="s">
        <v>1060</v>
      </c>
      <c r="D1497" s="15">
        <v>75223.0</v>
      </c>
      <c r="F1497" s="15"/>
      <c r="G1497" s="26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28"/>
      <c r="AS1497" s="28"/>
      <c r="AT1497" s="28"/>
    </row>
    <row r="1498">
      <c r="A1498" s="10" t="s">
        <v>1404</v>
      </c>
      <c r="B1498" s="11">
        <v>50.0</v>
      </c>
      <c r="C1498" s="12" t="s">
        <v>1060</v>
      </c>
      <c r="D1498" s="15">
        <v>75214.0</v>
      </c>
      <c r="F1498" s="15"/>
      <c r="G1498" s="26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28"/>
      <c r="AS1498" s="28"/>
      <c r="AT1498" s="28"/>
    </row>
    <row r="1499">
      <c r="A1499" s="5" t="s">
        <v>1308</v>
      </c>
      <c r="B1499" s="6">
        <v>51.99</v>
      </c>
      <c r="C1499" s="7" t="s">
        <v>1060</v>
      </c>
      <c r="D1499" s="15">
        <v>75214.0</v>
      </c>
      <c r="F1499" s="15"/>
      <c r="G1499" s="26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</row>
    <row r="1500">
      <c r="A1500" s="10" t="s">
        <v>1405</v>
      </c>
      <c r="B1500" s="11">
        <v>500.0</v>
      </c>
      <c r="C1500" s="12" t="s">
        <v>1060</v>
      </c>
      <c r="D1500" s="15">
        <v>75204.0</v>
      </c>
      <c r="F1500" s="15"/>
      <c r="G1500" s="26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28"/>
      <c r="AS1500" s="28"/>
      <c r="AT1500" s="28"/>
    </row>
    <row r="1501">
      <c r="A1501" s="5" t="s">
        <v>1406</v>
      </c>
      <c r="B1501" s="6">
        <v>25.0</v>
      </c>
      <c r="C1501" s="7" t="s">
        <v>1060</v>
      </c>
      <c r="D1501" s="15">
        <v>75204.0</v>
      </c>
      <c r="F1501" s="15"/>
      <c r="G1501" s="26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28"/>
      <c r="AS1501" s="28"/>
      <c r="AT1501" s="28"/>
    </row>
    <row r="1502">
      <c r="A1502" s="10" t="s">
        <v>1407</v>
      </c>
      <c r="B1502" s="11">
        <v>25.0</v>
      </c>
      <c r="C1502" s="12" t="s">
        <v>1060</v>
      </c>
      <c r="D1502" s="15">
        <v>75214.0</v>
      </c>
      <c r="F1502" s="15"/>
      <c r="G1502" s="26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28"/>
      <c r="AS1502" s="28"/>
      <c r="AT1502" s="28"/>
    </row>
    <row r="1503">
      <c r="A1503" s="5" t="s">
        <v>1408</v>
      </c>
      <c r="B1503" s="6">
        <v>25.0</v>
      </c>
      <c r="C1503" s="7" t="s">
        <v>1060</v>
      </c>
      <c r="D1503" s="15">
        <v>75204.0</v>
      </c>
      <c r="F1503" s="15"/>
      <c r="G1503" s="26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28"/>
      <c r="AS1503" s="28"/>
      <c r="AT1503" s="28"/>
    </row>
    <row r="1504">
      <c r="A1504" s="10" t="s">
        <v>1409</v>
      </c>
      <c r="B1504" s="11">
        <v>100.0</v>
      </c>
      <c r="C1504" s="12" t="s">
        <v>1060</v>
      </c>
      <c r="D1504" s="15">
        <v>75206.0</v>
      </c>
      <c r="F1504" s="15"/>
      <c r="G1504" s="26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28"/>
      <c r="AS1504" s="28"/>
      <c r="AT1504" s="28"/>
    </row>
    <row r="1505">
      <c r="A1505" s="5" t="s">
        <v>285</v>
      </c>
      <c r="B1505" s="6">
        <v>500.0</v>
      </c>
      <c r="C1505" s="7" t="s">
        <v>1060</v>
      </c>
      <c r="D1505" s="15">
        <v>75219.0</v>
      </c>
      <c r="F1505" s="15"/>
      <c r="G1505" s="26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28"/>
      <c r="AS1505" s="28"/>
      <c r="AT1505" s="28"/>
    </row>
    <row r="1506">
      <c r="A1506" s="10" t="s">
        <v>1410</v>
      </c>
      <c r="B1506" s="11">
        <v>51.99</v>
      </c>
      <c r="C1506" s="12" t="s">
        <v>1060</v>
      </c>
      <c r="D1506" s="15">
        <v>75214.0</v>
      </c>
      <c r="F1506" s="15"/>
      <c r="G1506" s="26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28"/>
      <c r="AS1506" s="28"/>
      <c r="AT1506" s="28"/>
    </row>
    <row r="1507">
      <c r="A1507" s="5" t="s">
        <v>1411</v>
      </c>
      <c r="B1507" s="6">
        <v>154.97</v>
      </c>
      <c r="C1507" s="7" t="s">
        <v>1060</v>
      </c>
      <c r="D1507" s="15">
        <v>75206.0</v>
      </c>
      <c r="F1507" s="15"/>
      <c r="G1507" s="26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28"/>
      <c r="AS1507" s="28"/>
      <c r="AT1507" s="28"/>
    </row>
    <row r="1508">
      <c r="A1508" s="10" t="s">
        <v>1412</v>
      </c>
      <c r="B1508" s="11">
        <v>515.38</v>
      </c>
      <c r="C1508" s="12" t="s">
        <v>1060</v>
      </c>
      <c r="D1508" s="15">
        <v>75204.0</v>
      </c>
      <c r="F1508" s="15"/>
      <c r="G1508" s="26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28"/>
      <c r="AS1508" s="28"/>
      <c r="AT1508" s="28"/>
    </row>
    <row r="1509">
      <c r="A1509" s="5" t="s">
        <v>1274</v>
      </c>
      <c r="B1509" s="6">
        <v>150.0</v>
      </c>
      <c r="C1509" s="7" t="s">
        <v>1060</v>
      </c>
      <c r="D1509" s="15">
        <v>75223.0</v>
      </c>
      <c r="F1509" s="15"/>
      <c r="G1509" s="26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</row>
    <row r="1510">
      <c r="A1510" s="10" t="s">
        <v>1283</v>
      </c>
      <c r="B1510" s="11">
        <v>250.0</v>
      </c>
      <c r="C1510" s="12" t="s">
        <v>1060</v>
      </c>
      <c r="D1510" s="15">
        <v>75223.0</v>
      </c>
      <c r="F1510" s="15"/>
      <c r="G1510" s="26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28"/>
      <c r="AS1510" s="28"/>
      <c r="AT1510" s="28"/>
    </row>
    <row r="1511">
      <c r="A1511" s="5" t="s">
        <v>1413</v>
      </c>
      <c r="B1511" s="6">
        <v>51.99</v>
      </c>
      <c r="C1511" s="7" t="s">
        <v>1060</v>
      </c>
      <c r="D1511" s="15">
        <v>75214.0</v>
      </c>
      <c r="F1511" s="15"/>
      <c r="G1511" s="26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28"/>
      <c r="AS1511" s="28"/>
      <c r="AT1511" s="28"/>
    </row>
    <row r="1512">
      <c r="A1512" s="10" t="s">
        <v>1414</v>
      </c>
      <c r="B1512" s="11">
        <v>103.48</v>
      </c>
      <c r="C1512" s="12" t="s">
        <v>1060</v>
      </c>
      <c r="D1512" s="15">
        <v>75219.0</v>
      </c>
      <c r="F1512" s="15"/>
      <c r="G1512" s="26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28"/>
      <c r="AS1512" s="28"/>
      <c r="AT1512" s="28"/>
    </row>
    <row r="1513">
      <c r="A1513" s="5" t="s">
        <v>1415</v>
      </c>
      <c r="B1513" s="6">
        <v>103.48</v>
      </c>
      <c r="C1513" s="7" t="s">
        <v>1060</v>
      </c>
      <c r="D1513" s="15">
        <v>75208.0</v>
      </c>
      <c r="F1513" s="15"/>
      <c r="G1513" s="26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28"/>
      <c r="AS1513" s="28"/>
      <c r="AT1513" s="28"/>
    </row>
    <row r="1514">
      <c r="A1514" s="10" t="s">
        <v>1281</v>
      </c>
      <c r="B1514" s="11">
        <v>103.48</v>
      </c>
      <c r="C1514" s="12" t="s">
        <v>1060</v>
      </c>
      <c r="D1514" s="15">
        <v>75214.0</v>
      </c>
      <c r="F1514" s="15"/>
      <c r="G1514" s="26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28"/>
      <c r="AS1514" s="28"/>
      <c r="AT1514" s="28"/>
    </row>
    <row r="1515">
      <c r="A1515" s="5" t="s">
        <v>1416</v>
      </c>
      <c r="B1515" s="6">
        <v>1000.0</v>
      </c>
      <c r="C1515" s="7" t="s">
        <v>1060</v>
      </c>
      <c r="D1515" s="15">
        <v>75219.0</v>
      </c>
      <c r="F1515" s="15"/>
      <c r="G1515" s="26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28"/>
      <c r="AS1515" s="28"/>
      <c r="AT1515" s="28"/>
    </row>
    <row r="1516">
      <c r="A1516" s="10" t="s">
        <v>1417</v>
      </c>
      <c r="B1516" s="11">
        <v>1000.0</v>
      </c>
      <c r="C1516" s="12" t="s">
        <v>1060</v>
      </c>
      <c r="D1516" s="15">
        <v>75219.0</v>
      </c>
      <c r="F1516" s="15"/>
      <c r="G1516" s="26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28"/>
      <c r="AS1516" s="28"/>
      <c r="AT1516" s="28"/>
    </row>
    <row r="1517">
      <c r="A1517" s="5" t="s">
        <v>1418</v>
      </c>
      <c r="B1517" s="6">
        <v>1000.0</v>
      </c>
      <c r="C1517" s="7" t="s">
        <v>1060</v>
      </c>
      <c r="D1517" s="15">
        <v>75219.0</v>
      </c>
      <c r="F1517" s="15"/>
      <c r="G1517" s="26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28"/>
      <c r="AS1517" s="28"/>
      <c r="AT1517" s="28"/>
    </row>
    <row r="1518">
      <c r="A1518" s="10" t="s">
        <v>1107</v>
      </c>
      <c r="B1518" s="11">
        <v>515.38</v>
      </c>
      <c r="C1518" s="12" t="s">
        <v>1060</v>
      </c>
      <c r="D1518" s="15">
        <v>75219.0</v>
      </c>
      <c r="F1518" s="15"/>
      <c r="G1518" s="26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28"/>
      <c r="AS1518" s="28"/>
      <c r="AT1518" s="28"/>
    </row>
    <row r="1519">
      <c r="A1519" s="5" t="s">
        <v>1419</v>
      </c>
      <c r="B1519" s="6">
        <v>250.0</v>
      </c>
      <c r="C1519" s="7" t="s">
        <v>1060</v>
      </c>
      <c r="D1519" s="15">
        <v>75206.0</v>
      </c>
      <c r="F1519" s="15"/>
      <c r="G1519" s="26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28"/>
      <c r="AS1519" s="28"/>
      <c r="AT1519" s="28"/>
    </row>
    <row r="1520">
      <c r="A1520" s="10" t="s">
        <v>1420</v>
      </c>
      <c r="B1520" s="11">
        <v>257.94</v>
      </c>
      <c r="C1520" s="12" t="s">
        <v>1060</v>
      </c>
      <c r="D1520" s="15">
        <v>75201.0</v>
      </c>
      <c r="F1520" s="15"/>
      <c r="G1520" s="26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28"/>
      <c r="AS1520" s="28"/>
      <c r="AT1520" s="28"/>
    </row>
    <row r="1521">
      <c r="A1521" s="5" t="s">
        <v>1421</v>
      </c>
      <c r="B1521" s="6">
        <v>515.38</v>
      </c>
      <c r="C1521" s="7" t="s">
        <v>1060</v>
      </c>
      <c r="D1521" s="15">
        <v>75225.0</v>
      </c>
      <c r="F1521" s="15"/>
      <c r="G1521" s="26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28"/>
      <c r="AS1521" s="28"/>
      <c r="AT1521" s="28"/>
    </row>
    <row r="1522">
      <c r="A1522" s="10" t="s">
        <v>1422</v>
      </c>
      <c r="B1522" s="11">
        <v>515.38</v>
      </c>
      <c r="C1522" s="12" t="s">
        <v>1060</v>
      </c>
      <c r="D1522" s="15">
        <v>75225.0</v>
      </c>
      <c r="F1522" s="15"/>
      <c r="G1522" s="26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28"/>
      <c r="AS1522" s="28"/>
      <c r="AT1522" s="28"/>
    </row>
    <row r="1523">
      <c r="A1523" s="5" t="s">
        <v>1423</v>
      </c>
      <c r="B1523" s="6">
        <v>100.0</v>
      </c>
      <c r="C1523" s="7" t="s">
        <v>1060</v>
      </c>
      <c r="D1523" s="15">
        <v>75223.0</v>
      </c>
      <c r="F1523" s="15"/>
      <c r="G1523" s="26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28"/>
      <c r="AS1523" s="28"/>
      <c r="AT1523" s="28"/>
    </row>
    <row r="1524">
      <c r="A1524" s="10" t="s">
        <v>1424</v>
      </c>
      <c r="B1524" s="11">
        <v>100.0</v>
      </c>
      <c r="C1524" s="12" t="s">
        <v>1060</v>
      </c>
      <c r="D1524" s="15">
        <v>75219.0</v>
      </c>
      <c r="F1524" s="15"/>
      <c r="G1524" s="26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28"/>
      <c r="AS1524" s="28"/>
      <c r="AT1524" s="28"/>
    </row>
    <row r="1525">
      <c r="A1525" s="5" t="s">
        <v>1425</v>
      </c>
      <c r="B1525" s="6">
        <v>103.48</v>
      </c>
      <c r="C1525" s="7" t="s">
        <v>1060</v>
      </c>
      <c r="D1525" s="15">
        <v>75201.0</v>
      </c>
      <c r="F1525" s="15"/>
      <c r="G1525" s="26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28"/>
      <c r="AS1525" s="28"/>
      <c r="AT1525" s="28"/>
    </row>
    <row r="1526">
      <c r="A1526" s="10" t="s">
        <v>1426</v>
      </c>
      <c r="B1526" s="11">
        <v>515.38</v>
      </c>
      <c r="C1526" s="12" t="s">
        <v>1060</v>
      </c>
      <c r="D1526" s="15">
        <v>75219.0</v>
      </c>
      <c r="F1526" s="15"/>
      <c r="G1526" s="26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28"/>
      <c r="AS1526" s="28"/>
      <c r="AT1526" s="28"/>
    </row>
    <row r="1527">
      <c r="A1527" s="5" t="s">
        <v>1427</v>
      </c>
      <c r="B1527" s="6">
        <v>51.99</v>
      </c>
      <c r="C1527" s="7" t="s">
        <v>1060</v>
      </c>
      <c r="D1527" s="15">
        <v>75206.0</v>
      </c>
      <c r="F1527" s="15"/>
      <c r="G1527" s="26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</row>
    <row r="1528">
      <c r="A1528" s="10" t="s">
        <v>403</v>
      </c>
      <c r="B1528" s="11">
        <v>50.0</v>
      </c>
      <c r="C1528" s="12" t="s">
        <v>1060</v>
      </c>
      <c r="D1528" s="15">
        <v>75243.0</v>
      </c>
      <c r="F1528" s="15"/>
      <c r="G1528" s="26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28"/>
      <c r="AS1528" s="28"/>
      <c r="AT1528" s="28"/>
    </row>
    <row r="1529">
      <c r="A1529" s="5" t="s">
        <v>1428</v>
      </c>
      <c r="B1529" s="6">
        <v>100.0</v>
      </c>
      <c r="C1529" s="7" t="s">
        <v>1060</v>
      </c>
      <c r="D1529" s="15">
        <v>75214.0</v>
      </c>
      <c r="F1529" s="15"/>
      <c r="G1529" s="26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28"/>
      <c r="AS1529" s="28"/>
      <c r="AT1529" s="28"/>
    </row>
    <row r="1530">
      <c r="A1530" s="10" t="s">
        <v>1429</v>
      </c>
      <c r="B1530" s="11">
        <v>1000.0</v>
      </c>
      <c r="C1530" s="12" t="s">
        <v>1060</v>
      </c>
      <c r="D1530" s="15">
        <v>75225.0</v>
      </c>
      <c r="F1530" s="15"/>
      <c r="G1530" s="26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28"/>
      <c r="AS1530" s="28"/>
      <c r="AT1530" s="28"/>
    </row>
    <row r="1531">
      <c r="A1531" s="5" t="s">
        <v>1430</v>
      </c>
      <c r="B1531" s="6">
        <v>51.99</v>
      </c>
      <c r="C1531" s="7" t="s">
        <v>1060</v>
      </c>
      <c r="D1531" s="15">
        <v>75238.0</v>
      </c>
      <c r="F1531" s="15"/>
      <c r="G1531" s="26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28"/>
      <c r="AS1531" s="28"/>
      <c r="AT1531" s="28"/>
    </row>
    <row r="1532">
      <c r="A1532" s="10" t="s">
        <v>1431</v>
      </c>
      <c r="B1532" s="11">
        <v>51.99</v>
      </c>
      <c r="C1532" s="12" t="s">
        <v>1060</v>
      </c>
      <c r="D1532" s="15">
        <v>75219.0</v>
      </c>
      <c r="F1532" s="15"/>
      <c r="G1532" s="26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28"/>
      <c r="AS1532" s="28"/>
      <c r="AT1532" s="28"/>
    </row>
    <row r="1533">
      <c r="A1533" s="5" t="s">
        <v>1432</v>
      </c>
      <c r="B1533" s="6">
        <v>51.99</v>
      </c>
      <c r="C1533" s="7" t="s">
        <v>1060</v>
      </c>
      <c r="D1533" s="15">
        <v>75214.0</v>
      </c>
      <c r="F1533" s="15"/>
      <c r="G1533" s="26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28"/>
      <c r="AS1533" s="28"/>
      <c r="AT1533" s="28"/>
    </row>
    <row r="1534">
      <c r="A1534" s="10" t="s">
        <v>1300</v>
      </c>
      <c r="B1534" s="11">
        <v>50.0</v>
      </c>
      <c r="C1534" s="12" t="s">
        <v>1060</v>
      </c>
      <c r="D1534" s="15">
        <v>75219.0</v>
      </c>
      <c r="F1534" s="15"/>
      <c r="G1534" s="26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28"/>
      <c r="AS1534" s="28"/>
      <c r="AT1534" s="28"/>
    </row>
    <row r="1535">
      <c r="A1535" s="5" t="s">
        <v>1433</v>
      </c>
      <c r="B1535" s="6">
        <v>50.0</v>
      </c>
      <c r="C1535" s="7" t="s">
        <v>1060</v>
      </c>
      <c r="D1535" s="15">
        <v>75214.0</v>
      </c>
      <c r="F1535" s="15"/>
      <c r="G1535" s="26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</row>
    <row r="1536">
      <c r="A1536" s="10" t="s">
        <v>1434</v>
      </c>
      <c r="B1536" s="11">
        <v>100.0</v>
      </c>
      <c r="C1536" s="12" t="s">
        <v>1060</v>
      </c>
      <c r="D1536" s="15">
        <v>75223.0</v>
      </c>
      <c r="F1536" s="15"/>
      <c r="G1536" s="26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28"/>
      <c r="AS1536" s="28"/>
      <c r="AT1536" s="28"/>
    </row>
    <row r="1537">
      <c r="A1537" s="5" t="s">
        <v>1435</v>
      </c>
      <c r="B1537" s="6">
        <v>250.0</v>
      </c>
      <c r="C1537" s="7" t="s">
        <v>1060</v>
      </c>
      <c r="D1537" s="15">
        <v>75204.0</v>
      </c>
      <c r="F1537" s="15"/>
      <c r="G1537" s="26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28"/>
      <c r="AS1537" s="28"/>
      <c r="AT1537" s="28"/>
    </row>
    <row r="1538">
      <c r="A1538" s="10" t="s">
        <v>1436</v>
      </c>
      <c r="B1538" s="11">
        <v>100.0</v>
      </c>
      <c r="C1538" s="12" t="s">
        <v>1060</v>
      </c>
      <c r="D1538" s="15">
        <v>75219.0</v>
      </c>
      <c r="F1538" s="15"/>
      <c r="G1538" s="26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28"/>
      <c r="AS1538" s="28"/>
      <c r="AT1538" s="28"/>
    </row>
    <row r="1539">
      <c r="A1539" s="5" t="s">
        <v>1437</v>
      </c>
      <c r="B1539" s="6">
        <v>250.0</v>
      </c>
      <c r="C1539" s="7" t="s">
        <v>1060</v>
      </c>
      <c r="D1539" s="15">
        <v>75214.0</v>
      </c>
      <c r="F1539" s="15"/>
      <c r="G1539" s="26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28"/>
      <c r="AS1539" s="28"/>
      <c r="AT1539" s="28"/>
    </row>
    <row r="1540">
      <c r="A1540" s="10" t="s">
        <v>1438</v>
      </c>
      <c r="B1540" s="11">
        <v>103.48</v>
      </c>
      <c r="C1540" s="12" t="s">
        <v>1060</v>
      </c>
      <c r="D1540" s="15">
        <v>75214.0</v>
      </c>
      <c r="F1540" s="15"/>
      <c r="G1540" s="26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28"/>
      <c r="AS1540" s="28"/>
      <c r="AT1540" s="28"/>
    </row>
    <row r="1541">
      <c r="A1541" s="5" t="s">
        <v>1439</v>
      </c>
      <c r="B1541" s="6">
        <v>200.0</v>
      </c>
      <c r="C1541" s="7" t="s">
        <v>1060</v>
      </c>
      <c r="D1541" s="15">
        <v>75223.0</v>
      </c>
      <c r="F1541" s="15"/>
      <c r="G1541" s="26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</row>
    <row r="1542">
      <c r="A1542" s="10" t="s">
        <v>1440</v>
      </c>
      <c r="B1542" s="11">
        <v>25.0</v>
      </c>
      <c r="C1542" s="12" t="s">
        <v>1060</v>
      </c>
      <c r="D1542" s="15">
        <v>75206.0</v>
      </c>
      <c r="F1542" s="15"/>
      <c r="G1542" s="26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28"/>
      <c r="AS1542" s="28"/>
      <c r="AT1542" s="28"/>
    </row>
    <row r="1543">
      <c r="A1543" s="5" t="s">
        <v>1441</v>
      </c>
      <c r="B1543" s="6">
        <v>100.0</v>
      </c>
      <c r="C1543" s="7" t="s">
        <v>649</v>
      </c>
      <c r="D1543" s="15">
        <v>75224.0</v>
      </c>
      <c r="F1543" s="15"/>
      <c r="G1543" s="26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28"/>
      <c r="AS1543" s="28"/>
      <c r="AT1543" s="28"/>
    </row>
    <row r="1544">
      <c r="A1544" s="5" t="s">
        <v>667</v>
      </c>
      <c r="B1544" s="6">
        <v>500.0</v>
      </c>
      <c r="C1544" s="7" t="s">
        <v>649</v>
      </c>
      <c r="D1544" s="15">
        <v>76063.0</v>
      </c>
      <c r="F1544" s="15"/>
      <c r="G1544" s="26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28"/>
      <c r="AS1544" s="28"/>
      <c r="AT1544" s="28"/>
    </row>
    <row r="1545">
      <c r="A1545" s="5" t="s">
        <v>1442</v>
      </c>
      <c r="B1545" s="6">
        <v>237.2</v>
      </c>
      <c r="C1545" s="7" t="s">
        <v>649</v>
      </c>
      <c r="D1545" s="15">
        <v>75208.0</v>
      </c>
      <c r="F1545" s="15"/>
      <c r="G1545" s="26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</row>
    <row r="1546">
      <c r="A1546" s="5" t="s">
        <v>1443</v>
      </c>
      <c r="B1546" s="6">
        <v>100.0</v>
      </c>
      <c r="C1546" s="7" t="s">
        <v>649</v>
      </c>
      <c r="D1546" s="15">
        <v>75208.0</v>
      </c>
      <c r="F1546" s="15"/>
      <c r="G1546" s="26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28"/>
      <c r="AS1546" s="28"/>
      <c r="AT1546" s="28"/>
    </row>
    <row r="1547">
      <c r="A1547" s="5" t="s">
        <v>1444</v>
      </c>
      <c r="B1547" s="6">
        <v>1000.0</v>
      </c>
      <c r="C1547" s="7" t="s">
        <v>649</v>
      </c>
      <c r="D1547" s="15">
        <v>75115.0</v>
      </c>
      <c r="F1547" s="15"/>
      <c r="G1547" s="26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28"/>
      <c r="AS1547" s="28"/>
      <c r="AT1547" s="28"/>
    </row>
    <row r="1548">
      <c r="A1548" s="5" t="s">
        <v>1445</v>
      </c>
      <c r="B1548" s="6">
        <v>250.0</v>
      </c>
      <c r="C1548" s="7" t="s">
        <v>649</v>
      </c>
      <c r="D1548" s="15">
        <v>75208.0</v>
      </c>
      <c r="F1548" s="15"/>
      <c r="G1548" s="26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28"/>
      <c r="AS1548" s="28"/>
      <c r="AT1548" s="28"/>
    </row>
    <row r="1549">
      <c r="A1549" s="5" t="s">
        <v>1446</v>
      </c>
      <c r="B1549" s="6">
        <v>94.7</v>
      </c>
      <c r="C1549" s="7" t="s">
        <v>649</v>
      </c>
      <c r="D1549" s="15">
        <v>75702.0</v>
      </c>
      <c r="F1549" s="15"/>
      <c r="G1549" s="26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28"/>
      <c r="AS1549" s="28"/>
      <c r="AT1549" s="28"/>
    </row>
    <row r="1550">
      <c r="A1550" s="5" t="s">
        <v>1447</v>
      </c>
      <c r="B1550" s="6">
        <v>250.0</v>
      </c>
      <c r="C1550" s="7" t="s">
        <v>649</v>
      </c>
      <c r="D1550" s="15">
        <v>75208.0</v>
      </c>
      <c r="F1550" s="15"/>
      <c r="G1550" s="26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28"/>
      <c r="AS1550" s="28"/>
      <c r="AT1550" s="28"/>
    </row>
    <row r="1551">
      <c r="A1551" s="5" t="s">
        <v>1448</v>
      </c>
      <c r="B1551" s="6">
        <v>800.0</v>
      </c>
      <c r="C1551" s="7" t="s">
        <v>649</v>
      </c>
      <c r="D1551" s="15">
        <v>75224.0</v>
      </c>
      <c r="F1551" s="15"/>
      <c r="G1551" s="26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28"/>
      <c r="AS1551" s="28"/>
      <c r="AT1551" s="28"/>
    </row>
    <row r="1552">
      <c r="A1552" s="5" t="s">
        <v>1449</v>
      </c>
      <c r="B1552" s="6">
        <v>500.0</v>
      </c>
      <c r="C1552" s="7" t="s">
        <v>649</v>
      </c>
      <c r="D1552" s="15">
        <v>75061.0</v>
      </c>
      <c r="F1552" s="15"/>
      <c r="G1552" s="26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28"/>
      <c r="AS1552" s="28"/>
      <c r="AT1552" s="28"/>
    </row>
    <row r="1553">
      <c r="A1553" s="5" t="s">
        <v>1450</v>
      </c>
      <c r="B1553" s="6">
        <v>250.0</v>
      </c>
      <c r="C1553" s="7" t="s">
        <v>649</v>
      </c>
      <c r="D1553" s="15">
        <v>75248.0</v>
      </c>
      <c r="F1553" s="15"/>
      <c r="G1553" s="26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28"/>
      <c r="AS1553" s="28"/>
      <c r="AT1553" s="28"/>
    </row>
    <row r="1554">
      <c r="A1554" s="5" t="s">
        <v>1451</v>
      </c>
      <c r="B1554" s="6">
        <v>250.0</v>
      </c>
      <c r="C1554" s="7" t="s">
        <v>649</v>
      </c>
      <c r="D1554" s="15">
        <v>75116.0</v>
      </c>
      <c r="F1554" s="15"/>
      <c r="G1554" s="26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28"/>
      <c r="AS1554" s="28"/>
      <c r="AT1554" s="28"/>
    </row>
    <row r="1555">
      <c r="A1555" s="5" t="s">
        <v>1452</v>
      </c>
      <c r="B1555" s="6">
        <v>1000.0</v>
      </c>
      <c r="C1555" s="7" t="s">
        <v>649</v>
      </c>
      <c r="D1555" s="15">
        <v>78760.0</v>
      </c>
      <c r="F1555" s="15"/>
      <c r="G1555" s="26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</row>
    <row r="1556">
      <c r="A1556" s="5" t="s">
        <v>1453</v>
      </c>
      <c r="B1556" s="6">
        <v>500.0</v>
      </c>
      <c r="C1556" s="7" t="s">
        <v>649</v>
      </c>
      <c r="D1556" s="15">
        <v>75229.0</v>
      </c>
      <c r="F1556" s="15"/>
      <c r="G1556" s="26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28"/>
      <c r="AS1556" s="28"/>
      <c r="AT1556" s="28"/>
    </row>
    <row r="1557">
      <c r="A1557" s="5" t="s">
        <v>254</v>
      </c>
      <c r="B1557" s="6">
        <v>100.0</v>
      </c>
      <c r="C1557" s="7" t="s">
        <v>649</v>
      </c>
      <c r="D1557" s="15">
        <v>75214.0</v>
      </c>
      <c r="F1557" s="15"/>
      <c r="G1557" s="26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28"/>
      <c r="AS1557" s="28"/>
      <c r="AT1557" s="28"/>
    </row>
    <row r="1558">
      <c r="A1558" s="5" t="s">
        <v>1454</v>
      </c>
      <c r="B1558" s="6">
        <v>250.0</v>
      </c>
      <c r="C1558" s="7" t="s">
        <v>649</v>
      </c>
      <c r="D1558" s="15">
        <v>75224.0</v>
      </c>
      <c r="F1558" s="15"/>
      <c r="G1558" s="26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28"/>
      <c r="AS1558" s="28"/>
      <c r="AT1558" s="28"/>
    </row>
    <row r="1559">
      <c r="A1559" s="5" t="s">
        <v>1455</v>
      </c>
      <c r="B1559" s="6">
        <v>200.0</v>
      </c>
      <c r="C1559" s="7" t="s">
        <v>649</v>
      </c>
      <c r="D1559" s="15">
        <v>75093.0</v>
      </c>
      <c r="F1559" s="15"/>
      <c r="G1559" s="26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28"/>
      <c r="AS1559" s="28"/>
      <c r="AT1559" s="28"/>
    </row>
    <row r="1560">
      <c r="A1560" s="5" t="s">
        <v>1456</v>
      </c>
      <c r="B1560" s="6">
        <v>500.0</v>
      </c>
      <c r="C1560" s="7" t="s">
        <v>649</v>
      </c>
      <c r="D1560" s="15">
        <v>75214.0</v>
      </c>
      <c r="F1560" s="15"/>
      <c r="G1560" s="26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28"/>
      <c r="AS1560" s="28"/>
      <c r="AT1560" s="28"/>
    </row>
    <row r="1561">
      <c r="A1561" s="5" t="s">
        <v>1457</v>
      </c>
      <c r="B1561" s="6">
        <v>1000.0</v>
      </c>
      <c r="C1561" s="7" t="s">
        <v>649</v>
      </c>
      <c r="D1561" s="15">
        <v>76501.0</v>
      </c>
      <c r="F1561" s="15"/>
      <c r="G1561" s="26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28"/>
      <c r="AS1561" s="28"/>
      <c r="AT1561" s="28"/>
    </row>
    <row r="1562">
      <c r="A1562" s="5" t="s">
        <v>1458</v>
      </c>
      <c r="B1562" s="6">
        <v>500.0</v>
      </c>
      <c r="C1562" s="7" t="s">
        <v>649</v>
      </c>
      <c r="D1562" s="15">
        <v>76065.0</v>
      </c>
      <c r="F1562" s="15"/>
      <c r="G1562" s="26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28"/>
      <c r="AS1562" s="28"/>
      <c r="AT1562" s="28"/>
    </row>
    <row r="1563">
      <c r="A1563" s="5" t="s">
        <v>760</v>
      </c>
      <c r="B1563" s="6">
        <v>250.0</v>
      </c>
      <c r="C1563" s="7" t="s">
        <v>649</v>
      </c>
      <c r="D1563" s="15">
        <v>75224.0</v>
      </c>
      <c r="F1563" s="15"/>
      <c r="G1563" s="26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28"/>
      <c r="AS1563" s="28"/>
      <c r="AT1563" s="28"/>
    </row>
    <row r="1564">
      <c r="A1564" s="5" t="s">
        <v>1459</v>
      </c>
      <c r="B1564" s="6">
        <v>50.0</v>
      </c>
      <c r="C1564" s="7" t="s">
        <v>649</v>
      </c>
      <c r="D1564" s="15">
        <v>75228.0</v>
      </c>
      <c r="F1564" s="15"/>
      <c r="G1564" s="26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28"/>
      <c r="AS1564" s="28"/>
      <c r="AT1564" s="28"/>
    </row>
    <row r="1565">
      <c r="A1565" s="5" t="s">
        <v>1460</v>
      </c>
      <c r="B1565" s="6">
        <v>100.0</v>
      </c>
      <c r="C1565" s="7" t="s">
        <v>649</v>
      </c>
      <c r="D1565" s="15">
        <v>75208.0</v>
      </c>
      <c r="F1565" s="15"/>
      <c r="G1565" s="26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28"/>
      <c r="AS1565" s="28"/>
      <c r="AT1565" s="28"/>
    </row>
    <row r="1566">
      <c r="A1566" s="5" t="s">
        <v>1461</v>
      </c>
      <c r="B1566" s="6">
        <v>1000.0</v>
      </c>
      <c r="C1566" s="7" t="s">
        <v>649</v>
      </c>
      <c r="D1566" s="15">
        <v>75205.0</v>
      </c>
      <c r="F1566" s="15"/>
      <c r="G1566" s="26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28"/>
      <c r="AS1566" s="28"/>
      <c r="AT1566" s="28"/>
    </row>
    <row r="1567">
      <c r="A1567" s="5" t="s">
        <v>1462</v>
      </c>
      <c r="B1567" s="6">
        <v>1000.0</v>
      </c>
      <c r="C1567" s="7" t="s">
        <v>649</v>
      </c>
      <c r="D1567" s="15">
        <v>75205.0</v>
      </c>
      <c r="F1567" s="15"/>
      <c r="G1567" s="26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28"/>
      <c r="AS1567" s="28"/>
      <c r="AT1567" s="28"/>
    </row>
    <row r="1568">
      <c r="A1568" s="5" t="s">
        <v>1463</v>
      </c>
      <c r="B1568" s="6">
        <v>1000.0</v>
      </c>
      <c r="C1568" s="7" t="s">
        <v>649</v>
      </c>
      <c r="D1568" s="15">
        <v>75205.0</v>
      </c>
      <c r="F1568" s="15"/>
      <c r="G1568" s="26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28"/>
      <c r="AS1568" s="28"/>
      <c r="AT1568" s="28"/>
    </row>
    <row r="1569">
      <c r="A1569" s="5" t="s">
        <v>1464</v>
      </c>
      <c r="B1569" s="6">
        <v>1000.0</v>
      </c>
      <c r="C1569" s="7" t="s">
        <v>649</v>
      </c>
      <c r="D1569" s="15">
        <v>77024.0</v>
      </c>
      <c r="F1569" s="15"/>
      <c r="G1569" s="26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28"/>
      <c r="AS1569" s="28"/>
      <c r="AT1569" s="28"/>
    </row>
    <row r="1570">
      <c r="A1570" s="5"/>
      <c r="B1570" s="6"/>
      <c r="C1570" s="7"/>
      <c r="D1570" s="15"/>
      <c r="F1570" s="15"/>
      <c r="G1570" s="26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28"/>
      <c r="AS1570" s="28"/>
      <c r="AT1570" s="28"/>
    </row>
    <row r="1571">
      <c r="A1571" s="5" t="s">
        <v>1466</v>
      </c>
      <c r="B1571" s="6">
        <v>142.2</v>
      </c>
      <c r="C1571" s="7" t="s">
        <v>649</v>
      </c>
      <c r="D1571" s="15">
        <v>75220.0</v>
      </c>
      <c r="F1571" s="15"/>
      <c r="G1571" s="26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28"/>
      <c r="AS1571" s="28"/>
      <c r="AT1571" s="28"/>
    </row>
    <row r="1572">
      <c r="A1572" s="5" t="s">
        <v>1467</v>
      </c>
      <c r="B1572" s="6">
        <v>100.0</v>
      </c>
      <c r="C1572" s="7" t="s">
        <v>649</v>
      </c>
      <c r="D1572" s="15">
        <v>75219.0</v>
      </c>
      <c r="F1572" s="15"/>
      <c r="G1572" s="26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28"/>
      <c r="AS1572" s="28"/>
      <c r="AT1572" s="28"/>
    </row>
    <row r="1573">
      <c r="A1573" s="5" t="s">
        <v>1468</v>
      </c>
      <c r="B1573" s="6">
        <v>50.0</v>
      </c>
      <c r="C1573" s="7" t="s">
        <v>649</v>
      </c>
      <c r="D1573" s="15">
        <v>75089.0</v>
      </c>
      <c r="F1573" s="15"/>
      <c r="G1573" s="26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28"/>
      <c r="AS1573" s="28"/>
      <c r="AT1573" s="28"/>
    </row>
    <row r="1574">
      <c r="A1574" s="5" t="s">
        <v>1469</v>
      </c>
      <c r="B1574" s="6">
        <v>500.0</v>
      </c>
      <c r="C1574" s="7" t="s">
        <v>649</v>
      </c>
      <c r="D1574" s="15">
        <v>75230.0</v>
      </c>
      <c r="F1574" s="15"/>
      <c r="G1574" s="26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28"/>
      <c r="AS1574" s="28"/>
      <c r="AT1574" s="28"/>
    </row>
    <row r="1575">
      <c r="A1575" s="5" t="s">
        <v>1470</v>
      </c>
      <c r="B1575" s="6">
        <v>250.0</v>
      </c>
      <c r="C1575" s="7" t="s">
        <v>649</v>
      </c>
      <c r="D1575" s="15">
        <v>75208.0</v>
      </c>
      <c r="F1575" s="15"/>
      <c r="G1575" s="26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28"/>
      <c r="AS1575" s="28"/>
      <c r="AT1575" s="28"/>
    </row>
    <row r="1576">
      <c r="A1576" s="5" t="s">
        <v>1471</v>
      </c>
      <c r="B1576" s="6">
        <v>100.0</v>
      </c>
      <c r="C1576" s="7" t="s">
        <v>649</v>
      </c>
      <c r="D1576" s="15">
        <v>75209.0</v>
      </c>
      <c r="F1576" s="15"/>
      <c r="G1576" s="26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28"/>
      <c r="AS1576" s="28"/>
      <c r="AT1576" s="28"/>
    </row>
    <row r="1577">
      <c r="A1577" s="5" t="s">
        <v>1472</v>
      </c>
      <c r="B1577" s="6">
        <v>100.0</v>
      </c>
      <c r="C1577" s="7" t="s">
        <v>649</v>
      </c>
      <c r="D1577" s="15">
        <v>75208.0</v>
      </c>
      <c r="F1577" s="15"/>
      <c r="G1577" s="26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28"/>
      <c r="AS1577" s="28"/>
      <c r="AT1577" s="28"/>
    </row>
    <row r="1578">
      <c r="A1578" s="5" t="s">
        <v>1473</v>
      </c>
      <c r="B1578" s="6">
        <v>250.0</v>
      </c>
      <c r="C1578" s="7" t="s">
        <v>649</v>
      </c>
      <c r="D1578" s="15">
        <v>75201.0</v>
      </c>
      <c r="F1578" s="15"/>
      <c r="G1578" s="26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28"/>
      <c r="AS1578" s="28"/>
      <c r="AT1578" s="28"/>
    </row>
    <row r="1579">
      <c r="A1579" s="5" t="s">
        <v>1474</v>
      </c>
      <c r="B1579" s="6">
        <v>237.2</v>
      </c>
      <c r="C1579" s="7" t="s">
        <v>649</v>
      </c>
      <c r="D1579" s="15">
        <v>75206.0</v>
      </c>
      <c r="F1579" s="15"/>
      <c r="G1579" s="26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28"/>
      <c r="AS1579" s="28"/>
      <c r="AT1579" s="28"/>
    </row>
    <row r="1580">
      <c r="A1580" s="5" t="s">
        <v>1475</v>
      </c>
      <c r="B1580" s="6">
        <v>100.0</v>
      </c>
      <c r="C1580" s="7" t="s">
        <v>649</v>
      </c>
      <c r="D1580" s="15">
        <v>75230.0</v>
      </c>
      <c r="F1580" s="15"/>
      <c r="G1580" s="26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28"/>
      <c r="AS1580" s="28"/>
      <c r="AT1580" s="28"/>
    </row>
    <row r="1581">
      <c r="A1581" s="5" t="s">
        <v>1476</v>
      </c>
      <c r="B1581" s="6">
        <v>100.0</v>
      </c>
      <c r="C1581" s="7" t="s">
        <v>649</v>
      </c>
      <c r="D1581" s="15">
        <v>75208.0</v>
      </c>
      <c r="F1581" s="15"/>
      <c r="G1581" s="26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28"/>
      <c r="AS1581" s="28"/>
      <c r="AT1581" s="28"/>
    </row>
    <row r="1582">
      <c r="A1582" s="5" t="s">
        <v>1477</v>
      </c>
      <c r="B1582" s="6">
        <v>189.7</v>
      </c>
      <c r="C1582" s="7" t="s">
        <v>649</v>
      </c>
      <c r="D1582" s="15">
        <v>75201.0</v>
      </c>
      <c r="F1582" s="15"/>
      <c r="G1582" s="26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28"/>
      <c r="AS1582" s="28"/>
      <c r="AT1582" s="28"/>
    </row>
    <row r="1583">
      <c r="A1583" s="5" t="s">
        <v>1478</v>
      </c>
      <c r="B1583" s="6">
        <v>250.0</v>
      </c>
      <c r="C1583" s="7" t="s">
        <v>649</v>
      </c>
      <c r="D1583" s="15">
        <v>77005.0</v>
      </c>
      <c r="F1583" s="15"/>
      <c r="G1583" s="26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</row>
    <row r="1584">
      <c r="A1584" s="5"/>
      <c r="B1584" s="6"/>
      <c r="C1584" s="7"/>
      <c r="D1584" s="15"/>
      <c r="F1584" s="15"/>
      <c r="G1584" s="26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</row>
    <row r="1585">
      <c r="A1585" s="5" t="s">
        <v>1480</v>
      </c>
      <c r="B1585" s="6">
        <v>1000.0</v>
      </c>
      <c r="C1585" s="7" t="s">
        <v>649</v>
      </c>
      <c r="D1585" s="15">
        <v>75209.0</v>
      </c>
      <c r="F1585" s="15"/>
      <c r="G1585" s="26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28"/>
      <c r="AS1585" s="28"/>
      <c r="AT1585" s="28"/>
    </row>
    <row r="1586">
      <c r="A1586" s="5" t="s">
        <v>1481</v>
      </c>
      <c r="B1586" s="6">
        <v>189.7</v>
      </c>
      <c r="C1586" s="7" t="s">
        <v>649</v>
      </c>
      <c r="D1586" s="15">
        <v>75201.0</v>
      </c>
      <c r="F1586" s="15"/>
      <c r="G1586" s="26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28"/>
      <c r="AS1586" s="28"/>
      <c r="AT1586" s="28"/>
    </row>
    <row r="1587">
      <c r="A1587" s="5" t="s">
        <v>1482</v>
      </c>
      <c r="B1587" s="6">
        <v>1000.0</v>
      </c>
      <c r="C1587" s="7" t="s">
        <v>649</v>
      </c>
      <c r="D1587" s="15">
        <v>75206.0</v>
      </c>
      <c r="F1587" s="15"/>
      <c r="G1587" s="26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28"/>
      <c r="AS1587" s="28"/>
      <c r="AT1587" s="28"/>
    </row>
    <row r="1588">
      <c r="A1588" s="5" t="s">
        <v>708</v>
      </c>
      <c r="B1588" s="6">
        <v>100.0</v>
      </c>
      <c r="C1588" s="7" t="s">
        <v>649</v>
      </c>
      <c r="D1588" s="15">
        <v>75208.0</v>
      </c>
      <c r="F1588" s="15"/>
      <c r="G1588" s="26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28"/>
      <c r="AS1588" s="28"/>
      <c r="AT1588" s="28"/>
    </row>
    <row r="1589">
      <c r="A1589" s="5" t="s">
        <v>1483</v>
      </c>
      <c r="B1589" s="6">
        <v>100.0</v>
      </c>
      <c r="C1589" s="7" t="s">
        <v>649</v>
      </c>
      <c r="D1589" s="15">
        <v>75204.0</v>
      </c>
      <c r="F1589" s="15"/>
      <c r="G1589" s="26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28"/>
      <c r="AS1589" s="28"/>
      <c r="AT1589" s="28"/>
    </row>
    <row r="1590">
      <c r="A1590" s="5" t="s">
        <v>1484</v>
      </c>
      <c r="B1590" s="6">
        <v>1000.0</v>
      </c>
      <c r="C1590" s="7" t="s">
        <v>649</v>
      </c>
      <c r="D1590" s="15">
        <v>75252.0</v>
      </c>
      <c r="F1590" s="15"/>
      <c r="G1590" s="26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28"/>
      <c r="AS1590" s="28"/>
      <c r="AT1590" s="28"/>
    </row>
    <row r="1591">
      <c r="A1591" s="5" t="s">
        <v>1485</v>
      </c>
      <c r="B1591" s="6">
        <v>50.0</v>
      </c>
      <c r="C1591" s="7" t="s">
        <v>649</v>
      </c>
      <c r="D1591" s="15">
        <v>75208.0</v>
      </c>
      <c r="F1591" s="15"/>
      <c r="G1591" s="26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28"/>
      <c r="AS1591" s="28"/>
      <c r="AT1591" s="28"/>
    </row>
    <row r="1592">
      <c r="A1592" s="5" t="s">
        <v>1486</v>
      </c>
      <c r="B1592" s="6">
        <v>100.0</v>
      </c>
      <c r="C1592" s="7" t="s">
        <v>649</v>
      </c>
      <c r="D1592" s="15">
        <v>75208.0</v>
      </c>
      <c r="F1592" s="15"/>
      <c r="G1592" s="26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28"/>
      <c r="AS1592" s="28"/>
      <c r="AT1592" s="28"/>
    </row>
    <row r="1593">
      <c r="A1593" s="5" t="s">
        <v>1487</v>
      </c>
      <c r="B1593" s="6">
        <v>100.0</v>
      </c>
      <c r="C1593" s="7" t="s">
        <v>649</v>
      </c>
      <c r="D1593" s="15">
        <v>75224.0</v>
      </c>
      <c r="F1593" s="15"/>
      <c r="G1593" s="26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28"/>
      <c r="AS1593" s="28"/>
      <c r="AT1593" s="28"/>
    </row>
    <row r="1594">
      <c r="A1594" s="5" t="s">
        <v>1488</v>
      </c>
      <c r="B1594" s="6">
        <v>400.0</v>
      </c>
      <c r="C1594" s="7" t="s">
        <v>649</v>
      </c>
      <c r="D1594" s="15">
        <v>75208.0</v>
      </c>
      <c r="F1594" s="15"/>
      <c r="G1594" s="26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28"/>
      <c r="AS1594" s="28"/>
      <c r="AT1594" s="28"/>
    </row>
    <row r="1595">
      <c r="A1595" s="5" t="s">
        <v>1489</v>
      </c>
      <c r="B1595" s="6">
        <v>100.0</v>
      </c>
      <c r="C1595" s="7" t="s">
        <v>649</v>
      </c>
      <c r="D1595" s="15">
        <v>75225.0</v>
      </c>
      <c r="F1595" s="15"/>
      <c r="G1595" s="26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28"/>
      <c r="AS1595" s="28"/>
      <c r="AT1595" s="28"/>
    </row>
    <row r="1596">
      <c r="A1596" s="5" t="s">
        <v>1490</v>
      </c>
      <c r="B1596" s="6">
        <v>250.0</v>
      </c>
      <c r="C1596" s="7" t="s">
        <v>649</v>
      </c>
      <c r="D1596" s="15">
        <v>75214.0</v>
      </c>
      <c r="F1596" s="15"/>
      <c r="G1596" s="26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28"/>
      <c r="AS1596" s="28"/>
      <c r="AT1596" s="28"/>
    </row>
    <row r="1597">
      <c r="A1597" s="5" t="s">
        <v>669</v>
      </c>
      <c r="B1597" s="6">
        <v>50.0</v>
      </c>
      <c r="C1597" s="7" t="s">
        <v>649</v>
      </c>
      <c r="D1597" s="15">
        <v>75208.0</v>
      </c>
      <c r="F1597" s="15"/>
      <c r="G1597" s="26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28"/>
      <c r="AS1597" s="28"/>
      <c r="AT1597" s="28"/>
    </row>
    <row r="1598">
      <c r="A1598" s="5" t="s">
        <v>1491</v>
      </c>
      <c r="B1598" s="6">
        <v>25.0</v>
      </c>
      <c r="C1598" s="7" t="s">
        <v>649</v>
      </c>
      <c r="D1598" s="15">
        <v>75208.0</v>
      </c>
      <c r="F1598" s="15"/>
      <c r="G1598" s="26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28"/>
      <c r="AS1598" s="28"/>
      <c r="AT1598" s="28"/>
    </row>
    <row r="1599">
      <c r="A1599" s="5" t="s">
        <v>1492</v>
      </c>
      <c r="B1599" s="6">
        <v>100.0</v>
      </c>
      <c r="C1599" s="7" t="s">
        <v>649</v>
      </c>
      <c r="D1599" s="15">
        <v>75208.0</v>
      </c>
      <c r="F1599" s="15"/>
      <c r="G1599" s="26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28"/>
      <c r="AS1599" s="28"/>
      <c r="AT1599" s="28"/>
    </row>
    <row r="1600">
      <c r="A1600" s="5" t="s">
        <v>1493</v>
      </c>
      <c r="B1600" s="6">
        <v>50.0</v>
      </c>
      <c r="C1600" s="7" t="s">
        <v>649</v>
      </c>
      <c r="D1600" s="15">
        <v>75208.0</v>
      </c>
      <c r="F1600" s="15"/>
      <c r="G1600" s="26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</row>
    <row r="1601">
      <c r="A1601" s="5" t="s">
        <v>1494</v>
      </c>
      <c r="B1601" s="6">
        <v>500.0</v>
      </c>
      <c r="C1601" s="7" t="s">
        <v>649</v>
      </c>
      <c r="D1601" s="15">
        <v>75219.0</v>
      </c>
      <c r="F1601" s="15"/>
      <c r="G1601" s="26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28"/>
      <c r="AS1601" s="28"/>
      <c r="AT1601" s="28"/>
    </row>
    <row r="1602">
      <c r="A1602" s="5" t="s">
        <v>1495</v>
      </c>
      <c r="B1602" s="6">
        <v>500.0</v>
      </c>
      <c r="C1602" s="7" t="s">
        <v>649</v>
      </c>
      <c r="D1602" s="15">
        <v>75206.0</v>
      </c>
      <c r="F1602" s="15"/>
      <c r="G1602" s="26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28"/>
      <c r="AS1602" s="28"/>
      <c r="AT1602" s="28"/>
    </row>
    <row r="1603">
      <c r="A1603" s="5" t="s">
        <v>1495</v>
      </c>
      <c r="B1603" s="6">
        <v>250.0</v>
      </c>
      <c r="C1603" s="7" t="s">
        <v>649</v>
      </c>
      <c r="D1603" s="15">
        <v>75206.0</v>
      </c>
      <c r="F1603" s="15"/>
      <c r="G1603" s="26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28"/>
      <c r="AS1603" s="28"/>
      <c r="AT1603" s="28"/>
    </row>
    <row r="1604">
      <c r="A1604" s="5" t="s">
        <v>1496</v>
      </c>
      <c r="B1604" s="6">
        <v>250.0</v>
      </c>
      <c r="C1604" s="7" t="s">
        <v>649</v>
      </c>
      <c r="D1604" s="15">
        <v>75209.0</v>
      </c>
      <c r="F1604" s="15"/>
      <c r="G1604" s="26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28"/>
      <c r="AS1604" s="28"/>
      <c r="AT1604" s="28"/>
    </row>
    <row r="1605">
      <c r="A1605" s="5" t="s">
        <v>1497</v>
      </c>
      <c r="B1605" s="6">
        <v>50.0</v>
      </c>
      <c r="C1605" s="7" t="s">
        <v>649</v>
      </c>
      <c r="D1605" s="15">
        <v>75201.0</v>
      </c>
      <c r="F1605" s="15"/>
      <c r="G1605" s="26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</row>
    <row r="1606">
      <c r="A1606" s="5" t="s">
        <v>1498</v>
      </c>
      <c r="B1606" s="6">
        <v>50.0</v>
      </c>
      <c r="C1606" s="7" t="s">
        <v>649</v>
      </c>
      <c r="D1606" s="15">
        <v>75222.0</v>
      </c>
      <c r="F1606" s="15"/>
      <c r="G1606" s="26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28"/>
      <c r="AS1606" s="28"/>
      <c r="AT1606" s="28"/>
    </row>
    <row r="1607">
      <c r="A1607" s="5" t="s">
        <v>1499</v>
      </c>
      <c r="B1607" s="6">
        <v>50.0</v>
      </c>
      <c r="C1607" s="7" t="s">
        <v>649</v>
      </c>
      <c r="D1607" s="15">
        <v>75224.0</v>
      </c>
      <c r="F1607" s="15"/>
      <c r="G1607" s="26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28"/>
      <c r="AS1607" s="28"/>
      <c r="AT1607" s="28"/>
    </row>
    <row r="1608">
      <c r="A1608" s="5" t="s">
        <v>1500</v>
      </c>
      <c r="B1608" s="6">
        <v>100.0</v>
      </c>
      <c r="C1608" s="7" t="s">
        <v>649</v>
      </c>
      <c r="D1608" s="15">
        <v>75204.0</v>
      </c>
      <c r="F1608" s="15"/>
      <c r="G1608" s="26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28"/>
      <c r="AS1608" s="28"/>
      <c r="AT1608" s="28"/>
    </row>
    <row r="1609">
      <c r="A1609" s="5" t="s">
        <v>1501</v>
      </c>
      <c r="B1609" s="6">
        <v>500.0</v>
      </c>
      <c r="C1609" s="7" t="s">
        <v>649</v>
      </c>
      <c r="D1609" s="15">
        <v>75001.0</v>
      </c>
      <c r="F1609" s="15"/>
      <c r="G1609" s="26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28"/>
      <c r="AS1609" s="28"/>
      <c r="AT1609" s="28"/>
    </row>
    <row r="1610">
      <c r="A1610" s="5" t="s">
        <v>1502</v>
      </c>
      <c r="B1610" s="6">
        <v>1000.0</v>
      </c>
      <c r="C1610" s="7" t="s">
        <v>649</v>
      </c>
      <c r="D1610" s="15">
        <v>75209.0</v>
      </c>
      <c r="F1610" s="15"/>
      <c r="G1610" s="26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28"/>
      <c r="AS1610" s="28"/>
      <c r="AT1610" s="28"/>
    </row>
    <row r="1611">
      <c r="A1611" s="5" t="s">
        <v>1503</v>
      </c>
      <c r="B1611" s="6">
        <v>237.2</v>
      </c>
      <c r="C1611" s="7" t="s">
        <v>649</v>
      </c>
      <c r="D1611" s="15">
        <v>75061.0</v>
      </c>
      <c r="F1611" s="15"/>
      <c r="G1611" s="26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28"/>
      <c r="AS1611" s="28"/>
      <c r="AT1611" s="28"/>
    </row>
    <row r="1612">
      <c r="A1612" s="5" t="s">
        <v>1504</v>
      </c>
      <c r="B1612" s="6">
        <v>474.7</v>
      </c>
      <c r="C1612" s="7" t="s">
        <v>649</v>
      </c>
      <c r="D1612" s="15">
        <v>75208.0</v>
      </c>
      <c r="F1612" s="15"/>
      <c r="G1612" s="26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</row>
    <row r="1613">
      <c r="A1613" s="5" t="s">
        <v>1505</v>
      </c>
      <c r="B1613" s="6">
        <v>500.0</v>
      </c>
      <c r="C1613" s="7" t="s">
        <v>649</v>
      </c>
      <c r="D1613" s="15">
        <v>75208.0</v>
      </c>
      <c r="F1613" s="15"/>
      <c r="G1613" s="26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28"/>
      <c r="AS1613" s="28"/>
      <c r="AT1613" s="28"/>
    </row>
    <row r="1614">
      <c r="A1614" s="5" t="s">
        <v>729</v>
      </c>
      <c r="B1614" s="6">
        <v>1000.0</v>
      </c>
      <c r="C1614" s="7" t="s">
        <v>649</v>
      </c>
      <c r="D1614" s="15">
        <v>75240.0</v>
      </c>
      <c r="F1614" s="15"/>
      <c r="G1614" s="26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</row>
    <row r="1615">
      <c r="A1615" s="5" t="s">
        <v>1506</v>
      </c>
      <c r="B1615" s="6">
        <v>4000.0</v>
      </c>
      <c r="C1615" s="7" t="s">
        <v>649</v>
      </c>
      <c r="D1615" s="15">
        <v>75201.0</v>
      </c>
      <c r="F1615" s="15"/>
      <c r="G1615" s="26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28"/>
      <c r="AS1615" s="28"/>
      <c r="AT1615" s="28"/>
    </row>
    <row r="1616">
      <c r="A1616" s="5" t="s">
        <v>1507</v>
      </c>
      <c r="B1616" s="6">
        <v>1000.0</v>
      </c>
      <c r="C1616" s="7" t="s">
        <v>649</v>
      </c>
      <c r="D1616" s="15">
        <v>75057.0</v>
      </c>
      <c r="F1616" s="15"/>
      <c r="G1616" s="26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28"/>
      <c r="AS1616" s="28"/>
      <c r="AT1616" s="28"/>
    </row>
    <row r="1617">
      <c r="A1617" s="5" t="s">
        <v>1508</v>
      </c>
      <c r="B1617" s="6">
        <v>100.0</v>
      </c>
      <c r="C1617" s="7" t="s">
        <v>649</v>
      </c>
      <c r="D1617" s="15">
        <v>75214.0</v>
      </c>
      <c r="F1617" s="15"/>
      <c r="G1617" s="26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28"/>
      <c r="AS1617" s="28"/>
      <c r="AT1617" s="28"/>
    </row>
    <row r="1618">
      <c r="A1618" s="5" t="s">
        <v>1509</v>
      </c>
      <c r="B1618" s="6">
        <v>1000.0</v>
      </c>
      <c r="C1618" s="7" t="s">
        <v>649</v>
      </c>
      <c r="D1618" s="15">
        <v>75208.0</v>
      </c>
      <c r="F1618" s="15"/>
      <c r="G1618" s="26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28"/>
      <c r="AS1618" s="28"/>
      <c r="AT1618" s="28"/>
    </row>
    <row r="1619">
      <c r="A1619" s="5" t="s">
        <v>1510</v>
      </c>
      <c r="B1619" s="6">
        <v>1000.0</v>
      </c>
      <c r="C1619" s="7" t="s">
        <v>649</v>
      </c>
      <c r="D1619" s="15">
        <v>75201.0</v>
      </c>
      <c r="F1619" s="15"/>
      <c r="G1619" s="26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28"/>
      <c r="AS1619" s="28"/>
      <c r="AT1619" s="28"/>
    </row>
    <row r="1620">
      <c r="A1620" s="5" t="s">
        <v>1511</v>
      </c>
      <c r="B1620" s="6">
        <v>949.7</v>
      </c>
      <c r="C1620" s="7" t="s">
        <v>649</v>
      </c>
      <c r="D1620" s="15">
        <v>75205.0</v>
      </c>
      <c r="F1620" s="15"/>
      <c r="G1620" s="26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28"/>
      <c r="AS1620" s="28"/>
      <c r="AT1620" s="28"/>
    </row>
    <row r="1621">
      <c r="A1621" s="5" t="s">
        <v>1512</v>
      </c>
      <c r="B1621" s="6">
        <v>1000.0</v>
      </c>
      <c r="C1621" s="7" t="s">
        <v>649</v>
      </c>
      <c r="D1621" s="15">
        <v>75204.0</v>
      </c>
      <c r="F1621" s="15"/>
      <c r="G1621" s="26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</row>
    <row r="1622">
      <c r="A1622" s="5" t="s">
        <v>1513</v>
      </c>
      <c r="B1622" s="6">
        <v>250.0</v>
      </c>
      <c r="C1622" s="7" t="s">
        <v>649</v>
      </c>
      <c r="D1622" s="15">
        <v>75219.0</v>
      </c>
      <c r="F1622" s="15"/>
      <c r="G1622" s="26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28"/>
      <c r="AS1622" s="28"/>
      <c r="AT1622" s="28"/>
    </row>
    <row r="1623">
      <c r="A1623" s="5" t="s">
        <v>1514</v>
      </c>
      <c r="B1623" s="6">
        <v>1000.0</v>
      </c>
      <c r="C1623" s="7" t="s">
        <v>649</v>
      </c>
      <c r="D1623" s="15">
        <v>75225.0</v>
      </c>
      <c r="F1623" s="15"/>
      <c r="G1623" s="26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28"/>
      <c r="AS1623" s="28"/>
      <c r="AT1623" s="28"/>
    </row>
    <row r="1624">
      <c r="A1624" s="5"/>
      <c r="B1624" s="6"/>
      <c r="C1624" s="7"/>
      <c r="D1624" s="15"/>
      <c r="F1624" s="15"/>
      <c r="G1624" s="26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</row>
    <row r="1625">
      <c r="A1625" s="5"/>
      <c r="B1625" s="6"/>
      <c r="C1625" s="7"/>
      <c r="D1625" s="15"/>
      <c r="F1625" s="15"/>
      <c r="G1625" s="26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</row>
    <row r="1626">
      <c r="A1626" s="5" t="s">
        <v>1516</v>
      </c>
      <c r="B1626" s="6">
        <v>250.0</v>
      </c>
      <c r="C1626" s="7" t="s">
        <v>649</v>
      </c>
      <c r="D1626" s="15">
        <v>75205.0</v>
      </c>
      <c r="F1626" s="15"/>
      <c r="G1626" s="26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</row>
    <row r="1627">
      <c r="A1627" s="5" t="s">
        <v>1517</v>
      </c>
      <c r="B1627" s="6">
        <v>500.0</v>
      </c>
      <c r="C1627" s="7" t="s">
        <v>649</v>
      </c>
      <c r="D1627" s="15">
        <v>75208.0</v>
      </c>
      <c r="F1627" s="15"/>
      <c r="G1627" s="26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28"/>
      <c r="AS1627" s="28"/>
      <c r="AT1627" s="28"/>
    </row>
    <row r="1628">
      <c r="A1628" s="5" t="s">
        <v>1518</v>
      </c>
      <c r="B1628" s="6">
        <v>1000.0</v>
      </c>
      <c r="C1628" s="7" t="s">
        <v>649</v>
      </c>
      <c r="D1628" s="15">
        <v>75219.0</v>
      </c>
      <c r="F1628" s="15"/>
      <c r="G1628" s="26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28"/>
      <c r="AS1628" s="28"/>
      <c r="AT1628" s="28"/>
    </row>
    <row r="1629">
      <c r="A1629" s="5" t="s">
        <v>1519</v>
      </c>
      <c r="B1629" s="6">
        <v>1000.0</v>
      </c>
      <c r="C1629" s="7" t="s">
        <v>649</v>
      </c>
      <c r="D1629" s="15">
        <v>75204.0</v>
      </c>
      <c r="F1629" s="15"/>
      <c r="G1629" s="26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28"/>
      <c r="AS1629" s="28"/>
      <c r="AT1629" s="28"/>
    </row>
    <row r="1630">
      <c r="A1630" s="5" t="s">
        <v>1520</v>
      </c>
      <c r="B1630" s="6">
        <v>1500.0</v>
      </c>
      <c r="C1630" s="7" t="s">
        <v>649</v>
      </c>
      <c r="D1630" s="15">
        <v>75235.0</v>
      </c>
      <c r="F1630" s="15"/>
      <c r="G1630" s="26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28"/>
    </row>
    <row r="1631">
      <c r="A1631" s="5" t="s">
        <v>1521</v>
      </c>
      <c r="B1631" s="6">
        <v>500.0</v>
      </c>
      <c r="C1631" s="7" t="s">
        <v>375</v>
      </c>
      <c r="D1631" s="15">
        <v>75201.0</v>
      </c>
      <c r="F1631" s="15"/>
      <c r="G1631" s="26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28"/>
      <c r="AS1631" s="28"/>
      <c r="AT1631" s="28"/>
    </row>
    <row r="1632">
      <c r="A1632" s="5" t="s">
        <v>1522</v>
      </c>
      <c r="B1632" s="6">
        <v>50.0</v>
      </c>
      <c r="C1632" s="7" t="s">
        <v>375</v>
      </c>
      <c r="D1632" s="15">
        <v>75270.0</v>
      </c>
      <c r="F1632" s="15"/>
      <c r="G1632" s="26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28"/>
      <c r="AS1632" s="28"/>
      <c r="AT1632" s="28"/>
    </row>
    <row r="1633">
      <c r="A1633" s="5" t="s">
        <v>1523</v>
      </c>
      <c r="B1633" s="6">
        <v>50.0</v>
      </c>
      <c r="C1633" s="7" t="s">
        <v>375</v>
      </c>
      <c r="D1633" s="15">
        <v>75235.0</v>
      </c>
      <c r="F1633" s="15"/>
      <c r="G1633" s="26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28"/>
      <c r="AS1633" s="28"/>
      <c r="AT1633" s="28"/>
    </row>
    <row r="1634">
      <c r="A1634" s="5" t="s">
        <v>1524</v>
      </c>
      <c r="B1634" s="6">
        <v>100.0</v>
      </c>
      <c r="C1634" s="7" t="s">
        <v>375</v>
      </c>
      <c r="D1634" s="15">
        <v>75219.0</v>
      </c>
      <c r="F1634" s="15"/>
      <c r="G1634" s="26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28"/>
      <c r="AS1634" s="28"/>
      <c r="AT1634" s="28"/>
    </row>
    <row r="1635">
      <c r="A1635" s="5" t="s">
        <v>1525</v>
      </c>
      <c r="B1635" s="6">
        <v>100.0</v>
      </c>
      <c r="C1635" s="7" t="s">
        <v>375</v>
      </c>
      <c r="D1635" s="15">
        <v>75202.0</v>
      </c>
      <c r="F1635" s="15"/>
      <c r="G1635" s="26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28"/>
      <c r="AS1635" s="28"/>
      <c r="AT1635" s="28"/>
    </row>
    <row r="1636">
      <c r="A1636" s="5" t="s">
        <v>1526</v>
      </c>
      <c r="B1636" s="6">
        <v>200.0</v>
      </c>
      <c r="C1636" s="7" t="s">
        <v>375</v>
      </c>
      <c r="D1636" s="15">
        <v>75223.0</v>
      </c>
      <c r="F1636" s="15"/>
      <c r="G1636" s="26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28"/>
      <c r="AS1636" s="28"/>
      <c r="AT1636" s="28"/>
    </row>
    <row r="1637">
      <c r="A1637" s="5" t="s">
        <v>1527</v>
      </c>
      <c r="B1637" s="6">
        <v>1000.0</v>
      </c>
      <c r="C1637" s="7" t="s">
        <v>375</v>
      </c>
      <c r="D1637" s="15">
        <v>75214.0</v>
      </c>
      <c r="F1637" s="15"/>
      <c r="G1637" s="26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</row>
    <row r="1638">
      <c r="A1638" s="5" t="s">
        <v>1528</v>
      </c>
      <c r="B1638" s="6">
        <v>100.0</v>
      </c>
      <c r="C1638" s="7" t="s">
        <v>375</v>
      </c>
      <c r="D1638" s="15">
        <v>75235.0</v>
      </c>
      <c r="F1638" s="15"/>
      <c r="G1638" s="26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28"/>
      <c r="AS1638" s="28"/>
      <c r="AT1638" s="28"/>
    </row>
    <row r="1639">
      <c r="A1639" s="5" t="s">
        <v>1529</v>
      </c>
      <c r="B1639" s="6">
        <v>100.0</v>
      </c>
      <c r="C1639" s="7" t="s">
        <v>375</v>
      </c>
      <c r="D1639" s="15">
        <v>75233.0</v>
      </c>
      <c r="F1639" s="15"/>
      <c r="G1639" s="26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28"/>
      <c r="AS1639" s="28"/>
      <c r="AT1639" s="28"/>
    </row>
    <row r="1640">
      <c r="A1640" s="5" t="s">
        <v>231</v>
      </c>
      <c r="B1640" s="6">
        <v>100.0</v>
      </c>
      <c r="C1640" s="7" t="s">
        <v>375</v>
      </c>
      <c r="D1640" s="15">
        <v>75220.0</v>
      </c>
      <c r="F1640" s="15"/>
      <c r="G1640" s="26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28"/>
      <c r="AS1640" s="28"/>
      <c r="AT1640" s="28"/>
    </row>
    <row r="1641">
      <c r="A1641" s="5" t="s">
        <v>1530</v>
      </c>
      <c r="B1641" s="6">
        <v>500.0</v>
      </c>
      <c r="C1641" s="7" t="s">
        <v>375</v>
      </c>
      <c r="D1641" s="15">
        <v>75209.0</v>
      </c>
      <c r="F1641" s="15"/>
      <c r="G1641" s="26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28"/>
      <c r="AS1641" s="28"/>
      <c r="AT1641" s="28"/>
    </row>
    <row r="1642">
      <c r="A1642" s="5" t="s">
        <v>1531</v>
      </c>
      <c r="B1642" s="6">
        <v>1000.0</v>
      </c>
      <c r="C1642" s="7" t="s">
        <v>375</v>
      </c>
      <c r="D1642" s="15">
        <v>75019.0</v>
      </c>
      <c r="F1642" s="15"/>
      <c r="G1642" s="26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28"/>
      <c r="AS1642" s="28"/>
      <c r="AT1642" s="28"/>
    </row>
    <row r="1643">
      <c r="A1643" s="5" t="s">
        <v>1532</v>
      </c>
      <c r="B1643" s="6">
        <v>1000.0</v>
      </c>
      <c r="C1643" s="7" t="s">
        <v>375</v>
      </c>
      <c r="D1643" s="15">
        <v>75115.0</v>
      </c>
      <c r="F1643" s="15"/>
      <c r="G1643" s="26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28"/>
      <c r="AS1643" s="28"/>
      <c r="AT1643" s="28"/>
    </row>
    <row r="1644">
      <c r="A1644" s="5" t="s">
        <v>1533</v>
      </c>
      <c r="B1644" s="6">
        <v>150.0</v>
      </c>
      <c r="C1644" s="7" t="s">
        <v>375</v>
      </c>
      <c r="D1644" s="15">
        <v>75220.0</v>
      </c>
      <c r="F1644" s="15"/>
      <c r="G1644" s="26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28"/>
      <c r="AS1644" s="28"/>
      <c r="AT1644" s="28"/>
    </row>
    <row r="1645">
      <c r="A1645" s="5" t="s">
        <v>1534</v>
      </c>
      <c r="B1645" s="6">
        <v>1000.0</v>
      </c>
      <c r="C1645" s="7" t="s">
        <v>375</v>
      </c>
      <c r="D1645" s="15">
        <v>75065.0</v>
      </c>
      <c r="F1645" s="15"/>
      <c r="G1645" s="26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28"/>
      <c r="AS1645" s="28"/>
      <c r="AT1645" s="28"/>
    </row>
    <row r="1646">
      <c r="A1646" s="5" t="s">
        <v>1535</v>
      </c>
      <c r="B1646" s="6">
        <v>50.0</v>
      </c>
      <c r="C1646" s="7" t="s">
        <v>375</v>
      </c>
      <c r="D1646" s="15">
        <v>75223.0</v>
      </c>
      <c r="F1646" s="15"/>
      <c r="G1646" s="26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28"/>
      <c r="AS1646" s="28"/>
      <c r="AT1646" s="28"/>
    </row>
    <row r="1647">
      <c r="A1647" s="5" t="s">
        <v>1536</v>
      </c>
      <c r="B1647" s="6">
        <v>75.0</v>
      </c>
      <c r="C1647" s="7" t="s">
        <v>375</v>
      </c>
      <c r="D1647" s="15">
        <v>75204.0</v>
      </c>
      <c r="F1647" s="15"/>
      <c r="G1647" s="26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28"/>
      <c r="AS1647" s="28"/>
      <c r="AT1647" s="28"/>
    </row>
    <row r="1648">
      <c r="A1648" s="5" t="s">
        <v>1537</v>
      </c>
      <c r="B1648" s="6">
        <v>500.0</v>
      </c>
      <c r="C1648" s="7" t="s">
        <v>375</v>
      </c>
      <c r="D1648" s="15">
        <v>75201.0</v>
      </c>
      <c r="F1648" s="15"/>
      <c r="G1648" s="26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28"/>
      <c r="AS1648" s="28"/>
      <c r="AT1648" s="28"/>
    </row>
    <row r="1649">
      <c r="A1649" s="5" t="s">
        <v>1162</v>
      </c>
      <c r="B1649" s="6">
        <v>100.0</v>
      </c>
      <c r="C1649" s="7" t="s">
        <v>375</v>
      </c>
      <c r="D1649" s="15">
        <v>75206.0</v>
      </c>
      <c r="F1649" s="15"/>
      <c r="G1649" s="26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28"/>
      <c r="AS1649" s="28"/>
      <c r="AT1649" s="28"/>
    </row>
    <row r="1650">
      <c r="A1650" s="5" t="s">
        <v>1538</v>
      </c>
      <c r="B1650" s="6">
        <v>500.0</v>
      </c>
      <c r="C1650" s="7" t="s">
        <v>375</v>
      </c>
      <c r="D1650" s="15">
        <v>75252.0</v>
      </c>
      <c r="F1650" s="15"/>
      <c r="G1650" s="26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28"/>
      <c r="AS1650" s="28"/>
      <c r="AT1650" s="28"/>
    </row>
    <row r="1651">
      <c r="A1651" s="5" t="s">
        <v>1539</v>
      </c>
      <c r="B1651" s="6">
        <v>100.0</v>
      </c>
      <c r="C1651" s="7" t="s">
        <v>375</v>
      </c>
      <c r="D1651" s="15">
        <v>75204.0</v>
      </c>
      <c r="F1651" s="15"/>
      <c r="G1651" s="26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28"/>
      <c r="AS1651" s="28"/>
      <c r="AT1651" s="28"/>
    </row>
    <row r="1652">
      <c r="A1652" s="5" t="s">
        <v>1540</v>
      </c>
      <c r="B1652" s="6">
        <v>1000.0</v>
      </c>
      <c r="C1652" s="7" t="s">
        <v>375</v>
      </c>
      <c r="D1652" s="15">
        <v>75219.0</v>
      </c>
      <c r="F1652" s="15"/>
      <c r="G1652" s="26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28"/>
      <c r="AS1652" s="28"/>
      <c r="AT1652" s="28"/>
    </row>
    <row r="1653">
      <c r="A1653" s="5" t="s">
        <v>1162</v>
      </c>
      <c r="B1653" s="6">
        <v>100.0</v>
      </c>
      <c r="C1653" s="7" t="s">
        <v>375</v>
      </c>
      <c r="D1653" s="15">
        <v>75206.0</v>
      </c>
      <c r="F1653" s="15"/>
      <c r="G1653" s="26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28"/>
      <c r="AS1653" s="28"/>
      <c r="AT1653" s="28"/>
    </row>
    <row r="1654">
      <c r="A1654" s="5" t="s">
        <v>1541</v>
      </c>
      <c r="B1654" s="6">
        <v>100.0</v>
      </c>
      <c r="C1654" s="7" t="s">
        <v>375</v>
      </c>
      <c r="D1654" s="15">
        <v>75201.0</v>
      </c>
      <c r="F1654" s="15"/>
      <c r="G1654" s="26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28"/>
      <c r="AS1654" s="28"/>
      <c r="AT1654" s="28"/>
    </row>
    <row r="1655">
      <c r="A1655" s="5" t="s">
        <v>1542</v>
      </c>
      <c r="B1655" s="6">
        <v>100.0</v>
      </c>
      <c r="C1655" s="7" t="s">
        <v>375</v>
      </c>
      <c r="D1655" s="15">
        <v>75206.0</v>
      </c>
      <c r="F1655" s="15"/>
      <c r="G1655" s="26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28"/>
      <c r="AS1655" s="28"/>
      <c r="AT1655" s="28"/>
    </row>
    <row r="1656">
      <c r="A1656" s="5" t="s">
        <v>382</v>
      </c>
      <c r="B1656" s="6">
        <v>100.0</v>
      </c>
      <c r="C1656" s="7" t="s">
        <v>375</v>
      </c>
      <c r="D1656" s="15">
        <v>75215.0</v>
      </c>
      <c r="F1656" s="15"/>
      <c r="G1656" s="26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28"/>
      <c r="AS1656" s="28"/>
      <c r="AT1656" s="28"/>
    </row>
    <row r="1657">
      <c r="A1657" s="5" t="s">
        <v>1543</v>
      </c>
      <c r="B1657" s="6">
        <v>1000.0</v>
      </c>
      <c r="C1657" s="7" t="s">
        <v>375</v>
      </c>
      <c r="D1657" s="15">
        <v>75201.0</v>
      </c>
      <c r="F1657" s="15"/>
      <c r="G1657" s="26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28"/>
      <c r="AS1657" s="28"/>
      <c r="AT1657" s="28"/>
    </row>
    <row r="1658">
      <c r="A1658" s="5" t="s">
        <v>1544</v>
      </c>
      <c r="B1658" s="6">
        <v>500.0</v>
      </c>
      <c r="C1658" s="7" t="s">
        <v>375</v>
      </c>
      <c r="D1658" s="15">
        <v>75214.0</v>
      </c>
      <c r="F1658" s="15"/>
      <c r="G1658" s="26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28"/>
      <c r="AS1658" s="28"/>
      <c r="AT1658" s="28"/>
    </row>
    <row r="1659">
      <c r="A1659" s="5" t="s">
        <v>1545</v>
      </c>
      <c r="B1659" s="6">
        <v>500.0</v>
      </c>
      <c r="C1659" s="7" t="s">
        <v>375</v>
      </c>
      <c r="D1659" s="15">
        <v>75223.0</v>
      </c>
      <c r="F1659" s="15"/>
      <c r="G1659" s="26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28"/>
      <c r="AS1659" s="28"/>
      <c r="AT1659" s="28"/>
    </row>
    <row r="1660">
      <c r="A1660" s="5" t="s">
        <v>1546</v>
      </c>
      <c r="B1660" s="6">
        <v>150.0</v>
      </c>
      <c r="C1660" s="7" t="s">
        <v>375</v>
      </c>
      <c r="D1660" s="15">
        <v>75235.0</v>
      </c>
      <c r="F1660" s="15"/>
      <c r="G1660" s="26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28"/>
      <c r="AS1660" s="28"/>
      <c r="AT1660" s="28"/>
    </row>
    <row r="1661">
      <c r="A1661" s="5" t="s">
        <v>1547</v>
      </c>
      <c r="B1661" s="6">
        <v>500.0</v>
      </c>
      <c r="C1661" s="7" t="s">
        <v>375</v>
      </c>
      <c r="D1661" s="15">
        <v>75205.0</v>
      </c>
      <c r="F1661" s="15"/>
      <c r="G1661" s="26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28"/>
      <c r="AS1661" s="28"/>
      <c r="AT1661" s="28"/>
    </row>
    <row r="1662">
      <c r="A1662" s="5" t="s">
        <v>1548</v>
      </c>
      <c r="B1662" s="6">
        <v>100.0</v>
      </c>
      <c r="C1662" s="7" t="s">
        <v>375</v>
      </c>
      <c r="D1662" s="15">
        <v>75214.0</v>
      </c>
      <c r="F1662" s="15"/>
      <c r="G1662" s="26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28"/>
      <c r="AS1662" s="28"/>
      <c r="AT1662" s="28"/>
    </row>
    <row r="1663">
      <c r="A1663" s="5" t="s">
        <v>1549</v>
      </c>
      <c r="B1663" s="6">
        <v>1000.0</v>
      </c>
      <c r="C1663" s="7" t="s">
        <v>375</v>
      </c>
      <c r="D1663" s="15">
        <v>75223.0</v>
      </c>
      <c r="F1663" s="15"/>
      <c r="G1663" s="26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28"/>
      <c r="AS1663" s="28"/>
      <c r="AT1663" s="28"/>
    </row>
    <row r="1664">
      <c r="A1664" s="5" t="s">
        <v>1550</v>
      </c>
      <c r="B1664" s="6">
        <v>500.0</v>
      </c>
      <c r="C1664" s="7" t="s">
        <v>375</v>
      </c>
      <c r="D1664" s="15">
        <v>75243.0</v>
      </c>
      <c r="F1664" s="15"/>
      <c r="G1664" s="26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28"/>
      <c r="AS1664" s="28"/>
      <c r="AT1664" s="28"/>
    </row>
    <row r="1665">
      <c r="A1665" s="5"/>
      <c r="B1665" s="6"/>
      <c r="C1665" s="7"/>
      <c r="D1665" s="15"/>
      <c r="F1665" s="15"/>
      <c r="G1665" s="26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28"/>
      <c r="AS1665" s="28"/>
      <c r="AT1665" s="28"/>
    </row>
    <row r="1666">
      <c r="A1666" s="5" t="s">
        <v>1127</v>
      </c>
      <c r="B1666" s="6">
        <v>500.0</v>
      </c>
      <c r="C1666" s="7" t="s">
        <v>375</v>
      </c>
      <c r="D1666" s="15">
        <v>75219.0</v>
      </c>
      <c r="F1666" s="15"/>
      <c r="G1666" s="26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28"/>
      <c r="AS1666" s="28"/>
      <c r="AT1666" s="28"/>
    </row>
    <row r="1667">
      <c r="A1667" s="5" t="s">
        <v>1552</v>
      </c>
      <c r="B1667" s="6">
        <v>25.0</v>
      </c>
      <c r="C1667" s="7" t="s">
        <v>375</v>
      </c>
      <c r="D1667" s="15">
        <v>75219.0</v>
      </c>
      <c r="F1667" s="15"/>
      <c r="G1667" s="26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28"/>
      <c r="AS1667" s="28"/>
      <c r="AT1667" s="28"/>
    </row>
    <row r="1668">
      <c r="A1668" s="5" t="s">
        <v>1553</v>
      </c>
      <c r="B1668" s="6">
        <v>100.0</v>
      </c>
      <c r="C1668" s="7" t="s">
        <v>375</v>
      </c>
      <c r="D1668" s="15">
        <v>75214.0</v>
      </c>
      <c r="F1668" s="15"/>
      <c r="G1668" s="26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28"/>
      <c r="AS1668" s="28"/>
      <c r="AT1668" s="28"/>
    </row>
    <row r="1669">
      <c r="A1669" s="5" t="s">
        <v>166</v>
      </c>
      <c r="B1669" s="6">
        <v>500.0</v>
      </c>
      <c r="C1669" s="7" t="s">
        <v>375</v>
      </c>
      <c r="D1669" s="15">
        <v>75229.0</v>
      </c>
      <c r="F1669" s="15"/>
      <c r="G1669" s="26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28"/>
      <c r="AS1669" s="28"/>
      <c r="AT1669" s="28"/>
    </row>
    <row r="1670">
      <c r="A1670" s="5" t="s">
        <v>1462</v>
      </c>
      <c r="B1670" s="6">
        <v>1000.0</v>
      </c>
      <c r="C1670" s="7" t="s">
        <v>375</v>
      </c>
      <c r="D1670" s="15">
        <v>75205.0</v>
      </c>
      <c r="F1670" s="15"/>
      <c r="G1670" s="26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</row>
    <row r="1671">
      <c r="A1671" s="5" t="s">
        <v>1461</v>
      </c>
      <c r="B1671" s="6">
        <v>1000.0</v>
      </c>
      <c r="C1671" s="7" t="s">
        <v>375</v>
      </c>
      <c r="D1671" s="15">
        <v>75205.0</v>
      </c>
      <c r="F1671" s="15"/>
      <c r="G1671" s="26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28"/>
      <c r="AS1671" s="28"/>
      <c r="AT1671" s="28"/>
    </row>
    <row r="1672">
      <c r="A1672" s="5" t="s">
        <v>1554</v>
      </c>
      <c r="B1672" s="6">
        <v>1000.0</v>
      </c>
      <c r="C1672" s="7" t="s">
        <v>375</v>
      </c>
      <c r="D1672" s="15">
        <v>78760.0</v>
      </c>
      <c r="F1672" s="15"/>
      <c r="G1672" s="26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28"/>
      <c r="AS1672" s="28"/>
      <c r="AT1672" s="28"/>
    </row>
    <row r="1673">
      <c r="A1673" s="5" t="s">
        <v>1555</v>
      </c>
      <c r="B1673" s="6">
        <v>250.0</v>
      </c>
      <c r="C1673" s="7" t="s">
        <v>375</v>
      </c>
      <c r="D1673" s="15">
        <v>75219.0</v>
      </c>
      <c r="F1673" s="15"/>
      <c r="G1673" s="26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28"/>
      <c r="AS1673" s="28"/>
      <c r="AT1673" s="28"/>
    </row>
    <row r="1674">
      <c r="A1674" s="5" t="s">
        <v>1556</v>
      </c>
      <c r="B1674" s="6">
        <v>1000.0</v>
      </c>
      <c r="C1674" s="7" t="s">
        <v>375</v>
      </c>
      <c r="D1674" s="15">
        <v>77493.0</v>
      </c>
      <c r="F1674" s="15"/>
      <c r="G1674" s="26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28"/>
      <c r="AS1674" s="28"/>
      <c r="AT1674" s="28"/>
    </row>
    <row r="1675">
      <c r="A1675" s="5" t="s">
        <v>1557</v>
      </c>
      <c r="B1675" s="6">
        <v>1000.0</v>
      </c>
      <c r="C1675" s="7" t="s">
        <v>375</v>
      </c>
      <c r="D1675" s="15">
        <v>77072.0</v>
      </c>
      <c r="F1675" s="15"/>
      <c r="G1675" s="26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28"/>
      <c r="AS1675" s="28"/>
      <c r="AT1675" s="28"/>
    </row>
    <row r="1676">
      <c r="A1676" s="5" t="s">
        <v>1558</v>
      </c>
      <c r="B1676" s="6">
        <v>1000.0</v>
      </c>
      <c r="C1676" s="7" t="s">
        <v>375</v>
      </c>
      <c r="D1676" s="15">
        <v>75204.0</v>
      </c>
      <c r="F1676" s="15"/>
      <c r="G1676" s="26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/>
    </row>
    <row r="1677">
      <c r="A1677" s="5" t="s">
        <v>1559</v>
      </c>
      <c r="B1677" s="6">
        <v>1000.0</v>
      </c>
      <c r="C1677" s="7" t="s">
        <v>375</v>
      </c>
      <c r="D1677" s="15">
        <v>76051.0</v>
      </c>
      <c r="F1677" s="15"/>
      <c r="G1677" s="26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28"/>
      <c r="AR1677" s="28"/>
      <c r="AS1677" s="28"/>
      <c r="AT1677" s="28"/>
    </row>
    <row r="1678">
      <c r="A1678" s="5" t="s">
        <v>1560</v>
      </c>
      <c r="B1678" s="6">
        <v>1000.0</v>
      </c>
      <c r="C1678" s="7" t="s">
        <v>375</v>
      </c>
      <c r="D1678" s="15">
        <v>76051.0</v>
      </c>
      <c r="F1678" s="15"/>
      <c r="G1678" s="26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28"/>
      <c r="AQ1678" s="28"/>
      <c r="AR1678" s="28"/>
      <c r="AS1678" s="28"/>
      <c r="AT1678" s="28"/>
    </row>
    <row r="1679">
      <c r="A1679" s="5" t="s">
        <v>1561</v>
      </c>
      <c r="B1679" s="6">
        <v>1000.0</v>
      </c>
      <c r="C1679" s="7" t="s">
        <v>375</v>
      </c>
      <c r="D1679" s="15">
        <v>75219.0</v>
      </c>
      <c r="F1679" s="15"/>
      <c r="G1679" s="26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28"/>
      <c r="AQ1679" s="28"/>
      <c r="AR1679" s="28"/>
      <c r="AS1679" s="28"/>
      <c r="AT1679" s="28"/>
    </row>
    <row r="1680">
      <c r="A1680" s="5" t="s">
        <v>1562</v>
      </c>
      <c r="B1680" s="6">
        <v>1000.0</v>
      </c>
      <c r="C1680" s="7" t="s">
        <v>375</v>
      </c>
      <c r="D1680" s="15">
        <v>77024.0</v>
      </c>
      <c r="F1680" s="15"/>
      <c r="G1680" s="26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28"/>
      <c r="AQ1680" s="28"/>
      <c r="AR1680" s="28"/>
      <c r="AS1680" s="28"/>
      <c r="AT1680" s="28"/>
    </row>
    <row r="1681">
      <c r="A1681" s="5" t="s">
        <v>1563</v>
      </c>
      <c r="B1681" s="6">
        <v>1000.0</v>
      </c>
      <c r="C1681" s="7" t="s">
        <v>375</v>
      </c>
      <c r="D1681" s="15">
        <v>75205.0</v>
      </c>
      <c r="F1681" s="15"/>
      <c r="G1681" s="26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28"/>
      <c r="AR1681" s="28"/>
      <c r="AS1681" s="28"/>
      <c r="AT1681" s="28"/>
    </row>
    <row r="1682">
      <c r="A1682" s="5" t="s">
        <v>1564</v>
      </c>
      <c r="B1682" s="6">
        <v>1000.0</v>
      </c>
      <c r="C1682" s="7" t="s">
        <v>375</v>
      </c>
      <c r="D1682" s="15">
        <v>75204.0</v>
      </c>
      <c r="F1682" s="15"/>
      <c r="G1682" s="26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R1682" s="28"/>
      <c r="AS1682" s="28"/>
      <c r="AT1682" s="28"/>
    </row>
    <row r="1683">
      <c r="A1683" s="5" t="s">
        <v>1565</v>
      </c>
      <c r="B1683" s="6">
        <v>250.0</v>
      </c>
      <c r="C1683" s="7" t="s">
        <v>375</v>
      </c>
      <c r="D1683" s="15">
        <v>75214.0</v>
      </c>
      <c r="F1683" s="15"/>
      <c r="G1683" s="26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28"/>
      <c r="AR1683" s="28"/>
      <c r="AS1683" s="28"/>
      <c r="AT1683" s="28"/>
    </row>
    <row r="1684">
      <c r="A1684" s="5" t="s">
        <v>1566</v>
      </c>
      <c r="B1684" s="6">
        <v>1000.0</v>
      </c>
      <c r="C1684" s="7" t="s">
        <v>375</v>
      </c>
      <c r="D1684" s="15">
        <v>75235.0</v>
      </c>
      <c r="F1684" s="15"/>
      <c r="G1684" s="26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</row>
    <row r="1685">
      <c r="A1685" s="5" t="s">
        <v>1567</v>
      </c>
      <c r="B1685" s="6">
        <v>2000.0</v>
      </c>
      <c r="C1685" s="7" t="s">
        <v>1568</v>
      </c>
      <c r="D1685" s="15">
        <v>75209.0</v>
      </c>
      <c r="F1685" s="15"/>
      <c r="G1685" s="26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28"/>
      <c r="AQ1685" s="28"/>
      <c r="AR1685" s="28"/>
      <c r="AS1685" s="28"/>
      <c r="AT1685" s="28"/>
    </row>
    <row r="1686">
      <c r="A1686" s="10" t="s">
        <v>1569</v>
      </c>
      <c r="B1686" s="11">
        <v>1000.0</v>
      </c>
      <c r="C1686" s="12" t="s">
        <v>1568</v>
      </c>
      <c r="D1686" s="15">
        <v>75209.0</v>
      </c>
      <c r="F1686" s="15"/>
      <c r="G1686" s="26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28"/>
      <c r="AQ1686" s="28"/>
      <c r="AR1686" s="28"/>
      <c r="AS1686" s="28"/>
      <c r="AT1686" s="28"/>
    </row>
    <row r="1687">
      <c r="A1687" s="5" t="s">
        <v>1570</v>
      </c>
      <c r="B1687" s="6">
        <v>2000.0</v>
      </c>
      <c r="C1687" s="7" t="s">
        <v>1568</v>
      </c>
      <c r="D1687" s="15">
        <v>75227.0</v>
      </c>
      <c r="F1687" s="15"/>
      <c r="G1687" s="26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28"/>
      <c r="AR1687" s="28"/>
      <c r="AS1687" s="28"/>
      <c r="AT1687" s="28"/>
    </row>
    <row r="1688">
      <c r="A1688" s="10" t="s">
        <v>1571</v>
      </c>
      <c r="B1688" s="11">
        <v>1000.0</v>
      </c>
      <c r="C1688" s="12" t="s">
        <v>353</v>
      </c>
      <c r="D1688" s="15">
        <v>77046.0</v>
      </c>
      <c r="F1688" s="15"/>
      <c r="G1688" s="26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R1688" s="28"/>
      <c r="AS1688" s="28"/>
      <c r="AT1688" s="28"/>
    </row>
    <row r="1689">
      <c r="A1689" s="5" t="s">
        <v>1572</v>
      </c>
      <c r="B1689" s="6">
        <v>400.0</v>
      </c>
      <c r="C1689" s="7" t="s">
        <v>1568</v>
      </c>
      <c r="D1689" s="15">
        <v>75243.0</v>
      </c>
      <c r="F1689" s="15"/>
      <c r="G1689" s="26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28"/>
      <c r="AR1689" s="28"/>
      <c r="AS1689" s="28"/>
      <c r="AT1689" s="28"/>
    </row>
    <row r="1690">
      <c r="A1690" s="10" t="s">
        <v>1573</v>
      </c>
      <c r="B1690" s="11">
        <v>1000.0</v>
      </c>
      <c r="C1690" s="12" t="s">
        <v>353</v>
      </c>
      <c r="D1690" s="15">
        <v>75831.0</v>
      </c>
      <c r="F1690" s="15"/>
      <c r="G1690" s="26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28"/>
      <c r="AR1690" s="28"/>
      <c r="AS1690" s="28"/>
      <c r="AT1690" s="28"/>
    </row>
    <row r="1691">
      <c r="A1691" s="5" t="s">
        <v>1574</v>
      </c>
      <c r="B1691" s="6">
        <v>2000.0</v>
      </c>
      <c r="C1691" s="7" t="s">
        <v>1568</v>
      </c>
      <c r="D1691" s="15">
        <v>75220.0</v>
      </c>
      <c r="F1691" s="15"/>
      <c r="G1691" s="26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28"/>
      <c r="AQ1691" s="28"/>
      <c r="AR1691" s="28"/>
      <c r="AS1691" s="28"/>
      <c r="AT1691" s="28"/>
    </row>
    <row r="1692">
      <c r="A1692" s="10" t="s">
        <v>1575</v>
      </c>
      <c r="B1692" s="11">
        <v>2000.0</v>
      </c>
      <c r="C1692" s="12" t="s">
        <v>241</v>
      </c>
      <c r="D1692" s="15">
        <v>75061.0</v>
      </c>
      <c r="F1692" s="15"/>
      <c r="G1692" s="26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28"/>
      <c r="AR1692" s="28"/>
      <c r="AS1692" s="28"/>
      <c r="AT1692" s="28"/>
    </row>
    <row r="1693">
      <c r="A1693" s="5" t="s">
        <v>1575</v>
      </c>
      <c r="B1693" s="6">
        <v>2000.0</v>
      </c>
      <c r="C1693" s="7" t="s">
        <v>241</v>
      </c>
      <c r="D1693" s="15">
        <v>75061.0</v>
      </c>
      <c r="F1693" s="15"/>
      <c r="G1693" s="26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28"/>
      <c r="AS1693" s="28"/>
      <c r="AT1693" s="28"/>
    </row>
    <row r="1694">
      <c r="A1694" s="5" t="s">
        <v>1576</v>
      </c>
      <c r="B1694" s="6">
        <v>500.0</v>
      </c>
      <c r="C1694" s="7" t="s">
        <v>1577</v>
      </c>
      <c r="D1694" s="15">
        <v>75243.0</v>
      </c>
      <c r="F1694" s="15"/>
      <c r="G1694" s="26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28"/>
      <c r="AS1694" s="28"/>
      <c r="AT1694" s="28"/>
    </row>
    <row r="1695">
      <c r="A1695" s="10" t="s">
        <v>1576</v>
      </c>
      <c r="B1695" s="11">
        <v>500.0</v>
      </c>
      <c r="C1695" s="12" t="s">
        <v>1577</v>
      </c>
      <c r="D1695" s="15">
        <v>75243.0</v>
      </c>
      <c r="F1695" s="15"/>
      <c r="G1695" s="26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</row>
    <row r="1696">
      <c r="A1696" s="10"/>
      <c r="B1696" s="11"/>
      <c r="C1696" s="12"/>
      <c r="D1696" s="15"/>
      <c r="F1696" s="15"/>
      <c r="G1696" s="26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28"/>
      <c r="AS1696" s="28"/>
      <c r="AT1696" s="28"/>
    </row>
    <row r="1697">
      <c r="A1697" s="5"/>
      <c r="B1697" s="6"/>
      <c r="C1697" s="7"/>
      <c r="D1697" s="15"/>
      <c r="F1697" s="15"/>
      <c r="G1697" s="26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28"/>
      <c r="AS1697" s="28"/>
      <c r="AT1697" s="28"/>
    </row>
    <row r="1698">
      <c r="A1698" s="5" t="s">
        <v>1579</v>
      </c>
      <c r="B1698" s="6">
        <v>100.0</v>
      </c>
      <c r="C1698" s="7" t="s">
        <v>1580</v>
      </c>
      <c r="D1698" s="15">
        <v>77777.0</v>
      </c>
      <c r="F1698" s="15"/>
      <c r="G1698" s="26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28"/>
      <c r="AS1698" s="28"/>
      <c r="AT1698" s="28"/>
    </row>
    <row r="1699">
      <c r="A1699" s="5" t="s">
        <v>1581</v>
      </c>
      <c r="B1699" s="6">
        <v>125.0</v>
      </c>
      <c r="C1699" s="7" t="s">
        <v>1582</v>
      </c>
      <c r="D1699" s="15">
        <v>75244.0</v>
      </c>
      <c r="F1699" s="15"/>
      <c r="G1699" s="26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28"/>
      <c r="AS1699" s="28"/>
      <c r="AT1699" s="28"/>
    </row>
    <row r="1700">
      <c r="A1700" s="10" t="s">
        <v>1581</v>
      </c>
      <c r="B1700" s="11">
        <v>125.0</v>
      </c>
      <c r="C1700" s="12" t="s">
        <v>1582</v>
      </c>
      <c r="D1700" s="15">
        <v>75244.0</v>
      </c>
      <c r="F1700" s="15"/>
      <c r="G1700" s="26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</row>
    <row r="1701">
      <c r="A1701" s="10" t="s">
        <v>1583</v>
      </c>
      <c r="B1701" s="11">
        <v>50.0</v>
      </c>
      <c r="C1701" s="12" t="s">
        <v>1238</v>
      </c>
      <c r="D1701" s="15">
        <v>75238.0</v>
      </c>
      <c r="F1701" s="15"/>
      <c r="G1701" s="26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28"/>
      <c r="AS1701" s="28"/>
      <c r="AT1701" s="28"/>
    </row>
    <row r="1702">
      <c r="A1702" s="10" t="s">
        <v>1584</v>
      </c>
      <c r="B1702" s="11">
        <v>100.0</v>
      </c>
      <c r="C1702" s="12" t="s">
        <v>1238</v>
      </c>
      <c r="D1702" s="15">
        <v>75209.0</v>
      </c>
      <c r="F1702" s="15"/>
      <c r="G1702" s="26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28"/>
      <c r="AS1702" s="28"/>
      <c r="AT1702" s="28"/>
    </row>
    <row r="1703">
      <c r="A1703" s="10" t="s">
        <v>1585</v>
      </c>
      <c r="B1703" s="11">
        <v>100.0</v>
      </c>
      <c r="C1703" s="12" t="s">
        <v>1238</v>
      </c>
      <c r="D1703" s="15">
        <v>75214.0</v>
      </c>
      <c r="F1703" s="15"/>
      <c r="G1703" s="26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</row>
    <row r="1704">
      <c r="A1704" s="10" t="s">
        <v>1586</v>
      </c>
      <c r="B1704" s="11">
        <v>200.0</v>
      </c>
      <c r="C1704" s="12" t="s">
        <v>1238</v>
      </c>
      <c r="D1704" s="15">
        <v>75238.0</v>
      </c>
      <c r="F1704" s="15"/>
      <c r="G1704" s="26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28"/>
      <c r="AS1704" s="28"/>
      <c r="AT1704" s="28"/>
    </row>
    <row r="1705">
      <c r="A1705" s="10" t="s">
        <v>1587</v>
      </c>
      <c r="B1705" s="11">
        <v>75.0</v>
      </c>
      <c r="C1705" s="12" t="s">
        <v>1238</v>
      </c>
      <c r="D1705" s="15">
        <v>75238.0</v>
      </c>
      <c r="F1705" s="15"/>
      <c r="G1705" s="26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28"/>
      <c r="AS1705" s="28"/>
      <c r="AT1705" s="28"/>
    </row>
    <row r="1706">
      <c r="A1706" s="10" t="s">
        <v>1588</v>
      </c>
      <c r="B1706" s="11">
        <v>100.0</v>
      </c>
      <c r="C1706" s="12" t="s">
        <v>1238</v>
      </c>
      <c r="D1706" s="15">
        <v>75203.0</v>
      </c>
      <c r="F1706" s="15"/>
      <c r="G1706" s="26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28"/>
      <c r="AS1706" s="28"/>
      <c r="AT1706" s="28"/>
    </row>
    <row r="1707">
      <c r="A1707" s="10" t="s">
        <v>1589</v>
      </c>
      <c r="B1707" s="11">
        <v>250.0</v>
      </c>
      <c r="C1707" s="12" t="s">
        <v>1238</v>
      </c>
      <c r="D1707" s="15">
        <v>75231.0</v>
      </c>
      <c r="F1707" s="15"/>
      <c r="G1707" s="26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28"/>
      <c r="AS1707" s="28"/>
      <c r="AT1707" s="28"/>
    </row>
    <row r="1708">
      <c r="A1708" s="10"/>
      <c r="B1708" s="11"/>
      <c r="C1708" s="12"/>
      <c r="D1708" s="15"/>
      <c r="F1708" s="15"/>
      <c r="G1708" s="26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28"/>
      <c r="AS1708" s="28"/>
      <c r="AT1708" s="28"/>
    </row>
    <row r="1709">
      <c r="A1709" s="10" t="s">
        <v>1591</v>
      </c>
      <c r="B1709" s="11">
        <v>500.0</v>
      </c>
      <c r="C1709" s="12" t="s">
        <v>1238</v>
      </c>
      <c r="D1709" s="15">
        <v>75231.0</v>
      </c>
      <c r="F1709" s="15"/>
      <c r="G1709" s="26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</row>
    <row r="1710">
      <c r="A1710" s="10" t="s">
        <v>1592</v>
      </c>
      <c r="B1710" s="11">
        <v>100.0</v>
      </c>
      <c r="C1710" s="12" t="s">
        <v>1238</v>
      </c>
      <c r="D1710" s="15">
        <v>75231.0</v>
      </c>
      <c r="F1710" s="15"/>
      <c r="G1710" s="26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28"/>
      <c r="AS1710" s="28"/>
      <c r="AT1710" s="28"/>
    </row>
    <row r="1711">
      <c r="A1711" s="10" t="s">
        <v>1593</v>
      </c>
      <c r="B1711" s="11">
        <v>50.0</v>
      </c>
      <c r="C1711" s="12" t="s">
        <v>1238</v>
      </c>
      <c r="D1711" s="15">
        <v>75238.0</v>
      </c>
      <c r="F1711" s="15"/>
      <c r="G1711" s="26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28"/>
      <c r="AS1711" s="28"/>
      <c r="AT1711" s="28"/>
    </row>
    <row r="1712">
      <c r="A1712" s="10" t="s">
        <v>1594</v>
      </c>
      <c r="B1712" s="11">
        <v>250.0</v>
      </c>
      <c r="C1712" s="12" t="s">
        <v>1238</v>
      </c>
      <c r="D1712" s="15">
        <v>75156.0</v>
      </c>
      <c r="F1712" s="15"/>
      <c r="G1712" s="26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28"/>
      <c r="AS1712" s="28"/>
      <c r="AT1712" s="28"/>
    </row>
    <row r="1713">
      <c r="A1713" s="10" t="s">
        <v>1595</v>
      </c>
      <c r="B1713" s="11">
        <v>250.0</v>
      </c>
      <c r="C1713" s="12" t="s">
        <v>1238</v>
      </c>
      <c r="D1713" s="15">
        <v>75156.0</v>
      </c>
      <c r="F1713" s="15"/>
      <c r="G1713" s="26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28"/>
      <c r="AS1713" s="28"/>
      <c r="AT1713" s="28"/>
    </row>
    <row r="1714">
      <c r="A1714" s="10" t="s">
        <v>1596</v>
      </c>
      <c r="B1714" s="11">
        <v>1000.0</v>
      </c>
      <c r="C1714" s="12" t="s">
        <v>1238</v>
      </c>
      <c r="D1714" s="15">
        <v>77007.0</v>
      </c>
      <c r="F1714" s="15"/>
      <c r="G1714" s="26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28"/>
      <c r="AS1714" s="28"/>
      <c r="AT1714" s="28"/>
    </row>
    <row r="1715">
      <c r="A1715" s="10" t="s">
        <v>1597</v>
      </c>
      <c r="B1715" s="11">
        <v>100.0</v>
      </c>
      <c r="C1715" s="12" t="s">
        <v>1238</v>
      </c>
      <c r="D1715" s="15">
        <v>75238.0</v>
      </c>
      <c r="F1715" s="15"/>
      <c r="G1715" s="26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28"/>
      <c r="AS1715" s="28"/>
      <c r="AT1715" s="28"/>
    </row>
    <row r="1716">
      <c r="A1716" s="10" t="s">
        <v>1598</v>
      </c>
      <c r="B1716" s="11">
        <v>100.0</v>
      </c>
      <c r="C1716" s="12" t="s">
        <v>1238</v>
      </c>
      <c r="D1716" s="15">
        <v>75243.0</v>
      </c>
      <c r="F1716" s="15"/>
      <c r="G1716" s="26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28"/>
      <c r="AS1716" s="28"/>
      <c r="AT1716" s="28"/>
    </row>
    <row r="1717">
      <c r="A1717" s="10" t="s">
        <v>1599</v>
      </c>
      <c r="B1717" s="11">
        <v>100.0</v>
      </c>
      <c r="C1717" s="12" t="s">
        <v>1238</v>
      </c>
      <c r="D1717" s="15">
        <v>75238.0</v>
      </c>
      <c r="F1717" s="15"/>
      <c r="G1717" s="26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</row>
    <row r="1718">
      <c r="A1718" s="10" t="s">
        <v>1600</v>
      </c>
      <c r="B1718" s="11">
        <v>50.0</v>
      </c>
      <c r="C1718" s="12" t="s">
        <v>1238</v>
      </c>
      <c r="D1718" s="15">
        <v>75231.0</v>
      </c>
      <c r="F1718" s="15"/>
      <c r="G1718" s="26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28"/>
      <c r="AS1718" s="28"/>
      <c r="AT1718" s="28"/>
    </row>
    <row r="1719">
      <c r="A1719" s="10" t="s">
        <v>1601</v>
      </c>
      <c r="B1719" s="11">
        <v>100.0</v>
      </c>
      <c r="C1719" s="12" t="s">
        <v>1238</v>
      </c>
      <c r="D1719" s="15">
        <v>75231.0</v>
      </c>
      <c r="F1719" s="15"/>
      <c r="G1719" s="26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28"/>
      <c r="AS1719" s="28"/>
      <c r="AT1719" s="28"/>
    </row>
    <row r="1720">
      <c r="A1720" s="10" t="s">
        <v>1602</v>
      </c>
      <c r="B1720" s="11">
        <v>250.0</v>
      </c>
      <c r="C1720" s="12" t="s">
        <v>1238</v>
      </c>
      <c r="D1720" s="15">
        <v>75231.0</v>
      </c>
      <c r="F1720" s="15"/>
      <c r="G1720" s="26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28"/>
      <c r="AS1720" s="28"/>
      <c r="AT1720" s="28"/>
    </row>
    <row r="1721">
      <c r="A1721" s="10" t="s">
        <v>98</v>
      </c>
      <c r="B1721" s="11">
        <v>250.0</v>
      </c>
      <c r="C1721" s="12" t="s">
        <v>1238</v>
      </c>
      <c r="D1721" s="15">
        <v>75238.0</v>
      </c>
      <c r="F1721" s="15"/>
      <c r="G1721" s="26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28"/>
      <c r="AS1721" s="28"/>
      <c r="AT1721" s="28"/>
    </row>
    <row r="1722">
      <c r="A1722" s="10" t="s">
        <v>1603</v>
      </c>
      <c r="B1722" s="11">
        <v>250.0</v>
      </c>
      <c r="C1722" s="12" t="s">
        <v>1238</v>
      </c>
      <c r="D1722" s="15">
        <v>75205.0</v>
      </c>
      <c r="F1722" s="15"/>
      <c r="G1722" s="26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28"/>
      <c r="AS1722" s="28"/>
      <c r="AT1722" s="28"/>
    </row>
    <row r="1723">
      <c r="A1723" s="10" t="s">
        <v>1604</v>
      </c>
      <c r="B1723" s="11">
        <v>1000.0</v>
      </c>
      <c r="C1723" s="12" t="s">
        <v>1238</v>
      </c>
      <c r="D1723" s="15">
        <v>76051.0</v>
      </c>
      <c r="F1723" s="15"/>
      <c r="G1723" s="26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</row>
    <row r="1724">
      <c r="A1724" s="10" t="s">
        <v>1605</v>
      </c>
      <c r="B1724" s="11">
        <v>1000.0</v>
      </c>
      <c r="C1724" s="12" t="s">
        <v>1238</v>
      </c>
      <c r="D1724" s="15">
        <v>76051.0</v>
      </c>
      <c r="F1724" s="15"/>
      <c r="G1724" s="26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28"/>
      <c r="AS1724" s="28"/>
      <c r="AT1724" s="28"/>
    </row>
    <row r="1725">
      <c r="A1725" s="10" t="s">
        <v>1556</v>
      </c>
      <c r="B1725" s="11">
        <v>1000.0</v>
      </c>
      <c r="C1725" s="12" t="s">
        <v>1238</v>
      </c>
      <c r="D1725" s="15">
        <v>77493.0</v>
      </c>
      <c r="F1725" s="15"/>
      <c r="G1725" s="26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</row>
    <row r="1726">
      <c r="A1726" s="10" t="s">
        <v>77</v>
      </c>
      <c r="B1726" s="11">
        <v>1000.0</v>
      </c>
      <c r="C1726" s="12" t="s">
        <v>1238</v>
      </c>
      <c r="D1726" s="15">
        <v>75360.0</v>
      </c>
      <c r="F1726" s="15"/>
      <c r="G1726" s="26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28"/>
      <c r="AS1726" s="28"/>
      <c r="AT1726" s="28"/>
    </row>
    <row r="1727">
      <c r="A1727" s="10" t="s">
        <v>1606</v>
      </c>
      <c r="B1727" s="11">
        <v>1000.0</v>
      </c>
      <c r="C1727" s="12" t="s">
        <v>1238</v>
      </c>
      <c r="D1727" s="15">
        <v>75201.0</v>
      </c>
      <c r="F1727" s="15"/>
      <c r="G1727" s="26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28"/>
      <c r="AS1727" s="28"/>
      <c r="AT1727" s="28"/>
    </row>
    <row r="1728">
      <c r="A1728" s="10" t="s">
        <v>1607</v>
      </c>
      <c r="B1728" s="11">
        <v>500.0</v>
      </c>
      <c r="C1728" s="12" t="s">
        <v>1238</v>
      </c>
      <c r="D1728" s="15">
        <v>75238.0</v>
      </c>
      <c r="F1728" s="15"/>
      <c r="G1728" s="26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28"/>
    </row>
    <row r="1729">
      <c r="A1729" s="10" t="s">
        <v>1608</v>
      </c>
      <c r="B1729" s="11">
        <v>500.0</v>
      </c>
      <c r="C1729" s="12" t="s">
        <v>1238</v>
      </c>
      <c r="D1729" s="15">
        <v>75225.0</v>
      </c>
      <c r="F1729" s="15"/>
      <c r="G1729" s="26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28"/>
      <c r="AS1729" s="28"/>
      <c r="AT1729" s="28"/>
    </row>
    <row r="1730">
      <c r="A1730" s="10" t="s">
        <v>1609</v>
      </c>
      <c r="B1730" s="11">
        <v>500.0</v>
      </c>
      <c r="C1730" s="12" t="s">
        <v>1238</v>
      </c>
      <c r="D1730" s="15">
        <v>75225.0</v>
      </c>
      <c r="F1730" s="15"/>
      <c r="G1730" s="26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28"/>
      <c r="AS1730" s="28"/>
      <c r="AT1730" s="28"/>
    </row>
    <row r="1731">
      <c r="A1731" s="10" t="s">
        <v>1610</v>
      </c>
      <c r="B1731" s="11">
        <v>100.0</v>
      </c>
      <c r="C1731" s="12" t="s">
        <v>1238</v>
      </c>
      <c r="D1731" s="15">
        <v>75231.0</v>
      </c>
      <c r="F1731" s="15"/>
      <c r="G1731" s="26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28"/>
      <c r="AS1731" s="28"/>
      <c r="AT1731" s="28"/>
    </row>
    <row r="1732">
      <c r="A1732" s="10" t="s">
        <v>1611</v>
      </c>
      <c r="B1732" s="11">
        <v>25.0</v>
      </c>
      <c r="C1732" s="12" t="s">
        <v>1238</v>
      </c>
      <c r="D1732" s="15">
        <v>75238.0</v>
      </c>
      <c r="F1732" s="15"/>
      <c r="G1732" s="26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28"/>
      <c r="AS1732" s="28"/>
      <c r="AT1732" s="28"/>
    </row>
    <row r="1733">
      <c r="A1733" s="10"/>
      <c r="B1733" s="11"/>
      <c r="C1733" s="12"/>
      <c r="D1733" s="15"/>
      <c r="F1733" s="15"/>
      <c r="G1733" s="26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28"/>
      <c r="AS1733" s="28"/>
      <c r="AT1733" s="28"/>
    </row>
    <row r="1734">
      <c r="A1734" s="10" t="s">
        <v>1613</v>
      </c>
      <c r="B1734" s="11">
        <v>100.0</v>
      </c>
      <c r="C1734" s="12" t="s">
        <v>1238</v>
      </c>
      <c r="D1734" s="15">
        <v>75243.0</v>
      </c>
      <c r="F1734" s="15"/>
      <c r="G1734" s="26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28"/>
      <c r="AS1734" s="28"/>
      <c r="AT1734" s="28"/>
    </row>
    <row r="1735">
      <c r="A1735" s="10" t="s">
        <v>1614</v>
      </c>
      <c r="B1735" s="11">
        <v>1000.0</v>
      </c>
      <c r="C1735" s="12" t="s">
        <v>1238</v>
      </c>
      <c r="D1735" s="15">
        <v>75238.0</v>
      </c>
      <c r="F1735" s="15"/>
      <c r="G1735" s="26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</row>
    <row r="1736">
      <c r="A1736" s="10" t="s">
        <v>1615</v>
      </c>
      <c r="B1736" s="11">
        <v>1000.0</v>
      </c>
      <c r="C1736" s="12" t="s">
        <v>1238</v>
      </c>
      <c r="D1736" s="15">
        <v>75238.0</v>
      </c>
      <c r="F1736" s="15"/>
      <c r="G1736" s="26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28"/>
      <c r="AS1736" s="28"/>
      <c r="AT1736" s="28"/>
    </row>
    <row r="1737">
      <c r="A1737" s="10" t="s">
        <v>1616</v>
      </c>
      <c r="B1737" s="11">
        <v>100.0</v>
      </c>
      <c r="C1737" s="12" t="s">
        <v>1238</v>
      </c>
      <c r="D1737" s="15">
        <v>75238.0</v>
      </c>
      <c r="F1737" s="15"/>
      <c r="G1737" s="26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28"/>
      <c r="AS1737" s="28"/>
      <c r="AT1737" s="28"/>
    </row>
    <row r="1738">
      <c r="A1738" s="10" t="s">
        <v>1617</v>
      </c>
      <c r="B1738" s="11">
        <v>250.0</v>
      </c>
      <c r="C1738" s="12" t="s">
        <v>1238</v>
      </c>
      <c r="D1738" s="15">
        <v>75209.0</v>
      </c>
      <c r="F1738" s="15"/>
      <c r="G1738" s="26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28"/>
      <c r="AR1738" s="28"/>
      <c r="AS1738" s="28"/>
      <c r="AT1738" s="28"/>
    </row>
    <row r="1739">
      <c r="A1739" s="10" t="s">
        <v>1618</v>
      </c>
      <c r="B1739" s="11">
        <v>50.0</v>
      </c>
      <c r="C1739" s="12" t="s">
        <v>1238</v>
      </c>
      <c r="D1739" s="15">
        <v>75238.0</v>
      </c>
      <c r="F1739" s="15"/>
      <c r="G1739" s="26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</row>
    <row r="1740">
      <c r="A1740" s="10" t="s">
        <v>1619</v>
      </c>
      <c r="B1740" s="11">
        <v>50.0</v>
      </c>
      <c r="C1740" s="12" t="s">
        <v>1238</v>
      </c>
      <c r="D1740" s="15">
        <v>75243.0</v>
      </c>
      <c r="F1740" s="15"/>
      <c r="G1740" s="26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28"/>
      <c r="AR1740" s="28"/>
      <c r="AS1740" s="28"/>
      <c r="AT1740" s="28"/>
    </row>
    <row r="1741">
      <c r="A1741" s="10" t="s">
        <v>1620</v>
      </c>
      <c r="B1741" s="11">
        <v>250.0</v>
      </c>
      <c r="C1741" s="12" t="s">
        <v>1238</v>
      </c>
      <c r="D1741" s="15">
        <v>75238.0</v>
      </c>
      <c r="F1741" s="15"/>
      <c r="G1741" s="26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28"/>
      <c r="AR1741" s="28"/>
      <c r="AS1741" s="28"/>
      <c r="AT1741" s="28"/>
    </row>
    <row r="1742">
      <c r="A1742" s="10" t="s">
        <v>1621</v>
      </c>
      <c r="B1742" s="11">
        <v>25.0</v>
      </c>
      <c r="C1742" s="12" t="s">
        <v>1238</v>
      </c>
      <c r="D1742" s="15">
        <v>75243.0</v>
      </c>
      <c r="F1742" s="15"/>
      <c r="G1742" s="26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R1742" s="28"/>
      <c r="AS1742" s="28"/>
      <c r="AT1742" s="28"/>
    </row>
    <row r="1743">
      <c r="A1743" s="10" t="s">
        <v>1622</v>
      </c>
      <c r="B1743" s="11">
        <v>250.0</v>
      </c>
      <c r="C1743" s="12" t="s">
        <v>1238</v>
      </c>
      <c r="D1743" s="15">
        <v>75243.0</v>
      </c>
      <c r="F1743" s="15"/>
      <c r="G1743" s="26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R1743" s="28"/>
      <c r="AS1743" s="28"/>
      <c r="AT1743" s="28"/>
    </row>
    <row r="1744">
      <c r="A1744" s="10" t="s">
        <v>1623</v>
      </c>
      <c r="B1744" s="11">
        <v>100.0</v>
      </c>
      <c r="C1744" s="12" t="s">
        <v>1238</v>
      </c>
      <c r="D1744" s="15">
        <v>75238.0</v>
      </c>
      <c r="F1744" s="15"/>
      <c r="G1744" s="26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</row>
    <row r="1745">
      <c r="A1745" s="10" t="s">
        <v>1624</v>
      </c>
      <c r="B1745" s="11">
        <v>50.0</v>
      </c>
      <c r="C1745" s="12" t="s">
        <v>1238</v>
      </c>
      <c r="D1745" s="15">
        <v>75231.0</v>
      </c>
      <c r="F1745" s="15"/>
      <c r="G1745" s="26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28"/>
      <c r="AR1745" s="28"/>
      <c r="AS1745" s="28"/>
      <c r="AT1745" s="28"/>
    </row>
    <row r="1746">
      <c r="A1746" s="10" t="s">
        <v>1625</v>
      </c>
      <c r="B1746" s="11">
        <v>250.0</v>
      </c>
      <c r="C1746" s="12" t="s">
        <v>1238</v>
      </c>
      <c r="D1746" s="15">
        <v>75209.0</v>
      </c>
      <c r="F1746" s="15"/>
      <c r="G1746" s="26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28"/>
      <c r="AR1746" s="28"/>
      <c r="AS1746" s="28"/>
      <c r="AT1746" s="28"/>
    </row>
    <row r="1747">
      <c r="A1747" s="10" t="s">
        <v>1621</v>
      </c>
      <c r="B1747" s="11">
        <v>75.0</v>
      </c>
      <c r="C1747" s="12" t="s">
        <v>1238</v>
      </c>
      <c r="D1747" s="15">
        <v>75243.0</v>
      </c>
      <c r="F1747" s="15"/>
      <c r="G1747" s="26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28"/>
      <c r="AR1747" s="28"/>
      <c r="AS1747" s="28"/>
      <c r="AT1747" s="28"/>
    </row>
    <row r="1748">
      <c r="A1748" s="10" t="s">
        <v>1626</v>
      </c>
      <c r="B1748" s="11">
        <v>100.0</v>
      </c>
      <c r="C1748" s="12" t="s">
        <v>1238</v>
      </c>
      <c r="D1748" s="15">
        <v>75019.0</v>
      </c>
      <c r="F1748" s="15"/>
      <c r="G1748" s="26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</row>
    <row r="1749">
      <c r="A1749" s="10" t="s">
        <v>1627</v>
      </c>
      <c r="B1749" s="11">
        <v>300.0</v>
      </c>
      <c r="C1749" s="12" t="s">
        <v>1238</v>
      </c>
      <c r="D1749" s="15">
        <v>75238.0</v>
      </c>
      <c r="F1749" s="15"/>
      <c r="G1749" s="26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R1749" s="28"/>
      <c r="AS1749" s="28"/>
      <c r="AT1749" s="28"/>
    </row>
    <row r="1750">
      <c r="A1750" s="10" t="s">
        <v>1628</v>
      </c>
      <c r="B1750" s="11">
        <v>1000.0</v>
      </c>
      <c r="C1750" s="12" t="s">
        <v>1238</v>
      </c>
      <c r="D1750" s="15">
        <v>75230.0</v>
      </c>
      <c r="F1750" s="15"/>
      <c r="G1750" s="26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28"/>
      <c r="AR1750" s="28"/>
      <c r="AS1750" s="28"/>
      <c r="AT1750" s="28"/>
    </row>
    <row r="1751">
      <c r="A1751" s="10" t="s">
        <v>1629</v>
      </c>
      <c r="B1751" s="11">
        <v>150.0</v>
      </c>
      <c r="C1751" s="12" t="s">
        <v>1238</v>
      </c>
      <c r="D1751" s="15">
        <v>75218.0</v>
      </c>
      <c r="F1751" s="15"/>
      <c r="G1751" s="26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</row>
    <row r="1752">
      <c r="A1752" s="10" t="s">
        <v>1630</v>
      </c>
      <c r="B1752" s="11">
        <v>275.0</v>
      </c>
      <c r="C1752" s="12" t="s">
        <v>1238</v>
      </c>
      <c r="D1752" s="15">
        <v>75231.0</v>
      </c>
      <c r="F1752" s="15"/>
      <c r="G1752" s="26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28"/>
      <c r="AR1752" s="28"/>
      <c r="AS1752" s="28"/>
      <c r="AT1752" s="28"/>
    </row>
    <row r="1753">
      <c r="A1753" s="10" t="s">
        <v>1631</v>
      </c>
      <c r="B1753" s="11">
        <v>25.0</v>
      </c>
      <c r="C1753" s="12" t="s">
        <v>1238</v>
      </c>
      <c r="D1753" s="15">
        <v>75201.0</v>
      </c>
      <c r="F1753" s="15"/>
      <c r="G1753" s="26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28"/>
      <c r="AO1753" s="28"/>
      <c r="AP1753" s="28"/>
      <c r="AQ1753" s="28"/>
      <c r="AR1753" s="28"/>
      <c r="AS1753" s="28"/>
      <c r="AT1753" s="28"/>
    </row>
    <row r="1754">
      <c r="A1754" s="10" t="s">
        <v>1632</v>
      </c>
      <c r="B1754" s="11">
        <v>100.0</v>
      </c>
      <c r="C1754" s="12" t="s">
        <v>1238</v>
      </c>
      <c r="D1754" s="15">
        <v>75243.0</v>
      </c>
      <c r="F1754" s="15"/>
      <c r="G1754" s="26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28"/>
      <c r="AS1754" s="28"/>
      <c r="AT1754" s="28"/>
    </row>
    <row r="1755">
      <c r="A1755" s="10" t="s">
        <v>1633</v>
      </c>
      <c r="B1755" s="11">
        <v>100.0</v>
      </c>
      <c r="C1755" s="12" t="s">
        <v>1238</v>
      </c>
      <c r="D1755" s="15">
        <v>75231.0</v>
      </c>
      <c r="F1755" s="15"/>
      <c r="G1755" s="26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28"/>
      <c r="AS1755" s="28"/>
      <c r="AT1755" s="28"/>
    </row>
    <row r="1756">
      <c r="A1756" s="10" t="s">
        <v>1634</v>
      </c>
      <c r="B1756" s="11">
        <v>250.0</v>
      </c>
      <c r="C1756" s="12" t="s">
        <v>1238</v>
      </c>
      <c r="D1756" s="15">
        <v>75204.0</v>
      </c>
      <c r="F1756" s="15"/>
      <c r="G1756" s="26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28"/>
      <c r="AS1756" s="28"/>
      <c r="AT1756" s="28"/>
    </row>
    <row r="1757">
      <c r="A1757" s="10" t="s">
        <v>1635</v>
      </c>
      <c r="B1757" s="11">
        <v>100.0</v>
      </c>
      <c r="C1757" s="12" t="s">
        <v>1238</v>
      </c>
      <c r="D1757" s="15">
        <v>75231.0</v>
      </c>
      <c r="F1757" s="15"/>
      <c r="G1757" s="26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28"/>
      <c r="AS1757" s="28"/>
      <c r="AT1757" s="28"/>
    </row>
    <row r="1758">
      <c r="A1758" s="10" t="s">
        <v>1636</v>
      </c>
      <c r="B1758" s="11">
        <v>100.0</v>
      </c>
      <c r="C1758" s="12" t="s">
        <v>1238</v>
      </c>
      <c r="D1758" s="15">
        <v>75243.0</v>
      </c>
      <c r="F1758" s="15"/>
      <c r="G1758" s="26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28"/>
      <c r="AS1758" s="28"/>
      <c r="AT1758" s="28"/>
    </row>
    <row r="1759">
      <c r="A1759" s="10" t="s">
        <v>1637</v>
      </c>
      <c r="B1759" s="11">
        <v>50.0</v>
      </c>
      <c r="C1759" s="12" t="s">
        <v>1238</v>
      </c>
      <c r="D1759" s="15">
        <v>75243.0</v>
      </c>
      <c r="F1759" s="15"/>
      <c r="G1759" s="26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28"/>
      <c r="AS1759" s="28"/>
      <c r="AT1759" s="28"/>
    </row>
    <row r="1760">
      <c r="A1760" s="10" t="s">
        <v>1638</v>
      </c>
      <c r="B1760" s="11">
        <v>1000.0</v>
      </c>
      <c r="C1760" s="12" t="s">
        <v>1238</v>
      </c>
      <c r="D1760" s="15">
        <v>75238.0</v>
      </c>
      <c r="F1760" s="15"/>
      <c r="G1760" s="26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28"/>
      <c r="AS1760" s="28"/>
      <c r="AT1760" s="28"/>
    </row>
    <row r="1761">
      <c r="A1761" s="10" t="s">
        <v>1639</v>
      </c>
      <c r="B1761" s="11">
        <v>100.0</v>
      </c>
      <c r="C1761" s="12" t="s">
        <v>1238</v>
      </c>
      <c r="D1761" s="15">
        <v>75218.0</v>
      </c>
      <c r="F1761" s="15"/>
      <c r="G1761" s="26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28"/>
      <c r="AS1761" s="28"/>
      <c r="AT1761" s="28"/>
    </row>
    <row r="1762">
      <c r="A1762" s="10" t="s">
        <v>1640</v>
      </c>
      <c r="B1762" s="11">
        <v>500.0</v>
      </c>
      <c r="C1762" s="12" t="s">
        <v>1238</v>
      </c>
      <c r="D1762" s="15">
        <v>75238.0</v>
      </c>
      <c r="F1762" s="15"/>
      <c r="G1762" s="26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28"/>
      <c r="AS1762" s="28"/>
      <c r="AT1762" s="28"/>
    </row>
    <row r="1763">
      <c r="A1763" s="10" t="s">
        <v>1641</v>
      </c>
      <c r="B1763" s="11">
        <v>250.0</v>
      </c>
      <c r="C1763" s="12" t="s">
        <v>1238</v>
      </c>
      <c r="D1763" s="15">
        <v>75243.0</v>
      </c>
      <c r="F1763" s="15"/>
      <c r="G1763" s="26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28"/>
      <c r="AS1763" s="28"/>
      <c r="AT1763" s="28"/>
    </row>
    <row r="1764">
      <c r="A1764" s="10" t="s">
        <v>1642</v>
      </c>
      <c r="B1764" s="11">
        <v>250.0</v>
      </c>
      <c r="C1764" s="12" t="s">
        <v>1238</v>
      </c>
      <c r="D1764" s="15">
        <v>75374.0</v>
      </c>
      <c r="F1764" s="15"/>
      <c r="G1764" s="26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28"/>
      <c r="AS1764" s="28"/>
      <c r="AT1764" s="28"/>
    </row>
    <row r="1765">
      <c r="A1765" s="10" t="s">
        <v>1643</v>
      </c>
      <c r="B1765" s="11">
        <v>100.0</v>
      </c>
      <c r="C1765" s="12" t="s">
        <v>1238</v>
      </c>
      <c r="D1765" s="15">
        <v>75231.0</v>
      </c>
      <c r="F1765" s="15"/>
      <c r="G1765" s="26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</row>
    <row r="1766">
      <c r="A1766" s="10" t="s">
        <v>1644</v>
      </c>
      <c r="B1766" s="11">
        <v>250.0</v>
      </c>
      <c r="C1766" s="12" t="s">
        <v>1238</v>
      </c>
      <c r="D1766" s="15">
        <v>75243.0</v>
      </c>
      <c r="F1766" s="15"/>
      <c r="G1766" s="26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28"/>
      <c r="AS1766" s="28"/>
      <c r="AT1766" s="28"/>
    </row>
    <row r="1767">
      <c r="A1767" s="10" t="s">
        <v>1645</v>
      </c>
      <c r="B1767" s="11">
        <v>100.0</v>
      </c>
      <c r="C1767" s="12" t="s">
        <v>1238</v>
      </c>
      <c r="D1767" s="15">
        <v>75243.0</v>
      </c>
      <c r="F1767" s="15"/>
      <c r="G1767" s="26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28"/>
      <c r="AS1767" s="28"/>
      <c r="AT1767" s="28"/>
    </row>
    <row r="1768">
      <c r="A1768" s="10" t="s">
        <v>1646</v>
      </c>
      <c r="B1768" s="11">
        <v>100.0</v>
      </c>
      <c r="C1768" s="12" t="s">
        <v>1238</v>
      </c>
      <c r="D1768" s="15">
        <v>75238.0</v>
      </c>
      <c r="F1768" s="15"/>
      <c r="G1768" s="26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28"/>
      <c r="AS1768" s="28"/>
      <c r="AT1768" s="28"/>
    </row>
    <row r="1769">
      <c r="A1769" s="10" t="s">
        <v>1647</v>
      </c>
      <c r="B1769" s="11">
        <v>50.0</v>
      </c>
      <c r="C1769" s="12" t="s">
        <v>1238</v>
      </c>
      <c r="D1769" s="15">
        <v>75238.0</v>
      </c>
      <c r="F1769" s="15"/>
      <c r="G1769" s="26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28"/>
      <c r="AS1769" s="28"/>
      <c r="AT1769" s="28"/>
    </row>
    <row r="1770">
      <c r="A1770" s="10" t="s">
        <v>1648</v>
      </c>
      <c r="B1770" s="11">
        <v>100.0</v>
      </c>
      <c r="C1770" s="12" t="s">
        <v>1238</v>
      </c>
      <c r="D1770" s="15">
        <v>75238.0</v>
      </c>
      <c r="F1770" s="15"/>
      <c r="G1770" s="26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28"/>
      <c r="AS1770" s="28"/>
      <c r="AT1770" s="28"/>
    </row>
    <row r="1771">
      <c r="A1771" s="10" t="s">
        <v>1649</v>
      </c>
      <c r="B1771" s="11">
        <v>25.0</v>
      </c>
      <c r="C1771" s="12" t="s">
        <v>1650</v>
      </c>
      <c r="D1771" s="15">
        <v>75154.0</v>
      </c>
      <c r="F1771" s="15"/>
      <c r="G1771" s="26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28"/>
      <c r="AS1771" s="28"/>
      <c r="AT1771" s="28"/>
    </row>
    <row r="1772">
      <c r="A1772" s="5"/>
      <c r="B1772" s="6"/>
      <c r="C1772" s="7"/>
      <c r="D1772" s="15"/>
      <c r="F1772" s="15"/>
      <c r="G1772" s="26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28"/>
      <c r="AS1772" s="28"/>
      <c r="AT1772" s="28"/>
    </row>
    <row r="1773">
      <c r="A1773" s="10" t="s">
        <v>1652</v>
      </c>
      <c r="B1773" s="11">
        <v>25.0</v>
      </c>
      <c r="C1773" s="12" t="s">
        <v>1650</v>
      </c>
      <c r="D1773" s="15">
        <v>75217.0</v>
      </c>
      <c r="F1773" s="15"/>
      <c r="G1773" s="26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28"/>
      <c r="AS1773" s="28"/>
      <c r="AT1773" s="28"/>
    </row>
    <row r="1774">
      <c r="A1774" s="5"/>
      <c r="B1774" s="6"/>
      <c r="C1774" s="7"/>
      <c r="D1774" s="15"/>
      <c r="F1774" s="15"/>
      <c r="G1774" s="26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28"/>
      <c r="AS1774" s="28"/>
      <c r="AT1774" s="28"/>
    </row>
    <row r="1775">
      <c r="A1775" s="10"/>
      <c r="B1775" s="11"/>
      <c r="C1775" s="12"/>
      <c r="D1775" s="15"/>
      <c r="F1775" s="15"/>
      <c r="G1775" s="26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28"/>
      <c r="AS1775" s="28"/>
      <c r="AT1775" s="28"/>
    </row>
    <row r="1776">
      <c r="A1776" s="5" t="s">
        <v>1655</v>
      </c>
      <c r="B1776" s="6">
        <v>1000.0</v>
      </c>
      <c r="C1776" s="7" t="s">
        <v>1650</v>
      </c>
      <c r="D1776" s="15">
        <v>75025.0</v>
      </c>
      <c r="F1776" s="15"/>
      <c r="G1776" s="26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28"/>
      <c r="AS1776" s="28"/>
      <c r="AT1776" s="28"/>
    </row>
    <row r="1777">
      <c r="A1777" s="10" t="s">
        <v>1656</v>
      </c>
      <c r="B1777" s="11">
        <v>100.0</v>
      </c>
      <c r="C1777" s="12" t="s">
        <v>1650</v>
      </c>
      <c r="D1777" s="15">
        <v>76179.0</v>
      </c>
      <c r="F1777" s="15"/>
      <c r="G1777" s="26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28"/>
      <c r="AS1777" s="28"/>
      <c r="AT1777" s="28"/>
    </row>
    <row r="1778">
      <c r="A1778" s="5"/>
      <c r="B1778" s="6"/>
      <c r="C1778" s="7"/>
      <c r="D1778" s="15"/>
      <c r="F1778" s="15"/>
      <c r="G1778" s="26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28"/>
      <c r="AS1778" s="28"/>
      <c r="AT1778" s="28"/>
    </row>
    <row r="1779">
      <c r="A1779" s="10"/>
      <c r="B1779" s="11"/>
      <c r="C1779" s="12"/>
      <c r="D1779" s="15"/>
      <c r="F1779" s="15"/>
      <c r="G1779" s="26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</row>
    <row r="1780">
      <c r="A1780" s="5" t="s">
        <v>1659</v>
      </c>
      <c r="B1780" s="6">
        <v>200.0</v>
      </c>
      <c r="C1780" s="7" t="s">
        <v>1650</v>
      </c>
      <c r="D1780" s="15">
        <v>75203.0</v>
      </c>
      <c r="F1780" s="15"/>
      <c r="G1780" s="26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28"/>
      <c r="AS1780" s="28"/>
      <c r="AT1780" s="28"/>
    </row>
    <row r="1781">
      <c r="A1781" s="10" t="s">
        <v>1660</v>
      </c>
      <c r="B1781" s="11">
        <v>70.0</v>
      </c>
      <c r="C1781" s="12" t="s">
        <v>1650</v>
      </c>
      <c r="D1781" s="15">
        <v>75137.0</v>
      </c>
      <c r="F1781" s="15"/>
      <c r="G1781" s="26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28"/>
      <c r="AS1781" s="28"/>
      <c r="AT1781" s="28"/>
    </row>
    <row r="1782">
      <c r="A1782" s="5" t="s">
        <v>1661</v>
      </c>
      <c r="B1782" s="6">
        <v>15.0</v>
      </c>
      <c r="C1782" s="7" t="s">
        <v>1650</v>
      </c>
      <c r="D1782" s="15">
        <v>75224.0</v>
      </c>
      <c r="F1782" s="15"/>
      <c r="G1782" s="26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28"/>
      <c r="AS1782" s="28"/>
      <c r="AT1782" s="28"/>
    </row>
    <row r="1783">
      <c r="A1783" s="10" t="s">
        <v>1662</v>
      </c>
      <c r="B1783" s="11">
        <v>25.0</v>
      </c>
      <c r="C1783" s="12" t="s">
        <v>1650</v>
      </c>
      <c r="D1783" s="15">
        <v>76134.0</v>
      </c>
      <c r="F1783" s="15"/>
      <c r="G1783" s="26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28"/>
      <c r="AS1783" s="28"/>
      <c r="AT1783" s="28"/>
    </row>
    <row r="1784">
      <c r="A1784" s="5" t="s">
        <v>1663</v>
      </c>
      <c r="B1784" s="6">
        <v>1000.0</v>
      </c>
      <c r="C1784" s="7" t="s">
        <v>1650</v>
      </c>
      <c r="D1784" s="15">
        <v>75206.0</v>
      </c>
      <c r="F1784" s="15"/>
      <c r="G1784" s="26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28"/>
      <c r="AS1784" s="28"/>
      <c r="AT1784" s="28"/>
    </row>
    <row r="1785">
      <c r="A1785" s="10" t="s">
        <v>1664</v>
      </c>
      <c r="B1785" s="11">
        <v>1000.0</v>
      </c>
      <c r="C1785" s="12" t="s">
        <v>1650</v>
      </c>
      <c r="D1785" s="15">
        <v>75206.0</v>
      </c>
      <c r="F1785" s="15"/>
      <c r="G1785" s="26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28"/>
      <c r="AS1785" s="28"/>
      <c r="AT1785" s="28"/>
    </row>
    <row r="1786">
      <c r="A1786" s="5" t="s">
        <v>1665</v>
      </c>
      <c r="B1786" s="6">
        <v>1000.0</v>
      </c>
      <c r="C1786" s="7" t="s">
        <v>1650</v>
      </c>
      <c r="D1786" s="15">
        <v>75219.0</v>
      </c>
      <c r="F1786" s="15"/>
      <c r="G1786" s="26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28"/>
      <c r="AS1786" s="28"/>
      <c r="AT1786" s="28"/>
    </row>
    <row r="1787">
      <c r="A1787" s="10" t="s">
        <v>153</v>
      </c>
      <c r="B1787" s="11">
        <v>1000.0</v>
      </c>
      <c r="C1787" s="12" t="s">
        <v>1650</v>
      </c>
      <c r="D1787" s="15">
        <v>75219.0</v>
      </c>
      <c r="F1787" s="15"/>
      <c r="G1787" s="26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</row>
    <row r="1788">
      <c r="A1788" s="5" t="s">
        <v>1666</v>
      </c>
      <c r="B1788" s="6">
        <v>1000.0</v>
      </c>
      <c r="C1788" s="7" t="s">
        <v>1650</v>
      </c>
      <c r="D1788" s="15">
        <v>75219.0</v>
      </c>
      <c r="F1788" s="15"/>
      <c r="G1788" s="26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28"/>
      <c r="AS1788" s="28"/>
      <c r="AT1788" s="28"/>
    </row>
    <row r="1789">
      <c r="A1789" s="10" t="s">
        <v>154</v>
      </c>
      <c r="B1789" s="11">
        <v>1000.0</v>
      </c>
      <c r="C1789" s="12" t="s">
        <v>1650</v>
      </c>
      <c r="D1789" s="15">
        <v>75219.0</v>
      </c>
      <c r="F1789" s="15"/>
      <c r="G1789" s="26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28"/>
      <c r="AS1789" s="28"/>
      <c r="AT1789" s="28"/>
    </row>
    <row r="1790">
      <c r="A1790" s="5" t="s">
        <v>1667</v>
      </c>
      <c r="B1790" s="6">
        <v>25.0</v>
      </c>
      <c r="C1790" s="7" t="s">
        <v>1650</v>
      </c>
      <c r="D1790" s="15">
        <v>75230.0</v>
      </c>
      <c r="F1790" s="15"/>
      <c r="G1790" s="26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28"/>
      <c r="AS1790" s="28"/>
      <c r="AT1790" s="28"/>
    </row>
    <row r="1791">
      <c r="A1791" s="10" t="s">
        <v>1668</v>
      </c>
      <c r="B1791" s="11">
        <v>200.0</v>
      </c>
      <c r="C1791" s="12" t="s">
        <v>1650</v>
      </c>
      <c r="D1791" s="15">
        <v>75216.0</v>
      </c>
      <c r="F1791" s="15"/>
      <c r="G1791" s="26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28"/>
      <c r="AS1791" s="28"/>
      <c r="AT1791" s="28"/>
    </row>
    <row r="1792">
      <c r="A1792" s="5" t="s">
        <v>1669</v>
      </c>
      <c r="B1792" s="6">
        <v>25.0</v>
      </c>
      <c r="C1792" s="7" t="s">
        <v>1650</v>
      </c>
      <c r="D1792" s="15">
        <v>75407.0</v>
      </c>
      <c r="F1792" s="15"/>
      <c r="G1792" s="26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</row>
    <row r="1793">
      <c r="A1793" s="10" t="s">
        <v>1670</v>
      </c>
      <c r="B1793" s="11">
        <v>25.0</v>
      </c>
      <c r="C1793" s="12" t="s">
        <v>1650</v>
      </c>
      <c r="D1793" s="15">
        <v>75081.0</v>
      </c>
      <c r="F1793" s="15"/>
      <c r="G1793" s="26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28"/>
      <c r="AS1793" s="28"/>
      <c r="AT1793" s="28"/>
    </row>
    <row r="1794">
      <c r="A1794" s="5"/>
      <c r="B1794" s="6"/>
      <c r="C1794" s="7"/>
      <c r="D1794" s="15"/>
      <c r="F1794" s="15"/>
      <c r="G1794" s="26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28"/>
      <c r="AS1794" s="28"/>
      <c r="AT1794" s="28"/>
    </row>
    <row r="1795">
      <c r="A1795" s="10" t="s">
        <v>1672</v>
      </c>
      <c r="B1795" s="11">
        <v>1000.0</v>
      </c>
      <c r="C1795" s="12" t="s">
        <v>1650</v>
      </c>
      <c r="D1795" s="15">
        <v>75339.0</v>
      </c>
      <c r="F1795" s="15"/>
      <c r="G1795" s="26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28"/>
      <c r="AS1795" s="28"/>
      <c r="AT1795" s="28"/>
    </row>
    <row r="1796">
      <c r="A1796" s="5" t="s">
        <v>1673</v>
      </c>
      <c r="B1796" s="6">
        <v>250.0</v>
      </c>
      <c r="C1796" s="7" t="s">
        <v>1650</v>
      </c>
      <c r="D1796" s="15">
        <v>75216.0</v>
      </c>
      <c r="F1796" s="15"/>
      <c r="G1796" s="26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28"/>
      <c r="AS1796" s="28"/>
      <c r="AT1796" s="28"/>
    </row>
    <row r="1797">
      <c r="A1797" s="10" t="s">
        <v>1674</v>
      </c>
      <c r="B1797" s="11">
        <v>100.0</v>
      </c>
      <c r="C1797" s="12" t="s">
        <v>1650</v>
      </c>
      <c r="D1797" s="15">
        <v>76065.0</v>
      </c>
      <c r="F1797" s="15"/>
      <c r="G1797" s="26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28"/>
      <c r="AS1797" s="28"/>
      <c r="AT1797" s="28"/>
    </row>
    <row r="1798">
      <c r="A1798" s="5" t="s">
        <v>1675</v>
      </c>
      <c r="B1798" s="6">
        <v>1000.0</v>
      </c>
      <c r="C1798" s="7" t="s">
        <v>1650</v>
      </c>
      <c r="D1798" s="15">
        <v>75209.0</v>
      </c>
      <c r="F1798" s="15"/>
      <c r="G1798" s="26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28"/>
      <c r="AS1798" s="28"/>
      <c r="AT1798" s="28"/>
    </row>
    <row r="1799">
      <c r="A1799" s="10" t="s">
        <v>1676</v>
      </c>
      <c r="B1799" s="11">
        <v>25.0</v>
      </c>
      <c r="C1799" s="12" t="s">
        <v>1650</v>
      </c>
      <c r="D1799" s="15">
        <v>76002.0</v>
      </c>
      <c r="F1799" s="15"/>
      <c r="G1799" s="26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28"/>
      <c r="AS1799" s="28"/>
      <c r="AT1799" s="28"/>
    </row>
    <row r="1800">
      <c r="A1800" s="5" t="s">
        <v>1677</v>
      </c>
      <c r="B1800" s="6">
        <v>25.0</v>
      </c>
      <c r="C1800" s="7" t="s">
        <v>1650</v>
      </c>
      <c r="D1800" s="15">
        <v>75006.0</v>
      </c>
      <c r="F1800" s="15"/>
      <c r="G1800" s="26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28"/>
      <c r="AS1800" s="28"/>
      <c r="AT1800" s="28"/>
    </row>
    <row r="1801">
      <c r="A1801" s="10"/>
      <c r="B1801" s="11"/>
      <c r="C1801" s="12"/>
      <c r="D1801" s="15"/>
      <c r="F1801" s="15"/>
      <c r="G1801" s="26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28"/>
      <c r="AS1801" s="28"/>
      <c r="AT1801" s="28"/>
    </row>
    <row r="1802">
      <c r="A1802" s="5" t="s">
        <v>1679</v>
      </c>
      <c r="B1802" s="6">
        <v>25.0</v>
      </c>
      <c r="C1802" s="7" t="s">
        <v>1650</v>
      </c>
      <c r="D1802" s="15">
        <v>75226.0</v>
      </c>
      <c r="F1802" s="15"/>
      <c r="G1802" s="26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28"/>
      <c r="AS1802" s="28"/>
      <c r="AT1802" s="28"/>
    </row>
    <row r="1803">
      <c r="A1803" s="10" t="s">
        <v>1680</v>
      </c>
      <c r="B1803" s="11">
        <v>100.0</v>
      </c>
      <c r="C1803" s="12" t="s">
        <v>1238</v>
      </c>
      <c r="D1803" s="15">
        <v>75238.0</v>
      </c>
      <c r="F1803" s="15"/>
      <c r="G1803" s="26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28"/>
      <c r="AS1803" s="28"/>
      <c r="AT1803" s="28"/>
    </row>
    <row r="1804">
      <c r="A1804" s="10" t="s">
        <v>1681</v>
      </c>
      <c r="B1804" s="11">
        <v>25.0</v>
      </c>
      <c r="C1804" s="12" t="s">
        <v>1238</v>
      </c>
      <c r="D1804" s="15">
        <v>75243.0</v>
      </c>
      <c r="F1804" s="15"/>
      <c r="G1804" s="26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28"/>
      <c r="AS1804" s="28"/>
      <c r="AT1804" s="28"/>
    </row>
    <row r="1805">
      <c r="A1805" s="10" t="s">
        <v>1682</v>
      </c>
      <c r="B1805" s="11">
        <v>1000.0</v>
      </c>
      <c r="C1805" s="12" t="s">
        <v>1238</v>
      </c>
      <c r="D1805" s="15">
        <v>75231.0</v>
      </c>
      <c r="F1805" s="15"/>
      <c r="G1805" s="26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28"/>
      <c r="AS1805" s="28"/>
      <c r="AT1805" s="28"/>
    </row>
    <row r="1806">
      <c r="A1806" s="5" t="s">
        <v>1683</v>
      </c>
      <c r="B1806" s="6">
        <v>100.0</v>
      </c>
      <c r="C1806" s="7" t="s">
        <v>50</v>
      </c>
      <c r="D1806" s="15">
        <v>75205.0</v>
      </c>
      <c r="F1806" s="15"/>
      <c r="G1806" s="26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28"/>
      <c r="AS1806" s="28"/>
      <c r="AT1806" s="28"/>
    </row>
    <row r="1807">
      <c r="A1807" s="10" t="s">
        <v>1684</v>
      </c>
      <c r="B1807" s="11">
        <v>50.0</v>
      </c>
      <c r="C1807" s="12" t="s">
        <v>50</v>
      </c>
      <c r="D1807" s="15">
        <v>75019.0</v>
      </c>
      <c r="F1807" s="15"/>
      <c r="G1807" s="26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</row>
    <row r="1808">
      <c r="A1808" s="10" t="s">
        <v>1685</v>
      </c>
      <c r="B1808" s="11">
        <v>500.0</v>
      </c>
      <c r="C1808" s="12" t="s">
        <v>50</v>
      </c>
      <c r="D1808" s="15">
        <v>75223.0</v>
      </c>
      <c r="F1808" s="15"/>
      <c r="G1808" s="26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28"/>
      <c r="AS1808" s="28"/>
      <c r="AT1808" s="28"/>
    </row>
    <row r="1809">
      <c r="A1809" s="10" t="s">
        <v>1686</v>
      </c>
      <c r="B1809" s="11">
        <v>50.0</v>
      </c>
      <c r="C1809" s="12" t="s">
        <v>50</v>
      </c>
      <c r="D1809" s="15">
        <v>75243.0</v>
      </c>
      <c r="F1809" s="15"/>
      <c r="G1809" s="26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28"/>
      <c r="AS1809" s="28"/>
      <c r="AT1809" s="28"/>
    </row>
    <row r="1810">
      <c r="A1810" s="10" t="s">
        <v>1687</v>
      </c>
      <c r="B1810" s="11">
        <v>1000.0</v>
      </c>
      <c r="C1810" s="12" t="s">
        <v>50</v>
      </c>
      <c r="D1810" s="15">
        <v>75215.0</v>
      </c>
      <c r="F1810" s="15"/>
      <c r="G1810" s="26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28"/>
      <c r="AS1810" s="28"/>
      <c r="AT1810" s="28"/>
    </row>
    <row r="1811">
      <c r="A1811" s="10" t="s">
        <v>1688</v>
      </c>
      <c r="B1811" s="11">
        <v>250.0</v>
      </c>
      <c r="C1811" s="12" t="s">
        <v>50</v>
      </c>
      <c r="D1811" s="15">
        <v>75204.0</v>
      </c>
      <c r="F1811" s="15"/>
      <c r="G1811" s="26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28"/>
      <c r="AS1811" s="28"/>
      <c r="AT1811" s="28"/>
    </row>
    <row r="1812">
      <c r="A1812" s="10" t="s">
        <v>1689</v>
      </c>
      <c r="B1812" s="11">
        <v>200.0</v>
      </c>
      <c r="C1812" s="12" t="s">
        <v>50</v>
      </c>
      <c r="D1812" s="15">
        <v>75214.0</v>
      </c>
      <c r="F1812" s="15"/>
      <c r="G1812" s="26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28"/>
      <c r="AS1812" s="28"/>
      <c r="AT1812" s="28"/>
    </row>
    <row r="1813">
      <c r="A1813" s="10" t="s">
        <v>1690</v>
      </c>
      <c r="B1813" s="11">
        <v>250.0</v>
      </c>
      <c r="C1813" s="12" t="s">
        <v>50</v>
      </c>
      <c r="D1813" s="15">
        <v>75248.0</v>
      </c>
      <c r="F1813" s="15"/>
      <c r="G1813" s="26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28"/>
      <c r="AS1813" s="28"/>
      <c r="AT1813" s="28"/>
    </row>
    <row r="1814">
      <c r="A1814" s="10" t="s">
        <v>1691</v>
      </c>
      <c r="B1814" s="11">
        <v>50.0</v>
      </c>
      <c r="C1814" s="12" t="s">
        <v>50</v>
      </c>
      <c r="D1814" s="15">
        <v>75228.0</v>
      </c>
      <c r="F1814" s="15"/>
      <c r="G1814" s="26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28"/>
      <c r="AS1814" s="28"/>
      <c r="AT1814" s="28"/>
    </row>
    <row r="1815">
      <c r="A1815" s="10" t="s">
        <v>1692</v>
      </c>
      <c r="B1815" s="11">
        <v>200.0</v>
      </c>
      <c r="C1815" s="12" t="s">
        <v>50</v>
      </c>
      <c r="D1815" s="15">
        <v>75214.0</v>
      </c>
      <c r="F1815" s="15"/>
      <c r="G1815" s="26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28"/>
      <c r="AS1815" s="28"/>
      <c r="AT1815" s="28"/>
    </row>
    <row r="1816">
      <c r="A1816" s="10" t="s">
        <v>1693</v>
      </c>
      <c r="B1816" s="11">
        <v>250.0</v>
      </c>
      <c r="C1816" s="12" t="s">
        <v>50</v>
      </c>
      <c r="D1816" s="15">
        <v>75218.0</v>
      </c>
      <c r="F1816" s="15"/>
      <c r="G1816" s="26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28"/>
      <c r="AS1816" s="28"/>
      <c r="AT1816" s="28"/>
    </row>
    <row r="1817">
      <c r="A1817" s="10" t="s">
        <v>1694</v>
      </c>
      <c r="B1817" s="11">
        <v>100.0</v>
      </c>
      <c r="C1817" s="12" t="s">
        <v>50</v>
      </c>
      <c r="D1817" s="15">
        <v>75214.0</v>
      </c>
      <c r="F1817" s="15"/>
      <c r="G1817" s="26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28"/>
      <c r="AS1817" s="28"/>
      <c r="AT1817" s="28"/>
    </row>
    <row r="1818">
      <c r="A1818" s="10" t="s">
        <v>1695</v>
      </c>
      <c r="B1818" s="11">
        <v>100.0</v>
      </c>
      <c r="C1818" s="12" t="s">
        <v>50</v>
      </c>
      <c r="D1818" s="15">
        <v>75202.0</v>
      </c>
      <c r="F1818" s="15"/>
      <c r="G1818" s="26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28"/>
      <c r="AS1818" s="28"/>
      <c r="AT1818" s="28"/>
    </row>
    <row r="1819">
      <c r="A1819" s="10" t="s">
        <v>1696</v>
      </c>
      <c r="B1819" s="11">
        <v>100.0</v>
      </c>
      <c r="C1819" s="12" t="s">
        <v>50</v>
      </c>
      <c r="D1819" s="15">
        <v>75206.0</v>
      </c>
      <c r="F1819" s="15"/>
      <c r="G1819" s="26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28"/>
      <c r="AS1819" s="28"/>
      <c r="AT1819" s="28"/>
    </row>
    <row r="1820">
      <c r="A1820" s="10" t="s">
        <v>1697</v>
      </c>
      <c r="B1820" s="11">
        <v>500.0</v>
      </c>
      <c r="C1820" s="12" t="s">
        <v>50</v>
      </c>
      <c r="D1820" s="15">
        <v>75230.0</v>
      </c>
      <c r="F1820" s="15"/>
      <c r="G1820" s="26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28"/>
      <c r="AS1820" s="28"/>
      <c r="AT1820" s="28"/>
    </row>
    <row r="1821">
      <c r="A1821" s="10" t="s">
        <v>1698</v>
      </c>
      <c r="B1821" s="11">
        <v>1000.0</v>
      </c>
      <c r="C1821" s="12" t="s">
        <v>50</v>
      </c>
      <c r="D1821" s="15">
        <v>75228.0</v>
      </c>
      <c r="F1821" s="15"/>
      <c r="G1821" s="26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28"/>
      <c r="AS1821" s="28"/>
      <c r="AT1821" s="28"/>
    </row>
    <row r="1822">
      <c r="A1822" s="10" t="s">
        <v>1699</v>
      </c>
      <c r="B1822" s="11">
        <v>1000.0</v>
      </c>
      <c r="C1822" s="12" t="s">
        <v>50</v>
      </c>
      <c r="D1822" s="15">
        <v>75228.0</v>
      </c>
      <c r="F1822" s="15"/>
      <c r="G1822" s="26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28"/>
      <c r="AS1822" s="28"/>
      <c r="AT1822" s="28"/>
    </row>
    <row r="1823">
      <c r="A1823" s="10" t="s">
        <v>1700</v>
      </c>
      <c r="B1823" s="11">
        <v>50.0</v>
      </c>
      <c r="C1823" s="12" t="s">
        <v>50</v>
      </c>
      <c r="D1823" s="15">
        <v>75218.0</v>
      </c>
      <c r="F1823" s="15"/>
      <c r="G1823" s="26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28"/>
      <c r="AS1823" s="28"/>
      <c r="AT1823" s="28"/>
    </row>
    <row r="1824">
      <c r="A1824" s="10" t="s">
        <v>1701</v>
      </c>
      <c r="B1824" s="11">
        <v>100.0</v>
      </c>
      <c r="C1824" s="12" t="s">
        <v>50</v>
      </c>
      <c r="D1824" s="15">
        <v>75202.0</v>
      </c>
      <c r="F1824" s="15"/>
      <c r="G1824" s="26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28"/>
      <c r="AS1824" s="28"/>
      <c r="AT1824" s="28"/>
    </row>
    <row r="1825">
      <c r="A1825" s="10" t="s">
        <v>1702</v>
      </c>
      <c r="B1825" s="11">
        <v>1000.0</v>
      </c>
      <c r="C1825" s="12" t="s">
        <v>50</v>
      </c>
      <c r="D1825" s="15">
        <v>75057.0</v>
      </c>
      <c r="F1825" s="15"/>
      <c r="G1825" s="26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28"/>
      <c r="AS1825" s="28"/>
      <c r="AT1825" s="28"/>
    </row>
    <row r="1826">
      <c r="A1826" s="10" t="s">
        <v>1703</v>
      </c>
      <c r="B1826" s="11">
        <v>250.0</v>
      </c>
      <c r="C1826" s="12" t="s">
        <v>50</v>
      </c>
      <c r="D1826" s="15">
        <v>75115.0</v>
      </c>
      <c r="F1826" s="15"/>
      <c r="G1826" s="26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28"/>
      <c r="AS1826" s="28"/>
      <c r="AT1826" s="28"/>
    </row>
    <row r="1827">
      <c r="A1827" s="10" t="s">
        <v>1704</v>
      </c>
      <c r="B1827" s="11">
        <v>500.0</v>
      </c>
      <c r="C1827" s="12" t="s">
        <v>50</v>
      </c>
      <c r="D1827" s="15">
        <v>75222.0</v>
      </c>
      <c r="F1827" s="15"/>
      <c r="G1827" s="26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28"/>
      <c r="AS1827" s="28"/>
      <c r="AT1827" s="28"/>
    </row>
    <row r="1828">
      <c r="A1828" s="10" t="s">
        <v>1705</v>
      </c>
      <c r="B1828" s="11">
        <v>150.0</v>
      </c>
      <c r="C1828" s="12" t="s">
        <v>50</v>
      </c>
      <c r="D1828" s="15">
        <v>75204.0</v>
      </c>
      <c r="F1828" s="15"/>
      <c r="G1828" s="26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28"/>
      <c r="AS1828" s="28"/>
      <c r="AT1828" s="28"/>
    </row>
    <row r="1829">
      <c r="A1829" s="10" t="s">
        <v>1706</v>
      </c>
      <c r="B1829" s="11">
        <v>100.0</v>
      </c>
      <c r="C1829" s="12" t="s">
        <v>50</v>
      </c>
      <c r="D1829" s="15">
        <v>75206.0</v>
      </c>
      <c r="F1829" s="15"/>
      <c r="G1829" s="26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28"/>
      <c r="AS1829" s="28"/>
      <c r="AT1829" s="28"/>
    </row>
    <row r="1830">
      <c r="A1830" s="10" t="s">
        <v>1707</v>
      </c>
      <c r="B1830" s="11">
        <v>100.0</v>
      </c>
      <c r="C1830" s="12" t="s">
        <v>50</v>
      </c>
      <c r="D1830" s="15">
        <v>75044.0</v>
      </c>
      <c r="F1830" s="15"/>
      <c r="G1830" s="26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28"/>
      <c r="AS1830" s="28"/>
      <c r="AT1830" s="28"/>
    </row>
    <row r="1831">
      <c r="A1831" s="10" t="s">
        <v>1708</v>
      </c>
      <c r="B1831" s="11">
        <v>100.0</v>
      </c>
      <c r="C1831" s="12" t="s">
        <v>50</v>
      </c>
      <c r="D1831" s="15">
        <v>75214.0</v>
      </c>
      <c r="F1831" s="15"/>
      <c r="G1831" s="26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28"/>
      <c r="AS1831" s="28"/>
      <c r="AT1831" s="28"/>
    </row>
    <row r="1832">
      <c r="A1832" s="10" t="s">
        <v>1709</v>
      </c>
      <c r="B1832" s="11">
        <v>100.0</v>
      </c>
      <c r="C1832" s="12" t="s">
        <v>50</v>
      </c>
      <c r="D1832" s="15">
        <v>75215.0</v>
      </c>
      <c r="F1832" s="15"/>
      <c r="G1832" s="26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28"/>
      <c r="AS1832" s="28"/>
      <c r="AT1832" s="28"/>
    </row>
    <row r="1833">
      <c r="A1833" s="10" t="s">
        <v>1710</v>
      </c>
      <c r="B1833" s="11">
        <v>200.0</v>
      </c>
      <c r="C1833" s="12" t="s">
        <v>50</v>
      </c>
      <c r="D1833" s="15">
        <v>75223.0</v>
      </c>
      <c r="F1833" s="15"/>
      <c r="G1833" s="26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28"/>
      <c r="AS1833" s="28"/>
      <c r="AT1833" s="28"/>
    </row>
    <row r="1834">
      <c r="A1834" s="10" t="s">
        <v>1711</v>
      </c>
      <c r="B1834" s="11">
        <v>100.0</v>
      </c>
      <c r="C1834" s="12" t="s">
        <v>50</v>
      </c>
      <c r="D1834" s="15">
        <v>75254.0</v>
      </c>
      <c r="F1834" s="15"/>
      <c r="G1834" s="26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28"/>
      <c r="AS1834" s="28"/>
      <c r="AT1834" s="28"/>
    </row>
    <row r="1835">
      <c r="A1835" s="10" t="s">
        <v>1712</v>
      </c>
      <c r="B1835" s="11">
        <v>50.0</v>
      </c>
      <c r="C1835" s="12" t="s">
        <v>50</v>
      </c>
      <c r="D1835" s="15">
        <v>75214.0</v>
      </c>
      <c r="F1835" s="15"/>
      <c r="G1835" s="26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</row>
    <row r="1836">
      <c r="A1836" s="10" t="s">
        <v>1713</v>
      </c>
      <c r="B1836" s="11">
        <v>250.0</v>
      </c>
      <c r="C1836" s="12" t="s">
        <v>50</v>
      </c>
      <c r="D1836" s="15">
        <v>75219.0</v>
      </c>
      <c r="F1836" s="15"/>
      <c r="G1836" s="26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28"/>
      <c r="AS1836" s="28"/>
      <c r="AT1836" s="28"/>
    </row>
    <row r="1837">
      <c r="A1837" s="10" t="s">
        <v>1714</v>
      </c>
      <c r="B1837" s="11">
        <v>50.0</v>
      </c>
      <c r="C1837" s="12" t="s">
        <v>50</v>
      </c>
      <c r="D1837" s="15">
        <v>75219.0</v>
      </c>
      <c r="F1837" s="15"/>
      <c r="G1837" s="26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28"/>
      <c r="AS1837" s="28"/>
      <c r="AT1837" s="28"/>
    </row>
    <row r="1838">
      <c r="A1838" s="10" t="s">
        <v>1715</v>
      </c>
      <c r="B1838" s="11">
        <v>500.0</v>
      </c>
      <c r="C1838" s="12" t="s">
        <v>50</v>
      </c>
      <c r="D1838" s="15">
        <v>75229.0</v>
      </c>
      <c r="F1838" s="15"/>
      <c r="G1838" s="26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28"/>
      <c r="AS1838" s="28"/>
      <c r="AT1838" s="28"/>
    </row>
    <row r="1839">
      <c r="A1839" s="10" t="s">
        <v>1716</v>
      </c>
      <c r="B1839" s="11">
        <v>100.0</v>
      </c>
      <c r="C1839" s="12" t="s">
        <v>50</v>
      </c>
      <c r="D1839" s="15">
        <v>75206.0</v>
      </c>
      <c r="F1839" s="15"/>
      <c r="G1839" s="26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28"/>
      <c r="AS1839" s="28"/>
      <c r="AT1839" s="28"/>
    </row>
    <row r="1840">
      <c r="A1840" s="10" t="s">
        <v>1717</v>
      </c>
      <c r="B1840" s="11">
        <v>200.0</v>
      </c>
      <c r="C1840" s="12" t="s">
        <v>50</v>
      </c>
      <c r="D1840" s="15">
        <v>75205.0</v>
      </c>
      <c r="F1840" s="15"/>
      <c r="G1840" s="26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28"/>
      <c r="AS1840" s="28"/>
      <c r="AT1840" s="28"/>
    </row>
    <row r="1841">
      <c r="A1841" s="10" t="s">
        <v>1718</v>
      </c>
      <c r="B1841" s="11">
        <v>250.0</v>
      </c>
      <c r="C1841" s="12" t="s">
        <v>50</v>
      </c>
      <c r="D1841" s="15">
        <v>75210.0</v>
      </c>
      <c r="F1841" s="15"/>
      <c r="G1841" s="26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28"/>
      <c r="AS1841" s="28"/>
      <c r="AT1841" s="28"/>
    </row>
    <row r="1842">
      <c r="A1842" s="10" t="s">
        <v>1719</v>
      </c>
      <c r="B1842" s="11">
        <v>100.0</v>
      </c>
      <c r="C1842" s="12" t="s">
        <v>50</v>
      </c>
      <c r="D1842" s="15">
        <v>75229.0</v>
      </c>
      <c r="F1842" s="15"/>
      <c r="G1842" s="26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8"/>
      <c r="AT1842" s="28"/>
    </row>
    <row r="1843">
      <c r="A1843" s="10" t="s">
        <v>1720</v>
      </c>
      <c r="B1843" s="11">
        <v>100.0</v>
      </c>
      <c r="C1843" s="12" t="s">
        <v>50</v>
      </c>
      <c r="D1843" s="15">
        <v>75204.0</v>
      </c>
      <c r="F1843" s="15"/>
      <c r="G1843" s="26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28"/>
      <c r="AS1843" s="28"/>
      <c r="AT1843" s="28"/>
    </row>
    <row r="1844">
      <c r="A1844" s="10"/>
      <c r="B1844" s="11"/>
      <c r="C1844" s="12"/>
      <c r="D1844" s="15"/>
      <c r="F1844" s="15"/>
      <c r="G1844" s="26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28"/>
      <c r="AS1844" s="28"/>
      <c r="AT1844" s="28"/>
    </row>
    <row r="1845">
      <c r="A1845" s="10" t="s">
        <v>1722</v>
      </c>
      <c r="B1845" s="11">
        <v>500.0</v>
      </c>
      <c r="C1845" s="12" t="s">
        <v>50</v>
      </c>
      <c r="D1845" s="15">
        <v>75214.0</v>
      </c>
      <c r="F1845" s="15"/>
      <c r="G1845" s="26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28"/>
      <c r="AS1845" s="28"/>
      <c r="AT1845" s="28"/>
    </row>
    <row r="1846">
      <c r="A1846" s="10" t="s">
        <v>1723</v>
      </c>
      <c r="B1846" s="11">
        <v>250.0</v>
      </c>
      <c r="C1846" s="12" t="s">
        <v>50</v>
      </c>
      <c r="D1846" s="15">
        <v>75204.0</v>
      </c>
      <c r="F1846" s="15"/>
      <c r="G1846" s="26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28"/>
      <c r="AS1846" s="28"/>
      <c r="AT1846" s="28"/>
    </row>
    <row r="1847">
      <c r="A1847" s="10" t="s">
        <v>1724</v>
      </c>
      <c r="B1847" s="11">
        <v>500.0</v>
      </c>
      <c r="C1847" s="12" t="s">
        <v>50</v>
      </c>
      <c r="D1847" s="15">
        <v>75208.0</v>
      </c>
      <c r="F1847" s="15"/>
      <c r="G1847" s="26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28"/>
      <c r="AS1847" s="28"/>
      <c r="AT1847" s="28"/>
    </row>
    <row r="1848">
      <c r="A1848" s="10" t="s">
        <v>1725</v>
      </c>
      <c r="B1848" s="11">
        <v>500.0</v>
      </c>
      <c r="C1848" s="12" t="s">
        <v>50</v>
      </c>
      <c r="D1848" s="15">
        <v>75205.0</v>
      </c>
      <c r="F1848" s="15"/>
      <c r="G1848" s="26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28"/>
      <c r="AS1848" s="28"/>
      <c r="AT1848" s="28"/>
    </row>
    <row r="1849">
      <c r="A1849" s="10" t="s">
        <v>1726</v>
      </c>
      <c r="B1849" s="11">
        <v>500.0</v>
      </c>
      <c r="C1849" s="12" t="s">
        <v>50</v>
      </c>
      <c r="D1849" s="15">
        <v>75203.0</v>
      </c>
      <c r="F1849" s="15"/>
      <c r="G1849" s="26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28"/>
      <c r="AS1849" s="28"/>
      <c r="AT1849" s="28"/>
    </row>
    <row r="1850">
      <c r="A1850" s="10" t="s">
        <v>1727</v>
      </c>
      <c r="B1850" s="11">
        <v>200.0</v>
      </c>
      <c r="C1850" s="12" t="s">
        <v>50</v>
      </c>
      <c r="D1850" s="15">
        <v>75115.0</v>
      </c>
      <c r="F1850" s="15"/>
      <c r="G1850" s="26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28"/>
      <c r="AS1850" s="28"/>
      <c r="AT1850" s="28"/>
    </row>
    <row r="1851">
      <c r="A1851" s="10"/>
      <c r="B1851" s="11"/>
      <c r="C1851" s="12"/>
      <c r="D1851" s="15"/>
      <c r="F1851" s="15"/>
      <c r="G1851" s="26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28"/>
      <c r="AS1851" s="28"/>
      <c r="AT1851" s="28"/>
    </row>
    <row r="1852">
      <c r="A1852" s="10" t="s">
        <v>1729</v>
      </c>
      <c r="B1852" s="11">
        <v>500.0</v>
      </c>
      <c r="C1852" s="12" t="s">
        <v>50</v>
      </c>
      <c r="D1852" s="15">
        <v>75209.0</v>
      </c>
      <c r="F1852" s="15"/>
      <c r="G1852" s="26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28"/>
      <c r="AS1852" s="28"/>
      <c r="AT1852" s="28"/>
    </row>
    <row r="1853">
      <c r="A1853" s="10" t="s">
        <v>1730</v>
      </c>
      <c r="B1853" s="11">
        <v>500.0</v>
      </c>
      <c r="C1853" s="12" t="s">
        <v>50</v>
      </c>
      <c r="D1853" s="15">
        <v>75205.0</v>
      </c>
      <c r="F1853" s="15"/>
      <c r="G1853" s="26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/>
      <c r="AS1853" s="28"/>
      <c r="AT1853" s="28"/>
    </row>
    <row r="1854">
      <c r="A1854" s="10" t="s">
        <v>1731</v>
      </c>
      <c r="B1854" s="11">
        <v>1000.0</v>
      </c>
      <c r="C1854" s="12" t="s">
        <v>50</v>
      </c>
      <c r="D1854" s="15">
        <v>75208.0</v>
      </c>
      <c r="F1854" s="15"/>
      <c r="G1854" s="26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28"/>
      <c r="AS1854" s="28"/>
      <c r="AT1854" s="28"/>
    </row>
    <row r="1855">
      <c r="A1855" s="10" t="s">
        <v>1729</v>
      </c>
      <c r="B1855" s="11">
        <v>500.0</v>
      </c>
      <c r="C1855" s="12" t="s">
        <v>50</v>
      </c>
      <c r="D1855" s="15">
        <v>75209.0</v>
      </c>
      <c r="F1855" s="15"/>
      <c r="G1855" s="26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28"/>
      <c r="AS1855" s="28"/>
      <c r="AT1855" s="28"/>
    </row>
    <row r="1856">
      <c r="A1856" s="10" t="s">
        <v>1732</v>
      </c>
      <c r="B1856" s="11">
        <v>1000.0</v>
      </c>
      <c r="C1856" s="12" t="s">
        <v>50</v>
      </c>
      <c r="D1856" s="15">
        <v>75115.0</v>
      </c>
      <c r="F1856" s="15"/>
      <c r="G1856" s="26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/>
    </row>
    <row r="1857">
      <c r="A1857" s="10" t="s">
        <v>1733</v>
      </c>
      <c r="B1857" s="11">
        <v>200.0</v>
      </c>
      <c r="C1857" s="12" t="s">
        <v>50</v>
      </c>
      <c r="D1857" s="15">
        <v>76001.0</v>
      </c>
      <c r="F1857" s="15"/>
      <c r="G1857" s="26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28"/>
      <c r="AS1857" s="28"/>
      <c r="AT1857" s="28"/>
    </row>
    <row r="1858">
      <c r="A1858" s="10" t="s">
        <v>1734</v>
      </c>
      <c r="B1858" s="11">
        <v>1000.0</v>
      </c>
      <c r="C1858" s="12" t="s">
        <v>50</v>
      </c>
      <c r="D1858" s="15">
        <v>75115.0</v>
      </c>
      <c r="F1858" s="15"/>
      <c r="G1858" s="26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28"/>
      <c r="AS1858" s="28"/>
      <c r="AT1858" s="28"/>
    </row>
    <row r="1859">
      <c r="A1859" s="10" t="s">
        <v>1735</v>
      </c>
      <c r="B1859" s="11">
        <v>100.0</v>
      </c>
      <c r="C1859" s="12" t="s">
        <v>50</v>
      </c>
      <c r="D1859" s="15">
        <v>75208.0</v>
      </c>
      <c r="F1859" s="15"/>
      <c r="G1859" s="26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28"/>
      <c r="AS1859" s="28"/>
      <c r="AT1859" s="28"/>
    </row>
    <row r="1860">
      <c r="A1860" s="10" t="s">
        <v>1736</v>
      </c>
      <c r="B1860" s="11">
        <v>250.0</v>
      </c>
      <c r="C1860" s="12" t="s">
        <v>50</v>
      </c>
      <c r="D1860" s="15">
        <v>75226.0</v>
      </c>
      <c r="F1860" s="15"/>
      <c r="G1860" s="26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28"/>
      <c r="AS1860" s="28"/>
      <c r="AT1860" s="28"/>
    </row>
    <row r="1861">
      <c r="A1861" s="10" t="s">
        <v>1737</v>
      </c>
      <c r="B1861" s="11">
        <v>1000.0</v>
      </c>
      <c r="C1861" s="12" t="s">
        <v>50</v>
      </c>
      <c r="D1861" s="15">
        <v>75207.0</v>
      </c>
      <c r="F1861" s="15"/>
      <c r="G1861" s="26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28"/>
      <c r="AS1861" s="28"/>
      <c r="AT1861" s="28"/>
    </row>
    <row r="1862">
      <c r="A1862" s="10" t="s">
        <v>1738</v>
      </c>
      <c r="B1862" s="11">
        <v>1000.0</v>
      </c>
      <c r="C1862" s="12" t="s">
        <v>50</v>
      </c>
      <c r="D1862" s="15">
        <v>75201.0</v>
      </c>
      <c r="F1862" s="15"/>
      <c r="G1862" s="26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</row>
    <row r="1863">
      <c r="A1863" s="10" t="s">
        <v>1739</v>
      </c>
      <c r="B1863" s="11">
        <v>50.0</v>
      </c>
      <c r="C1863" s="12" t="s">
        <v>50</v>
      </c>
      <c r="D1863" s="15">
        <v>75204.0</v>
      </c>
      <c r="F1863" s="15"/>
      <c r="G1863" s="26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</row>
    <row r="1864">
      <c r="A1864" s="10" t="s">
        <v>1740</v>
      </c>
      <c r="B1864" s="11">
        <v>100.0</v>
      </c>
      <c r="C1864" s="12" t="s">
        <v>50</v>
      </c>
      <c r="D1864" s="15">
        <v>75201.0</v>
      </c>
      <c r="F1864" s="15"/>
      <c r="G1864" s="26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28"/>
      <c r="AS1864" s="28"/>
      <c r="AT1864" s="28"/>
    </row>
    <row r="1865">
      <c r="A1865" s="10" t="s">
        <v>1741</v>
      </c>
      <c r="B1865" s="11">
        <v>500.0</v>
      </c>
      <c r="C1865" s="12" t="s">
        <v>50</v>
      </c>
      <c r="D1865" s="15">
        <v>75215.0</v>
      </c>
      <c r="F1865" s="15"/>
      <c r="G1865" s="26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</row>
    <row r="1866">
      <c r="A1866" s="10" t="s">
        <v>1742</v>
      </c>
      <c r="B1866" s="11">
        <v>50.0</v>
      </c>
      <c r="C1866" s="12" t="s">
        <v>50</v>
      </c>
      <c r="D1866" s="15">
        <v>75218.0</v>
      </c>
      <c r="F1866" s="15"/>
      <c r="G1866" s="26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28"/>
      <c r="AS1866" s="28"/>
      <c r="AT1866" s="28"/>
    </row>
    <row r="1867">
      <c r="A1867" s="10" t="s">
        <v>1743</v>
      </c>
      <c r="B1867" s="11">
        <v>500.0</v>
      </c>
      <c r="C1867" s="12" t="s">
        <v>50</v>
      </c>
      <c r="D1867" s="15">
        <v>76653.0</v>
      </c>
      <c r="F1867" s="15"/>
      <c r="G1867" s="26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28"/>
      <c r="AS1867" s="28"/>
      <c r="AT1867" s="28"/>
    </row>
    <row r="1868">
      <c r="A1868" s="10" t="s">
        <v>1744</v>
      </c>
      <c r="B1868" s="11">
        <v>250.0</v>
      </c>
      <c r="C1868" s="12" t="s">
        <v>50</v>
      </c>
      <c r="D1868" s="15">
        <v>75203.0</v>
      </c>
      <c r="F1868" s="15"/>
      <c r="G1868" s="26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28"/>
      <c r="AS1868" s="28"/>
      <c r="AT1868" s="28"/>
    </row>
    <row r="1869">
      <c r="A1869" s="10" t="s">
        <v>1745</v>
      </c>
      <c r="B1869" s="11">
        <v>1000.0</v>
      </c>
      <c r="C1869" s="12" t="s">
        <v>50</v>
      </c>
      <c r="D1869" s="15">
        <v>75220.0</v>
      </c>
      <c r="F1869" s="15"/>
      <c r="G1869" s="26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28"/>
      <c r="AS1869" s="28"/>
      <c r="AT1869" s="28"/>
    </row>
    <row r="1870">
      <c r="A1870" s="10" t="s">
        <v>1746</v>
      </c>
      <c r="B1870" s="11">
        <v>50.0</v>
      </c>
      <c r="C1870" s="12" t="s">
        <v>50</v>
      </c>
      <c r="D1870" s="15">
        <v>75201.0</v>
      </c>
      <c r="F1870" s="15"/>
      <c r="G1870" s="26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28"/>
      <c r="AS1870" s="28"/>
      <c r="AT1870" s="28"/>
    </row>
    <row r="1871">
      <c r="A1871" s="10" t="s">
        <v>1747</v>
      </c>
      <c r="B1871" s="11">
        <v>50.0</v>
      </c>
      <c r="C1871" s="12" t="s">
        <v>50</v>
      </c>
      <c r="D1871" s="15">
        <v>75035.0</v>
      </c>
      <c r="F1871" s="15"/>
      <c r="G1871" s="26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28"/>
      <c r="AS1871" s="28"/>
      <c r="AT1871" s="28"/>
    </row>
    <row r="1872">
      <c r="A1872" s="10" t="s">
        <v>1748</v>
      </c>
      <c r="B1872" s="11">
        <v>1000.0</v>
      </c>
      <c r="C1872" s="12" t="s">
        <v>50</v>
      </c>
      <c r="D1872" s="15">
        <v>75209.0</v>
      </c>
      <c r="F1872" s="15"/>
      <c r="G1872" s="26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28"/>
      <c r="AS1872" s="28"/>
      <c r="AT1872" s="28"/>
    </row>
    <row r="1873">
      <c r="A1873" s="10" t="s">
        <v>1749</v>
      </c>
      <c r="B1873" s="11">
        <v>150.0</v>
      </c>
      <c r="C1873" s="12" t="s">
        <v>50</v>
      </c>
      <c r="D1873" s="15">
        <v>75206.0</v>
      </c>
      <c r="F1873" s="15"/>
      <c r="G1873" s="26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28"/>
      <c r="AS1873" s="28"/>
      <c r="AT1873" s="28"/>
    </row>
    <row r="1874">
      <c r="A1874" s="10"/>
      <c r="B1874" s="11"/>
      <c r="C1874" s="12"/>
      <c r="D1874" s="15"/>
      <c r="F1874" s="15"/>
      <c r="G1874" s="26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28"/>
      <c r="AS1874" s="28"/>
      <c r="AT1874" s="28"/>
    </row>
    <row r="1875">
      <c r="A1875" s="10" t="s">
        <v>1750</v>
      </c>
      <c r="B1875" s="11">
        <v>1000.0</v>
      </c>
      <c r="C1875" s="12" t="s">
        <v>50</v>
      </c>
      <c r="D1875" s="15">
        <v>75205.0</v>
      </c>
      <c r="F1875" s="15"/>
      <c r="G1875" s="26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28"/>
      <c r="AS1875" s="28"/>
      <c r="AT1875" s="28"/>
    </row>
    <row r="1876">
      <c r="A1876" s="10" t="s">
        <v>1751</v>
      </c>
      <c r="B1876" s="11">
        <v>1000.0</v>
      </c>
      <c r="C1876" s="12" t="s">
        <v>50</v>
      </c>
      <c r="D1876" s="15">
        <v>75205.0</v>
      </c>
      <c r="F1876" s="15"/>
      <c r="G1876" s="26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28"/>
      <c r="AS1876" s="28"/>
      <c r="AT1876" s="28"/>
    </row>
    <row r="1877">
      <c r="A1877" s="10" t="s">
        <v>1752</v>
      </c>
      <c r="B1877" s="11">
        <v>500.0</v>
      </c>
      <c r="C1877" s="12" t="s">
        <v>50</v>
      </c>
      <c r="D1877" s="15">
        <v>75201.0</v>
      </c>
      <c r="F1877" s="15"/>
      <c r="G1877" s="26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28"/>
      <c r="AS1877" s="28"/>
      <c r="AT1877" s="28"/>
    </row>
    <row r="1878">
      <c r="A1878" s="10" t="s">
        <v>1718</v>
      </c>
      <c r="B1878" s="11">
        <v>500.0</v>
      </c>
      <c r="C1878" s="12" t="s">
        <v>50</v>
      </c>
      <c r="D1878" s="15">
        <v>75210.0</v>
      </c>
      <c r="F1878" s="15"/>
      <c r="G1878" s="26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28"/>
      <c r="AS1878" s="28"/>
      <c r="AT1878" s="28"/>
    </row>
    <row r="1879">
      <c r="A1879" s="10" t="s">
        <v>1753</v>
      </c>
      <c r="B1879" s="11">
        <v>1000.0</v>
      </c>
      <c r="C1879" s="12" t="s">
        <v>50</v>
      </c>
      <c r="D1879" s="15">
        <v>75228.0</v>
      </c>
      <c r="F1879" s="15"/>
      <c r="G1879" s="26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28"/>
      <c r="AS1879" s="28"/>
      <c r="AT1879" s="28"/>
    </row>
    <row r="1880">
      <c r="A1880" s="10" t="s">
        <v>1754</v>
      </c>
      <c r="B1880" s="11">
        <v>500.0</v>
      </c>
      <c r="C1880" s="12" t="s">
        <v>50</v>
      </c>
      <c r="D1880" s="15">
        <v>75209.0</v>
      </c>
      <c r="F1880" s="15"/>
      <c r="G1880" s="26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28"/>
      <c r="AS1880" s="28"/>
      <c r="AT1880" s="28"/>
    </row>
    <row r="1881">
      <c r="A1881" s="10" t="s">
        <v>1755</v>
      </c>
      <c r="B1881" s="11">
        <v>1000.0</v>
      </c>
      <c r="C1881" s="12" t="s">
        <v>50</v>
      </c>
      <c r="D1881" s="15">
        <v>77024.0</v>
      </c>
      <c r="F1881" s="15"/>
      <c r="G1881" s="26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</row>
    <row r="1882">
      <c r="A1882" s="10" t="s">
        <v>1756</v>
      </c>
      <c r="B1882" s="11">
        <v>1000.0</v>
      </c>
      <c r="C1882" s="12" t="s">
        <v>50</v>
      </c>
      <c r="D1882" s="15">
        <v>75205.0</v>
      </c>
      <c r="F1882" s="15"/>
      <c r="G1882" s="26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28"/>
      <c r="AS1882" s="28"/>
      <c r="AT1882" s="28"/>
    </row>
    <row r="1883">
      <c r="A1883" s="10" t="s">
        <v>1757</v>
      </c>
      <c r="B1883" s="11">
        <v>150.0</v>
      </c>
      <c r="C1883" s="12" t="s">
        <v>50</v>
      </c>
      <c r="D1883" s="15">
        <v>75220.0</v>
      </c>
      <c r="F1883" s="15"/>
      <c r="G1883" s="26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</row>
    <row r="1884">
      <c r="A1884" s="10" t="s">
        <v>1758</v>
      </c>
      <c r="B1884" s="11">
        <v>100.0</v>
      </c>
      <c r="C1884" s="12" t="s">
        <v>50</v>
      </c>
      <c r="D1884" s="15">
        <v>78748.0</v>
      </c>
      <c r="F1884" s="15"/>
      <c r="G1884" s="26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28"/>
      <c r="AS1884" s="28"/>
      <c r="AT1884" s="28"/>
    </row>
    <row r="1885">
      <c r="A1885" s="10" t="s">
        <v>1759</v>
      </c>
      <c r="B1885" s="11">
        <v>75.0</v>
      </c>
      <c r="C1885" s="12" t="s">
        <v>50</v>
      </c>
      <c r="D1885" s="15">
        <v>76065.0</v>
      </c>
      <c r="F1885" s="15"/>
      <c r="G1885" s="26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28"/>
      <c r="AS1885" s="28"/>
      <c r="AT1885" s="28"/>
    </row>
    <row r="1886">
      <c r="A1886" s="10" t="s">
        <v>1760</v>
      </c>
      <c r="B1886" s="11">
        <v>250.0</v>
      </c>
      <c r="C1886" s="12" t="s">
        <v>50</v>
      </c>
      <c r="D1886" s="15">
        <v>75226.0</v>
      </c>
      <c r="F1886" s="15"/>
      <c r="G1886" s="26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28"/>
      <c r="AS1886" s="28"/>
      <c r="AT1886" s="28"/>
    </row>
    <row r="1887">
      <c r="A1887" s="10" t="s">
        <v>1761</v>
      </c>
      <c r="B1887" s="11">
        <v>1000.0</v>
      </c>
      <c r="C1887" s="12" t="s">
        <v>50</v>
      </c>
      <c r="D1887" s="15">
        <v>75219.0</v>
      </c>
      <c r="F1887" s="15"/>
      <c r="G1887" s="26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28"/>
      <c r="AS1887" s="28"/>
      <c r="AT1887" s="28"/>
    </row>
    <row r="1888">
      <c r="A1888" s="10" t="s">
        <v>1762</v>
      </c>
      <c r="B1888" s="11">
        <v>500.0</v>
      </c>
      <c r="C1888" s="12" t="s">
        <v>50</v>
      </c>
      <c r="D1888" s="15">
        <v>75215.0</v>
      </c>
      <c r="F1888" s="15"/>
      <c r="G1888" s="26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28"/>
      <c r="AS1888" s="28"/>
      <c r="AT1888" s="28"/>
    </row>
    <row r="1889">
      <c r="A1889" s="10" t="s">
        <v>1763</v>
      </c>
      <c r="B1889" s="11">
        <v>77.0</v>
      </c>
      <c r="C1889" s="12" t="s">
        <v>50</v>
      </c>
      <c r="D1889" s="15">
        <v>75201.0</v>
      </c>
      <c r="F1889" s="15"/>
      <c r="G1889" s="26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28"/>
      <c r="AS1889" s="28"/>
      <c r="AT1889" s="28"/>
    </row>
    <row r="1890">
      <c r="A1890" s="10" t="s">
        <v>344</v>
      </c>
      <c r="B1890" s="11">
        <v>250.0</v>
      </c>
      <c r="C1890" s="12" t="s">
        <v>50</v>
      </c>
      <c r="D1890" s="15">
        <v>75376.0</v>
      </c>
      <c r="F1890" s="15"/>
      <c r="G1890" s="26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28"/>
      <c r="AS1890" s="28"/>
      <c r="AT1890" s="28"/>
    </row>
    <row r="1891">
      <c r="A1891" s="10" t="s">
        <v>1764</v>
      </c>
      <c r="B1891" s="11">
        <v>50.0</v>
      </c>
      <c r="C1891" s="12" t="s">
        <v>50</v>
      </c>
      <c r="D1891" s="15">
        <v>75214.0</v>
      </c>
      <c r="F1891" s="15"/>
      <c r="G1891" s="26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28"/>
      <c r="AS1891" s="28"/>
      <c r="AT1891" s="28"/>
    </row>
    <row r="1892">
      <c r="A1892" s="10" t="s">
        <v>1765</v>
      </c>
      <c r="B1892" s="11">
        <v>100.0</v>
      </c>
      <c r="C1892" s="12" t="s">
        <v>50</v>
      </c>
      <c r="D1892" s="15">
        <v>75204.0</v>
      </c>
      <c r="F1892" s="15"/>
      <c r="G1892" s="26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28"/>
      <c r="AS1892" s="28"/>
      <c r="AT1892" s="28"/>
    </row>
    <row r="1893">
      <c r="A1893" s="10" t="s">
        <v>1766</v>
      </c>
      <c r="B1893" s="11">
        <v>100.0</v>
      </c>
      <c r="C1893" s="12" t="s">
        <v>50</v>
      </c>
      <c r="D1893" s="15">
        <v>76209.0</v>
      </c>
      <c r="F1893" s="15"/>
      <c r="G1893" s="26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28"/>
      <c r="AS1893" s="28"/>
      <c r="AT1893" s="28"/>
    </row>
    <row r="1894">
      <c r="A1894" s="10" t="s">
        <v>1767</v>
      </c>
      <c r="B1894" s="11">
        <v>100.0</v>
      </c>
      <c r="C1894" s="12" t="s">
        <v>50</v>
      </c>
      <c r="D1894" s="15">
        <v>75227.0</v>
      </c>
      <c r="F1894" s="15"/>
      <c r="G1894" s="26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28"/>
      <c r="AS1894" s="28"/>
      <c r="AT1894" s="28"/>
    </row>
    <row r="1895">
      <c r="A1895" s="10" t="s">
        <v>1768</v>
      </c>
      <c r="B1895" s="11">
        <v>500.0</v>
      </c>
      <c r="C1895" s="12" t="s">
        <v>50</v>
      </c>
      <c r="D1895" s="15">
        <v>75206.0</v>
      </c>
      <c r="F1895" s="15"/>
      <c r="G1895" s="26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28"/>
      <c r="AS1895" s="28"/>
      <c r="AT1895" s="28"/>
    </row>
    <row r="1896">
      <c r="A1896" s="10" t="s">
        <v>1724</v>
      </c>
      <c r="B1896" s="11">
        <v>500.0</v>
      </c>
      <c r="C1896" s="12" t="s">
        <v>50</v>
      </c>
      <c r="D1896" s="15">
        <v>75208.0</v>
      </c>
      <c r="F1896" s="15"/>
      <c r="G1896" s="26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</row>
    <row r="1897">
      <c r="A1897" s="10" t="s">
        <v>1769</v>
      </c>
      <c r="B1897" s="11">
        <v>2000.0</v>
      </c>
      <c r="C1897" s="12" t="s">
        <v>35</v>
      </c>
      <c r="D1897" s="15">
        <v>75235.0</v>
      </c>
      <c r="F1897" s="15"/>
      <c r="G1897" s="26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28"/>
      <c r="AS1897" s="28"/>
      <c r="AT1897" s="28"/>
    </row>
    <row r="1898">
      <c r="A1898" s="10" t="s">
        <v>1770</v>
      </c>
      <c r="B1898" s="11">
        <v>1000.0</v>
      </c>
      <c r="C1898" s="12" t="s">
        <v>35</v>
      </c>
      <c r="D1898" s="15">
        <v>75229.0</v>
      </c>
      <c r="F1898" s="15"/>
      <c r="G1898" s="26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28"/>
      <c r="AS1898" s="28"/>
      <c r="AT1898" s="28"/>
    </row>
    <row r="1899">
      <c r="A1899" s="10" t="s">
        <v>1771</v>
      </c>
      <c r="B1899" s="11">
        <v>1000.0</v>
      </c>
      <c r="C1899" s="12" t="s">
        <v>35</v>
      </c>
      <c r="D1899" s="15">
        <v>75205.0</v>
      </c>
      <c r="F1899" s="15"/>
      <c r="G1899" s="26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28"/>
      <c r="AS1899" s="28"/>
      <c r="AT1899" s="28"/>
    </row>
    <row r="1900">
      <c r="A1900" s="10" t="s">
        <v>1772</v>
      </c>
      <c r="B1900" s="11">
        <v>1000.0</v>
      </c>
      <c r="C1900" s="12" t="s">
        <v>35</v>
      </c>
      <c r="D1900" s="15">
        <v>77055.0</v>
      </c>
      <c r="F1900" s="15"/>
      <c r="G1900" s="26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28"/>
      <c r="AS1900" s="28"/>
      <c r="AT1900" s="28"/>
    </row>
    <row r="1901">
      <c r="A1901" s="10" t="s">
        <v>1773</v>
      </c>
      <c r="B1901" s="11">
        <v>1000.0</v>
      </c>
      <c r="C1901" s="12" t="s">
        <v>35</v>
      </c>
      <c r="D1901" s="15">
        <v>75212.0</v>
      </c>
      <c r="F1901" s="15"/>
      <c r="G1901" s="26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</row>
    <row r="1902">
      <c r="A1902" s="10" t="s">
        <v>1774</v>
      </c>
      <c r="B1902" s="11">
        <v>1000.0</v>
      </c>
      <c r="C1902" s="12" t="s">
        <v>35</v>
      </c>
      <c r="D1902" s="15">
        <v>75038.0</v>
      </c>
      <c r="F1902" s="15"/>
      <c r="G1902" s="26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28"/>
      <c r="AS1902" s="28"/>
      <c r="AT1902" s="28"/>
    </row>
    <row r="1903">
      <c r="A1903" s="10" t="s">
        <v>1775</v>
      </c>
      <c r="B1903" s="11">
        <v>1000.0</v>
      </c>
      <c r="C1903" s="12" t="s">
        <v>35</v>
      </c>
      <c r="D1903" s="15">
        <v>75201.0</v>
      </c>
      <c r="F1903" s="15"/>
      <c r="G1903" s="26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28"/>
      <c r="AS1903" s="28"/>
      <c r="AT1903" s="28"/>
    </row>
    <row r="1904">
      <c r="A1904" s="10"/>
      <c r="B1904" s="11"/>
      <c r="C1904" s="12"/>
      <c r="D1904" s="15"/>
      <c r="F1904" s="15"/>
      <c r="G1904" s="26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28"/>
      <c r="AS1904" s="28"/>
      <c r="AT1904" s="28"/>
    </row>
    <row r="1905">
      <c r="A1905" s="10" t="s">
        <v>1777</v>
      </c>
      <c r="B1905" s="11">
        <v>500.0</v>
      </c>
      <c r="C1905" s="12" t="s">
        <v>35</v>
      </c>
      <c r="D1905" s="15">
        <v>75214.0</v>
      </c>
      <c r="F1905" s="15"/>
      <c r="G1905" s="26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28"/>
      <c r="AS1905" s="28"/>
      <c r="AT1905" s="28"/>
    </row>
    <row r="1906">
      <c r="A1906" s="10" t="s">
        <v>1778</v>
      </c>
      <c r="B1906" s="11">
        <v>1000.0</v>
      </c>
      <c r="C1906" s="12" t="s">
        <v>35</v>
      </c>
      <c r="D1906" s="15">
        <v>75215.0</v>
      </c>
      <c r="F1906" s="15"/>
      <c r="G1906" s="26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28"/>
      <c r="AT1906" s="28"/>
    </row>
    <row r="1907">
      <c r="A1907" s="10" t="s">
        <v>1779</v>
      </c>
      <c r="B1907" s="11">
        <v>1000.0</v>
      </c>
      <c r="C1907" s="12" t="s">
        <v>35</v>
      </c>
      <c r="D1907" s="15">
        <v>75219.0</v>
      </c>
      <c r="F1907" s="15"/>
      <c r="G1907" s="26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28"/>
      <c r="AS1907" s="28"/>
      <c r="AT1907" s="28"/>
    </row>
    <row r="1908">
      <c r="A1908" s="10" t="s">
        <v>1780</v>
      </c>
      <c r="B1908" s="11">
        <v>30.0</v>
      </c>
      <c r="C1908" s="12" t="s">
        <v>35</v>
      </c>
      <c r="D1908" s="15">
        <v>75207.0</v>
      </c>
      <c r="F1908" s="15"/>
      <c r="G1908" s="26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</row>
    <row r="1909">
      <c r="A1909" s="10" t="s">
        <v>220</v>
      </c>
      <c r="B1909" s="11">
        <v>100.0</v>
      </c>
      <c r="C1909" s="12" t="s">
        <v>35</v>
      </c>
      <c r="D1909" s="15">
        <v>75137.0</v>
      </c>
      <c r="F1909" s="15"/>
      <c r="G1909" s="26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28"/>
      <c r="AS1909" s="28"/>
      <c r="AT1909" s="28"/>
    </row>
    <row r="1910">
      <c r="A1910" s="10" t="s">
        <v>1275</v>
      </c>
      <c r="B1910" s="11">
        <v>100.0</v>
      </c>
      <c r="C1910" s="12" t="s">
        <v>35</v>
      </c>
      <c r="D1910" s="15">
        <v>75219.0</v>
      </c>
      <c r="F1910" s="15"/>
      <c r="G1910" s="26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28"/>
      <c r="AS1910" s="28"/>
      <c r="AT1910" s="28"/>
    </row>
    <row r="1911">
      <c r="A1911" s="10" t="s">
        <v>1781</v>
      </c>
      <c r="B1911" s="11">
        <v>50.0</v>
      </c>
      <c r="C1911" s="12" t="s">
        <v>35</v>
      </c>
      <c r="D1911" s="15">
        <v>75217.0</v>
      </c>
      <c r="F1911" s="15"/>
      <c r="G1911" s="26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28"/>
      <c r="AS1911" s="28"/>
      <c r="AT1911" s="28"/>
    </row>
    <row r="1912">
      <c r="A1912" s="10" t="s">
        <v>1782</v>
      </c>
      <c r="B1912" s="11">
        <v>1000.0</v>
      </c>
      <c r="C1912" s="12" t="s">
        <v>35</v>
      </c>
      <c r="D1912" s="15">
        <v>75248.0</v>
      </c>
      <c r="F1912" s="15"/>
      <c r="G1912" s="26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28"/>
      <c r="AS1912" s="28"/>
      <c r="AT1912" s="28"/>
    </row>
    <row r="1913">
      <c r="A1913" s="10" t="s">
        <v>1783</v>
      </c>
      <c r="B1913" s="11">
        <v>1000.0</v>
      </c>
      <c r="C1913" s="12" t="s">
        <v>35</v>
      </c>
      <c r="D1913" s="15">
        <v>75201.0</v>
      </c>
      <c r="F1913" s="15"/>
      <c r="G1913" s="26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28"/>
      <c r="AS1913" s="28"/>
      <c r="AT1913" s="28"/>
    </row>
    <row r="1914">
      <c r="A1914" s="10" t="s">
        <v>344</v>
      </c>
      <c r="B1914" s="11">
        <v>250.0</v>
      </c>
      <c r="C1914" s="12" t="s">
        <v>35</v>
      </c>
      <c r="D1914" s="15">
        <v>75376.0</v>
      </c>
      <c r="F1914" s="15"/>
      <c r="G1914" s="26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28"/>
      <c r="AS1914" s="28"/>
      <c r="AT1914" s="28"/>
    </row>
    <row r="1915">
      <c r="A1915" s="10" t="s">
        <v>1784</v>
      </c>
      <c r="B1915" s="11">
        <v>1000.0</v>
      </c>
      <c r="C1915" s="12" t="s">
        <v>35</v>
      </c>
      <c r="D1915" s="15">
        <v>75201.0</v>
      </c>
      <c r="F1915" s="15"/>
      <c r="G1915" s="26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28"/>
      <c r="AS1915" s="28"/>
      <c r="AT1915" s="28"/>
    </row>
    <row r="1916">
      <c r="A1916" s="10" t="s">
        <v>1785</v>
      </c>
      <c r="B1916" s="11">
        <v>1000.0</v>
      </c>
      <c r="C1916" s="12" t="s">
        <v>35</v>
      </c>
      <c r="D1916" s="15">
        <v>75201.0</v>
      </c>
      <c r="F1916" s="15"/>
      <c r="G1916" s="26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28"/>
      <c r="AS1916" s="28"/>
      <c r="AT1916" s="28"/>
    </row>
    <row r="1917">
      <c r="A1917" s="10" t="s">
        <v>1786</v>
      </c>
      <c r="B1917" s="11">
        <v>250.0</v>
      </c>
      <c r="C1917" s="12" t="s">
        <v>35</v>
      </c>
      <c r="D1917" s="15">
        <v>75229.0</v>
      </c>
      <c r="F1917" s="15"/>
      <c r="G1917" s="26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28"/>
      <c r="AS1917" s="28"/>
      <c r="AT1917" s="28"/>
    </row>
    <row r="1918">
      <c r="A1918" s="10" t="s">
        <v>175</v>
      </c>
      <c r="B1918" s="11">
        <v>250.0</v>
      </c>
      <c r="C1918" s="12" t="s">
        <v>35</v>
      </c>
      <c r="D1918" s="15">
        <v>75223.0</v>
      </c>
      <c r="F1918" s="15"/>
      <c r="G1918" s="26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28"/>
      <c r="AS1918" s="28"/>
      <c r="AT1918" s="28"/>
    </row>
    <row r="1919">
      <c r="A1919" s="10" t="s">
        <v>1787</v>
      </c>
      <c r="B1919" s="11">
        <v>250.0</v>
      </c>
      <c r="C1919" s="12" t="s">
        <v>35</v>
      </c>
      <c r="D1919" s="15">
        <v>75205.0</v>
      </c>
      <c r="F1919" s="15"/>
      <c r="G1919" s="26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</row>
    <row r="1920">
      <c r="A1920" s="10" t="s">
        <v>1788</v>
      </c>
      <c r="B1920" s="11">
        <v>50.0</v>
      </c>
      <c r="C1920" s="12" t="s">
        <v>35</v>
      </c>
      <c r="D1920" s="15">
        <v>75241.0</v>
      </c>
      <c r="F1920" s="15"/>
      <c r="G1920" s="26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</row>
    <row r="1921">
      <c r="A1921" s="10" t="s">
        <v>1789</v>
      </c>
      <c r="B1921" s="11">
        <v>100.0</v>
      </c>
      <c r="C1921" s="12" t="s">
        <v>35</v>
      </c>
      <c r="D1921" s="15">
        <v>75210.0</v>
      </c>
      <c r="F1921" s="15"/>
      <c r="G1921" s="26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28"/>
      <c r="AS1921" s="28"/>
      <c r="AT1921" s="28"/>
    </row>
    <row r="1922">
      <c r="A1922" s="10" t="s">
        <v>1790</v>
      </c>
      <c r="B1922" s="11">
        <v>500.0</v>
      </c>
      <c r="C1922" s="12" t="s">
        <v>35</v>
      </c>
      <c r="D1922" s="15">
        <v>75204.0</v>
      </c>
      <c r="F1922" s="15"/>
      <c r="G1922" s="26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28"/>
      <c r="AS1922" s="28"/>
      <c r="AT1922" s="28"/>
    </row>
    <row r="1923">
      <c r="A1923" s="10" t="s">
        <v>1791</v>
      </c>
      <c r="B1923" s="11">
        <v>200.0</v>
      </c>
      <c r="C1923" s="12" t="s">
        <v>35</v>
      </c>
      <c r="D1923" s="15">
        <v>75219.0</v>
      </c>
      <c r="F1923" s="15"/>
      <c r="G1923" s="26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28"/>
      <c r="AS1923" s="28"/>
      <c r="AT1923" s="28"/>
    </row>
    <row r="1924">
      <c r="A1924" s="10" t="s">
        <v>1792</v>
      </c>
      <c r="B1924" s="11">
        <v>100.0</v>
      </c>
      <c r="C1924" s="12" t="s">
        <v>35</v>
      </c>
      <c r="D1924" s="15">
        <v>75218.0</v>
      </c>
      <c r="F1924" s="15"/>
      <c r="G1924" s="26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28"/>
      <c r="AS1924" s="28"/>
      <c r="AT1924" s="28"/>
    </row>
    <row r="1925">
      <c r="A1925" s="10" t="s">
        <v>1793</v>
      </c>
      <c r="B1925" s="11">
        <v>150.0</v>
      </c>
      <c r="C1925" s="12" t="s">
        <v>35</v>
      </c>
      <c r="D1925" s="15">
        <v>75220.0</v>
      </c>
      <c r="F1925" s="15"/>
      <c r="G1925" s="26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28"/>
      <c r="AS1925" s="28"/>
      <c r="AT1925" s="28"/>
    </row>
    <row r="1926">
      <c r="A1926" s="10"/>
      <c r="B1926" s="11"/>
      <c r="C1926" s="12"/>
      <c r="D1926" s="15"/>
      <c r="F1926" s="15"/>
      <c r="G1926" s="26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28"/>
      <c r="AS1926" s="28"/>
      <c r="AT1926" s="28"/>
    </row>
    <row r="1927">
      <c r="A1927" s="10" t="s">
        <v>1795</v>
      </c>
      <c r="B1927" s="11">
        <v>750.0</v>
      </c>
      <c r="C1927" s="12" t="s">
        <v>35</v>
      </c>
      <c r="D1927" s="15">
        <v>75207.0</v>
      </c>
      <c r="F1927" s="15"/>
      <c r="G1927" s="26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</row>
    <row r="1928">
      <c r="A1928" s="10" t="s">
        <v>1796</v>
      </c>
      <c r="B1928" s="11">
        <v>1000.0</v>
      </c>
      <c r="C1928" s="12" t="s">
        <v>35</v>
      </c>
      <c r="D1928" s="15">
        <v>77493.0</v>
      </c>
      <c r="F1928" s="15"/>
      <c r="G1928" s="26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28"/>
      <c r="AS1928" s="28"/>
      <c r="AT1928" s="28"/>
    </row>
    <row r="1929">
      <c r="A1929" s="10" t="s">
        <v>1797</v>
      </c>
      <c r="B1929" s="11">
        <v>1000.0</v>
      </c>
      <c r="C1929" s="12" t="s">
        <v>35</v>
      </c>
      <c r="D1929" s="15">
        <v>75204.0</v>
      </c>
      <c r="F1929" s="15"/>
      <c r="G1929" s="26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28"/>
      <c r="AS1929" s="28"/>
      <c r="AT1929" s="28"/>
    </row>
    <row r="1930">
      <c r="A1930" s="10" t="s">
        <v>1798</v>
      </c>
      <c r="B1930" s="11">
        <v>1000.0</v>
      </c>
      <c r="C1930" s="12" t="s">
        <v>35</v>
      </c>
      <c r="D1930" s="15">
        <v>75360.0</v>
      </c>
      <c r="F1930" s="15"/>
      <c r="G1930" s="26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28"/>
      <c r="AS1930" s="28"/>
      <c r="AT1930" s="28"/>
    </row>
    <row r="1931">
      <c r="A1931" s="10" t="s">
        <v>77</v>
      </c>
      <c r="B1931" s="11">
        <v>1000.0</v>
      </c>
      <c r="C1931" s="12" t="s">
        <v>35</v>
      </c>
      <c r="D1931" s="15">
        <v>75360.0</v>
      </c>
      <c r="F1931" s="15"/>
      <c r="G1931" s="26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/>
      <c r="AS1931" s="28"/>
      <c r="AT1931" s="28"/>
    </row>
    <row r="1932">
      <c r="A1932" s="10" t="s">
        <v>1799</v>
      </c>
      <c r="B1932" s="11">
        <v>500.0</v>
      </c>
      <c r="C1932" s="12" t="s">
        <v>1568</v>
      </c>
      <c r="D1932" s="15">
        <v>75215.0</v>
      </c>
      <c r="F1932" s="15"/>
      <c r="G1932" s="26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28"/>
      <c r="AS1932" s="28"/>
      <c r="AT1932" s="28"/>
    </row>
    <row r="1933">
      <c r="A1933" s="5" t="s">
        <v>1800</v>
      </c>
      <c r="B1933" s="6">
        <v>2000.0</v>
      </c>
      <c r="C1933" s="7" t="s">
        <v>1568</v>
      </c>
      <c r="D1933" s="15">
        <v>75211.0</v>
      </c>
      <c r="F1933" s="15"/>
      <c r="G1933" s="26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/>
      <c r="AS1933" s="28"/>
      <c r="AT1933" s="28"/>
    </row>
    <row r="1934">
      <c r="A1934" s="10" t="s">
        <v>1801</v>
      </c>
      <c r="B1934" s="11">
        <v>2000.0</v>
      </c>
      <c r="C1934" s="12" t="s">
        <v>1568</v>
      </c>
      <c r="D1934" s="15">
        <v>75220.0</v>
      </c>
      <c r="F1934" s="15"/>
      <c r="G1934" s="26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28"/>
      <c r="AS1934" s="28"/>
      <c r="AT1934" s="28"/>
    </row>
    <row r="1935">
      <c r="A1935" s="5" t="s">
        <v>1802</v>
      </c>
      <c r="B1935" s="6">
        <v>2000.0</v>
      </c>
      <c r="C1935" s="7" t="s">
        <v>1568</v>
      </c>
      <c r="D1935" s="15">
        <v>75220.0</v>
      </c>
      <c r="F1935" s="15"/>
      <c r="G1935" s="26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28"/>
      <c r="AS1935" s="28"/>
      <c r="AT1935" s="28"/>
    </row>
    <row r="1936">
      <c r="A1936" s="10" t="s">
        <v>1803</v>
      </c>
      <c r="B1936" s="11">
        <v>1000.0</v>
      </c>
      <c r="C1936" s="12" t="s">
        <v>1568</v>
      </c>
      <c r="D1936" s="15">
        <v>75236.0</v>
      </c>
      <c r="F1936" s="15"/>
      <c r="G1936" s="26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28"/>
      <c r="AS1936" s="28"/>
      <c r="AT1936" s="28"/>
    </row>
    <row r="1937">
      <c r="A1937" s="5" t="s">
        <v>1804</v>
      </c>
      <c r="B1937" s="6">
        <v>2000.0</v>
      </c>
      <c r="C1937" s="7" t="s">
        <v>1568</v>
      </c>
      <c r="D1937" s="15">
        <v>75220.0</v>
      </c>
      <c r="F1937" s="15"/>
      <c r="G1937" s="26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28"/>
      <c r="AS1937" s="28"/>
      <c r="AT1937" s="28"/>
    </row>
    <row r="1938">
      <c r="A1938" s="10" t="s">
        <v>1805</v>
      </c>
      <c r="B1938" s="11">
        <v>2000.0</v>
      </c>
      <c r="C1938" s="12" t="s">
        <v>1568</v>
      </c>
      <c r="D1938" s="15">
        <v>75231.0</v>
      </c>
      <c r="F1938" s="15"/>
      <c r="G1938" s="26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</row>
    <row r="1939">
      <c r="A1939" s="5" t="s">
        <v>1806</v>
      </c>
      <c r="B1939" s="6">
        <v>1000.0</v>
      </c>
      <c r="C1939" s="7" t="s">
        <v>5</v>
      </c>
      <c r="D1939" s="15">
        <v>75225.0</v>
      </c>
      <c r="F1939" s="15"/>
      <c r="G1939" s="26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</row>
    <row r="1940">
      <c r="A1940" s="5" t="s">
        <v>1807</v>
      </c>
      <c r="B1940" s="6">
        <v>1000.0</v>
      </c>
      <c r="C1940" s="7" t="s">
        <v>5</v>
      </c>
      <c r="D1940" s="15">
        <v>75225.0</v>
      </c>
      <c r="F1940" s="15"/>
      <c r="G1940" s="26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</row>
    <row r="1941">
      <c r="A1941" s="5" t="s">
        <v>1808</v>
      </c>
      <c r="B1941" s="6">
        <v>500.0</v>
      </c>
      <c r="C1941" s="7" t="s">
        <v>5</v>
      </c>
      <c r="D1941" s="15">
        <v>75230.0</v>
      </c>
      <c r="F1941" s="15"/>
      <c r="G1941" s="26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28"/>
      <c r="AS1941" s="28"/>
      <c r="AT1941" s="28"/>
    </row>
    <row r="1942">
      <c r="A1942" s="5" t="s">
        <v>1809</v>
      </c>
      <c r="B1942" s="6">
        <v>250.0</v>
      </c>
      <c r="C1942" s="7" t="s">
        <v>5</v>
      </c>
      <c r="D1942" s="15">
        <v>75229.0</v>
      </c>
      <c r="F1942" s="15"/>
      <c r="G1942" s="26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28"/>
      <c r="AS1942" s="28"/>
      <c r="AT1942" s="28"/>
    </row>
    <row r="1943">
      <c r="A1943" s="5" t="s">
        <v>1810</v>
      </c>
      <c r="B1943" s="6">
        <v>100.0</v>
      </c>
      <c r="C1943" s="7" t="s">
        <v>5</v>
      </c>
      <c r="D1943" s="15">
        <v>75068.0</v>
      </c>
      <c r="F1943" s="15"/>
      <c r="G1943" s="26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28"/>
      <c r="AS1943" s="28"/>
      <c r="AT1943" s="28"/>
    </row>
    <row r="1944">
      <c r="A1944" s="5" t="s">
        <v>1811</v>
      </c>
      <c r="B1944" s="6">
        <v>250.0</v>
      </c>
      <c r="C1944" s="7" t="s">
        <v>5</v>
      </c>
      <c r="D1944" s="15">
        <v>75220.0</v>
      </c>
      <c r="F1944" s="15"/>
      <c r="G1944" s="26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28"/>
      <c r="AS1944" s="28"/>
      <c r="AT1944" s="28"/>
    </row>
    <row r="1945">
      <c r="A1945" s="5" t="s">
        <v>1812</v>
      </c>
      <c r="B1945" s="6">
        <v>250.0</v>
      </c>
      <c r="C1945" s="7" t="s">
        <v>5</v>
      </c>
      <c r="D1945" s="15">
        <v>75225.0</v>
      </c>
      <c r="F1945" s="15"/>
      <c r="G1945" s="26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28"/>
      <c r="AS1945" s="28"/>
      <c r="AT1945" s="28"/>
    </row>
    <row r="1946">
      <c r="A1946" s="5" t="s">
        <v>97</v>
      </c>
      <c r="B1946" s="6">
        <v>500.0</v>
      </c>
      <c r="C1946" s="7" t="s">
        <v>5</v>
      </c>
      <c r="D1946" s="15">
        <v>75244.0</v>
      </c>
      <c r="F1946" s="15"/>
      <c r="G1946" s="26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28"/>
      <c r="AS1946" s="28"/>
      <c r="AT1946" s="28"/>
    </row>
    <row r="1947">
      <c r="A1947" s="5" t="s">
        <v>1813</v>
      </c>
      <c r="B1947" s="6">
        <v>500.0</v>
      </c>
      <c r="C1947" s="7" t="s">
        <v>5</v>
      </c>
      <c r="D1947" s="15">
        <v>75229.0</v>
      </c>
      <c r="F1947" s="15"/>
      <c r="G1947" s="26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28"/>
      <c r="AS1947" s="28"/>
      <c r="AT1947" s="28"/>
    </row>
    <row r="1948">
      <c r="A1948" s="5" t="s">
        <v>1814</v>
      </c>
      <c r="B1948" s="6">
        <v>500.0</v>
      </c>
      <c r="C1948" s="7" t="s">
        <v>5</v>
      </c>
      <c r="D1948" s="15">
        <v>75230.0</v>
      </c>
      <c r="F1948" s="15"/>
      <c r="G1948" s="26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28"/>
      <c r="AS1948" s="28"/>
      <c r="AT1948" s="28"/>
    </row>
    <row r="1949">
      <c r="A1949" s="5" t="s">
        <v>1815</v>
      </c>
      <c r="B1949" s="6">
        <v>200.0</v>
      </c>
      <c r="C1949" s="7" t="s">
        <v>5</v>
      </c>
      <c r="D1949" s="15">
        <v>75230.0</v>
      </c>
      <c r="F1949" s="15"/>
      <c r="G1949" s="26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28"/>
      <c r="AS1949" s="28"/>
      <c r="AT1949" s="28"/>
    </row>
    <row r="1950">
      <c r="A1950" s="5" t="s">
        <v>1816</v>
      </c>
      <c r="B1950" s="6">
        <v>100.0</v>
      </c>
      <c r="C1950" s="7" t="s">
        <v>5</v>
      </c>
      <c r="D1950" s="15">
        <v>75244.0</v>
      </c>
      <c r="F1950" s="15"/>
      <c r="G1950" s="26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28"/>
      <c r="AS1950" s="28"/>
      <c r="AT1950" s="28"/>
    </row>
    <row r="1951">
      <c r="A1951" s="5" t="s">
        <v>1817</v>
      </c>
      <c r="B1951" s="6">
        <v>1000.0</v>
      </c>
      <c r="C1951" s="7" t="s">
        <v>5</v>
      </c>
      <c r="D1951" s="15">
        <v>75229.0</v>
      </c>
      <c r="F1951" s="15"/>
      <c r="G1951" s="26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28"/>
      <c r="AS1951" s="28"/>
      <c r="AT1951" s="28"/>
    </row>
    <row r="1952">
      <c r="A1952" s="5" t="s">
        <v>1818</v>
      </c>
      <c r="B1952" s="6">
        <v>100.0</v>
      </c>
      <c r="C1952" s="7" t="s">
        <v>5</v>
      </c>
      <c r="D1952" s="15">
        <v>75229.0</v>
      </c>
      <c r="F1952" s="15"/>
      <c r="G1952" s="26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</row>
    <row r="1953">
      <c r="A1953" s="5" t="s">
        <v>1819</v>
      </c>
      <c r="B1953" s="6">
        <v>10.0</v>
      </c>
      <c r="C1953" s="7" t="s">
        <v>5</v>
      </c>
      <c r="D1953" s="15">
        <v>75231.0</v>
      </c>
      <c r="F1953" s="15"/>
      <c r="G1953" s="26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28"/>
      <c r="AS1953" s="28"/>
      <c r="AT1953" s="28"/>
    </row>
    <row r="1954">
      <c r="A1954" s="5" t="s">
        <v>1820</v>
      </c>
      <c r="B1954" s="6">
        <v>200.0</v>
      </c>
      <c r="C1954" s="7" t="s">
        <v>5</v>
      </c>
      <c r="D1954" s="15">
        <v>75225.0</v>
      </c>
      <c r="F1954" s="15"/>
      <c r="G1954" s="26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28"/>
      <c r="AS1954" s="28"/>
      <c r="AT1954" s="28"/>
    </row>
    <row r="1955">
      <c r="A1955" s="5" t="s">
        <v>1821</v>
      </c>
      <c r="B1955" s="6">
        <v>50.0</v>
      </c>
      <c r="C1955" s="7" t="s">
        <v>5</v>
      </c>
      <c r="D1955" s="15">
        <v>75204.0</v>
      </c>
      <c r="F1955" s="15"/>
      <c r="G1955" s="26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28"/>
      <c r="AS1955" s="28"/>
      <c r="AT1955" s="28"/>
    </row>
    <row r="1956">
      <c r="A1956" s="5" t="s">
        <v>118</v>
      </c>
      <c r="B1956" s="6">
        <v>50.0</v>
      </c>
      <c r="C1956" s="7" t="s">
        <v>5</v>
      </c>
      <c r="D1956" s="15">
        <v>75231.0</v>
      </c>
      <c r="F1956" s="15"/>
      <c r="G1956" s="26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</row>
    <row r="1957">
      <c r="A1957" s="5" t="s">
        <v>1822</v>
      </c>
      <c r="B1957" s="6">
        <v>1000.0</v>
      </c>
      <c r="C1957" s="7" t="s">
        <v>5</v>
      </c>
      <c r="D1957" s="15">
        <v>75205.0</v>
      </c>
      <c r="F1957" s="15"/>
      <c r="G1957" s="26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28"/>
      <c r="AS1957" s="28"/>
      <c r="AT1957" s="28"/>
    </row>
    <row r="1958">
      <c r="A1958" s="5" t="s">
        <v>1823</v>
      </c>
      <c r="B1958" s="6">
        <v>300.0</v>
      </c>
      <c r="C1958" s="7" t="s">
        <v>5</v>
      </c>
      <c r="D1958" s="15">
        <v>75230.0</v>
      </c>
      <c r="F1958" s="15"/>
      <c r="G1958" s="26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28"/>
      <c r="AS1958" s="28"/>
      <c r="AT1958" s="28"/>
    </row>
    <row r="1959">
      <c r="A1959" s="5" t="s">
        <v>1824</v>
      </c>
      <c r="B1959" s="6">
        <v>1000.0</v>
      </c>
      <c r="C1959" s="7" t="s">
        <v>5</v>
      </c>
      <c r="D1959" s="15">
        <v>75205.0</v>
      </c>
      <c r="F1959" s="15"/>
      <c r="G1959" s="26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28"/>
      <c r="AS1959" s="28"/>
      <c r="AT1959" s="28"/>
    </row>
    <row r="1960">
      <c r="A1960" s="5" t="s">
        <v>1825</v>
      </c>
      <c r="B1960" s="6">
        <v>1000.0</v>
      </c>
      <c r="C1960" s="7" t="s">
        <v>5</v>
      </c>
      <c r="D1960" s="15">
        <v>75205.0</v>
      </c>
      <c r="F1960" s="15"/>
      <c r="G1960" s="26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28"/>
      <c r="AS1960" s="28"/>
      <c r="AT1960" s="28"/>
    </row>
    <row r="1961">
      <c r="A1961" s="5" t="s">
        <v>1826</v>
      </c>
      <c r="B1961" s="6">
        <v>25.0</v>
      </c>
      <c r="C1961" s="7" t="s">
        <v>5</v>
      </c>
      <c r="D1961" s="15">
        <v>75234.0</v>
      </c>
      <c r="F1961" s="15"/>
      <c r="G1961" s="26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28"/>
      <c r="AS1961" s="28"/>
      <c r="AT1961" s="28"/>
    </row>
    <row r="1962">
      <c r="A1962" s="5" t="s">
        <v>1827</v>
      </c>
      <c r="B1962" s="6">
        <v>500.0</v>
      </c>
      <c r="C1962" s="7" t="s">
        <v>5</v>
      </c>
      <c r="D1962" s="15">
        <v>75225.0</v>
      </c>
      <c r="F1962" s="15"/>
      <c r="G1962" s="26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8"/>
      <c r="AT1962" s="28"/>
    </row>
    <row r="1963">
      <c r="A1963" s="5" t="s">
        <v>1828</v>
      </c>
      <c r="B1963" s="6">
        <v>1000.0</v>
      </c>
      <c r="C1963" s="7" t="s">
        <v>5</v>
      </c>
      <c r="D1963" s="15">
        <v>75220.0</v>
      </c>
      <c r="F1963" s="15"/>
      <c r="G1963" s="26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</row>
    <row r="1964">
      <c r="A1964" s="5" t="s">
        <v>1829</v>
      </c>
      <c r="B1964" s="6">
        <v>250.0</v>
      </c>
      <c r="C1964" s="7" t="s">
        <v>5</v>
      </c>
      <c r="D1964" s="15">
        <v>75238.0</v>
      </c>
      <c r="F1964" s="15"/>
      <c r="G1964" s="26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28"/>
      <c r="AS1964" s="28"/>
      <c r="AT1964" s="28"/>
    </row>
    <row r="1965">
      <c r="A1965" s="5" t="s">
        <v>1830</v>
      </c>
      <c r="B1965" s="6">
        <v>250.0</v>
      </c>
      <c r="C1965" s="7" t="s">
        <v>5</v>
      </c>
      <c r="D1965" s="15">
        <v>75246.0</v>
      </c>
      <c r="F1965" s="15"/>
      <c r="G1965" s="26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28"/>
      <c r="AS1965" s="28"/>
      <c r="AT1965" s="28"/>
    </row>
    <row r="1966">
      <c r="A1966" s="5" t="s">
        <v>1831</v>
      </c>
      <c r="B1966" s="6">
        <v>100.0</v>
      </c>
      <c r="C1966" s="7" t="s">
        <v>5</v>
      </c>
      <c r="D1966" s="15">
        <v>75229.0</v>
      </c>
      <c r="F1966" s="15"/>
      <c r="G1966" s="26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28"/>
      <c r="AS1966" s="28"/>
      <c r="AT1966" s="28"/>
    </row>
    <row r="1967">
      <c r="A1967" s="5" t="s">
        <v>1832</v>
      </c>
      <c r="B1967" s="6">
        <v>100.0</v>
      </c>
      <c r="C1967" s="7" t="s">
        <v>5</v>
      </c>
      <c r="D1967" s="15">
        <v>75244.0</v>
      </c>
      <c r="F1967" s="15"/>
      <c r="G1967" s="26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28"/>
      <c r="AS1967" s="28"/>
      <c r="AT1967" s="28"/>
    </row>
    <row r="1968">
      <c r="A1968" s="5" t="s">
        <v>1833</v>
      </c>
      <c r="B1968" s="6">
        <v>100.0</v>
      </c>
      <c r="C1968" s="7" t="s">
        <v>5</v>
      </c>
      <c r="D1968" s="15">
        <v>75225.0</v>
      </c>
      <c r="F1968" s="15"/>
      <c r="G1968" s="26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28"/>
      <c r="AS1968" s="28"/>
      <c r="AT1968" s="28"/>
    </row>
    <row r="1969">
      <c r="A1969" s="5" t="s">
        <v>1834</v>
      </c>
      <c r="B1969" s="6">
        <v>1000.0</v>
      </c>
      <c r="C1969" s="7" t="s">
        <v>5</v>
      </c>
      <c r="D1969" s="15">
        <v>75220.0</v>
      </c>
      <c r="F1969" s="15"/>
      <c r="G1969" s="26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28"/>
      <c r="AS1969" s="28"/>
      <c r="AT1969" s="28"/>
    </row>
    <row r="1970">
      <c r="A1970" s="5" t="s">
        <v>1835</v>
      </c>
      <c r="B1970" s="6">
        <v>1000.0</v>
      </c>
      <c r="C1970" s="7" t="s">
        <v>5</v>
      </c>
      <c r="D1970" s="15">
        <v>75220.0</v>
      </c>
      <c r="F1970" s="15"/>
      <c r="G1970" s="26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8"/>
      <c r="AT1970" s="28"/>
    </row>
    <row r="1971">
      <c r="A1971" s="5" t="s">
        <v>1836</v>
      </c>
      <c r="B1971" s="6">
        <v>100.0</v>
      </c>
      <c r="C1971" s="7" t="s">
        <v>5</v>
      </c>
      <c r="D1971" s="15">
        <v>75230.0</v>
      </c>
      <c r="F1971" s="15"/>
      <c r="G1971" s="26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28"/>
      <c r="AS1971" s="28"/>
      <c r="AT1971" s="28"/>
    </row>
    <row r="1972">
      <c r="A1972" s="5" t="s">
        <v>1837</v>
      </c>
      <c r="B1972" s="6">
        <v>25.0</v>
      </c>
      <c r="C1972" s="7" t="s">
        <v>5</v>
      </c>
      <c r="D1972" s="15">
        <v>75209.0</v>
      </c>
      <c r="F1972" s="15"/>
      <c r="G1972" s="26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28"/>
      <c r="AS1972" s="28"/>
      <c r="AT1972" s="28"/>
    </row>
    <row r="1973">
      <c r="A1973" s="5" t="s">
        <v>30</v>
      </c>
      <c r="B1973" s="6">
        <v>1000.0</v>
      </c>
      <c r="C1973" s="7" t="s">
        <v>5</v>
      </c>
      <c r="D1973" s="15">
        <v>75220.0</v>
      </c>
      <c r="F1973" s="15"/>
      <c r="G1973" s="26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28"/>
      <c r="AS1973" s="28"/>
      <c r="AT1973" s="28"/>
    </row>
    <row r="1974">
      <c r="A1974" s="5" t="s">
        <v>1838</v>
      </c>
      <c r="B1974" s="6">
        <v>350.0</v>
      </c>
      <c r="C1974" s="7" t="s">
        <v>5</v>
      </c>
      <c r="D1974" s="15">
        <v>75220.0</v>
      </c>
      <c r="F1974" s="15"/>
      <c r="G1974" s="26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28"/>
      <c r="AS1974" s="28"/>
      <c r="AT1974" s="28"/>
    </row>
    <row r="1975">
      <c r="A1975" s="5" t="s">
        <v>1839</v>
      </c>
      <c r="B1975" s="6">
        <v>1000.0</v>
      </c>
      <c r="C1975" s="7" t="s">
        <v>5</v>
      </c>
      <c r="D1975" s="15">
        <v>75214.0</v>
      </c>
      <c r="F1975" s="15"/>
      <c r="G1975" s="26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</row>
    <row r="1976">
      <c r="A1976" s="5" t="s">
        <v>1840</v>
      </c>
      <c r="B1976" s="6">
        <v>100.0</v>
      </c>
      <c r="C1976" s="7" t="s">
        <v>5</v>
      </c>
      <c r="D1976" s="15">
        <v>75038.0</v>
      </c>
      <c r="F1976" s="15"/>
      <c r="G1976" s="26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28"/>
      <c r="AS1976" s="28"/>
      <c r="AT1976" s="28"/>
    </row>
    <row r="1977">
      <c r="A1977" s="5" t="s">
        <v>1841</v>
      </c>
      <c r="B1977" s="6">
        <v>1000.0</v>
      </c>
      <c r="C1977" s="7" t="s">
        <v>5</v>
      </c>
      <c r="D1977" s="15">
        <v>75209.0</v>
      </c>
      <c r="F1977" s="15"/>
      <c r="G1977" s="26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28"/>
      <c r="AS1977" s="28"/>
      <c r="AT1977" s="28"/>
    </row>
    <row r="1978">
      <c r="A1978" s="5" t="s">
        <v>1842</v>
      </c>
      <c r="B1978" s="6">
        <v>75.0</v>
      </c>
      <c r="C1978" s="7" t="s">
        <v>5</v>
      </c>
      <c r="D1978" s="15">
        <v>75229.0</v>
      </c>
      <c r="F1978" s="15"/>
      <c r="G1978" s="26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28"/>
      <c r="AS1978" s="28"/>
      <c r="AT1978" s="28"/>
    </row>
    <row r="1979">
      <c r="A1979" s="5" t="s">
        <v>1843</v>
      </c>
      <c r="B1979" s="6">
        <v>300.0</v>
      </c>
      <c r="C1979" s="7" t="s">
        <v>5</v>
      </c>
      <c r="D1979" s="15">
        <v>75209.0</v>
      </c>
      <c r="F1979" s="15"/>
      <c r="G1979" s="26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28"/>
      <c r="AS1979" s="28"/>
      <c r="AT1979" s="28"/>
    </row>
    <row r="1980">
      <c r="A1980" s="5" t="s">
        <v>1844</v>
      </c>
      <c r="B1980" s="6">
        <v>150.0</v>
      </c>
      <c r="C1980" s="7" t="s">
        <v>5</v>
      </c>
      <c r="D1980" s="15">
        <v>75220.0</v>
      </c>
      <c r="F1980" s="15"/>
      <c r="G1980" s="26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28"/>
      <c r="AS1980" s="28"/>
      <c r="AT1980" s="28"/>
    </row>
    <row r="1981">
      <c r="A1981" s="5" t="s">
        <v>264</v>
      </c>
      <c r="B1981" s="6">
        <v>500.0</v>
      </c>
      <c r="C1981" s="7" t="s">
        <v>5</v>
      </c>
      <c r="D1981" s="15">
        <v>75229.0</v>
      </c>
      <c r="F1981" s="15"/>
      <c r="G1981" s="26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28"/>
      <c r="AS1981" s="28"/>
      <c r="AT1981" s="28"/>
    </row>
    <row r="1982">
      <c r="A1982" s="5" t="s">
        <v>1845</v>
      </c>
      <c r="B1982" s="6">
        <v>50.0</v>
      </c>
      <c r="C1982" s="7" t="s">
        <v>5</v>
      </c>
      <c r="D1982" s="15">
        <v>75229.0</v>
      </c>
      <c r="F1982" s="15"/>
      <c r="G1982" s="26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28"/>
      <c r="AS1982" s="28"/>
      <c r="AT1982" s="28"/>
    </row>
    <row r="1983">
      <c r="A1983" s="5" t="s">
        <v>1846</v>
      </c>
      <c r="B1983" s="6">
        <v>100.0</v>
      </c>
      <c r="C1983" s="7" t="s">
        <v>5</v>
      </c>
      <c r="D1983" s="15">
        <v>75204.0</v>
      </c>
      <c r="F1983" s="15"/>
      <c r="G1983" s="26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28"/>
      <c r="AS1983" s="28"/>
      <c r="AT1983" s="28"/>
    </row>
    <row r="1984">
      <c r="A1984" s="5" t="s">
        <v>1847</v>
      </c>
      <c r="B1984" s="6">
        <v>500.0</v>
      </c>
      <c r="C1984" s="7" t="s">
        <v>5</v>
      </c>
      <c r="D1984" s="15">
        <v>75007.0</v>
      </c>
      <c r="F1984" s="15"/>
      <c r="G1984" s="26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28"/>
      <c r="AS1984" s="28"/>
      <c r="AT1984" s="28"/>
    </row>
    <row r="1985">
      <c r="A1985" s="5" t="s">
        <v>1848</v>
      </c>
      <c r="B1985" s="6">
        <v>500.0</v>
      </c>
      <c r="C1985" s="7" t="s">
        <v>5</v>
      </c>
      <c r="D1985" s="15">
        <v>75219.0</v>
      </c>
      <c r="F1985" s="15"/>
      <c r="G1985" s="26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28"/>
      <c r="AS1985" s="28"/>
      <c r="AT1985" s="28"/>
    </row>
    <row r="1986">
      <c r="A1986" s="5" t="s">
        <v>1849</v>
      </c>
      <c r="B1986" s="6">
        <v>1000.0</v>
      </c>
      <c r="C1986" s="7" t="s">
        <v>5</v>
      </c>
      <c r="D1986" s="15">
        <v>75229.0</v>
      </c>
      <c r="F1986" s="15"/>
      <c r="G1986" s="26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28"/>
      <c r="AS1986" s="28"/>
      <c r="AT1986" s="28"/>
    </row>
    <row r="1987">
      <c r="A1987" s="5" t="s">
        <v>1850</v>
      </c>
      <c r="B1987" s="6">
        <v>1000.0</v>
      </c>
      <c r="C1987" s="7" t="s">
        <v>5</v>
      </c>
      <c r="D1987" s="15">
        <v>75229.0</v>
      </c>
      <c r="F1987" s="15"/>
      <c r="G1987" s="26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28"/>
      <c r="AS1987" s="28"/>
      <c r="AT1987" s="28"/>
    </row>
    <row r="1988">
      <c r="A1988" s="5" t="s">
        <v>1851</v>
      </c>
      <c r="B1988" s="6">
        <v>1000.0</v>
      </c>
      <c r="C1988" s="7" t="s">
        <v>5</v>
      </c>
      <c r="D1988" s="15">
        <v>75219.0</v>
      </c>
      <c r="F1988" s="15"/>
      <c r="G1988" s="26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28"/>
      <c r="AS1988" s="28"/>
      <c r="AT1988" s="28"/>
    </row>
    <row r="1989">
      <c r="A1989" s="5" t="s">
        <v>1852</v>
      </c>
      <c r="B1989" s="6">
        <v>1000.0</v>
      </c>
      <c r="C1989" s="7" t="s">
        <v>5</v>
      </c>
      <c r="D1989" s="15">
        <v>75205.0</v>
      </c>
      <c r="F1989" s="15"/>
      <c r="G1989" s="26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28"/>
      <c r="AS1989" s="28"/>
      <c r="AT1989" s="28"/>
    </row>
    <row r="1990">
      <c r="A1990" s="5" t="s">
        <v>1853</v>
      </c>
      <c r="B1990" s="6">
        <v>1000.0</v>
      </c>
      <c r="C1990" s="7" t="s">
        <v>5</v>
      </c>
      <c r="D1990" s="15">
        <v>75204.0</v>
      </c>
      <c r="F1990" s="15"/>
      <c r="G1990" s="26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28"/>
      <c r="AS1990" s="28"/>
      <c r="AT1990" s="28"/>
    </row>
    <row r="1991">
      <c r="A1991" s="5" t="s">
        <v>1854</v>
      </c>
      <c r="B1991" s="6">
        <v>1000.0</v>
      </c>
      <c r="C1991" s="7" t="s">
        <v>5</v>
      </c>
      <c r="D1991" s="15">
        <v>77024.0</v>
      </c>
      <c r="F1991" s="15"/>
      <c r="G1991" s="26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28"/>
      <c r="AS1991" s="28"/>
      <c r="AT1991" s="28"/>
    </row>
    <row r="1992">
      <c r="A1992" s="5" t="s">
        <v>1855</v>
      </c>
      <c r="B1992" s="6">
        <v>100.0</v>
      </c>
      <c r="C1992" s="7" t="s">
        <v>5</v>
      </c>
      <c r="D1992" s="15">
        <v>75229.0</v>
      </c>
      <c r="F1992" s="15"/>
      <c r="G1992" s="26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28"/>
      <c r="AS1992" s="28"/>
      <c r="AT1992" s="28"/>
    </row>
    <row r="1993">
      <c r="A1993" s="5" t="s">
        <v>166</v>
      </c>
      <c r="B1993" s="6">
        <v>500.0</v>
      </c>
      <c r="C1993" s="7" t="s">
        <v>5</v>
      </c>
      <c r="D1993" s="15">
        <v>75229.0</v>
      </c>
      <c r="F1993" s="15"/>
      <c r="G1993" s="26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28"/>
      <c r="AS1993" s="28"/>
      <c r="AT1993" s="28"/>
    </row>
    <row r="1994">
      <c r="A1994" s="5" t="s">
        <v>1856</v>
      </c>
      <c r="B1994" s="6">
        <v>100.0</v>
      </c>
      <c r="C1994" s="7" t="s">
        <v>5</v>
      </c>
      <c r="D1994" s="15">
        <v>75229.0</v>
      </c>
      <c r="F1994" s="15"/>
      <c r="G1994" s="26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28"/>
      <c r="AS1994" s="28"/>
      <c r="AT1994" s="28"/>
    </row>
    <row r="1995">
      <c r="A1995" s="5" t="s">
        <v>1857</v>
      </c>
      <c r="B1995" s="6">
        <v>1000.0</v>
      </c>
      <c r="C1995" s="7" t="s">
        <v>5</v>
      </c>
      <c r="D1995" s="15">
        <v>75044.0</v>
      </c>
      <c r="F1995" s="15"/>
      <c r="G1995" s="26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28"/>
      <c r="AS1995" s="28"/>
      <c r="AT1995" s="28"/>
    </row>
    <row r="1996">
      <c r="A1996" s="5" t="s">
        <v>1858</v>
      </c>
      <c r="B1996" s="6">
        <v>1000.0</v>
      </c>
      <c r="C1996" s="7" t="s">
        <v>5</v>
      </c>
      <c r="D1996" s="15">
        <v>75044.0</v>
      </c>
      <c r="F1996" s="15"/>
      <c r="G1996" s="26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28"/>
      <c r="AS1996" s="28"/>
      <c r="AT1996" s="28"/>
    </row>
    <row r="1997">
      <c r="A1997" s="5" t="s">
        <v>1859</v>
      </c>
      <c r="B1997" s="6">
        <v>100.0</v>
      </c>
      <c r="C1997" s="7" t="s">
        <v>5</v>
      </c>
      <c r="D1997" s="15">
        <v>75092.0</v>
      </c>
      <c r="F1997" s="15"/>
      <c r="G1997" s="26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28"/>
      <c r="AS1997" s="28"/>
      <c r="AT1997" s="28"/>
    </row>
    <row r="1998">
      <c r="A1998" s="5" t="s">
        <v>1860</v>
      </c>
      <c r="B1998" s="6">
        <v>100.0</v>
      </c>
      <c r="C1998" s="7" t="s">
        <v>5</v>
      </c>
      <c r="D1998" s="15">
        <v>75229.0</v>
      </c>
      <c r="F1998" s="15"/>
      <c r="G1998" s="26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28"/>
      <c r="AS1998" s="28"/>
      <c r="AT1998" s="28"/>
    </row>
    <row r="1999">
      <c r="A1999" s="5" t="s">
        <v>1778</v>
      </c>
      <c r="B1999" s="6">
        <v>500.0</v>
      </c>
      <c r="C1999" s="7" t="s">
        <v>5</v>
      </c>
      <c r="D1999" s="15">
        <v>75215.0</v>
      </c>
      <c r="F1999" s="15"/>
      <c r="G1999" s="26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28"/>
      <c r="AS1999" s="28"/>
      <c r="AT1999" s="28"/>
    </row>
    <row r="2000">
      <c r="A2000" s="5" t="s">
        <v>1861</v>
      </c>
      <c r="B2000" s="6">
        <v>1000.0</v>
      </c>
      <c r="C2000" s="7" t="s">
        <v>5</v>
      </c>
      <c r="D2000" s="15">
        <v>78760.0</v>
      </c>
      <c r="F2000" s="15"/>
      <c r="G2000" s="26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28"/>
      <c r="AS2000" s="28"/>
      <c r="AT2000" s="28"/>
    </row>
    <row r="2001">
      <c r="A2001" s="5" t="s">
        <v>1862</v>
      </c>
      <c r="B2001" s="6">
        <v>1000.0</v>
      </c>
      <c r="C2001" s="7" t="s">
        <v>5</v>
      </c>
      <c r="D2001" s="15">
        <v>75235.0</v>
      </c>
      <c r="F2001" s="15"/>
      <c r="G2001" s="26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</row>
    <row r="2002">
      <c r="A2002" s="5" t="s">
        <v>1863</v>
      </c>
      <c r="B2002" s="6">
        <v>2500.0</v>
      </c>
      <c r="C2002" s="7" t="s">
        <v>5</v>
      </c>
      <c r="D2002" s="15">
        <v>75093.0</v>
      </c>
      <c r="F2002" s="15"/>
      <c r="G2002" s="26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28"/>
      <c r="AS2002" s="28"/>
      <c r="AT2002" s="28"/>
    </row>
    <row r="2003">
      <c r="A2003" s="5" t="s">
        <v>1864</v>
      </c>
      <c r="B2003" s="6">
        <v>950.0</v>
      </c>
      <c r="C2003" s="7" t="s">
        <v>106</v>
      </c>
      <c r="D2003" s="15">
        <v>75208.0</v>
      </c>
      <c r="F2003" s="15"/>
      <c r="G2003" s="26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28"/>
      <c r="AS2003" s="28"/>
      <c r="AT2003" s="28"/>
    </row>
    <row r="2004">
      <c r="A2004" s="10" t="s">
        <v>1865</v>
      </c>
      <c r="B2004" s="11">
        <v>100.0</v>
      </c>
      <c r="C2004" s="12" t="s">
        <v>106</v>
      </c>
      <c r="D2004" s="15">
        <v>76705.0</v>
      </c>
      <c r="F2004" s="15"/>
      <c r="G2004" s="26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28"/>
      <c r="AS2004" s="28"/>
      <c r="AT2004" s="28"/>
    </row>
    <row r="2005">
      <c r="A2005" s="5" t="s">
        <v>1866</v>
      </c>
      <c r="B2005" s="6">
        <v>50.0</v>
      </c>
      <c r="C2005" s="7" t="s">
        <v>106</v>
      </c>
      <c r="D2005" s="15">
        <v>75212.0</v>
      </c>
      <c r="F2005" s="15"/>
      <c r="G2005" s="26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28"/>
      <c r="AS2005" s="28"/>
      <c r="AT2005" s="28"/>
    </row>
    <row r="2006">
      <c r="A2006" s="10" t="s">
        <v>1867</v>
      </c>
      <c r="B2006" s="11">
        <v>500.0</v>
      </c>
      <c r="C2006" s="12" t="s">
        <v>106</v>
      </c>
      <c r="D2006" s="15">
        <v>75208.0</v>
      </c>
      <c r="F2006" s="15"/>
      <c r="G2006" s="26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28"/>
      <c r="AS2006" s="28"/>
      <c r="AT2006" s="28"/>
    </row>
    <row r="2007">
      <c r="A2007" s="5" t="s">
        <v>1868</v>
      </c>
      <c r="B2007" s="6">
        <v>1000.0</v>
      </c>
      <c r="C2007" s="7" t="s">
        <v>106</v>
      </c>
      <c r="D2007" s="15">
        <v>75224.0</v>
      </c>
      <c r="F2007" s="15"/>
      <c r="G2007" s="26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28"/>
      <c r="AS2007" s="28"/>
      <c r="AT2007" s="28"/>
    </row>
    <row r="2008">
      <c r="A2008" s="10" t="s">
        <v>1869</v>
      </c>
      <c r="B2008" s="11">
        <v>1000.0</v>
      </c>
      <c r="C2008" s="12" t="s">
        <v>106</v>
      </c>
      <c r="D2008" s="15">
        <v>75224.0</v>
      </c>
      <c r="F2008" s="15"/>
      <c r="G2008" s="26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28"/>
      <c r="AS2008" s="28"/>
      <c r="AT2008" s="28"/>
    </row>
    <row r="2009">
      <c r="A2009" s="5" t="s">
        <v>1870</v>
      </c>
      <c r="B2009" s="6">
        <v>100.0</v>
      </c>
      <c r="C2009" s="7" t="s">
        <v>106</v>
      </c>
      <c r="D2009" s="15">
        <v>75216.0</v>
      </c>
      <c r="F2009" s="15"/>
      <c r="G2009" s="26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28"/>
      <c r="AS2009" s="28"/>
      <c r="AT2009" s="28"/>
    </row>
    <row r="2010">
      <c r="A2010" s="10" t="s">
        <v>618</v>
      </c>
      <c r="B2010" s="11">
        <v>100.0</v>
      </c>
      <c r="C2010" s="12" t="s">
        <v>106</v>
      </c>
      <c r="D2010" s="15">
        <v>75116.0</v>
      </c>
      <c r="F2010" s="15"/>
      <c r="G2010" s="26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28"/>
      <c r="AS2010" s="28"/>
      <c r="AT2010" s="28"/>
    </row>
    <row r="2011">
      <c r="A2011" s="5" t="s">
        <v>1871</v>
      </c>
      <c r="B2011" s="6">
        <v>250.0</v>
      </c>
      <c r="C2011" s="7" t="s">
        <v>106</v>
      </c>
      <c r="D2011" s="15">
        <v>75104.0</v>
      </c>
      <c r="F2011" s="15"/>
      <c r="G2011" s="26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28"/>
      <c r="AS2011" s="28"/>
      <c r="AT2011" s="28"/>
    </row>
    <row r="2012">
      <c r="A2012" s="10" t="s">
        <v>1872</v>
      </c>
      <c r="B2012" s="11">
        <v>50.0</v>
      </c>
      <c r="C2012" s="12" t="s">
        <v>106</v>
      </c>
      <c r="D2012" s="15">
        <v>76065.0</v>
      </c>
      <c r="F2012" s="15"/>
      <c r="G2012" s="26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28"/>
      <c r="AS2012" s="28"/>
      <c r="AT2012" s="28"/>
    </row>
    <row r="2013">
      <c r="A2013" s="5" t="s">
        <v>1873</v>
      </c>
      <c r="B2013" s="6">
        <v>1000.0</v>
      </c>
      <c r="C2013" s="7" t="s">
        <v>627</v>
      </c>
      <c r="D2013" s="15">
        <v>75067.0</v>
      </c>
      <c r="F2013" s="15"/>
      <c r="G2013" s="26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28"/>
      <c r="AS2013" s="28"/>
      <c r="AT2013" s="28"/>
    </row>
    <row r="2014">
      <c r="A2014" s="5" t="s">
        <v>1874</v>
      </c>
      <c r="B2014" s="6">
        <v>1000.0</v>
      </c>
      <c r="C2014" s="7" t="s">
        <v>627</v>
      </c>
      <c r="D2014" s="15">
        <v>75201.0</v>
      </c>
      <c r="F2014" s="15"/>
      <c r="G2014" s="26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28"/>
      <c r="AS2014" s="28"/>
      <c r="AT2014" s="28"/>
    </row>
    <row r="2015">
      <c r="A2015" s="5" t="s">
        <v>77</v>
      </c>
      <c r="B2015" s="6">
        <v>1000.0</v>
      </c>
      <c r="C2015" s="7" t="s">
        <v>627</v>
      </c>
      <c r="D2015" s="15">
        <v>75360.0</v>
      </c>
      <c r="F2015" s="15"/>
      <c r="G2015" s="26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28"/>
      <c r="AS2015" s="28"/>
      <c r="AT2015" s="28"/>
    </row>
    <row r="2016">
      <c r="A2016" s="5" t="s">
        <v>1875</v>
      </c>
      <c r="B2016" s="6">
        <v>1000.0</v>
      </c>
      <c r="C2016" s="7" t="s">
        <v>627</v>
      </c>
      <c r="D2016" s="15">
        <v>75360.0</v>
      </c>
      <c r="F2016" s="15"/>
      <c r="G2016" s="26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28"/>
      <c r="AS2016" s="28"/>
      <c r="AT2016" s="28"/>
    </row>
    <row r="2017">
      <c r="A2017" s="5" t="s">
        <v>1876</v>
      </c>
      <c r="B2017" s="6">
        <v>1000.0</v>
      </c>
      <c r="C2017" s="7" t="s">
        <v>627</v>
      </c>
      <c r="D2017" s="15">
        <v>77073.0</v>
      </c>
      <c r="F2017" s="15"/>
      <c r="G2017" s="26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28"/>
      <c r="AS2017" s="28"/>
      <c r="AT2017" s="28"/>
    </row>
    <row r="2018">
      <c r="A2018" s="5" t="s">
        <v>1877</v>
      </c>
      <c r="B2018" s="6">
        <v>50.0</v>
      </c>
      <c r="C2018" s="7" t="s">
        <v>649</v>
      </c>
      <c r="D2018" s="15">
        <v>75208.0</v>
      </c>
      <c r="F2018" s="15"/>
      <c r="G2018" s="26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28"/>
      <c r="AS2018" s="28"/>
      <c r="AT2018" s="28"/>
    </row>
    <row r="2019">
      <c r="A2019" s="5" t="s">
        <v>1878</v>
      </c>
      <c r="B2019" s="6">
        <v>250.0</v>
      </c>
      <c r="C2019" s="7" t="s">
        <v>649</v>
      </c>
      <c r="D2019" s="15">
        <v>75218.0</v>
      </c>
      <c r="F2019" s="15"/>
      <c r="G2019" s="26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28"/>
      <c r="AS2019" s="28"/>
      <c r="AT2019" s="28"/>
    </row>
    <row r="2020">
      <c r="A2020" s="5" t="s">
        <v>1879</v>
      </c>
      <c r="B2020" s="6">
        <v>50.0</v>
      </c>
      <c r="C2020" s="7" t="s">
        <v>649</v>
      </c>
      <c r="D2020" s="15">
        <v>75208.0</v>
      </c>
      <c r="F2020" s="15"/>
      <c r="G2020" s="26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28"/>
      <c r="AS2020" s="28"/>
      <c r="AT2020" s="28"/>
    </row>
    <row r="2021">
      <c r="A2021" s="5" t="s">
        <v>723</v>
      </c>
      <c r="B2021" s="6">
        <v>100.0</v>
      </c>
      <c r="C2021" s="7" t="s">
        <v>649</v>
      </c>
      <c r="D2021" s="15">
        <v>75208.0</v>
      </c>
      <c r="F2021" s="15"/>
      <c r="G2021" s="26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28"/>
      <c r="AS2021" s="28"/>
      <c r="AT2021" s="28"/>
    </row>
    <row r="2022">
      <c r="A2022" s="5" t="s">
        <v>1880</v>
      </c>
      <c r="B2022" s="6">
        <v>200.0</v>
      </c>
      <c r="C2022" s="7" t="s">
        <v>649</v>
      </c>
      <c r="D2022" s="15">
        <v>75231.0</v>
      </c>
      <c r="F2022" s="15"/>
      <c r="G2022" s="26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28"/>
      <c r="AS2022" s="28"/>
      <c r="AT2022" s="28"/>
    </row>
    <row r="2023">
      <c r="A2023" s="5" t="s">
        <v>1881</v>
      </c>
      <c r="B2023" s="6">
        <v>250.0</v>
      </c>
      <c r="C2023" s="7" t="s">
        <v>649</v>
      </c>
      <c r="D2023" s="15">
        <v>75230.0</v>
      </c>
      <c r="F2023" s="15"/>
      <c r="G2023" s="26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28"/>
      <c r="AS2023" s="28"/>
      <c r="AT2023" s="28"/>
    </row>
    <row r="2024">
      <c r="A2024" s="5" t="s">
        <v>1882</v>
      </c>
      <c r="B2024" s="6">
        <v>1000.0</v>
      </c>
      <c r="C2024" s="7" t="s">
        <v>649</v>
      </c>
      <c r="D2024" s="15">
        <v>75234.0</v>
      </c>
      <c r="F2024" s="15"/>
      <c r="G2024" s="26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28"/>
      <c r="AS2024" s="28"/>
      <c r="AT2024" s="28"/>
    </row>
    <row r="2025">
      <c r="A2025" s="5" t="s">
        <v>1883</v>
      </c>
      <c r="B2025" s="6">
        <v>250.0</v>
      </c>
      <c r="C2025" s="7" t="s">
        <v>649</v>
      </c>
      <c r="D2025" s="15">
        <v>75207.0</v>
      </c>
      <c r="F2025" s="15"/>
      <c r="G2025" s="26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28"/>
      <c r="AS2025" s="28"/>
      <c r="AT2025" s="28"/>
    </row>
    <row r="2026">
      <c r="A2026" s="5" t="s">
        <v>1884</v>
      </c>
      <c r="B2026" s="6">
        <v>474.7</v>
      </c>
      <c r="C2026" s="7" t="s">
        <v>649</v>
      </c>
      <c r="D2026" s="15">
        <v>76110.0</v>
      </c>
      <c r="F2026" s="15"/>
      <c r="G2026" s="26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28"/>
      <c r="AS2026" s="28"/>
      <c r="AT2026" s="28"/>
    </row>
    <row r="2027">
      <c r="A2027" s="5" t="s">
        <v>681</v>
      </c>
      <c r="B2027" s="6">
        <v>100.0</v>
      </c>
      <c r="C2027" s="7" t="s">
        <v>649</v>
      </c>
      <c r="D2027" s="15">
        <v>75223.0</v>
      </c>
      <c r="F2027" s="15"/>
      <c r="G2027" s="26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28"/>
      <c r="AS2027" s="28"/>
      <c r="AT2027" s="28"/>
    </row>
    <row r="2028">
      <c r="A2028" s="5" t="s">
        <v>1885</v>
      </c>
      <c r="B2028" s="6">
        <v>949.7</v>
      </c>
      <c r="C2028" s="7" t="s">
        <v>649</v>
      </c>
      <c r="D2028" s="15">
        <v>76107.0</v>
      </c>
      <c r="F2028" s="15"/>
      <c r="G2028" s="26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28"/>
      <c r="AS2028" s="28"/>
      <c r="AT2028" s="28"/>
    </row>
    <row r="2029">
      <c r="A2029" s="5" t="s">
        <v>751</v>
      </c>
      <c r="B2029" s="6">
        <v>250.0</v>
      </c>
      <c r="C2029" s="7" t="s">
        <v>649</v>
      </c>
      <c r="D2029" s="15">
        <v>75215.0</v>
      </c>
      <c r="F2029" s="15"/>
      <c r="G2029" s="26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28"/>
      <c r="AS2029" s="28"/>
      <c r="AT2029" s="28"/>
    </row>
    <row r="2030">
      <c r="A2030" s="5" t="s">
        <v>1886</v>
      </c>
      <c r="B2030" s="6">
        <v>500.0</v>
      </c>
      <c r="C2030" s="7" t="s">
        <v>649</v>
      </c>
      <c r="D2030" s="15">
        <v>75219.0</v>
      </c>
      <c r="F2030" s="15"/>
      <c r="G2030" s="26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28"/>
      <c r="AS2030" s="28"/>
      <c r="AT2030" s="28"/>
    </row>
    <row r="2031">
      <c r="A2031" s="5" t="s">
        <v>1887</v>
      </c>
      <c r="B2031" s="6">
        <v>250.0</v>
      </c>
      <c r="C2031" s="7" t="s">
        <v>649</v>
      </c>
      <c r="D2031" s="15">
        <v>75208.0</v>
      </c>
      <c r="F2031" s="15"/>
      <c r="G2031" s="26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28"/>
      <c r="AS2031" s="28"/>
      <c r="AT2031" s="28"/>
    </row>
    <row r="2032">
      <c r="A2032" s="5" t="s">
        <v>1888</v>
      </c>
      <c r="B2032" s="6">
        <v>250.0</v>
      </c>
      <c r="C2032" s="7" t="s">
        <v>649</v>
      </c>
      <c r="D2032" s="15">
        <v>75219.0</v>
      </c>
      <c r="F2032" s="15"/>
      <c r="G2032" s="26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28"/>
      <c r="AS2032" s="28"/>
      <c r="AT2032" s="28"/>
    </row>
    <row r="2033">
      <c r="A2033" s="5" t="s">
        <v>1889</v>
      </c>
      <c r="B2033" s="6">
        <v>500.0</v>
      </c>
      <c r="C2033" s="7" t="s">
        <v>649</v>
      </c>
      <c r="D2033" s="15">
        <v>78703.0</v>
      </c>
      <c r="F2033" s="15"/>
      <c r="G2033" s="26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28"/>
      <c r="AS2033" s="28"/>
      <c r="AT2033" s="28"/>
    </row>
    <row r="2034">
      <c r="A2034" s="5" t="s">
        <v>1890</v>
      </c>
      <c r="B2034" s="6">
        <v>150.0</v>
      </c>
      <c r="C2034" s="7" t="s">
        <v>649</v>
      </c>
      <c r="D2034" s="15">
        <v>75204.0</v>
      </c>
      <c r="F2034" s="15"/>
      <c r="G2034" s="26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28"/>
      <c r="AS2034" s="28"/>
      <c r="AT2034" s="28"/>
    </row>
    <row r="2035">
      <c r="A2035" s="5" t="s">
        <v>1891</v>
      </c>
      <c r="B2035" s="6">
        <v>1000.0</v>
      </c>
      <c r="C2035" s="7" t="s">
        <v>649</v>
      </c>
      <c r="D2035" s="15">
        <v>75244.0</v>
      </c>
      <c r="F2035" s="15"/>
      <c r="G2035" s="26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28"/>
      <c r="AS2035" s="28"/>
      <c r="AT2035" s="28"/>
    </row>
    <row r="2036">
      <c r="A2036" s="5" t="s">
        <v>1892</v>
      </c>
      <c r="B2036" s="6">
        <v>1000.0</v>
      </c>
      <c r="C2036" s="7" t="s">
        <v>649</v>
      </c>
      <c r="D2036" s="15">
        <v>75228.0</v>
      </c>
      <c r="F2036" s="15"/>
      <c r="G2036" s="26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28"/>
      <c r="AS2036" s="28"/>
      <c r="AT2036" s="28"/>
    </row>
    <row r="2037">
      <c r="A2037" s="5" t="s">
        <v>1893</v>
      </c>
      <c r="B2037" s="6">
        <v>250.0</v>
      </c>
      <c r="C2037" s="7" t="s">
        <v>649</v>
      </c>
      <c r="D2037" s="15">
        <v>75201.0</v>
      </c>
      <c r="F2037" s="15"/>
      <c r="G2037" s="26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28"/>
      <c r="AS2037" s="28"/>
      <c r="AT2037" s="28"/>
    </row>
    <row r="2038">
      <c r="A2038" s="5" t="s">
        <v>1894</v>
      </c>
      <c r="B2038" s="6">
        <v>500.0</v>
      </c>
      <c r="C2038" s="7" t="s">
        <v>649</v>
      </c>
      <c r="D2038" s="15">
        <v>75207.0</v>
      </c>
      <c r="F2038" s="15"/>
      <c r="G2038" s="26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28"/>
      <c r="AS2038" s="28"/>
      <c r="AT2038" s="28"/>
    </row>
    <row r="2039">
      <c r="A2039" s="5" t="s">
        <v>1895</v>
      </c>
      <c r="B2039" s="6">
        <v>100.0</v>
      </c>
      <c r="C2039" s="7" t="s">
        <v>649</v>
      </c>
      <c r="D2039" s="15">
        <v>75208.0</v>
      </c>
      <c r="F2039" s="15"/>
      <c r="G2039" s="26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28"/>
      <c r="AS2039" s="28"/>
      <c r="AT2039" s="28"/>
    </row>
    <row r="2040">
      <c r="A2040" s="5" t="s">
        <v>1896</v>
      </c>
      <c r="B2040" s="6">
        <v>1000.0</v>
      </c>
      <c r="C2040" s="7" t="s">
        <v>649</v>
      </c>
      <c r="D2040" s="15">
        <v>76092.0</v>
      </c>
      <c r="F2040" s="15"/>
      <c r="G2040" s="26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/>
    </row>
    <row r="2041">
      <c r="A2041" s="5" t="s">
        <v>1897</v>
      </c>
      <c r="B2041" s="6">
        <v>1000.0</v>
      </c>
      <c r="C2041" s="7" t="s">
        <v>649</v>
      </c>
      <c r="D2041" s="15">
        <v>75230.0</v>
      </c>
      <c r="F2041" s="15"/>
      <c r="G2041" s="26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28"/>
      <c r="AS2041" s="28"/>
      <c r="AT2041" s="28"/>
    </row>
    <row r="2042">
      <c r="A2042" s="5" t="s">
        <v>1510</v>
      </c>
      <c r="B2042" s="6">
        <v>500.0</v>
      </c>
      <c r="C2042" s="7" t="s">
        <v>649</v>
      </c>
      <c r="D2042" s="15">
        <v>75201.0</v>
      </c>
      <c r="F2042" s="15"/>
      <c r="G2042" s="26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28"/>
      <c r="AS2042" s="28"/>
      <c r="AT2042" s="28"/>
    </row>
    <row r="2043">
      <c r="A2043" s="5" t="s">
        <v>725</v>
      </c>
      <c r="B2043" s="6">
        <v>100.0</v>
      </c>
      <c r="C2043" s="7" t="s">
        <v>649</v>
      </c>
      <c r="D2043" s="15">
        <v>75211.0</v>
      </c>
      <c r="F2043" s="15"/>
      <c r="G2043" s="26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28"/>
      <c r="AS2043" s="28"/>
      <c r="AT2043" s="28"/>
    </row>
    <row r="2044">
      <c r="A2044" s="5" t="s">
        <v>1898</v>
      </c>
      <c r="B2044" s="6">
        <v>1000.0</v>
      </c>
      <c r="C2044" s="7" t="s">
        <v>649</v>
      </c>
      <c r="D2044" s="15">
        <v>75208.0</v>
      </c>
      <c r="F2044" s="15"/>
      <c r="G2044" s="26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28"/>
      <c r="AS2044" s="28"/>
      <c r="AT2044" s="28"/>
    </row>
    <row r="2045">
      <c r="A2045" s="5" t="s">
        <v>1899</v>
      </c>
      <c r="B2045" s="6">
        <v>250.0</v>
      </c>
      <c r="C2045" s="7" t="s">
        <v>649</v>
      </c>
      <c r="D2045" s="15">
        <v>75201.0</v>
      </c>
      <c r="F2045" s="15"/>
      <c r="G2045" s="26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28"/>
      <c r="AS2045" s="28"/>
      <c r="AT2045" s="28"/>
    </row>
    <row r="2046">
      <c r="A2046" s="5" t="s">
        <v>1900</v>
      </c>
      <c r="B2046" s="6">
        <v>500.0</v>
      </c>
      <c r="C2046" s="7" t="s">
        <v>649</v>
      </c>
      <c r="D2046" s="15">
        <v>75214.0</v>
      </c>
      <c r="F2046" s="15"/>
      <c r="G2046" s="26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28"/>
      <c r="AS2046" s="28"/>
      <c r="AT2046" s="28"/>
    </row>
    <row r="2047">
      <c r="A2047" s="5" t="s">
        <v>1901</v>
      </c>
      <c r="B2047" s="6">
        <v>250.0</v>
      </c>
      <c r="C2047" s="7" t="s">
        <v>649</v>
      </c>
      <c r="D2047" s="15">
        <v>75206.0</v>
      </c>
      <c r="F2047" s="15"/>
      <c r="G2047" s="26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28"/>
      <c r="AS2047" s="28"/>
      <c r="AT2047" s="28"/>
    </row>
    <row r="2048">
      <c r="A2048" s="5" t="s">
        <v>1902</v>
      </c>
      <c r="B2048" s="6">
        <v>100.0</v>
      </c>
      <c r="C2048" s="7" t="s">
        <v>649</v>
      </c>
      <c r="D2048" s="15">
        <v>75208.0</v>
      </c>
      <c r="F2048" s="15"/>
      <c r="G2048" s="26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28"/>
      <c r="AS2048" s="28"/>
      <c r="AT2048" s="28"/>
    </row>
    <row r="2049">
      <c r="A2049" s="5" t="s">
        <v>1470</v>
      </c>
      <c r="B2049" s="6">
        <v>250.0</v>
      </c>
      <c r="C2049" s="7" t="s">
        <v>649</v>
      </c>
      <c r="D2049" s="15">
        <v>75208.0</v>
      </c>
      <c r="F2049" s="15"/>
      <c r="G2049" s="26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28"/>
      <c r="AS2049" s="28"/>
      <c r="AT2049" s="28"/>
    </row>
    <row r="2050">
      <c r="A2050" s="5"/>
      <c r="B2050" s="6"/>
      <c r="C2050" s="7"/>
      <c r="D2050" s="15"/>
      <c r="F2050" s="15"/>
      <c r="G2050" s="26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28"/>
      <c r="AS2050" s="28"/>
      <c r="AT2050" s="28"/>
    </row>
    <row r="2051">
      <c r="A2051" s="5" t="s">
        <v>1904</v>
      </c>
      <c r="B2051" s="6">
        <v>1000.0</v>
      </c>
      <c r="C2051" s="7" t="s">
        <v>649</v>
      </c>
      <c r="D2051" s="15">
        <v>76104.0</v>
      </c>
      <c r="F2051" s="15"/>
      <c r="G2051" s="26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28"/>
      <c r="AS2051" s="28"/>
      <c r="AT2051" s="28"/>
    </row>
    <row r="2052">
      <c r="A2052" s="5" t="s">
        <v>1905</v>
      </c>
      <c r="B2052" s="6">
        <v>100.0</v>
      </c>
      <c r="C2052" s="7" t="s">
        <v>649</v>
      </c>
      <c r="D2052" s="15">
        <v>75204.0</v>
      </c>
      <c r="F2052" s="15"/>
      <c r="G2052" s="26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28"/>
      <c r="AS2052" s="28"/>
      <c r="AT2052" s="28"/>
    </row>
    <row r="2053">
      <c r="A2053" s="5" t="s">
        <v>734</v>
      </c>
      <c r="B2053" s="6">
        <v>250.0</v>
      </c>
      <c r="C2053" s="7" t="s">
        <v>649</v>
      </c>
      <c r="D2053" s="15">
        <v>75211.0</v>
      </c>
      <c r="F2053" s="15"/>
      <c r="G2053" s="26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28"/>
      <c r="AS2053" s="28"/>
      <c r="AT2053" s="28"/>
    </row>
    <row r="2054">
      <c r="A2054" s="5" t="s">
        <v>1353</v>
      </c>
      <c r="B2054" s="6">
        <v>1000.0</v>
      </c>
      <c r="C2054" s="7" t="s">
        <v>649</v>
      </c>
      <c r="D2054" s="15">
        <v>75201.0</v>
      </c>
      <c r="F2054" s="15"/>
      <c r="G2054" s="26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28"/>
      <c r="AS2054" s="28"/>
      <c r="AT2054" s="28"/>
    </row>
    <row r="2055">
      <c r="A2055" s="5" t="s">
        <v>1906</v>
      </c>
      <c r="B2055" s="6">
        <v>949.7</v>
      </c>
      <c r="C2055" s="7" t="s">
        <v>649</v>
      </c>
      <c r="D2055" s="15">
        <v>75201.0</v>
      </c>
      <c r="F2055" s="15"/>
      <c r="G2055" s="26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28"/>
      <c r="AS2055" s="28"/>
      <c r="AT2055" s="28"/>
    </row>
    <row r="2056">
      <c r="A2056" s="5" t="s">
        <v>1907</v>
      </c>
      <c r="B2056" s="6">
        <v>474.7</v>
      </c>
      <c r="C2056" s="7" t="s">
        <v>649</v>
      </c>
      <c r="D2056" s="15">
        <v>75201.0</v>
      </c>
      <c r="F2056" s="15"/>
      <c r="G2056" s="26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28"/>
      <c r="AS2056" s="28"/>
      <c r="AT2056" s="28"/>
    </row>
    <row r="2057">
      <c r="A2057" s="5" t="s">
        <v>1908</v>
      </c>
      <c r="B2057" s="6">
        <v>250.0</v>
      </c>
      <c r="C2057" s="7" t="s">
        <v>649</v>
      </c>
      <c r="D2057" s="15">
        <v>75208.0</v>
      </c>
      <c r="F2057" s="15"/>
      <c r="G2057" s="26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28"/>
      <c r="AS2057" s="28"/>
      <c r="AT2057" s="28"/>
    </row>
    <row r="2058">
      <c r="A2058" s="5" t="s">
        <v>1909</v>
      </c>
      <c r="B2058" s="6">
        <v>25.0</v>
      </c>
      <c r="C2058" s="7" t="s">
        <v>649</v>
      </c>
      <c r="D2058" s="15">
        <v>75208.0</v>
      </c>
      <c r="F2058" s="15"/>
      <c r="G2058" s="26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28"/>
      <c r="AS2058" s="28"/>
      <c r="AT2058" s="28"/>
    </row>
    <row r="2059">
      <c r="A2059" s="5" t="s">
        <v>1910</v>
      </c>
      <c r="B2059" s="6">
        <v>100.0</v>
      </c>
      <c r="C2059" s="7" t="s">
        <v>649</v>
      </c>
      <c r="D2059" s="15">
        <v>75208.0</v>
      </c>
      <c r="F2059" s="15"/>
      <c r="G2059" s="26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</row>
    <row r="2060">
      <c r="A2060" s="5" t="s">
        <v>1506</v>
      </c>
      <c r="B2060" s="6">
        <v>1000.0</v>
      </c>
      <c r="C2060" s="7" t="s">
        <v>649</v>
      </c>
      <c r="D2060" s="15">
        <v>75201.0</v>
      </c>
      <c r="F2060" s="15"/>
      <c r="G2060" s="26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28"/>
      <c r="AS2060" s="28"/>
      <c r="AT2060" s="28"/>
    </row>
    <row r="2061">
      <c r="A2061" s="5" t="s">
        <v>1911</v>
      </c>
      <c r="B2061" s="6">
        <v>1000.0</v>
      </c>
      <c r="C2061" s="7" t="s">
        <v>649</v>
      </c>
      <c r="D2061" s="15">
        <v>75093.0</v>
      </c>
      <c r="F2061" s="15"/>
      <c r="G2061" s="26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28"/>
      <c r="AS2061" s="28"/>
      <c r="AT2061" s="28"/>
    </row>
    <row r="2062">
      <c r="A2062" s="5" t="s">
        <v>1912</v>
      </c>
      <c r="B2062" s="6">
        <v>250.0</v>
      </c>
      <c r="C2062" s="7" t="s">
        <v>649</v>
      </c>
      <c r="D2062" s="15">
        <v>75248.0</v>
      </c>
      <c r="F2062" s="15"/>
      <c r="G2062" s="26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28"/>
      <c r="AS2062" s="28"/>
      <c r="AT2062" s="28"/>
    </row>
    <row r="2063">
      <c r="A2063" s="5" t="s">
        <v>1913</v>
      </c>
      <c r="B2063" s="6">
        <v>1000.0</v>
      </c>
      <c r="C2063" s="7" t="s">
        <v>649</v>
      </c>
      <c r="D2063" s="15">
        <v>75208.0</v>
      </c>
      <c r="F2063" s="15"/>
      <c r="G2063" s="26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28"/>
      <c r="AS2063" s="28"/>
      <c r="AT2063" s="28"/>
    </row>
    <row r="2064">
      <c r="A2064" s="5" t="s">
        <v>1914</v>
      </c>
      <c r="B2064" s="6">
        <v>1000.0</v>
      </c>
      <c r="C2064" s="7" t="s">
        <v>634</v>
      </c>
      <c r="D2064" s="15">
        <v>75240.0</v>
      </c>
      <c r="F2064" s="15"/>
      <c r="G2064" s="26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28"/>
      <c r="AS2064" s="28"/>
      <c r="AT2064" s="28"/>
    </row>
    <row r="2065">
      <c r="A2065" s="10" t="s">
        <v>811</v>
      </c>
      <c r="B2065" s="11">
        <v>500.0</v>
      </c>
      <c r="C2065" s="12" t="s">
        <v>634</v>
      </c>
      <c r="D2065" s="15">
        <v>75229.0</v>
      </c>
      <c r="F2065" s="15"/>
      <c r="G2065" s="26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28"/>
      <c r="AS2065" s="28"/>
      <c r="AT2065" s="28"/>
    </row>
    <row r="2066">
      <c r="A2066" s="10" t="s">
        <v>1915</v>
      </c>
      <c r="B2066" s="11">
        <v>1000.0</v>
      </c>
      <c r="C2066" s="12" t="s">
        <v>634</v>
      </c>
      <c r="D2066" s="15">
        <v>75201.0</v>
      </c>
      <c r="F2066" s="15"/>
      <c r="G2066" s="26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28"/>
      <c r="AS2066" s="28"/>
      <c r="AT2066" s="28"/>
    </row>
    <row r="2067">
      <c r="A2067" s="10" t="s">
        <v>1916</v>
      </c>
      <c r="B2067" s="11">
        <v>500.0</v>
      </c>
      <c r="C2067" s="12" t="s">
        <v>634</v>
      </c>
      <c r="D2067" s="15">
        <v>75230.0</v>
      </c>
      <c r="F2067" s="15"/>
      <c r="G2067" s="26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28"/>
      <c r="AS2067" s="28"/>
      <c r="AT2067" s="28"/>
    </row>
    <row r="2068">
      <c r="A2068" s="10" t="s">
        <v>1917</v>
      </c>
      <c r="B2068" s="11">
        <v>1000.0</v>
      </c>
      <c r="C2068" s="12" t="s">
        <v>634</v>
      </c>
      <c r="D2068" s="15">
        <v>75225.0</v>
      </c>
      <c r="F2068" s="15"/>
      <c r="G2068" s="26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28"/>
      <c r="AS2068" s="28"/>
      <c r="AT2068" s="28"/>
    </row>
    <row r="2069">
      <c r="A2069" s="10" t="s">
        <v>1918</v>
      </c>
      <c r="B2069" s="11">
        <v>100.0</v>
      </c>
      <c r="C2069" s="12" t="s">
        <v>634</v>
      </c>
      <c r="D2069" s="15">
        <v>75230.0</v>
      </c>
      <c r="F2069" s="15"/>
      <c r="G2069" s="26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28"/>
      <c r="AS2069" s="28"/>
      <c r="AT2069" s="28"/>
    </row>
    <row r="2070">
      <c r="A2070" s="10" t="s">
        <v>1919</v>
      </c>
      <c r="B2070" s="11">
        <v>1000.0</v>
      </c>
      <c r="C2070" s="12" t="s">
        <v>634</v>
      </c>
      <c r="D2070" s="15">
        <v>75254.0</v>
      </c>
      <c r="F2070" s="15"/>
      <c r="G2070" s="26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28"/>
      <c r="AS2070" s="28"/>
      <c r="AT2070" s="28"/>
    </row>
    <row r="2071">
      <c r="A2071" s="10" t="s">
        <v>1920</v>
      </c>
      <c r="B2071" s="11">
        <v>1000.0</v>
      </c>
      <c r="C2071" s="12" t="s">
        <v>634</v>
      </c>
      <c r="D2071" s="15">
        <v>75230.0</v>
      </c>
      <c r="F2071" s="15"/>
      <c r="G2071" s="26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28"/>
      <c r="AS2071" s="28"/>
      <c r="AT2071" s="28"/>
    </row>
    <row r="2072">
      <c r="A2072" s="10" t="s">
        <v>855</v>
      </c>
      <c r="B2072" s="11">
        <v>100.0</v>
      </c>
      <c r="C2072" s="12" t="s">
        <v>634</v>
      </c>
      <c r="D2072" s="15">
        <v>75248.0</v>
      </c>
      <c r="F2072" s="15"/>
      <c r="G2072" s="26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28"/>
      <c r="AS2072" s="28"/>
      <c r="AT2072" s="28"/>
    </row>
    <row r="2073">
      <c r="A2073" s="10" t="s">
        <v>1921</v>
      </c>
      <c r="B2073" s="11">
        <v>1000.0</v>
      </c>
      <c r="C2073" s="12" t="s">
        <v>634</v>
      </c>
      <c r="D2073" s="15">
        <v>75225.0</v>
      </c>
      <c r="F2073" s="15"/>
      <c r="G2073" s="26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28"/>
      <c r="AS2073" s="28"/>
      <c r="AT2073" s="28"/>
    </row>
    <row r="2074">
      <c r="A2074" s="10"/>
      <c r="B2074" s="11"/>
      <c r="C2074" s="12"/>
      <c r="D2074" s="15"/>
      <c r="F2074" s="15"/>
      <c r="G2074" s="26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28"/>
      <c r="AS2074" s="28"/>
      <c r="AT2074" s="28"/>
    </row>
    <row r="2075">
      <c r="A2075" s="10" t="s">
        <v>1923</v>
      </c>
      <c r="B2075" s="11">
        <v>1000.0</v>
      </c>
      <c r="C2075" s="12" t="s">
        <v>634</v>
      </c>
      <c r="D2075" s="15">
        <v>75208.0</v>
      </c>
      <c r="F2075" s="15"/>
      <c r="G2075" s="26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28"/>
      <c r="AS2075" s="28"/>
      <c r="AT2075" s="28"/>
    </row>
    <row r="2076">
      <c r="A2076" s="10" t="s">
        <v>1924</v>
      </c>
      <c r="B2076" s="11">
        <v>500.0</v>
      </c>
      <c r="C2076" s="12" t="s">
        <v>634</v>
      </c>
      <c r="D2076" s="15">
        <v>75218.0</v>
      </c>
      <c r="F2076" s="15"/>
      <c r="G2076" s="26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28"/>
      <c r="AS2076" s="28"/>
      <c r="AT2076" s="28"/>
    </row>
    <row r="2077">
      <c r="A2077" s="10" t="s">
        <v>1925</v>
      </c>
      <c r="B2077" s="11">
        <v>1000.0</v>
      </c>
      <c r="C2077" s="12" t="s">
        <v>634</v>
      </c>
      <c r="D2077" s="15">
        <v>75205.0</v>
      </c>
      <c r="F2077" s="15"/>
      <c r="G2077" s="26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28"/>
      <c r="AS2077" s="28"/>
      <c r="AT2077" s="28"/>
    </row>
    <row r="2078">
      <c r="A2078" s="10" t="s">
        <v>1926</v>
      </c>
      <c r="B2078" s="11">
        <v>1000.0</v>
      </c>
      <c r="C2078" s="12" t="s">
        <v>634</v>
      </c>
      <c r="D2078" s="15">
        <v>75230.0</v>
      </c>
      <c r="F2078" s="15"/>
      <c r="G2078" s="26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28"/>
      <c r="AS2078" s="28"/>
      <c r="AT2078" s="28"/>
    </row>
    <row r="2079">
      <c r="A2079" s="10" t="s">
        <v>1927</v>
      </c>
      <c r="B2079" s="11">
        <v>1000.0</v>
      </c>
      <c r="C2079" s="12" t="s">
        <v>634</v>
      </c>
      <c r="D2079" s="15">
        <v>75209.0</v>
      </c>
      <c r="F2079" s="15"/>
      <c r="G2079" s="26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28"/>
      <c r="AS2079" s="28"/>
      <c r="AT2079" s="28"/>
    </row>
    <row r="2080">
      <c r="A2080" s="10" t="s">
        <v>815</v>
      </c>
      <c r="B2080" s="11">
        <v>250.0</v>
      </c>
      <c r="C2080" s="12" t="s">
        <v>634</v>
      </c>
      <c r="D2080" s="15">
        <v>75287.0</v>
      </c>
      <c r="F2080" s="15"/>
      <c r="G2080" s="26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28"/>
      <c r="AS2080" s="28"/>
      <c r="AT2080" s="28"/>
    </row>
    <row r="2081">
      <c r="A2081" s="10" t="s">
        <v>1928</v>
      </c>
      <c r="B2081" s="11">
        <v>500.0</v>
      </c>
      <c r="C2081" s="12" t="s">
        <v>634</v>
      </c>
      <c r="D2081" s="15">
        <v>75230.0</v>
      </c>
      <c r="F2081" s="15"/>
      <c r="G2081" s="26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28"/>
      <c r="AS2081" s="28"/>
      <c r="AT2081" s="28"/>
    </row>
    <row r="2082">
      <c r="A2082" s="10" t="s">
        <v>1929</v>
      </c>
      <c r="B2082" s="11">
        <v>100.0</v>
      </c>
      <c r="C2082" s="12" t="s">
        <v>634</v>
      </c>
      <c r="D2082" s="15">
        <v>75230.0</v>
      </c>
      <c r="F2082" s="15"/>
      <c r="G2082" s="26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28"/>
      <c r="AS2082" s="28"/>
      <c r="AT2082" s="28"/>
    </row>
    <row r="2083">
      <c r="A2083" s="10" t="s">
        <v>1930</v>
      </c>
      <c r="B2083" s="11">
        <v>1000.0</v>
      </c>
      <c r="C2083" s="12" t="s">
        <v>634</v>
      </c>
      <c r="D2083" s="15">
        <v>75219.0</v>
      </c>
      <c r="F2083" s="15"/>
      <c r="G2083" s="26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28"/>
      <c r="AS2083" s="28"/>
      <c r="AT2083" s="28"/>
    </row>
    <row r="2084">
      <c r="A2084" s="10"/>
      <c r="B2084" s="11"/>
      <c r="C2084" s="12"/>
      <c r="D2084" s="15"/>
      <c r="F2084" s="15"/>
      <c r="G2084" s="26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28"/>
      <c r="AS2084" s="28"/>
      <c r="AT2084" s="28"/>
    </row>
    <row r="2085">
      <c r="A2085" s="10" t="s">
        <v>1932</v>
      </c>
      <c r="B2085" s="11">
        <v>1000.0</v>
      </c>
      <c r="C2085" s="12" t="s">
        <v>634</v>
      </c>
      <c r="D2085" s="15">
        <v>75201.0</v>
      </c>
      <c r="F2085" s="15"/>
      <c r="G2085" s="26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28"/>
      <c r="AS2085" s="28"/>
      <c r="AT2085" s="28"/>
    </row>
    <row r="2086">
      <c r="A2086" s="10" t="s">
        <v>1543</v>
      </c>
      <c r="B2086" s="11">
        <v>1000.0</v>
      </c>
      <c r="C2086" s="12" t="s">
        <v>634</v>
      </c>
      <c r="D2086" s="15">
        <v>75201.0</v>
      </c>
      <c r="F2086" s="15"/>
      <c r="G2086" s="26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28"/>
      <c r="AS2086" s="28"/>
      <c r="AT2086" s="28"/>
    </row>
    <row r="2087">
      <c r="A2087" s="10" t="s">
        <v>1933</v>
      </c>
      <c r="B2087" s="11">
        <v>1000.0</v>
      </c>
      <c r="C2087" s="12" t="s">
        <v>1005</v>
      </c>
      <c r="D2087" s="15">
        <v>75201.0</v>
      </c>
      <c r="F2087" s="15"/>
      <c r="G2087" s="26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28"/>
      <c r="AS2087" s="28"/>
      <c r="AT2087" s="28"/>
    </row>
    <row r="2088">
      <c r="A2088" s="5" t="s">
        <v>1934</v>
      </c>
      <c r="B2088" s="6">
        <v>100.0</v>
      </c>
      <c r="C2088" s="7" t="s">
        <v>1005</v>
      </c>
      <c r="D2088" s="15">
        <v>75229.0</v>
      </c>
      <c r="F2088" s="15"/>
      <c r="G2088" s="26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28"/>
      <c r="AS2088" s="28"/>
      <c r="AT2088" s="28"/>
    </row>
    <row r="2089">
      <c r="A2089" s="10" t="s">
        <v>1566</v>
      </c>
      <c r="B2089" s="11">
        <v>1500.0</v>
      </c>
      <c r="C2089" s="12" t="s">
        <v>1005</v>
      </c>
      <c r="D2089" s="15">
        <v>75235.0</v>
      </c>
      <c r="F2089" s="15"/>
      <c r="G2089" s="26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/>
    </row>
    <row r="2090">
      <c r="A2090" s="5" t="s">
        <v>1935</v>
      </c>
      <c r="B2090" s="6">
        <v>250.0</v>
      </c>
      <c r="C2090" s="7" t="s">
        <v>1005</v>
      </c>
      <c r="D2090" s="15">
        <v>76712.0</v>
      </c>
      <c r="F2090" s="15"/>
      <c r="G2090" s="26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28"/>
      <c r="AS2090" s="28"/>
      <c r="AT2090" s="28"/>
    </row>
    <row r="2091">
      <c r="A2091" s="10" t="s">
        <v>1936</v>
      </c>
      <c r="B2091" s="11">
        <v>1000.0</v>
      </c>
      <c r="C2091" s="12" t="s">
        <v>1005</v>
      </c>
      <c r="D2091" s="15">
        <v>75206.0</v>
      </c>
      <c r="F2091" s="15"/>
      <c r="G2091" s="26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28"/>
      <c r="AS2091" s="28"/>
      <c r="AT2091" s="28"/>
    </row>
    <row r="2092">
      <c r="A2092" s="5" t="s">
        <v>1937</v>
      </c>
      <c r="B2092" s="6">
        <v>500.0</v>
      </c>
      <c r="C2092" s="7" t="s">
        <v>1005</v>
      </c>
      <c r="D2092" s="15">
        <v>75225.0</v>
      </c>
      <c r="F2092" s="15"/>
      <c r="G2092" s="26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28"/>
      <c r="AS2092" s="28"/>
      <c r="AT2092" s="28"/>
    </row>
    <row r="2093">
      <c r="A2093" s="10" t="s">
        <v>1938</v>
      </c>
      <c r="B2093" s="11">
        <v>1000.0</v>
      </c>
      <c r="C2093" s="12" t="s">
        <v>1005</v>
      </c>
      <c r="D2093" s="15">
        <v>75214.0</v>
      </c>
      <c r="F2093" s="15"/>
      <c r="G2093" s="26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28"/>
      <c r="AS2093" s="28"/>
      <c r="AT2093" s="28"/>
    </row>
    <row r="2094">
      <c r="A2094" s="5" t="s">
        <v>317</v>
      </c>
      <c r="B2094" s="6">
        <v>500.0</v>
      </c>
      <c r="C2094" s="7" t="s">
        <v>1005</v>
      </c>
      <c r="D2094" s="15">
        <v>75201.0</v>
      </c>
      <c r="F2094" s="15"/>
      <c r="G2094" s="26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28"/>
      <c r="AS2094" s="28"/>
      <c r="AT2094" s="28"/>
    </row>
    <row r="2095">
      <c r="A2095" s="10" t="s">
        <v>1939</v>
      </c>
      <c r="B2095" s="11">
        <v>1000.0</v>
      </c>
      <c r="C2095" s="12" t="s">
        <v>1005</v>
      </c>
      <c r="D2095" s="15">
        <v>75207.0</v>
      </c>
      <c r="F2095" s="15"/>
      <c r="G2095" s="26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28"/>
      <c r="AS2095" s="28"/>
      <c r="AT2095" s="28"/>
    </row>
    <row r="2096">
      <c r="A2096" s="5" t="s">
        <v>1940</v>
      </c>
      <c r="B2096" s="6">
        <v>1000.0</v>
      </c>
      <c r="C2096" s="7" t="s">
        <v>1005</v>
      </c>
      <c r="D2096" s="15">
        <v>75367.0</v>
      </c>
      <c r="F2096" s="15"/>
      <c r="G2096" s="26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28"/>
      <c r="AS2096" s="28"/>
      <c r="AT2096" s="28"/>
    </row>
    <row r="2097">
      <c r="A2097" s="10" t="s">
        <v>1941</v>
      </c>
      <c r="B2097" s="11">
        <v>250.0</v>
      </c>
      <c r="C2097" s="12" t="s">
        <v>1005</v>
      </c>
      <c r="D2097" s="15">
        <v>75201.0</v>
      </c>
      <c r="F2097" s="15"/>
      <c r="G2097" s="26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28"/>
      <c r="AS2097" s="28"/>
      <c r="AT2097" s="28"/>
    </row>
    <row r="2098">
      <c r="A2098" s="5" t="s">
        <v>1942</v>
      </c>
      <c r="B2098" s="6">
        <v>100.0</v>
      </c>
      <c r="C2098" s="7" t="s">
        <v>1005</v>
      </c>
      <c r="D2098" s="15">
        <v>75214.0</v>
      </c>
      <c r="F2098" s="15"/>
      <c r="G2098" s="26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28"/>
      <c r="AS2098" s="28"/>
      <c r="AT2098" s="28"/>
    </row>
    <row r="2099">
      <c r="A2099" s="10" t="s">
        <v>1943</v>
      </c>
      <c r="B2099" s="11">
        <v>250.0</v>
      </c>
      <c r="C2099" s="12" t="s">
        <v>1005</v>
      </c>
      <c r="D2099" s="15">
        <v>76051.0</v>
      </c>
      <c r="F2099" s="15"/>
      <c r="G2099" s="26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28"/>
      <c r="AS2099" s="28"/>
      <c r="AT2099" s="28"/>
    </row>
    <row r="2100">
      <c r="A2100" s="5" t="s">
        <v>1944</v>
      </c>
      <c r="B2100" s="6">
        <v>100.0</v>
      </c>
      <c r="C2100" s="7" t="s">
        <v>1005</v>
      </c>
      <c r="D2100" s="15">
        <v>75203.0</v>
      </c>
      <c r="F2100" s="15"/>
      <c r="G2100" s="26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28"/>
      <c r="AS2100" s="28"/>
      <c r="AT2100" s="28"/>
    </row>
    <row r="2101">
      <c r="A2101" s="10" t="s">
        <v>311</v>
      </c>
      <c r="B2101" s="11">
        <v>5000.0</v>
      </c>
      <c r="C2101" s="12" t="s">
        <v>1005</v>
      </c>
      <c r="D2101" s="15">
        <v>75205.0</v>
      </c>
      <c r="F2101" s="15"/>
      <c r="G2101" s="26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28"/>
      <c r="AS2101" s="28"/>
      <c r="AT2101" s="28"/>
    </row>
    <row r="2102">
      <c r="A2102" s="5" t="s">
        <v>1945</v>
      </c>
      <c r="B2102" s="6">
        <v>2000.0</v>
      </c>
      <c r="C2102" s="7" t="s">
        <v>1005</v>
      </c>
      <c r="D2102" s="15">
        <v>75214.0</v>
      </c>
      <c r="F2102" s="15"/>
      <c r="G2102" s="26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28"/>
      <c r="AS2102" s="28"/>
      <c r="AT2102" s="28"/>
    </row>
    <row r="2103">
      <c r="A2103" s="10" t="s">
        <v>1946</v>
      </c>
      <c r="B2103" s="11">
        <v>100.0</v>
      </c>
      <c r="C2103" s="12" t="s">
        <v>1005</v>
      </c>
      <c r="D2103" s="15">
        <v>75229.0</v>
      </c>
      <c r="F2103" s="15"/>
      <c r="G2103" s="26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28"/>
      <c r="AS2103" s="28"/>
      <c r="AT2103" s="28"/>
    </row>
    <row r="2104">
      <c r="A2104" s="5" t="s">
        <v>1947</v>
      </c>
      <c r="B2104" s="6">
        <v>1000.0</v>
      </c>
      <c r="C2104" s="7" t="s">
        <v>1005</v>
      </c>
      <c r="D2104" s="15">
        <v>75214.0</v>
      </c>
      <c r="F2104" s="15"/>
      <c r="G2104" s="26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28"/>
      <c r="AS2104" s="28"/>
      <c r="AT2104" s="28"/>
    </row>
    <row r="2105">
      <c r="A2105" s="10" t="s">
        <v>1948</v>
      </c>
      <c r="B2105" s="11">
        <v>1000.0</v>
      </c>
      <c r="C2105" s="12" t="s">
        <v>1005</v>
      </c>
      <c r="D2105" s="15">
        <v>75063.0</v>
      </c>
      <c r="F2105" s="15"/>
      <c r="G2105" s="26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28"/>
      <c r="AS2105" s="28"/>
      <c r="AT2105" s="28"/>
    </row>
    <row r="2106">
      <c r="A2106" s="5" t="s">
        <v>1949</v>
      </c>
      <c r="B2106" s="6">
        <v>1000.0</v>
      </c>
      <c r="C2106" s="7" t="s">
        <v>1005</v>
      </c>
      <c r="D2106" s="15">
        <v>77046.0</v>
      </c>
      <c r="F2106" s="15"/>
      <c r="G2106" s="26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28"/>
      <c r="AS2106" s="28"/>
      <c r="AT2106" s="28"/>
    </row>
    <row r="2107">
      <c r="A2107" s="10" t="s">
        <v>1950</v>
      </c>
      <c r="B2107" s="11">
        <v>1000.0</v>
      </c>
      <c r="C2107" s="12" t="s">
        <v>1005</v>
      </c>
      <c r="D2107" s="15">
        <v>75214.0</v>
      </c>
      <c r="F2107" s="15"/>
      <c r="G2107" s="26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28"/>
      <c r="AS2107" s="28"/>
      <c r="AT2107" s="28"/>
    </row>
    <row r="2108">
      <c r="A2108" s="5" t="s">
        <v>1951</v>
      </c>
      <c r="B2108" s="6">
        <v>50.0</v>
      </c>
      <c r="C2108" s="7" t="s">
        <v>1005</v>
      </c>
      <c r="D2108" s="15">
        <v>75201.0</v>
      </c>
      <c r="F2108" s="15"/>
      <c r="G2108" s="26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28"/>
      <c r="AS2108" s="28"/>
      <c r="AT2108" s="28"/>
    </row>
    <row r="2109">
      <c r="A2109" s="10" t="s">
        <v>1952</v>
      </c>
      <c r="B2109" s="11">
        <v>50.0</v>
      </c>
      <c r="C2109" s="12" t="s">
        <v>1005</v>
      </c>
      <c r="D2109" s="15">
        <v>75218.0</v>
      </c>
      <c r="F2109" s="15"/>
      <c r="G2109" s="26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28"/>
      <c r="AS2109" s="28"/>
      <c r="AT2109" s="28"/>
    </row>
    <row r="2110">
      <c r="A2110" s="5" t="s">
        <v>1953</v>
      </c>
      <c r="B2110" s="6">
        <v>50.0</v>
      </c>
      <c r="C2110" s="7" t="s">
        <v>1005</v>
      </c>
      <c r="D2110" s="15">
        <v>75214.0</v>
      </c>
      <c r="F2110" s="15"/>
      <c r="G2110" s="26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8"/>
      <c r="AT2110" s="28"/>
    </row>
    <row r="2111">
      <c r="A2111" s="10" t="s">
        <v>1954</v>
      </c>
      <c r="B2111" s="11">
        <v>250.0</v>
      </c>
      <c r="C2111" s="12" t="s">
        <v>1005</v>
      </c>
      <c r="D2111" s="15">
        <v>75201.0</v>
      </c>
      <c r="F2111" s="15"/>
      <c r="G2111" s="26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28"/>
      <c r="AS2111" s="28"/>
      <c r="AT2111" s="28"/>
    </row>
    <row r="2112">
      <c r="A2112" s="5" t="s">
        <v>681</v>
      </c>
      <c r="B2112" s="6">
        <v>100.0</v>
      </c>
      <c r="C2112" s="7" t="s">
        <v>1005</v>
      </c>
      <c r="D2112" s="15">
        <v>75223.0</v>
      </c>
      <c r="F2112" s="15"/>
      <c r="G2112" s="26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28"/>
      <c r="AS2112" s="28"/>
      <c r="AT2112" s="28"/>
    </row>
    <row r="2113">
      <c r="A2113" s="10" t="s">
        <v>1840</v>
      </c>
      <c r="B2113" s="11">
        <v>100.0</v>
      </c>
      <c r="C2113" s="12" t="s">
        <v>1005</v>
      </c>
      <c r="D2113" s="15">
        <v>75038.0</v>
      </c>
      <c r="F2113" s="15"/>
      <c r="G2113" s="26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28"/>
      <c r="AS2113" s="28"/>
      <c r="AT2113" s="28"/>
    </row>
    <row r="2114">
      <c r="A2114" s="5" t="s">
        <v>1955</v>
      </c>
      <c r="B2114" s="6">
        <v>50.0</v>
      </c>
      <c r="C2114" s="7" t="s">
        <v>1005</v>
      </c>
      <c r="D2114" s="15">
        <v>75214.0</v>
      </c>
      <c r="F2114" s="15"/>
      <c r="G2114" s="26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28"/>
      <c r="AS2114" s="28"/>
      <c r="AT2114" s="28"/>
    </row>
    <row r="2115">
      <c r="A2115" s="10" t="s">
        <v>1956</v>
      </c>
      <c r="B2115" s="11">
        <v>50.0</v>
      </c>
      <c r="C2115" s="12" t="s">
        <v>1005</v>
      </c>
      <c r="D2115" s="15">
        <v>75228.0</v>
      </c>
      <c r="F2115" s="15"/>
      <c r="G2115" s="26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28"/>
      <c r="AS2115" s="28"/>
      <c r="AT2115" s="28"/>
    </row>
    <row r="2116">
      <c r="A2116" s="5" t="s">
        <v>1957</v>
      </c>
      <c r="B2116" s="6">
        <v>250.0</v>
      </c>
      <c r="C2116" s="7" t="s">
        <v>1005</v>
      </c>
      <c r="D2116" s="15">
        <v>75214.0</v>
      </c>
      <c r="F2116" s="15"/>
      <c r="G2116" s="26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28"/>
      <c r="AS2116" s="28"/>
      <c r="AT2116" s="28"/>
    </row>
    <row r="2117">
      <c r="A2117" s="10" t="s">
        <v>1958</v>
      </c>
      <c r="B2117" s="11">
        <v>2500.0</v>
      </c>
      <c r="C2117" s="12" t="s">
        <v>1005</v>
      </c>
      <c r="D2117" s="15">
        <v>75093.0</v>
      </c>
      <c r="F2117" s="15"/>
      <c r="G2117" s="26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28"/>
      <c r="AS2117" s="28"/>
      <c r="AT2117" s="28"/>
    </row>
    <row r="2118">
      <c r="A2118" s="5" t="s">
        <v>1959</v>
      </c>
      <c r="B2118" s="6">
        <v>250.0</v>
      </c>
      <c r="C2118" s="7" t="s">
        <v>1005</v>
      </c>
      <c r="D2118" s="15">
        <v>78610.0</v>
      </c>
      <c r="F2118" s="15"/>
      <c r="G2118" s="26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28"/>
      <c r="AS2118" s="28"/>
      <c r="AT2118" s="28"/>
    </row>
    <row r="2119">
      <c r="A2119" s="10" t="s">
        <v>1960</v>
      </c>
      <c r="B2119" s="11">
        <v>100.0</v>
      </c>
      <c r="C2119" s="12" t="s">
        <v>1005</v>
      </c>
      <c r="D2119" s="15">
        <v>75225.0</v>
      </c>
      <c r="F2119" s="15"/>
      <c r="G2119" s="26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28"/>
      <c r="AS2119" s="28"/>
      <c r="AT2119" s="28"/>
    </row>
    <row r="2120">
      <c r="A2120" s="5" t="s">
        <v>1961</v>
      </c>
      <c r="B2120" s="6">
        <v>100.0</v>
      </c>
      <c r="C2120" s="7" t="s">
        <v>1005</v>
      </c>
      <c r="D2120" s="15">
        <v>75231.0</v>
      </c>
      <c r="F2120" s="15"/>
      <c r="G2120" s="26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28"/>
      <c r="AS2120" s="28"/>
      <c r="AT2120" s="28"/>
    </row>
    <row r="2121">
      <c r="A2121" s="10" t="s">
        <v>1962</v>
      </c>
      <c r="B2121" s="11">
        <v>500.0</v>
      </c>
      <c r="C2121" s="12" t="s">
        <v>1005</v>
      </c>
      <c r="D2121" s="15">
        <v>75205.0</v>
      </c>
      <c r="F2121" s="15"/>
      <c r="G2121" s="26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28"/>
      <c r="AS2121" s="28"/>
      <c r="AT2121" s="28"/>
    </row>
    <row r="2122">
      <c r="A2122" s="5" t="s">
        <v>1963</v>
      </c>
      <c r="B2122" s="6">
        <v>100.0</v>
      </c>
      <c r="C2122" s="7" t="s">
        <v>1005</v>
      </c>
      <c r="D2122" s="15">
        <v>75214.0</v>
      </c>
      <c r="F2122" s="15"/>
      <c r="G2122" s="26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28"/>
      <c r="AS2122" s="28"/>
      <c r="AT2122" s="28"/>
    </row>
    <row r="2123">
      <c r="A2123" s="10" t="s">
        <v>1964</v>
      </c>
      <c r="B2123" s="11">
        <v>1000.0</v>
      </c>
      <c r="C2123" s="12" t="s">
        <v>1005</v>
      </c>
      <c r="D2123" s="15">
        <v>75002.0</v>
      </c>
      <c r="F2123" s="15"/>
      <c r="G2123" s="26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28"/>
      <c r="AS2123" s="28"/>
      <c r="AT2123" s="28"/>
    </row>
    <row r="2124">
      <c r="A2124" s="5" t="s">
        <v>1965</v>
      </c>
      <c r="B2124" s="6">
        <v>1000.0</v>
      </c>
      <c r="C2124" s="7" t="s">
        <v>1005</v>
      </c>
      <c r="D2124" s="15">
        <v>75214.0</v>
      </c>
      <c r="F2124" s="15"/>
      <c r="G2124" s="26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28"/>
      <c r="AS2124" s="28"/>
      <c r="AT2124" s="28"/>
    </row>
    <row r="2125">
      <c r="A2125" s="10" t="s">
        <v>1311</v>
      </c>
      <c r="B2125" s="11">
        <v>250.0</v>
      </c>
      <c r="C2125" s="12" t="s">
        <v>1005</v>
      </c>
      <c r="D2125" s="15">
        <v>75218.0</v>
      </c>
      <c r="F2125" s="15"/>
      <c r="G2125" s="26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28"/>
      <c r="AS2125" s="28"/>
      <c r="AT2125" s="28"/>
    </row>
    <row r="2126">
      <c r="A2126" s="5" t="s">
        <v>1841</v>
      </c>
      <c r="B2126" s="6">
        <v>1000.0</v>
      </c>
      <c r="C2126" s="7" t="s">
        <v>1005</v>
      </c>
      <c r="D2126" s="15">
        <v>75209.0</v>
      </c>
      <c r="F2126" s="15"/>
      <c r="G2126" s="26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28"/>
      <c r="AS2126" s="28"/>
      <c r="AT2126" s="28"/>
    </row>
    <row r="2127">
      <c r="A2127" s="10" t="s">
        <v>1966</v>
      </c>
      <c r="B2127" s="11">
        <v>1000.0</v>
      </c>
      <c r="C2127" s="12" t="s">
        <v>1005</v>
      </c>
      <c r="D2127" s="15">
        <v>75208.0</v>
      </c>
      <c r="F2127" s="15"/>
      <c r="G2127" s="26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28"/>
      <c r="AS2127" s="28"/>
      <c r="AT2127" s="28"/>
    </row>
    <row r="2128">
      <c r="A2128" s="5" t="s">
        <v>1943</v>
      </c>
      <c r="B2128" s="6">
        <v>250.0</v>
      </c>
      <c r="C2128" s="7" t="s">
        <v>1005</v>
      </c>
      <c r="D2128" s="15">
        <v>76051.0</v>
      </c>
      <c r="F2128" s="15"/>
      <c r="G2128" s="26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28"/>
      <c r="AS2128" s="28"/>
      <c r="AT2128" s="28"/>
    </row>
    <row r="2129">
      <c r="A2129" s="10" t="s">
        <v>1967</v>
      </c>
      <c r="B2129" s="11">
        <v>100.0</v>
      </c>
      <c r="C2129" s="12" t="s">
        <v>1005</v>
      </c>
      <c r="D2129" s="15">
        <v>75214.0</v>
      </c>
      <c r="F2129" s="15"/>
      <c r="G2129" s="26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28"/>
      <c r="AS2129" s="28"/>
      <c r="AT2129" s="28"/>
    </row>
    <row r="2130">
      <c r="A2130" s="5" t="s">
        <v>1968</v>
      </c>
      <c r="B2130" s="6">
        <v>50.0</v>
      </c>
      <c r="C2130" s="7" t="s">
        <v>1005</v>
      </c>
      <c r="D2130" s="15">
        <v>75214.0</v>
      </c>
      <c r="F2130" s="15"/>
      <c r="G2130" s="26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28"/>
      <c r="AS2130" s="28"/>
      <c r="AT2130" s="28"/>
    </row>
    <row r="2131">
      <c r="A2131" s="10" t="s">
        <v>681</v>
      </c>
      <c r="B2131" s="11">
        <v>100.0</v>
      </c>
      <c r="C2131" s="12" t="s">
        <v>1005</v>
      </c>
      <c r="D2131" s="15">
        <v>75223.0</v>
      </c>
      <c r="F2131" s="15"/>
      <c r="G2131" s="26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28"/>
      <c r="AS2131" s="28"/>
      <c r="AT2131" s="28"/>
    </row>
    <row r="2132">
      <c r="A2132" s="5" t="s">
        <v>1969</v>
      </c>
      <c r="B2132" s="6">
        <v>200.0</v>
      </c>
      <c r="C2132" s="7" t="s">
        <v>1005</v>
      </c>
      <c r="D2132" s="15">
        <v>75214.0</v>
      </c>
      <c r="F2132" s="15"/>
      <c r="G2132" s="26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28"/>
      <c r="AS2132" s="28"/>
      <c r="AT2132" s="28"/>
    </row>
    <row r="2133">
      <c r="A2133" s="10" t="s">
        <v>1970</v>
      </c>
      <c r="B2133" s="11">
        <v>250.0</v>
      </c>
      <c r="C2133" s="12" t="s">
        <v>1005</v>
      </c>
      <c r="D2133" s="15">
        <v>75214.0</v>
      </c>
      <c r="F2133" s="15"/>
      <c r="G2133" s="26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28"/>
      <c r="AS2133" s="28"/>
      <c r="AT2133" s="28"/>
    </row>
    <row r="2134">
      <c r="A2134" s="5" t="s">
        <v>1971</v>
      </c>
      <c r="B2134" s="6">
        <v>50.0</v>
      </c>
      <c r="C2134" s="7" t="s">
        <v>1005</v>
      </c>
      <c r="D2134" s="15">
        <v>75214.0</v>
      </c>
      <c r="F2134" s="15"/>
      <c r="G2134" s="26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28"/>
      <c r="AS2134" s="28"/>
      <c r="AT2134" s="28"/>
    </row>
    <row r="2135">
      <c r="A2135" s="10" t="s">
        <v>1972</v>
      </c>
      <c r="B2135" s="11">
        <v>50.0</v>
      </c>
      <c r="C2135" s="12" t="s">
        <v>1005</v>
      </c>
      <c r="D2135" s="15">
        <v>78737.0</v>
      </c>
      <c r="F2135" s="15"/>
      <c r="G2135" s="26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28"/>
      <c r="AS2135" s="28"/>
      <c r="AT2135" s="28"/>
    </row>
    <row r="2136">
      <c r="A2136" s="5" t="s">
        <v>1097</v>
      </c>
      <c r="B2136" s="6">
        <v>1000.0</v>
      </c>
      <c r="C2136" s="7" t="s">
        <v>1005</v>
      </c>
      <c r="D2136" s="15">
        <v>75205.0</v>
      </c>
      <c r="F2136" s="15"/>
      <c r="G2136" s="26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28"/>
      <c r="AS2136" s="28"/>
      <c r="AT2136" s="28"/>
    </row>
    <row r="2137">
      <c r="A2137" s="10" t="s">
        <v>1951</v>
      </c>
      <c r="B2137" s="11">
        <v>50.0</v>
      </c>
      <c r="C2137" s="12" t="s">
        <v>1005</v>
      </c>
      <c r="D2137" s="15">
        <v>75201.0</v>
      </c>
      <c r="F2137" s="15"/>
      <c r="G2137" s="26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28"/>
      <c r="AS2137" s="28"/>
      <c r="AT2137" s="28"/>
    </row>
    <row r="2138">
      <c r="A2138" s="5" t="s">
        <v>1953</v>
      </c>
      <c r="B2138" s="6">
        <v>50.0</v>
      </c>
      <c r="C2138" s="7" t="s">
        <v>1005</v>
      </c>
      <c r="D2138" s="15">
        <v>75214.0</v>
      </c>
      <c r="F2138" s="15"/>
      <c r="G2138" s="26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28"/>
      <c r="AS2138" s="28"/>
      <c r="AT2138" s="28"/>
    </row>
    <row r="2139">
      <c r="A2139" s="10" t="s">
        <v>1957</v>
      </c>
      <c r="B2139" s="11">
        <v>100.0</v>
      </c>
      <c r="C2139" s="12" t="s">
        <v>1005</v>
      </c>
      <c r="D2139" s="15">
        <v>75214.0</v>
      </c>
      <c r="F2139" s="15"/>
      <c r="G2139" s="26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28"/>
      <c r="AS2139" s="28"/>
      <c r="AT2139" s="28"/>
    </row>
    <row r="2140">
      <c r="A2140" s="5" t="s">
        <v>1973</v>
      </c>
      <c r="B2140" s="6">
        <v>250.0</v>
      </c>
      <c r="C2140" s="7" t="s">
        <v>1005</v>
      </c>
      <c r="D2140" s="15">
        <v>75248.0</v>
      </c>
      <c r="F2140" s="15"/>
      <c r="G2140" s="26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28"/>
      <c r="AT2140" s="28"/>
    </row>
    <row r="2141">
      <c r="A2141" s="10" t="s">
        <v>1974</v>
      </c>
      <c r="B2141" s="11">
        <v>250.0</v>
      </c>
      <c r="C2141" s="12" t="s">
        <v>1005</v>
      </c>
      <c r="D2141" s="15">
        <v>75214.0</v>
      </c>
      <c r="F2141" s="15"/>
      <c r="G2141" s="26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28"/>
      <c r="AS2141" s="28"/>
      <c r="AT2141" s="28"/>
    </row>
    <row r="2142">
      <c r="A2142" s="5" t="s">
        <v>1975</v>
      </c>
      <c r="B2142" s="6">
        <v>50.0</v>
      </c>
      <c r="C2142" s="7" t="s">
        <v>1005</v>
      </c>
      <c r="D2142" s="15">
        <v>75039.0</v>
      </c>
      <c r="F2142" s="15"/>
      <c r="G2142" s="26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28"/>
      <c r="AS2142" s="28"/>
      <c r="AT2142" s="28"/>
    </row>
    <row r="2143">
      <c r="A2143" s="10" t="s">
        <v>1976</v>
      </c>
      <c r="B2143" s="11">
        <v>200.0</v>
      </c>
      <c r="C2143" s="12" t="s">
        <v>1005</v>
      </c>
      <c r="D2143" s="15">
        <v>75214.0</v>
      </c>
      <c r="F2143" s="15"/>
      <c r="G2143" s="26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28"/>
      <c r="AS2143" s="28"/>
      <c r="AT2143" s="28"/>
    </row>
    <row r="2144">
      <c r="A2144" s="5" t="s">
        <v>1977</v>
      </c>
      <c r="B2144" s="6">
        <v>50.0</v>
      </c>
      <c r="C2144" s="7" t="s">
        <v>1005</v>
      </c>
      <c r="D2144" s="15">
        <v>75231.0</v>
      </c>
      <c r="F2144" s="15"/>
      <c r="G2144" s="26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28"/>
      <c r="AS2144" s="28"/>
      <c r="AT2144" s="28"/>
    </row>
    <row r="2145">
      <c r="A2145" s="10" t="s">
        <v>1978</v>
      </c>
      <c r="B2145" s="11">
        <v>2000.0</v>
      </c>
      <c r="C2145" s="12" t="s">
        <v>1005</v>
      </c>
      <c r="D2145" s="15">
        <v>75057.0</v>
      </c>
      <c r="F2145" s="15"/>
      <c r="G2145" s="26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28"/>
      <c r="AS2145" s="28"/>
      <c r="AT2145" s="28"/>
    </row>
    <row r="2146">
      <c r="A2146" s="5" t="s">
        <v>1979</v>
      </c>
      <c r="B2146" s="6">
        <v>50.0</v>
      </c>
      <c r="C2146" s="7" t="s">
        <v>1005</v>
      </c>
      <c r="D2146" s="15">
        <v>75218.0</v>
      </c>
      <c r="F2146" s="15"/>
      <c r="G2146" s="26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28"/>
      <c r="AS2146" s="28"/>
      <c r="AT2146" s="28"/>
    </row>
    <row r="2147">
      <c r="A2147" s="10" t="s">
        <v>1980</v>
      </c>
      <c r="B2147" s="11">
        <v>100.0</v>
      </c>
      <c r="C2147" s="12" t="s">
        <v>1005</v>
      </c>
      <c r="D2147" s="15">
        <v>75209.0</v>
      </c>
      <c r="F2147" s="15"/>
      <c r="G2147" s="26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28"/>
      <c r="AS2147" s="28"/>
      <c r="AT2147" s="28"/>
    </row>
    <row r="2148">
      <c r="A2148" s="5" t="s">
        <v>1981</v>
      </c>
      <c r="B2148" s="6">
        <v>150.0</v>
      </c>
      <c r="C2148" s="7" t="s">
        <v>1005</v>
      </c>
      <c r="D2148" s="15">
        <v>75206.0</v>
      </c>
      <c r="F2148" s="15"/>
      <c r="G2148" s="26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28"/>
      <c r="AS2148" s="28"/>
      <c r="AT2148" s="28"/>
    </row>
    <row r="2149">
      <c r="A2149" s="10" t="s">
        <v>1982</v>
      </c>
      <c r="B2149" s="11">
        <v>50.0</v>
      </c>
      <c r="C2149" s="12" t="s">
        <v>1005</v>
      </c>
      <c r="D2149" s="15">
        <v>75218.0</v>
      </c>
      <c r="F2149" s="15"/>
      <c r="G2149" s="26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28"/>
      <c r="AS2149" s="28"/>
      <c r="AT2149" s="28"/>
    </row>
    <row r="2150">
      <c r="A2150" s="5" t="s">
        <v>1983</v>
      </c>
      <c r="B2150" s="6">
        <v>100.0</v>
      </c>
      <c r="C2150" s="7" t="s">
        <v>1005</v>
      </c>
      <c r="D2150" s="15">
        <v>76011.0</v>
      </c>
      <c r="F2150" s="15"/>
      <c r="G2150" s="26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28"/>
      <c r="AS2150" s="28"/>
      <c r="AT2150" s="28"/>
    </row>
    <row r="2151">
      <c r="A2151" s="10" t="s">
        <v>1984</v>
      </c>
      <c r="B2151" s="11">
        <v>250.0</v>
      </c>
      <c r="C2151" s="12" t="s">
        <v>1005</v>
      </c>
      <c r="D2151" s="15">
        <v>75208.0</v>
      </c>
      <c r="F2151" s="15"/>
      <c r="G2151" s="26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28"/>
      <c r="AS2151" s="28"/>
      <c r="AT2151" s="28"/>
    </row>
    <row r="2152">
      <c r="A2152" s="5" t="s">
        <v>1985</v>
      </c>
      <c r="B2152" s="6">
        <v>150.0</v>
      </c>
      <c r="C2152" s="7" t="s">
        <v>1005</v>
      </c>
      <c r="D2152" s="15">
        <v>75214.0</v>
      </c>
      <c r="F2152" s="15"/>
      <c r="G2152" s="26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28"/>
      <c r="AS2152" s="28"/>
      <c r="AT2152" s="28"/>
    </row>
    <row r="2153">
      <c r="A2153" s="10" t="s">
        <v>1986</v>
      </c>
      <c r="B2153" s="11">
        <v>1000.0</v>
      </c>
      <c r="C2153" s="12" t="s">
        <v>1005</v>
      </c>
      <c r="D2153" s="15">
        <v>75205.0</v>
      </c>
      <c r="F2153" s="15"/>
      <c r="G2153" s="26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28"/>
      <c r="AS2153" s="28"/>
      <c r="AT2153" s="28"/>
    </row>
    <row r="2154">
      <c r="A2154" s="5" t="s">
        <v>1987</v>
      </c>
      <c r="B2154" s="6">
        <v>1000.0</v>
      </c>
      <c r="C2154" s="7" t="s">
        <v>1005</v>
      </c>
      <c r="D2154" s="15">
        <v>75232.0</v>
      </c>
      <c r="F2154" s="15"/>
      <c r="G2154" s="26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28"/>
      <c r="AS2154" s="28"/>
      <c r="AT2154" s="28"/>
    </row>
    <row r="2155">
      <c r="A2155" s="10" t="s">
        <v>1988</v>
      </c>
      <c r="B2155" s="11">
        <v>1000.0</v>
      </c>
      <c r="C2155" s="12" t="s">
        <v>1005</v>
      </c>
      <c r="D2155" s="15">
        <v>75229.0</v>
      </c>
      <c r="F2155" s="15"/>
      <c r="G2155" s="26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28"/>
      <c r="AS2155" s="28"/>
      <c r="AT2155" s="28"/>
    </row>
    <row r="2156">
      <c r="A2156" s="5" t="s">
        <v>1989</v>
      </c>
      <c r="B2156" s="6">
        <v>100.0</v>
      </c>
      <c r="C2156" s="7" t="s">
        <v>1005</v>
      </c>
      <c r="D2156" s="15">
        <v>75223.0</v>
      </c>
      <c r="F2156" s="15"/>
      <c r="G2156" s="26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28"/>
      <c r="AS2156" s="28"/>
      <c r="AT2156" s="28"/>
    </row>
    <row r="2157">
      <c r="A2157" s="10"/>
      <c r="B2157" s="11"/>
      <c r="C2157" s="12"/>
      <c r="D2157" s="15"/>
      <c r="F2157" s="15"/>
      <c r="G2157" s="26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28"/>
      <c r="AS2157" s="28"/>
      <c r="AT2157" s="28"/>
    </row>
    <row r="2158">
      <c r="A2158" s="5" t="s">
        <v>1991</v>
      </c>
      <c r="B2158" s="6">
        <v>50.0</v>
      </c>
      <c r="C2158" s="7" t="s">
        <v>1005</v>
      </c>
      <c r="D2158" s="15">
        <v>75228.0</v>
      </c>
      <c r="F2158" s="15"/>
      <c r="G2158" s="26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28"/>
      <c r="AS2158" s="28"/>
      <c r="AT2158" s="28"/>
    </row>
    <row r="2159">
      <c r="A2159" s="10" t="s">
        <v>1992</v>
      </c>
      <c r="B2159" s="11">
        <v>500.0</v>
      </c>
      <c r="C2159" s="12" t="s">
        <v>1005</v>
      </c>
      <c r="D2159" s="15">
        <v>75201.0</v>
      </c>
      <c r="F2159" s="15"/>
      <c r="G2159" s="26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28"/>
      <c r="AS2159" s="28"/>
      <c r="AT2159" s="28"/>
    </row>
    <row r="2160">
      <c r="A2160" s="5" t="s">
        <v>1993</v>
      </c>
      <c r="B2160" s="6">
        <v>1000.0</v>
      </c>
      <c r="C2160" s="7" t="s">
        <v>1005</v>
      </c>
      <c r="D2160" s="15">
        <v>77024.0</v>
      </c>
      <c r="F2160" s="15"/>
      <c r="G2160" s="26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28"/>
      <c r="AS2160" s="28"/>
      <c r="AT2160" s="28"/>
    </row>
    <row r="2161">
      <c r="A2161" s="10" t="s">
        <v>1852</v>
      </c>
      <c r="B2161" s="11">
        <v>1000.0</v>
      </c>
      <c r="C2161" s="12" t="s">
        <v>1005</v>
      </c>
      <c r="D2161" s="15">
        <v>75205.0</v>
      </c>
      <c r="F2161" s="15"/>
      <c r="G2161" s="26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28"/>
      <c r="AS2161" s="28"/>
      <c r="AT2161" s="28"/>
    </row>
    <row r="2162">
      <c r="A2162" s="5" t="s">
        <v>1994</v>
      </c>
      <c r="B2162" s="6">
        <v>250.0</v>
      </c>
      <c r="C2162" s="7" t="s">
        <v>1005</v>
      </c>
      <c r="D2162" s="15">
        <v>75218.0</v>
      </c>
      <c r="F2162" s="15"/>
      <c r="G2162" s="26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28"/>
      <c r="AS2162" s="28"/>
      <c r="AT2162" s="28"/>
    </row>
    <row r="2163">
      <c r="A2163" s="10" t="s">
        <v>1995</v>
      </c>
      <c r="B2163" s="11">
        <v>50.0</v>
      </c>
      <c r="C2163" s="12" t="s">
        <v>1005</v>
      </c>
      <c r="D2163" s="15">
        <v>75201.0</v>
      </c>
      <c r="F2163" s="15"/>
      <c r="G2163" s="26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28"/>
      <c r="AS2163" s="28"/>
      <c r="AT2163" s="28"/>
    </row>
    <row r="2164">
      <c r="A2164" s="5" t="s">
        <v>1996</v>
      </c>
      <c r="B2164" s="6">
        <v>500.0</v>
      </c>
      <c r="C2164" s="7" t="s">
        <v>1005</v>
      </c>
      <c r="D2164" s="15">
        <v>75229.0</v>
      </c>
      <c r="F2164" s="15"/>
      <c r="G2164" s="26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28"/>
      <c r="AS2164" s="28"/>
      <c r="AT2164" s="28"/>
    </row>
    <row r="2165">
      <c r="A2165" s="10" t="s">
        <v>1997</v>
      </c>
      <c r="B2165" s="11">
        <v>100.0</v>
      </c>
      <c r="C2165" s="12" t="s">
        <v>1005</v>
      </c>
      <c r="D2165" s="15">
        <v>75214.0</v>
      </c>
      <c r="F2165" s="15"/>
      <c r="G2165" s="26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28"/>
      <c r="AS2165" s="28"/>
      <c r="AT2165" s="28"/>
    </row>
    <row r="2166">
      <c r="A2166" s="5" t="s">
        <v>1998</v>
      </c>
      <c r="B2166" s="6">
        <v>150.0</v>
      </c>
      <c r="C2166" s="7" t="s">
        <v>1005</v>
      </c>
      <c r="D2166" s="15">
        <v>75220.0</v>
      </c>
      <c r="F2166" s="15"/>
      <c r="G2166" s="26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28"/>
      <c r="AS2166" s="28"/>
      <c r="AT2166" s="28"/>
    </row>
    <row r="2167">
      <c r="A2167" s="10" t="s">
        <v>1779</v>
      </c>
      <c r="B2167" s="11">
        <v>1000.0</v>
      </c>
      <c r="C2167" s="12" t="s">
        <v>1005</v>
      </c>
      <c r="D2167" s="15">
        <v>75219.0</v>
      </c>
      <c r="F2167" s="15"/>
      <c r="G2167" s="26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28"/>
      <c r="AS2167" s="28"/>
      <c r="AT2167" s="28"/>
    </row>
    <row r="2168">
      <c r="A2168" s="5" t="s">
        <v>1519</v>
      </c>
      <c r="B2168" s="6">
        <v>1000.0</v>
      </c>
      <c r="C2168" s="7" t="s">
        <v>1005</v>
      </c>
      <c r="D2168" s="15">
        <v>75204.0</v>
      </c>
      <c r="F2168" s="15"/>
      <c r="G2168" s="26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28"/>
      <c r="AS2168" s="28"/>
      <c r="AT2168" s="28"/>
    </row>
    <row r="2169">
      <c r="A2169" s="10" t="s">
        <v>1999</v>
      </c>
      <c r="B2169" s="11">
        <v>100.0</v>
      </c>
      <c r="C2169" s="12" t="s">
        <v>1005</v>
      </c>
      <c r="D2169" s="15">
        <v>75214.0</v>
      </c>
      <c r="F2169" s="15"/>
      <c r="G2169" s="26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28"/>
      <c r="AS2169" s="28"/>
      <c r="AT2169" s="28"/>
    </row>
    <row r="2170">
      <c r="A2170" s="5" t="s">
        <v>2000</v>
      </c>
      <c r="B2170" s="6">
        <v>250.0</v>
      </c>
      <c r="C2170" s="7" t="s">
        <v>1005</v>
      </c>
      <c r="D2170" s="15">
        <v>75230.0</v>
      </c>
      <c r="F2170" s="15"/>
      <c r="G2170" s="26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28"/>
      <c r="AS2170" s="28"/>
      <c r="AT2170" s="28"/>
    </row>
    <row r="2171">
      <c r="A2171" s="10" t="s">
        <v>2001</v>
      </c>
      <c r="B2171" s="11">
        <v>100.0</v>
      </c>
      <c r="C2171" s="12" t="s">
        <v>1005</v>
      </c>
      <c r="D2171" s="15">
        <v>75230.0</v>
      </c>
      <c r="F2171" s="15"/>
      <c r="G2171" s="26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28"/>
      <c r="AS2171" s="28"/>
      <c r="AT2171" s="28"/>
    </row>
    <row r="2172">
      <c r="A2172" s="5" t="s">
        <v>2002</v>
      </c>
      <c r="B2172" s="6">
        <v>100.0</v>
      </c>
      <c r="C2172" s="7" t="s">
        <v>1005</v>
      </c>
      <c r="D2172" s="15">
        <v>75204.0</v>
      </c>
      <c r="F2172" s="15"/>
      <c r="G2172" s="26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28"/>
      <c r="AS2172" s="28"/>
      <c r="AT2172" s="28"/>
    </row>
    <row r="2173">
      <c r="A2173" s="10" t="s">
        <v>2003</v>
      </c>
      <c r="B2173" s="11">
        <v>50.0</v>
      </c>
      <c r="C2173" s="12" t="s">
        <v>636</v>
      </c>
      <c r="D2173" s="15">
        <v>75238.0</v>
      </c>
      <c r="F2173" s="15"/>
      <c r="G2173" s="26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28"/>
      <c r="AS2173" s="28"/>
      <c r="AT2173" s="28"/>
    </row>
    <row r="2174">
      <c r="A2174" s="10" t="s">
        <v>2004</v>
      </c>
      <c r="B2174" s="11">
        <v>51.0</v>
      </c>
      <c r="C2174" s="12" t="s">
        <v>636</v>
      </c>
      <c r="D2174" s="15">
        <v>75218.0</v>
      </c>
      <c r="F2174" s="15"/>
      <c r="G2174" s="26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28"/>
      <c r="AS2174" s="28"/>
      <c r="AT2174" s="28"/>
    </row>
    <row r="2175">
      <c r="A2175" s="10" t="s">
        <v>2005</v>
      </c>
      <c r="B2175" s="11">
        <v>151.0</v>
      </c>
      <c r="C2175" s="12" t="s">
        <v>636</v>
      </c>
      <c r="D2175" s="15">
        <v>75214.0</v>
      </c>
      <c r="F2175" s="15"/>
      <c r="G2175" s="26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28"/>
      <c r="AS2175" s="28"/>
      <c r="AT2175" s="28"/>
    </row>
    <row r="2176">
      <c r="A2176" s="10" t="s">
        <v>638</v>
      </c>
      <c r="B2176" s="11">
        <v>51.0</v>
      </c>
      <c r="C2176" s="12" t="s">
        <v>636</v>
      </c>
      <c r="D2176" s="15">
        <v>75214.0</v>
      </c>
      <c r="F2176" s="15"/>
      <c r="G2176" s="26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28"/>
      <c r="AS2176" s="28"/>
      <c r="AT2176" s="28"/>
    </row>
    <row r="2177">
      <c r="A2177" s="10" t="s">
        <v>638</v>
      </c>
      <c r="B2177" s="11">
        <v>51.0</v>
      </c>
      <c r="C2177" s="12" t="s">
        <v>636</v>
      </c>
      <c r="D2177" s="15">
        <v>75214.0</v>
      </c>
      <c r="F2177" s="15"/>
      <c r="G2177" s="26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28"/>
      <c r="AS2177" s="28"/>
      <c r="AT2177" s="28"/>
    </row>
    <row r="2178">
      <c r="A2178" s="10" t="s">
        <v>211</v>
      </c>
      <c r="B2178" s="11">
        <v>250.0</v>
      </c>
      <c r="C2178" s="12" t="s">
        <v>636</v>
      </c>
      <c r="D2178" s="15">
        <v>75070.0</v>
      </c>
      <c r="F2178" s="15"/>
      <c r="G2178" s="26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28"/>
      <c r="AS2178" s="28"/>
      <c r="AT2178" s="28"/>
    </row>
    <row r="2179">
      <c r="A2179" s="10" t="s">
        <v>2006</v>
      </c>
      <c r="B2179" s="11">
        <v>51.0</v>
      </c>
      <c r="C2179" s="12" t="s">
        <v>636</v>
      </c>
      <c r="D2179" s="15">
        <v>75238.0</v>
      </c>
      <c r="F2179" s="15"/>
      <c r="G2179" s="26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28"/>
      <c r="AS2179" s="28"/>
      <c r="AT2179" s="28"/>
    </row>
    <row r="2180">
      <c r="A2180" s="10" t="s">
        <v>2007</v>
      </c>
      <c r="B2180" s="11">
        <v>102.0</v>
      </c>
      <c r="C2180" s="12" t="s">
        <v>636</v>
      </c>
      <c r="D2180" s="15">
        <v>75230.0</v>
      </c>
      <c r="F2180" s="15"/>
      <c r="G2180" s="26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28"/>
      <c r="AS2180" s="28"/>
      <c r="AT2180" s="28"/>
    </row>
    <row r="2181">
      <c r="A2181" s="10" t="s">
        <v>2008</v>
      </c>
      <c r="B2181" s="11">
        <v>51.0</v>
      </c>
      <c r="C2181" s="12" t="s">
        <v>636</v>
      </c>
      <c r="D2181" s="15">
        <v>75228.0</v>
      </c>
      <c r="F2181" s="15"/>
      <c r="G2181" s="26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28"/>
      <c r="AS2181" s="28"/>
      <c r="AT2181" s="28"/>
    </row>
    <row r="2182">
      <c r="A2182" s="10" t="s">
        <v>2009</v>
      </c>
      <c r="B2182" s="11">
        <v>10.0</v>
      </c>
      <c r="C2182" s="12" t="s">
        <v>636</v>
      </c>
      <c r="D2182" s="15">
        <v>75019.0</v>
      </c>
      <c r="F2182" s="15"/>
      <c r="G2182" s="26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28"/>
      <c r="AS2182" s="28"/>
      <c r="AT2182" s="28"/>
    </row>
    <row r="2183">
      <c r="A2183" s="10" t="s">
        <v>2010</v>
      </c>
      <c r="B2183" s="11">
        <v>251.0</v>
      </c>
      <c r="C2183" s="12" t="s">
        <v>636</v>
      </c>
      <c r="D2183" s="15">
        <v>75214.0</v>
      </c>
      <c r="F2183" s="15"/>
      <c r="G2183" s="26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28"/>
      <c r="AS2183" s="28"/>
      <c r="AT2183" s="28"/>
    </row>
    <row r="2184">
      <c r="A2184" s="10"/>
      <c r="B2184" s="11"/>
      <c r="C2184" s="12"/>
      <c r="D2184" s="15"/>
      <c r="F2184" s="15"/>
      <c r="G2184" s="26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28"/>
      <c r="AS2184" s="28"/>
      <c r="AT2184" s="28"/>
    </row>
    <row r="2185">
      <c r="A2185" s="10" t="s">
        <v>2012</v>
      </c>
      <c r="B2185" s="11">
        <v>102.0</v>
      </c>
      <c r="C2185" s="12" t="s">
        <v>636</v>
      </c>
      <c r="D2185" s="15">
        <v>75244.0</v>
      </c>
      <c r="F2185" s="15"/>
      <c r="G2185" s="26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28"/>
      <c r="AS2185" s="28"/>
      <c r="AT2185" s="28"/>
    </row>
    <row r="2186">
      <c r="A2186" s="10" t="s">
        <v>2013</v>
      </c>
      <c r="B2186" s="11">
        <v>51.0</v>
      </c>
      <c r="C2186" s="12" t="s">
        <v>636</v>
      </c>
      <c r="D2186" s="15">
        <v>75042.0</v>
      </c>
      <c r="F2186" s="15"/>
      <c r="G2186" s="26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28"/>
      <c r="AS2186" s="28"/>
      <c r="AT2186" s="28"/>
    </row>
    <row r="2187">
      <c r="A2187" s="10" t="s">
        <v>2014</v>
      </c>
      <c r="B2187" s="11">
        <v>100.0</v>
      </c>
      <c r="C2187" s="12" t="s">
        <v>636</v>
      </c>
      <c r="D2187" s="15">
        <v>75238.0</v>
      </c>
      <c r="F2187" s="15"/>
      <c r="G2187" s="26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28"/>
      <c r="AS2187" s="28"/>
      <c r="AT2187" s="28"/>
    </row>
    <row r="2188">
      <c r="A2188" s="10" t="s">
        <v>2015</v>
      </c>
      <c r="B2188" s="11">
        <v>51.0</v>
      </c>
      <c r="C2188" s="12" t="s">
        <v>636</v>
      </c>
      <c r="D2188" s="15">
        <v>75228.0</v>
      </c>
      <c r="F2188" s="15"/>
      <c r="G2188" s="26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28"/>
      <c r="AS2188" s="28"/>
      <c r="AT2188" s="28"/>
    </row>
    <row r="2189">
      <c r="A2189" s="10" t="s">
        <v>2016</v>
      </c>
      <c r="B2189" s="11">
        <v>51.0</v>
      </c>
      <c r="C2189" s="12" t="s">
        <v>636</v>
      </c>
      <c r="D2189" s="15">
        <v>75238.0</v>
      </c>
      <c r="F2189" s="15"/>
      <c r="G2189" s="26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28"/>
      <c r="AS2189" s="28"/>
      <c r="AT2189" s="28"/>
    </row>
    <row r="2190">
      <c r="A2190" s="10" t="s">
        <v>2017</v>
      </c>
      <c r="B2190" s="11">
        <v>151.0</v>
      </c>
      <c r="C2190" s="12" t="s">
        <v>636</v>
      </c>
      <c r="D2190" s="15">
        <v>75214.0</v>
      </c>
      <c r="F2190" s="15"/>
      <c r="G2190" s="26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28"/>
      <c r="AS2190" s="28"/>
      <c r="AT2190" s="28"/>
    </row>
    <row r="2191">
      <c r="A2191" s="10" t="s">
        <v>994</v>
      </c>
      <c r="B2191" s="11">
        <v>25.0</v>
      </c>
      <c r="C2191" s="12" t="s">
        <v>636</v>
      </c>
      <c r="D2191" s="15">
        <v>75238.0</v>
      </c>
      <c r="F2191" s="15"/>
      <c r="G2191" s="26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28"/>
      <c r="AS2191" s="28"/>
      <c r="AT2191" s="28"/>
    </row>
    <row r="2192">
      <c r="A2192" s="10" t="s">
        <v>998</v>
      </c>
      <c r="B2192" s="11">
        <v>50.0</v>
      </c>
      <c r="C2192" s="12" t="s">
        <v>636</v>
      </c>
      <c r="D2192" s="15">
        <v>75228.0</v>
      </c>
      <c r="F2192" s="15"/>
      <c r="G2192" s="26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28"/>
      <c r="AS2192" s="28"/>
      <c r="AT2192" s="28"/>
    </row>
    <row r="2193">
      <c r="A2193" s="10" t="s">
        <v>2018</v>
      </c>
      <c r="B2193" s="11">
        <v>102.0</v>
      </c>
      <c r="C2193" s="12" t="s">
        <v>636</v>
      </c>
      <c r="D2193" s="15">
        <v>75230.0</v>
      </c>
      <c r="F2193" s="15"/>
      <c r="G2193" s="26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28"/>
      <c r="AS2193" s="28"/>
      <c r="AT2193" s="28"/>
    </row>
    <row r="2194">
      <c r="A2194" s="10" t="s">
        <v>2019</v>
      </c>
      <c r="B2194" s="11">
        <v>151.0</v>
      </c>
      <c r="C2194" s="12" t="s">
        <v>636</v>
      </c>
      <c r="D2194" s="15">
        <v>75228.0</v>
      </c>
      <c r="F2194" s="15"/>
      <c r="G2194" s="26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28"/>
      <c r="AS2194" s="28"/>
      <c r="AT2194" s="28"/>
    </row>
    <row r="2195">
      <c r="A2195" s="10" t="s">
        <v>2020</v>
      </c>
      <c r="B2195" s="11">
        <v>51.0</v>
      </c>
      <c r="C2195" s="12" t="s">
        <v>636</v>
      </c>
      <c r="D2195" s="15">
        <v>75238.0</v>
      </c>
      <c r="F2195" s="15"/>
      <c r="G2195" s="26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28"/>
      <c r="AS2195" s="28"/>
      <c r="AT2195" s="28"/>
    </row>
    <row r="2196">
      <c r="A2196" s="10" t="s">
        <v>2021</v>
      </c>
      <c r="B2196" s="11">
        <v>102.0</v>
      </c>
      <c r="C2196" s="12" t="s">
        <v>636</v>
      </c>
      <c r="D2196" s="15">
        <v>75214.0</v>
      </c>
      <c r="F2196" s="15"/>
      <c r="G2196" s="26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28"/>
      <c r="AS2196" s="28"/>
      <c r="AT2196" s="28"/>
    </row>
    <row r="2197">
      <c r="A2197" s="10"/>
      <c r="B2197" s="11"/>
      <c r="C2197" s="12"/>
      <c r="D2197" s="15"/>
      <c r="F2197" s="15"/>
      <c r="G2197" s="26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28"/>
      <c r="AS2197" s="28"/>
      <c r="AT2197" s="28"/>
    </row>
    <row r="2198">
      <c r="A2198" s="10" t="s">
        <v>2023</v>
      </c>
      <c r="B2198" s="11">
        <v>51.0</v>
      </c>
      <c r="C2198" s="12" t="s">
        <v>636</v>
      </c>
      <c r="D2198" s="15">
        <v>75218.0</v>
      </c>
      <c r="F2198" s="15"/>
      <c r="G2198" s="26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8"/>
      <c r="AT2198" s="28"/>
    </row>
    <row r="2199">
      <c r="A2199" s="10" t="s">
        <v>2024</v>
      </c>
      <c r="B2199" s="11">
        <v>102.0</v>
      </c>
      <c r="C2199" s="12" t="s">
        <v>636</v>
      </c>
      <c r="D2199" s="15">
        <v>75206.0</v>
      </c>
      <c r="F2199" s="15"/>
      <c r="G2199" s="26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</row>
    <row r="2200">
      <c r="A2200" s="10" t="s">
        <v>2025</v>
      </c>
      <c r="B2200" s="11">
        <v>102.0</v>
      </c>
      <c r="C2200" s="12" t="s">
        <v>636</v>
      </c>
      <c r="D2200" s="15">
        <v>75228.0</v>
      </c>
      <c r="F2200" s="15"/>
      <c r="G2200" s="26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28"/>
      <c r="AS2200" s="28"/>
      <c r="AT2200" s="28"/>
    </row>
    <row r="2201">
      <c r="A2201" s="10" t="s">
        <v>2026</v>
      </c>
      <c r="B2201" s="11">
        <v>51.0</v>
      </c>
      <c r="C2201" s="12" t="s">
        <v>636</v>
      </c>
      <c r="D2201" s="15">
        <v>75022.0</v>
      </c>
      <c r="F2201" s="15"/>
      <c r="G2201" s="26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</row>
    <row r="2202">
      <c r="A2202" s="10" t="s">
        <v>2027</v>
      </c>
      <c r="B2202" s="11">
        <v>51.0</v>
      </c>
      <c r="C2202" s="12" t="s">
        <v>636</v>
      </c>
      <c r="D2202" s="15">
        <v>75238.0</v>
      </c>
      <c r="F2202" s="15"/>
      <c r="G2202" s="26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28"/>
      <c r="AS2202" s="28"/>
      <c r="AT2202" s="28"/>
    </row>
    <row r="2203">
      <c r="A2203" s="10" t="s">
        <v>2028</v>
      </c>
      <c r="B2203" s="11">
        <v>25.0</v>
      </c>
      <c r="C2203" s="12" t="s">
        <v>636</v>
      </c>
      <c r="D2203" s="15">
        <v>75287.0</v>
      </c>
      <c r="F2203" s="15"/>
      <c r="G2203" s="26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</row>
    <row r="2204">
      <c r="A2204" s="10" t="s">
        <v>2029</v>
      </c>
      <c r="B2204" s="11">
        <v>25.0</v>
      </c>
      <c r="C2204" s="12" t="s">
        <v>636</v>
      </c>
      <c r="D2204" s="15">
        <v>75226.0</v>
      </c>
      <c r="F2204" s="15"/>
      <c r="G2204" s="26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28"/>
      <c r="AS2204" s="28"/>
      <c r="AT2204" s="28"/>
    </row>
    <row r="2205">
      <c r="A2205" s="10" t="s">
        <v>2030</v>
      </c>
      <c r="B2205" s="11">
        <v>51.0</v>
      </c>
      <c r="C2205" s="12" t="s">
        <v>636</v>
      </c>
      <c r="D2205" s="15">
        <v>75202.0</v>
      </c>
      <c r="F2205" s="15"/>
      <c r="G2205" s="26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28"/>
      <c r="AS2205" s="28"/>
      <c r="AT2205" s="28"/>
    </row>
    <row r="2206">
      <c r="A2206" s="10" t="s">
        <v>2031</v>
      </c>
      <c r="B2206" s="11">
        <v>25.0</v>
      </c>
      <c r="C2206" s="12" t="s">
        <v>636</v>
      </c>
      <c r="D2206" s="15">
        <v>75238.0</v>
      </c>
      <c r="F2206" s="15"/>
      <c r="G2206" s="26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28"/>
      <c r="AS2206" s="28"/>
      <c r="AT2206" s="28"/>
    </row>
    <row r="2207">
      <c r="A2207" s="10" t="s">
        <v>2032</v>
      </c>
      <c r="B2207" s="11">
        <v>100.0</v>
      </c>
      <c r="C2207" s="12" t="s">
        <v>636</v>
      </c>
      <c r="D2207" s="15">
        <v>75238.0</v>
      </c>
      <c r="F2207" s="15"/>
      <c r="G2207" s="26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28"/>
      <c r="AS2207" s="28"/>
      <c r="AT2207" s="28"/>
    </row>
    <row r="2208">
      <c r="A2208" s="10" t="s">
        <v>1438</v>
      </c>
      <c r="B2208" s="11">
        <v>60.0</v>
      </c>
      <c r="C2208" s="12" t="s">
        <v>636</v>
      </c>
      <c r="D2208" s="15">
        <v>75214.0</v>
      </c>
      <c r="F2208" s="15"/>
      <c r="G2208" s="26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28"/>
      <c r="AS2208" s="28"/>
      <c r="AT2208" s="28"/>
    </row>
    <row r="2209">
      <c r="A2209" s="10"/>
      <c r="B2209" s="11"/>
      <c r="C2209" s="12"/>
      <c r="D2209" s="15"/>
      <c r="F2209" s="15"/>
      <c r="G2209" s="26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28"/>
      <c r="AS2209" s="28"/>
      <c r="AT2209" s="28"/>
    </row>
    <row r="2210">
      <c r="A2210" s="10" t="s">
        <v>2034</v>
      </c>
      <c r="B2210" s="11">
        <v>250.0</v>
      </c>
      <c r="C2210" s="12" t="s">
        <v>636</v>
      </c>
      <c r="D2210" s="15">
        <v>75238.0</v>
      </c>
      <c r="F2210" s="15"/>
      <c r="G2210" s="26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8"/>
      <c r="AT2210" s="28"/>
    </row>
    <row r="2211">
      <c r="A2211" s="10" t="s">
        <v>2035</v>
      </c>
      <c r="B2211" s="11">
        <v>25.0</v>
      </c>
      <c r="C2211" s="12" t="s">
        <v>636</v>
      </c>
      <c r="D2211" s="15">
        <v>75214.0</v>
      </c>
      <c r="F2211" s="15"/>
      <c r="G2211" s="26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28"/>
      <c r="AS2211" s="28"/>
      <c r="AT2211" s="28"/>
    </row>
    <row r="2212">
      <c r="A2212" s="10" t="s">
        <v>641</v>
      </c>
      <c r="B2212" s="11">
        <v>100.0</v>
      </c>
      <c r="C2212" s="12" t="s">
        <v>636</v>
      </c>
      <c r="D2212" s="15">
        <v>75201.0</v>
      </c>
      <c r="F2212" s="15"/>
      <c r="G2212" s="26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28"/>
      <c r="AS2212" s="28"/>
      <c r="AT2212" s="28"/>
    </row>
    <row r="2213">
      <c r="A2213" s="10" t="s">
        <v>2036</v>
      </c>
      <c r="B2213" s="11">
        <v>50.0</v>
      </c>
      <c r="C2213" s="12" t="s">
        <v>636</v>
      </c>
      <c r="D2213" s="15">
        <v>75214.0</v>
      </c>
      <c r="F2213" s="15"/>
      <c r="G2213" s="26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28"/>
      <c r="AS2213" s="28"/>
      <c r="AT2213" s="28"/>
    </row>
    <row r="2214">
      <c r="A2214" s="10" t="s">
        <v>2037</v>
      </c>
      <c r="B2214" s="11">
        <v>25.0</v>
      </c>
      <c r="C2214" s="12" t="s">
        <v>636</v>
      </c>
      <c r="D2214" s="15">
        <v>75214.0</v>
      </c>
      <c r="F2214" s="15"/>
      <c r="G2214" s="26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8"/>
      <c r="AT2214" s="28"/>
    </row>
    <row r="2215">
      <c r="A2215" s="10" t="s">
        <v>2031</v>
      </c>
      <c r="B2215" s="11">
        <v>150.0</v>
      </c>
      <c r="C2215" s="12" t="s">
        <v>636</v>
      </c>
      <c r="D2215" s="15">
        <v>75238.0</v>
      </c>
      <c r="F2215" s="15"/>
      <c r="G2215" s="26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</row>
    <row r="2216">
      <c r="A2216" s="10" t="s">
        <v>2038</v>
      </c>
      <c r="B2216" s="11">
        <v>20.0</v>
      </c>
      <c r="C2216" s="12" t="s">
        <v>2039</v>
      </c>
      <c r="D2216" s="15">
        <v>76133.0</v>
      </c>
      <c r="F2216" s="15"/>
      <c r="G2216" s="26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28"/>
      <c r="AS2216" s="28"/>
      <c r="AT2216" s="28"/>
    </row>
    <row r="2217">
      <c r="A2217" s="10" t="s">
        <v>2040</v>
      </c>
      <c r="B2217" s="11">
        <v>50.0</v>
      </c>
      <c r="C2217" s="12" t="s">
        <v>1005</v>
      </c>
      <c r="D2217" s="15">
        <v>75214.0</v>
      </c>
      <c r="F2217" s="15"/>
      <c r="G2217" s="26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28"/>
      <c r="AS2217" s="28"/>
      <c r="AT2217" s="28"/>
    </row>
    <row r="2218">
      <c r="A2218" s="5" t="s">
        <v>2041</v>
      </c>
      <c r="B2218" s="6">
        <v>5000.0</v>
      </c>
      <c r="C2218" s="7" t="s">
        <v>1005</v>
      </c>
      <c r="D2218" s="15">
        <v>79707.0</v>
      </c>
      <c r="F2218" s="15"/>
      <c r="G2218" s="26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28"/>
      <c r="AS2218" s="28"/>
      <c r="AT2218" s="28"/>
    </row>
    <row r="2219">
      <c r="A2219" s="10" t="s">
        <v>2042</v>
      </c>
      <c r="B2219" s="11">
        <v>1000.0</v>
      </c>
      <c r="C2219" s="12" t="s">
        <v>1151</v>
      </c>
      <c r="D2219" s="15">
        <v>75094.0</v>
      </c>
      <c r="F2219" s="15"/>
      <c r="G2219" s="26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28"/>
      <c r="AS2219" s="28"/>
      <c r="AT2219" s="28"/>
    </row>
    <row r="2220">
      <c r="A2220" s="10" t="s">
        <v>1564</v>
      </c>
      <c r="B2220" s="11">
        <v>1000.0</v>
      </c>
      <c r="C2220" s="12" t="s">
        <v>1151</v>
      </c>
      <c r="D2220" s="15">
        <v>75204.0</v>
      </c>
      <c r="F2220" s="15"/>
      <c r="G2220" s="26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28"/>
      <c r="AS2220" s="28"/>
      <c r="AT2220" s="28"/>
    </row>
    <row r="2221">
      <c r="A2221" s="10" t="s">
        <v>2043</v>
      </c>
      <c r="B2221" s="11">
        <v>1000.0</v>
      </c>
      <c r="C2221" s="12" t="s">
        <v>1060</v>
      </c>
      <c r="D2221" s="15">
        <v>75067.0</v>
      </c>
      <c r="F2221" s="15"/>
      <c r="G2221" s="26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28"/>
      <c r="AS2221" s="28"/>
      <c r="AT2221" s="28"/>
    </row>
    <row r="2222">
      <c r="A2222" s="5" t="s">
        <v>2044</v>
      </c>
      <c r="B2222" s="6">
        <v>1000.0</v>
      </c>
      <c r="C2222" s="7" t="s">
        <v>1060</v>
      </c>
      <c r="D2222" s="15">
        <v>75204.0</v>
      </c>
      <c r="F2222" s="15"/>
      <c r="G2222" s="26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28"/>
      <c r="AS2222" s="28"/>
      <c r="AT2222" s="28"/>
    </row>
    <row r="2223">
      <c r="A2223" s="10" t="s">
        <v>2045</v>
      </c>
      <c r="B2223" s="11">
        <v>500.0</v>
      </c>
      <c r="C2223" s="12" t="s">
        <v>1568</v>
      </c>
      <c r="D2223" s="15">
        <v>75211.0</v>
      </c>
      <c r="F2223" s="15"/>
      <c r="G2223" s="26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28"/>
      <c r="AS2223" s="28"/>
      <c r="AT2223" s="28"/>
    </row>
    <row r="2224">
      <c r="A2224" s="5" t="s">
        <v>2046</v>
      </c>
      <c r="B2224" s="6">
        <v>500.0</v>
      </c>
      <c r="C2224" s="7" t="s">
        <v>1568</v>
      </c>
      <c r="D2224" s="15">
        <v>75208.0</v>
      </c>
      <c r="F2224" s="15"/>
      <c r="G2224" s="26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28"/>
      <c r="AS2224" s="28"/>
      <c r="AT2224" s="28"/>
    </row>
    <row r="2225">
      <c r="A2225" s="10" t="s">
        <v>2047</v>
      </c>
      <c r="B2225" s="11">
        <v>500.0</v>
      </c>
      <c r="C2225" s="12" t="s">
        <v>1568</v>
      </c>
      <c r="D2225" s="15">
        <v>75208.0</v>
      </c>
      <c r="F2225" s="15"/>
      <c r="G2225" s="26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28"/>
      <c r="AS2225" s="28"/>
      <c r="AT2225" s="28"/>
    </row>
    <row r="2226">
      <c r="A2226" s="5" t="s">
        <v>2048</v>
      </c>
      <c r="B2226" s="6">
        <v>2000.0</v>
      </c>
      <c r="C2226" s="7" t="s">
        <v>1568</v>
      </c>
      <c r="D2226" s="15">
        <v>75211.0</v>
      </c>
      <c r="F2226" s="15"/>
      <c r="G2226" s="26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28"/>
      <c r="AS2226" s="28"/>
      <c r="AT2226" s="28"/>
    </row>
    <row r="2227">
      <c r="A2227" s="10" t="s">
        <v>2049</v>
      </c>
      <c r="B2227" s="11">
        <v>1000.0</v>
      </c>
      <c r="C2227" s="12" t="s">
        <v>1568</v>
      </c>
      <c r="D2227" s="15">
        <v>75235.0</v>
      </c>
      <c r="F2227" s="15"/>
      <c r="G2227" s="26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28"/>
      <c r="AS2227" s="28"/>
      <c r="AT2227" s="28"/>
    </row>
    <row r="2228">
      <c r="A2228" s="5" t="s">
        <v>2050</v>
      </c>
      <c r="B2228" s="6">
        <v>1000.0</v>
      </c>
      <c r="C2228" s="7" t="s">
        <v>1568</v>
      </c>
      <c r="D2228" s="15">
        <v>75235.0</v>
      </c>
      <c r="F2228" s="15"/>
      <c r="G2228" s="26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28"/>
      <c r="AS2228" s="28"/>
      <c r="AT2228" s="28"/>
    </row>
    <row r="2229">
      <c r="A2229" s="10" t="s">
        <v>2051</v>
      </c>
      <c r="B2229" s="11">
        <v>1000.0</v>
      </c>
      <c r="C2229" s="12" t="s">
        <v>1568</v>
      </c>
      <c r="D2229" s="15">
        <v>75039.0</v>
      </c>
      <c r="F2229" s="15"/>
      <c r="G2229" s="26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28"/>
      <c r="AS2229" s="28"/>
      <c r="AT2229" s="28"/>
    </row>
    <row r="2230">
      <c r="A2230" s="5" t="s">
        <v>2052</v>
      </c>
      <c r="B2230" s="6">
        <v>1000.0</v>
      </c>
      <c r="C2230" s="7" t="s">
        <v>1568</v>
      </c>
      <c r="D2230" s="15">
        <v>75039.0</v>
      </c>
      <c r="F2230" s="15"/>
      <c r="G2230" s="26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28"/>
      <c r="AS2230" s="28"/>
      <c r="AT2230" s="28"/>
    </row>
    <row r="2231">
      <c r="A2231" s="10" t="s">
        <v>2053</v>
      </c>
      <c r="B2231" s="11">
        <v>1000.0</v>
      </c>
      <c r="C2231" s="12" t="s">
        <v>1568</v>
      </c>
      <c r="D2231" s="15">
        <v>75010.0</v>
      </c>
      <c r="F2231" s="15"/>
      <c r="G2231" s="26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</row>
    <row r="2232">
      <c r="A2232" s="5" t="s">
        <v>2054</v>
      </c>
      <c r="B2232" s="6">
        <v>286.5</v>
      </c>
      <c r="C2232" s="7" t="s">
        <v>2055</v>
      </c>
      <c r="D2232" s="15">
        <v>75218.0</v>
      </c>
      <c r="F2232" s="15"/>
      <c r="G2232" s="26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28"/>
      <c r="AS2232" s="28"/>
      <c r="AT2232" s="28"/>
    </row>
    <row r="2233">
      <c r="A2233" s="5" t="s">
        <v>2056</v>
      </c>
      <c r="B2233" s="6">
        <v>1000.0</v>
      </c>
      <c r="C2233" s="7" t="s">
        <v>2055</v>
      </c>
      <c r="D2233" s="15">
        <v>75205.0</v>
      </c>
      <c r="F2233" s="15"/>
      <c r="G2233" s="26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28"/>
      <c r="AS2233" s="28"/>
      <c r="AT2233" s="28"/>
    </row>
    <row r="2234">
      <c r="A2234" s="5" t="s">
        <v>2057</v>
      </c>
      <c r="B2234" s="6">
        <v>1000.0</v>
      </c>
      <c r="C2234" s="7" t="s">
        <v>2055</v>
      </c>
      <c r="D2234" s="15">
        <v>75201.0</v>
      </c>
      <c r="F2234" s="15"/>
      <c r="G2234" s="26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28"/>
      <c r="AS2234" s="28"/>
      <c r="AT2234" s="28"/>
    </row>
    <row r="2235">
      <c r="A2235" s="5" t="s">
        <v>2058</v>
      </c>
      <c r="B2235" s="6">
        <v>1000.0</v>
      </c>
      <c r="C2235" s="7" t="s">
        <v>1060</v>
      </c>
      <c r="D2235" s="15">
        <v>75201.0</v>
      </c>
      <c r="F2235" s="15"/>
      <c r="G2235" s="26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28"/>
      <c r="AS2235" s="28"/>
      <c r="AT2235" s="28"/>
    </row>
    <row r="2236">
      <c r="A2236" s="10" t="s">
        <v>2059</v>
      </c>
      <c r="B2236" s="11">
        <v>206.46</v>
      </c>
      <c r="C2236" s="12" t="s">
        <v>1060</v>
      </c>
      <c r="D2236" s="15">
        <v>75204.0</v>
      </c>
      <c r="F2236" s="15"/>
      <c r="G2236" s="26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28"/>
      <c r="AS2236" s="28"/>
      <c r="AT2236" s="28"/>
    </row>
    <row r="2237">
      <c r="A2237" s="5" t="s">
        <v>2060</v>
      </c>
      <c r="B2237" s="6">
        <v>1000.0</v>
      </c>
      <c r="C2237" s="7" t="s">
        <v>1060</v>
      </c>
      <c r="D2237" s="15">
        <v>75219.0</v>
      </c>
      <c r="F2237" s="15"/>
      <c r="G2237" s="26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28"/>
      <c r="AS2237" s="28"/>
      <c r="AT2237" s="28"/>
    </row>
    <row r="2238">
      <c r="A2238" s="10" t="s">
        <v>2061</v>
      </c>
      <c r="B2238" s="11">
        <v>51.99</v>
      </c>
      <c r="C2238" s="12" t="s">
        <v>1060</v>
      </c>
      <c r="D2238" s="15">
        <v>75214.0</v>
      </c>
      <c r="F2238" s="15"/>
      <c r="G2238" s="26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28"/>
      <c r="AS2238" s="28"/>
      <c r="AT2238" s="28"/>
    </row>
    <row r="2239">
      <c r="A2239" s="5" t="s">
        <v>2062</v>
      </c>
      <c r="B2239" s="6">
        <v>1000.0</v>
      </c>
      <c r="C2239" s="7" t="s">
        <v>1060</v>
      </c>
      <c r="D2239" s="15">
        <v>75214.0</v>
      </c>
      <c r="F2239" s="15"/>
      <c r="G2239" s="26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</row>
    <row r="2240">
      <c r="A2240" s="10" t="s">
        <v>2063</v>
      </c>
      <c r="B2240" s="11">
        <v>1000.0</v>
      </c>
      <c r="C2240" s="12" t="s">
        <v>1060</v>
      </c>
      <c r="D2240" s="15">
        <v>75214.0</v>
      </c>
      <c r="F2240" s="15"/>
      <c r="G2240" s="26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28"/>
      <c r="AS2240" s="28"/>
      <c r="AT2240" s="28"/>
    </row>
    <row r="2241">
      <c r="A2241" s="5" t="s">
        <v>2064</v>
      </c>
      <c r="B2241" s="6">
        <v>300.0</v>
      </c>
      <c r="C2241" s="7" t="s">
        <v>1060</v>
      </c>
      <c r="D2241" s="15">
        <v>75214.0</v>
      </c>
      <c r="F2241" s="15"/>
      <c r="G2241" s="26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28"/>
      <c r="AS2241" s="28"/>
      <c r="AT2241" s="28"/>
    </row>
    <row r="2242">
      <c r="A2242" s="10" t="s">
        <v>2065</v>
      </c>
      <c r="B2242" s="11">
        <v>250.0</v>
      </c>
      <c r="C2242" s="12" t="s">
        <v>1060</v>
      </c>
      <c r="D2242" s="15">
        <v>75209.0</v>
      </c>
      <c r="F2242" s="15"/>
      <c r="G2242" s="26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28"/>
      <c r="AS2242" s="28"/>
      <c r="AT2242" s="28"/>
    </row>
    <row r="2243">
      <c r="A2243" s="5" t="s">
        <v>2066</v>
      </c>
      <c r="B2243" s="6">
        <v>150.0</v>
      </c>
      <c r="C2243" s="7" t="s">
        <v>1060</v>
      </c>
      <c r="D2243" s="15">
        <v>75214.0</v>
      </c>
      <c r="F2243" s="15"/>
      <c r="G2243" s="26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28"/>
      <c r="AS2243" s="28"/>
      <c r="AT2243" s="28"/>
    </row>
    <row r="2244">
      <c r="A2244" s="10" t="s">
        <v>2067</v>
      </c>
      <c r="B2244" s="11">
        <v>500.0</v>
      </c>
      <c r="C2244" s="12" t="s">
        <v>1060</v>
      </c>
      <c r="D2244" s="15">
        <v>75201.0</v>
      </c>
      <c r="F2244" s="15"/>
      <c r="G2244" s="26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28"/>
      <c r="AS2244" s="28"/>
      <c r="AT2244" s="28"/>
    </row>
    <row r="2245">
      <c r="A2245" s="5" t="s">
        <v>2068</v>
      </c>
      <c r="B2245" s="6">
        <v>500.0</v>
      </c>
      <c r="C2245" s="7" t="s">
        <v>1060</v>
      </c>
      <c r="D2245" s="15">
        <v>75205.0</v>
      </c>
      <c r="F2245" s="15"/>
      <c r="G2245" s="26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28"/>
      <c r="AS2245" s="28"/>
      <c r="AT2245" s="28"/>
    </row>
    <row r="2246">
      <c r="A2246" s="10" t="s">
        <v>2069</v>
      </c>
      <c r="B2246" s="11">
        <v>1000.0</v>
      </c>
      <c r="C2246" s="12" t="s">
        <v>1060</v>
      </c>
      <c r="D2246" s="15">
        <v>75219.0</v>
      </c>
      <c r="F2246" s="15"/>
      <c r="G2246" s="26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28"/>
      <c r="AS2246" s="28"/>
      <c r="AT2246" s="28"/>
    </row>
    <row r="2247">
      <c r="A2247" s="5" t="s">
        <v>2057</v>
      </c>
      <c r="B2247" s="6">
        <v>1000.0</v>
      </c>
      <c r="C2247" s="7" t="s">
        <v>1060</v>
      </c>
      <c r="D2247" s="15">
        <v>75201.0</v>
      </c>
      <c r="F2247" s="15"/>
      <c r="G2247" s="26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</row>
    <row r="2248">
      <c r="A2248" s="10" t="s">
        <v>2070</v>
      </c>
      <c r="B2248" s="11">
        <v>250.0</v>
      </c>
      <c r="C2248" s="12" t="s">
        <v>1060</v>
      </c>
      <c r="D2248" s="15">
        <v>75204.0</v>
      </c>
      <c r="F2248" s="15"/>
      <c r="G2248" s="26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28"/>
      <c r="AS2248" s="28"/>
      <c r="AT2248" s="28"/>
    </row>
    <row r="2249">
      <c r="A2249" s="5"/>
      <c r="B2249" s="6"/>
      <c r="C2249" s="7"/>
      <c r="D2249" s="15"/>
      <c r="F2249" s="15"/>
      <c r="G2249" s="26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</row>
    <row r="2250">
      <c r="A2250" s="10"/>
      <c r="B2250" s="11"/>
      <c r="C2250" s="12"/>
      <c r="D2250" s="15"/>
      <c r="F2250" s="15"/>
      <c r="G2250" s="26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28"/>
      <c r="AS2250" s="28"/>
      <c r="AT2250" s="28"/>
    </row>
    <row r="2251">
      <c r="A2251" s="5" t="s">
        <v>2073</v>
      </c>
      <c r="B2251" s="6">
        <v>1000.0</v>
      </c>
      <c r="C2251" s="7" t="s">
        <v>1060</v>
      </c>
      <c r="D2251" s="15">
        <v>76051.0</v>
      </c>
      <c r="F2251" s="15"/>
      <c r="G2251" s="26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28"/>
      <c r="AS2251" s="28"/>
      <c r="AT2251" s="28"/>
    </row>
    <row r="2252">
      <c r="A2252" s="10" t="s">
        <v>1797</v>
      </c>
      <c r="B2252" s="11">
        <v>1000.0</v>
      </c>
      <c r="C2252" s="12" t="s">
        <v>1060</v>
      </c>
      <c r="D2252" s="15">
        <v>75204.0</v>
      </c>
      <c r="F2252" s="15"/>
      <c r="G2252" s="26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28"/>
      <c r="AS2252" s="28"/>
      <c r="AT2252" s="28"/>
    </row>
    <row r="2253">
      <c r="A2253" s="5" t="s">
        <v>2074</v>
      </c>
      <c r="B2253" s="6">
        <v>1000.0</v>
      </c>
      <c r="C2253" s="7" t="s">
        <v>1060</v>
      </c>
      <c r="D2253" s="15">
        <v>75360.0</v>
      </c>
      <c r="F2253" s="15"/>
      <c r="G2253" s="26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28"/>
      <c r="AS2253" s="28"/>
      <c r="AT2253" s="28"/>
    </row>
    <row r="2254">
      <c r="A2254" s="10" t="s">
        <v>2075</v>
      </c>
      <c r="B2254" s="11">
        <v>1000.0</v>
      </c>
      <c r="C2254" s="12" t="s">
        <v>1060</v>
      </c>
      <c r="D2254" s="15">
        <v>75205.0</v>
      </c>
      <c r="F2254" s="15"/>
      <c r="G2254" s="26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28"/>
      <c r="AS2254" s="28"/>
      <c r="AT2254" s="28"/>
    </row>
    <row r="2255">
      <c r="A2255" s="5" t="s">
        <v>2076</v>
      </c>
      <c r="B2255" s="6">
        <v>1000.0</v>
      </c>
      <c r="C2255" s="7" t="s">
        <v>1060</v>
      </c>
      <c r="D2255" s="15">
        <v>75201.0</v>
      </c>
      <c r="F2255" s="15"/>
      <c r="G2255" s="26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28"/>
      <c r="AS2255" s="28"/>
      <c r="AT2255" s="28"/>
    </row>
    <row r="2256">
      <c r="A2256" s="10" t="s">
        <v>2077</v>
      </c>
      <c r="B2256" s="11">
        <v>200.0</v>
      </c>
      <c r="C2256" s="12" t="s">
        <v>50</v>
      </c>
      <c r="D2256" s="15">
        <v>75225.0</v>
      </c>
      <c r="F2256" s="15"/>
      <c r="G2256" s="26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</row>
    <row r="2257">
      <c r="A2257" s="10" t="s">
        <v>2078</v>
      </c>
      <c r="B2257" s="11">
        <v>50.0</v>
      </c>
      <c r="C2257" s="12" t="s">
        <v>50</v>
      </c>
      <c r="D2257" s="15">
        <v>75228.0</v>
      </c>
      <c r="F2257" s="15"/>
      <c r="G2257" s="26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/>
      <c r="AS2257" s="28"/>
      <c r="AT2257" s="28"/>
    </row>
    <row r="2258">
      <c r="A2258" s="10" t="s">
        <v>2079</v>
      </c>
      <c r="B2258" s="11">
        <v>500.0</v>
      </c>
      <c r="C2258" s="12" t="s">
        <v>50</v>
      </c>
      <c r="D2258" s="15">
        <v>75219.0</v>
      </c>
      <c r="F2258" s="15"/>
      <c r="G2258" s="26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28"/>
      <c r="AS2258" s="28"/>
      <c r="AT2258" s="28"/>
    </row>
    <row r="2259">
      <c r="A2259" s="10" t="s">
        <v>1767</v>
      </c>
      <c r="B2259" s="11">
        <v>100.0</v>
      </c>
      <c r="C2259" s="12" t="s">
        <v>50</v>
      </c>
      <c r="D2259" s="15">
        <v>75227.0</v>
      </c>
      <c r="F2259" s="15"/>
      <c r="G2259" s="26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28"/>
      <c r="AS2259" s="28"/>
      <c r="AT2259" s="28"/>
    </row>
    <row r="2260">
      <c r="A2260" s="10" t="s">
        <v>2080</v>
      </c>
      <c r="B2260" s="11">
        <v>1000.0</v>
      </c>
      <c r="C2260" s="12" t="s">
        <v>50</v>
      </c>
      <c r="D2260" s="15">
        <v>78760.0</v>
      </c>
      <c r="F2260" s="15"/>
      <c r="G2260" s="26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</row>
    <row r="2261">
      <c r="A2261" s="10" t="s">
        <v>2081</v>
      </c>
      <c r="B2261" s="11">
        <v>500.0</v>
      </c>
      <c r="C2261" s="12" t="s">
        <v>50</v>
      </c>
      <c r="D2261" s="15">
        <v>75251.0</v>
      </c>
      <c r="F2261" s="15"/>
      <c r="G2261" s="26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28"/>
      <c r="AS2261" s="28"/>
      <c r="AT2261" s="28"/>
    </row>
    <row r="2262">
      <c r="A2262" s="10" t="s">
        <v>2082</v>
      </c>
      <c r="B2262" s="11">
        <v>100.0</v>
      </c>
      <c r="C2262" s="12" t="s">
        <v>50</v>
      </c>
      <c r="D2262" s="15">
        <v>75231.0</v>
      </c>
      <c r="F2262" s="15"/>
      <c r="G2262" s="26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28"/>
      <c r="AS2262" s="28"/>
      <c r="AT2262" s="28"/>
    </row>
    <row r="2263">
      <c r="A2263" s="5" t="s">
        <v>2083</v>
      </c>
      <c r="B2263" s="6">
        <v>50.0</v>
      </c>
      <c r="C2263" s="7" t="s">
        <v>1065</v>
      </c>
      <c r="D2263" s="15">
        <v>75115.0</v>
      </c>
      <c r="F2263" s="15"/>
      <c r="G2263" s="26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</row>
    <row r="2264">
      <c r="A2264" s="10" t="s">
        <v>2084</v>
      </c>
      <c r="B2264" s="11">
        <v>2500.0</v>
      </c>
      <c r="C2264" s="12" t="s">
        <v>1065</v>
      </c>
      <c r="D2264" s="15">
        <v>75013.0</v>
      </c>
      <c r="F2264" s="15"/>
      <c r="G2264" s="26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28"/>
      <c r="AS2264" s="28"/>
      <c r="AT2264" s="28"/>
    </row>
    <row r="2265">
      <c r="A2265" s="5" t="s">
        <v>1536</v>
      </c>
      <c r="B2265" s="6">
        <v>100.0</v>
      </c>
      <c r="C2265" s="7" t="s">
        <v>1065</v>
      </c>
      <c r="D2265" s="15">
        <v>75204.0</v>
      </c>
      <c r="F2265" s="15"/>
      <c r="G2265" s="26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28"/>
      <c r="AS2265" s="28"/>
      <c r="AT2265" s="28"/>
    </row>
    <row r="2266">
      <c r="A2266" s="10" t="s">
        <v>2085</v>
      </c>
      <c r="B2266" s="11">
        <v>1000.0</v>
      </c>
      <c r="C2266" s="12" t="s">
        <v>1065</v>
      </c>
      <c r="D2266" s="15">
        <v>75225.0</v>
      </c>
      <c r="F2266" s="15"/>
      <c r="G2266" s="26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8"/>
      <c r="AT2266" s="28"/>
    </row>
    <row r="2267">
      <c r="A2267" s="5" t="s">
        <v>2086</v>
      </c>
      <c r="B2267" s="6">
        <v>10000.0</v>
      </c>
      <c r="C2267" s="7" t="s">
        <v>1065</v>
      </c>
      <c r="D2267" s="15">
        <v>75230.0</v>
      </c>
      <c r="F2267" s="15"/>
      <c r="G2267" s="26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28"/>
      <c r="AS2267" s="28"/>
      <c r="AT2267" s="28"/>
    </row>
    <row r="2268">
      <c r="A2268" s="10" t="s">
        <v>2087</v>
      </c>
      <c r="B2268" s="11">
        <v>50.0</v>
      </c>
      <c r="C2268" s="12" t="s">
        <v>1065</v>
      </c>
      <c r="D2268" s="15">
        <v>75228.0</v>
      </c>
      <c r="F2268" s="15"/>
      <c r="G2268" s="26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28"/>
      <c r="AS2268" s="28"/>
      <c r="AT2268" s="28"/>
    </row>
    <row r="2269">
      <c r="A2269" s="5" t="s">
        <v>2088</v>
      </c>
      <c r="B2269" s="6">
        <v>5000.0</v>
      </c>
      <c r="C2269" s="7" t="s">
        <v>1065</v>
      </c>
      <c r="D2269" s="15">
        <v>75205.0</v>
      </c>
      <c r="F2269" s="15"/>
      <c r="G2269" s="26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28"/>
      <c r="AS2269" s="28"/>
      <c r="AT2269" s="28"/>
    </row>
    <row r="2270">
      <c r="A2270" s="10" t="s">
        <v>2089</v>
      </c>
      <c r="B2270" s="11">
        <v>100.0</v>
      </c>
      <c r="C2270" s="12" t="s">
        <v>1065</v>
      </c>
      <c r="D2270" s="15">
        <v>75205.0</v>
      </c>
      <c r="F2270" s="15"/>
      <c r="G2270" s="26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28"/>
      <c r="AS2270" s="28"/>
      <c r="AT2270" s="28"/>
    </row>
    <row r="2271">
      <c r="A2271" s="5" t="s">
        <v>2090</v>
      </c>
      <c r="B2271" s="6">
        <v>500.0</v>
      </c>
      <c r="C2271" s="7" t="s">
        <v>1065</v>
      </c>
      <c r="D2271" s="15">
        <v>75244.0</v>
      </c>
      <c r="F2271" s="15"/>
      <c r="G2271" s="26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28"/>
      <c r="AS2271" s="28"/>
      <c r="AT2271" s="28"/>
    </row>
    <row r="2272">
      <c r="A2272" s="10" t="s">
        <v>1924</v>
      </c>
      <c r="B2272" s="11">
        <v>1000.0</v>
      </c>
      <c r="C2272" s="12" t="s">
        <v>1065</v>
      </c>
      <c r="D2272" s="15">
        <v>75218.0</v>
      </c>
      <c r="F2272" s="15"/>
      <c r="G2272" s="26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28"/>
      <c r="AS2272" s="28"/>
      <c r="AT2272" s="28"/>
    </row>
    <row r="2273">
      <c r="A2273" s="5" t="s">
        <v>2091</v>
      </c>
      <c r="B2273" s="6">
        <v>100.0</v>
      </c>
      <c r="C2273" s="7" t="s">
        <v>1065</v>
      </c>
      <c r="D2273" s="15">
        <v>75252.0</v>
      </c>
      <c r="F2273" s="15"/>
      <c r="G2273" s="26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28"/>
      <c r="AS2273" s="28"/>
      <c r="AT2273" s="28"/>
    </row>
    <row r="2274">
      <c r="A2274" s="10" t="s">
        <v>2092</v>
      </c>
      <c r="B2274" s="11">
        <v>500.0</v>
      </c>
      <c r="C2274" s="12" t="s">
        <v>1065</v>
      </c>
      <c r="D2274" s="15">
        <v>75081.0</v>
      </c>
      <c r="F2274" s="15"/>
      <c r="G2274" s="26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28"/>
      <c r="AS2274" s="28"/>
      <c r="AT2274" s="28"/>
    </row>
    <row r="2275">
      <c r="A2275" s="5" t="s">
        <v>2093</v>
      </c>
      <c r="B2275" s="6">
        <v>2500.0</v>
      </c>
      <c r="C2275" s="7" t="s">
        <v>1065</v>
      </c>
      <c r="D2275" s="15">
        <v>75205.0</v>
      </c>
      <c r="F2275" s="15"/>
      <c r="G2275" s="26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28"/>
      <c r="AS2275" s="28"/>
      <c r="AT2275" s="28"/>
    </row>
    <row r="2276">
      <c r="A2276" s="10" t="s">
        <v>2094</v>
      </c>
      <c r="B2276" s="11">
        <v>500.0</v>
      </c>
      <c r="C2276" s="12" t="s">
        <v>1065</v>
      </c>
      <c r="D2276" s="15">
        <v>77008.0</v>
      </c>
      <c r="F2276" s="15"/>
      <c r="G2276" s="26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</row>
    <row r="2277">
      <c r="A2277" s="5" t="s">
        <v>2095</v>
      </c>
      <c r="B2277" s="6">
        <v>500.0</v>
      </c>
      <c r="C2277" s="7" t="s">
        <v>1065</v>
      </c>
      <c r="D2277" s="15">
        <v>77057.0</v>
      </c>
      <c r="F2277" s="15"/>
      <c r="G2277" s="26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28"/>
      <c r="AS2277" s="28"/>
      <c r="AT2277" s="28"/>
    </row>
    <row r="2278">
      <c r="A2278" s="10" t="s">
        <v>2096</v>
      </c>
      <c r="B2278" s="11">
        <v>500.0</v>
      </c>
      <c r="C2278" s="12" t="s">
        <v>1065</v>
      </c>
      <c r="D2278" s="15">
        <v>75215.0</v>
      </c>
      <c r="F2278" s="15"/>
      <c r="G2278" s="26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28"/>
      <c r="AS2278" s="28"/>
      <c r="AT2278" s="28"/>
    </row>
    <row r="2279">
      <c r="A2279" s="5" t="s">
        <v>2097</v>
      </c>
      <c r="B2279" s="6">
        <v>1000.0</v>
      </c>
      <c r="C2279" s="7" t="s">
        <v>1065</v>
      </c>
      <c r="D2279" s="15">
        <v>77024.0</v>
      </c>
      <c r="F2279" s="15"/>
      <c r="G2279" s="26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28"/>
      <c r="AS2279" s="28"/>
      <c r="AT2279" s="28"/>
    </row>
    <row r="2280">
      <c r="A2280" s="10" t="s">
        <v>2098</v>
      </c>
      <c r="B2280" s="11">
        <v>1000.0</v>
      </c>
      <c r="C2280" s="12" t="s">
        <v>1065</v>
      </c>
      <c r="D2280" s="15">
        <v>77024.0</v>
      </c>
      <c r="F2280" s="15"/>
      <c r="G2280" s="26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28"/>
      <c r="AS2280" s="28"/>
      <c r="AT2280" s="28"/>
    </row>
    <row r="2281">
      <c r="A2281" s="5" t="s">
        <v>2099</v>
      </c>
      <c r="B2281" s="6">
        <v>1000.0</v>
      </c>
      <c r="C2281" s="7" t="s">
        <v>1065</v>
      </c>
      <c r="D2281" s="15">
        <v>77004.0</v>
      </c>
      <c r="F2281" s="15"/>
      <c r="G2281" s="26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</row>
    <row r="2282">
      <c r="A2282" s="10" t="s">
        <v>2100</v>
      </c>
      <c r="B2282" s="11">
        <v>150.0</v>
      </c>
      <c r="C2282" s="12" t="s">
        <v>1065</v>
      </c>
      <c r="D2282" s="15">
        <v>77006.0</v>
      </c>
      <c r="F2282" s="15"/>
      <c r="G2282" s="26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28"/>
      <c r="AS2282" s="28"/>
      <c r="AT2282" s="28"/>
    </row>
    <row r="2283">
      <c r="A2283" s="5" t="s">
        <v>2101</v>
      </c>
      <c r="B2283" s="6">
        <v>50.0</v>
      </c>
      <c r="C2283" s="7" t="s">
        <v>1065</v>
      </c>
      <c r="D2283" s="15">
        <v>77002.0</v>
      </c>
      <c r="F2283" s="15"/>
      <c r="G2283" s="26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28"/>
      <c r="AS2283" s="28"/>
      <c r="AT2283" s="28"/>
    </row>
    <row r="2284">
      <c r="A2284" s="10" t="s">
        <v>2102</v>
      </c>
      <c r="B2284" s="11">
        <v>1000.0</v>
      </c>
      <c r="C2284" s="12" t="s">
        <v>1065</v>
      </c>
      <c r="D2284" s="15">
        <v>75182.0</v>
      </c>
      <c r="F2284" s="15"/>
      <c r="G2284" s="26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28"/>
      <c r="AS2284" s="28"/>
      <c r="AT2284" s="28"/>
    </row>
    <row r="2285">
      <c r="A2285" s="5" t="s">
        <v>2103</v>
      </c>
      <c r="B2285" s="6">
        <v>5000.0</v>
      </c>
      <c r="C2285" s="7" t="s">
        <v>1065</v>
      </c>
      <c r="D2285" s="15">
        <v>75225.0</v>
      </c>
      <c r="F2285" s="15"/>
      <c r="G2285" s="26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28"/>
      <c r="AS2285" s="28"/>
      <c r="AT2285" s="28"/>
    </row>
    <row r="2286">
      <c r="A2286" s="10" t="s">
        <v>2104</v>
      </c>
      <c r="B2286" s="11">
        <v>2100.0</v>
      </c>
      <c r="C2286" s="12" t="s">
        <v>1065</v>
      </c>
      <c r="D2286" s="15">
        <v>78746.0</v>
      </c>
      <c r="F2286" s="15"/>
      <c r="G2286" s="26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28"/>
      <c r="AS2286" s="28"/>
      <c r="AT2286" s="28"/>
    </row>
    <row r="2287">
      <c r="A2287" s="5" t="s">
        <v>2105</v>
      </c>
      <c r="B2287" s="6">
        <v>4000.0</v>
      </c>
      <c r="C2287" s="7" t="s">
        <v>1065</v>
      </c>
      <c r="D2287" s="15">
        <v>75240.0</v>
      </c>
      <c r="F2287" s="15"/>
      <c r="G2287" s="26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28"/>
      <c r="AS2287" s="28"/>
      <c r="AT2287" s="28"/>
    </row>
    <row r="2288">
      <c r="A2288" s="10" t="s">
        <v>2106</v>
      </c>
      <c r="B2288" s="11">
        <v>5000.0</v>
      </c>
      <c r="C2288" s="12" t="s">
        <v>1065</v>
      </c>
      <c r="D2288" s="15">
        <v>75230.0</v>
      </c>
      <c r="F2288" s="15"/>
      <c r="G2288" s="26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28"/>
      <c r="AS2288" s="28"/>
      <c r="AT2288" s="28"/>
    </row>
    <row r="2289">
      <c r="A2289" s="5" t="s">
        <v>2107</v>
      </c>
      <c r="B2289" s="6">
        <v>5000.0</v>
      </c>
      <c r="C2289" s="7" t="s">
        <v>1065</v>
      </c>
      <c r="D2289" s="15">
        <v>75229.0</v>
      </c>
      <c r="F2289" s="15"/>
      <c r="G2289" s="26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28"/>
      <c r="AS2289" s="28"/>
      <c r="AT2289" s="28"/>
    </row>
    <row r="2290">
      <c r="A2290" s="10" t="s">
        <v>2108</v>
      </c>
      <c r="B2290" s="11">
        <v>5000.0</v>
      </c>
      <c r="C2290" s="12" t="s">
        <v>1065</v>
      </c>
      <c r="D2290" s="15">
        <v>75229.0</v>
      </c>
      <c r="F2290" s="15"/>
      <c r="G2290" s="26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28"/>
      <c r="AS2290" s="28"/>
      <c r="AT2290" s="28"/>
    </row>
    <row r="2291">
      <c r="A2291" s="5" t="s">
        <v>2109</v>
      </c>
      <c r="B2291" s="6">
        <v>300.0</v>
      </c>
      <c r="C2291" s="7" t="s">
        <v>1065</v>
      </c>
      <c r="D2291" s="15">
        <v>75254.0</v>
      </c>
      <c r="F2291" s="15"/>
      <c r="G2291" s="26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28"/>
      <c r="AS2291" s="28"/>
      <c r="AT2291" s="28"/>
    </row>
    <row r="2292">
      <c r="A2292" s="10" t="s">
        <v>2110</v>
      </c>
      <c r="B2292" s="11">
        <v>5000.0</v>
      </c>
      <c r="C2292" s="12" t="s">
        <v>1065</v>
      </c>
      <c r="D2292" s="15">
        <v>75201.0</v>
      </c>
      <c r="F2292" s="15"/>
      <c r="G2292" s="26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28"/>
      <c r="AS2292" s="28"/>
      <c r="AT2292" s="28"/>
    </row>
    <row r="2293">
      <c r="A2293" s="5" t="s">
        <v>2111</v>
      </c>
      <c r="B2293" s="6">
        <v>1000.0</v>
      </c>
      <c r="C2293" s="7" t="s">
        <v>1065</v>
      </c>
      <c r="D2293" s="15">
        <v>78703.0</v>
      </c>
      <c r="F2293" s="15"/>
      <c r="G2293" s="26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28"/>
      <c r="AS2293" s="28"/>
      <c r="AT2293" s="28"/>
    </row>
    <row r="2294">
      <c r="A2294" s="10" t="s">
        <v>2112</v>
      </c>
      <c r="B2294" s="11">
        <v>4000.0</v>
      </c>
      <c r="C2294" s="12" t="s">
        <v>1065</v>
      </c>
      <c r="D2294" s="15">
        <v>75232.0</v>
      </c>
      <c r="F2294" s="15"/>
      <c r="G2294" s="26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28"/>
      <c r="AS2294" s="28"/>
      <c r="AT2294" s="28"/>
    </row>
    <row r="2295">
      <c r="A2295" s="5" t="s">
        <v>2113</v>
      </c>
      <c r="B2295" s="6">
        <v>2500.0</v>
      </c>
      <c r="C2295" s="7" t="s">
        <v>1065</v>
      </c>
      <c r="D2295" s="15">
        <v>75201.0</v>
      </c>
      <c r="F2295" s="15"/>
      <c r="G2295" s="26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28"/>
      <c r="AS2295" s="28"/>
      <c r="AT2295" s="28"/>
    </row>
    <row r="2296">
      <c r="A2296" s="10" t="s">
        <v>2114</v>
      </c>
      <c r="B2296" s="11">
        <v>1000.0</v>
      </c>
      <c r="C2296" s="12" t="s">
        <v>1065</v>
      </c>
      <c r="D2296" s="15">
        <v>75201.0</v>
      </c>
      <c r="F2296" s="15"/>
      <c r="G2296" s="26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28"/>
      <c r="AS2296" s="28"/>
      <c r="AT2296" s="28"/>
    </row>
    <row r="2297">
      <c r="A2297" s="5" t="s">
        <v>2115</v>
      </c>
      <c r="B2297" s="6">
        <v>2000.0</v>
      </c>
      <c r="C2297" s="7" t="s">
        <v>1065</v>
      </c>
      <c r="D2297" s="15">
        <v>75229.0</v>
      </c>
      <c r="F2297" s="15"/>
      <c r="G2297" s="26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28"/>
      <c r="AS2297" s="28"/>
      <c r="AT2297" s="28"/>
    </row>
    <row r="2298">
      <c r="A2298" s="10" t="s">
        <v>2116</v>
      </c>
      <c r="B2298" s="11">
        <v>5000.0</v>
      </c>
      <c r="C2298" s="12" t="s">
        <v>1065</v>
      </c>
      <c r="D2298" s="15">
        <v>75201.0</v>
      </c>
      <c r="F2298" s="15"/>
      <c r="G2298" s="26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28"/>
      <c r="AS2298" s="28"/>
      <c r="AT2298" s="28"/>
    </row>
    <row r="2299">
      <c r="A2299" s="5" t="s">
        <v>2117</v>
      </c>
      <c r="B2299" s="6">
        <v>5000.0</v>
      </c>
      <c r="C2299" s="7" t="s">
        <v>1065</v>
      </c>
      <c r="D2299" s="15">
        <v>75204.0</v>
      </c>
      <c r="F2299" s="15"/>
      <c r="G2299" s="26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28"/>
      <c r="AS2299" s="28"/>
      <c r="AT2299" s="28"/>
    </row>
    <row r="2300">
      <c r="A2300" s="10" t="s">
        <v>1784</v>
      </c>
      <c r="B2300" s="11">
        <v>3500.0</v>
      </c>
      <c r="C2300" s="12" t="s">
        <v>1065</v>
      </c>
      <c r="D2300" s="15">
        <v>75201.0</v>
      </c>
      <c r="F2300" s="15"/>
      <c r="G2300" s="26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28"/>
      <c r="AS2300" s="28"/>
      <c r="AT2300" s="28"/>
    </row>
    <row r="2301">
      <c r="A2301" s="5" t="s">
        <v>2118</v>
      </c>
      <c r="B2301" s="6">
        <v>2500.0</v>
      </c>
      <c r="C2301" s="7" t="s">
        <v>1065</v>
      </c>
      <c r="D2301" s="15">
        <v>78704.0</v>
      </c>
      <c r="F2301" s="15"/>
      <c r="G2301" s="26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28"/>
      <c r="AS2301" s="28"/>
      <c r="AT2301" s="28"/>
    </row>
    <row r="2302">
      <c r="A2302" s="10" t="s">
        <v>2119</v>
      </c>
      <c r="B2302" s="11">
        <v>5000.0</v>
      </c>
      <c r="C2302" s="12" t="s">
        <v>1065</v>
      </c>
      <c r="D2302" s="15">
        <v>76120.0</v>
      </c>
      <c r="F2302" s="15"/>
      <c r="G2302" s="26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28"/>
      <c r="AS2302" s="28"/>
      <c r="AT2302" s="28"/>
    </row>
    <row r="2303">
      <c r="A2303" s="5"/>
      <c r="B2303" s="6"/>
      <c r="C2303" s="7"/>
      <c r="D2303" s="15"/>
      <c r="F2303" s="15"/>
      <c r="G2303" s="26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28"/>
      <c r="AS2303" s="28"/>
      <c r="AT2303" s="28"/>
    </row>
    <row r="2304">
      <c r="A2304" s="10" t="s">
        <v>2121</v>
      </c>
      <c r="B2304" s="11">
        <v>5000.0</v>
      </c>
      <c r="C2304" s="12" t="s">
        <v>1065</v>
      </c>
      <c r="D2304" s="15">
        <v>75202.0</v>
      </c>
      <c r="F2304" s="15"/>
      <c r="G2304" s="26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28"/>
      <c r="AS2304" s="28"/>
      <c r="AT2304" s="28"/>
    </row>
    <row r="2305">
      <c r="A2305" s="5" t="s">
        <v>2122</v>
      </c>
      <c r="B2305" s="6">
        <v>10000.0</v>
      </c>
      <c r="C2305" s="7" t="s">
        <v>1065</v>
      </c>
      <c r="D2305" s="15">
        <v>75380.0</v>
      </c>
      <c r="F2305" s="15"/>
      <c r="G2305" s="26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28"/>
      <c r="AS2305" s="28"/>
      <c r="AT2305" s="28"/>
    </row>
    <row r="2306">
      <c r="A2306" s="10" t="s">
        <v>1556</v>
      </c>
      <c r="B2306" s="11">
        <v>1000.0</v>
      </c>
      <c r="C2306" s="12" t="s">
        <v>1151</v>
      </c>
      <c r="D2306" s="15">
        <v>77493.0</v>
      </c>
      <c r="F2306" s="15"/>
      <c r="G2306" s="26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28"/>
      <c r="AS2306" s="28"/>
      <c r="AT2306" s="28"/>
    </row>
    <row r="2307">
      <c r="A2307" s="10" t="s">
        <v>2123</v>
      </c>
      <c r="B2307" s="11">
        <v>1000.0</v>
      </c>
      <c r="C2307" s="12" t="s">
        <v>1151</v>
      </c>
      <c r="D2307" s="15">
        <v>77073.0</v>
      </c>
      <c r="F2307" s="15"/>
      <c r="G2307" s="26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28"/>
      <c r="AS2307" s="28"/>
      <c r="AT2307" s="28"/>
    </row>
    <row r="2308">
      <c r="A2308" s="10" t="s">
        <v>2124</v>
      </c>
      <c r="B2308" s="11">
        <v>1000.0</v>
      </c>
      <c r="C2308" s="12" t="s">
        <v>1151</v>
      </c>
      <c r="D2308" s="15">
        <v>77024.0</v>
      </c>
      <c r="F2308" s="15"/>
      <c r="G2308" s="26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28"/>
      <c r="AS2308" s="28"/>
      <c r="AT2308" s="28"/>
    </row>
    <row r="2309">
      <c r="A2309" s="10" t="s">
        <v>1563</v>
      </c>
      <c r="B2309" s="11">
        <v>1000.0</v>
      </c>
      <c r="C2309" s="12" t="s">
        <v>1151</v>
      </c>
      <c r="D2309" s="15">
        <v>75205.0</v>
      </c>
      <c r="F2309" s="15"/>
      <c r="G2309" s="26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28"/>
      <c r="AS2309" s="28"/>
      <c r="AT2309" s="28"/>
    </row>
    <row r="2310">
      <c r="A2310" s="10" t="s">
        <v>1779</v>
      </c>
      <c r="B2310" s="11">
        <v>1000.0</v>
      </c>
      <c r="C2310" s="12" t="s">
        <v>1151</v>
      </c>
      <c r="D2310" s="15">
        <v>75219.0</v>
      </c>
      <c r="F2310" s="15"/>
      <c r="G2310" s="26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28"/>
      <c r="AS2310" s="28"/>
      <c r="AT2310" s="28"/>
    </row>
    <row r="2311">
      <c r="A2311" s="10" t="s">
        <v>303</v>
      </c>
      <c r="B2311" s="11">
        <v>1000.0</v>
      </c>
      <c r="C2311" s="12" t="s">
        <v>2125</v>
      </c>
      <c r="D2311" s="15">
        <v>75205.0</v>
      </c>
      <c r="F2311" s="15"/>
      <c r="G2311" s="26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28"/>
      <c r="AS2311" s="28"/>
      <c r="AT2311" s="28"/>
    </row>
    <row r="2312">
      <c r="A2312" s="10" t="s">
        <v>303</v>
      </c>
      <c r="B2312" s="11">
        <v>1000.0</v>
      </c>
      <c r="C2312" s="12" t="s">
        <v>2125</v>
      </c>
      <c r="D2312" s="15">
        <v>75205.0</v>
      </c>
      <c r="F2312" s="15"/>
      <c r="G2312" s="26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28"/>
      <c r="AS2312" s="28"/>
      <c r="AT2312" s="28"/>
    </row>
    <row r="2313">
      <c r="A2313" s="10" t="s">
        <v>304</v>
      </c>
      <c r="B2313" s="11">
        <v>1000.0</v>
      </c>
      <c r="C2313" s="12" t="s">
        <v>2125</v>
      </c>
      <c r="D2313" s="15">
        <v>75205.0</v>
      </c>
      <c r="F2313" s="15"/>
      <c r="G2313" s="26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28"/>
      <c r="AS2313" s="28"/>
      <c r="AT2313" s="28"/>
    </row>
    <row r="2314">
      <c r="A2314" s="10" t="s">
        <v>304</v>
      </c>
      <c r="B2314" s="11">
        <v>1000.0</v>
      </c>
      <c r="C2314" s="12" t="s">
        <v>2125</v>
      </c>
      <c r="D2314" s="15">
        <v>75205.0</v>
      </c>
      <c r="F2314" s="15"/>
      <c r="G2314" s="26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28"/>
      <c r="AS2314" s="28"/>
      <c r="AT2314" s="28"/>
    </row>
    <row r="2315">
      <c r="A2315" s="10" t="s">
        <v>2126</v>
      </c>
      <c r="B2315" s="11">
        <v>2500.0</v>
      </c>
      <c r="C2315" s="12" t="s">
        <v>2125</v>
      </c>
      <c r="D2315" s="15">
        <v>75093.0</v>
      </c>
      <c r="F2315" s="15"/>
      <c r="G2315" s="26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28"/>
      <c r="AS2315" s="28"/>
      <c r="AT2315" s="28"/>
    </row>
    <row r="2316">
      <c r="A2316" s="10" t="s">
        <v>2126</v>
      </c>
      <c r="B2316" s="11">
        <v>2500.0</v>
      </c>
      <c r="C2316" s="12" t="s">
        <v>2125</v>
      </c>
      <c r="D2316" s="15">
        <v>75093.0</v>
      </c>
      <c r="F2316" s="15"/>
      <c r="G2316" s="26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28"/>
      <c r="AS2316" s="28"/>
      <c r="AT2316" s="28"/>
    </row>
    <row r="2317">
      <c r="A2317" s="10" t="s">
        <v>2127</v>
      </c>
      <c r="B2317" s="11">
        <v>1000.0</v>
      </c>
      <c r="C2317" s="12" t="s">
        <v>2125</v>
      </c>
      <c r="D2317" s="15">
        <v>75230.0</v>
      </c>
      <c r="F2317" s="15"/>
      <c r="G2317" s="26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28"/>
      <c r="AS2317" s="28"/>
      <c r="AT2317" s="28"/>
    </row>
    <row r="2318">
      <c r="A2318" s="10" t="s">
        <v>2127</v>
      </c>
      <c r="B2318" s="11">
        <v>1000.0</v>
      </c>
      <c r="C2318" s="12" t="s">
        <v>2125</v>
      </c>
      <c r="D2318" s="15">
        <v>75230.0</v>
      </c>
      <c r="F2318" s="15"/>
      <c r="G2318" s="26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28"/>
      <c r="AS2318" s="28"/>
      <c r="AT2318" s="28"/>
    </row>
    <row r="2319">
      <c r="A2319" s="10" t="s">
        <v>2128</v>
      </c>
      <c r="B2319" s="11">
        <v>1000.0</v>
      </c>
      <c r="C2319" s="12" t="s">
        <v>2125</v>
      </c>
      <c r="D2319" s="15">
        <v>75201.0</v>
      </c>
      <c r="F2319" s="15"/>
      <c r="G2319" s="26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28"/>
      <c r="AS2319" s="28"/>
      <c r="AT2319" s="28"/>
    </row>
    <row r="2320">
      <c r="A2320" s="10" t="s">
        <v>2128</v>
      </c>
      <c r="B2320" s="11">
        <v>1000.0</v>
      </c>
      <c r="C2320" s="12" t="s">
        <v>2125</v>
      </c>
      <c r="D2320" s="15">
        <v>75201.0</v>
      </c>
      <c r="F2320" s="15"/>
      <c r="G2320" s="26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28"/>
      <c r="AS2320" s="28"/>
      <c r="AT2320" s="28"/>
    </row>
    <row r="2321">
      <c r="A2321" s="10" t="s">
        <v>2096</v>
      </c>
      <c r="B2321" s="11">
        <v>500.0</v>
      </c>
      <c r="C2321" s="12" t="s">
        <v>2125</v>
      </c>
      <c r="D2321" s="15">
        <v>75215.0</v>
      </c>
      <c r="F2321" s="15"/>
      <c r="G2321" s="26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28"/>
      <c r="AS2321" s="28"/>
      <c r="AT2321" s="28"/>
    </row>
    <row r="2322">
      <c r="A2322" s="10" t="s">
        <v>2096</v>
      </c>
      <c r="B2322" s="11">
        <v>500.0</v>
      </c>
      <c r="C2322" s="12" t="s">
        <v>2125</v>
      </c>
      <c r="D2322" s="15">
        <v>75215.0</v>
      </c>
      <c r="F2322" s="15"/>
      <c r="G2322" s="26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28"/>
      <c r="AS2322" s="28"/>
      <c r="AT2322" s="28"/>
    </row>
    <row r="2323">
      <c r="A2323" s="10" t="s">
        <v>2129</v>
      </c>
      <c r="B2323" s="11">
        <v>1000.0</v>
      </c>
      <c r="C2323" s="12" t="s">
        <v>2125</v>
      </c>
      <c r="D2323" s="15">
        <v>75220.0</v>
      </c>
      <c r="F2323" s="15"/>
      <c r="G2323" s="26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28"/>
      <c r="AS2323" s="28"/>
      <c r="AT2323" s="28"/>
    </row>
    <row r="2324">
      <c r="A2324" s="10" t="s">
        <v>2129</v>
      </c>
      <c r="B2324" s="11">
        <v>1000.0</v>
      </c>
      <c r="C2324" s="12" t="s">
        <v>2125</v>
      </c>
      <c r="D2324" s="15">
        <v>75220.0</v>
      </c>
      <c r="F2324" s="15"/>
      <c r="G2324" s="26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28"/>
      <c r="AS2324" s="28"/>
      <c r="AT2324" s="28"/>
    </row>
    <row r="2325">
      <c r="A2325" s="10" t="s">
        <v>2130</v>
      </c>
      <c r="B2325" s="11">
        <v>1000.0</v>
      </c>
      <c r="C2325" s="12" t="s">
        <v>2125</v>
      </c>
      <c r="D2325" s="15">
        <v>75220.0</v>
      </c>
      <c r="F2325" s="15"/>
      <c r="G2325" s="26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28"/>
      <c r="AS2325" s="28"/>
      <c r="AT2325" s="28"/>
    </row>
    <row r="2326">
      <c r="A2326" s="10" t="s">
        <v>2130</v>
      </c>
      <c r="B2326" s="11">
        <v>1000.0</v>
      </c>
      <c r="C2326" s="12" t="s">
        <v>2125</v>
      </c>
      <c r="D2326" s="15">
        <v>75220.0</v>
      </c>
      <c r="F2326" s="15"/>
      <c r="G2326" s="26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28"/>
      <c r="AS2326" s="28"/>
      <c r="AT2326" s="28"/>
    </row>
    <row r="2327">
      <c r="A2327" s="10" t="s">
        <v>414</v>
      </c>
      <c r="B2327" s="11">
        <v>1000.0</v>
      </c>
      <c r="C2327" s="12" t="s">
        <v>2125</v>
      </c>
      <c r="D2327" s="15">
        <v>75220.0</v>
      </c>
      <c r="F2327" s="15"/>
      <c r="G2327" s="26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28"/>
      <c r="AS2327" s="28"/>
      <c r="AT2327" s="28"/>
    </row>
    <row r="2328">
      <c r="A2328" s="10" t="s">
        <v>414</v>
      </c>
      <c r="B2328" s="11">
        <v>1000.0</v>
      </c>
      <c r="C2328" s="12" t="s">
        <v>2125</v>
      </c>
      <c r="D2328" s="15">
        <v>75220.0</v>
      </c>
      <c r="F2328" s="15"/>
      <c r="G2328" s="26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28"/>
      <c r="AS2328" s="28"/>
      <c r="AT2328" s="28"/>
    </row>
    <row r="2329">
      <c r="A2329" s="10" t="s">
        <v>2131</v>
      </c>
      <c r="B2329" s="11">
        <v>2000.0</v>
      </c>
      <c r="C2329" s="12" t="s">
        <v>2125</v>
      </c>
      <c r="D2329" s="15">
        <v>75248.0</v>
      </c>
      <c r="F2329" s="15"/>
      <c r="G2329" s="26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28"/>
      <c r="AS2329" s="28"/>
      <c r="AT2329" s="28"/>
    </row>
    <row r="2330">
      <c r="A2330" s="10" t="s">
        <v>2131</v>
      </c>
      <c r="B2330" s="11">
        <v>2000.0</v>
      </c>
      <c r="C2330" s="12" t="s">
        <v>2125</v>
      </c>
      <c r="D2330" s="15">
        <v>75248.0</v>
      </c>
      <c r="F2330" s="15"/>
      <c r="G2330" s="26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28"/>
      <c r="AS2330" s="28"/>
      <c r="AT2330" s="28"/>
    </row>
    <row r="2331">
      <c r="A2331" s="10" t="s">
        <v>2132</v>
      </c>
      <c r="B2331" s="11">
        <v>1000.0</v>
      </c>
      <c r="C2331" s="12" t="s">
        <v>2125</v>
      </c>
      <c r="D2331" s="15">
        <v>75252.0</v>
      </c>
      <c r="F2331" s="15"/>
      <c r="G2331" s="26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28"/>
      <c r="AS2331" s="28"/>
      <c r="AT2331" s="28"/>
    </row>
    <row r="2332">
      <c r="A2332" s="10" t="s">
        <v>2132</v>
      </c>
      <c r="B2332" s="11">
        <v>1000.0</v>
      </c>
      <c r="C2332" s="12" t="s">
        <v>2125</v>
      </c>
      <c r="D2332" s="15">
        <v>75252.0</v>
      </c>
      <c r="F2332" s="15"/>
      <c r="G2332" s="26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28"/>
      <c r="AS2332" s="28"/>
      <c r="AT2332" s="28"/>
    </row>
    <row r="2333">
      <c r="A2333" s="10" t="s">
        <v>2133</v>
      </c>
      <c r="B2333" s="11">
        <v>500.0</v>
      </c>
      <c r="C2333" s="12" t="s">
        <v>634</v>
      </c>
      <c r="D2333" s="15">
        <v>75230.0</v>
      </c>
      <c r="F2333" s="15"/>
      <c r="G2333" s="26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28"/>
      <c r="AS2333" s="28"/>
      <c r="AT2333" s="28"/>
    </row>
    <row r="2334">
      <c r="A2334" s="10" t="s">
        <v>1536</v>
      </c>
      <c r="B2334" s="11">
        <v>75.0</v>
      </c>
      <c r="C2334" s="12" t="s">
        <v>634</v>
      </c>
      <c r="D2334" s="15">
        <v>75204.0</v>
      </c>
      <c r="F2334" s="15"/>
      <c r="G2334" s="26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28"/>
      <c r="AS2334" s="28"/>
      <c r="AT2334" s="28"/>
    </row>
    <row r="2335">
      <c r="A2335" s="10" t="s">
        <v>2134</v>
      </c>
      <c r="B2335" s="11">
        <v>250.0</v>
      </c>
      <c r="C2335" s="12" t="s">
        <v>634</v>
      </c>
      <c r="D2335" s="15">
        <v>75229.0</v>
      </c>
      <c r="F2335" s="15"/>
      <c r="G2335" s="26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28"/>
      <c r="AS2335" s="28"/>
      <c r="AT2335" s="28"/>
    </row>
    <row r="2336">
      <c r="A2336" s="10" t="s">
        <v>2135</v>
      </c>
      <c r="B2336" s="11">
        <v>200.0</v>
      </c>
      <c r="C2336" s="12" t="s">
        <v>634</v>
      </c>
      <c r="D2336" s="15">
        <v>75081.0</v>
      </c>
      <c r="F2336" s="15"/>
      <c r="G2336" s="26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</row>
    <row r="2337">
      <c r="A2337" s="10"/>
      <c r="B2337" s="11"/>
      <c r="C2337" s="12"/>
      <c r="D2337" s="15"/>
      <c r="F2337" s="15"/>
      <c r="G2337" s="26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28"/>
      <c r="AS2337" s="28"/>
      <c r="AT2337" s="28"/>
    </row>
    <row r="2338">
      <c r="A2338" s="10" t="s">
        <v>2137</v>
      </c>
      <c r="B2338" s="11">
        <v>250.0</v>
      </c>
      <c r="C2338" s="12" t="s">
        <v>634</v>
      </c>
      <c r="D2338" s="15">
        <v>75219.0</v>
      </c>
      <c r="F2338" s="15"/>
      <c r="G2338" s="26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28"/>
      <c r="AS2338" s="28"/>
      <c r="AT2338" s="28"/>
    </row>
    <row r="2339">
      <c r="A2339" s="10" t="s">
        <v>2138</v>
      </c>
      <c r="B2339" s="11">
        <v>180.0</v>
      </c>
      <c r="C2339" s="12" t="s">
        <v>634</v>
      </c>
      <c r="D2339" s="15">
        <v>75230.0</v>
      </c>
      <c r="F2339" s="15"/>
      <c r="G2339" s="26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28"/>
      <c r="AS2339" s="28"/>
      <c r="AT2339" s="28"/>
    </row>
    <row r="2340">
      <c r="A2340" s="10" t="s">
        <v>2139</v>
      </c>
      <c r="B2340" s="11">
        <v>50.0</v>
      </c>
      <c r="C2340" s="12" t="s">
        <v>634</v>
      </c>
      <c r="D2340" s="15">
        <v>75230.0</v>
      </c>
      <c r="F2340" s="15"/>
      <c r="G2340" s="26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28"/>
      <c r="AS2340" s="28"/>
      <c r="AT2340" s="28"/>
    </row>
    <row r="2341">
      <c r="A2341" s="10"/>
      <c r="B2341" s="11"/>
      <c r="C2341" s="12"/>
      <c r="D2341" s="15"/>
      <c r="F2341" s="15"/>
      <c r="G2341" s="26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28"/>
      <c r="AS2341" s="28"/>
      <c r="AT2341" s="28"/>
    </row>
    <row r="2342">
      <c r="A2342" s="10" t="s">
        <v>2141</v>
      </c>
      <c r="B2342" s="11">
        <v>180.0</v>
      </c>
      <c r="C2342" s="12" t="s">
        <v>634</v>
      </c>
      <c r="D2342" s="15">
        <v>75254.0</v>
      </c>
      <c r="F2342" s="15"/>
      <c r="G2342" s="26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28"/>
      <c r="AS2342" s="28"/>
      <c r="AT2342" s="28"/>
    </row>
    <row r="2343">
      <c r="A2343" s="10" t="s">
        <v>2142</v>
      </c>
      <c r="B2343" s="11">
        <v>500.0</v>
      </c>
      <c r="C2343" s="12" t="s">
        <v>634</v>
      </c>
      <c r="D2343" s="15">
        <v>75254.0</v>
      </c>
      <c r="F2343" s="15"/>
      <c r="G2343" s="26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28"/>
      <c r="AS2343" s="28"/>
      <c r="AT2343" s="28"/>
    </row>
    <row r="2344">
      <c r="A2344" s="10" t="s">
        <v>2143</v>
      </c>
      <c r="B2344" s="11">
        <v>250.0</v>
      </c>
      <c r="C2344" s="12" t="s">
        <v>634</v>
      </c>
      <c r="D2344" s="15">
        <v>75248.0</v>
      </c>
      <c r="F2344" s="15"/>
      <c r="G2344" s="26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28"/>
      <c r="AS2344" s="28"/>
      <c r="AT2344" s="28"/>
    </row>
    <row r="2345">
      <c r="A2345" s="10" t="s">
        <v>2144</v>
      </c>
      <c r="B2345" s="11">
        <v>250.0</v>
      </c>
      <c r="C2345" s="12" t="s">
        <v>634</v>
      </c>
      <c r="D2345" s="15">
        <v>75219.0</v>
      </c>
      <c r="F2345" s="15"/>
      <c r="G2345" s="26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28"/>
      <c r="AS2345" s="28"/>
      <c r="AT2345" s="28"/>
    </row>
    <row r="2346">
      <c r="A2346" s="10" t="s">
        <v>2145</v>
      </c>
      <c r="B2346" s="11">
        <v>500.0</v>
      </c>
      <c r="C2346" s="12" t="s">
        <v>634</v>
      </c>
      <c r="D2346" s="15">
        <v>75230.0</v>
      </c>
      <c r="F2346" s="15"/>
      <c r="G2346" s="26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28"/>
      <c r="AS2346" s="28"/>
      <c r="AT2346" s="28"/>
    </row>
    <row r="2347">
      <c r="A2347" s="10" t="s">
        <v>2146</v>
      </c>
      <c r="B2347" s="11">
        <v>500.0</v>
      </c>
      <c r="C2347" s="12" t="s">
        <v>634</v>
      </c>
      <c r="D2347" s="15">
        <v>75238.0</v>
      </c>
      <c r="F2347" s="15"/>
      <c r="G2347" s="26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28"/>
      <c r="AS2347" s="28"/>
      <c r="AT2347" s="28"/>
    </row>
    <row r="2348">
      <c r="A2348" s="10" t="s">
        <v>2147</v>
      </c>
      <c r="B2348" s="11">
        <v>250.0</v>
      </c>
      <c r="C2348" s="12" t="s">
        <v>634</v>
      </c>
      <c r="D2348" s="15">
        <v>75230.0</v>
      </c>
      <c r="F2348" s="15"/>
      <c r="G2348" s="26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28"/>
      <c r="AS2348" s="28"/>
      <c r="AT2348" s="28"/>
    </row>
    <row r="2349">
      <c r="A2349" s="10" t="s">
        <v>2148</v>
      </c>
      <c r="B2349" s="11">
        <v>500.0</v>
      </c>
      <c r="C2349" s="12" t="s">
        <v>634</v>
      </c>
      <c r="D2349" s="15">
        <v>75230.0</v>
      </c>
      <c r="F2349" s="15"/>
      <c r="G2349" s="26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28"/>
      <c r="AS2349" s="28"/>
      <c r="AT2349" s="28"/>
    </row>
    <row r="2350">
      <c r="A2350" s="10" t="s">
        <v>2149</v>
      </c>
      <c r="B2350" s="11">
        <v>100.0</v>
      </c>
      <c r="C2350" s="12" t="s">
        <v>634</v>
      </c>
      <c r="D2350" s="15">
        <v>75209.0</v>
      </c>
      <c r="F2350" s="15"/>
      <c r="G2350" s="26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28"/>
      <c r="AS2350" s="28"/>
      <c r="AT2350" s="28"/>
    </row>
    <row r="2351">
      <c r="A2351" s="10" t="s">
        <v>804</v>
      </c>
      <c r="B2351" s="11">
        <v>250.0</v>
      </c>
      <c r="C2351" s="12" t="s">
        <v>634</v>
      </c>
      <c r="D2351" s="15">
        <v>75230.0</v>
      </c>
      <c r="F2351" s="15"/>
      <c r="G2351" s="26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28"/>
      <c r="AS2351" s="28"/>
      <c r="AT2351" s="28"/>
    </row>
    <row r="2352">
      <c r="A2352" s="10" t="s">
        <v>828</v>
      </c>
      <c r="B2352" s="11">
        <v>25.0</v>
      </c>
      <c r="C2352" s="12" t="s">
        <v>634</v>
      </c>
      <c r="D2352" s="15">
        <v>75230.0</v>
      </c>
      <c r="F2352" s="15"/>
      <c r="G2352" s="26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28"/>
      <c r="AS2352" s="28"/>
      <c r="AT2352" s="28"/>
    </row>
    <row r="2353">
      <c r="A2353" s="10" t="s">
        <v>2150</v>
      </c>
      <c r="B2353" s="11">
        <v>1000.0</v>
      </c>
      <c r="C2353" s="12" t="s">
        <v>634</v>
      </c>
      <c r="D2353" s="15">
        <v>75229.0</v>
      </c>
      <c r="F2353" s="15"/>
      <c r="G2353" s="26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28"/>
      <c r="AS2353" s="28"/>
      <c r="AT2353" s="28"/>
    </row>
    <row r="2354">
      <c r="A2354" s="10" t="s">
        <v>2151</v>
      </c>
      <c r="B2354" s="11">
        <v>250.0</v>
      </c>
      <c r="C2354" s="12" t="s">
        <v>634</v>
      </c>
      <c r="D2354" s="15">
        <v>75252.0</v>
      </c>
      <c r="F2354" s="15"/>
      <c r="G2354" s="26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28"/>
      <c r="AS2354" s="28"/>
      <c r="AT2354" s="28"/>
    </row>
    <row r="2355">
      <c r="A2355" s="10" t="s">
        <v>1182</v>
      </c>
      <c r="B2355" s="11">
        <v>250.0</v>
      </c>
      <c r="C2355" s="12" t="s">
        <v>634</v>
      </c>
      <c r="D2355" s="15">
        <v>75230.0</v>
      </c>
      <c r="F2355" s="15"/>
      <c r="G2355" s="26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28"/>
      <c r="AS2355" s="28"/>
      <c r="AT2355" s="28"/>
    </row>
    <row r="2356">
      <c r="A2356" s="10" t="s">
        <v>2152</v>
      </c>
      <c r="B2356" s="11">
        <v>50.0</v>
      </c>
      <c r="C2356" s="12" t="s">
        <v>634</v>
      </c>
      <c r="D2356" s="15">
        <v>75230.0</v>
      </c>
      <c r="F2356" s="15"/>
      <c r="G2356" s="26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/>
      <c r="AS2356" s="28"/>
      <c r="AT2356" s="28"/>
    </row>
    <row r="2357">
      <c r="A2357" s="10" t="s">
        <v>2153</v>
      </c>
      <c r="B2357" s="11">
        <v>250.0</v>
      </c>
      <c r="C2357" s="12" t="s">
        <v>634</v>
      </c>
      <c r="D2357" s="15">
        <v>75230.0</v>
      </c>
      <c r="F2357" s="15"/>
      <c r="G2357" s="26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28"/>
      <c r="AS2357" s="28"/>
      <c r="AT2357" s="28"/>
    </row>
    <row r="2358">
      <c r="A2358" s="10" t="s">
        <v>2154</v>
      </c>
      <c r="B2358" s="11">
        <v>50.0</v>
      </c>
      <c r="C2358" s="12" t="s">
        <v>634</v>
      </c>
      <c r="D2358" s="15">
        <v>75248.0</v>
      </c>
      <c r="F2358" s="15"/>
      <c r="G2358" s="26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28"/>
      <c r="AS2358" s="28"/>
      <c r="AT2358" s="28"/>
    </row>
    <row r="2359">
      <c r="A2359" s="10" t="s">
        <v>2155</v>
      </c>
      <c r="B2359" s="11">
        <v>100.0</v>
      </c>
      <c r="C2359" s="12" t="s">
        <v>634</v>
      </c>
      <c r="D2359" s="15">
        <v>75248.0</v>
      </c>
      <c r="F2359" s="15"/>
      <c r="G2359" s="26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28"/>
      <c r="AS2359" s="28"/>
      <c r="AT2359" s="28"/>
    </row>
    <row r="2360">
      <c r="A2360" s="10" t="s">
        <v>2000</v>
      </c>
      <c r="B2360" s="11">
        <v>500.0</v>
      </c>
      <c r="C2360" s="12" t="s">
        <v>634</v>
      </c>
      <c r="D2360" s="15">
        <v>75230.0</v>
      </c>
      <c r="F2360" s="15"/>
      <c r="G2360" s="26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28"/>
      <c r="AS2360" s="28"/>
      <c r="AT2360" s="28"/>
    </row>
    <row r="2361">
      <c r="A2361" s="10" t="s">
        <v>2156</v>
      </c>
      <c r="B2361" s="11">
        <v>50.0</v>
      </c>
      <c r="C2361" s="12" t="s">
        <v>634</v>
      </c>
      <c r="D2361" s="15">
        <v>75230.0</v>
      </c>
      <c r="F2361" s="15"/>
      <c r="G2361" s="26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28"/>
      <c r="AS2361" s="28"/>
      <c r="AT2361" s="28"/>
    </row>
    <row r="2362">
      <c r="A2362" s="10" t="s">
        <v>2157</v>
      </c>
      <c r="B2362" s="11">
        <v>500.0</v>
      </c>
      <c r="C2362" s="12" t="s">
        <v>634</v>
      </c>
      <c r="D2362" s="15">
        <v>75230.0</v>
      </c>
      <c r="F2362" s="15"/>
      <c r="G2362" s="26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28"/>
      <c r="AS2362" s="28"/>
      <c r="AT2362" s="28"/>
    </row>
    <row r="2363">
      <c r="A2363" s="10" t="s">
        <v>2158</v>
      </c>
      <c r="B2363" s="11">
        <v>500.0</v>
      </c>
      <c r="C2363" s="12" t="s">
        <v>634</v>
      </c>
      <c r="D2363" s="15">
        <v>75248.0</v>
      </c>
      <c r="F2363" s="15"/>
      <c r="G2363" s="26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  <c r="AF2363" s="28"/>
      <c r="AG2363" s="28"/>
      <c r="AH2363" s="28"/>
      <c r="AI2363" s="28"/>
      <c r="AJ2363" s="28"/>
      <c r="AK2363" s="28"/>
      <c r="AL2363" s="28"/>
      <c r="AM2363" s="28"/>
      <c r="AN2363" s="28"/>
      <c r="AO2363" s="28"/>
      <c r="AP2363" s="28"/>
      <c r="AQ2363" s="28"/>
      <c r="AR2363" s="28"/>
      <c r="AS2363" s="28"/>
      <c r="AT2363" s="28"/>
    </row>
    <row r="2364">
      <c r="A2364" s="10" t="s">
        <v>2159</v>
      </c>
      <c r="B2364" s="11">
        <v>25.0</v>
      </c>
      <c r="C2364" s="12" t="s">
        <v>634</v>
      </c>
      <c r="D2364" s="15">
        <v>75230.0</v>
      </c>
      <c r="F2364" s="15"/>
      <c r="G2364" s="26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O2364" s="28"/>
      <c r="AP2364" s="28"/>
      <c r="AQ2364" s="28"/>
      <c r="AR2364" s="28"/>
      <c r="AS2364" s="28"/>
      <c r="AT2364" s="28"/>
    </row>
    <row r="2365">
      <c r="A2365" s="10" t="s">
        <v>2160</v>
      </c>
      <c r="B2365" s="11">
        <v>100.0</v>
      </c>
      <c r="C2365" s="12" t="s">
        <v>634</v>
      </c>
      <c r="D2365" s="15">
        <v>75230.0</v>
      </c>
      <c r="F2365" s="15"/>
      <c r="G2365" s="26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R2365" s="28"/>
      <c r="AS2365" s="28"/>
      <c r="AT2365" s="28"/>
    </row>
    <row r="2366">
      <c r="A2366" s="10" t="s">
        <v>2161</v>
      </c>
      <c r="B2366" s="11">
        <v>100.0</v>
      </c>
      <c r="C2366" s="12" t="s">
        <v>634</v>
      </c>
      <c r="D2366" s="15">
        <v>75229.0</v>
      </c>
      <c r="F2366" s="15"/>
      <c r="G2366" s="26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28"/>
      <c r="AS2366" s="28"/>
      <c r="AT2366" s="28"/>
    </row>
    <row r="2367">
      <c r="A2367" s="10" t="s">
        <v>2162</v>
      </c>
      <c r="B2367" s="11">
        <v>50.0</v>
      </c>
      <c r="C2367" s="12" t="s">
        <v>634</v>
      </c>
      <c r="D2367" s="15">
        <v>75227.0</v>
      </c>
      <c r="F2367" s="15"/>
      <c r="G2367" s="26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28"/>
      <c r="AS2367" s="28"/>
      <c r="AT2367" s="28"/>
    </row>
    <row r="2368">
      <c r="A2368" s="10" t="s">
        <v>2163</v>
      </c>
      <c r="B2368" s="11">
        <v>500.0</v>
      </c>
      <c r="C2368" s="12" t="s">
        <v>634</v>
      </c>
      <c r="D2368" s="15">
        <v>75230.0</v>
      </c>
      <c r="F2368" s="15"/>
      <c r="G2368" s="26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  <c r="AF2368" s="28"/>
      <c r="AG2368" s="28"/>
      <c r="AH2368" s="28"/>
      <c r="AI2368" s="28"/>
      <c r="AJ2368" s="28"/>
      <c r="AK2368" s="28"/>
      <c r="AL2368" s="28"/>
      <c r="AM2368" s="28"/>
      <c r="AN2368" s="28"/>
      <c r="AO2368" s="28"/>
      <c r="AP2368" s="28"/>
      <c r="AQ2368" s="28"/>
      <c r="AR2368" s="28"/>
      <c r="AS2368" s="28"/>
      <c r="AT2368" s="28"/>
    </row>
    <row r="2369">
      <c r="A2369" s="10"/>
      <c r="B2369" s="11"/>
      <c r="C2369" s="12"/>
      <c r="D2369" s="15"/>
      <c r="F2369" s="15"/>
      <c r="G2369" s="26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  <c r="AF2369" s="28"/>
      <c r="AG2369" s="28"/>
      <c r="AH2369" s="28"/>
      <c r="AI2369" s="28"/>
      <c r="AJ2369" s="28"/>
      <c r="AK2369" s="28"/>
      <c r="AL2369" s="28"/>
      <c r="AM2369" s="28"/>
      <c r="AN2369" s="28"/>
      <c r="AO2369" s="28"/>
      <c r="AP2369" s="28"/>
      <c r="AQ2369" s="28"/>
      <c r="AR2369" s="28"/>
      <c r="AS2369" s="28"/>
      <c r="AT2369" s="28"/>
    </row>
    <row r="2370">
      <c r="A2370" s="10" t="s">
        <v>2165</v>
      </c>
      <c r="B2370" s="11">
        <v>300.0</v>
      </c>
      <c r="C2370" s="12" t="s">
        <v>634</v>
      </c>
      <c r="D2370" s="15">
        <v>75230.0</v>
      </c>
      <c r="F2370" s="15"/>
      <c r="G2370" s="26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  <c r="AF2370" s="28"/>
      <c r="AG2370" s="28"/>
      <c r="AH2370" s="28"/>
      <c r="AI2370" s="28"/>
      <c r="AJ2370" s="28"/>
      <c r="AK2370" s="28"/>
      <c r="AL2370" s="28"/>
      <c r="AM2370" s="28"/>
      <c r="AN2370" s="28"/>
      <c r="AO2370" s="28"/>
      <c r="AP2370" s="28"/>
      <c r="AQ2370" s="28"/>
      <c r="AR2370" s="28"/>
      <c r="AS2370" s="28"/>
      <c r="AT2370" s="28"/>
    </row>
    <row r="2371">
      <c r="A2371" s="10" t="s">
        <v>1846</v>
      </c>
      <c r="B2371" s="11">
        <v>250.0</v>
      </c>
      <c r="C2371" s="12" t="s">
        <v>634</v>
      </c>
      <c r="D2371" s="15">
        <v>75204.0</v>
      </c>
      <c r="F2371" s="15"/>
      <c r="G2371" s="26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R2371" s="28"/>
      <c r="AS2371" s="28"/>
      <c r="AT2371" s="28"/>
    </row>
    <row r="2372">
      <c r="A2372" s="10" t="s">
        <v>2166</v>
      </c>
      <c r="B2372" s="11">
        <v>250.0</v>
      </c>
      <c r="C2372" s="12" t="s">
        <v>634</v>
      </c>
      <c r="D2372" s="15">
        <v>75230.0</v>
      </c>
      <c r="F2372" s="15"/>
      <c r="G2372" s="26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28"/>
      <c r="AS2372" s="28"/>
      <c r="AT2372" s="28"/>
    </row>
    <row r="2373">
      <c r="A2373" s="10" t="s">
        <v>1180</v>
      </c>
      <c r="B2373" s="11">
        <v>50.0</v>
      </c>
      <c r="C2373" s="12" t="s">
        <v>634</v>
      </c>
      <c r="D2373" s="15">
        <v>75248.0</v>
      </c>
      <c r="F2373" s="15"/>
      <c r="G2373" s="26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28"/>
      <c r="AS2373" s="28"/>
      <c r="AT2373" s="28"/>
    </row>
    <row r="2374">
      <c r="A2374" s="10" t="s">
        <v>2167</v>
      </c>
      <c r="B2374" s="11">
        <v>500.0</v>
      </c>
      <c r="C2374" s="12" t="s">
        <v>634</v>
      </c>
      <c r="D2374" s="15">
        <v>75229.0</v>
      </c>
      <c r="F2374" s="15"/>
      <c r="G2374" s="26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28"/>
      <c r="AR2374" s="28"/>
      <c r="AS2374" s="28"/>
      <c r="AT2374" s="28"/>
    </row>
    <row r="2375">
      <c r="A2375" s="10" t="s">
        <v>2168</v>
      </c>
      <c r="B2375" s="11">
        <v>25.0</v>
      </c>
      <c r="C2375" s="12" t="s">
        <v>634</v>
      </c>
      <c r="D2375" s="15">
        <v>75230.0</v>
      </c>
      <c r="F2375" s="15"/>
      <c r="G2375" s="26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  <c r="AF2375" s="28"/>
      <c r="AG2375" s="28"/>
      <c r="AH2375" s="28"/>
      <c r="AI2375" s="28"/>
      <c r="AJ2375" s="28"/>
      <c r="AK2375" s="28"/>
      <c r="AL2375" s="28"/>
      <c r="AM2375" s="28"/>
      <c r="AN2375" s="28"/>
      <c r="AO2375" s="28"/>
      <c r="AP2375" s="28"/>
      <c r="AQ2375" s="28"/>
      <c r="AR2375" s="28"/>
      <c r="AS2375" s="28"/>
      <c r="AT2375" s="28"/>
    </row>
    <row r="2376">
      <c r="A2376" s="10" t="s">
        <v>818</v>
      </c>
      <c r="B2376" s="11">
        <v>500.0</v>
      </c>
      <c r="C2376" s="12" t="s">
        <v>634</v>
      </c>
      <c r="D2376" s="15">
        <v>75230.0</v>
      </c>
      <c r="F2376" s="15"/>
      <c r="G2376" s="26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  <c r="AF2376" s="28"/>
      <c r="AG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28"/>
      <c r="AS2376" s="28"/>
      <c r="AT2376" s="28"/>
    </row>
    <row r="2377">
      <c r="A2377" s="10" t="s">
        <v>2169</v>
      </c>
      <c r="B2377" s="11">
        <v>100.0</v>
      </c>
      <c r="C2377" s="12" t="s">
        <v>634</v>
      </c>
      <c r="D2377" s="15">
        <v>75230.0</v>
      </c>
      <c r="F2377" s="15"/>
      <c r="G2377" s="26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28"/>
      <c r="AS2377" s="28"/>
      <c r="AT2377" s="28"/>
    </row>
    <row r="2378">
      <c r="A2378" s="10" t="s">
        <v>855</v>
      </c>
      <c r="B2378" s="11">
        <v>25.0</v>
      </c>
      <c r="C2378" s="12" t="s">
        <v>634</v>
      </c>
      <c r="D2378" s="15">
        <v>75248.0</v>
      </c>
      <c r="F2378" s="15"/>
      <c r="G2378" s="26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28"/>
      <c r="AS2378" s="28"/>
      <c r="AT2378" s="28"/>
    </row>
    <row r="2379">
      <c r="A2379" s="10" t="s">
        <v>2170</v>
      </c>
      <c r="B2379" s="11">
        <v>250.0</v>
      </c>
      <c r="C2379" s="12" t="s">
        <v>634</v>
      </c>
      <c r="D2379" s="15">
        <v>75230.0</v>
      </c>
      <c r="F2379" s="15"/>
      <c r="G2379" s="26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28"/>
      <c r="AS2379" s="28"/>
      <c r="AT2379" s="28"/>
    </row>
    <row r="2380">
      <c r="A2380" s="10"/>
      <c r="B2380" s="11"/>
      <c r="C2380" s="12"/>
      <c r="D2380" s="15"/>
      <c r="F2380" s="15"/>
      <c r="G2380" s="26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28"/>
      <c r="AS2380" s="28"/>
      <c r="AT2380" s="28"/>
    </row>
    <row r="2381">
      <c r="A2381" s="10" t="s">
        <v>869</v>
      </c>
      <c r="B2381" s="11">
        <v>250.0</v>
      </c>
      <c r="C2381" s="12" t="s">
        <v>634</v>
      </c>
      <c r="D2381" s="15">
        <v>75230.0</v>
      </c>
      <c r="F2381" s="15"/>
      <c r="G2381" s="26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28"/>
      <c r="AS2381" s="28"/>
      <c r="AT2381" s="28"/>
    </row>
    <row r="2382">
      <c r="A2382" s="10" t="s">
        <v>2172</v>
      </c>
      <c r="B2382" s="11">
        <v>100.0</v>
      </c>
      <c r="C2382" s="12" t="s">
        <v>634</v>
      </c>
      <c r="D2382" s="15">
        <v>75230.0</v>
      </c>
      <c r="F2382" s="15"/>
      <c r="G2382" s="26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28"/>
      <c r="AS2382" s="28"/>
      <c r="AT2382" s="28"/>
    </row>
    <row r="2383">
      <c r="A2383" s="10" t="s">
        <v>807</v>
      </c>
      <c r="B2383" s="11">
        <v>25.0</v>
      </c>
      <c r="C2383" s="12" t="s">
        <v>634</v>
      </c>
      <c r="D2383" s="15">
        <v>75230.0</v>
      </c>
      <c r="F2383" s="15"/>
      <c r="G2383" s="26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28"/>
      <c r="AS2383" s="28"/>
      <c r="AT2383" s="28"/>
    </row>
    <row r="2384">
      <c r="A2384" s="10" t="s">
        <v>2173</v>
      </c>
      <c r="B2384" s="11">
        <v>50.0</v>
      </c>
      <c r="C2384" s="12" t="s">
        <v>634</v>
      </c>
      <c r="D2384" s="15">
        <v>75248.0</v>
      </c>
      <c r="F2384" s="15"/>
      <c r="G2384" s="26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28"/>
      <c r="AS2384" s="28"/>
      <c r="AT2384" s="28"/>
    </row>
    <row r="2385">
      <c r="A2385" s="10" t="s">
        <v>1928</v>
      </c>
      <c r="B2385" s="11">
        <v>500.0</v>
      </c>
      <c r="C2385" s="12" t="s">
        <v>634</v>
      </c>
      <c r="D2385" s="15">
        <v>75230.0</v>
      </c>
      <c r="F2385" s="15"/>
      <c r="G2385" s="26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28"/>
      <c r="AS2385" s="28"/>
      <c r="AT2385" s="28"/>
    </row>
    <row r="2386">
      <c r="A2386" s="10" t="s">
        <v>815</v>
      </c>
      <c r="B2386" s="11">
        <v>100.0</v>
      </c>
      <c r="C2386" s="12" t="s">
        <v>634</v>
      </c>
      <c r="D2386" s="15">
        <v>75287.0</v>
      </c>
      <c r="F2386" s="15"/>
      <c r="G2386" s="26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28"/>
      <c r="AS2386" s="28"/>
      <c r="AT2386" s="28"/>
    </row>
    <row r="2387">
      <c r="A2387" s="10" t="s">
        <v>2174</v>
      </c>
      <c r="B2387" s="11">
        <v>250.0</v>
      </c>
      <c r="C2387" s="12" t="s">
        <v>634</v>
      </c>
      <c r="D2387" s="15">
        <v>75230.0</v>
      </c>
      <c r="F2387" s="15"/>
      <c r="G2387" s="26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28"/>
      <c r="AS2387" s="28"/>
      <c r="AT2387" s="28"/>
    </row>
    <row r="2388">
      <c r="A2388" s="10" t="s">
        <v>2175</v>
      </c>
      <c r="B2388" s="11">
        <v>180.0</v>
      </c>
      <c r="C2388" s="12" t="s">
        <v>634</v>
      </c>
      <c r="D2388" s="15">
        <v>75231.0</v>
      </c>
      <c r="F2388" s="15"/>
      <c r="G2388" s="26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28"/>
      <c r="AS2388" s="28"/>
      <c r="AT2388" s="28"/>
    </row>
    <row r="2389">
      <c r="A2389" s="10" t="s">
        <v>2176</v>
      </c>
      <c r="B2389" s="11">
        <v>100.0</v>
      </c>
      <c r="C2389" s="12" t="s">
        <v>634</v>
      </c>
      <c r="D2389" s="15">
        <v>75248.0</v>
      </c>
      <c r="F2389" s="15"/>
      <c r="G2389" s="26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28"/>
      <c r="AS2389" s="28"/>
      <c r="AT2389" s="28"/>
    </row>
    <row r="2390">
      <c r="A2390" s="10" t="s">
        <v>2177</v>
      </c>
      <c r="B2390" s="11">
        <v>500.0</v>
      </c>
      <c r="C2390" s="12" t="s">
        <v>634</v>
      </c>
      <c r="D2390" s="15">
        <v>75230.0</v>
      </c>
      <c r="F2390" s="15"/>
      <c r="G2390" s="26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28"/>
      <c r="AS2390" s="28"/>
      <c r="AT2390" s="28"/>
    </row>
    <row r="2391">
      <c r="A2391" s="10" t="s">
        <v>1219</v>
      </c>
      <c r="B2391" s="11">
        <v>100.0</v>
      </c>
      <c r="C2391" s="12" t="s">
        <v>634</v>
      </c>
      <c r="D2391" s="15">
        <v>75287.0</v>
      </c>
      <c r="F2391" s="15"/>
      <c r="G2391" s="26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28"/>
      <c r="AS2391" s="28"/>
      <c r="AT2391" s="28"/>
    </row>
    <row r="2392">
      <c r="A2392" s="10" t="s">
        <v>2178</v>
      </c>
      <c r="B2392" s="11">
        <v>100.0</v>
      </c>
      <c r="C2392" s="12" t="s">
        <v>634</v>
      </c>
      <c r="D2392" s="15">
        <v>75246.0</v>
      </c>
      <c r="F2392" s="15"/>
      <c r="G2392" s="26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28"/>
      <c r="AS2392" s="28"/>
      <c r="AT2392" s="28"/>
    </row>
    <row r="2393">
      <c r="A2393" s="10" t="s">
        <v>2179</v>
      </c>
      <c r="B2393" s="11">
        <v>250.0</v>
      </c>
      <c r="C2393" s="12" t="s">
        <v>634</v>
      </c>
      <c r="D2393" s="15">
        <v>75230.0</v>
      </c>
      <c r="F2393" s="15"/>
      <c r="G2393" s="26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28"/>
      <c r="AS2393" s="28"/>
      <c r="AT2393" s="28"/>
    </row>
    <row r="2394">
      <c r="A2394" s="10" t="s">
        <v>2180</v>
      </c>
      <c r="B2394" s="11">
        <v>100.0</v>
      </c>
      <c r="C2394" s="12" t="s">
        <v>634</v>
      </c>
      <c r="D2394" s="15">
        <v>75230.0</v>
      </c>
      <c r="F2394" s="15"/>
      <c r="G2394" s="26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28"/>
      <c r="AS2394" s="28"/>
      <c r="AT2394" s="28"/>
    </row>
    <row r="2395">
      <c r="A2395" s="10" t="s">
        <v>2181</v>
      </c>
      <c r="B2395" s="11">
        <v>100.0</v>
      </c>
      <c r="C2395" s="12" t="s">
        <v>634</v>
      </c>
      <c r="D2395" s="15">
        <v>75230.0</v>
      </c>
      <c r="F2395" s="15"/>
      <c r="G2395" s="26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28"/>
      <c r="AS2395" s="28"/>
      <c r="AT2395" s="28"/>
    </row>
    <row r="2396">
      <c r="A2396" s="10" t="s">
        <v>2182</v>
      </c>
      <c r="B2396" s="11">
        <v>1000.0</v>
      </c>
      <c r="C2396" s="12" t="s">
        <v>634</v>
      </c>
      <c r="D2396" s="15">
        <v>75230.0</v>
      </c>
      <c r="F2396" s="15"/>
      <c r="G2396" s="26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28"/>
      <c r="AS2396" s="28"/>
      <c r="AT2396" s="28"/>
    </row>
    <row r="2397">
      <c r="A2397" s="10" t="s">
        <v>2183</v>
      </c>
      <c r="B2397" s="11">
        <v>18.0</v>
      </c>
      <c r="C2397" s="12" t="s">
        <v>634</v>
      </c>
      <c r="D2397" s="15">
        <v>75230.0</v>
      </c>
      <c r="F2397" s="15"/>
      <c r="G2397" s="26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28"/>
      <c r="AS2397" s="28"/>
      <c r="AT2397" s="28"/>
    </row>
    <row r="2398">
      <c r="A2398" s="10" t="s">
        <v>2184</v>
      </c>
      <c r="B2398" s="11">
        <v>100.0</v>
      </c>
      <c r="C2398" s="12" t="s">
        <v>634</v>
      </c>
      <c r="D2398" s="15">
        <v>75240.0</v>
      </c>
      <c r="F2398" s="15"/>
      <c r="G2398" s="26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28"/>
      <c r="AS2398" s="28"/>
      <c r="AT2398" s="28"/>
    </row>
    <row r="2399">
      <c r="A2399" s="10" t="s">
        <v>2185</v>
      </c>
      <c r="B2399" s="11">
        <v>25.0</v>
      </c>
      <c r="C2399" s="12" t="s">
        <v>634</v>
      </c>
      <c r="D2399" s="15">
        <v>75248.0</v>
      </c>
      <c r="F2399" s="15"/>
      <c r="G2399" s="26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</row>
    <row r="2400">
      <c r="A2400" s="10" t="s">
        <v>2186</v>
      </c>
      <c r="B2400" s="11">
        <v>100.0</v>
      </c>
      <c r="C2400" s="12" t="s">
        <v>634</v>
      </c>
      <c r="D2400" s="15">
        <v>75254.0</v>
      </c>
      <c r="F2400" s="15"/>
      <c r="G2400" s="26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28"/>
      <c r="AS2400" s="28"/>
      <c r="AT2400" s="28"/>
    </row>
    <row r="2401">
      <c r="A2401" s="10" t="s">
        <v>2187</v>
      </c>
      <c r="B2401" s="11">
        <v>500.0</v>
      </c>
      <c r="C2401" s="12" t="s">
        <v>634</v>
      </c>
      <c r="D2401" s="15">
        <v>75230.0</v>
      </c>
      <c r="F2401" s="15"/>
      <c r="G2401" s="26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28"/>
      <c r="AS2401" s="28"/>
      <c r="AT2401" s="28"/>
    </row>
    <row r="2402">
      <c r="A2402" s="10" t="s">
        <v>2188</v>
      </c>
      <c r="B2402" s="11">
        <v>100.0</v>
      </c>
      <c r="C2402" s="12" t="s">
        <v>634</v>
      </c>
      <c r="D2402" s="15">
        <v>75230.0</v>
      </c>
      <c r="F2402" s="15"/>
      <c r="G2402" s="26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28"/>
      <c r="AS2402" s="28"/>
      <c r="AT2402" s="28"/>
    </row>
    <row r="2403">
      <c r="A2403" s="10" t="s">
        <v>2189</v>
      </c>
      <c r="B2403" s="11">
        <v>500.0</v>
      </c>
      <c r="C2403" s="12" t="s">
        <v>634</v>
      </c>
      <c r="D2403" s="15">
        <v>75230.0</v>
      </c>
      <c r="F2403" s="15"/>
      <c r="G2403" s="26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28"/>
      <c r="AS2403" s="28"/>
      <c r="AT2403" s="28"/>
    </row>
    <row r="2404">
      <c r="A2404" s="10" t="s">
        <v>898</v>
      </c>
      <c r="B2404" s="11">
        <v>100.0</v>
      </c>
      <c r="C2404" s="12" t="s">
        <v>634</v>
      </c>
      <c r="D2404" s="15">
        <v>75230.0</v>
      </c>
      <c r="F2404" s="15"/>
      <c r="G2404" s="26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28"/>
      <c r="AS2404" s="28"/>
      <c r="AT2404" s="28"/>
    </row>
    <row r="2405">
      <c r="A2405" s="10"/>
      <c r="B2405" s="11"/>
      <c r="C2405" s="12"/>
      <c r="D2405" s="15"/>
      <c r="F2405" s="15"/>
      <c r="G2405" s="26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28"/>
      <c r="AS2405" s="28"/>
      <c r="AT2405" s="28"/>
    </row>
    <row r="2406">
      <c r="A2406" s="10" t="s">
        <v>2191</v>
      </c>
      <c r="B2406" s="11">
        <v>50.0</v>
      </c>
      <c r="C2406" s="12" t="s">
        <v>634</v>
      </c>
      <c r="D2406" s="15">
        <v>75230.0</v>
      </c>
      <c r="F2406" s="15"/>
      <c r="G2406" s="26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</row>
    <row r="2407">
      <c r="A2407" s="10" t="s">
        <v>2192</v>
      </c>
      <c r="B2407" s="11">
        <v>25.0</v>
      </c>
      <c r="C2407" s="12" t="s">
        <v>634</v>
      </c>
      <c r="D2407" s="15">
        <v>75035.0</v>
      </c>
      <c r="F2407" s="15"/>
      <c r="G2407" s="26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28"/>
      <c r="AS2407" s="28"/>
      <c r="AT2407" s="28"/>
    </row>
    <row r="2408">
      <c r="A2408" s="10" t="s">
        <v>2193</v>
      </c>
      <c r="B2408" s="11">
        <v>500.0</v>
      </c>
      <c r="C2408" s="12" t="s">
        <v>634</v>
      </c>
      <c r="D2408" s="15">
        <v>75230.0</v>
      </c>
      <c r="F2408" s="15"/>
      <c r="G2408" s="26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28"/>
      <c r="AS2408" s="28"/>
      <c r="AT2408" s="28"/>
    </row>
    <row r="2409">
      <c r="A2409" s="10" t="s">
        <v>2194</v>
      </c>
      <c r="B2409" s="11">
        <v>25.0</v>
      </c>
      <c r="C2409" s="12" t="s">
        <v>634</v>
      </c>
      <c r="D2409" s="15">
        <v>75240.0</v>
      </c>
      <c r="F2409" s="15"/>
      <c r="G2409" s="26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28"/>
      <c r="AS2409" s="28"/>
      <c r="AT2409" s="28"/>
    </row>
    <row r="2410">
      <c r="A2410" s="10"/>
      <c r="B2410" s="11"/>
      <c r="C2410" s="12"/>
      <c r="D2410" s="15"/>
      <c r="F2410" s="15"/>
      <c r="G2410" s="26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28"/>
      <c r="AS2410" s="28"/>
      <c r="AT2410" s="28"/>
    </row>
    <row r="2411">
      <c r="A2411" s="10" t="s">
        <v>882</v>
      </c>
      <c r="B2411" s="11">
        <v>250.0</v>
      </c>
      <c r="C2411" s="12" t="s">
        <v>634</v>
      </c>
      <c r="D2411" s="15">
        <v>75225.0</v>
      </c>
      <c r="F2411" s="15"/>
      <c r="G2411" s="26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28"/>
      <c r="AS2411" s="28"/>
      <c r="AT2411" s="28"/>
    </row>
    <row r="2412">
      <c r="A2412" s="10" t="s">
        <v>2137</v>
      </c>
      <c r="B2412" s="11">
        <v>250.0</v>
      </c>
      <c r="C2412" s="12" t="s">
        <v>634</v>
      </c>
      <c r="D2412" s="15">
        <v>75219.0</v>
      </c>
      <c r="F2412" s="15"/>
      <c r="G2412" s="26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28"/>
      <c r="AS2412" s="28"/>
      <c r="AT2412" s="28"/>
    </row>
    <row r="2413">
      <c r="A2413" s="10" t="s">
        <v>2196</v>
      </c>
      <c r="B2413" s="11">
        <v>100.0</v>
      </c>
      <c r="C2413" s="12" t="s">
        <v>634</v>
      </c>
      <c r="D2413" s="15">
        <v>75248.0</v>
      </c>
      <c r="F2413" s="15"/>
      <c r="G2413" s="26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28"/>
      <c r="AS2413" s="28"/>
      <c r="AT2413" s="28"/>
    </row>
    <row r="2414">
      <c r="A2414" s="10" t="s">
        <v>2197</v>
      </c>
      <c r="B2414" s="11">
        <v>1000.0</v>
      </c>
      <c r="C2414" s="12" t="s">
        <v>634</v>
      </c>
      <c r="D2414" s="15">
        <v>75220.0</v>
      </c>
      <c r="F2414" s="15"/>
      <c r="G2414" s="26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28"/>
      <c r="AS2414" s="28"/>
      <c r="AT2414" s="28"/>
    </row>
    <row r="2415">
      <c r="A2415" s="10" t="s">
        <v>2198</v>
      </c>
      <c r="B2415" s="11">
        <v>1000.0</v>
      </c>
      <c r="C2415" s="12" t="s">
        <v>634</v>
      </c>
      <c r="D2415" s="15">
        <v>75254.0</v>
      </c>
      <c r="F2415" s="15"/>
      <c r="G2415" s="26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</row>
    <row r="2416">
      <c r="A2416" s="10" t="s">
        <v>2199</v>
      </c>
      <c r="B2416" s="11">
        <v>500.0</v>
      </c>
      <c r="C2416" s="12" t="s">
        <v>634</v>
      </c>
      <c r="D2416" s="15">
        <v>75039.0</v>
      </c>
      <c r="F2416" s="15"/>
      <c r="G2416" s="26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28"/>
      <c r="AS2416" s="28"/>
      <c r="AT2416" s="28"/>
    </row>
    <row r="2417">
      <c r="A2417" s="10" t="s">
        <v>2200</v>
      </c>
      <c r="B2417" s="11">
        <v>100.0</v>
      </c>
      <c r="C2417" s="12" t="s">
        <v>634</v>
      </c>
      <c r="D2417" s="15">
        <v>75230.0</v>
      </c>
      <c r="F2417" s="15"/>
      <c r="G2417" s="26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28"/>
      <c r="AS2417" s="28"/>
      <c r="AT2417" s="28"/>
    </row>
    <row r="2418">
      <c r="A2418" s="10" t="s">
        <v>2201</v>
      </c>
      <c r="B2418" s="11">
        <v>100.0</v>
      </c>
      <c r="C2418" s="12" t="s">
        <v>634</v>
      </c>
      <c r="D2418" s="15">
        <v>75230.0</v>
      </c>
      <c r="F2418" s="15"/>
      <c r="G2418" s="26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28"/>
      <c r="AS2418" s="28"/>
      <c r="AT2418" s="28"/>
    </row>
    <row r="2419">
      <c r="A2419" s="10" t="s">
        <v>905</v>
      </c>
      <c r="B2419" s="11">
        <v>100.0</v>
      </c>
      <c r="C2419" s="12" t="s">
        <v>634</v>
      </c>
      <c r="D2419" s="15">
        <v>75230.0</v>
      </c>
      <c r="F2419" s="15"/>
      <c r="G2419" s="26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28"/>
      <c r="AS2419" s="28"/>
      <c r="AT2419" s="28"/>
    </row>
    <row r="2420">
      <c r="A2420" s="10" t="s">
        <v>876</v>
      </c>
      <c r="B2420" s="11">
        <v>50.0</v>
      </c>
      <c r="C2420" s="12" t="s">
        <v>634</v>
      </c>
      <c r="D2420" s="15">
        <v>75254.0</v>
      </c>
      <c r="F2420" s="15"/>
      <c r="G2420" s="26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28"/>
      <c r="AS2420" s="28"/>
      <c r="AT2420" s="28"/>
    </row>
    <row r="2421">
      <c r="A2421" s="10" t="s">
        <v>2202</v>
      </c>
      <c r="B2421" s="11">
        <v>100.0</v>
      </c>
      <c r="C2421" s="12" t="s">
        <v>634</v>
      </c>
      <c r="D2421" s="15">
        <v>75248.0</v>
      </c>
      <c r="F2421" s="15"/>
      <c r="G2421" s="26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28"/>
      <c r="AS2421" s="28"/>
      <c r="AT2421" s="28"/>
    </row>
    <row r="2422">
      <c r="A2422" s="10" t="s">
        <v>2203</v>
      </c>
      <c r="B2422" s="11">
        <v>50.0</v>
      </c>
      <c r="C2422" s="12" t="s">
        <v>634</v>
      </c>
      <c r="D2422" s="15">
        <v>75230.0</v>
      </c>
      <c r="F2422" s="15"/>
      <c r="G2422" s="26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28"/>
      <c r="AS2422" s="28"/>
      <c r="AT2422" s="28"/>
    </row>
    <row r="2423">
      <c r="A2423" s="10" t="s">
        <v>1924</v>
      </c>
      <c r="B2423" s="11">
        <v>250.0</v>
      </c>
      <c r="C2423" s="12" t="s">
        <v>634</v>
      </c>
      <c r="D2423" s="15">
        <v>75218.0</v>
      </c>
      <c r="F2423" s="15"/>
      <c r="G2423" s="26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28"/>
      <c r="AS2423" s="28"/>
      <c r="AT2423" s="28"/>
    </row>
    <row r="2424">
      <c r="A2424" s="10" t="s">
        <v>2204</v>
      </c>
      <c r="B2424" s="11">
        <v>100.0</v>
      </c>
      <c r="C2424" s="12" t="s">
        <v>634</v>
      </c>
      <c r="D2424" s="15">
        <v>75230.0</v>
      </c>
      <c r="F2424" s="15"/>
      <c r="G2424" s="26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28"/>
      <c r="AS2424" s="28"/>
      <c r="AT2424" s="28"/>
    </row>
    <row r="2425">
      <c r="A2425" s="10" t="s">
        <v>1220</v>
      </c>
      <c r="B2425" s="11">
        <v>18.0</v>
      </c>
      <c r="C2425" s="12" t="s">
        <v>634</v>
      </c>
      <c r="D2425" s="15">
        <v>75230.0</v>
      </c>
      <c r="F2425" s="15"/>
      <c r="G2425" s="26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28"/>
      <c r="AS2425" s="28"/>
      <c r="AT2425" s="28"/>
    </row>
    <row r="2426">
      <c r="A2426" s="10" t="s">
        <v>803</v>
      </c>
      <c r="B2426" s="11">
        <v>50.0</v>
      </c>
      <c r="C2426" s="12" t="s">
        <v>634</v>
      </c>
      <c r="D2426" s="15">
        <v>75225.0</v>
      </c>
      <c r="F2426" s="15"/>
      <c r="G2426" s="26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28"/>
      <c r="AS2426" s="28"/>
      <c r="AT2426" s="28"/>
    </row>
    <row r="2427">
      <c r="A2427" s="10" t="s">
        <v>2205</v>
      </c>
      <c r="B2427" s="11">
        <v>50.0</v>
      </c>
      <c r="C2427" s="12" t="s">
        <v>634</v>
      </c>
      <c r="D2427" s="15">
        <v>75254.0</v>
      </c>
      <c r="F2427" s="15"/>
      <c r="G2427" s="26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28"/>
      <c r="AS2427" s="28"/>
      <c r="AT2427" s="28"/>
    </row>
    <row r="2428">
      <c r="A2428" s="10" t="s">
        <v>807</v>
      </c>
      <c r="B2428" s="11">
        <v>25.0</v>
      </c>
      <c r="C2428" s="12" t="s">
        <v>634</v>
      </c>
      <c r="D2428" s="15">
        <v>75230.0</v>
      </c>
      <c r="F2428" s="15"/>
      <c r="G2428" s="26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28"/>
      <c r="AS2428" s="28"/>
      <c r="AT2428" s="28"/>
    </row>
    <row r="2429">
      <c r="A2429" s="10" t="s">
        <v>2206</v>
      </c>
      <c r="B2429" s="11">
        <v>25.0</v>
      </c>
      <c r="C2429" s="12" t="s">
        <v>634</v>
      </c>
      <c r="D2429" s="15">
        <v>75230.0</v>
      </c>
      <c r="F2429" s="15"/>
      <c r="G2429" s="26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28"/>
      <c r="AS2429" s="28"/>
      <c r="AT2429" s="28"/>
    </row>
    <row r="2430">
      <c r="A2430" s="10" t="s">
        <v>2207</v>
      </c>
      <c r="B2430" s="11">
        <v>25.0</v>
      </c>
      <c r="C2430" s="12" t="s">
        <v>634</v>
      </c>
      <c r="D2430" s="15">
        <v>75230.0</v>
      </c>
      <c r="F2430" s="15"/>
      <c r="G2430" s="26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/>
      <c r="AS2430" s="28"/>
      <c r="AT2430" s="28"/>
    </row>
    <row r="2431">
      <c r="A2431" s="10" t="s">
        <v>2208</v>
      </c>
      <c r="B2431" s="11">
        <v>15.0</v>
      </c>
      <c r="C2431" s="12" t="s">
        <v>634</v>
      </c>
      <c r="D2431" s="15">
        <v>75248.0</v>
      </c>
      <c r="F2431" s="15"/>
      <c r="G2431" s="26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</row>
    <row r="2432">
      <c r="A2432" s="10" t="s">
        <v>997</v>
      </c>
      <c r="B2432" s="11">
        <v>50.0</v>
      </c>
      <c r="C2432" s="12" t="s">
        <v>634</v>
      </c>
      <c r="D2432" s="15">
        <v>75248.0</v>
      </c>
      <c r="F2432" s="15"/>
      <c r="G2432" s="26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28"/>
      <c r="AS2432" s="28"/>
      <c r="AT2432" s="28"/>
    </row>
    <row r="2433">
      <c r="A2433" s="10" t="s">
        <v>2209</v>
      </c>
      <c r="B2433" s="11">
        <v>150.0</v>
      </c>
      <c r="C2433" s="12" t="s">
        <v>634</v>
      </c>
      <c r="D2433" s="15">
        <v>75287.0</v>
      </c>
      <c r="F2433" s="15"/>
      <c r="G2433" s="26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28"/>
      <c r="AS2433" s="28"/>
      <c r="AT2433" s="28"/>
    </row>
    <row r="2434">
      <c r="A2434" s="10" t="s">
        <v>2210</v>
      </c>
      <c r="B2434" s="11">
        <v>250.0</v>
      </c>
      <c r="C2434" s="12" t="s">
        <v>634</v>
      </c>
      <c r="D2434" s="15">
        <v>75230.0</v>
      </c>
      <c r="F2434" s="15"/>
      <c r="G2434" s="26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28"/>
      <c r="AS2434" s="28"/>
      <c r="AT2434" s="28"/>
    </row>
    <row r="2435">
      <c r="A2435" s="10" t="s">
        <v>2211</v>
      </c>
      <c r="B2435" s="11">
        <v>250.0</v>
      </c>
      <c r="C2435" s="12" t="s">
        <v>634</v>
      </c>
      <c r="D2435" s="15">
        <v>75230.0</v>
      </c>
      <c r="F2435" s="15"/>
      <c r="G2435" s="26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28"/>
      <c r="AS2435" s="28"/>
      <c r="AT2435" s="28"/>
    </row>
    <row r="2436">
      <c r="A2436" s="10" t="s">
        <v>871</v>
      </c>
      <c r="B2436" s="11">
        <v>100.0</v>
      </c>
      <c r="C2436" s="12" t="s">
        <v>634</v>
      </c>
      <c r="D2436" s="15">
        <v>75230.0</v>
      </c>
      <c r="F2436" s="15"/>
      <c r="G2436" s="26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28"/>
      <c r="AS2436" s="28"/>
      <c r="AT2436" s="28"/>
    </row>
    <row r="2437">
      <c r="A2437" s="10" t="s">
        <v>2212</v>
      </c>
      <c r="B2437" s="11">
        <v>100.0</v>
      </c>
      <c r="C2437" s="12" t="s">
        <v>634</v>
      </c>
      <c r="D2437" s="15">
        <v>75230.0</v>
      </c>
      <c r="F2437" s="15"/>
      <c r="G2437" s="26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28"/>
      <c r="AS2437" s="28"/>
      <c r="AT2437" s="28"/>
    </row>
    <row r="2438">
      <c r="A2438" s="10" t="s">
        <v>2213</v>
      </c>
      <c r="B2438" s="11">
        <v>100.0</v>
      </c>
      <c r="C2438" s="12" t="s">
        <v>634</v>
      </c>
      <c r="D2438" s="15">
        <v>75287.0</v>
      </c>
      <c r="F2438" s="15"/>
      <c r="G2438" s="26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28"/>
      <c r="AS2438" s="28"/>
      <c r="AT2438" s="28"/>
    </row>
    <row r="2439">
      <c r="A2439" s="10" t="s">
        <v>2214</v>
      </c>
      <c r="B2439" s="11">
        <v>100.0</v>
      </c>
      <c r="C2439" s="12" t="s">
        <v>634</v>
      </c>
      <c r="D2439" s="15">
        <v>75208.0</v>
      </c>
      <c r="F2439" s="15"/>
      <c r="G2439" s="26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28"/>
      <c r="AS2439" s="28"/>
      <c r="AT2439" s="28"/>
    </row>
    <row r="2440">
      <c r="A2440" s="10" t="s">
        <v>859</v>
      </c>
      <c r="B2440" s="11">
        <v>50.0</v>
      </c>
      <c r="C2440" s="12" t="s">
        <v>634</v>
      </c>
      <c r="D2440" s="15">
        <v>75254.0</v>
      </c>
      <c r="F2440" s="15"/>
      <c r="G2440" s="26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28"/>
      <c r="AS2440" s="28"/>
      <c r="AT2440" s="28"/>
    </row>
    <row r="2441">
      <c r="A2441" s="10" t="s">
        <v>2215</v>
      </c>
      <c r="B2441" s="11">
        <v>100.0</v>
      </c>
      <c r="C2441" s="12" t="s">
        <v>634</v>
      </c>
      <c r="D2441" s="15">
        <v>75093.0</v>
      </c>
      <c r="F2441" s="15"/>
      <c r="G2441" s="26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28"/>
      <c r="AS2441" s="28"/>
      <c r="AT2441" s="28"/>
    </row>
    <row r="2442">
      <c r="A2442" s="10" t="s">
        <v>2216</v>
      </c>
      <c r="B2442" s="11">
        <v>100.0</v>
      </c>
      <c r="C2442" s="12" t="s">
        <v>634</v>
      </c>
      <c r="D2442" s="15">
        <v>75230.0</v>
      </c>
      <c r="F2442" s="15"/>
      <c r="G2442" s="26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28"/>
      <c r="AS2442" s="28"/>
      <c r="AT2442" s="28"/>
    </row>
    <row r="2443">
      <c r="A2443" s="10" t="s">
        <v>2217</v>
      </c>
      <c r="B2443" s="11">
        <v>100.0</v>
      </c>
      <c r="C2443" s="12" t="s">
        <v>634</v>
      </c>
      <c r="D2443" s="15">
        <v>75240.0</v>
      </c>
      <c r="F2443" s="15"/>
      <c r="G2443" s="26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28"/>
      <c r="AS2443" s="28"/>
      <c r="AT2443" s="28"/>
    </row>
    <row r="2444">
      <c r="A2444" s="10" t="s">
        <v>1219</v>
      </c>
      <c r="B2444" s="11">
        <v>100.0</v>
      </c>
      <c r="C2444" s="12" t="s">
        <v>634</v>
      </c>
      <c r="D2444" s="15">
        <v>75287.0</v>
      </c>
      <c r="F2444" s="15"/>
      <c r="G2444" s="26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28"/>
      <c r="AS2444" s="28"/>
      <c r="AT2444" s="28"/>
    </row>
    <row r="2445">
      <c r="A2445" s="10" t="s">
        <v>1778</v>
      </c>
      <c r="B2445" s="11">
        <v>500.0</v>
      </c>
      <c r="C2445" s="12" t="s">
        <v>634</v>
      </c>
      <c r="D2445" s="15">
        <v>75215.0</v>
      </c>
      <c r="F2445" s="15"/>
      <c r="G2445" s="26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28"/>
      <c r="AS2445" s="28"/>
      <c r="AT2445" s="28"/>
    </row>
    <row r="2446">
      <c r="A2446" s="10" t="s">
        <v>2218</v>
      </c>
      <c r="B2446" s="11">
        <v>350.0</v>
      </c>
      <c r="C2446" s="12" t="s">
        <v>634</v>
      </c>
      <c r="D2446" s="15">
        <v>75230.0</v>
      </c>
      <c r="F2446" s="15"/>
      <c r="G2446" s="26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28"/>
      <c r="AS2446" s="28"/>
      <c r="AT2446" s="28"/>
    </row>
    <row r="2447">
      <c r="A2447" s="10" t="s">
        <v>2219</v>
      </c>
      <c r="B2447" s="11">
        <v>1000.0</v>
      </c>
      <c r="C2447" s="12" t="s">
        <v>634</v>
      </c>
      <c r="D2447" s="15">
        <v>75229.0</v>
      </c>
      <c r="F2447" s="15"/>
      <c r="G2447" s="26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28"/>
      <c r="AS2447" s="28"/>
      <c r="AT2447" s="28"/>
    </row>
    <row r="2448">
      <c r="A2448" s="10" t="s">
        <v>2220</v>
      </c>
      <c r="B2448" s="11">
        <v>1000.0</v>
      </c>
      <c r="C2448" s="12" t="s">
        <v>634</v>
      </c>
      <c r="D2448" s="15">
        <v>75225.0</v>
      </c>
      <c r="F2448" s="15"/>
      <c r="G2448" s="26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28"/>
      <c r="AS2448" s="28"/>
      <c r="AT2448" s="28"/>
    </row>
    <row r="2449">
      <c r="A2449" s="10" t="s">
        <v>2221</v>
      </c>
      <c r="B2449" s="11">
        <v>250.0</v>
      </c>
      <c r="C2449" s="12" t="s">
        <v>634</v>
      </c>
      <c r="D2449" s="15">
        <v>75219.0</v>
      </c>
      <c r="F2449" s="15"/>
      <c r="G2449" s="26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28"/>
      <c r="AS2449" s="28"/>
      <c r="AT2449" s="28"/>
    </row>
    <row r="2450">
      <c r="A2450" s="10" t="s">
        <v>2222</v>
      </c>
      <c r="B2450" s="11">
        <v>250.0</v>
      </c>
      <c r="C2450" s="12" t="s">
        <v>634</v>
      </c>
      <c r="D2450" s="15">
        <v>75230.0</v>
      </c>
      <c r="F2450" s="15"/>
      <c r="G2450" s="26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8"/>
      <c r="AT2450" s="28"/>
    </row>
    <row r="2451">
      <c r="A2451" s="10" t="s">
        <v>2223</v>
      </c>
      <c r="B2451" s="11">
        <v>250.0</v>
      </c>
      <c r="C2451" s="12" t="s">
        <v>634</v>
      </c>
      <c r="D2451" s="15">
        <v>75224.0</v>
      </c>
      <c r="F2451" s="15"/>
      <c r="G2451" s="26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/>
      <c r="AS2451" s="28"/>
      <c r="AT2451" s="28"/>
    </row>
    <row r="2452">
      <c r="A2452" s="10"/>
      <c r="B2452" s="11"/>
      <c r="C2452" s="12"/>
      <c r="D2452" s="15"/>
      <c r="F2452" s="15"/>
      <c r="G2452" s="26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28"/>
      <c r="AS2452" s="28"/>
      <c r="AT2452" s="28"/>
    </row>
    <row r="2453">
      <c r="A2453" s="10" t="s">
        <v>2225</v>
      </c>
      <c r="B2453" s="11">
        <v>1000.0</v>
      </c>
      <c r="C2453" s="12" t="s">
        <v>634</v>
      </c>
      <c r="D2453" s="15">
        <v>75254.0</v>
      </c>
      <c r="F2453" s="15"/>
      <c r="G2453" s="26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28"/>
      <c r="AS2453" s="28"/>
      <c r="AT2453" s="28"/>
    </row>
    <row r="2454">
      <c r="A2454" s="10" t="s">
        <v>2210</v>
      </c>
      <c r="B2454" s="11">
        <v>250.0</v>
      </c>
      <c r="C2454" s="12" t="s">
        <v>634</v>
      </c>
      <c r="D2454" s="15">
        <v>75230.0</v>
      </c>
      <c r="F2454" s="15"/>
      <c r="G2454" s="26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28"/>
      <c r="AS2454" s="28"/>
      <c r="AT2454" s="28"/>
    </row>
    <row r="2455">
      <c r="A2455" s="10" t="s">
        <v>2226</v>
      </c>
      <c r="B2455" s="11">
        <v>100.0</v>
      </c>
      <c r="C2455" s="12" t="s">
        <v>634</v>
      </c>
      <c r="D2455" s="15">
        <v>75339.0</v>
      </c>
      <c r="F2455" s="15"/>
      <c r="G2455" s="26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28"/>
      <c r="AS2455" s="28"/>
      <c r="AT2455" s="28"/>
    </row>
    <row r="2456">
      <c r="A2456" s="10" t="s">
        <v>2227</v>
      </c>
      <c r="B2456" s="11">
        <v>500.0</v>
      </c>
      <c r="C2456" s="12" t="s">
        <v>634</v>
      </c>
      <c r="D2456" s="15">
        <v>75231.0</v>
      </c>
      <c r="F2456" s="15"/>
      <c r="G2456" s="26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28"/>
      <c r="AS2456" s="28"/>
      <c r="AT2456" s="28"/>
    </row>
    <row r="2457">
      <c r="A2457" s="10" t="s">
        <v>2228</v>
      </c>
      <c r="B2457" s="11">
        <v>118.0</v>
      </c>
      <c r="C2457" s="12" t="s">
        <v>634</v>
      </c>
      <c r="D2457" s="15">
        <v>75024.0</v>
      </c>
      <c r="F2457" s="15"/>
      <c r="G2457" s="26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28"/>
      <c r="AS2457" s="28"/>
      <c r="AT2457" s="28"/>
    </row>
    <row r="2458">
      <c r="A2458" s="10" t="s">
        <v>2229</v>
      </c>
      <c r="B2458" s="11">
        <v>25.0</v>
      </c>
      <c r="C2458" s="12" t="s">
        <v>634</v>
      </c>
      <c r="D2458" s="15">
        <v>75230.0</v>
      </c>
      <c r="F2458" s="15"/>
      <c r="G2458" s="26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8"/>
      <c r="AT2458" s="28"/>
    </row>
    <row r="2459">
      <c r="A2459" s="10" t="s">
        <v>2230</v>
      </c>
      <c r="B2459" s="11">
        <v>360.0</v>
      </c>
      <c r="C2459" s="12" t="s">
        <v>634</v>
      </c>
      <c r="D2459" s="15">
        <v>75287.0</v>
      </c>
      <c r="F2459" s="15"/>
      <c r="G2459" s="26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28"/>
      <c r="AS2459" s="28"/>
      <c r="AT2459" s="28"/>
    </row>
    <row r="2460">
      <c r="A2460" s="10" t="s">
        <v>2231</v>
      </c>
      <c r="B2460" s="11">
        <v>1000.0</v>
      </c>
      <c r="C2460" s="12" t="s">
        <v>634</v>
      </c>
      <c r="D2460" s="15">
        <v>75230.0</v>
      </c>
      <c r="F2460" s="15"/>
      <c r="G2460" s="26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28"/>
      <c r="AS2460" s="28"/>
      <c r="AT2460" s="28"/>
    </row>
    <row r="2461">
      <c r="A2461" s="10" t="s">
        <v>2232</v>
      </c>
      <c r="B2461" s="11">
        <v>250.0</v>
      </c>
      <c r="C2461" s="12" t="s">
        <v>634</v>
      </c>
      <c r="D2461" s="15">
        <v>75214.0</v>
      </c>
      <c r="F2461" s="15"/>
      <c r="G2461" s="26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28"/>
      <c r="AS2461" s="28"/>
      <c r="AT2461" s="28"/>
    </row>
    <row r="2462">
      <c r="A2462" s="10" t="s">
        <v>2233</v>
      </c>
      <c r="B2462" s="11">
        <v>100.0</v>
      </c>
      <c r="C2462" s="12" t="s">
        <v>634</v>
      </c>
      <c r="D2462" s="15">
        <v>75230.0</v>
      </c>
      <c r="F2462" s="15"/>
      <c r="G2462" s="26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28"/>
      <c r="AS2462" s="28"/>
      <c r="AT2462" s="28"/>
    </row>
    <row r="2463">
      <c r="A2463" s="10" t="s">
        <v>2234</v>
      </c>
      <c r="B2463" s="11">
        <v>100.0</v>
      </c>
      <c r="C2463" s="12" t="s">
        <v>634</v>
      </c>
      <c r="D2463" s="15">
        <v>75230.0</v>
      </c>
      <c r="F2463" s="15"/>
      <c r="G2463" s="26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</row>
    <row r="2464">
      <c r="A2464" s="10" t="s">
        <v>2235</v>
      </c>
      <c r="B2464" s="11">
        <v>100.0</v>
      </c>
      <c r="C2464" s="12" t="s">
        <v>634</v>
      </c>
      <c r="D2464" s="15">
        <v>75230.0</v>
      </c>
      <c r="F2464" s="15"/>
      <c r="G2464" s="26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28"/>
      <c r="AS2464" s="28"/>
      <c r="AT2464" s="28"/>
    </row>
    <row r="2465">
      <c r="A2465" s="10" t="s">
        <v>2236</v>
      </c>
      <c r="B2465" s="11">
        <v>200.0</v>
      </c>
      <c r="C2465" s="12" t="s">
        <v>634</v>
      </c>
      <c r="D2465" s="15">
        <v>75230.0</v>
      </c>
      <c r="F2465" s="15"/>
      <c r="G2465" s="26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28"/>
      <c r="AS2465" s="28"/>
      <c r="AT2465" s="28"/>
    </row>
    <row r="2466">
      <c r="A2466" s="10" t="s">
        <v>895</v>
      </c>
      <c r="B2466" s="11">
        <v>500.0</v>
      </c>
      <c r="C2466" s="12" t="s">
        <v>634</v>
      </c>
      <c r="D2466" s="15">
        <v>75248.0</v>
      </c>
      <c r="F2466" s="15"/>
      <c r="G2466" s="26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28"/>
      <c r="AS2466" s="28"/>
      <c r="AT2466" s="28"/>
    </row>
    <row r="2467">
      <c r="A2467" s="10" t="s">
        <v>2237</v>
      </c>
      <c r="B2467" s="11">
        <v>100.0</v>
      </c>
      <c r="C2467" s="12" t="s">
        <v>634</v>
      </c>
      <c r="D2467" s="15">
        <v>75230.0</v>
      </c>
      <c r="F2467" s="15"/>
      <c r="G2467" s="26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28"/>
      <c r="AS2467" s="28"/>
      <c r="AT2467" s="28"/>
    </row>
    <row r="2468">
      <c r="A2468" s="10" t="s">
        <v>2238</v>
      </c>
      <c r="B2468" s="11">
        <v>1000.0</v>
      </c>
      <c r="C2468" s="12" t="s">
        <v>634</v>
      </c>
      <c r="D2468" s="15">
        <v>75230.0</v>
      </c>
      <c r="F2468" s="15"/>
      <c r="G2468" s="26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28"/>
      <c r="AS2468" s="28"/>
      <c r="AT2468" s="28"/>
    </row>
    <row r="2469">
      <c r="A2469" s="10" t="s">
        <v>884</v>
      </c>
      <c r="B2469" s="11">
        <v>500.0</v>
      </c>
      <c r="C2469" s="12" t="s">
        <v>634</v>
      </c>
      <c r="D2469" s="15">
        <v>75230.0</v>
      </c>
      <c r="F2469" s="15"/>
      <c r="G2469" s="26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28"/>
      <c r="AS2469" s="28"/>
      <c r="AT2469" s="28"/>
    </row>
    <row r="2470">
      <c r="A2470" s="10" t="s">
        <v>2239</v>
      </c>
      <c r="B2470" s="11">
        <v>500.0</v>
      </c>
      <c r="C2470" s="12" t="s">
        <v>634</v>
      </c>
      <c r="D2470" s="15">
        <v>75230.0</v>
      </c>
      <c r="F2470" s="15"/>
      <c r="G2470" s="26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28"/>
      <c r="AS2470" s="28"/>
      <c r="AT2470" s="28"/>
    </row>
    <row r="2471">
      <c r="A2471" s="10" t="s">
        <v>2240</v>
      </c>
      <c r="B2471" s="11">
        <v>250.0</v>
      </c>
      <c r="C2471" s="12" t="s">
        <v>634</v>
      </c>
      <c r="D2471" s="15">
        <v>75231.0</v>
      </c>
      <c r="F2471" s="15"/>
      <c r="G2471" s="26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28"/>
      <c r="AS2471" s="28"/>
      <c r="AT2471" s="28"/>
    </row>
    <row r="2472">
      <c r="A2472" s="10" t="s">
        <v>2241</v>
      </c>
      <c r="B2472" s="11">
        <v>500.0</v>
      </c>
      <c r="C2472" s="12" t="s">
        <v>634</v>
      </c>
      <c r="D2472" s="15">
        <v>75252.0</v>
      </c>
      <c r="F2472" s="15"/>
      <c r="G2472" s="26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28"/>
      <c r="AS2472" s="28"/>
      <c r="AT2472" s="28"/>
    </row>
    <row r="2473">
      <c r="A2473" s="10" t="s">
        <v>2242</v>
      </c>
      <c r="B2473" s="11">
        <v>1000.0</v>
      </c>
      <c r="C2473" s="12" t="s">
        <v>634</v>
      </c>
      <c r="D2473" s="15">
        <v>75219.0</v>
      </c>
      <c r="F2473" s="15"/>
      <c r="G2473" s="26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28"/>
      <c r="AS2473" s="28"/>
      <c r="AT2473" s="28"/>
    </row>
    <row r="2474">
      <c r="A2474" s="10" t="s">
        <v>2194</v>
      </c>
      <c r="B2474" s="11">
        <v>25.0</v>
      </c>
      <c r="C2474" s="12" t="s">
        <v>634</v>
      </c>
      <c r="D2474" s="15">
        <v>75240.0</v>
      </c>
      <c r="F2474" s="15"/>
      <c r="G2474" s="26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28"/>
      <c r="AS2474" s="28"/>
      <c r="AT2474" s="28"/>
    </row>
    <row r="2475">
      <c r="A2475" s="10"/>
      <c r="B2475" s="11"/>
      <c r="C2475" s="12"/>
      <c r="D2475" s="15"/>
      <c r="F2475" s="15"/>
      <c r="G2475" s="26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28"/>
      <c r="AS2475" s="28"/>
      <c r="AT2475" s="28"/>
    </row>
    <row r="2476">
      <c r="A2476" s="10" t="s">
        <v>2244</v>
      </c>
      <c r="B2476" s="11">
        <v>500.0</v>
      </c>
      <c r="C2476" s="12" t="s">
        <v>634</v>
      </c>
      <c r="D2476" s="15">
        <v>75208.0</v>
      </c>
      <c r="F2476" s="15"/>
      <c r="G2476" s="26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28"/>
      <c r="AS2476" s="28"/>
      <c r="AT2476" s="28"/>
    </row>
    <row r="2477">
      <c r="A2477" s="10" t="s">
        <v>1814</v>
      </c>
      <c r="B2477" s="11">
        <v>1000.0</v>
      </c>
      <c r="C2477" s="12" t="s">
        <v>634</v>
      </c>
      <c r="D2477" s="15">
        <v>75230.0</v>
      </c>
      <c r="F2477" s="15"/>
      <c r="G2477" s="26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28"/>
      <c r="AS2477" s="28"/>
      <c r="AT2477" s="28"/>
    </row>
    <row r="2478">
      <c r="A2478" s="10" t="s">
        <v>2245</v>
      </c>
      <c r="B2478" s="11">
        <v>1000.0</v>
      </c>
      <c r="C2478" s="12" t="s">
        <v>634</v>
      </c>
      <c r="D2478" s="15">
        <v>75230.0</v>
      </c>
      <c r="F2478" s="15"/>
      <c r="G2478" s="26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28"/>
      <c r="AS2478" s="28"/>
      <c r="AT2478" s="28"/>
    </row>
    <row r="2479">
      <c r="A2479" s="10" t="s">
        <v>2246</v>
      </c>
      <c r="B2479" s="11">
        <v>250.0</v>
      </c>
      <c r="C2479" s="12" t="s">
        <v>634</v>
      </c>
      <c r="D2479" s="15">
        <v>75230.0</v>
      </c>
      <c r="F2479" s="15"/>
      <c r="G2479" s="26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28"/>
      <c r="AS2479" s="28"/>
      <c r="AT2479" s="28"/>
    </row>
    <row r="2480">
      <c r="A2480" s="5" t="s">
        <v>2247</v>
      </c>
      <c r="B2480" s="6">
        <v>1000.0</v>
      </c>
      <c r="C2480" s="7" t="s">
        <v>1065</v>
      </c>
      <c r="D2480" s="15">
        <v>75214.0</v>
      </c>
      <c r="F2480" s="15"/>
      <c r="G2480" s="26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28"/>
      <c r="AS2480" s="28"/>
      <c r="AT2480" s="28"/>
    </row>
    <row r="2481">
      <c r="A2481" s="5" t="s">
        <v>2248</v>
      </c>
      <c r="B2481" s="6">
        <v>50.0</v>
      </c>
      <c r="C2481" s="7" t="s">
        <v>1065</v>
      </c>
      <c r="D2481" s="15">
        <v>75208.0</v>
      </c>
      <c r="F2481" s="15"/>
      <c r="G2481" s="26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28"/>
      <c r="AS2481" s="28"/>
      <c r="AT2481" s="28"/>
    </row>
    <row r="2482">
      <c r="A2482" s="10" t="s">
        <v>2249</v>
      </c>
      <c r="B2482" s="11">
        <v>1000.0</v>
      </c>
      <c r="C2482" s="12" t="s">
        <v>1065</v>
      </c>
      <c r="D2482" s="15">
        <v>75220.0</v>
      </c>
      <c r="F2482" s="15"/>
      <c r="G2482" s="26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28"/>
      <c r="AS2482" s="28"/>
      <c r="AT2482" s="28"/>
    </row>
    <row r="2483">
      <c r="A2483" s="5"/>
      <c r="B2483" s="6"/>
      <c r="C2483" s="7"/>
      <c r="D2483" s="15"/>
      <c r="F2483" s="15"/>
      <c r="G2483" s="26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28"/>
      <c r="AS2483" s="28"/>
      <c r="AT2483" s="28"/>
    </row>
    <row r="2484">
      <c r="A2484" s="10" t="s">
        <v>2251</v>
      </c>
      <c r="B2484" s="11">
        <v>1000.0</v>
      </c>
      <c r="C2484" s="12" t="s">
        <v>1065</v>
      </c>
      <c r="D2484" s="15">
        <v>78610.0</v>
      </c>
      <c r="F2484" s="15"/>
      <c r="G2484" s="26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28"/>
      <c r="AS2484" s="28"/>
      <c r="AT2484" s="28"/>
    </row>
    <row r="2485">
      <c r="A2485" s="5" t="s">
        <v>2252</v>
      </c>
      <c r="B2485" s="6">
        <v>500.0</v>
      </c>
      <c r="C2485" s="7" t="s">
        <v>1065</v>
      </c>
      <c r="D2485" s="15">
        <v>75205.0</v>
      </c>
      <c r="F2485" s="15"/>
      <c r="G2485" s="26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28"/>
      <c r="AS2485" s="28"/>
      <c r="AT2485" s="28"/>
    </row>
    <row r="2486">
      <c r="A2486" s="10" t="s">
        <v>2253</v>
      </c>
      <c r="B2486" s="11">
        <v>200.0</v>
      </c>
      <c r="C2486" s="12" t="s">
        <v>1065</v>
      </c>
      <c r="D2486" s="15">
        <v>75137.0</v>
      </c>
      <c r="F2486" s="15"/>
      <c r="G2486" s="26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28"/>
      <c r="AS2486" s="28"/>
      <c r="AT2486" s="28"/>
    </row>
    <row r="2487">
      <c r="A2487" s="10" t="s">
        <v>2254</v>
      </c>
      <c r="B2487" s="11">
        <v>100.0</v>
      </c>
      <c r="C2487" s="12" t="s">
        <v>1065</v>
      </c>
      <c r="D2487" s="15">
        <v>75214.0</v>
      </c>
      <c r="F2487" s="15"/>
      <c r="G2487" s="26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28"/>
      <c r="AS2487" s="28"/>
      <c r="AT2487" s="28"/>
    </row>
    <row r="2488">
      <c r="A2488" s="5" t="s">
        <v>2255</v>
      </c>
      <c r="B2488" s="6">
        <v>2500.0</v>
      </c>
      <c r="C2488" s="7" t="s">
        <v>1065</v>
      </c>
      <c r="D2488" s="15">
        <v>76710.0</v>
      </c>
      <c r="F2488" s="15"/>
      <c r="G2488" s="26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</row>
    <row r="2489">
      <c r="A2489" s="10" t="s">
        <v>2256</v>
      </c>
      <c r="B2489" s="11">
        <v>500.0</v>
      </c>
      <c r="C2489" s="12" t="s">
        <v>1065</v>
      </c>
      <c r="D2489" s="15">
        <v>75230.0</v>
      </c>
      <c r="F2489" s="15"/>
      <c r="G2489" s="26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28"/>
      <c r="AS2489" s="28"/>
      <c r="AT2489" s="28"/>
    </row>
    <row r="2490">
      <c r="A2490" s="5" t="s">
        <v>1155</v>
      </c>
      <c r="B2490" s="6">
        <v>2500.0</v>
      </c>
      <c r="C2490" s="7" t="s">
        <v>1065</v>
      </c>
      <c r="D2490" s="15">
        <v>75205.0</v>
      </c>
      <c r="F2490" s="15"/>
      <c r="G2490" s="26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28"/>
      <c r="AS2490" s="28"/>
      <c r="AT2490" s="28"/>
    </row>
    <row r="2491">
      <c r="A2491" s="10" t="s">
        <v>2257</v>
      </c>
      <c r="B2491" s="11">
        <v>100.0</v>
      </c>
      <c r="C2491" s="12" t="s">
        <v>1065</v>
      </c>
      <c r="D2491" s="15">
        <v>75228.0</v>
      </c>
      <c r="F2491" s="15"/>
      <c r="G2491" s="26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8"/>
      <c r="AH2491" s="28"/>
      <c r="AI2491" s="28"/>
      <c r="AJ2491" s="28"/>
      <c r="AK2491" s="28"/>
      <c r="AL2491" s="28"/>
      <c r="AM2491" s="28"/>
      <c r="AN2491" s="28"/>
      <c r="AO2491" s="28"/>
      <c r="AP2491" s="28"/>
      <c r="AQ2491" s="28"/>
      <c r="AR2491" s="28"/>
      <c r="AS2491" s="28"/>
      <c r="AT2491" s="28"/>
    </row>
    <row r="2492">
      <c r="A2492" s="5" t="s">
        <v>2258</v>
      </c>
      <c r="B2492" s="6">
        <v>100.0</v>
      </c>
      <c r="C2492" s="7" t="s">
        <v>1065</v>
      </c>
      <c r="D2492" s="15">
        <v>75206.0</v>
      </c>
      <c r="F2492" s="15"/>
      <c r="G2492" s="26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8"/>
      <c r="AH2492" s="28"/>
      <c r="AI2492" s="28"/>
      <c r="AJ2492" s="28"/>
      <c r="AK2492" s="28"/>
      <c r="AL2492" s="28"/>
      <c r="AM2492" s="28"/>
      <c r="AN2492" s="28"/>
      <c r="AO2492" s="28"/>
      <c r="AP2492" s="28"/>
      <c r="AQ2492" s="28"/>
      <c r="AR2492" s="28"/>
      <c r="AS2492" s="28"/>
      <c r="AT2492" s="28"/>
    </row>
    <row r="2493">
      <c r="A2493" s="10" t="s">
        <v>2259</v>
      </c>
      <c r="B2493" s="11">
        <v>500.0</v>
      </c>
      <c r="C2493" s="12" t="s">
        <v>1065</v>
      </c>
      <c r="D2493" s="15">
        <v>75214.0</v>
      </c>
      <c r="F2493" s="15"/>
      <c r="G2493" s="26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8"/>
      <c r="AH2493" s="28"/>
      <c r="AI2493" s="28"/>
      <c r="AJ2493" s="28"/>
      <c r="AK2493" s="28"/>
      <c r="AL2493" s="28"/>
      <c r="AM2493" s="28"/>
      <c r="AN2493" s="28"/>
      <c r="AO2493" s="28"/>
      <c r="AP2493" s="28"/>
      <c r="AQ2493" s="28"/>
      <c r="AR2493" s="28"/>
      <c r="AS2493" s="28"/>
      <c r="AT2493" s="28"/>
    </row>
    <row r="2494">
      <c r="A2494" s="5" t="s">
        <v>2260</v>
      </c>
      <c r="B2494" s="6">
        <v>500.0</v>
      </c>
      <c r="C2494" s="7" t="s">
        <v>1065</v>
      </c>
      <c r="D2494" s="15">
        <v>75028.0</v>
      </c>
      <c r="F2494" s="15"/>
      <c r="G2494" s="26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28"/>
      <c r="AR2494" s="28"/>
      <c r="AS2494" s="28"/>
      <c r="AT2494" s="28"/>
    </row>
    <row r="2495">
      <c r="A2495" s="10" t="s">
        <v>2261</v>
      </c>
      <c r="B2495" s="11">
        <v>1000.0</v>
      </c>
      <c r="C2495" s="12" t="s">
        <v>1065</v>
      </c>
      <c r="D2495" s="15">
        <v>75232.0</v>
      </c>
      <c r="F2495" s="15"/>
      <c r="G2495" s="26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28"/>
      <c r="AR2495" s="28"/>
      <c r="AS2495" s="28"/>
      <c r="AT2495" s="28"/>
    </row>
    <row r="2496">
      <c r="A2496" s="5" t="s">
        <v>2262</v>
      </c>
      <c r="B2496" s="6">
        <v>1000.0</v>
      </c>
      <c r="C2496" s="7" t="s">
        <v>1065</v>
      </c>
      <c r="D2496" s="15">
        <v>78703.0</v>
      </c>
      <c r="F2496" s="15"/>
      <c r="G2496" s="26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28"/>
      <c r="AR2496" s="28"/>
      <c r="AS2496" s="28"/>
      <c r="AT2496" s="28"/>
    </row>
    <row r="2497">
      <c r="A2497" s="10" t="s">
        <v>1926</v>
      </c>
      <c r="B2497" s="11">
        <v>5000.0</v>
      </c>
      <c r="C2497" s="12" t="s">
        <v>1065</v>
      </c>
      <c r="D2497" s="15">
        <v>75230.0</v>
      </c>
      <c r="F2497" s="15"/>
      <c r="G2497" s="26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J2497" s="28"/>
      <c r="AK2497" s="28"/>
      <c r="AL2497" s="28"/>
      <c r="AM2497" s="28"/>
      <c r="AN2497" s="28"/>
      <c r="AO2497" s="28"/>
      <c r="AP2497" s="28"/>
      <c r="AQ2497" s="28"/>
      <c r="AR2497" s="28"/>
      <c r="AS2497" s="28"/>
      <c r="AT2497" s="28"/>
    </row>
    <row r="2498">
      <c r="A2498" s="5" t="s">
        <v>2263</v>
      </c>
      <c r="B2498" s="6">
        <v>1000.0</v>
      </c>
      <c r="C2498" s="7" t="s">
        <v>1065</v>
      </c>
      <c r="D2498" s="15">
        <v>78746.0</v>
      </c>
      <c r="F2498" s="15"/>
      <c r="G2498" s="26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28"/>
      <c r="AR2498" s="28"/>
      <c r="AS2498" s="28"/>
      <c r="AT2498" s="28"/>
    </row>
    <row r="2499">
      <c r="A2499" s="10" t="s">
        <v>2264</v>
      </c>
      <c r="B2499" s="11">
        <v>100.0</v>
      </c>
      <c r="C2499" s="12" t="s">
        <v>1065</v>
      </c>
      <c r="D2499" s="15">
        <v>75249.0</v>
      </c>
      <c r="F2499" s="15"/>
      <c r="G2499" s="26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28"/>
      <c r="AQ2499" s="28"/>
      <c r="AR2499" s="28"/>
      <c r="AS2499" s="28"/>
      <c r="AT2499" s="28"/>
    </row>
    <row r="2500">
      <c r="A2500" s="5" t="s">
        <v>2265</v>
      </c>
      <c r="B2500" s="6">
        <v>100.0</v>
      </c>
      <c r="C2500" s="7" t="s">
        <v>1065</v>
      </c>
      <c r="D2500" s="15">
        <v>75224.0</v>
      </c>
      <c r="F2500" s="15"/>
      <c r="G2500" s="26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28"/>
      <c r="AS2500" s="28"/>
      <c r="AT2500" s="28"/>
    </row>
    <row r="2501">
      <c r="A2501" s="10" t="s">
        <v>2266</v>
      </c>
      <c r="B2501" s="11">
        <v>100.0</v>
      </c>
      <c r="C2501" s="12" t="s">
        <v>1065</v>
      </c>
      <c r="D2501" s="15">
        <v>75248.0</v>
      </c>
      <c r="F2501" s="15"/>
      <c r="G2501" s="26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28"/>
      <c r="AS2501" s="28"/>
      <c r="AT2501" s="28"/>
    </row>
    <row r="2502">
      <c r="A2502" s="5" t="s">
        <v>2267</v>
      </c>
      <c r="B2502" s="6">
        <v>100.0</v>
      </c>
      <c r="C2502" s="7" t="s">
        <v>1065</v>
      </c>
      <c r="D2502" s="15">
        <v>75244.0</v>
      </c>
      <c r="F2502" s="15"/>
      <c r="G2502" s="26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28"/>
      <c r="AS2502" s="28"/>
      <c r="AT2502" s="28"/>
    </row>
    <row r="2503">
      <c r="A2503" s="10" t="s">
        <v>317</v>
      </c>
      <c r="B2503" s="11">
        <v>500.0</v>
      </c>
      <c r="C2503" s="12" t="s">
        <v>1065</v>
      </c>
      <c r="D2503" s="15">
        <v>75201.0</v>
      </c>
      <c r="F2503" s="15"/>
      <c r="G2503" s="26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28"/>
      <c r="AS2503" s="28"/>
      <c r="AT2503" s="28"/>
    </row>
    <row r="2504">
      <c r="A2504" s="5" t="s">
        <v>2268</v>
      </c>
      <c r="B2504" s="6">
        <v>50.0</v>
      </c>
      <c r="C2504" s="7" t="s">
        <v>1065</v>
      </c>
      <c r="D2504" s="15">
        <v>75243.0</v>
      </c>
      <c r="F2504" s="15"/>
      <c r="G2504" s="26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28"/>
      <c r="AS2504" s="28"/>
      <c r="AT2504" s="28"/>
    </row>
    <row r="2505">
      <c r="A2505" s="10" t="s">
        <v>2269</v>
      </c>
      <c r="B2505" s="11">
        <v>1000.0</v>
      </c>
      <c r="C2505" s="12" t="s">
        <v>1065</v>
      </c>
      <c r="D2505" s="15">
        <v>75237.0</v>
      </c>
      <c r="F2505" s="15"/>
      <c r="G2505" s="26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28"/>
      <c r="AS2505" s="28"/>
      <c r="AT2505" s="28"/>
    </row>
    <row r="2506">
      <c r="A2506" s="5" t="s">
        <v>2270</v>
      </c>
      <c r="B2506" s="6">
        <v>100.0</v>
      </c>
      <c r="C2506" s="7" t="s">
        <v>1065</v>
      </c>
      <c r="D2506" s="15">
        <v>75134.0</v>
      </c>
      <c r="F2506" s="15"/>
      <c r="G2506" s="26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28"/>
      <c r="AS2506" s="28"/>
      <c r="AT2506" s="28"/>
    </row>
    <row r="2507">
      <c r="A2507" s="10" t="s">
        <v>2271</v>
      </c>
      <c r="B2507" s="11">
        <v>500.0</v>
      </c>
      <c r="C2507" s="12" t="s">
        <v>1065</v>
      </c>
      <c r="D2507" s="15">
        <v>75205.0</v>
      </c>
      <c r="F2507" s="15"/>
      <c r="G2507" s="26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28"/>
      <c r="AS2507" s="28"/>
      <c r="AT2507" s="28"/>
    </row>
    <row r="2508">
      <c r="A2508" s="5" t="s">
        <v>2272</v>
      </c>
      <c r="B2508" s="6">
        <v>100.0</v>
      </c>
      <c r="C2508" s="7" t="s">
        <v>1065</v>
      </c>
      <c r="D2508" s="15">
        <v>77041.0</v>
      </c>
      <c r="F2508" s="15"/>
      <c r="G2508" s="26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28"/>
      <c r="AS2508" s="28"/>
      <c r="AT2508" s="28"/>
    </row>
    <row r="2509">
      <c r="A2509" s="10" t="s">
        <v>448</v>
      </c>
      <c r="B2509" s="11">
        <v>100.0</v>
      </c>
      <c r="C2509" s="12" t="s">
        <v>1065</v>
      </c>
      <c r="D2509" s="15">
        <v>75214.0</v>
      </c>
      <c r="F2509" s="15"/>
      <c r="G2509" s="26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28"/>
      <c r="AS2509" s="28"/>
      <c r="AT2509" s="28"/>
    </row>
    <row r="2510">
      <c r="A2510" s="5" t="s">
        <v>2273</v>
      </c>
      <c r="B2510" s="6">
        <v>100.0</v>
      </c>
      <c r="C2510" s="7" t="s">
        <v>1065</v>
      </c>
      <c r="D2510" s="15">
        <v>75206.0</v>
      </c>
      <c r="F2510" s="15"/>
      <c r="G2510" s="26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28"/>
      <c r="AS2510" s="28"/>
      <c r="AT2510" s="28"/>
    </row>
    <row r="2511">
      <c r="A2511" s="10" t="s">
        <v>2274</v>
      </c>
      <c r="B2511" s="11">
        <v>100.0</v>
      </c>
      <c r="C2511" s="12" t="s">
        <v>1065</v>
      </c>
      <c r="D2511" s="15">
        <v>75206.0</v>
      </c>
      <c r="F2511" s="15"/>
      <c r="G2511" s="26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28"/>
    </row>
    <row r="2512">
      <c r="A2512" s="5" t="s">
        <v>2275</v>
      </c>
      <c r="B2512" s="6">
        <v>250.0</v>
      </c>
      <c r="C2512" s="7" t="s">
        <v>1065</v>
      </c>
      <c r="D2512" s="15">
        <v>75214.0</v>
      </c>
      <c r="F2512" s="15"/>
      <c r="G2512" s="26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28"/>
      <c r="AS2512" s="28"/>
      <c r="AT2512" s="28"/>
    </row>
    <row r="2513">
      <c r="A2513" s="10" t="s">
        <v>2276</v>
      </c>
      <c r="B2513" s="11">
        <v>50.0</v>
      </c>
      <c r="C2513" s="12" t="s">
        <v>1065</v>
      </c>
      <c r="D2513" s="15">
        <v>75252.0</v>
      </c>
      <c r="F2513" s="15"/>
      <c r="G2513" s="26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28"/>
      <c r="AS2513" s="28"/>
      <c r="AT2513" s="28"/>
    </row>
    <row r="2514">
      <c r="A2514" s="5" t="s">
        <v>2277</v>
      </c>
      <c r="B2514" s="6">
        <v>1000.0</v>
      </c>
      <c r="C2514" s="7" t="s">
        <v>1065</v>
      </c>
      <c r="D2514" s="15">
        <v>75225.0</v>
      </c>
      <c r="F2514" s="15"/>
      <c r="G2514" s="26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28"/>
      <c r="AS2514" s="28"/>
      <c r="AT2514" s="28"/>
    </row>
    <row r="2515">
      <c r="A2515" s="10" t="s">
        <v>2278</v>
      </c>
      <c r="B2515" s="11">
        <v>2500.0</v>
      </c>
      <c r="C2515" s="12" t="s">
        <v>1065</v>
      </c>
      <c r="D2515" s="15">
        <v>78701.0</v>
      </c>
      <c r="F2515" s="15"/>
      <c r="G2515" s="26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28"/>
      <c r="AS2515" s="28"/>
      <c r="AT2515" s="28"/>
    </row>
    <row r="2516">
      <c r="A2516" s="5" t="s">
        <v>2279</v>
      </c>
      <c r="B2516" s="6">
        <v>1000.0</v>
      </c>
      <c r="C2516" s="7" t="s">
        <v>1065</v>
      </c>
      <c r="D2516" s="15">
        <v>75230.0</v>
      </c>
      <c r="F2516" s="15"/>
      <c r="G2516" s="26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</row>
    <row r="2517">
      <c r="A2517" s="10" t="s">
        <v>2280</v>
      </c>
      <c r="B2517" s="11">
        <v>50.0</v>
      </c>
      <c r="C2517" s="12" t="s">
        <v>1065</v>
      </c>
      <c r="D2517" s="15">
        <v>75201.0</v>
      </c>
      <c r="F2517" s="15"/>
      <c r="G2517" s="26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28"/>
      <c r="AS2517" s="28"/>
      <c r="AT2517" s="28"/>
    </row>
    <row r="2518">
      <c r="A2518" s="5" t="s">
        <v>2281</v>
      </c>
      <c r="B2518" s="6">
        <v>50.0</v>
      </c>
      <c r="C2518" s="7" t="s">
        <v>1065</v>
      </c>
      <c r="D2518" s="15">
        <v>75216.0</v>
      </c>
      <c r="F2518" s="15"/>
      <c r="G2518" s="26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28"/>
      <c r="AS2518" s="28"/>
      <c r="AT2518" s="28"/>
    </row>
    <row r="2519">
      <c r="A2519" s="10" t="s">
        <v>2282</v>
      </c>
      <c r="B2519" s="11">
        <v>100.0</v>
      </c>
      <c r="C2519" s="12" t="s">
        <v>1065</v>
      </c>
      <c r="D2519" s="15">
        <v>75228.0</v>
      </c>
      <c r="F2519" s="15"/>
      <c r="G2519" s="26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28"/>
      <c r="AS2519" s="28"/>
      <c r="AT2519" s="28"/>
    </row>
    <row r="2520">
      <c r="A2520" s="5" t="s">
        <v>2283</v>
      </c>
      <c r="B2520" s="6">
        <v>500.0</v>
      </c>
      <c r="C2520" s="7" t="s">
        <v>1065</v>
      </c>
      <c r="D2520" s="15">
        <v>78704.0</v>
      </c>
      <c r="F2520" s="15"/>
      <c r="G2520" s="26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28"/>
      <c r="AS2520" s="28"/>
      <c r="AT2520" s="28"/>
    </row>
    <row r="2521">
      <c r="A2521" s="10" t="s">
        <v>2284</v>
      </c>
      <c r="B2521" s="11">
        <v>100.0</v>
      </c>
      <c r="C2521" s="12" t="s">
        <v>1065</v>
      </c>
      <c r="D2521" s="15">
        <v>75224.0</v>
      </c>
      <c r="F2521" s="15"/>
      <c r="G2521" s="26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28"/>
      <c r="AS2521" s="28"/>
      <c r="AT2521" s="28"/>
    </row>
    <row r="2522">
      <c r="A2522" s="5" t="s">
        <v>2285</v>
      </c>
      <c r="B2522" s="6">
        <v>100.0</v>
      </c>
      <c r="C2522" s="7" t="s">
        <v>1065</v>
      </c>
      <c r="D2522" s="15">
        <v>75202.0</v>
      </c>
      <c r="F2522" s="15"/>
      <c r="G2522" s="26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28"/>
      <c r="AS2522" s="28"/>
      <c r="AT2522" s="28"/>
    </row>
    <row r="2523">
      <c r="A2523" s="10" t="s">
        <v>2286</v>
      </c>
      <c r="B2523" s="11">
        <v>100.0</v>
      </c>
      <c r="C2523" s="12" t="s">
        <v>1065</v>
      </c>
      <c r="D2523" s="15">
        <v>75230.0</v>
      </c>
      <c r="F2523" s="15"/>
      <c r="G2523" s="26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28"/>
      <c r="AS2523" s="28"/>
      <c r="AT2523" s="28"/>
    </row>
    <row r="2524">
      <c r="A2524" s="5" t="s">
        <v>2287</v>
      </c>
      <c r="B2524" s="6">
        <v>100.0</v>
      </c>
      <c r="C2524" s="7" t="s">
        <v>1065</v>
      </c>
      <c r="D2524" s="15">
        <v>75252.0</v>
      </c>
      <c r="F2524" s="15"/>
      <c r="G2524" s="26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28"/>
      <c r="AS2524" s="28"/>
      <c r="AT2524" s="28"/>
    </row>
    <row r="2525">
      <c r="A2525" s="10" t="s">
        <v>2288</v>
      </c>
      <c r="B2525" s="11">
        <v>500.0</v>
      </c>
      <c r="C2525" s="12" t="s">
        <v>1065</v>
      </c>
      <c r="D2525" s="15">
        <v>75232.0</v>
      </c>
      <c r="F2525" s="15"/>
      <c r="G2525" s="26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28"/>
      <c r="AS2525" s="28"/>
      <c r="AT2525" s="28"/>
    </row>
    <row r="2526">
      <c r="A2526" s="5" t="s">
        <v>2289</v>
      </c>
      <c r="B2526" s="6">
        <v>500.0</v>
      </c>
      <c r="C2526" s="7" t="s">
        <v>1065</v>
      </c>
      <c r="D2526" s="15">
        <v>75204.0</v>
      </c>
      <c r="F2526" s="15"/>
      <c r="G2526" s="26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28"/>
      <c r="AS2526" s="28"/>
      <c r="AT2526" s="28"/>
    </row>
    <row r="2527">
      <c r="A2527" s="10" t="s">
        <v>2290</v>
      </c>
      <c r="B2527" s="11">
        <v>50.0</v>
      </c>
      <c r="C2527" s="12" t="s">
        <v>1065</v>
      </c>
      <c r="D2527" s="15">
        <v>75137.0</v>
      </c>
      <c r="F2527" s="15"/>
      <c r="G2527" s="26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28"/>
      <c r="AS2527" s="28"/>
      <c r="AT2527" s="28"/>
    </row>
    <row r="2528">
      <c r="A2528" s="5" t="s">
        <v>2291</v>
      </c>
      <c r="B2528" s="6">
        <v>1000.0</v>
      </c>
      <c r="C2528" s="7" t="s">
        <v>1065</v>
      </c>
      <c r="D2528" s="15">
        <v>78746.0</v>
      </c>
      <c r="F2528" s="15"/>
      <c r="G2528" s="26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28"/>
      <c r="AS2528" s="28"/>
      <c r="AT2528" s="28"/>
    </row>
    <row r="2529">
      <c r="A2529" s="10" t="s">
        <v>2292</v>
      </c>
      <c r="B2529" s="11">
        <v>100.0</v>
      </c>
      <c r="C2529" s="12" t="s">
        <v>1065</v>
      </c>
      <c r="D2529" s="15">
        <v>75232.0</v>
      </c>
      <c r="F2529" s="15"/>
      <c r="G2529" s="26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28"/>
      <c r="AS2529" s="28"/>
      <c r="AT2529" s="28"/>
    </row>
    <row r="2530">
      <c r="A2530" s="5" t="s">
        <v>2293</v>
      </c>
      <c r="B2530" s="6">
        <v>100.0</v>
      </c>
      <c r="C2530" s="7" t="s">
        <v>1065</v>
      </c>
      <c r="D2530" s="15">
        <v>75201.0</v>
      </c>
      <c r="F2530" s="15"/>
      <c r="G2530" s="26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28"/>
      <c r="AS2530" s="28"/>
      <c r="AT2530" s="28"/>
    </row>
    <row r="2531">
      <c r="A2531" s="10" t="s">
        <v>2294</v>
      </c>
      <c r="B2531" s="11">
        <v>50.0</v>
      </c>
      <c r="C2531" s="12" t="s">
        <v>1065</v>
      </c>
      <c r="D2531" s="15">
        <v>75204.0</v>
      </c>
      <c r="F2531" s="15"/>
      <c r="G2531" s="26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28"/>
      <c r="AS2531" s="28"/>
      <c r="AT2531" s="28"/>
    </row>
    <row r="2532">
      <c r="A2532" s="5" t="s">
        <v>2295</v>
      </c>
      <c r="B2532" s="6">
        <v>250.0</v>
      </c>
      <c r="C2532" s="7" t="s">
        <v>1065</v>
      </c>
      <c r="D2532" s="15">
        <v>75226.0</v>
      </c>
      <c r="F2532" s="15"/>
      <c r="G2532" s="26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28"/>
      <c r="AS2532" s="28"/>
      <c r="AT2532" s="28"/>
    </row>
    <row r="2533">
      <c r="A2533" s="10" t="s">
        <v>2296</v>
      </c>
      <c r="B2533" s="11">
        <v>10.0</v>
      </c>
      <c r="C2533" s="12" t="s">
        <v>1065</v>
      </c>
      <c r="D2533" s="15">
        <v>75115.0</v>
      </c>
      <c r="F2533" s="15"/>
      <c r="G2533" s="26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</row>
    <row r="2534">
      <c r="A2534" s="5" t="s">
        <v>2297</v>
      </c>
      <c r="B2534" s="6">
        <v>100.0</v>
      </c>
      <c r="C2534" s="7" t="s">
        <v>1065</v>
      </c>
      <c r="D2534" s="15">
        <v>75237.0</v>
      </c>
      <c r="F2534" s="15"/>
      <c r="G2534" s="26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8"/>
      <c r="AT2534" s="28"/>
    </row>
    <row r="2535">
      <c r="A2535" s="10" t="s">
        <v>2298</v>
      </c>
      <c r="B2535" s="11">
        <v>50.0</v>
      </c>
      <c r="C2535" s="12" t="s">
        <v>1065</v>
      </c>
      <c r="D2535" s="15">
        <v>75229.0</v>
      </c>
      <c r="F2535" s="15"/>
      <c r="G2535" s="26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28"/>
      <c r="AS2535" s="28"/>
      <c r="AT2535" s="28"/>
    </row>
    <row r="2536">
      <c r="A2536" s="5" t="s">
        <v>1091</v>
      </c>
      <c r="B2536" s="6">
        <v>100.0</v>
      </c>
      <c r="C2536" s="7" t="s">
        <v>1065</v>
      </c>
      <c r="D2536" s="15">
        <v>75229.0</v>
      </c>
      <c r="F2536" s="15"/>
      <c r="G2536" s="26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28"/>
      <c r="AS2536" s="28"/>
      <c r="AT2536" s="28"/>
    </row>
    <row r="2537">
      <c r="A2537" s="10" t="s">
        <v>2299</v>
      </c>
      <c r="B2537" s="11">
        <v>250.0</v>
      </c>
      <c r="C2537" s="12" t="s">
        <v>1065</v>
      </c>
      <c r="D2537" s="15">
        <v>75232.0</v>
      </c>
      <c r="F2537" s="15"/>
      <c r="G2537" s="26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28"/>
      <c r="AS2537" s="28"/>
      <c r="AT2537" s="28"/>
    </row>
    <row r="2538">
      <c r="A2538" s="5" t="s">
        <v>2300</v>
      </c>
      <c r="B2538" s="6">
        <v>500.0</v>
      </c>
      <c r="C2538" s="7" t="s">
        <v>1065</v>
      </c>
      <c r="D2538" s="15">
        <v>75019.0</v>
      </c>
      <c r="F2538" s="15"/>
      <c r="G2538" s="26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8"/>
      <c r="AT2538" s="28"/>
    </row>
    <row r="2539">
      <c r="A2539" s="10" t="s">
        <v>2301</v>
      </c>
      <c r="B2539" s="11">
        <v>10.0</v>
      </c>
      <c r="C2539" s="12" t="s">
        <v>1065</v>
      </c>
      <c r="D2539" s="15">
        <v>75237.0</v>
      </c>
      <c r="F2539" s="15"/>
      <c r="G2539" s="26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28"/>
      <c r="AS2539" s="28"/>
      <c r="AT2539" s="28"/>
    </row>
    <row r="2540">
      <c r="A2540" s="5" t="s">
        <v>2302</v>
      </c>
      <c r="B2540" s="6">
        <v>250.0</v>
      </c>
      <c r="C2540" s="7" t="s">
        <v>1065</v>
      </c>
      <c r="D2540" s="15">
        <v>75218.0</v>
      </c>
      <c r="F2540" s="15"/>
      <c r="G2540" s="26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28"/>
      <c r="AS2540" s="28"/>
      <c r="AT2540" s="28"/>
    </row>
    <row r="2541">
      <c r="A2541" s="10" t="s">
        <v>1084</v>
      </c>
      <c r="B2541" s="11">
        <v>1000.0</v>
      </c>
      <c r="C2541" s="12" t="s">
        <v>1065</v>
      </c>
      <c r="D2541" s="15">
        <v>75154.0</v>
      </c>
      <c r="F2541" s="15"/>
      <c r="G2541" s="26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</row>
    <row r="2542">
      <c r="A2542" s="5" t="s">
        <v>2303</v>
      </c>
      <c r="B2542" s="6">
        <v>100.0</v>
      </c>
      <c r="C2542" s="7" t="s">
        <v>1065</v>
      </c>
      <c r="D2542" s="15">
        <v>75201.0</v>
      </c>
      <c r="F2542" s="15"/>
      <c r="G2542" s="26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28"/>
      <c r="AS2542" s="28"/>
      <c r="AT2542" s="28"/>
    </row>
    <row r="2543">
      <c r="A2543" s="10" t="s">
        <v>2304</v>
      </c>
      <c r="B2543" s="11">
        <v>20.0</v>
      </c>
      <c r="C2543" s="12" t="s">
        <v>1065</v>
      </c>
      <c r="D2543" s="15">
        <v>75241.0</v>
      </c>
      <c r="F2543" s="15"/>
      <c r="G2543" s="26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/>
      <c r="AS2543" s="28"/>
      <c r="AT2543" s="28"/>
    </row>
    <row r="2544">
      <c r="A2544" s="5" t="s">
        <v>1521</v>
      </c>
      <c r="B2544" s="6">
        <v>1000.0</v>
      </c>
      <c r="C2544" s="7" t="s">
        <v>1065</v>
      </c>
      <c r="D2544" s="15">
        <v>75201.0</v>
      </c>
      <c r="F2544" s="15"/>
      <c r="G2544" s="26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28"/>
      <c r="AS2544" s="28"/>
      <c r="AT2544" s="28"/>
    </row>
    <row r="2545">
      <c r="A2545" s="10" t="s">
        <v>2305</v>
      </c>
      <c r="B2545" s="11">
        <v>100.0</v>
      </c>
      <c r="C2545" s="12" t="s">
        <v>1065</v>
      </c>
      <c r="D2545" s="15">
        <v>75218.0</v>
      </c>
      <c r="F2545" s="15"/>
      <c r="G2545" s="26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28"/>
      <c r="AS2545" s="28"/>
      <c r="AT2545" s="28"/>
    </row>
    <row r="2546">
      <c r="A2546" s="5" t="s">
        <v>2306</v>
      </c>
      <c r="B2546" s="6">
        <v>50.0</v>
      </c>
      <c r="C2546" s="7" t="s">
        <v>1065</v>
      </c>
      <c r="D2546" s="15">
        <v>75228.0</v>
      </c>
      <c r="F2546" s="15"/>
      <c r="G2546" s="26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28"/>
      <c r="AS2546" s="28"/>
      <c r="AT2546" s="28"/>
    </row>
    <row r="2547">
      <c r="A2547" s="10" t="s">
        <v>2307</v>
      </c>
      <c r="B2547" s="11">
        <v>100.0</v>
      </c>
      <c r="C2547" s="12" t="s">
        <v>1065</v>
      </c>
      <c r="D2547" s="15">
        <v>75228.0</v>
      </c>
      <c r="F2547" s="15"/>
      <c r="G2547" s="26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28"/>
      <c r="AS2547" s="28"/>
      <c r="AT2547" s="28"/>
    </row>
    <row r="2548">
      <c r="A2548" s="5" t="s">
        <v>2308</v>
      </c>
      <c r="B2548" s="6">
        <v>100.0</v>
      </c>
      <c r="C2548" s="7" t="s">
        <v>1065</v>
      </c>
      <c r="D2548" s="15">
        <v>75218.0</v>
      </c>
      <c r="F2548" s="15"/>
      <c r="G2548" s="26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28"/>
      <c r="AS2548" s="28"/>
      <c r="AT2548" s="28"/>
    </row>
    <row r="2549">
      <c r="A2549" s="10" t="s">
        <v>2309</v>
      </c>
      <c r="B2549" s="11">
        <v>5000.0</v>
      </c>
      <c r="C2549" s="12" t="s">
        <v>1065</v>
      </c>
      <c r="D2549" s="15">
        <v>75231.0</v>
      </c>
      <c r="F2549" s="15"/>
      <c r="G2549" s="26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28"/>
      <c r="AS2549" s="28"/>
      <c r="AT2549" s="28"/>
    </row>
    <row r="2550">
      <c r="A2550" s="5" t="s">
        <v>2310</v>
      </c>
      <c r="B2550" s="6">
        <v>100.0</v>
      </c>
      <c r="C2550" s="7" t="s">
        <v>1065</v>
      </c>
      <c r="D2550" s="15">
        <v>75219.0</v>
      </c>
      <c r="F2550" s="15"/>
      <c r="G2550" s="26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28"/>
      <c r="AS2550" s="28"/>
      <c r="AT2550" s="28"/>
    </row>
    <row r="2551">
      <c r="A2551" s="10"/>
      <c r="B2551" s="11"/>
      <c r="C2551" s="12"/>
      <c r="D2551" s="15"/>
      <c r="F2551" s="15"/>
      <c r="G2551" s="26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28"/>
      <c r="AS2551" s="28"/>
      <c r="AT2551" s="28"/>
    </row>
    <row r="2552">
      <c r="A2552" s="5" t="s">
        <v>2312</v>
      </c>
      <c r="B2552" s="6">
        <v>5000.0</v>
      </c>
      <c r="C2552" s="7" t="s">
        <v>1065</v>
      </c>
      <c r="D2552" s="15">
        <v>78739.0</v>
      </c>
      <c r="F2552" s="15"/>
      <c r="G2552" s="26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28"/>
      <c r="AS2552" s="28"/>
      <c r="AT2552" s="28"/>
    </row>
    <row r="2553">
      <c r="A2553" s="10" t="s">
        <v>2313</v>
      </c>
      <c r="B2553" s="11">
        <v>100.0</v>
      </c>
      <c r="C2553" s="12" t="s">
        <v>1065</v>
      </c>
      <c r="D2553" s="15">
        <v>75287.0</v>
      </c>
      <c r="F2553" s="15"/>
      <c r="G2553" s="26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28"/>
      <c r="AS2553" s="28"/>
      <c r="AT2553" s="28"/>
    </row>
    <row r="2554">
      <c r="A2554" s="5" t="s">
        <v>2314</v>
      </c>
      <c r="B2554" s="6">
        <v>50.0</v>
      </c>
      <c r="C2554" s="7" t="s">
        <v>1065</v>
      </c>
      <c r="D2554" s="15">
        <v>75225.0</v>
      </c>
      <c r="F2554" s="15"/>
      <c r="G2554" s="26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28"/>
      <c r="AS2554" s="28"/>
      <c r="AT2554" s="28"/>
    </row>
    <row r="2555">
      <c r="A2555" s="10" t="s">
        <v>2315</v>
      </c>
      <c r="B2555" s="11">
        <v>100.0</v>
      </c>
      <c r="C2555" s="12" t="s">
        <v>1065</v>
      </c>
      <c r="D2555" s="15">
        <v>75218.0</v>
      </c>
      <c r="F2555" s="15"/>
      <c r="G2555" s="26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/>
      <c r="AS2555" s="28"/>
      <c r="AT2555" s="28"/>
    </row>
    <row r="2556">
      <c r="A2556" s="5" t="s">
        <v>2316</v>
      </c>
      <c r="B2556" s="6">
        <v>100.0</v>
      </c>
      <c r="C2556" s="7" t="s">
        <v>1065</v>
      </c>
      <c r="D2556" s="15">
        <v>75225.0</v>
      </c>
      <c r="F2556" s="15"/>
      <c r="G2556" s="26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</row>
    <row r="2557">
      <c r="A2557" s="10" t="s">
        <v>2317</v>
      </c>
      <c r="B2557" s="11">
        <v>2500.0</v>
      </c>
      <c r="C2557" s="12" t="s">
        <v>1065</v>
      </c>
      <c r="D2557" s="15">
        <v>75013.0</v>
      </c>
      <c r="F2557" s="15"/>
      <c r="G2557" s="26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28"/>
      <c r="AS2557" s="28"/>
      <c r="AT2557" s="28"/>
    </row>
    <row r="2558">
      <c r="A2558" s="5" t="s">
        <v>2318</v>
      </c>
      <c r="B2558" s="6">
        <v>50.0</v>
      </c>
      <c r="C2558" s="7" t="s">
        <v>1065</v>
      </c>
      <c r="D2558" s="15">
        <v>75248.0</v>
      </c>
      <c r="F2558" s="15"/>
      <c r="G2558" s="26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28"/>
      <c r="AS2558" s="28"/>
      <c r="AT2558" s="28"/>
    </row>
    <row r="2559">
      <c r="A2559" s="10" t="s">
        <v>2319</v>
      </c>
      <c r="B2559" s="11">
        <v>1000.0</v>
      </c>
      <c r="C2559" s="12" t="s">
        <v>1065</v>
      </c>
      <c r="D2559" s="15">
        <v>75229.0</v>
      </c>
      <c r="F2559" s="15"/>
      <c r="G2559" s="26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</row>
    <row r="2560">
      <c r="A2560" s="5" t="s">
        <v>2320</v>
      </c>
      <c r="B2560" s="6">
        <v>25.0</v>
      </c>
      <c r="C2560" s="7" t="s">
        <v>1065</v>
      </c>
      <c r="D2560" s="15">
        <v>75225.0</v>
      </c>
      <c r="F2560" s="15"/>
      <c r="G2560" s="26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28"/>
      <c r="AS2560" s="28"/>
      <c r="AT2560" s="28"/>
    </row>
    <row r="2561">
      <c r="A2561" s="10" t="s">
        <v>2321</v>
      </c>
      <c r="B2561" s="11">
        <v>500.0</v>
      </c>
      <c r="C2561" s="12" t="s">
        <v>1065</v>
      </c>
      <c r="D2561" s="15">
        <v>75209.0</v>
      </c>
      <c r="F2561" s="15"/>
      <c r="G2561" s="26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28"/>
      <c r="AS2561" s="28"/>
      <c r="AT2561" s="28"/>
    </row>
    <row r="2562">
      <c r="A2562" s="5" t="s">
        <v>2322</v>
      </c>
      <c r="B2562" s="6">
        <v>500.0</v>
      </c>
      <c r="C2562" s="7" t="s">
        <v>1065</v>
      </c>
      <c r="D2562" s="15">
        <v>76227.0</v>
      </c>
      <c r="F2562" s="15"/>
      <c r="G2562" s="26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28"/>
      <c r="AS2562" s="28"/>
      <c r="AT2562" s="28"/>
    </row>
    <row r="2563">
      <c r="A2563" s="10" t="s">
        <v>2323</v>
      </c>
      <c r="B2563" s="11">
        <v>50.0</v>
      </c>
      <c r="C2563" s="12" t="s">
        <v>1065</v>
      </c>
      <c r="D2563" s="15">
        <v>75212.0</v>
      </c>
      <c r="F2563" s="15"/>
      <c r="G2563" s="26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28"/>
      <c r="AS2563" s="28"/>
      <c r="AT2563" s="28"/>
    </row>
    <row r="2564">
      <c r="A2564" s="5" t="s">
        <v>2324</v>
      </c>
      <c r="B2564" s="6">
        <v>50.0</v>
      </c>
      <c r="C2564" s="7" t="s">
        <v>1065</v>
      </c>
      <c r="D2564" s="15">
        <v>75185.0</v>
      </c>
      <c r="F2564" s="15"/>
      <c r="G2564" s="26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28"/>
      <c r="AS2564" s="28"/>
      <c r="AT2564" s="28"/>
    </row>
    <row r="2565">
      <c r="A2565" s="10" t="s">
        <v>2325</v>
      </c>
      <c r="B2565" s="11">
        <v>500.0</v>
      </c>
      <c r="C2565" s="12" t="s">
        <v>1065</v>
      </c>
      <c r="D2565" s="15">
        <v>75252.0</v>
      </c>
      <c r="F2565" s="15"/>
      <c r="G2565" s="26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28"/>
      <c r="AS2565" s="28"/>
      <c r="AT2565" s="28"/>
    </row>
    <row r="2566">
      <c r="A2566" s="5" t="s">
        <v>2326</v>
      </c>
      <c r="B2566" s="6">
        <v>100.0</v>
      </c>
      <c r="C2566" s="7" t="s">
        <v>1065</v>
      </c>
      <c r="D2566" s="15">
        <v>75236.0</v>
      </c>
      <c r="F2566" s="15"/>
      <c r="G2566" s="26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28"/>
      <c r="AS2566" s="28"/>
      <c r="AT2566" s="28"/>
    </row>
    <row r="2567">
      <c r="A2567" s="10" t="s">
        <v>1523</v>
      </c>
      <c r="B2567" s="11">
        <v>50.0</v>
      </c>
      <c r="C2567" s="12" t="s">
        <v>1065</v>
      </c>
      <c r="D2567" s="15">
        <v>75235.0</v>
      </c>
      <c r="F2567" s="15"/>
      <c r="G2567" s="26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28"/>
      <c r="AS2567" s="28"/>
      <c r="AT2567" s="28"/>
    </row>
    <row r="2568">
      <c r="A2568" s="5" t="s">
        <v>2327</v>
      </c>
      <c r="B2568" s="6">
        <v>1000.0</v>
      </c>
      <c r="C2568" s="7" t="s">
        <v>1065</v>
      </c>
      <c r="D2568" s="15">
        <v>75205.0</v>
      </c>
      <c r="F2568" s="15"/>
      <c r="G2568" s="26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28"/>
      <c r="AS2568" s="28"/>
      <c r="AT2568" s="28"/>
    </row>
    <row r="2569">
      <c r="A2569" s="10" t="s">
        <v>2328</v>
      </c>
      <c r="B2569" s="11">
        <v>50.0</v>
      </c>
      <c r="C2569" s="12" t="s">
        <v>1065</v>
      </c>
      <c r="D2569" s="15">
        <v>75217.0</v>
      </c>
      <c r="F2569" s="15"/>
      <c r="G2569" s="26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28"/>
      <c r="AS2569" s="28"/>
      <c r="AT2569" s="28"/>
    </row>
    <row r="2570">
      <c r="A2570" s="5" t="s">
        <v>2329</v>
      </c>
      <c r="B2570" s="6">
        <v>100.0</v>
      </c>
      <c r="C2570" s="7" t="s">
        <v>1065</v>
      </c>
      <c r="D2570" s="15">
        <v>75205.0</v>
      </c>
      <c r="F2570" s="15"/>
      <c r="G2570" s="26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28"/>
      <c r="AS2570" s="28"/>
      <c r="AT2570" s="28"/>
    </row>
    <row r="2571">
      <c r="A2571" s="10" t="s">
        <v>2330</v>
      </c>
      <c r="B2571" s="11">
        <v>200.0</v>
      </c>
      <c r="C2571" s="12" t="s">
        <v>1065</v>
      </c>
      <c r="D2571" s="15">
        <v>75146.0</v>
      </c>
      <c r="F2571" s="15"/>
      <c r="G2571" s="26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28"/>
      <c r="AS2571" s="28"/>
      <c r="AT2571" s="28"/>
    </row>
    <row r="2572">
      <c r="A2572" s="5" t="s">
        <v>2331</v>
      </c>
      <c r="B2572" s="6">
        <v>2500.0</v>
      </c>
      <c r="C2572" s="7" t="s">
        <v>1065</v>
      </c>
      <c r="D2572" s="15">
        <v>75209.0</v>
      </c>
      <c r="F2572" s="15"/>
      <c r="G2572" s="26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28"/>
      <c r="AS2572" s="28"/>
      <c r="AT2572" s="28"/>
    </row>
    <row r="2573">
      <c r="A2573" s="10" t="s">
        <v>2332</v>
      </c>
      <c r="B2573" s="11">
        <v>50.0</v>
      </c>
      <c r="C2573" s="12" t="s">
        <v>1065</v>
      </c>
      <c r="D2573" s="15">
        <v>75208.0</v>
      </c>
      <c r="F2573" s="15"/>
      <c r="G2573" s="26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28"/>
      <c r="AS2573" s="28"/>
      <c r="AT2573" s="28"/>
    </row>
    <row r="2574">
      <c r="A2574" s="5" t="s">
        <v>2333</v>
      </c>
      <c r="B2574" s="6">
        <v>200.0</v>
      </c>
      <c r="C2574" s="7" t="s">
        <v>1065</v>
      </c>
      <c r="D2574" s="15">
        <v>75205.0</v>
      </c>
      <c r="F2574" s="15"/>
      <c r="G2574" s="26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28"/>
      <c r="AS2574" s="28"/>
      <c r="AT2574" s="28"/>
    </row>
    <row r="2575">
      <c r="A2575" s="10" t="s">
        <v>2334</v>
      </c>
      <c r="B2575" s="11">
        <v>100.0</v>
      </c>
      <c r="C2575" s="12" t="s">
        <v>1065</v>
      </c>
      <c r="D2575" s="15">
        <v>75214.0</v>
      </c>
      <c r="F2575" s="15"/>
      <c r="G2575" s="26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</row>
    <row r="2576">
      <c r="A2576" s="5" t="s">
        <v>2335</v>
      </c>
      <c r="B2576" s="6">
        <v>100.0</v>
      </c>
      <c r="C2576" s="7" t="s">
        <v>1065</v>
      </c>
      <c r="D2576" s="15">
        <v>75217.0</v>
      </c>
      <c r="F2576" s="15"/>
      <c r="G2576" s="26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28"/>
      <c r="AS2576" s="28"/>
      <c r="AT2576" s="28"/>
    </row>
    <row r="2577">
      <c r="A2577" s="10" t="s">
        <v>2336</v>
      </c>
      <c r="B2577" s="11">
        <v>2500.0</v>
      </c>
      <c r="C2577" s="12" t="s">
        <v>1065</v>
      </c>
      <c r="D2577" s="15">
        <v>77098.0</v>
      </c>
      <c r="F2577" s="15"/>
      <c r="G2577" s="26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28"/>
      <c r="AS2577" s="28"/>
      <c r="AT2577" s="28"/>
    </row>
    <row r="2578">
      <c r="A2578" s="5" t="s">
        <v>2337</v>
      </c>
      <c r="B2578" s="6">
        <v>50.0</v>
      </c>
      <c r="C2578" s="7" t="s">
        <v>1065</v>
      </c>
      <c r="D2578" s="15">
        <v>75104.0</v>
      </c>
      <c r="F2578" s="15"/>
      <c r="G2578" s="26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28"/>
      <c r="AS2578" s="28"/>
      <c r="AT2578" s="28"/>
    </row>
    <row r="2579">
      <c r="A2579" s="10" t="s">
        <v>2338</v>
      </c>
      <c r="B2579" s="11">
        <v>1000.0</v>
      </c>
      <c r="C2579" s="12" t="s">
        <v>1065</v>
      </c>
      <c r="D2579" s="15">
        <v>75235.0</v>
      </c>
      <c r="F2579" s="15"/>
      <c r="G2579" s="26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28"/>
      <c r="AS2579" s="28"/>
      <c r="AT2579" s="28"/>
    </row>
    <row r="2580">
      <c r="A2580" s="5" t="s">
        <v>2339</v>
      </c>
      <c r="B2580" s="6">
        <v>100.0</v>
      </c>
      <c r="C2580" s="7" t="s">
        <v>1065</v>
      </c>
      <c r="D2580" s="15">
        <v>75219.0</v>
      </c>
      <c r="F2580" s="15"/>
      <c r="G2580" s="26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28"/>
      <c r="AS2580" s="28"/>
      <c r="AT2580" s="28"/>
    </row>
    <row r="2581">
      <c r="A2581" s="10" t="s">
        <v>2340</v>
      </c>
      <c r="B2581" s="11">
        <v>50.0</v>
      </c>
      <c r="C2581" s="12" t="s">
        <v>1065</v>
      </c>
      <c r="D2581" s="15">
        <v>75232.0</v>
      </c>
      <c r="F2581" s="15"/>
      <c r="G2581" s="26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</row>
    <row r="2582">
      <c r="A2582" s="5" t="s">
        <v>2341</v>
      </c>
      <c r="B2582" s="6">
        <v>50.0</v>
      </c>
      <c r="C2582" s="7" t="s">
        <v>1065</v>
      </c>
      <c r="D2582" s="15">
        <v>75237.0</v>
      </c>
      <c r="F2582" s="15"/>
      <c r="G2582" s="26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28"/>
      <c r="AS2582" s="28"/>
      <c r="AT2582" s="28"/>
    </row>
    <row r="2583">
      <c r="A2583" s="10" t="s">
        <v>2342</v>
      </c>
      <c r="B2583" s="11">
        <v>500.0</v>
      </c>
      <c r="C2583" s="12" t="s">
        <v>1065</v>
      </c>
      <c r="D2583" s="15">
        <v>75218.0</v>
      </c>
      <c r="F2583" s="15"/>
      <c r="G2583" s="26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28"/>
      <c r="AS2583" s="28"/>
      <c r="AT2583" s="28"/>
    </row>
    <row r="2584">
      <c r="A2584" s="5" t="s">
        <v>2343</v>
      </c>
      <c r="B2584" s="6">
        <v>1000.0</v>
      </c>
      <c r="C2584" s="7" t="s">
        <v>1065</v>
      </c>
      <c r="D2584" s="15">
        <v>75208.0</v>
      </c>
      <c r="F2584" s="15"/>
      <c r="G2584" s="26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28"/>
      <c r="AS2584" s="28"/>
      <c r="AT2584" s="28"/>
    </row>
    <row r="2585">
      <c r="A2585" s="10" t="s">
        <v>2344</v>
      </c>
      <c r="B2585" s="11">
        <v>1000.0</v>
      </c>
      <c r="C2585" s="12" t="s">
        <v>1065</v>
      </c>
      <c r="D2585" s="15">
        <v>75229.0</v>
      </c>
      <c r="F2585" s="15"/>
      <c r="G2585" s="26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28"/>
      <c r="AS2585" s="28"/>
      <c r="AT2585" s="28"/>
    </row>
    <row r="2586">
      <c r="A2586" s="5" t="s">
        <v>2345</v>
      </c>
      <c r="B2586" s="6">
        <v>1000.0</v>
      </c>
      <c r="C2586" s="7" t="s">
        <v>1065</v>
      </c>
      <c r="D2586" s="15">
        <v>75229.0</v>
      </c>
      <c r="F2586" s="15"/>
      <c r="G2586" s="26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28"/>
      <c r="AS2586" s="28"/>
      <c r="AT2586" s="28"/>
    </row>
    <row r="2587">
      <c r="A2587" s="10" t="s">
        <v>2346</v>
      </c>
      <c r="B2587" s="11">
        <v>100.0</v>
      </c>
      <c r="C2587" s="12" t="s">
        <v>1065</v>
      </c>
      <c r="D2587" s="15">
        <v>75039.0</v>
      </c>
      <c r="F2587" s="15"/>
      <c r="G2587" s="26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28"/>
      <c r="AS2587" s="28"/>
      <c r="AT2587" s="28"/>
    </row>
    <row r="2588">
      <c r="A2588" s="5"/>
      <c r="B2588" s="6"/>
      <c r="C2588" s="7"/>
      <c r="D2588" s="15"/>
      <c r="F2588" s="15"/>
      <c r="G2588" s="26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28"/>
      <c r="AS2588" s="28"/>
      <c r="AT2588" s="28"/>
    </row>
    <row r="2589">
      <c r="A2589" s="10" t="s">
        <v>2348</v>
      </c>
      <c r="B2589" s="11">
        <v>150.0</v>
      </c>
      <c r="C2589" s="12" t="s">
        <v>1065</v>
      </c>
      <c r="D2589" s="15">
        <v>75372.0</v>
      </c>
      <c r="F2589" s="15"/>
      <c r="G2589" s="26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28"/>
      <c r="AS2589" s="28"/>
      <c r="AT2589" s="28"/>
    </row>
    <row r="2590">
      <c r="A2590" s="5" t="s">
        <v>2349</v>
      </c>
      <c r="B2590" s="6">
        <v>100.0</v>
      </c>
      <c r="C2590" s="7" t="s">
        <v>1065</v>
      </c>
      <c r="D2590" s="15">
        <v>75207.0</v>
      </c>
      <c r="F2590" s="15"/>
      <c r="G2590" s="26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28"/>
      <c r="AS2590" s="28"/>
      <c r="AT2590" s="28"/>
    </row>
    <row r="2591">
      <c r="A2591" s="10" t="s">
        <v>2350</v>
      </c>
      <c r="B2591" s="11">
        <v>100.0</v>
      </c>
      <c r="C2591" s="12" t="s">
        <v>1065</v>
      </c>
      <c r="D2591" s="15">
        <v>75248.0</v>
      </c>
      <c r="F2591" s="15"/>
      <c r="G2591" s="26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28"/>
      <c r="AS2591" s="28"/>
      <c r="AT2591" s="28"/>
    </row>
    <row r="2592">
      <c r="A2592" s="10" t="s">
        <v>2351</v>
      </c>
      <c r="B2592" s="11">
        <v>50.0</v>
      </c>
      <c r="C2592" s="12" t="s">
        <v>1065</v>
      </c>
      <c r="D2592" s="15">
        <v>75019.0</v>
      </c>
      <c r="F2592" s="15"/>
      <c r="G2592" s="26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28"/>
      <c r="AS2592" s="28"/>
      <c r="AT2592" s="28"/>
    </row>
    <row r="2593">
      <c r="A2593" s="5" t="s">
        <v>2352</v>
      </c>
      <c r="B2593" s="6">
        <v>250.0</v>
      </c>
      <c r="C2593" s="7" t="s">
        <v>1065</v>
      </c>
      <c r="D2593" s="15">
        <v>75203.0</v>
      </c>
      <c r="F2593" s="15"/>
      <c r="G2593" s="26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</row>
    <row r="2594">
      <c r="A2594" s="10" t="s">
        <v>2353</v>
      </c>
      <c r="B2594" s="11">
        <v>100.0</v>
      </c>
      <c r="C2594" s="12" t="s">
        <v>1065</v>
      </c>
      <c r="D2594" s="15">
        <v>75009.0</v>
      </c>
      <c r="F2594" s="15"/>
      <c r="G2594" s="26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28"/>
      <c r="AS2594" s="28"/>
      <c r="AT2594" s="28"/>
    </row>
    <row r="2595">
      <c r="A2595" s="5" t="s">
        <v>2354</v>
      </c>
      <c r="B2595" s="6">
        <v>1000.0</v>
      </c>
      <c r="C2595" s="7" t="s">
        <v>1065</v>
      </c>
      <c r="D2595" s="15">
        <v>75115.0</v>
      </c>
      <c r="F2595" s="15"/>
      <c r="G2595" s="26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28"/>
      <c r="AS2595" s="28"/>
      <c r="AT2595" s="28"/>
    </row>
    <row r="2596">
      <c r="A2596" s="10" t="s">
        <v>2355</v>
      </c>
      <c r="B2596" s="11">
        <v>15.0</v>
      </c>
      <c r="C2596" s="12" t="s">
        <v>1065</v>
      </c>
      <c r="D2596" s="15">
        <v>75238.0</v>
      </c>
      <c r="F2596" s="15"/>
      <c r="G2596" s="26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28"/>
      <c r="AS2596" s="28"/>
      <c r="AT2596" s="28"/>
    </row>
    <row r="2597">
      <c r="A2597" s="5" t="s">
        <v>2356</v>
      </c>
      <c r="B2597" s="6">
        <v>50.0</v>
      </c>
      <c r="C2597" s="7" t="s">
        <v>1065</v>
      </c>
      <c r="D2597" s="15">
        <v>75204.0</v>
      </c>
      <c r="F2597" s="15"/>
      <c r="G2597" s="26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28"/>
      <c r="AS2597" s="28"/>
      <c r="AT2597" s="28"/>
    </row>
    <row r="2598">
      <c r="A2598" s="10" t="s">
        <v>2357</v>
      </c>
      <c r="B2598" s="11">
        <v>100.0</v>
      </c>
      <c r="C2598" s="12" t="s">
        <v>1065</v>
      </c>
      <c r="D2598" s="15">
        <v>75215.0</v>
      </c>
      <c r="F2598" s="15"/>
      <c r="G2598" s="26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28"/>
      <c r="AS2598" s="28"/>
      <c r="AT2598" s="28"/>
    </row>
    <row r="2599">
      <c r="A2599" s="5" t="s">
        <v>2358</v>
      </c>
      <c r="B2599" s="6">
        <v>500.0</v>
      </c>
      <c r="C2599" s="7" t="s">
        <v>1065</v>
      </c>
      <c r="D2599" s="15">
        <v>75024.0</v>
      </c>
      <c r="F2599" s="15"/>
      <c r="G2599" s="26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28"/>
      <c r="AS2599" s="28"/>
      <c r="AT2599" s="28"/>
    </row>
    <row r="2600">
      <c r="A2600" s="10" t="s">
        <v>2359</v>
      </c>
      <c r="B2600" s="11">
        <v>1000.0</v>
      </c>
      <c r="C2600" s="12" t="s">
        <v>1065</v>
      </c>
      <c r="D2600" s="15">
        <v>75240.0</v>
      </c>
      <c r="F2600" s="15"/>
      <c r="G2600" s="26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28"/>
      <c r="AS2600" s="28"/>
      <c r="AT2600" s="28"/>
    </row>
    <row r="2601">
      <c r="A2601" s="5" t="s">
        <v>2360</v>
      </c>
      <c r="B2601" s="6">
        <v>100.0</v>
      </c>
      <c r="C2601" s="7" t="s">
        <v>1065</v>
      </c>
      <c r="D2601" s="15">
        <v>75208.0</v>
      </c>
      <c r="F2601" s="15"/>
      <c r="G2601" s="26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28"/>
      <c r="AS2601" s="28"/>
      <c r="AT2601" s="28"/>
    </row>
    <row r="2602">
      <c r="A2602" s="10" t="s">
        <v>2361</v>
      </c>
      <c r="B2602" s="11">
        <v>100.0</v>
      </c>
      <c r="C2602" s="12" t="s">
        <v>1065</v>
      </c>
      <c r="D2602" s="15">
        <v>75234.0</v>
      </c>
      <c r="F2602" s="15"/>
      <c r="G2602" s="26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28"/>
      <c r="AS2602" s="28"/>
      <c r="AT2602" s="28"/>
    </row>
    <row r="2603">
      <c r="A2603" s="5" t="s">
        <v>2362</v>
      </c>
      <c r="B2603" s="6">
        <v>500.0</v>
      </c>
      <c r="C2603" s="7" t="s">
        <v>1065</v>
      </c>
      <c r="D2603" s="15">
        <v>75226.0</v>
      </c>
      <c r="F2603" s="15"/>
      <c r="G2603" s="26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28"/>
      <c r="AS2603" s="28"/>
      <c r="AT2603" s="28"/>
    </row>
    <row r="2604">
      <c r="A2604" s="5" t="s">
        <v>2363</v>
      </c>
      <c r="B2604" s="6">
        <v>500.0</v>
      </c>
      <c r="C2604" s="7" t="s">
        <v>1065</v>
      </c>
      <c r="D2604" s="15">
        <v>75038.0</v>
      </c>
      <c r="F2604" s="15"/>
      <c r="G2604" s="26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28"/>
      <c r="AS2604" s="28"/>
      <c r="AT2604" s="28"/>
    </row>
    <row r="2605">
      <c r="A2605" s="10" t="s">
        <v>2364</v>
      </c>
      <c r="B2605" s="11">
        <v>25.0</v>
      </c>
      <c r="C2605" s="12" t="s">
        <v>1065</v>
      </c>
      <c r="D2605" s="15">
        <v>75154.0</v>
      </c>
      <c r="F2605" s="15"/>
      <c r="G2605" s="26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28"/>
      <c r="AS2605" s="28"/>
      <c r="AT2605" s="28"/>
    </row>
    <row r="2606">
      <c r="A2606" s="5" t="s">
        <v>2365</v>
      </c>
      <c r="B2606" s="6">
        <v>50.0</v>
      </c>
      <c r="C2606" s="7" t="s">
        <v>1065</v>
      </c>
      <c r="D2606" s="15">
        <v>77008.0</v>
      </c>
      <c r="F2606" s="15"/>
      <c r="G2606" s="26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28"/>
      <c r="AS2606" s="28"/>
      <c r="AT2606" s="28"/>
    </row>
    <row r="2607">
      <c r="A2607" s="10" t="s">
        <v>2366</v>
      </c>
      <c r="B2607" s="11">
        <v>50.0</v>
      </c>
      <c r="C2607" s="12" t="s">
        <v>1065</v>
      </c>
      <c r="D2607" s="15">
        <v>75057.0</v>
      </c>
      <c r="F2607" s="15"/>
      <c r="G2607" s="26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28"/>
      <c r="AS2607" s="28"/>
      <c r="AT2607" s="28"/>
    </row>
    <row r="2608">
      <c r="A2608" s="5" t="s">
        <v>2367</v>
      </c>
      <c r="B2608" s="6">
        <v>100.0</v>
      </c>
      <c r="C2608" s="7" t="s">
        <v>1065</v>
      </c>
      <c r="D2608" s="15">
        <v>75219.0</v>
      </c>
      <c r="F2608" s="15"/>
      <c r="G2608" s="26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28"/>
      <c r="AS2608" s="28"/>
      <c r="AT2608" s="28"/>
    </row>
    <row r="2609">
      <c r="A2609" s="10" t="s">
        <v>2368</v>
      </c>
      <c r="B2609" s="11">
        <v>50.0</v>
      </c>
      <c r="C2609" s="12" t="s">
        <v>1065</v>
      </c>
      <c r="D2609" s="15">
        <v>75218.0</v>
      </c>
      <c r="F2609" s="15"/>
      <c r="G2609" s="26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28"/>
      <c r="AS2609" s="28"/>
      <c r="AT2609" s="28"/>
    </row>
    <row r="2610">
      <c r="A2610" s="5" t="s">
        <v>2369</v>
      </c>
      <c r="B2610" s="6">
        <v>50.0</v>
      </c>
      <c r="C2610" s="7" t="s">
        <v>1065</v>
      </c>
      <c r="D2610" s="15">
        <v>75218.0</v>
      </c>
      <c r="F2610" s="15"/>
      <c r="G2610" s="26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28"/>
      <c r="AS2610" s="28"/>
      <c r="AT2610" s="28"/>
    </row>
    <row r="2611">
      <c r="A2611" s="10" t="s">
        <v>2370</v>
      </c>
      <c r="B2611" s="11">
        <v>50.0</v>
      </c>
      <c r="C2611" s="12" t="s">
        <v>1065</v>
      </c>
      <c r="D2611" s="15">
        <v>75231.0</v>
      </c>
      <c r="F2611" s="15"/>
      <c r="G2611" s="26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28"/>
      <c r="AS2611" s="28"/>
      <c r="AT2611" s="28"/>
    </row>
    <row r="2612">
      <c r="A2612" s="5" t="s">
        <v>2371</v>
      </c>
      <c r="B2612" s="6">
        <v>1000.0</v>
      </c>
      <c r="C2612" s="7" t="s">
        <v>1065</v>
      </c>
      <c r="D2612" s="15">
        <v>77021.0</v>
      </c>
      <c r="F2612" s="15"/>
      <c r="G2612" s="26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28"/>
      <c r="AS2612" s="28"/>
      <c r="AT2612" s="28"/>
    </row>
    <row r="2613">
      <c r="A2613" s="10" t="s">
        <v>2372</v>
      </c>
      <c r="B2613" s="11">
        <v>100.0</v>
      </c>
      <c r="C2613" s="12" t="s">
        <v>1065</v>
      </c>
      <c r="D2613" s="15">
        <v>75252.0</v>
      </c>
      <c r="F2613" s="15"/>
      <c r="G2613" s="26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28"/>
      <c r="AS2613" s="28"/>
      <c r="AT2613" s="28"/>
    </row>
    <row r="2614">
      <c r="A2614" s="5" t="s">
        <v>2373</v>
      </c>
      <c r="B2614" s="6">
        <v>100.0</v>
      </c>
      <c r="C2614" s="7" t="s">
        <v>1065</v>
      </c>
      <c r="D2614" s="15">
        <v>75229.0</v>
      </c>
      <c r="F2614" s="15"/>
      <c r="G2614" s="26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28"/>
      <c r="AS2614" s="28"/>
      <c r="AT2614" s="28"/>
    </row>
    <row r="2615">
      <c r="A2615" s="10" t="s">
        <v>2374</v>
      </c>
      <c r="B2615" s="11">
        <v>250.0</v>
      </c>
      <c r="C2615" s="12" t="s">
        <v>1065</v>
      </c>
      <c r="D2615" s="15">
        <v>75254.0</v>
      </c>
      <c r="F2615" s="15"/>
      <c r="G2615" s="26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28"/>
      <c r="AS2615" s="28"/>
      <c r="AT2615" s="28"/>
    </row>
    <row r="2616">
      <c r="A2616" s="5" t="s">
        <v>2375</v>
      </c>
      <c r="B2616" s="6">
        <v>100.0</v>
      </c>
      <c r="C2616" s="7" t="s">
        <v>1065</v>
      </c>
      <c r="D2616" s="15">
        <v>75214.0</v>
      </c>
      <c r="F2616" s="15"/>
      <c r="G2616" s="26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28"/>
      <c r="AS2616" s="28"/>
      <c r="AT2616" s="28"/>
    </row>
    <row r="2617">
      <c r="A2617" s="10" t="s">
        <v>2376</v>
      </c>
      <c r="B2617" s="11">
        <v>50.0</v>
      </c>
      <c r="C2617" s="12" t="s">
        <v>1065</v>
      </c>
      <c r="D2617" s="15">
        <v>75214.0</v>
      </c>
      <c r="F2617" s="15"/>
      <c r="G2617" s="26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28"/>
      <c r="AS2617" s="28"/>
      <c r="AT2617" s="28"/>
    </row>
    <row r="2618">
      <c r="A2618" s="5" t="s">
        <v>2377</v>
      </c>
      <c r="B2618" s="6">
        <v>100.0</v>
      </c>
      <c r="C2618" s="7" t="s">
        <v>1065</v>
      </c>
      <c r="D2618" s="15">
        <v>75227.0</v>
      </c>
      <c r="F2618" s="15"/>
      <c r="G2618" s="26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28"/>
      <c r="AS2618" s="28"/>
      <c r="AT2618" s="28"/>
    </row>
    <row r="2619">
      <c r="A2619" s="10" t="s">
        <v>2378</v>
      </c>
      <c r="B2619" s="11">
        <v>100.0</v>
      </c>
      <c r="C2619" s="12" t="s">
        <v>1065</v>
      </c>
      <c r="D2619" s="15">
        <v>75225.0</v>
      </c>
      <c r="F2619" s="15"/>
      <c r="G2619" s="26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28"/>
      <c r="AS2619" s="28"/>
      <c r="AT2619" s="28"/>
    </row>
    <row r="2620">
      <c r="A2620" s="5" t="s">
        <v>2379</v>
      </c>
      <c r="B2620" s="6">
        <v>100.0</v>
      </c>
      <c r="C2620" s="7" t="s">
        <v>1065</v>
      </c>
      <c r="D2620" s="15">
        <v>75225.0</v>
      </c>
      <c r="F2620" s="15"/>
      <c r="G2620" s="26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28"/>
      <c r="AS2620" s="28"/>
      <c r="AT2620" s="28"/>
    </row>
    <row r="2621">
      <c r="A2621" s="10" t="s">
        <v>2380</v>
      </c>
      <c r="B2621" s="11">
        <v>500.0</v>
      </c>
      <c r="C2621" s="12" t="s">
        <v>1065</v>
      </c>
      <c r="D2621" s="15">
        <v>77002.0</v>
      </c>
      <c r="F2621" s="15"/>
      <c r="G2621" s="26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28"/>
      <c r="AS2621" s="28"/>
      <c r="AT2621" s="28"/>
    </row>
    <row r="2622">
      <c r="A2622" s="5" t="s">
        <v>2381</v>
      </c>
      <c r="B2622" s="6">
        <v>50.0</v>
      </c>
      <c r="C2622" s="7" t="s">
        <v>1065</v>
      </c>
      <c r="D2622" s="15">
        <v>75238.0</v>
      </c>
      <c r="F2622" s="15"/>
      <c r="G2622" s="26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28"/>
      <c r="AS2622" s="28"/>
      <c r="AT2622" s="28"/>
    </row>
    <row r="2623">
      <c r="A2623" s="10" t="s">
        <v>2382</v>
      </c>
      <c r="B2623" s="11">
        <v>50.0</v>
      </c>
      <c r="C2623" s="12" t="s">
        <v>1065</v>
      </c>
      <c r="D2623" s="15">
        <v>75043.0</v>
      </c>
      <c r="F2623" s="15"/>
      <c r="G2623" s="26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28"/>
      <c r="AS2623" s="28"/>
      <c r="AT2623" s="28"/>
    </row>
    <row r="2624">
      <c r="A2624" s="5" t="s">
        <v>2383</v>
      </c>
      <c r="B2624" s="6">
        <v>500.0</v>
      </c>
      <c r="C2624" s="7" t="s">
        <v>1065</v>
      </c>
      <c r="D2624" s="15">
        <v>75209.0</v>
      </c>
      <c r="F2624" s="15"/>
      <c r="G2624" s="26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28"/>
      <c r="AS2624" s="28"/>
      <c r="AT2624" s="28"/>
    </row>
    <row r="2625">
      <c r="A2625" s="10" t="s">
        <v>2384</v>
      </c>
      <c r="B2625" s="11">
        <v>10000.0</v>
      </c>
      <c r="C2625" s="12" t="s">
        <v>1065</v>
      </c>
      <c r="D2625" s="15">
        <v>75220.0</v>
      </c>
      <c r="F2625" s="15"/>
      <c r="G2625" s="26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28"/>
      <c r="AS2625" s="28"/>
      <c r="AT2625" s="28"/>
    </row>
    <row r="2626">
      <c r="A2626" s="5" t="s">
        <v>2385</v>
      </c>
      <c r="B2626" s="6">
        <v>500.0</v>
      </c>
      <c r="C2626" s="7" t="s">
        <v>1065</v>
      </c>
      <c r="D2626" s="15">
        <v>75223.0</v>
      </c>
      <c r="F2626" s="15"/>
      <c r="G2626" s="26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28"/>
      <c r="AS2626" s="28"/>
      <c r="AT2626" s="28"/>
    </row>
    <row r="2627">
      <c r="A2627" s="10" t="s">
        <v>2386</v>
      </c>
      <c r="B2627" s="11">
        <v>50.0</v>
      </c>
      <c r="C2627" s="12" t="s">
        <v>1065</v>
      </c>
      <c r="D2627" s="15">
        <v>75115.0</v>
      </c>
      <c r="F2627" s="15"/>
      <c r="G2627" s="26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28"/>
      <c r="AS2627" s="28"/>
      <c r="AT2627" s="28"/>
    </row>
    <row r="2628">
      <c r="A2628" s="5" t="s">
        <v>2387</v>
      </c>
      <c r="B2628" s="6">
        <v>1000.0</v>
      </c>
      <c r="C2628" s="7" t="s">
        <v>1065</v>
      </c>
      <c r="D2628" s="15">
        <v>75201.0</v>
      </c>
      <c r="F2628" s="15"/>
      <c r="G2628" s="26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28"/>
      <c r="AS2628" s="28"/>
      <c r="AT2628" s="28"/>
    </row>
    <row r="2629">
      <c r="A2629" s="10" t="s">
        <v>328</v>
      </c>
      <c r="B2629" s="11">
        <v>5000.0</v>
      </c>
      <c r="C2629" s="12" t="s">
        <v>1065</v>
      </c>
      <c r="D2629" s="15">
        <v>75225.0</v>
      </c>
      <c r="F2629" s="15"/>
      <c r="G2629" s="26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28"/>
      <c r="AS2629" s="28"/>
      <c r="AT2629" s="28"/>
    </row>
    <row r="2630">
      <c r="A2630" s="5" t="s">
        <v>2388</v>
      </c>
      <c r="B2630" s="6">
        <v>100.0</v>
      </c>
      <c r="C2630" s="7" t="s">
        <v>1065</v>
      </c>
      <c r="D2630" s="15">
        <v>75208.0</v>
      </c>
      <c r="F2630" s="15"/>
      <c r="G2630" s="26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28"/>
      <c r="AS2630" s="28"/>
      <c r="AT2630" s="28"/>
    </row>
    <row r="2631">
      <c r="A2631" s="10" t="s">
        <v>2389</v>
      </c>
      <c r="B2631" s="11">
        <v>100.0</v>
      </c>
      <c r="C2631" s="12" t="s">
        <v>1065</v>
      </c>
      <c r="D2631" s="15">
        <v>75205.0</v>
      </c>
      <c r="F2631" s="15"/>
      <c r="G2631" s="26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28"/>
      <c r="AS2631" s="28"/>
      <c r="AT2631" s="28"/>
    </row>
    <row r="2632">
      <c r="A2632" s="5" t="s">
        <v>2390</v>
      </c>
      <c r="B2632" s="6">
        <v>5000.0</v>
      </c>
      <c r="C2632" s="7" t="s">
        <v>1065</v>
      </c>
      <c r="D2632" s="15">
        <v>76226.0</v>
      </c>
      <c r="F2632" s="15"/>
      <c r="G2632" s="26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</row>
    <row r="2633">
      <c r="A2633" s="10" t="s">
        <v>2391</v>
      </c>
      <c r="B2633" s="11">
        <v>500.0</v>
      </c>
      <c r="C2633" s="12" t="s">
        <v>1065</v>
      </c>
      <c r="D2633" s="15">
        <v>75225.0</v>
      </c>
      <c r="F2633" s="15"/>
      <c r="G2633" s="26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28"/>
      <c r="AS2633" s="28"/>
      <c r="AT2633" s="28"/>
    </row>
    <row r="2634">
      <c r="A2634" s="5" t="s">
        <v>2392</v>
      </c>
      <c r="B2634" s="6">
        <v>50.0</v>
      </c>
      <c r="C2634" s="7" t="s">
        <v>1065</v>
      </c>
      <c r="D2634" s="15">
        <v>75249.0</v>
      </c>
      <c r="F2634" s="15"/>
      <c r="G2634" s="26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28"/>
      <c r="AS2634" s="28"/>
      <c r="AT2634" s="28"/>
    </row>
    <row r="2635">
      <c r="A2635" s="10" t="s">
        <v>2393</v>
      </c>
      <c r="B2635" s="11">
        <v>250.0</v>
      </c>
      <c r="C2635" s="12" t="s">
        <v>1065</v>
      </c>
      <c r="D2635" s="15">
        <v>75201.0</v>
      </c>
      <c r="F2635" s="15"/>
      <c r="G2635" s="26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28"/>
      <c r="AS2635" s="28"/>
      <c r="AT2635" s="28"/>
    </row>
    <row r="2636">
      <c r="A2636" s="5" t="s">
        <v>2394</v>
      </c>
      <c r="B2636" s="6">
        <v>1500.0</v>
      </c>
      <c r="C2636" s="7" t="s">
        <v>1065</v>
      </c>
      <c r="D2636" s="15">
        <v>75252.0</v>
      </c>
      <c r="F2636" s="15"/>
      <c r="G2636" s="26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28"/>
      <c r="AS2636" s="28"/>
      <c r="AT2636" s="28"/>
    </row>
    <row r="2637">
      <c r="A2637" s="10" t="s">
        <v>2361</v>
      </c>
      <c r="B2637" s="11">
        <v>500.0</v>
      </c>
      <c r="C2637" s="12" t="s">
        <v>1065</v>
      </c>
      <c r="D2637" s="15">
        <v>75234.0</v>
      </c>
      <c r="F2637" s="15"/>
      <c r="G2637" s="26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28"/>
      <c r="AS2637" s="28"/>
      <c r="AT2637" s="28"/>
    </row>
    <row r="2638">
      <c r="A2638" s="5" t="s">
        <v>2395</v>
      </c>
      <c r="B2638" s="6">
        <v>5000.0</v>
      </c>
      <c r="C2638" s="7" t="s">
        <v>1065</v>
      </c>
      <c r="D2638" s="15">
        <v>75207.0</v>
      </c>
      <c r="F2638" s="15"/>
      <c r="G2638" s="26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28"/>
      <c r="AS2638" s="28"/>
      <c r="AT2638" s="28"/>
    </row>
    <row r="2639">
      <c r="A2639" s="10" t="s">
        <v>2396</v>
      </c>
      <c r="B2639" s="11">
        <v>100.0</v>
      </c>
      <c r="C2639" s="12" t="s">
        <v>1065</v>
      </c>
      <c r="D2639" s="15">
        <v>75115.0</v>
      </c>
      <c r="F2639" s="15"/>
      <c r="G2639" s="26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28"/>
      <c r="AS2639" s="28"/>
      <c r="AT2639" s="28"/>
    </row>
    <row r="2640">
      <c r="A2640" s="5" t="s">
        <v>2397</v>
      </c>
      <c r="B2640" s="6">
        <v>50.0</v>
      </c>
      <c r="C2640" s="7" t="s">
        <v>1065</v>
      </c>
      <c r="D2640" s="15">
        <v>75201.0</v>
      </c>
      <c r="F2640" s="15"/>
      <c r="G2640" s="26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28"/>
      <c r="AS2640" s="28"/>
      <c r="AT2640" s="28"/>
    </row>
    <row r="2641">
      <c r="A2641" s="10" t="s">
        <v>2398</v>
      </c>
      <c r="B2641" s="11">
        <v>100.0</v>
      </c>
      <c r="C2641" s="12" t="s">
        <v>1065</v>
      </c>
      <c r="D2641" s="15">
        <v>75248.0</v>
      </c>
      <c r="F2641" s="15"/>
      <c r="G2641" s="26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28"/>
      <c r="AS2641" s="28"/>
      <c r="AT2641" s="28"/>
    </row>
    <row r="2642">
      <c r="A2642" s="5" t="s">
        <v>2399</v>
      </c>
      <c r="B2642" s="6">
        <v>100.0</v>
      </c>
      <c r="C2642" s="7" t="s">
        <v>1065</v>
      </c>
      <c r="D2642" s="15">
        <v>75249.0</v>
      </c>
      <c r="F2642" s="15"/>
      <c r="G2642" s="26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28"/>
      <c r="AS2642" s="28"/>
      <c r="AT2642" s="28"/>
    </row>
    <row r="2643">
      <c r="A2643" s="10" t="s">
        <v>2400</v>
      </c>
      <c r="B2643" s="11">
        <v>100.0</v>
      </c>
      <c r="C2643" s="12" t="s">
        <v>1065</v>
      </c>
      <c r="D2643" s="15">
        <v>75050.0</v>
      </c>
      <c r="F2643" s="15"/>
      <c r="G2643" s="26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28"/>
      <c r="AS2643" s="28"/>
      <c r="AT2643" s="28"/>
    </row>
    <row r="2644">
      <c r="A2644" s="5" t="s">
        <v>2401</v>
      </c>
      <c r="B2644" s="6">
        <v>1000.0</v>
      </c>
      <c r="C2644" s="7" t="s">
        <v>1238</v>
      </c>
      <c r="D2644" s="15">
        <v>75238.0</v>
      </c>
      <c r="F2644" s="15"/>
      <c r="G2644" s="26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28"/>
      <c r="AS2644" s="28"/>
      <c r="AT2644" s="28"/>
    </row>
    <row r="2645">
      <c r="A2645" s="10" t="s">
        <v>2402</v>
      </c>
      <c r="B2645" s="11">
        <v>500.0</v>
      </c>
      <c r="C2645" s="12" t="s">
        <v>1238</v>
      </c>
      <c r="D2645" s="15">
        <v>75238.0</v>
      </c>
      <c r="F2645" s="15"/>
      <c r="G2645" s="26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28"/>
      <c r="AS2645" s="28"/>
      <c r="AT2645" s="28"/>
    </row>
    <row r="2646">
      <c r="A2646" s="5" t="s">
        <v>1620</v>
      </c>
      <c r="B2646" s="6">
        <v>100.0</v>
      </c>
      <c r="C2646" s="7" t="s">
        <v>1238</v>
      </c>
      <c r="D2646" s="15">
        <v>75238.0</v>
      </c>
      <c r="F2646" s="15"/>
      <c r="G2646" s="26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28"/>
      <c r="AS2646" s="28"/>
      <c r="AT2646" s="28"/>
    </row>
    <row r="2647">
      <c r="A2647" s="10" t="s">
        <v>2403</v>
      </c>
      <c r="B2647" s="11">
        <v>500.0</v>
      </c>
      <c r="C2647" s="12" t="s">
        <v>1238</v>
      </c>
      <c r="D2647" s="15">
        <v>75238.0</v>
      </c>
      <c r="F2647" s="15"/>
      <c r="G2647" s="26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28"/>
      <c r="AS2647" s="28"/>
      <c r="AT2647" s="28"/>
    </row>
    <row r="2648">
      <c r="A2648" s="5" t="s">
        <v>2404</v>
      </c>
      <c r="B2648" s="6">
        <v>1000.0</v>
      </c>
      <c r="C2648" s="7" t="s">
        <v>1238</v>
      </c>
      <c r="D2648" s="15">
        <v>75218.0</v>
      </c>
      <c r="F2648" s="15"/>
      <c r="G2648" s="26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28"/>
      <c r="AS2648" s="28"/>
      <c r="AT2648" s="28"/>
    </row>
    <row r="2649">
      <c r="A2649" s="10" t="s">
        <v>2405</v>
      </c>
      <c r="B2649" s="11">
        <v>500.0</v>
      </c>
      <c r="C2649" s="12" t="s">
        <v>1238</v>
      </c>
      <c r="D2649" s="15">
        <v>75238.0</v>
      </c>
      <c r="F2649" s="15"/>
      <c r="G2649" s="26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28"/>
      <c r="AS2649" s="28"/>
      <c r="AT2649" s="28"/>
    </row>
    <row r="2650">
      <c r="A2650" s="5" t="s">
        <v>2406</v>
      </c>
      <c r="B2650" s="6">
        <v>500.0</v>
      </c>
      <c r="C2650" s="7" t="s">
        <v>1238</v>
      </c>
      <c r="D2650" s="15">
        <v>75254.0</v>
      </c>
      <c r="F2650" s="15"/>
      <c r="G2650" s="26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28"/>
      <c r="AS2650" s="28"/>
      <c r="AT2650" s="28"/>
    </row>
    <row r="2651">
      <c r="A2651" s="10" t="s">
        <v>2407</v>
      </c>
      <c r="B2651" s="11">
        <v>250.0</v>
      </c>
      <c r="C2651" s="12" t="s">
        <v>1238</v>
      </c>
      <c r="D2651" s="15">
        <v>75243.0</v>
      </c>
      <c r="F2651" s="15"/>
      <c r="G2651" s="26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</row>
    <row r="2652">
      <c r="A2652" s="5" t="s">
        <v>2408</v>
      </c>
      <c r="B2652" s="6">
        <v>1000.0</v>
      </c>
      <c r="C2652" s="7" t="s">
        <v>1238</v>
      </c>
      <c r="D2652" s="15">
        <v>78731.0</v>
      </c>
      <c r="F2652" s="15"/>
      <c r="G2652" s="26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28"/>
      <c r="AS2652" s="28"/>
      <c r="AT2652" s="28"/>
    </row>
    <row r="2653">
      <c r="A2653" s="10" t="s">
        <v>2409</v>
      </c>
      <c r="B2653" s="11">
        <v>1000.0</v>
      </c>
      <c r="C2653" s="12" t="s">
        <v>1238</v>
      </c>
      <c r="D2653" s="15">
        <v>75243.0</v>
      </c>
      <c r="F2653" s="15"/>
      <c r="G2653" s="26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28"/>
      <c r="AS2653" s="28"/>
      <c r="AT2653" s="28"/>
    </row>
    <row r="2654">
      <c r="A2654" s="5" t="s">
        <v>2410</v>
      </c>
      <c r="B2654" s="6">
        <v>1000.0</v>
      </c>
      <c r="C2654" s="7" t="s">
        <v>1238</v>
      </c>
      <c r="D2654" s="15">
        <v>75201.0</v>
      </c>
      <c r="F2654" s="15"/>
      <c r="G2654" s="26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28"/>
      <c r="AS2654" s="28"/>
      <c r="AT2654" s="28"/>
    </row>
    <row r="2655">
      <c r="A2655" s="10" t="s">
        <v>2411</v>
      </c>
      <c r="B2655" s="11">
        <v>1000.0</v>
      </c>
      <c r="C2655" s="12" t="s">
        <v>1238</v>
      </c>
      <c r="D2655" s="15">
        <v>75238.0</v>
      </c>
      <c r="F2655" s="15"/>
      <c r="G2655" s="26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</row>
    <row r="2656">
      <c r="A2656" s="5" t="s">
        <v>2412</v>
      </c>
      <c r="B2656" s="6">
        <v>1000.0</v>
      </c>
      <c r="C2656" s="7" t="s">
        <v>1238</v>
      </c>
      <c r="D2656" s="15">
        <v>75238.0</v>
      </c>
      <c r="F2656" s="15"/>
      <c r="G2656" s="26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28"/>
      <c r="AS2656" s="28"/>
      <c r="AT2656" s="28"/>
    </row>
    <row r="2657">
      <c r="A2657" s="10" t="s">
        <v>2413</v>
      </c>
      <c r="B2657" s="11">
        <v>250.0</v>
      </c>
      <c r="C2657" s="12" t="s">
        <v>1238</v>
      </c>
      <c r="D2657" s="15">
        <v>75243.0</v>
      </c>
      <c r="F2657" s="15"/>
      <c r="G2657" s="26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28"/>
      <c r="AS2657" s="28"/>
      <c r="AT2657" s="28"/>
    </row>
    <row r="2658">
      <c r="A2658" s="5" t="s">
        <v>2414</v>
      </c>
      <c r="B2658" s="6">
        <v>500.0</v>
      </c>
      <c r="C2658" s="7" t="s">
        <v>1238</v>
      </c>
      <c r="D2658" s="15">
        <v>75238.0</v>
      </c>
      <c r="F2658" s="15"/>
      <c r="G2658" s="26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28"/>
      <c r="AS2658" s="28"/>
      <c r="AT2658" s="28"/>
    </row>
    <row r="2659">
      <c r="A2659" s="10" t="s">
        <v>2415</v>
      </c>
      <c r="B2659" s="11">
        <v>300.0</v>
      </c>
      <c r="C2659" s="12" t="s">
        <v>1238</v>
      </c>
      <c r="D2659" s="15">
        <v>75231.0</v>
      </c>
      <c r="F2659" s="15"/>
      <c r="G2659" s="26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28"/>
      <c r="AS2659" s="28"/>
      <c r="AT2659" s="28"/>
    </row>
    <row r="2660">
      <c r="A2660" s="5" t="s">
        <v>2416</v>
      </c>
      <c r="B2660" s="6">
        <v>250.0</v>
      </c>
      <c r="C2660" s="7" t="s">
        <v>1238</v>
      </c>
      <c r="D2660" s="15">
        <v>75238.0</v>
      </c>
      <c r="F2660" s="15"/>
      <c r="G2660" s="26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28"/>
      <c r="AS2660" s="28"/>
      <c r="AT2660" s="28"/>
    </row>
    <row r="2661">
      <c r="A2661" s="10" t="s">
        <v>2417</v>
      </c>
      <c r="B2661" s="11">
        <v>100.0</v>
      </c>
      <c r="C2661" s="12" t="s">
        <v>1238</v>
      </c>
      <c r="D2661" s="15">
        <v>75243.0</v>
      </c>
      <c r="F2661" s="15"/>
      <c r="G2661" s="26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28"/>
      <c r="AS2661" s="28"/>
      <c r="AT2661" s="28"/>
    </row>
    <row r="2662">
      <c r="A2662" s="5" t="s">
        <v>2418</v>
      </c>
      <c r="B2662" s="6">
        <v>250.0</v>
      </c>
      <c r="C2662" s="7" t="s">
        <v>1238</v>
      </c>
      <c r="D2662" s="15">
        <v>75238.0</v>
      </c>
      <c r="F2662" s="15"/>
      <c r="G2662" s="26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28"/>
      <c r="AS2662" s="28"/>
      <c r="AT2662" s="28"/>
    </row>
    <row r="2663">
      <c r="A2663" s="10" t="s">
        <v>2419</v>
      </c>
      <c r="B2663" s="11">
        <v>100.0</v>
      </c>
      <c r="C2663" s="12" t="s">
        <v>1238</v>
      </c>
      <c r="D2663" s="15">
        <v>75238.0</v>
      </c>
      <c r="F2663" s="15"/>
      <c r="G2663" s="26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28"/>
      <c r="AS2663" s="28"/>
      <c r="AT2663" s="28"/>
    </row>
    <row r="2664">
      <c r="A2664" s="5" t="s">
        <v>2420</v>
      </c>
      <c r="B2664" s="6">
        <v>200.0</v>
      </c>
      <c r="C2664" s="7" t="s">
        <v>1238</v>
      </c>
      <c r="D2664" s="15">
        <v>75231.0</v>
      </c>
      <c r="F2664" s="15"/>
      <c r="G2664" s="26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28"/>
      <c r="AS2664" s="28"/>
      <c r="AT2664" s="28"/>
    </row>
    <row r="2665">
      <c r="A2665" s="10" t="s">
        <v>2421</v>
      </c>
      <c r="B2665" s="11">
        <v>50.0</v>
      </c>
      <c r="C2665" s="12" t="s">
        <v>1238</v>
      </c>
      <c r="D2665" s="15">
        <v>75230.0</v>
      </c>
      <c r="F2665" s="15"/>
      <c r="G2665" s="26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28"/>
      <c r="AS2665" s="28"/>
      <c r="AT2665" s="28"/>
    </row>
    <row r="2666">
      <c r="A2666" s="5" t="s">
        <v>2422</v>
      </c>
      <c r="B2666" s="6">
        <v>50.0</v>
      </c>
      <c r="C2666" s="7" t="s">
        <v>1238</v>
      </c>
      <c r="D2666" s="15">
        <v>75230.0</v>
      </c>
      <c r="F2666" s="15"/>
      <c r="G2666" s="26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28"/>
      <c r="AS2666" s="28"/>
      <c r="AT2666" s="28"/>
    </row>
    <row r="2667">
      <c r="A2667" s="10" t="s">
        <v>2423</v>
      </c>
      <c r="B2667" s="11">
        <v>100.0</v>
      </c>
      <c r="C2667" s="12" t="s">
        <v>1238</v>
      </c>
      <c r="D2667" s="15">
        <v>75238.0</v>
      </c>
      <c r="F2667" s="15"/>
      <c r="G2667" s="26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28"/>
      <c r="AS2667" s="28"/>
      <c r="AT2667" s="28"/>
    </row>
    <row r="2668">
      <c r="A2668" s="5" t="s">
        <v>2424</v>
      </c>
      <c r="B2668" s="6">
        <v>100.0</v>
      </c>
      <c r="C2668" s="7" t="s">
        <v>1238</v>
      </c>
      <c r="D2668" s="15">
        <v>76226.0</v>
      </c>
      <c r="F2668" s="15"/>
      <c r="G2668" s="26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28"/>
      <c r="AS2668" s="28"/>
      <c r="AT2668" s="28"/>
    </row>
    <row r="2669">
      <c r="A2669" s="10" t="s">
        <v>2425</v>
      </c>
      <c r="B2669" s="11">
        <v>50.0</v>
      </c>
      <c r="C2669" s="12" t="s">
        <v>1238</v>
      </c>
      <c r="D2669" s="15">
        <v>75238.0</v>
      </c>
      <c r="F2669" s="15"/>
      <c r="G2669" s="26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28"/>
      <c r="AS2669" s="28"/>
      <c r="AT2669" s="28"/>
    </row>
    <row r="2670">
      <c r="A2670" s="5" t="s">
        <v>2426</v>
      </c>
      <c r="B2670" s="6">
        <v>500.0</v>
      </c>
      <c r="C2670" s="7" t="s">
        <v>1238</v>
      </c>
      <c r="D2670" s="15">
        <v>75243.0</v>
      </c>
      <c r="F2670" s="15"/>
      <c r="G2670" s="26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28"/>
      <c r="AS2670" s="28"/>
      <c r="AT2670" s="28"/>
    </row>
    <row r="2671">
      <c r="A2671" s="10" t="s">
        <v>2427</v>
      </c>
      <c r="B2671" s="11">
        <v>100.0</v>
      </c>
      <c r="C2671" s="12" t="s">
        <v>1238</v>
      </c>
      <c r="D2671" s="15">
        <v>75231.0</v>
      </c>
      <c r="F2671" s="15"/>
      <c r="G2671" s="26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28"/>
      <c r="AS2671" s="28"/>
      <c r="AT2671" s="28"/>
    </row>
    <row r="2672">
      <c r="A2672" s="5" t="s">
        <v>2428</v>
      </c>
      <c r="B2672" s="6">
        <v>100.0</v>
      </c>
      <c r="C2672" s="7" t="s">
        <v>1238</v>
      </c>
      <c r="D2672" s="15">
        <v>75238.0</v>
      </c>
      <c r="F2672" s="15"/>
      <c r="G2672" s="26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28"/>
      <c r="AS2672" s="28"/>
      <c r="AT2672" s="28"/>
    </row>
    <row r="2673">
      <c r="A2673" s="10" t="s">
        <v>2429</v>
      </c>
      <c r="B2673" s="11">
        <v>100.0</v>
      </c>
      <c r="C2673" s="12" t="s">
        <v>1238</v>
      </c>
      <c r="D2673" s="15">
        <v>78616.0</v>
      </c>
      <c r="F2673" s="15"/>
      <c r="G2673" s="26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28"/>
      <c r="AS2673" s="28"/>
      <c r="AT2673" s="28"/>
    </row>
    <row r="2674">
      <c r="A2674" s="5" t="s">
        <v>2430</v>
      </c>
      <c r="B2674" s="6">
        <v>500.0</v>
      </c>
      <c r="C2674" s="7" t="s">
        <v>1238</v>
      </c>
      <c r="D2674" s="15">
        <v>75231.0</v>
      </c>
      <c r="F2674" s="15"/>
      <c r="G2674" s="26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28"/>
      <c r="AS2674" s="28"/>
      <c r="AT2674" s="28"/>
    </row>
    <row r="2675">
      <c r="A2675" s="10" t="s">
        <v>2431</v>
      </c>
      <c r="B2675" s="11">
        <v>500.0</v>
      </c>
      <c r="C2675" s="12" t="s">
        <v>1238</v>
      </c>
      <c r="D2675" s="15">
        <v>75231.0</v>
      </c>
      <c r="F2675" s="15"/>
      <c r="G2675" s="26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28"/>
      <c r="AS2675" s="28"/>
      <c r="AT2675" s="28"/>
    </row>
    <row r="2676">
      <c r="A2676" s="5" t="s">
        <v>2432</v>
      </c>
      <c r="B2676" s="6">
        <v>100.0</v>
      </c>
      <c r="C2676" s="7" t="s">
        <v>1238</v>
      </c>
      <c r="D2676" s="15">
        <v>75205.0</v>
      </c>
      <c r="F2676" s="15"/>
      <c r="G2676" s="26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28"/>
      <c r="AS2676" s="28"/>
      <c r="AT2676" s="28"/>
    </row>
    <row r="2677">
      <c r="A2677" s="10" t="s">
        <v>2433</v>
      </c>
      <c r="B2677" s="11">
        <v>100.0</v>
      </c>
      <c r="C2677" s="12" t="s">
        <v>1238</v>
      </c>
      <c r="D2677" s="15">
        <v>75238.0</v>
      </c>
      <c r="F2677" s="15"/>
      <c r="G2677" s="26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28"/>
      <c r="AS2677" s="28"/>
      <c r="AT2677" s="28"/>
    </row>
    <row r="2678">
      <c r="A2678" s="5" t="s">
        <v>2434</v>
      </c>
      <c r="B2678" s="6">
        <v>100.0</v>
      </c>
      <c r="C2678" s="7" t="s">
        <v>1238</v>
      </c>
      <c r="D2678" s="15">
        <v>75214.0</v>
      </c>
      <c r="F2678" s="15"/>
      <c r="G2678" s="26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28"/>
      <c r="AS2678" s="28"/>
      <c r="AT2678" s="28"/>
    </row>
    <row r="2679">
      <c r="A2679" s="10" t="s">
        <v>2435</v>
      </c>
      <c r="B2679" s="11">
        <v>200.0</v>
      </c>
      <c r="C2679" s="12" t="s">
        <v>1238</v>
      </c>
      <c r="D2679" s="15">
        <v>75243.0</v>
      </c>
      <c r="F2679" s="15"/>
      <c r="G2679" s="26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28"/>
      <c r="AS2679" s="28"/>
      <c r="AT2679" s="28"/>
    </row>
    <row r="2680">
      <c r="A2680" s="5" t="s">
        <v>2436</v>
      </c>
      <c r="B2680" s="6">
        <v>50.0</v>
      </c>
      <c r="C2680" s="7" t="s">
        <v>1238</v>
      </c>
      <c r="D2680" s="15">
        <v>75238.0</v>
      </c>
      <c r="F2680" s="15"/>
      <c r="G2680" s="26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28"/>
      <c r="AS2680" s="28"/>
      <c r="AT2680" s="28"/>
    </row>
    <row r="2681">
      <c r="A2681" s="10" t="s">
        <v>2437</v>
      </c>
      <c r="B2681" s="11">
        <v>50.0</v>
      </c>
      <c r="C2681" s="12" t="s">
        <v>1238</v>
      </c>
      <c r="D2681" s="15">
        <v>75238.0</v>
      </c>
      <c r="F2681" s="15"/>
      <c r="G2681" s="26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</row>
    <row r="2682">
      <c r="A2682" s="5" t="s">
        <v>2438</v>
      </c>
      <c r="B2682" s="6">
        <v>125.0</v>
      </c>
      <c r="C2682" s="7" t="s">
        <v>1238</v>
      </c>
      <c r="D2682" s="15">
        <v>75238.0</v>
      </c>
      <c r="F2682" s="15"/>
      <c r="G2682" s="26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8"/>
      <c r="AT2682" s="28"/>
    </row>
    <row r="2683">
      <c r="A2683" s="10" t="s">
        <v>2439</v>
      </c>
      <c r="B2683" s="11">
        <v>125.0</v>
      </c>
      <c r="C2683" s="12" t="s">
        <v>1238</v>
      </c>
      <c r="D2683" s="15">
        <v>75238.0</v>
      </c>
      <c r="F2683" s="15"/>
      <c r="G2683" s="26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28"/>
      <c r="AS2683" s="28"/>
      <c r="AT2683" s="28"/>
    </row>
    <row r="2684">
      <c r="A2684" s="5" t="s">
        <v>2440</v>
      </c>
      <c r="B2684" s="6">
        <v>250.0</v>
      </c>
      <c r="C2684" s="7" t="s">
        <v>1238</v>
      </c>
      <c r="D2684" s="15">
        <v>75238.0</v>
      </c>
      <c r="F2684" s="15"/>
      <c r="G2684" s="26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28"/>
      <c r="AS2684" s="28"/>
      <c r="AT2684" s="28"/>
    </row>
    <row r="2685">
      <c r="A2685" s="10" t="s">
        <v>2441</v>
      </c>
      <c r="B2685" s="11">
        <v>250.0</v>
      </c>
      <c r="C2685" s="12" t="s">
        <v>1238</v>
      </c>
      <c r="D2685" s="15">
        <v>75238.0</v>
      </c>
      <c r="F2685" s="15"/>
      <c r="G2685" s="26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28"/>
      <c r="AS2685" s="28"/>
      <c r="AT2685" s="28"/>
    </row>
    <row r="2686">
      <c r="A2686" s="5" t="s">
        <v>2442</v>
      </c>
      <c r="B2686" s="6">
        <v>750.0</v>
      </c>
      <c r="C2686" s="7" t="s">
        <v>1238</v>
      </c>
      <c r="D2686" s="15">
        <v>75238.0</v>
      </c>
      <c r="F2686" s="15"/>
      <c r="G2686" s="26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28"/>
      <c r="AS2686" s="28"/>
      <c r="AT2686" s="28"/>
    </row>
    <row r="2687">
      <c r="A2687" s="10" t="s">
        <v>2443</v>
      </c>
      <c r="B2687" s="11">
        <v>750.0</v>
      </c>
      <c r="C2687" s="12" t="s">
        <v>1238</v>
      </c>
      <c r="D2687" s="15">
        <v>75238.0</v>
      </c>
      <c r="F2687" s="15"/>
      <c r="G2687" s="26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</row>
    <row r="2688">
      <c r="A2688" s="5" t="s">
        <v>2444</v>
      </c>
      <c r="B2688" s="6">
        <v>250.0</v>
      </c>
      <c r="C2688" s="7" t="s">
        <v>1238</v>
      </c>
      <c r="D2688" s="15">
        <v>75238.0</v>
      </c>
      <c r="F2688" s="15"/>
      <c r="G2688" s="26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28"/>
      <c r="AS2688" s="28"/>
      <c r="AT2688" s="28"/>
    </row>
    <row r="2689">
      <c r="A2689" s="10" t="s">
        <v>2445</v>
      </c>
      <c r="B2689" s="11">
        <v>100.0</v>
      </c>
      <c r="C2689" s="12" t="s">
        <v>1238</v>
      </c>
      <c r="D2689" s="15">
        <v>75231.0</v>
      </c>
      <c r="F2689" s="15"/>
      <c r="G2689" s="26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28"/>
      <c r="AS2689" s="28"/>
      <c r="AT2689" s="28"/>
    </row>
    <row r="2690">
      <c r="A2690" s="5" t="s">
        <v>2446</v>
      </c>
      <c r="B2690" s="6">
        <v>100.0</v>
      </c>
      <c r="C2690" s="7" t="s">
        <v>1238</v>
      </c>
      <c r="D2690" s="15">
        <v>75238.0</v>
      </c>
      <c r="F2690" s="15"/>
      <c r="G2690" s="26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28"/>
      <c r="AS2690" s="28"/>
      <c r="AT2690" s="28"/>
    </row>
    <row r="2691">
      <c r="A2691" s="10" t="s">
        <v>2447</v>
      </c>
      <c r="B2691" s="11">
        <v>500.0</v>
      </c>
      <c r="C2691" s="12" t="s">
        <v>1238</v>
      </c>
      <c r="D2691" s="15">
        <v>75243.0</v>
      </c>
      <c r="F2691" s="15"/>
      <c r="G2691" s="26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28"/>
      <c r="AS2691" s="28"/>
      <c r="AT2691" s="28"/>
    </row>
    <row r="2692">
      <c r="A2692" s="5" t="s">
        <v>2448</v>
      </c>
      <c r="B2692" s="6">
        <v>500.0</v>
      </c>
      <c r="C2692" s="7" t="s">
        <v>1238</v>
      </c>
      <c r="D2692" s="15">
        <v>75219.0</v>
      </c>
      <c r="F2692" s="15"/>
      <c r="G2692" s="26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28"/>
      <c r="AS2692" s="28"/>
      <c r="AT2692" s="28"/>
    </row>
    <row r="2693">
      <c r="A2693" s="10" t="s">
        <v>2449</v>
      </c>
      <c r="B2693" s="11">
        <v>100.0</v>
      </c>
      <c r="C2693" s="12" t="s">
        <v>1238</v>
      </c>
      <c r="D2693" s="15">
        <v>75243.0</v>
      </c>
      <c r="F2693" s="15"/>
      <c r="G2693" s="26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28"/>
      <c r="AS2693" s="28"/>
      <c r="AT2693" s="28"/>
    </row>
    <row r="2694">
      <c r="A2694" s="5" t="s">
        <v>2450</v>
      </c>
      <c r="B2694" s="6">
        <v>1000.0</v>
      </c>
      <c r="C2694" s="7" t="s">
        <v>1238</v>
      </c>
      <c r="D2694" s="15">
        <v>75206.0</v>
      </c>
      <c r="F2694" s="15"/>
      <c r="G2694" s="26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8"/>
      <c r="AT2694" s="28"/>
    </row>
    <row r="2695">
      <c r="A2695" s="10" t="s">
        <v>2451</v>
      </c>
      <c r="B2695" s="11">
        <v>100.0</v>
      </c>
      <c r="C2695" s="12" t="s">
        <v>1238</v>
      </c>
      <c r="D2695" s="15">
        <v>75243.0</v>
      </c>
      <c r="F2695" s="15"/>
      <c r="G2695" s="26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28"/>
      <c r="AS2695" s="28"/>
      <c r="AT2695" s="28"/>
    </row>
    <row r="2696">
      <c r="A2696" s="5" t="s">
        <v>2452</v>
      </c>
      <c r="B2696" s="6">
        <v>500.0</v>
      </c>
      <c r="C2696" s="7" t="s">
        <v>1238</v>
      </c>
      <c r="D2696" s="15">
        <v>75238.0</v>
      </c>
      <c r="F2696" s="15"/>
      <c r="G2696" s="26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</row>
    <row r="2697">
      <c r="A2697" s="10" t="s">
        <v>2453</v>
      </c>
      <c r="B2697" s="11">
        <v>250.0</v>
      </c>
      <c r="C2697" s="12" t="s">
        <v>1238</v>
      </c>
      <c r="D2697" s="15">
        <v>75231.0</v>
      </c>
      <c r="F2697" s="15"/>
      <c r="G2697" s="26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28"/>
      <c r="AS2697" s="28"/>
      <c r="AT2697" s="28"/>
    </row>
    <row r="2698">
      <c r="A2698" s="5" t="s">
        <v>2454</v>
      </c>
      <c r="B2698" s="6">
        <v>50.0</v>
      </c>
      <c r="C2698" s="7" t="s">
        <v>1238</v>
      </c>
      <c r="D2698" s="15">
        <v>75238.0</v>
      </c>
      <c r="F2698" s="15"/>
      <c r="G2698" s="26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28"/>
      <c r="AS2698" s="28"/>
      <c r="AT2698" s="28"/>
    </row>
    <row r="2699">
      <c r="A2699" s="10" t="s">
        <v>2455</v>
      </c>
      <c r="B2699" s="11">
        <v>250.0</v>
      </c>
      <c r="C2699" s="12" t="s">
        <v>1238</v>
      </c>
      <c r="D2699" s="15">
        <v>75238.0</v>
      </c>
      <c r="F2699" s="15"/>
      <c r="G2699" s="26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28"/>
      <c r="AS2699" s="28"/>
      <c r="AT2699" s="28"/>
    </row>
    <row r="2700">
      <c r="A2700" s="5" t="s">
        <v>2456</v>
      </c>
      <c r="B2700" s="6">
        <v>1000.0</v>
      </c>
      <c r="C2700" s="7" t="s">
        <v>1238</v>
      </c>
      <c r="D2700" s="15">
        <v>75238.0</v>
      </c>
      <c r="F2700" s="15"/>
      <c r="G2700" s="26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</row>
    <row r="2701">
      <c r="A2701" s="10" t="s">
        <v>2457</v>
      </c>
      <c r="B2701" s="11">
        <v>1000.0</v>
      </c>
      <c r="C2701" s="12" t="s">
        <v>1151</v>
      </c>
      <c r="D2701" s="15">
        <v>75232.0</v>
      </c>
      <c r="F2701" s="15"/>
      <c r="G2701" s="26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28"/>
      <c r="AS2701" s="28"/>
      <c r="AT2701" s="28"/>
    </row>
    <row r="2702">
      <c r="A2702" s="10" t="s">
        <v>2458</v>
      </c>
      <c r="B2702" s="11">
        <v>500.0</v>
      </c>
      <c r="C2702" s="12" t="s">
        <v>1151</v>
      </c>
      <c r="D2702" s="15">
        <v>75007.0</v>
      </c>
      <c r="F2702" s="15"/>
      <c r="G2702" s="26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8"/>
      <c r="AT2702" s="28"/>
    </row>
    <row r="2703">
      <c r="A2703" s="10" t="s">
        <v>2459</v>
      </c>
      <c r="B2703" s="11">
        <v>1000.0</v>
      </c>
      <c r="C2703" s="12" t="s">
        <v>1151</v>
      </c>
      <c r="D2703" s="15">
        <v>75237.0</v>
      </c>
      <c r="F2703" s="15"/>
      <c r="G2703" s="26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</row>
    <row r="2704">
      <c r="A2704" s="10" t="s">
        <v>2460</v>
      </c>
      <c r="B2704" s="11">
        <v>1000.0</v>
      </c>
      <c r="C2704" s="12" t="s">
        <v>1151</v>
      </c>
      <c r="D2704" s="15">
        <v>75235.0</v>
      </c>
      <c r="F2704" s="15"/>
      <c r="G2704" s="26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28"/>
      <c r="AS2704" s="28"/>
      <c r="AT2704" s="28"/>
    </row>
    <row r="2705">
      <c r="A2705" s="10" t="s">
        <v>2460</v>
      </c>
      <c r="B2705" s="11">
        <v>1000.0</v>
      </c>
      <c r="C2705" s="12" t="s">
        <v>1151</v>
      </c>
      <c r="D2705" s="15">
        <v>75235.0</v>
      </c>
      <c r="F2705" s="15"/>
      <c r="G2705" s="26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28"/>
      <c r="AS2705" s="28"/>
      <c r="AT2705" s="28"/>
    </row>
    <row r="2706">
      <c r="A2706" s="10" t="s">
        <v>2461</v>
      </c>
      <c r="B2706" s="11">
        <v>250.0</v>
      </c>
      <c r="C2706" s="12" t="s">
        <v>1151</v>
      </c>
      <c r="D2706" s="15">
        <v>75376.0</v>
      </c>
      <c r="F2706" s="15"/>
      <c r="G2706" s="26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8"/>
      <c r="AT2706" s="28"/>
    </row>
    <row r="2707">
      <c r="A2707" s="10" t="s">
        <v>2462</v>
      </c>
      <c r="B2707" s="11">
        <v>1000.0</v>
      </c>
      <c r="C2707" s="12" t="s">
        <v>1151</v>
      </c>
      <c r="D2707" s="15">
        <v>76264.0</v>
      </c>
      <c r="F2707" s="15"/>
      <c r="G2707" s="26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28"/>
      <c r="AS2707" s="28"/>
      <c r="AT2707" s="28"/>
    </row>
    <row r="2708">
      <c r="A2708" s="10"/>
      <c r="B2708" s="11"/>
      <c r="C2708" s="12"/>
      <c r="D2708" s="15"/>
      <c r="F2708" s="15"/>
      <c r="G2708" s="26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28"/>
      <c r="AS2708" s="28"/>
      <c r="AT2708" s="28"/>
    </row>
    <row r="2709">
      <c r="A2709" s="10" t="s">
        <v>2464</v>
      </c>
      <c r="B2709" s="11">
        <v>750.0</v>
      </c>
      <c r="C2709" s="12" t="s">
        <v>1151</v>
      </c>
      <c r="D2709" s="15">
        <v>76040.0</v>
      </c>
      <c r="F2709" s="15"/>
      <c r="G2709" s="26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28"/>
      <c r="AS2709" s="28"/>
      <c r="AT2709" s="28"/>
    </row>
    <row r="2710">
      <c r="A2710" s="10" t="s">
        <v>2465</v>
      </c>
      <c r="B2710" s="11">
        <v>1000.0</v>
      </c>
      <c r="C2710" s="12" t="s">
        <v>1151</v>
      </c>
      <c r="D2710" s="15">
        <v>75116.0</v>
      </c>
      <c r="F2710" s="15"/>
      <c r="G2710" s="26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28"/>
      <c r="AS2710" s="28"/>
      <c r="AT2710" s="28"/>
    </row>
    <row r="2711">
      <c r="A2711" s="10" t="s">
        <v>2466</v>
      </c>
      <c r="B2711" s="11">
        <v>500.0</v>
      </c>
      <c r="C2711" s="12" t="s">
        <v>1151</v>
      </c>
      <c r="D2711" s="15">
        <v>75201.0</v>
      </c>
      <c r="F2711" s="15"/>
      <c r="G2711" s="26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28"/>
      <c r="AS2711" s="28"/>
      <c r="AT2711" s="28"/>
    </row>
    <row r="2712">
      <c r="A2712" s="10" t="s">
        <v>2467</v>
      </c>
      <c r="B2712" s="11">
        <v>1000.0</v>
      </c>
      <c r="C2712" s="12" t="s">
        <v>1151</v>
      </c>
      <c r="D2712" s="15">
        <v>76011.0</v>
      </c>
      <c r="F2712" s="15"/>
      <c r="G2712" s="26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28"/>
      <c r="AS2712" s="28"/>
      <c r="AT2712" s="28"/>
    </row>
    <row r="2713">
      <c r="A2713" s="10" t="s">
        <v>2468</v>
      </c>
      <c r="B2713" s="11">
        <v>100.0</v>
      </c>
      <c r="C2713" s="12" t="s">
        <v>1151</v>
      </c>
      <c r="D2713" s="15">
        <v>75078.0</v>
      </c>
      <c r="F2713" s="15"/>
      <c r="G2713" s="26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</row>
    <row r="2714">
      <c r="A2714" s="10" t="s">
        <v>2469</v>
      </c>
      <c r="B2714" s="11">
        <v>1000.0</v>
      </c>
      <c r="C2714" s="12" t="s">
        <v>1151</v>
      </c>
      <c r="D2714" s="15">
        <v>75230.0</v>
      </c>
      <c r="F2714" s="15"/>
      <c r="G2714" s="26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28"/>
      <c r="AS2714" s="28"/>
      <c r="AT2714" s="28"/>
    </row>
    <row r="2715">
      <c r="A2715" s="10"/>
      <c r="B2715" s="11"/>
      <c r="C2715" s="12"/>
      <c r="D2715" s="15"/>
      <c r="F2715" s="15"/>
      <c r="G2715" s="26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28"/>
      <c r="AS2715" s="28"/>
      <c r="AT2715" s="28"/>
    </row>
    <row r="2716">
      <c r="A2716" s="10" t="s">
        <v>1874</v>
      </c>
      <c r="B2716" s="11">
        <v>1000.0</v>
      </c>
      <c r="C2716" s="12" t="s">
        <v>1151</v>
      </c>
      <c r="D2716" s="15">
        <v>75201.0</v>
      </c>
      <c r="F2716" s="15"/>
      <c r="G2716" s="26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28"/>
      <c r="AS2716" s="28"/>
      <c r="AT2716" s="28"/>
    </row>
    <row r="2717">
      <c r="A2717" s="10" t="s">
        <v>2471</v>
      </c>
      <c r="B2717" s="11">
        <v>250.0</v>
      </c>
      <c r="C2717" s="12" t="s">
        <v>1151</v>
      </c>
      <c r="D2717" s="15">
        <v>75219.0</v>
      </c>
      <c r="F2717" s="15"/>
      <c r="G2717" s="26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28"/>
      <c r="AS2717" s="28"/>
      <c r="AT2717" s="28"/>
    </row>
    <row r="2718">
      <c r="A2718" s="10" t="s">
        <v>2472</v>
      </c>
      <c r="B2718" s="11">
        <v>300.0</v>
      </c>
      <c r="C2718" s="12" t="s">
        <v>1238</v>
      </c>
      <c r="D2718" s="15">
        <v>75243.0</v>
      </c>
      <c r="F2718" s="15"/>
      <c r="G2718" s="26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28"/>
      <c r="AS2718" s="28"/>
      <c r="AT2718" s="28"/>
    </row>
    <row r="2719">
      <c r="A2719" s="5" t="s">
        <v>2473</v>
      </c>
      <c r="B2719" s="6">
        <v>1000.0</v>
      </c>
      <c r="C2719" s="7" t="s">
        <v>1238</v>
      </c>
      <c r="D2719" s="15">
        <v>75243.0</v>
      </c>
      <c r="F2719" s="15"/>
      <c r="G2719" s="26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</row>
    <row r="2720">
      <c r="A2720" s="10" t="s">
        <v>2474</v>
      </c>
      <c r="B2720" s="11">
        <v>1000.0</v>
      </c>
      <c r="C2720" s="12" t="s">
        <v>1238</v>
      </c>
      <c r="D2720" s="15">
        <v>75238.0</v>
      </c>
      <c r="F2720" s="15"/>
      <c r="G2720" s="26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28"/>
      <c r="AS2720" s="28"/>
      <c r="AT2720" s="28"/>
    </row>
    <row r="2721">
      <c r="A2721" s="5" t="s">
        <v>2475</v>
      </c>
      <c r="B2721" s="6">
        <v>500.0</v>
      </c>
      <c r="C2721" s="7" t="s">
        <v>1238</v>
      </c>
      <c r="D2721" s="15">
        <v>75231.0</v>
      </c>
      <c r="F2721" s="15"/>
      <c r="G2721" s="26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28"/>
      <c r="AS2721" s="28"/>
      <c r="AT2721" s="28"/>
    </row>
    <row r="2722">
      <c r="A2722" s="10" t="s">
        <v>2476</v>
      </c>
      <c r="B2722" s="11">
        <v>250.0</v>
      </c>
      <c r="C2722" s="12" t="s">
        <v>1238</v>
      </c>
      <c r="D2722" s="15">
        <v>75238.0</v>
      </c>
      <c r="F2722" s="15"/>
      <c r="G2722" s="26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8"/>
      <c r="AT2722" s="28"/>
    </row>
    <row r="2723">
      <c r="A2723" s="5" t="s">
        <v>2477</v>
      </c>
      <c r="B2723" s="6">
        <v>1000.0</v>
      </c>
      <c r="C2723" s="7" t="s">
        <v>1238</v>
      </c>
      <c r="D2723" s="15">
        <v>75204.0</v>
      </c>
      <c r="F2723" s="15"/>
      <c r="G2723" s="26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28"/>
      <c r="AS2723" s="28"/>
      <c r="AT2723" s="28"/>
    </row>
    <row r="2724">
      <c r="A2724" s="10" t="s">
        <v>2478</v>
      </c>
      <c r="B2724" s="11">
        <v>100.0</v>
      </c>
      <c r="C2724" s="12" t="s">
        <v>1238</v>
      </c>
      <c r="D2724" s="15">
        <v>78759.0</v>
      </c>
      <c r="F2724" s="15"/>
      <c r="G2724" s="26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28"/>
      <c r="AS2724" s="28"/>
      <c r="AT2724" s="28"/>
    </row>
    <row r="2725">
      <c r="A2725" s="5" t="s">
        <v>2479</v>
      </c>
      <c r="B2725" s="6">
        <v>400.0</v>
      </c>
      <c r="C2725" s="7" t="s">
        <v>1238</v>
      </c>
      <c r="D2725" s="15">
        <v>75238.0</v>
      </c>
      <c r="F2725" s="15"/>
      <c r="G2725" s="26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28"/>
      <c r="AS2725" s="28"/>
      <c r="AT2725" s="28"/>
    </row>
    <row r="2726">
      <c r="A2726" s="10" t="s">
        <v>2480</v>
      </c>
      <c r="B2726" s="11">
        <v>100.0</v>
      </c>
      <c r="C2726" s="12" t="s">
        <v>1238</v>
      </c>
      <c r="D2726" s="15">
        <v>75243.0</v>
      </c>
      <c r="F2726" s="15"/>
      <c r="G2726" s="26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28"/>
      <c r="AS2726" s="28"/>
      <c r="AT2726" s="28"/>
    </row>
    <row r="2727">
      <c r="A2727" s="5" t="s">
        <v>2443</v>
      </c>
      <c r="B2727" s="6">
        <v>250.0</v>
      </c>
      <c r="C2727" s="7" t="s">
        <v>1238</v>
      </c>
      <c r="D2727" s="15">
        <v>75238.0</v>
      </c>
      <c r="F2727" s="15"/>
      <c r="G2727" s="26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28"/>
      <c r="AS2727" s="28"/>
      <c r="AT2727" s="28"/>
    </row>
    <row r="2728">
      <c r="A2728" s="10" t="s">
        <v>2481</v>
      </c>
      <c r="B2728" s="11">
        <v>5000.0</v>
      </c>
      <c r="C2728" s="12" t="s">
        <v>1065</v>
      </c>
      <c r="D2728" s="15">
        <v>75225.0</v>
      </c>
      <c r="F2728" s="15"/>
      <c r="G2728" s="26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28"/>
      <c r="AS2728" s="28"/>
      <c r="AT2728" s="28"/>
    </row>
    <row r="2729">
      <c r="A2729" s="5" t="s">
        <v>2482</v>
      </c>
      <c r="B2729" s="6">
        <v>5000.0</v>
      </c>
      <c r="C2729" s="7" t="s">
        <v>1065</v>
      </c>
      <c r="D2729" s="15">
        <v>75209.0</v>
      </c>
      <c r="F2729" s="15"/>
      <c r="G2729" s="26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28"/>
      <c r="AS2729" s="28"/>
      <c r="AT2729" s="28"/>
    </row>
    <row r="2730">
      <c r="A2730" s="10" t="s">
        <v>2483</v>
      </c>
      <c r="B2730" s="11">
        <v>2500.0</v>
      </c>
      <c r="C2730" s="12" t="s">
        <v>1065</v>
      </c>
      <c r="D2730" s="15">
        <v>75205.0</v>
      </c>
      <c r="F2730" s="15"/>
      <c r="G2730" s="26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28"/>
      <c r="AS2730" s="28"/>
      <c r="AT2730" s="28"/>
    </row>
    <row r="2731">
      <c r="A2731" s="5" t="s">
        <v>2484</v>
      </c>
      <c r="B2731" s="6">
        <v>2500.0</v>
      </c>
      <c r="C2731" s="7" t="s">
        <v>1065</v>
      </c>
      <c r="D2731" s="15">
        <v>76040.0</v>
      </c>
      <c r="F2731" s="15"/>
      <c r="G2731" s="26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</row>
    <row r="2732">
      <c r="A2732" s="10" t="s">
        <v>2485</v>
      </c>
      <c r="B2732" s="11">
        <v>500.0</v>
      </c>
      <c r="C2732" s="12" t="s">
        <v>1065</v>
      </c>
      <c r="D2732" s="15">
        <v>77434.0</v>
      </c>
      <c r="F2732" s="15"/>
      <c r="G2732" s="26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28"/>
      <c r="AS2732" s="28"/>
      <c r="AT2732" s="28"/>
    </row>
    <row r="2733">
      <c r="A2733" s="5" t="s">
        <v>2486</v>
      </c>
      <c r="B2733" s="6">
        <v>2500.0</v>
      </c>
      <c r="C2733" s="7" t="s">
        <v>1065</v>
      </c>
      <c r="D2733" s="15">
        <v>75201.0</v>
      </c>
      <c r="F2733" s="15"/>
      <c r="G2733" s="26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</row>
    <row r="2734">
      <c r="A2734" s="10" t="s">
        <v>2487</v>
      </c>
      <c r="B2734" s="11">
        <v>5000.0</v>
      </c>
      <c r="C2734" s="12" t="s">
        <v>1065</v>
      </c>
      <c r="D2734" s="15">
        <v>75225.0</v>
      </c>
      <c r="F2734" s="15"/>
      <c r="G2734" s="26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28"/>
      <c r="AS2734" s="28"/>
      <c r="AT2734" s="28"/>
    </row>
    <row r="2735">
      <c r="A2735" s="5" t="s">
        <v>2488</v>
      </c>
      <c r="B2735" s="6">
        <v>5000.0</v>
      </c>
      <c r="C2735" s="7" t="s">
        <v>1065</v>
      </c>
      <c r="D2735" s="15">
        <v>75243.0</v>
      </c>
      <c r="F2735" s="15"/>
      <c r="G2735" s="26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</row>
    <row r="2736">
      <c r="A2736" s="10" t="s">
        <v>2489</v>
      </c>
      <c r="B2736" s="11">
        <v>1000.0</v>
      </c>
      <c r="C2736" s="12" t="s">
        <v>1065</v>
      </c>
      <c r="D2736" s="15">
        <v>75205.0</v>
      </c>
      <c r="F2736" s="15"/>
      <c r="G2736" s="26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28"/>
      <c r="AS2736" s="28"/>
      <c r="AT2736" s="28"/>
    </row>
    <row r="2737">
      <c r="A2737" s="5" t="s">
        <v>2490</v>
      </c>
      <c r="B2737" s="6">
        <v>10000.0</v>
      </c>
      <c r="C2737" s="7" t="s">
        <v>1065</v>
      </c>
      <c r="D2737" s="15">
        <v>75219.0</v>
      </c>
      <c r="F2737" s="15"/>
      <c r="G2737" s="26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28"/>
      <c r="AS2737" s="28"/>
      <c r="AT2737" s="28"/>
    </row>
    <row r="2738">
      <c r="A2738" s="10" t="s">
        <v>2491</v>
      </c>
      <c r="B2738" s="11">
        <v>750.0</v>
      </c>
      <c r="C2738" s="12" t="s">
        <v>1065</v>
      </c>
      <c r="D2738" s="15">
        <v>77019.0</v>
      </c>
      <c r="F2738" s="15"/>
      <c r="G2738" s="26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28"/>
      <c r="AS2738" s="28"/>
      <c r="AT2738" s="28"/>
    </row>
    <row r="2739">
      <c r="A2739" s="5" t="s">
        <v>2492</v>
      </c>
      <c r="B2739" s="6">
        <v>2500.0</v>
      </c>
      <c r="C2739" s="7" t="s">
        <v>1065</v>
      </c>
      <c r="D2739" s="15">
        <v>78701.0</v>
      </c>
      <c r="F2739" s="15"/>
      <c r="G2739" s="26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</row>
    <row r="2740">
      <c r="A2740" s="10" t="s">
        <v>2493</v>
      </c>
      <c r="B2740" s="11">
        <v>2500.0</v>
      </c>
      <c r="C2740" s="12" t="s">
        <v>1065</v>
      </c>
      <c r="D2740" s="15">
        <v>75248.0</v>
      </c>
      <c r="F2740" s="15"/>
      <c r="G2740" s="26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28"/>
      <c r="AS2740" s="28"/>
      <c r="AT2740" s="28"/>
    </row>
    <row r="2741">
      <c r="A2741" s="5" t="s">
        <v>1517</v>
      </c>
      <c r="B2741" s="6">
        <v>2500.0</v>
      </c>
      <c r="C2741" s="7" t="s">
        <v>1065</v>
      </c>
      <c r="D2741" s="15">
        <v>75208.0</v>
      </c>
      <c r="F2741" s="15"/>
      <c r="G2741" s="26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28"/>
      <c r="AS2741" s="28"/>
      <c r="AT2741" s="28"/>
    </row>
    <row r="2742">
      <c r="A2742" s="10" t="s">
        <v>2494</v>
      </c>
      <c r="B2742" s="11">
        <v>500.0</v>
      </c>
      <c r="C2742" s="12" t="s">
        <v>1065</v>
      </c>
      <c r="D2742" s="15">
        <v>75206.0</v>
      </c>
      <c r="F2742" s="15"/>
      <c r="G2742" s="26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28"/>
      <c r="AS2742" s="28"/>
      <c r="AT2742" s="28"/>
    </row>
    <row r="2743">
      <c r="A2743" s="5" t="s">
        <v>2495</v>
      </c>
      <c r="B2743" s="6">
        <v>10000.0</v>
      </c>
      <c r="C2743" s="7" t="s">
        <v>1065</v>
      </c>
      <c r="D2743" s="15">
        <v>75220.0</v>
      </c>
      <c r="F2743" s="15"/>
      <c r="G2743" s="26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</row>
    <row r="2744">
      <c r="A2744" s="10" t="s">
        <v>1071</v>
      </c>
      <c r="B2744" s="11">
        <v>1500.0</v>
      </c>
      <c r="C2744" s="12" t="s">
        <v>1065</v>
      </c>
      <c r="D2744" s="15">
        <v>75115.0</v>
      </c>
      <c r="F2744" s="15"/>
      <c r="G2744" s="26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</row>
    <row r="2745">
      <c r="A2745" s="5" t="s">
        <v>2496</v>
      </c>
      <c r="B2745" s="6">
        <v>5000.0</v>
      </c>
      <c r="C2745" s="7" t="s">
        <v>1065</v>
      </c>
      <c r="D2745" s="15">
        <v>787701.0</v>
      </c>
      <c r="F2745" s="15"/>
      <c r="G2745" s="26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28"/>
      <c r="AS2745" s="28"/>
      <c r="AT2745" s="28"/>
    </row>
    <row r="2746">
      <c r="A2746" s="10" t="s">
        <v>2497</v>
      </c>
      <c r="B2746" s="11">
        <v>5000.0</v>
      </c>
      <c r="C2746" s="12" t="s">
        <v>1065</v>
      </c>
      <c r="D2746" s="15">
        <v>78701.0</v>
      </c>
      <c r="F2746" s="15"/>
      <c r="G2746" s="26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28"/>
      <c r="AS2746" s="28"/>
      <c r="AT2746" s="28"/>
    </row>
    <row r="2747">
      <c r="A2747" s="5"/>
      <c r="B2747" s="6"/>
      <c r="C2747" s="7"/>
      <c r="D2747" s="15"/>
      <c r="F2747" s="15"/>
      <c r="G2747" s="26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28"/>
      <c r="AS2747" s="28"/>
      <c r="AT2747" s="28"/>
    </row>
    <row r="2748">
      <c r="A2748" s="10" t="s">
        <v>2499</v>
      </c>
      <c r="B2748" s="11">
        <v>2500.0</v>
      </c>
      <c r="C2748" s="12" t="s">
        <v>1065</v>
      </c>
      <c r="D2748" s="15">
        <v>75240.0</v>
      </c>
      <c r="F2748" s="15"/>
      <c r="G2748" s="26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28"/>
      <c r="AS2748" s="28"/>
      <c r="AT2748" s="28"/>
    </row>
    <row r="2749">
      <c r="A2749" s="5" t="s">
        <v>2500</v>
      </c>
      <c r="B2749" s="6">
        <v>2500.0</v>
      </c>
      <c r="C2749" s="7" t="s">
        <v>1065</v>
      </c>
      <c r="D2749" s="15">
        <v>77010.0</v>
      </c>
      <c r="F2749" s="15"/>
      <c r="G2749" s="26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28"/>
      <c r="AS2749" s="28"/>
      <c r="AT2749" s="28"/>
    </row>
    <row r="2750">
      <c r="A2750" s="10" t="s">
        <v>2501</v>
      </c>
      <c r="B2750" s="11">
        <v>1000.0</v>
      </c>
      <c r="C2750" s="12" t="s">
        <v>1065</v>
      </c>
      <c r="D2750" s="15">
        <v>75215.0</v>
      </c>
      <c r="F2750" s="15"/>
      <c r="G2750" s="26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28"/>
      <c r="AS2750" s="28"/>
      <c r="AT2750" s="28"/>
    </row>
    <row r="2751">
      <c r="A2751" s="5" t="s">
        <v>2502</v>
      </c>
      <c r="B2751" s="6">
        <v>1000.0</v>
      </c>
      <c r="C2751" s="7" t="s">
        <v>1065</v>
      </c>
      <c r="D2751" s="15">
        <v>75235.0</v>
      </c>
      <c r="F2751" s="15"/>
      <c r="G2751" s="26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</row>
    <row r="2752">
      <c r="A2752" s="10" t="s">
        <v>2503</v>
      </c>
      <c r="B2752" s="11">
        <v>1000.0</v>
      </c>
      <c r="C2752" s="12" t="s">
        <v>1065</v>
      </c>
      <c r="D2752" s="15">
        <v>78701.0</v>
      </c>
      <c r="F2752" s="15"/>
      <c r="G2752" s="26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28"/>
      <c r="AS2752" s="28"/>
      <c r="AT2752" s="28"/>
    </row>
    <row r="2753">
      <c r="A2753" s="5"/>
      <c r="B2753" s="6"/>
      <c r="C2753" s="7"/>
      <c r="D2753" s="15"/>
      <c r="F2753" s="15"/>
      <c r="G2753" s="26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28"/>
      <c r="AS2753" s="28"/>
      <c r="AT2753" s="28"/>
    </row>
    <row r="2754">
      <c r="A2754" s="10" t="s">
        <v>2505</v>
      </c>
      <c r="B2754" s="11">
        <v>5000.0</v>
      </c>
      <c r="C2754" s="12" t="s">
        <v>1065</v>
      </c>
      <c r="D2754" s="15">
        <v>75205.0</v>
      </c>
      <c r="F2754" s="15"/>
      <c r="G2754" s="26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28"/>
      <c r="AS2754" s="28"/>
      <c r="AT2754" s="28"/>
    </row>
    <row r="2755">
      <c r="A2755" s="5" t="s">
        <v>1564</v>
      </c>
      <c r="B2755" s="6">
        <v>5000.0</v>
      </c>
      <c r="C2755" s="7" t="s">
        <v>1065</v>
      </c>
      <c r="D2755" s="15">
        <v>75204.0</v>
      </c>
      <c r="F2755" s="15"/>
      <c r="G2755" s="26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28"/>
      <c r="AS2755" s="28"/>
      <c r="AT2755" s="28"/>
    </row>
    <row r="2756">
      <c r="A2756" s="10" t="s">
        <v>2506</v>
      </c>
      <c r="B2756" s="11">
        <v>5000.0</v>
      </c>
      <c r="C2756" s="12" t="s">
        <v>1065</v>
      </c>
      <c r="D2756" s="15">
        <v>75205.0</v>
      </c>
      <c r="F2756" s="15"/>
      <c r="G2756" s="26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</row>
    <row r="2757">
      <c r="A2757" s="5" t="s">
        <v>2507</v>
      </c>
      <c r="B2757" s="6">
        <v>5000.0</v>
      </c>
      <c r="C2757" s="7" t="s">
        <v>1065</v>
      </c>
      <c r="D2757" s="15">
        <v>75205.0</v>
      </c>
      <c r="F2757" s="15"/>
      <c r="G2757" s="26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28"/>
      <c r="AS2757" s="28"/>
      <c r="AT2757" s="28"/>
    </row>
    <row r="2758">
      <c r="A2758" s="10" t="s">
        <v>2508</v>
      </c>
      <c r="B2758" s="11">
        <v>10000.0</v>
      </c>
      <c r="C2758" s="12" t="s">
        <v>1065</v>
      </c>
      <c r="D2758" s="15">
        <v>75219.0</v>
      </c>
      <c r="F2758" s="15"/>
      <c r="G2758" s="26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8"/>
      <c r="AT2758" s="28"/>
    </row>
    <row r="2759">
      <c r="A2759" s="5" t="s">
        <v>2509</v>
      </c>
      <c r="B2759" s="6">
        <v>1000.0</v>
      </c>
      <c r="C2759" s="7" t="s">
        <v>1065</v>
      </c>
      <c r="D2759" s="15">
        <v>75206.0</v>
      </c>
      <c r="F2759" s="15"/>
      <c r="G2759" s="26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28"/>
      <c r="AS2759" s="28"/>
      <c r="AT2759" s="28"/>
    </row>
    <row r="2760">
      <c r="A2760" s="10" t="s">
        <v>2510</v>
      </c>
      <c r="B2760" s="11">
        <v>1000.0</v>
      </c>
      <c r="C2760" s="12" t="s">
        <v>1065</v>
      </c>
      <c r="D2760" s="15">
        <v>75225.0</v>
      </c>
      <c r="F2760" s="15"/>
      <c r="G2760" s="26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28"/>
      <c r="AS2760" s="28"/>
      <c r="AT2760" s="28"/>
    </row>
    <row r="2761">
      <c r="A2761" s="5" t="s">
        <v>2511</v>
      </c>
      <c r="B2761" s="6">
        <v>1000.0</v>
      </c>
      <c r="C2761" s="7" t="s">
        <v>1065</v>
      </c>
      <c r="D2761" s="15">
        <v>77027.0</v>
      </c>
      <c r="F2761" s="15"/>
      <c r="G2761" s="26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28"/>
      <c r="AS2761" s="28"/>
      <c r="AT2761" s="28"/>
    </row>
    <row r="2762">
      <c r="A2762" s="10" t="s">
        <v>2512</v>
      </c>
      <c r="B2762" s="11">
        <v>5000.0</v>
      </c>
      <c r="C2762" s="12" t="s">
        <v>1065</v>
      </c>
      <c r="D2762" s="15">
        <v>75201.0</v>
      </c>
      <c r="F2762" s="15"/>
      <c r="G2762" s="26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28"/>
      <c r="AS2762" s="28"/>
      <c r="AT2762" s="28"/>
    </row>
    <row r="2763">
      <c r="A2763" s="5" t="s">
        <v>2513</v>
      </c>
      <c r="B2763" s="6">
        <v>5000.0</v>
      </c>
      <c r="C2763" s="7" t="s">
        <v>1065</v>
      </c>
      <c r="D2763" s="15">
        <v>75201.0</v>
      </c>
      <c r="F2763" s="15"/>
      <c r="G2763" s="26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28"/>
      <c r="AS2763" s="28"/>
      <c r="AT2763" s="28"/>
    </row>
    <row r="2764">
      <c r="A2764" s="10" t="s">
        <v>2514</v>
      </c>
      <c r="B2764" s="11">
        <v>5000.0</v>
      </c>
      <c r="C2764" s="12" t="s">
        <v>1065</v>
      </c>
      <c r="D2764" s="15">
        <v>75201.0</v>
      </c>
      <c r="F2764" s="15"/>
      <c r="G2764" s="26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28"/>
      <c r="AS2764" s="28"/>
      <c r="AT2764" s="28"/>
    </row>
    <row r="2765">
      <c r="A2765" s="5" t="s">
        <v>2515</v>
      </c>
      <c r="B2765" s="6">
        <v>5000.0</v>
      </c>
      <c r="C2765" s="7" t="s">
        <v>1065</v>
      </c>
      <c r="D2765" s="15">
        <v>75201.0</v>
      </c>
      <c r="F2765" s="15"/>
      <c r="G2765" s="26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28"/>
      <c r="AS2765" s="28"/>
      <c r="AT2765" s="28"/>
    </row>
    <row r="2766">
      <c r="A2766" s="10" t="s">
        <v>2516</v>
      </c>
      <c r="B2766" s="11">
        <v>5000.0</v>
      </c>
      <c r="C2766" s="12" t="s">
        <v>1065</v>
      </c>
      <c r="D2766" s="15">
        <v>75248.0</v>
      </c>
      <c r="F2766" s="15"/>
      <c r="G2766" s="26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28"/>
      <c r="AS2766" s="28"/>
      <c r="AT2766" s="28"/>
    </row>
    <row r="2767">
      <c r="A2767" s="5" t="s">
        <v>2517</v>
      </c>
      <c r="B2767" s="6">
        <v>4000.0</v>
      </c>
      <c r="C2767" s="7" t="s">
        <v>1065</v>
      </c>
      <c r="D2767" s="15">
        <v>75205.0</v>
      </c>
      <c r="F2767" s="15"/>
      <c r="G2767" s="26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</row>
    <row r="2768">
      <c r="A2768" s="10" t="s">
        <v>1155</v>
      </c>
      <c r="B2768" s="11">
        <v>2500.0</v>
      </c>
      <c r="C2768" s="12" t="s">
        <v>1065</v>
      </c>
      <c r="D2768" s="15">
        <v>75205.0</v>
      </c>
      <c r="F2768" s="15"/>
      <c r="G2768" s="26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28"/>
      <c r="AS2768" s="28"/>
      <c r="AT2768" s="28"/>
    </row>
    <row r="2769">
      <c r="A2769" s="5" t="s">
        <v>2518</v>
      </c>
      <c r="B2769" s="6">
        <v>5000.0</v>
      </c>
      <c r="C2769" s="7" t="s">
        <v>1065</v>
      </c>
      <c r="D2769" s="15">
        <v>75219.0</v>
      </c>
      <c r="F2769" s="15"/>
      <c r="G2769" s="26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28"/>
      <c r="AS2769" s="28"/>
      <c r="AT2769" s="28"/>
    </row>
    <row r="2770">
      <c r="A2770" s="10" t="s">
        <v>2519</v>
      </c>
      <c r="B2770" s="11">
        <v>10000.0</v>
      </c>
      <c r="C2770" s="12" t="s">
        <v>1065</v>
      </c>
      <c r="D2770" s="15">
        <v>75205.0</v>
      </c>
      <c r="F2770" s="15"/>
      <c r="G2770" s="26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8"/>
      <c r="AT2770" s="28"/>
    </row>
    <row r="2771">
      <c r="A2771" s="5" t="s">
        <v>2520</v>
      </c>
      <c r="B2771" s="6">
        <v>2500.0</v>
      </c>
      <c r="C2771" s="7" t="s">
        <v>1065</v>
      </c>
      <c r="D2771" s="15">
        <v>76040.0</v>
      </c>
      <c r="F2771" s="15"/>
      <c r="G2771" s="26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</row>
    <row r="2772">
      <c r="A2772" s="10" t="s">
        <v>2521</v>
      </c>
      <c r="B2772" s="11">
        <v>5000.0</v>
      </c>
      <c r="C2772" s="12" t="s">
        <v>1065</v>
      </c>
      <c r="D2772" s="15">
        <v>75098.0</v>
      </c>
      <c r="F2772" s="15"/>
      <c r="G2772" s="26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</row>
    <row r="2773">
      <c r="A2773" s="5" t="s">
        <v>2522</v>
      </c>
      <c r="B2773" s="6">
        <v>1000.0</v>
      </c>
      <c r="C2773" s="7" t="s">
        <v>1065</v>
      </c>
      <c r="D2773" s="15">
        <v>77005.0</v>
      </c>
      <c r="F2773" s="15"/>
      <c r="G2773" s="26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28"/>
      <c r="AS2773" s="28"/>
      <c r="AT2773" s="28"/>
    </row>
    <row r="2774">
      <c r="A2774" s="10" t="s">
        <v>2523</v>
      </c>
      <c r="B2774" s="11">
        <v>1000.0</v>
      </c>
      <c r="C2774" s="12" t="s">
        <v>1065</v>
      </c>
      <c r="D2774" s="15">
        <v>77005.0</v>
      </c>
      <c r="F2774" s="15"/>
      <c r="G2774" s="26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28"/>
      <c r="AS2774" s="28"/>
      <c r="AT2774" s="28"/>
    </row>
    <row r="2775">
      <c r="A2775" s="5" t="s">
        <v>2524</v>
      </c>
      <c r="B2775" s="6">
        <v>1000.0</v>
      </c>
      <c r="C2775" s="7" t="s">
        <v>1065</v>
      </c>
      <c r="D2775" s="15">
        <v>78701.0</v>
      </c>
      <c r="F2775" s="15"/>
      <c r="G2775" s="26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28"/>
      <c r="AS2775" s="28"/>
      <c r="AT2775" s="28"/>
    </row>
    <row r="2776">
      <c r="A2776" s="10" t="s">
        <v>2525</v>
      </c>
      <c r="B2776" s="11">
        <v>500.0</v>
      </c>
      <c r="C2776" s="12" t="s">
        <v>1065</v>
      </c>
      <c r="D2776" s="15">
        <v>77042.0</v>
      </c>
      <c r="F2776" s="15"/>
      <c r="G2776" s="26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28"/>
      <c r="AS2776" s="28"/>
      <c r="AT2776" s="28"/>
    </row>
    <row r="2777">
      <c r="A2777" s="5" t="s">
        <v>2526</v>
      </c>
      <c r="B2777" s="6">
        <v>100.0</v>
      </c>
      <c r="C2777" s="7" t="s">
        <v>1065</v>
      </c>
      <c r="D2777" s="15">
        <v>75215.0</v>
      </c>
      <c r="F2777" s="15"/>
      <c r="G2777" s="26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28"/>
      <c r="AS2777" s="28"/>
      <c r="AT2777" s="28"/>
    </row>
    <row r="2778">
      <c r="A2778" s="10" t="s">
        <v>2527</v>
      </c>
      <c r="B2778" s="11">
        <v>2500.0</v>
      </c>
      <c r="C2778" s="12" t="s">
        <v>1065</v>
      </c>
      <c r="D2778" s="15">
        <v>77019.0</v>
      </c>
      <c r="F2778" s="15"/>
      <c r="G2778" s="26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28"/>
      <c r="AS2778" s="28"/>
      <c r="AT2778" s="28"/>
    </row>
    <row r="2779">
      <c r="A2779" s="5" t="s">
        <v>2528</v>
      </c>
      <c r="B2779" s="6">
        <v>250.0</v>
      </c>
      <c r="C2779" s="7" t="s">
        <v>1065</v>
      </c>
      <c r="D2779" s="15">
        <v>77024.0</v>
      </c>
      <c r="F2779" s="15"/>
      <c r="G2779" s="26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28"/>
      <c r="AS2779" s="28"/>
      <c r="AT2779" s="28"/>
    </row>
    <row r="2780">
      <c r="A2780" s="10" t="s">
        <v>2529</v>
      </c>
      <c r="B2780" s="11">
        <v>1000.0</v>
      </c>
      <c r="C2780" s="12" t="s">
        <v>1065</v>
      </c>
      <c r="D2780" s="15">
        <v>78746.0</v>
      </c>
      <c r="F2780" s="15"/>
      <c r="G2780" s="26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28"/>
      <c r="AS2780" s="28"/>
      <c r="AT2780" s="28"/>
    </row>
    <row r="2781">
      <c r="A2781" s="5" t="s">
        <v>2530</v>
      </c>
      <c r="B2781" s="6">
        <v>1000.0</v>
      </c>
      <c r="C2781" s="7" t="s">
        <v>1065</v>
      </c>
      <c r="D2781" s="15">
        <v>78701.0</v>
      </c>
      <c r="F2781" s="15"/>
      <c r="G2781" s="26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</row>
    <row r="2782">
      <c r="A2782" s="10" t="s">
        <v>2531</v>
      </c>
      <c r="B2782" s="11">
        <v>1000.0</v>
      </c>
      <c r="C2782" s="12" t="s">
        <v>1065</v>
      </c>
      <c r="D2782" s="15">
        <v>78738.0</v>
      </c>
      <c r="F2782" s="15"/>
      <c r="G2782" s="26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28"/>
      <c r="AS2782" s="28"/>
      <c r="AT2782" s="28"/>
    </row>
    <row r="2783">
      <c r="A2783" s="5" t="s">
        <v>2532</v>
      </c>
      <c r="B2783" s="6">
        <v>1000.0</v>
      </c>
      <c r="C2783" s="7" t="s">
        <v>1065</v>
      </c>
      <c r="D2783" s="15">
        <v>78738.0</v>
      </c>
      <c r="F2783" s="15"/>
      <c r="G2783" s="26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28"/>
      <c r="AS2783" s="28"/>
      <c r="AT2783" s="28"/>
    </row>
    <row r="2784">
      <c r="A2784" s="10" t="s">
        <v>2533</v>
      </c>
      <c r="B2784" s="11">
        <v>1000.0</v>
      </c>
      <c r="C2784" s="12" t="s">
        <v>1065</v>
      </c>
      <c r="D2784" s="15">
        <v>78701.0</v>
      </c>
      <c r="F2784" s="15"/>
      <c r="G2784" s="26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</row>
    <row r="2785">
      <c r="A2785" s="5" t="s">
        <v>2534</v>
      </c>
      <c r="B2785" s="6">
        <v>1000.0</v>
      </c>
      <c r="C2785" s="7" t="s">
        <v>1065</v>
      </c>
      <c r="D2785" s="15">
        <v>78701.0</v>
      </c>
      <c r="F2785" s="15"/>
      <c r="G2785" s="26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28"/>
      <c r="AS2785" s="28"/>
      <c r="AT2785" s="28"/>
    </row>
    <row r="2786">
      <c r="A2786" s="10" t="s">
        <v>2535</v>
      </c>
      <c r="B2786" s="11">
        <v>1500.0</v>
      </c>
      <c r="C2786" s="12" t="s">
        <v>1065</v>
      </c>
      <c r="D2786" s="15">
        <v>76448.0</v>
      </c>
      <c r="F2786" s="15"/>
      <c r="G2786" s="26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8"/>
      <c r="AT2786" s="28"/>
    </row>
    <row r="2787">
      <c r="A2787" s="5" t="s">
        <v>2536</v>
      </c>
      <c r="B2787" s="6">
        <v>2500.0</v>
      </c>
      <c r="C2787" s="7" t="s">
        <v>1065</v>
      </c>
      <c r="D2787" s="15">
        <v>77002.0</v>
      </c>
      <c r="F2787" s="15"/>
      <c r="G2787" s="26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28"/>
      <c r="AS2787" s="28"/>
      <c r="AT2787" s="28"/>
    </row>
    <row r="2788">
      <c r="A2788" s="10" t="s">
        <v>2537</v>
      </c>
      <c r="B2788" s="11">
        <v>1000.0</v>
      </c>
      <c r="C2788" s="12" t="s">
        <v>1065</v>
      </c>
      <c r="D2788" s="15">
        <v>77077.0</v>
      </c>
      <c r="F2788" s="15"/>
      <c r="G2788" s="26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</row>
    <row r="2789">
      <c r="A2789" s="5" t="s">
        <v>1083</v>
      </c>
      <c r="B2789" s="6">
        <v>5000.0</v>
      </c>
      <c r="C2789" s="7" t="s">
        <v>1065</v>
      </c>
      <c r="D2789" s="15">
        <v>78701.0</v>
      </c>
      <c r="F2789" s="15"/>
      <c r="G2789" s="26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28"/>
      <c r="AS2789" s="28"/>
      <c r="AT2789" s="28"/>
    </row>
    <row r="2790">
      <c r="A2790" s="10" t="s">
        <v>2538</v>
      </c>
      <c r="B2790" s="11">
        <v>1000.0</v>
      </c>
      <c r="C2790" s="12" t="s">
        <v>1065</v>
      </c>
      <c r="D2790" s="15">
        <v>78703.0</v>
      </c>
      <c r="F2790" s="15"/>
      <c r="G2790" s="26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28"/>
      <c r="AS2790" s="28"/>
      <c r="AT2790" s="28"/>
    </row>
    <row r="2791">
      <c r="A2791" s="5" t="s">
        <v>2102</v>
      </c>
      <c r="B2791" s="6">
        <v>1000.0</v>
      </c>
      <c r="C2791" s="7" t="s">
        <v>1065</v>
      </c>
      <c r="D2791" s="15">
        <v>75182.0</v>
      </c>
      <c r="F2791" s="15"/>
      <c r="G2791" s="26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</row>
    <row r="2792">
      <c r="A2792" s="10" t="s">
        <v>2539</v>
      </c>
      <c r="B2792" s="11">
        <v>2100.0</v>
      </c>
      <c r="C2792" s="12" t="s">
        <v>1065</v>
      </c>
      <c r="D2792" s="15">
        <v>78746.0</v>
      </c>
      <c r="F2792" s="15"/>
      <c r="G2792" s="26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28"/>
      <c r="AS2792" s="28"/>
      <c r="AT2792" s="28"/>
    </row>
    <row r="2793">
      <c r="A2793" s="5" t="s">
        <v>2540</v>
      </c>
      <c r="B2793" s="6">
        <v>10000.0</v>
      </c>
      <c r="C2793" s="7" t="s">
        <v>1065</v>
      </c>
      <c r="D2793" s="15">
        <v>78768.0</v>
      </c>
      <c r="F2793" s="15"/>
      <c r="G2793" s="26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28"/>
      <c r="AS2793" s="28"/>
      <c r="AT2793" s="28"/>
    </row>
    <row r="2794">
      <c r="A2794" s="10" t="s">
        <v>2541</v>
      </c>
      <c r="B2794" s="11">
        <v>7500.0</v>
      </c>
      <c r="C2794" s="12" t="s">
        <v>1065</v>
      </c>
      <c r="D2794" s="15">
        <v>75240.0</v>
      </c>
      <c r="F2794" s="15"/>
      <c r="G2794" s="26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28"/>
      <c r="AS2794" s="28"/>
      <c r="AT2794" s="28"/>
    </row>
    <row r="2795">
      <c r="A2795" s="5" t="s">
        <v>2542</v>
      </c>
      <c r="B2795" s="6">
        <v>5000.0</v>
      </c>
      <c r="C2795" s="7" t="s">
        <v>1065</v>
      </c>
      <c r="D2795" s="15">
        <v>78701.0</v>
      </c>
      <c r="F2795" s="15"/>
      <c r="G2795" s="26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28"/>
      <c r="AS2795" s="28"/>
      <c r="AT2795" s="28"/>
    </row>
    <row r="2796">
      <c r="A2796" s="10"/>
      <c r="B2796" s="11"/>
      <c r="C2796" s="12"/>
      <c r="D2796" s="15"/>
      <c r="F2796" s="15"/>
      <c r="G2796" s="26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28"/>
      <c r="AS2796" s="28"/>
      <c r="AT2796" s="28"/>
    </row>
    <row r="2797">
      <c r="A2797" s="5" t="s">
        <v>2544</v>
      </c>
      <c r="B2797" s="6">
        <v>500.0</v>
      </c>
      <c r="C2797" s="7" t="s">
        <v>1065</v>
      </c>
      <c r="D2797" s="15">
        <v>77004.0</v>
      </c>
      <c r="F2797" s="15"/>
      <c r="G2797" s="26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28"/>
      <c r="AS2797" s="28"/>
      <c r="AT2797" s="28"/>
    </row>
    <row r="2798">
      <c r="A2798" s="10"/>
      <c r="B2798" s="11"/>
      <c r="C2798" s="12"/>
      <c r="D2798" s="15"/>
      <c r="F2798" s="15"/>
      <c r="G2798" s="26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28"/>
      <c r="AS2798" s="28"/>
      <c r="AT2798" s="28"/>
    </row>
    <row r="2799">
      <c r="A2799" s="5" t="s">
        <v>2546</v>
      </c>
      <c r="B2799" s="6">
        <v>10000.0</v>
      </c>
      <c r="C2799" s="7" t="s">
        <v>1065</v>
      </c>
      <c r="D2799" s="15">
        <v>75201.0</v>
      </c>
      <c r="F2799" s="15"/>
      <c r="G2799" s="26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28"/>
      <c r="AS2799" s="28"/>
      <c r="AT2799" s="28"/>
    </row>
    <row r="2800">
      <c r="A2800" s="10"/>
      <c r="B2800" s="11"/>
      <c r="C2800" s="12"/>
      <c r="D2800" s="15"/>
      <c r="F2800" s="15"/>
      <c r="G2800" s="26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28"/>
      <c r="AS2800" s="28"/>
      <c r="AT2800" s="28"/>
    </row>
    <row r="2801">
      <c r="A2801" s="5" t="s">
        <v>2548</v>
      </c>
      <c r="B2801" s="6">
        <v>10000.0</v>
      </c>
      <c r="C2801" s="7" t="s">
        <v>1065</v>
      </c>
      <c r="D2801" s="15">
        <v>77002.0</v>
      </c>
      <c r="F2801" s="15"/>
      <c r="G2801" s="26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28"/>
      <c r="AS2801" s="28"/>
      <c r="AT2801" s="28"/>
    </row>
    <row r="2802">
      <c r="A2802" s="10" t="s">
        <v>2549</v>
      </c>
      <c r="B2802" s="11">
        <v>350.0</v>
      </c>
      <c r="C2802" s="12" t="s">
        <v>1065</v>
      </c>
      <c r="D2802" s="15">
        <v>75206.0</v>
      </c>
      <c r="F2802" s="15"/>
      <c r="G2802" s="26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28"/>
      <c r="AS2802" s="28"/>
      <c r="AT2802" s="28"/>
    </row>
    <row r="2803">
      <c r="A2803" s="5"/>
      <c r="B2803" s="6"/>
      <c r="C2803" s="7"/>
      <c r="D2803" s="15"/>
      <c r="F2803" s="15"/>
      <c r="G2803" s="26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28"/>
      <c r="AS2803" s="28"/>
      <c r="AT2803" s="28"/>
    </row>
    <row r="2804">
      <c r="A2804" s="10" t="s">
        <v>2551</v>
      </c>
      <c r="B2804" s="11">
        <v>4000.0</v>
      </c>
      <c r="C2804" s="12" t="s">
        <v>1065</v>
      </c>
      <c r="D2804" s="15">
        <v>75022.0</v>
      </c>
      <c r="F2804" s="15"/>
      <c r="G2804" s="26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</row>
    <row r="2805">
      <c r="A2805" s="5" t="s">
        <v>2552</v>
      </c>
      <c r="B2805" s="6">
        <v>5000.0</v>
      </c>
      <c r="C2805" s="7" t="s">
        <v>1065</v>
      </c>
      <c r="D2805" s="15">
        <v>75236.0</v>
      </c>
      <c r="F2805" s="15"/>
      <c r="G2805" s="26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28"/>
      <c r="AS2805" s="28"/>
      <c r="AT2805" s="28"/>
    </row>
    <row r="2806">
      <c r="A2806" s="10" t="s">
        <v>2553</v>
      </c>
      <c r="B2806" s="11">
        <v>25.0</v>
      </c>
      <c r="C2806" s="12" t="s">
        <v>1065</v>
      </c>
      <c r="D2806" s="15">
        <v>75287.0</v>
      </c>
      <c r="F2806" s="15"/>
      <c r="G2806" s="26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28"/>
      <c r="AS2806" s="28"/>
      <c r="AT2806" s="28"/>
    </row>
    <row r="2807">
      <c r="A2807" s="5" t="s">
        <v>2554</v>
      </c>
      <c r="B2807" s="6">
        <v>50.0</v>
      </c>
      <c r="C2807" s="7" t="s">
        <v>1065</v>
      </c>
      <c r="D2807" s="15">
        <v>75287.0</v>
      </c>
      <c r="F2807" s="15"/>
      <c r="G2807" s="26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28"/>
      <c r="AS2807" s="28"/>
      <c r="AT2807" s="28"/>
    </row>
    <row r="2808">
      <c r="A2808" s="10" t="s">
        <v>2555</v>
      </c>
      <c r="B2808" s="11">
        <v>1000.0</v>
      </c>
      <c r="C2808" s="12" t="s">
        <v>1065</v>
      </c>
      <c r="D2808" s="15">
        <v>75214.0</v>
      </c>
      <c r="F2808" s="15"/>
      <c r="G2808" s="26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28"/>
      <c r="AS2808" s="28"/>
      <c r="AT2808" s="28"/>
    </row>
    <row r="2809">
      <c r="A2809" s="5" t="s">
        <v>2556</v>
      </c>
      <c r="B2809" s="6">
        <v>50.0</v>
      </c>
      <c r="C2809" s="7" t="s">
        <v>1065</v>
      </c>
      <c r="D2809" s="15">
        <v>75230.0</v>
      </c>
      <c r="F2809" s="15"/>
      <c r="G2809" s="26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28"/>
      <c r="AS2809" s="28"/>
      <c r="AT2809" s="28"/>
    </row>
    <row r="2810">
      <c r="A2810" s="10" t="s">
        <v>1924</v>
      </c>
      <c r="B2810" s="11">
        <v>500.0</v>
      </c>
      <c r="C2810" s="12" t="s">
        <v>1065</v>
      </c>
      <c r="D2810" s="15">
        <v>75218.0</v>
      </c>
      <c r="F2810" s="15"/>
      <c r="G2810" s="26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8"/>
      <c r="AT2810" s="28"/>
    </row>
    <row r="2811">
      <c r="A2811" s="5" t="s">
        <v>2557</v>
      </c>
      <c r="B2811" s="6">
        <v>100.0</v>
      </c>
      <c r="C2811" s="7" t="s">
        <v>1065</v>
      </c>
      <c r="D2811" s="15">
        <v>75039.0</v>
      </c>
      <c r="F2811" s="15"/>
      <c r="G2811" s="26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28"/>
      <c r="AS2811" s="28"/>
      <c r="AT2811" s="28"/>
    </row>
    <row r="2812">
      <c r="A2812" s="10" t="s">
        <v>2558</v>
      </c>
      <c r="B2812" s="11">
        <v>100.0</v>
      </c>
      <c r="C2812" s="12" t="s">
        <v>1065</v>
      </c>
      <c r="D2812" s="15">
        <v>75039.0</v>
      </c>
      <c r="F2812" s="15"/>
      <c r="G2812" s="26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28"/>
      <c r="AS2812" s="28"/>
      <c r="AT2812" s="28"/>
    </row>
    <row r="2813">
      <c r="A2813" s="5" t="s">
        <v>2559</v>
      </c>
      <c r="B2813" s="6">
        <v>1000.0</v>
      </c>
      <c r="C2813" s="7" t="s">
        <v>1065</v>
      </c>
      <c r="D2813" s="15">
        <v>75209.0</v>
      </c>
      <c r="F2813" s="15"/>
      <c r="G2813" s="26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28"/>
      <c r="AS2813" s="28"/>
      <c r="AT2813" s="28"/>
    </row>
    <row r="2814">
      <c r="A2814" s="10" t="s">
        <v>2314</v>
      </c>
      <c r="B2814" s="11">
        <v>50.0</v>
      </c>
      <c r="C2814" s="12" t="s">
        <v>1065</v>
      </c>
      <c r="D2814" s="15">
        <v>75225.0</v>
      </c>
      <c r="F2814" s="15"/>
      <c r="G2814" s="26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28"/>
      <c r="AS2814" s="28"/>
      <c r="AT2814" s="28"/>
    </row>
    <row r="2815">
      <c r="A2815" s="5" t="s">
        <v>2560</v>
      </c>
      <c r="B2815" s="6">
        <v>1000.0</v>
      </c>
      <c r="C2815" s="7" t="s">
        <v>1065</v>
      </c>
      <c r="D2815" s="15">
        <v>75225.0</v>
      </c>
      <c r="F2815" s="15"/>
      <c r="G2815" s="26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28"/>
      <c r="AS2815" s="28"/>
      <c r="AT2815" s="28"/>
    </row>
    <row r="2816">
      <c r="A2816" s="5" t="s">
        <v>2561</v>
      </c>
      <c r="B2816" s="6">
        <v>500.0</v>
      </c>
      <c r="C2816" s="7" t="s">
        <v>1005</v>
      </c>
      <c r="D2816" s="15">
        <v>75226.0</v>
      </c>
      <c r="F2816" s="15"/>
      <c r="G2816" s="26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28"/>
      <c r="AS2816" s="28"/>
      <c r="AT2816" s="28"/>
    </row>
    <row r="2817">
      <c r="A2817" s="10" t="s">
        <v>2562</v>
      </c>
      <c r="B2817" s="11">
        <v>100.0</v>
      </c>
      <c r="C2817" s="12" t="s">
        <v>1005</v>
      </c>
      <c r="D2817" s="15">
        <v>75218.0</v>
      </c>
      <c r="F2817" s="15"/>
      <c r="G2817" s="26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28"/>
      <c r="AS2817" s="28"/>
      <c r="AT2817" s="28"/>
    </row>
    <row r="2818">
      <c r="A2818" s="5" t="s">
        <v>2563</v>
      </c>
      <c r="B2818" s="6">
        <v>500.0</v>
      </c>
      <c r="C2818" s="7" t="s">
        <v>1005</v>
      </c>
      <c r="D2818" s="15">
        <v>75214.0</v>
      </c>
      <c r="F2818" s="15"/>
      <c r="G2818" s="26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28"/>
      <c r="AS2818" s="28"/>
      <c r="AT2818" s="28"/>
    </row>
    <row r="2819">
      <c r="A2819" s="10" t="s">
        <v>2564</v>
      </c>
      <c r="B2819" s="11">
        <v>500.0</v>
      </c>
      <c r="C2819" s="12" t="s">
        <v>1005</v>
      </c>
      <c r="D2819" s="15">
        <v>75214.0</v>
      </c>
      <c r="F2819" s="15"/>
      <c r="G2819" s="26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28"/>
      <c r="AS2819" s="28"/>
      <c r="AT2819" s="28"/>
    </row>
    <row r="2820">
      <c r="A2820" s="5" t="s">
        <v>2565</v>
      </c>
      <c r="B2820" s="6">
        <v>1000.0</v>
      </c>
      <c r="C2820" s="7" t="s">
        <v>1005</v>
      </c>
      <c r="D2820" s="15">
        <v>75214.0</v>
      </c>
      <c r="F2820" s="15"/>
      <c r="G2820" s="26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28"/>
      <c r="AS2820" s="28"/>
      <c r="AT2820" s="28"/>
    </row>
    <row r="2821">
      <c r="A2821" s="10" t="s">
        <v>2566</v>
      </c>
      <c r="B2821" s="11">
        <v>250.0</v>
      </c>
      <c r="C2821" s="12" t="s">
        <v>1005</v>
      </c>
      <c r="D2821" s="15">
        <v>75218.0</v>
      </c>
      <c r="F2821" s="15"/>
      <c r="G2821" s="26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28"/>
      <c r="AS2821" s="28"/>
      <c r="AT2821" s="28"/>
    </row>
    <row r="2822">
      <c r="A2822" s="5" t="s">
        <v>2567</v>
      </c>
      <c r="B2822" s="6">
        <v>1000.0</v>
      </c>
      <c r="C2822" s="7" t="s">
        <v>1005</v>
      </c>
      <c r="D2822" s="15">
        <v>75229.0</v>
      </c>
      <c r="F2822" s="15"/>
      <c r="G2822" s="26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28"/>
      <c r="AS2822" s="28"/>
      <c r="AT2822" s="28"/>
    </row>
    <row r="2823">
      <c r="A2823" s="10" t="s">
        <v>2568</v>
      </c>
      <c r="B2823" s="11">
        <v>100.0</v>
      </c>
      <c r="C2823" s="12" t="s">
        <v>1005</v>
      </c>
      <c r="D2823" s="15">
        <v>75214.0</v>
      </c>
      <c r="F2823" s="15"/>
      <c r="G2823" s="26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28"/>
      <c r="AS2823" s="28"/>
      <c r="AT2823" s="28"/>
    </row>
    <row r="2824">
      <c r="A2824" s="5" t="s">
        <v>2569</v>
      </c>
      <c r="B2824" s="6">
        <v>250.0</v>
      </c>
      <c r="C2824" s="7" t="s">
        <v>1005</v>
      </c>
      <c r="D2824" s="15">
        <v>75206.0</v>
      </c>
      <c r="F2824" s="15"/>
      <c r="G2824" s="26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28"/>
      <c r="AS2824" s="28"/>
      <c r="AT2824" s="28"/>
    </row>
    <row r="2825">
      <c r="A2825" s="10" t="s">
        <v>1539</v>
      </c>
      <c r="B2825" s="11">
        <v>100.0</v>
      </c>
      <c r="C2825" s="12" t="s">
        <v>1005</v>
      </c>
      <c r="D2825" s="15">
        <v>75204.0</v>
      </c>
      <c r="F2825" s="15"/>
      <c r="G2825" s="26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28"/>
      <c r="AS2825" s="28"/>
      <c r="AT2825" s="28"/>
    </row>
    <row r="2826">
      <c r="A2826" s="5" t="s">
        <v>2570</v>
      </c>
      <c r="B2826" s="6">
        <v>250.0</v>
      </c>
      <c r="C2826" s="7" t="s">
        <v>1005</v>
      </c>
      <c r="D2826" s="15">
        <v>75214.0</v>
      </c>
      <c r="F2826" s="15"/>
      <c r="G2826" s="26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28"/>
      <c r="AS2826" s="28"/>
      <c r="AT2826" s="28"/>
    </row>
    <row r="2827">
      <c r="A2827" s="10" t="s">
        <v>2571</v>
      </c>
      <c r="B2827" s="11">
        <v>150.0</v>
      </c>
      <c r="C2827" s="12" t="s">
        <v>1005</v>
      </c>
      <c r="D2827" s="15">
        <v>75219.0</v>
      </c>
      <c r="F2827" s="15"/>
      <c r="G2827" s="26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</row>
    <row r="2828">
      <c r="A2828" s="5" t="s">
        <v>2572</v>
      </c>
      <c r="B2828" s="6">
        <v>250.0</v>
      </c>
      <c r="C2828" s="7" t="s">
        <v>1005</v>
      </c>
      <c r="D2828" s="15">
        <v>75214.0</v>
      </c>
      <c r="F2828" s="15"/>
      <c r="G2828" s="26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</row>
    <row r="2829">
      <c r="A2829" s="10" t="s">
        <v>2573</v>
      </c>
      <c r="B2829" s="11">
        <v>250.0</v>
      </c>
      <c r="C2829" s="12" t="s">
        <v>1005</v>
      </c>
      <c r="D2829" s="15">
        <v>75214.0</v>
      </c>
      <c r="F2829" s="15"/>
      <c r="G2829" s="26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</row>
    <row r="2830">
      <c r="A2830" s="5" t="s">
        <v>2574</v>
      </c>
      <c r="B2830" s="6">
        <v>100.0</v>
      </c>
      <c r="C2830" s="7" t="s">
        <v>1005</v>
      </c>
      <c r="D2830" s="15">
        <v>75214.0</v>
      </c>
      <c r="F2830" s="15"/>
      <c r="G2830" s="26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28"/>
      <c r="AS2830" s="28"/>
      <c r="AT2830" s="28"/>
    </row>
    <row r="2831">
      <c r="A2831" s="10" t="s">
        <v>2575</v>
      </c>
      <c r="B2831" s="11">
        <v>250.0</v>
      </c>
      <c r="C2831" s="12" t="s">
        <v>1005</v>
      </c>
      <c r="D2831" s="15">
        <v>75230.0</v>
      </c>
      <c r="F2831" s="15"/>
      <c r="G2831" s="26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</row>
    <row r="2832">
      <c r="A2832" s="5" t="s">
        <v>2576</v>
      </c>
      <c r="B2832" s="6">
        <v>250.0</v>
      </c>
      <c r="C2832" s="7" t="s">
        <v>1005</v>
      </c>
      <c r="D2832" s="15">
        <v>75214.0</v>
      </c>
      <c r="F2832" s="15"/>
      <c r="G2832" s="26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28"/>
      <c r="AS2832" s="28"/>
      <c r="AT2832" s="28"/>
    </row>
    <row r="2833">
      <c r="A2833" s="10" t="s">
        <v>2577</v>
      </c>
      <c r="B2833" s="11">
        <v>1000.0</v>
      </c>
      <c r="C2833" s="12" t="s">
        <v>1005</v>
      </c>
      <c r="D2833" s="15">
        <v>75214.0</v>
      </c>
      <c r="F2833" s="15"/>
      <c r="G2833" s="26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28"/>
      <c r="AS2833" s="28"/>
      <c r="AT2833" s="28"/>
    </row>
    <row r="2834">
      <c r="A2834" s="5" t="s">
        <v>2578</v>
      </c>
      <c r="B2834" s="6">
        <v>1000.0</v>
      </c>
      <c r="C2834" s="7" t="s">
        <v>1005</v>
      </c>
      <c r="D2834" s="15">
        <v>75209.0</v>
      </c>
      <c r="F2834" s="15"/>
      <c r="G2834" s="26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28"/>
      <c r="AS2834" s="28"/>
      <c r="AT2834" s="28"/>
    </row>
    <row r="2835">
      <c r="A2835" s="10" t="s">
        <v>2579</v>
      </c>
      <c r="B2835" s="11">
        <v>500.0</v>
      </c>
      <c r="C2835" s="12" t="s">
        <v>1005</v>
      </c>
      <c r="D2835" s="15">
        <v>75230.0</v>
      </c>
      <c r="F2835" s="15"/>
      <c r="G2835" s="26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28"/>
      <c r="AS2835" s="28"/>
      <c r="AT2835" s="28"/>
    </row>
    <row r="2836">
      <c r="A2836" s="5" t="s">
        <v>1030</v>
      </c>
      <c r="B2836" s="6">
        <v>100.0</v>
      </c>
      <c r="C2836" s="7" t="s">
        <v>1005</v>
      </c>
      <c r="D2836" s="15">
        <v>75218.0</v>
      </c>
      <c r="F2836" s="15"/>
      <c r="G2836" s="26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28"/>
      <c r="AS2836" s="28"/>
      <c r="AT2836" s="28"/>
    </row>
    <row r="2837">
      <c r="A2837" s="10" t="s">
        <v>2580</v>
      </c>
      <c r="B2837" s="11">
        <v>100.0</v>
      </c>
      <c r="C2837" s="12" t="s">
        <v>1005</v>
      </c>
      <c r="D2837" s="15">
        <v>75214.0</v>
      </c>
      <c r="F2837" s="15"/>
      <c r="G2837" s="26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28"/>
      <c r="AS2837" s="28"/>
      <c r="AT2837" s="28"/>
    </row>
    <row r="2838">
      <c r="A2838" s="5" t="s">
        <v>517</v>
      </c>
      <c r="B2838" s="6">
        <v>100.0</v>
      </c>
      <c r="C2838" s="7" t="s">
        <v>1005</v>
      </c>
      <c r="D2838" s="15">
        <v>75208.0</v>
      </c>
      <c r="F2838" s="15"/>
      <c r="G2838" s="26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28"/>
      <c r="AS2838" s="28"/>
      <c r="AT2838" s="28"/>
    </row>
    <row r="2839">
      <c r="A2839" s="10" t="s">
        <v>2581</v>
      </c>
      <c r="B2839" s="11">
        <v>250.0</v>
      </c>
      <c r="C2839" s="12" t="s">
        <v>1005</v>
      </c>
      <c r="D2839" s="15">
        <v>75223.0</v>
      </c>
      <c r="F2839" s="15"/>
      <c r="G2839" s="26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</row>
    <row r="2840">
      <c r="A2840" s="5" t="s">
        <v>2344</v>
      </c>
      <c r="B2840" s="6">
        <v>1000.0</v>
      </c>
      <c r="C2840" s="7" t="s">
        <v>1005</v>
      </c>
      <c r="D2840" s="15">
        <v>75229.0</v>
      </c>
      <c r="F2840" s="15"/>
      <c r="G2840" s="26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</row>
    <row r="2841">
      <c r="A2841" s="10"/>
      <c r="B2841" s="11"/>
      <c r="C2841" s="12"/>
      <c r="D2841" s="15"/>
      <c r="F2841" s="15"/>
      <c r="G2841" s="26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28"/>
      <c r="AS2841" s="28"/>
      <c r="AT2841" s="28"/>
    </row>
    <row r="2842">
      <c r="A2842" s="5" t="s">
        <v>2583</v>
      </c>
      <c r="B2842" s="6">
        <v>250.0</v>
      </c>
      <c r="C2842" s="7" t="s">
        <v>1005</v>
      </c>
      <c r="D2842" s="15">
        <v>75218.0</v>
      </c>
      <c r="F2842" s="15"/>
      <c r="G2842" s="26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28"/>
      <c r="AS2842" s="28"/>
      <c r="AT2842" s="28"/>
    </row>
    <row r="2843">
      <c r="A2843" s="10" t="s">
        <v>2584</v>
      </c>
      <c r="B2843" s="11">
        <v>500.0</v>
      </c>
      <c r="C2843" s="12" t="s">
        <v>1005</v>
      </c>
      <c r="D2843" s="15">
        <v>75229.0</v>
      </c>
      <c r="F2843" s="15"/>
      <c r="G2843" s="26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28"/>
      <c r="AS2843" s="28"/>
      <c r="AT2843" s="28"/>
    </row>
    <row r="2844">
      <c r="A2844" s="5" t="s">
        <v>2585</v>
      </c>
      <c r="B2844" s="6">
        <v>500.0</v>
      </c>
      <c r="C2844" s="7" t="s">
        <v>1005</v>
      </c>
      <c r="D2844" s="15">
        <v>75214.0</v>
      </c>
      <c r="F2844" s="15"/>
      <c r="G2844" s="26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28"/>
      <c r="AS2844" s="28"/>
      <c r="AT2844" s="28"/>
    </row>
    <row r="2845">
      <c r="A2845" s="10" t="s">
        <v>2586</v>
      </c>
      <c r="B2845" s="11">
        <v>100.0</v>
      </c>
      <c r="C2845" s="12" t="s">
        <v>1005</v>
      </c>
      <c r="D2845" s="15">
        <v>75214.0</v>
      </c>
      <c r="F2845" s="15"/>
      <c r="G2845" s="26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28"/>
      <c r="AS2845" s="28"/>
      <c r="AT2845" s="28"/>
    </row>
    <row r="2846">
      <c r="A2846" s="5" t="s">
        <v>2587</v>
      </c>
      <c r="B2846" s="6">
        <v>250.0</v>
      </c>
      <c r="C2846" s="7" t="s">
        <v>1005</v>
      </c>
      <c r="D2846" s="15">
        <v>75219.0</v>
      </c>
      <c r="F2846" s="15"/>
      <c r="G2846" s="26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28"/>
      <c r="AS2846" s="28"/>
      <c r="AT2846" s="28"/>
    </row>
    <row r="2847">
      <c r="A2847" s="10" t="s">
        <v>2588</v>
      </c>
      <c r="B2847" s="11">
        <v>250.0</v>
      </c>
      <c r="C2847" s="12" t="s">
        <v>1005</v>
      </c>
      <c r="D2847" s="15">
        <v>75218.0</v>
      </c>
      <c r="F2847" s="15"/>
      <c r="G2847" s="26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28"/>
      <c r="AS2847" s="28"/>
      <c r="AT2847" s="28"/>
    </row>
    <row r="2848">
      <c r="A2848" s="5" t="s">
        <v>82</v>
      </c>
      <c r="B2848" s="6">
        <v>100.0</v>
      </c>
      <c r="C2848" s="7" t="s">
        <v>1005</v>
      </c>
      <c r="D2848" s="15">
        <v>75201.0</v>
      </c>
      <c r="F2848" s="15"/>
      <c r="G2848" s="26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28"/>
      <c r="AS2848" s="28"/>
      <c r="AT2848" s="28"/>
    </row>
    <row r="2849">
      <c r="A2849" s="10" t="s">
        <v>1300</v>
      </c>
      <c r="B2849" s="11">
        <v>100.0</v>
      </c>
      <c r="C2849" s="12" t="s">
        <v>1005</v>
      </c>
      <c r="D2849" s="15">
        <v>75219.0</v>
      </c>
      <c r="F2849" s="15"/>
      <c r="G2849" s="26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28"/>
      <c r="AS2849" s="28"/>
      <c r="AT2849" s="28"/>
    </row>
    <row r="2850">
      <c r="A2850" s="5" t="s">
        <v>2589</v>
      </c>
      <c r="B2850" s="6">
        <v>100.0</v>
      </c>
      <c r="C2850" s="7" t="s">
        <v>1005</v>
      </c>
      <c r="D2850" s="15">
        <v>75230.0</v>
      </c>
      <c r="F2850" s="15"/>
      <c r="G2850" s="26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28"/>
      <c r="AS2850" s="28"/>
      <c r="AT2850" s="28"/>
    </row>
    <row r="2851">
      <c r="A2851" s="10" t="s">
        <v>2590</v>
      </c>
      <c r="B2851" s="11">
        <v>250.0</v>
      </c>
      <c r="C2851" s="12" t="s">
        <v>1005</v>
      </c>
      <c r="D2851" s="15">
        <v>75214.0</v>
      </c>
      <c r="F2851" s="15"/>
      <c r="G2851" s="26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28"/>
      <c r="AS2851" s="28"/>
      <c r="AT2851" s="28"/>
    </row>
    <row r="2852">
      <c r="A2852" s="5" t="s">
        <v>2591</v>
      </c>
      <c r="B2852" s="6">
        <v>100.0</v>
      </c>
      <c r="C2852" s="7" t="s">
        <v>1005</v>
      </c>
      <c r="D2852" s="15">
        <v>75214.0</v>
      </c>
      <c r="F2852" s="15"/>
      <c r="G2852" s="26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28"/>
      <c r="AS2852" s="28"/>
      <c r="AT2852" s="28"/>
    </row>
    <row r="2853">
      <c r="A2853" s="10" t="s">
        <v>2592</v>
      </c>
      <c r="B2853" s="11">
        <v>500.0</v>
      </c>
      <c r="C2853" s="12" t="s">
        <v>1005</v>
      </c>
      <c r="D2853" s="15">
        <v>75210.0</v>
      </c>
      <c r="F2853" s="15"/>
      <c r="G2853" s="26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28"/>
      <c r="AS2853" s="28"/>
      <c r="AT2853" s="28"/>
    </row>
    <row r="2854">
      <c r="A2854" s="5" t="s">
        <v>2593</v>
      </c>
      <c r="B2854" s="6">
        <v>100.0</v>
      </c>
      <c r="C2854" s="7" t="s">
        <v>1005</v>
      </c>
      <c r="D2854" s="15">
        <v>75204.0</v>
      </c>
      <c r="F2854" s="15"/>
      <c r="G2854" s="26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28"/>
      <c r="AS2854" s="28"/>
      <c r="AT2854" s="28"/>
    </row>
    <row r="2855">
      <c r="A2855" s="10" t="s">
        <v>2594</v>
      </c>
      <c r="B2855" s="11">
        <v>250.0</v>
      </c>
      <c r="C2855" s="12" t="s">
        <v>1005</v>
      </c>
      <c r="D2855" s="15">
        <v>75214.0</v>
      </c>
      <c r="F2855" s="15"/>
      <c r="G2855" s="26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28"/>
      <c r="AS2855" s="28"/>
      <c r="AT2855" s="28"/>
    </row>
    <row r="2856">
      <c r="A2856" s="5" t="s">
        <v>2595</v>
      </c>
      <c r="B2856" s="6">
        <v>50.0</v>
      </c>
      <c r="C2856" s="7" t="s">
        <v>1005</v>
      </c>
      <c r="D2856" s="15">
        <v>75214.0</v>
      </c>
      <c r="F2856" s="15"/>
      <c r="G2856" s="26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28"/>
      <c r="AS2856" s="28"/>
      <c r="AT2856" s="28"/>
    </row>
    <row r="2857">
      <c r="A2857" s="10" t="s">
        <v>2596</v>
      </c>
      <c r="B2857" s="11">
        <v>100.0</v>
      </c>
      <c r="C2857" s="12" t="s">
        <v>1005</v>
      </c>
      <c r="D2857" s="15">
        <v>75214.0</v>
      </c>
      <c r="F2857" s="15"/>
      <c r="G2857" s="26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28"/>
      <c r="AS2857" s="28"/>
      <c r="AT2857" s="28"/>
    </row>
    <row r="2858">
      <c r="A2858" s="5" t="s">
        <v>1930</v>
      </c>
      <c r="B2858" s="6">
        <v>250.0</v>
      </c>
      <c r="C2858" s="7" t="s">
        <v>1005</v>
      </c>
      <c r="D2858" s="15">
        <v>75219.0</v>
      </c>
      <c r="F2858" s="15"/>
      <c r="G2858" s="26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28"/>
      <c r="AS2858" s="28"/>
      <c r="AT2858" s="28"/>
    </row>
    <row r="2859">
      <c r="A2859" s="10" t="s">
        <v>2597</v>
      </c>
      <c r="B2859" s="11">
        <v>50.0</v>
      </c>
      <c r="C2859" s="12" t="s">
        <v>1005</v>
      </c>
      <c r="D2859" s="15">
        <v>75228.0</v>
      </c>
      <c r="F2859" s="15"/>
      <c r="G2859" s="26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28"/>
      <c r="AS2859" s="28"/>
      <c r="AT2859" s="28"/>
    </row>
    <row r="2860">
      <c r="A2860" s="5" t="s">
        <v>2598</v>
      </c>
      <c r="B2860" s="6">
        <v>100.0</v>
      </c>
      <c r="C2860" s="7" t="s">
        <v>1005</v>
      </c>
      <c r="D2860" s="15">
        <v>75206.0</v>
      </c>
      <c r="F2860" s="15"/>
      <c r="G2860" s="26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28"/>
      <c r="AS2860" s="28"/>
      <c r="AT2860" s="28"/>
    </row>
    <row r="2861">
      <c r="A2861" s="10" t="s">
        <v>2599</v>
      </c>
      <c r="B2861" s="11">
        <v>100.0</v>
      </c>
      <c r="C2861" s="12" t="s">
        <v>1005</v>
      </c>
      <c r="D2861" s="15">
        <v>75248.0</v>
      </c>
      <c r="F2861" s="15"/>
      <c r="G2861" s="26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28"/>
      <c r="AS2861" s="28"/>
      <c r="AT2861" s="28"/>
    </row>
    <row r="2862">
      <c r="A2862" s="5" t="s">
        <v>1972</v>
      </c>
      <c r="B2862" s="6">
        <v>70.0</v>
      </c>
      <c r="C2862" s="7" t="s">
        <v>1005</v>
      </c>
      <c r="D2862" s="15">
        <v>78737.0</v>
      </c>
      <c r="F2862" s="15"/>
      <c r="G2862" s="26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28"/>
      <c r="AS2862" s="28"/>
      <c r="AT2862" s="28"/>
    </row>
    <row r="2863">
      <c r="A2863" s="10" t="s">
        <v>2600</v>
      </c>
      <c r="B2863" s="11">
        <v>100.0</v>
      </c>
      <c r="C2863" s="12" t="s">
        <v>1005</v>
      </c>
      <c r="D2863" s="15">
        <v>75218.0</v>
      </c>
      <c r="F2863" s="15"/>
      <c r="G2863" s="26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28"/>
      <c r="AS2863" s="28"/>
      <c r="AT2863" s="28"/>
    </row>
    <row r="2864">
      <c r="A2864" s="5" t="s">
        <v>2601</v>
      </c>
      <c r="B2864" s="6">
        <v>250.0</v>
      </c>
      <c r="C2864" s="7" t="s">
        <v>1005</v>
      </c>
      <c r="D2864" s="15">
        <v>75214.0</v>
      </c>
      <c r="F2864" s="15"/>
      <c r="G2864" s="26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28"/>
      <c r="AS2864" s="28"/>
      <c r="AT2864" s="28"/>
    </row>
    <row r="2865">
      <c r="A2865" s="10" t="s">
        <v>2602</v>
      </c>
      <c r="B2865" s="11">
        <v>100.0</v>
      </c>
      <c r="C2865" s="12" t="s">
        <v>1005</v>
      </c>
      <c r="D2865" s="15">
        <v>75214.0</v>
      </c>
      <c r="F2865" s="15"/>
      <c r="G2865" s="26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28"/>
      <c r="AS2865" s="28"/>
      <c r="AT2865" s="28"/>
    </row>
    <row r="2866">
      <c r="A2866" s="5" t="s">
        <v>2603</v>
      </c>
      <c r="B2866" s="6">
        <v>100.0</v>
      </c>
      <c r="C2866" s="7" t="s">
        <v>1005</v>
      </c>
      <c r="D2866" s="15">
        <v>75218.0</v>
      </c>
      <c r="F2866" s="15"/>
      <c r="G2866" s="26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28"/>
      <c r="AS2866" s="28"/>
      <c r="AT2866" s="28"/>
    </row>
    <row r="2867">
      <c r="A2867" s="10" t="s">
        <v>2604</v>
      </c>
      <c r="B2867" s="11">
        <v>500.0</v>
      </c>
      <c r="C2867" s="12" t="s">
        <v>1005</v>
      </c>
      <c r="D2867" s="15">
        <v>75214.0</v>
      </c>
      <c r="F2867" s="15"/>
      <c r="G2867" s="26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28"/>
      <c r="AS2867" s="28"/>
      <c r="AT2867" s="28"/>
    </row>
    <row r="2868">
      <c r="A2868" s="5" t="s">
        <v>2605</v>
      </c>
      <c r="B2868" s="6">
        <v>1000.0</v>
      </c>
      <c r="C2868" s="7" t="s">
        <v>1005</v>
      </c>
      <c r="D2868" s="15">
        <v>75201.0</v>
      </c>
      <c r="F2868" s="15"/>
      <c r="G2868" s="26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28"/>
      <c r="AS2868" s="28"/>
      <c r="AT2868" s="28"/>
    </row>
    <row r="2869">
      <c r="A2869" s="10" t="s">
        <v>2606</v>
      </c>
      <c r="B2869" s="11">
        <v>250.0</v>
      </c>
      <c r="C2869" s="12" t="s">
        <v>1005</v>
      </c>
      <c r="D2869" s="15">
        <v>75214.0</v>
      </c>
      <c r="F2869" s="15"/>
      <c r="G2869" s="26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28"/>
      <c r="AS2869" s="28"/>
      <c r="AT2869" s="28"/>
    </row>
    <row r="2870">
      <c r="A2870" s="5" t="s">
        <v>2607</v>
      </c>
      <c r="B2870" s="6">
        <v>100.0</v>
      </c>
      <c r="C2870" s="7" t="s">
        <v>1005</v>
      </c>
      <c r="D2870" s="15">
        <v>75248.0</v>
      </c>
      <c r="F2870" s="15"/>
      <c r="G2870" s="26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28"/>
      <c r="AS2870" s="28"/>
      <c r="AT2870" s="28"/>
    </row>
    <row r="2871">
      <c r="A2871" s="10" t="s">
        <v>2608</v>
      </c>
      <c r="B2871" s="11">
        <v>100.0</v>
      </c>
      <c r="C2871" s="12" t="s">
        <v>1005</v>
      </c>
      <c r="D2871" s="15">
        <v>75214.0</v>
      </c>
      <c r="F2871" s="15"/>
      <c r="G2871" s="26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28"/>
      <c r="AS2871" s="28"/>
      <c r="AT2871" s="28"/>
    </row>
    <row r="2872">
      <c r="A2872" s="5" t="s">
        <v>2609</v>
      </c>
      <c r="B2872" s="6">
        <v>1000.0</v>
      </c>
      <c r="C2872" s="7" t="s">
        <v>1005</v>
      </c>
      <c r="D2872" s="15">
        <v>76226.0</v>
      </c>
      <c r="F2872" s="15"/>
      <c r="G2872" s="26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28"/>
      <c r="AS2872" s="28"/>
      <c r="AT2872" s="28"/>
    </row>
    <row r="2873">
      <c r="A2873" s="10" t="s">
        <v>2610</v>
      </c>
      <c r="B2873" s="11">
        <v>250.0</v>
      </c>
      <c r="C2873" s="12" t="s">
        <v>1005</v>
      </c>
      <c r="D2873" s="15">
        <v>75038.0</v>
      </c>
      <c r="F2873" s="15"/>
      <c r="G2873" s="26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28"/>
      <c r="AS2873" s="28"/>
      <c r="AT2873" s="28"/>
    </row>
    <row r="2874">
      <c r="A2874" s="5" t="s">
        <v>2611</v>
      </c>
      <c r="B2874" s="6">
        <v>1000.0</v>
      </c>
      <c r="C2874" s="7" t="s">
        <v>1005</v>
      </c>
      <c r="D2874" s="15">
        <v>78760.0</v>
      </c>
      <c r="F2874" s="15"/>
      <c r="G2874" s="26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28"/>
      <c r="AR2874" s="28"/>
      <c r="AS2874" s="28"/>
      <c r="AT2874" s="28"/>
    </row>
    <row r="2875">
      <c r="A2875" s="10" t="s">
        <v>2612</v>
      </c>
      <c r="B2875" s="11">
        <v>50.0</v>
      </c>
      <c r="C2875" s="12" t="s">
        <v>1005</v>
      </c>
      <c r="D2875" s="15">
        <v>75214.0</v>
      </c>
      <c r="F2875" s="15"/>
      <c r="G2875" s="26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R2875" s="28"/>
      <c r="AS2875" s="28"/>
      <c r="AT2875" s="28"/>
    </row>
    <row r="2876">
      <c r="A2876" s="5" t="s">
        <v>2613</v>
      </c>
      <c r="B2876" s="6">
        <v>50.0</v>
      </c>
      <c r="C2876" s="7" t="s">
        <v>1005</v>
      </c>
      <c r="D2876" s="15">
        <v>75226.0</v>
      </c>
      <c r="F2876" s="15"/>
      <c r="G2876" s="26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28"/>
      <c r="AS2876" s="28"/>
      <c r="AT2876" s="28"/>
    </row>
    <row r="2877">
      <c r="A2877" s="10" t="s">
        <v>2614</v>
      </c>
      <c r="B2877" s="11">
        <v>100.0</v>
      </c>
      <c r="C2877" s="12" t="s">
        <v>1005</v>
      </c>
      <c r="D2877" s="15">
        <v>75214.0</v>
      </c>
      <c r="F2877" s="15"/>
      <c r="G2877" s="26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28"/>
      <c r="AS2877" s="28"/>
      <c r="AT2877" s="28"/>
    </row>
    <row r="2878">
      <c r="A2878" s="5" t="s">
        <v>2615</v>
      </c>
      <c r="B2878" s="6">
        <v>1000.0</v>
      </c>
      <c r="C2878" s="7" t="s">
        <v>1005</v>
      </c>
      <c r="D2878" s="15">
        <v>75201.0</v>
      </c>
      <c r="F2878" s="15"/>
      <c r="G2878" s="26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28"/>
      <c r="AS2878" s="28"/>
      <c r="AT2878" s="28"/>
    </row>
    <row r="2879">
      <c r="A2879" s="10" t="s">
        <v>2616</v>
      </c>
      <c r="B2879" s="11">
        <v>50.0</v>
      </c>
      <c r="C2879" s="12" t="s">
        <v>1005</v>
      </c>
      <c r="D2879" s="15">
        <v>75226.0</v>
      </c>
      <c r="F2879" s="15"/>
      <c r="G2879" s="26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28"/>
      <c r="AR2879" s="28"/>
      <c r="AS2879" s="28"/>
      <c r="AT2879" s="28"/>
    </row>
    <row r="2880">
      <c r="A2880" s="5" t="s">
        <v>2617</v>
      </c>
      <c r="B2880" s="6">
        <v>100.0</v>
      </c>
      <c r="C2880" s="7" t="s">
        <v>1005</v>
      </c>
      <c r="D2880" s="15">
        <v>75201.0</v>
      </c>
      <c r="F2880" s="15"/>
      <c r="G2880" s="26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28"/>
      <c r="AR2880" s="28"/>
      <c r="AS2880" s="28"/>
      <c r="AT2880" s="28"/>
    </row>
    <row r="2881">
      <c r="A2881" s="10" t="s">
        <v>2618</v>
      </c>
      <c r="B2881" s="11">
        <v>250.0</v>
      </c>
      <c r="C2881" s="12" t="s">
        <v>1005</v>
      </c>
      <c r="D2881" s="15">
        <v>75230.0</v>
      </c>
      <c r="F2881" s="15"/>
      <c r="G2881" s="26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</row>
    <row r="2882">
      <c r="A2882" s="5" t="s">
        <v>1536</v>
      </c>
      <c r="B2882" s="6">
        <v>100.0</v>
      </c>
      <c r="C2882" s="7" t="s">
        <v>1005</v>
      </c>
      <c r="D2882" s="15">
        <v>75204.0</v>
      </c>
      <c r="F2882" s="15"/>
      <c r="G2882" s="26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28"/>
      <c r="AS2882" s="28"/>
      <c r="AT2882" s="28"/>
    </row>
    <row r="2883">
      <c r="A2883" s="10" t="s">
        <v>2619</v>
      </c>
      <c r="B2883" s="11">
        <v>100.0</v>
      </c>
      <c r="C2883" s="12" t="s">
        <v>1005</v>
      </c>
      <c r="D2883" s="15">
        <v>75206.0</v>
      </c>
      <c r="F2883" s="15"/>
      <c r="G2883" s="26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28"/>
      <c r="AS2883" s="28"/>
      <c r="AT2883" s="28"/>
    </row>
    <row r="2884">
      <c r="A2884" s="5" t="s">
        <v>2620</v>
      </c>
      <c r="B2884" s="6">
        <v>50.0</v>
      </c>
      <c r="C2884" s="7" t="s">
        <v>1005</v>
      </c>
      <c r="D2884" s="15">
        <v>75201.0</v>
      </c>
      <c r="F2884" s="15"/>
      <c r="G2884" s="26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28"/>
      <c r="AS2884" s="28"/>
      <c r="AT2884" s="28"/>
    </row>
    <row r="2885">
      <c r="A2885" s="10" t="s">
        <v>2621</v>
      </c>
      <c r="B2885" s="11">
        <v>100.0</v>
      </c>
      <c r="C2885" s="12" t="s">
        <v>1005</v>
      </c>
      <c r="D2885" s="15">
        <v>75182.0</v>
      </c>
      <c r="F2885" s="15"/>
      <c r="G2885" s="26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</row>
    <row r="2886">
      <c r="A2886" s="5" t="s">
        <v>2622</v>
      </c>
      <c r="B2886" s="6">
        <v>2500.0</v>
      </c>
      <c r="C2886" s="7" t="s">
        <v>1005</v>
      </c>
      <c r="D2886" s="15">
        <v>78768.0</v>
      </c>
      <c r="F2886" s="15"/>
      <c r="G2886" s="26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28"/>
      <c r="AS2886" s="28"/>
      <c r="AT2886" s="28"/>
    </row>
    <row r="2887">
      <c r="A2887" s="10" t="s">
        <v>2623</v>
      </c>
      <c r="B2887" s="11">
        <v>50.0</v>
      </c>
      <c r="C2887" s="12" t="s">
        <v>1005</v>
      </c>
      <c r="D2887" s="15">
        <v>75218.0</v>
      </c>
      <c r="F2887" s="15"/>
      <c r="G2887" s="26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28"/>
      <c r="AS2887" s="28"/>
      <c r="AT2887" s="28"/>
    </row>
    <row r="2888">
      <c r="A2888" s="5" t="s">
        <v>2624</v>
      </c>
      <c r="B2888" s="6">
        <v>100.0</v>
      </c>
      <c r="C2888" s="7" t="s">
        <v>1005</v>
      </c>
      <c r="D2888" s="15">
        <v>75218.0</v>
      </c>
      <c r="F2888" s="15"/>
      <c r="G2888" s="26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28"/>
      <c r="AS2888" s="28"/>
      <c r="AT2888" s="28"/>
    </row>
    <row r="2889">
      <c r="A2889" s="10" t="s">
        <v>2625</v>
      </c>
      <c r="B2889" s="11">
        <v>1000.0</v>
      </c>
      <c r="C2889" s="12" t="s">
        <v>1005</v>
      </c>
      <c r="D2889" s="15">
        <v>75287.0</v>
      </c>
      <c r="F2889" s="15"/>
      <c r="G2889" s="26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28"/>
      <c r="AS2889" s="28"/>
      <c r="AT2889" s="28"/>
    </row>
    <row r="2890">
      <c r="A2890" s="5" t="s">
        <v>2626</v>
      </c>
      <c r="B2890" s="6">
        <v>50.0</v>
      </c>
      <c r="C2890" s="7" t="s">
        <v>1005</v>
      </c>
      <c r="D2890" s="15">
        <v>75228.0</v>
      </c>
      <c r="F2890" s="15"/>
      <c r="G2890" s="26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28"/>
      <c r="AS2890" s="28"/>
      <c r="AT2890" s="28"/>
    </row>
    <row r="2891">
      <c r="A2891" s="5" t="s">
        <v>2627</v>
      </c>
      <c r="B2891" s="6">
        <v>100.0</v>
      </c>
      <c r="C2891" s="7" t="s">
        <v>1005</v>
      </c>
      <c r="D2891" s="15">
        <v>78748.0</v>
      </c>
      <c r="F2891" s="15"/>
      <c r="G2891" s="26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28"/>
    </row>
    <row r="2892">
      <c r="A2892" s="10" t="s">
        <v>2628</v>
      </c>
      <c r="B2892" s="11">
        <v>100.0</v>
      </c>
      <c r="C2892" s="12" t="s">
        <v>1005</v>
      </c>
      <c r="D2892" s="15">
        <v>75230.0</v>
      </c>
      <c r="F2892" s="15"/>
      <c r="G2892" s="26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28"/>
    </row>
    <row r="2893">
      <c r="A2893" s="5" t="s">
        <v>2629</v>
      </c>
      <c r="B2893" s="6">
        <v>100.0</v>
      </c>
      <c r="C2893" s="7" t="s">
        <v>1005</v>
      </c>
      <c r="D2893" s="15">
        <v>75216.0</v>
      </c>
      <c r="F2893" s="15"/>
      <c r="G2893" s="26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28"/>
      <c r="AS2893" s="28"/>
      <c r="AT2893" s="28"/>
    </row>
    <row r="2894">
      <c r="A2894" s="10" t="s">
        <v>2630</v>
      </c>
      <c r="B2894" s="11">
        <v>250.0</v>
      </c>
      <c r="C2894" s="12" t="s">
        <v>1005</v>
      </c>
      <c r="D2894" s="15">
        <v>75214.0</v>
      </c>
      <c r="F2894" s="15"/>
      <c r="G2894" s="26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28"/>
      <c r="AS2894" s="28"/>
      <c r="AT2894" s="28"/>
    </row>
    <row r="2895">
      <c r="A2895" s="5" t="s">
        <v>2631</v>
      </c>
      <c r="B2895" s="6">
        <v>100.0</v>
      </c>
      <c r="C2895" s="7" t="s">
        <v>1005</v>
      </c>
      <c r="D2895" s="15">
        <v>75231.0</v>
      </c>
      <c r="F2895" s="15"/>
      <c r="G2895" s="26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28"/>
      <c r="AS2895" s="28"/>
      <c r="AT2895" s="28"/>
    </row>
    <row r="2896">
      <c r="A2896" s="10" t="s">
        <v>2632</v>
      </c>
      <c r="B2896" s="11">
        <v>1000.0</v>
      </c>
      <c r="C2896" s="12" t="s">
        <v>1005</v>
      </c>
      <c r="D2896" s="15">
        <v>75205.0</v>
      </c>
      <c r="F2896" s="15"/>
      <c r="G2896" s="26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28"/>
      <c r="AS2896" s="28"/>
      <c r="AT2896" s="28"/>
    </row>
    <row r="2897">
      <c r="A2897" s="5" t="s">
        <v>2633</v>
      </c>
      <c r="B2897" s="6">
        <v>250.0</v>
      </c>
      <c r="C2897" s="7" t="s">
        <v>1005</v>
      </c>
      <c r="D2897" s="15">
        <v>75376.0</v>
      </c>
      <c r="F2897" s="15"/>
      <c r="G2897" s="26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28"/>
      <c r="AS2897" s="28"/>
      <c r="AT2897" s="28"/>
    </row>
    <row r="2898">
      <c r="A2898" s="10" t="s">
        <v>2634</v>
      </c>
      <c r="B2898" s="11">
        <v>100.0</v>
      </c>
      <c r="C2898" s="12" t="s">
        <v>1005</v>
      </c>
      <c r="D2898" s="15">
        <v>75201.0</v>
      </c>
      <c r="F2898" s="15"/>
      <c r="G2898" s="26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28"/>
      <c r="AS2898" s="28"/>
      <c r="AT2898" s="28"/>
    </row>
    <row r="2899">
      <c r="A2899" s="5" t="s">
        <v>2635</v>
      </c>
      <c r="B2899" s="6">
        <v>50.0</v>
      </c>
      <c r="C2899" s="7" t="s">
        <v>1005</v>
      </c>
      <c r="D2899" s="15">
        <v>75214.0</v>
      </c>
      <c r="F2899" s="15"/>
      <c r="G2899" s="26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28"/>
      <c r="AS2899" s="28"/>
      <c r="AT2899" s="28"/>
    </row>
    <row r="2900">
      <c r="A2900" s="10" t="s">
        <v>2636</v>
      </c>
      <c r="B2900" s="11">
        <v>1000.0</v>
      </c>
      <c r="C2900" s="12" t="s">
        <v>1005</v>
      </c>
      <c r="D2900" s="15">
        <v>75214.0</v>
      </c>
      <c r="F2900" s="15"/>
      <c r="G2900" s="26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28"/>
      <c r="AS2900" s="28"/>
      <c r="AT2900" s="28"/>
    </row>
    <row r="2901">
      <c r="A2901" s="5" t="s">
        <v>2637</v>
      </c>
      <c r="B2901" s="6">
        <v>50.0</v>
      </c>
      <c r="C2901" s="7" t="s">
        <v>1005</v>
      </c>
      <c r="D2901" s="15">
        <v>75204.0</v>
      </c>
      <c r="F2901" s="15"/>
      <c r="G2901" s="26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28"/>
      <c r="AS2901" s="28"/>
      <c r="AT2901" s="28"/>
    </row>
    <row r="2902">
      <c r="A2902" s="10" t="s">
        <v>2638</v>
      </c>
      <c r="B2902" s="11">
        <v>50.0</v>
      </c>
      <c r="C2902" s="12" t="s">
        <v>1005</v>
      </c>
      <c r="D2902" s="15">
        <v>75234.0</v>
      </c>
      <c r="F2902" s="15"/>
      <c r="G2902" s="26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28"/>
      <c r="AS2902" s="28"/>
      <c r="AT2902" s="28"/>
    </row>
    <row r="2903">
      <c r="A2903" s="5" t="s">
        <v>2639</v>
      </c>
      <c r="B2903" s="6">
        <v>200.0</v>
      </c>
      <c r="C2903" s="7" t="s">
        <v>1005</v>
      </c>
      <c r="D2903" s="15">
        <v>75218.0</v>
      </c>
      <c r="F2903" s="15"/>
      <c r="G2903" s="26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28"/>
      <c r="AS2903" s="28"/>
      <c r="AT2903" s="28"/>
    </row>
    <row r="2904">
      <c r="A2904" s="10" t="s">
        <v>2640</v>
      </c>
      <c r="B2904" s="11">
        <v>100.0</v>
      </c>
      <c r="C2904" s="12" t="s">
        <v>1005</v>
      </c>
      <c r="D2904" s="15">
        <v>75228.0</v>
      </c>
      <c r="F2904" s="15"/>
      <c r="G2904" s="26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28"/>
      <c r="AS2904" s="28"/>
      <c r="AT2904" s="28"/>
    </row>
    <row r="2905">
      <c r="A2905" s="5" t="s">
        <v>2641</v>
      </c>
      <c r="B2905" s="6">
        <v>1000.0</v>
      </c>
      <c r="C2905" s="7" t="s">
        <v>1005</v>
      </c>
      <c r="D2905" s="15">
        <v>75207.0</v>
      </c>
      <c r="F2905" s="15"/>
      <c r="G2905" s="26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28"/>
      <c r="AS2905" s="28"/>
      <c r="AT2905" s="28"/>
    </row>
    <row r="2906">
      <c r="A2906" s="10" t="s">
        <v>2642</v>
      </c>
      <c r="B2906" s="11">
        <v>500.0</v>
      </c>
      <c r="C2906" s="12" t="s">
        <v>1005</v>
      </c>
      <c r="D2906" s="15">
        <v>75225.0</v>
      </c>
      <c r="F2906" s="15"/>
      <c r="G2906" s="26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8"/>
      <c r="AT2906" s="28"/>
    </row>
    <row r="2907">
      <c r="A2907" s="5" t="s">
        <v>2162</v>
      </c>
      <c r="B2907" s="6">
        <v>100.0</v>
      </c>
      <c r="C2907" s="7" t="s">
        <v>1005</v>
      </c>
      <c r="D2907" s="15">
        <v>75227.0</v>
      </c>
      <c r="F2907" s="15"/>
      <c r="G2907" s="26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28"/>
      <c r="AS2907" s="28"/>
      <c r="AT2907" s="28"/>
    </row>
    <row r="2908">
      <c r="A2908" s="10" t="s">
        <v>2643</v>
      </c>
      <c r="B2908" s="11">
        <v>500.0</v>
      </c>
      <c r="C2908" s="12" t="s">
        <v>1005</v>
      </c>
      <c r="D2908" s="15">
        <v>75218.0</v>
      </c>
      <c r="F2908" s="15"/>
      <c r="G2908" s="26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28"/>
      <c r="AS2908" s="28"/>
      <c r="AT2908" s="28"/>
    </row>
    <row r="2909">
      <c r="A2909" s="5" t="s">
        <v>2644</v>
      </c>
      <c r="B2909" s="6">
        <v>500.0</v>
      </c>
      <c r="C2909" s="7" t="s">
        <v>1005</v>
      </c>
      <c r="D2909" s="15">
        <v>75214.0</v>
      </c>
      <c r="F2909" s="15"/>
      <c r="G2909" s="26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28"/>
      <c r="AS2909" s="28"/>
      <c r="AT2909" s="28"/>
    </row>
    <row r="2910">
      <c r="A2910" s="10" t="s">
        <v>2645</v>
      </c>
      <c r="B2910" s="11">
        <v>200.0</v>
      </c>
      <c r="C2910" s="12" t="s">
        <v>1005</v>
      </c>
      <c r="D2910" s="15">
        <v>75214.0</v>
      </c>
      <c r="F2910" s="15"/>
      <c r="G2910" s="26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28"/>
      <c r="AS2910" s="28"/>
      <c r="AT2910" s="28"/>
    </row>
    <row r="2911">
      <c r="A2911" s="5" t="s">
        <v>2646</v>
      </c>
      <c r="B2911" s="6">
        <v>500.0</v>
      </c>
      <c r="C2911" s="7" t="s">
        <v>1005</v>
      </c>
      <c r="D2911" s="15">
        <v>75218.0</v>
      </c>
      <c r="F2911" s="15"/>
      <c r="G2911" s="26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28"/>
      <c r="AS2911" s="28"/>
      <c r="AT2911" s="28"/>
    </row>
    <row r="2912">
      <c r="A2912" s="10" t="s">
        <v>2647</v>
      </c>
      <c r="B2912" s="11">
        <v>100.0</v>
      </c>
      <c r="C2912" s="12" t="s">
        <v>1005</v>
      </c>
      <c r="D2912" s="15">
        <v>75228.0</v>
      </c>
      <c r="F2912" s="15"/>
      <c r="G2912" s="26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28"/>
      <c r="AS2912" s="28"/>
      <c r="AT2912" s="28"/>
    </row>
    <row r="2913">
      <c r="A2913" s="5" t="s">
        <v>2648</v>
      </c>
      <c r="B2913" s="6">
        <v>100.0</v>
      </c>
      <c r="C2913" s="7" t="s">
        <v>1005</v>
      </c>
      <c r="D2913" s="15">
        <v>75215.0</v>
      </c>
      <c r="F2913" s="15"/>
      <c r="G2913" s="26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28"/>
      <c r="AS2913" s="28"/>
      <c r="AT2913" s="28"/>
    </row>
    <row r="2914">
      <c r="A2914" s="10" t="s">
        <v>2649</v>
      </c>
      <c r="B2914" s="11">
        <v>100.0</v>
      </c>
      <c r="C2914" s="12" t="s">
        <v>1005</v>
      </c>
      <c r="D2914" s="15">
        <v>75215.0</v>
      </c>
      <c r="F2914" s="15"/>
      <c r="G2914" s="26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28"/>
      <c r="AS2914" s="28"/>
      <c r="AT2914" s="28"/>
    </row>
    <row r="2915">
      <c r="A2915" s="5" t="s">
        <v>2650</v>
      </c>
      <c r="B2915" s="6">
        <v>100.0</v>
      </c>
      <c r="C2915" s="7" t="s">
        <v>1005</v>
      </c>
      <c r="D2915" s="15">
        <v>75208.0</v>
      </c>
      <c r="F2915" s="15"/>
      <c r="G2915" s="26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28"/>
      <c r="AS2915" s="28"/>
      <c r="AT2915" s="28"/>
    </row>
    <row r="2916">
      <c r="A2916" s="10" t="s">
        <v>2651</v>
      </c>
      <c r="B2916" s="11">
        <v>500.0</v>
      </c>
      <c r="C2916" s="12" t="s">
        <v>1005</v>
      </c>
      <c r="D2916" s="15">
        <v>75218.0</v>
      </c>
      <c r="F2916" s="15"/>
      <c r="G2916" s="26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28"/>
      <c r="AS2916" s="28"/>
      <c r="AT2916" s="28"/>
    </row>
    <row r="2917">
      <c r="A2917" s="5" t="s">
        <v>2652</v>
      </c>
      <c r="B2917" s="6">
        <v>50.0</v>
      </c>
      <c r="C2917" s="7" t="s">
        <v>1005</v>
      </c>
      <c r="D2917" s="15">
        <v>75223.0</v>
      </c>
      <c r="F2917" s="15"/>
      <c r="G2917" s="26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28"/>
      <c r="AS2917" s="28"/>
      <c r="AT2917" s="28"/>
    </row>
    <row r="2918">
      <c r="A2918" s="10" t="s">
        <v>2653</v>
      </c>
      <c r="B2918" s="11">
        <v>100.0</v>
      </c>
      <c r="C2918" s="12" t="s">
        <v>1005</v>
      </c>
      <c r="D2918" s="15">
        <v>75214.0</v>
      </c>
      <c r="F2918" s="15"/>
      <c r="G2918" s="26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28"/>
      <c r="AS2918" s="28"/>
      <c r="AT2918" s="28"/>
    </row>
    <row r="2919">
      <c r="A2919" s="5" t="s">
        <v>2654</v>
      </c>
      <c r="B2919" s="6">
        <v>100.0</v>
      </c>
      <c r="C2919" s="7" t="s">
        <v>1005</v>
      </c>
      <c r="D2919" s="15">
        <v>75227.0</v>
      </c>
      <c r="F2919" s="15"/>
      <c r="G2919" s="26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28"/>
      <c r="AS2919" s="28"/>
      <c r="AT2919" s="28"/>
    </row>
    <row r="2920">
      <c r="A2920" s="10" t="s">
        <v>2655</v>
      </c>
      <c r="B2920" s="11">
        <v>250.0</v>
      </c>
      <c r="C2920" s="12" t="s">
        <v>1005</v>
      </c>
      <c r="D2920" s="15">
        <v>75016.0</v>
      </c>
      <c r="F2920" s="15"/>
      <c r="G2920" s="26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</row>
    <row r="2921">
      <c r="A2921" s="5" t="s">
        <v>2656</v>
      </c>
      <c r="B2921" s="6">
        <v>500.0</v>
      </c>
      <c r="C2921" s="7" t="s">
        <v>1005</v>
      </c>
      <c r="D2921" s="15">
        <v>75204.0</v>
      </c>
      <c r="F2921" s="15"/>
      <c r="G2921" s="26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28"/>
      <c r="AS2921" s="28"/>
      <c r="AT2921" s="28"/>
    </row>
    <row r="2922">
      <c r="A2922" s="10" t="s">
        <v>2657</v>
      </c>
      <c r="B2922" s="11">
        <v>50.0</v>
      </c>
      <c r="C2922" s="12" t="s">
        <v>1005</v>
      </c>
      <c r="D2922" s="15">
        <v>75225.0</v>
      </c>
      <c r="F2922" s="15"/>
      <c r="G2922" s="26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8"/>
      <c r="AT2922" s="28"/>
    </row>
    <row r="2923">
      <c r="A2923" s="5" t="s">
        <v>2658</v>
      </c>
      <c r="B2923" s="6">
        <v>1000.0</v>
      </c>
      <c r="C2923" s="7" t="s">
        <v>1005</v>
      </c>
      <c r="D2923" s="15">
        <v>75214.0</v>
      </c>
      <c r="F2923" s="15"/>
      <c r="G2923" s="26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28"/>
      <c r="AS2923" s="28"/>
      <c r="AT2923" s="28"/>
    </row>
    <row r="2924">
      <c r="A2924" s="10" t="s">
        <v>2659</v>
      </c>
      <c r="B2924" s="11">
        <v>50.0</v>
      </c>
      <c r="C2924" s="12" t="s">
        <v>1005</v>
      </c>
      <c r="D2924" s="15">
        <v>75218.0</v>
      </c>
      <c r="F2924" s="15"/>
      <c r="G2924" s="26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28"/>
      <c r="AS2924" s="28"/>
      <c r="AT2924" s="28"/>
    </row>
    <row r="2925">
      <c r="A2925" s="5" t="s">
        <v>2660</v>
      </c>
      <c r="B2925" s="6">
        <v>250.0</v>
      </c>
      <c r="C2925" s="7" t="s">
        <v>1005</v>
      </c>
      <c r="D2925" s="15">
        <v>75214.0</v>
      </c>
      <c r="F2925" s="15"/>
      <c r="G2925" s="26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28"/>
      <c r="AS2925" s="28"/>
      <c r="AT2925" s="28"/>
    </row>
    <row r="2926">
      <c r="A2926" s="10" t="s">
        <v>2661</v>
      </c>
      <c r="B2926" s="11">
        <v>250.0</v>
      </c>
      <c r="C2926" s="12" t="s">
        <v>1005</v>
      </c>
      <c r="D2926" s="15">
        <v>75214.0</v>
      </c>
      <c r="F2926" s="15"/>
      <c r="G2926" s="26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28"/>
      <c r="AS2926" s="28"/>
      <c r="AT2926" s="28"/>
    </row>
    <row r="2927">
      <c r="A2927" s="5" t="s">
        <v>1046</v>
      </c>
      <c r="B2927" s="6">
        <v>500.0</v>
      </c>
      <c r="C2927" s="7" t="s">
        <v>1005</v>
      </c>
      <c r="D2927" s="15">
        <v>75214.0</v>
      </c>
      <c r="F2927" s="15"/>
      <c r="G2927" s="26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28"/>
      <c r="AS2927" s="28"/>
      <c r="AT2927" s="28"/>
    </row>
    <row r="2928">
      <c r="A2928" s="10" t="s">
        <v>2662</v>
      </c>
      <c r="B2928" s="11">
        <v>1000.0</v>
      </c>
      <c r="C2928" s="12" t="s">
        <v>1005</v>
      </c>
      <c r="D2928" s="15">
        <v>75229.0</v>
      </c>
      <c r="F2928" s="15"/>
      <c r="G2928" s="26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28"/>
      <c r="AS2928" s="28"/>
      <c r="AT2928" s="28"/>
    </row>
    <row r="2929">
      <c r="A2929" s="5" t="s">
        <v>2663</v>
      </c>
      <c r="B2929" s="6">
        <v>500.0</v>
      </c>
      <c r="C2929" s="7" t="s">
        <v>1005</v>
      </c>
      <c r="D2929" s="15">
        <v>75214.0</v>
      </c>
      <c r="F2929" s="15"/>
      <c r="G2929" s="26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28"/>
      <c r="AS2929" s="28"/>
      <c r="AT2929" s="28"/>
    </row>
    <row r="2930">
      <c r="A2930" s="10" t="s">
        <v>2664</v>
      </c>
      <c r="B2930" s="11">
        <v>100.0</v>
      </c>
      <c r="C2930" s="12" t="s">
        <v>1005</v>
      </c>
      <c r="D2930" s="15">
        <v>75214.0</v>
      </c>
      <c r="F2930" s="15"/>
      <c r="G2930" s="26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28"/>
      <c r="AS2930" s="28"/>
      <c r="AT2930" s="28"/>
    </row>
    <row r="2931">
      <c r="A2931" s="5" t="s">
        <v>2665</v>
      </c>
      <c r="B2931" s="6">
        <v>500.0</v>
      </c>
      <c r="C2931" s="7" t="s">
        <v>1005</v>
      </c>
      <c r="D2931" s="15">
        <v>75219.0</v>
      </c>
      <c r="F2931" s="15"/>
      <c r="G2931" s="26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</row>
    <row r="2932">
      <c r="A2932" s="10" t="s">
        <v>2666</v>
      </c>
      <c r="B2932" s="11">
        <v>250.0</v>
      </c>
      <c r="C2932" s="12" t="s">
        <v>1005</v>
      </c>
      <c r="D2932" s="15">
        <v>75214.0</v>
      </c>
      <c r="F2932" s="15"/>
      <c r="G2932" s="26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28"/>
      <c r="AS2932" s="28"/>
      <c r="AT2932" s="28"/>
    </row>
    <row r="2933">
      <c r="A2933" s="5" t="s">
        <v>2667</v>
      </c>
      <c r="B2933" s="6">
        <v>150.0</v>
      </c>
      <c r="C2933" s="7" t="s">
        <v>1005</v>
      </c>
      <c r="D2933" s="15">
        <v>75214.0</v>
      </c>
      <c r="F2933" s="15"/>
      <c r="G2933" s="26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28"/>
      <c r="AS2933" s="28"/>
      <c r="AT2933" s="28"/>
    </row>
    <row r="2934">
      <c r="A2934" s="10" t="s">
        <v>2668</v>
      </c>
      <c r="B2934" s="11">
        <v>250.0</v>
      </c>
      <c r="C2934" s="12" t="s">
        <v>1005</v>
      </c>
      <c r="D2934" s="15">
        <v>75218.0</v>
      </c>
      <c r="F2934" s="15"/>
      <c r="G2934" s="26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</row>
    <row r="2935">
      <c r="A2935" s="5" t="s">
        <v>2669</v>
      </c>
      <c r="B2935" s="6">
        <v>250.0</v>
      </c>
      <c r="C2935" s="7" t="s">
        <v>1005</v>
      </c>
      <c r="D2935" s="15">
        <v>75214.0</v>
      </c>
      <c r="F2935" s="15"/>
      <c r="G2935" s="26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28"/>
      <c r="AS2935" s="28"/>
      <c r="AT2935" s="28"/>
    </row>
    <row r="2936">
      <c r="A2936" s="10" t="s">
        <v>2670</v>
      </c>
      <c r="B2936" s="11">
        <v>250.0</v>
      </c>
      <c r="C2936" s="12" t="s">
        <v>1005</v>
      </c>
      <c r="D2936" s="15">
        <v>75204.0</v>
      </c>
      <c r="F2936" s="15"/>
      <c r="G2936" s="26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28"/>
      <c r="AS2936" s="28"/>
      <c r="AT2936" s="28"/>
    </row>
    <row r="2937">
      <c r="A2937" s="5" t="s">
        <v>2671</v>
      </c>
      <c r="B2937" s="6">
        <v>100.0</v>
      </c>
      <c r="C2937" s="7" t="s">
        <v>1005</v>
      </c>
      <c r="D2937" s="15">
        <v>75218.0</v>
      </c>
      <c r="F2937" s="15"/>
      <c r="G2937" s="26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28"/>
      <c r="AS2937" s="28"/>
      <c r="AT2937" s="28"/>
    </row>
    <row r="2938">
      <c r="A2938" s="10" t="s">
        <v>2672</v>
      </c>
      <c r="B2938" s="11">
        <v>1000.0</v>
      </c>
      <c r="C2938" s="12" t="s">
        <v>1005</v>
      </c>
      <c r="D2938" s="15">
        <v>75225.0</v>
      </c>
      <c r="F2938" s="15"/>
      <c r="G2938" s="26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28"/>
      <c r="AS2938" s="28"/>
      <c r="AT2938" s="28"/>
    </row>
    <row r="2939">
      <c r="A2939" s="5" t="s">
        <v>2673</v>
      </c>
      <c r="B2939" s="6">
        <v>100.0</v>
      </c>
      <c r="C2939" s="7" t="s">
        <v>1005</v>
      </c>
      <c r="D2939" s="15">
        <v>75214.0</v>
      </c>
      <c r="F2939" s="15"/>
      <c r="G2939" s="26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28"/>
      <c r="AS2939" s="28"/>
      <c r="AT2939" s="28"/>
    </row>
    <row r="2940">
      <c r="A2940" s="10" t="s">
        <v>2674</v>
      </c>
      <c r="B2940" s="11">
        <v>100.0</v>
      </c>
      <c r="C2940" s="12" t="s">
        <v>1005</v>
      </c>
      <c r="D2940" s="15">
        <v>75214.0</v>
      </c>
      <c r="F2940" s="15"/>
      <c r="G2940" s="26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28"/>
      <c r="AS2940" s="28"/>
      <c r="AT2940" s="28"/>
    </row>
    <row r="2941">
      <c r="A2941" s="5" t="s">
        <v>2675</v>
      </c>
      <c r="B2941" s="6">
        <v>100.0</v>
      </c>
      <c r="C2941" s="7" t="s">
        <v>1005</v>
      </c>
      <c r="D2941" s="15">
        <v>75214.0</v>
      </c>
      <c r="F2941" s="15"/>
      <c r="G2941" s="26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28"/>
      <c r="AS2941" s="28"/>
      <c r="AT2941" s="28"/>
    </row>
    <row r="2942">
      <c r="A2942" s="10" t="s">
        <v>1924</v>
      </c>
      <c r="B2942" s="11">
        <v>250.0</v>
      </c>
      <c r="C2942" s="12" t="s">
        <v>1005</v>
      </c>
      <c r="D2942" s="15">
        <v>75218.0</v>
      </c>
      <c r="F2942" s="15"/>
      <c r="G2942" s="26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28"/>
      <c r="AS2942" s="28"/>
      <c r="AT2942" s="28"/>
    </row>
    <row r="2943">
      <c r="A2943" s="5" t="s">
        <v>1012</v>
      </c>
      <c r="B2943" s="6">
        <v>250.0</v>
      </c>
      <c r="C2943" s="7" t="s">
        <v>1005</v>
      </c>
      <c r="D2943" s="15">
        <v>75230.0</v>
      </c>
      <c r="F2943" s="15"/>
      <c r="G2943" s="26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28"/>
      <c r="AS2943" s="28"/>
      <c r="AT2943" s="28"/>
    </row>
    <row r="2944">
      <c r="A2944" s="10" t="s">
        <v>2676</v>
      </c>
      <c r="B2944" s="11">
        <v>1000.0</v>
      </c>
      <c r="C2944" s="12" t="s">
        <v>1005</v>
      </c>
      <c r="D2944" s="15">
        <v>75214.0</v>
      </c>
      <c r="F2944" s="15"/>
      <c r="G2944" s="26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28"/>
      <c r="AS2944" s="28"/>
      <c r="AT2944" s="28"/>
    </row>
    <row r="2945">
      <c r="A2945" s="5" t="s">
        <v>2677</v>
      </c>
      <c r="B2945" s="6">
        <v>1000.0</v>
      </c>
      <c r="C2945" s="7" t="s">
        <v>1005</v>
      </c>
      <c r="D2945" s="15">
        <v>75205.0</v>
      </c>
      <c r="F2945" s="15"/>
      <c r="G2945" s="26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28"/>
      <c r="AS2945" s="28"/>
      <c r="AT2945" s="28"/>
    </row>
    <row r="2946">
      <c r="A2946" s="10" t="s">
        <v>2678</v>
      </c>
      <c r="B2946" s="11">
        <v>500.0</v>
      </c>
      <c r="C2946" s="12" t="s">
        <v>1005</v>
      </c>
      <c r="D2946" s="15">
        <v>75205.0</v>
      </c>
      <c r="F2946" s="15"/>
      <c r="G2946" s="26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28"/>
      <c r="AS2946" s="28"/>
      <c r="AT2946" s="28"/>
    </row>
    <row r="2947">
      <c r="A2947" s="5" t="s">
        <v>2679</v>
      </c>
      <c r="B2947" s="6">
        <v>250.0</v>
      </c>
      <c r="C2947" s="7" t="s">
        <v>1005</v>
      </c>
      <c r="D2947" s="15">
        <v>75214.0</v>
      </c>
      <c r="F2947" s="15"/>
      <c r="G2947" s="26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28"/>
      <c r="AS2947" s="28"/>
      <c r="AT2947" s="28"/>
    </row>
    <row r="2948">
      <c r="A2948" s="10" t="s">
        <v>2680</v>
      </c>
      <c r="B2948" s="11">
        <v>500.0</v>
      </c>
      <c r="C2948" s="12" t="s">
        <v>1005</v>
      </c>
      <c r="D2948" s="15">
        <v>75209.0</v>
      </c>
      <c r="F2948" s="15"/>
      <c r="G2948" s="26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</row>
    <row r="2949">
      <c r="A2949" s="5" t="s">
        <v>2681</v>
      </c>
      <c r="B2949" s="6">
        <v>1000.0</v>
      </c>
      <c r="C2949" s="7" t="s">
        <v>1005</v>
      </c>
      <c r="D2949" s="15">
        <v>75247.0</v>
      </c>
      <c r="F2949" s="15"/>
      <c r="G2949" s="26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28"/>
      <c r="AS2949" s="28"/>
      <c r="AT2949" s="28"/>
    </row>
    <row r="2950">
      <c r="A2950" s="10" t="s">
        <v>2682</v>
      </c>
      <c r="B2950" s="11">
        <v>250.0</v>
      </c>
      <c r="C2950" s="12" t="s">
        <v>1005</v>
      </c>
      <c r="D2950" s="15">
        <v>75219.0</v>
      </c>
      <c r="F2950" s="15"/>
      <c r="G2950" s="26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28"/>
      <c r="AS2950" s="28"/>
      <c r="AT2950" s="28"/>
    </row>
    <row r="2951">
      <c r="A2951" s="5"/>
      <c r="B2951" s="6"/>
      <c r="C2951" s="7"/>
      <c r="D2951" s="15"/>
      <c r="F2951" s="15"/>
      <c r="G2951" s="26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28"/>
      <c r="AS2951" s="28"/>
      <c r="AT2951" s="28"/>
    </row>
    <row r="2952">
      <c r="A2952" s="10"/>
      <c r="B2952" s="11"/>
      <c r="C2952" s="12"/>
      <c r="D2952" s="15"/>
      <c r="F2952" s="15"/>
      <c r="G2952" s="26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28"/>
      <c r="AS2952" s="28"/>
      <c r="AT2952" s="28"/>
    </row>
    <row r="2953">
      <c r="A2953" s="5" t="s">
        <v>2685</v>
      </c>
      <c r="B2953" s="6">
        <v>1000.0</v>
      </c>
      <c r="C2953" s="7" t="s">
        <v>2055</v>
      </c>
      <c r="D2953" s="15">
        <v>75201.0</v>
      </c>
      <c r="F2953" s="15"/>
      <c r="G2953" s="26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28"/>
      <c r="AS2953" s="28"/>
      <c r="AT2953" s="28"/>
    </row>
    <row r="2954">
      <c r="A2954" s="10" t="s">
        <v>2505</v>
      </c>
      <c r="B2954" s="11">
        <v>1000.0</v>
      </c>
      <c r="C2954" s="12" t="s">
        <v>2055</v>
      </c>
      <c r="D2954" s="15">
        <v>75205.0</v>
      </c>
      <c r="F2954" s="15"/>
      <c r="G2954" s="26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28"/>
      <c r="AS2954" s="28"/>
      <c r="AT2954" s="28"/>
    </row>
    <row r="2955">
      <c r="A2955" s="5" t="s">
        <v>2686</v>
      </c>
      <c r="B2955" s="6">
        <v>1000.0</v>
      </c>
      <c r="C2955" s="7" t="s">
        <v>35</v>
      </c>
      <c r="D2955" s="15">
        <v>78760.0</v>
      </c>
      <c r="F2955" s="15"/>
      <c r="G2955" s="26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28"/>
      <c r="AS2955" s="28"/>
      <c r="AT2955" s="28"/>
    </row>
    <row r="2956">
      <c r="A2956" s="5" t="s">
        <v>2687</v>
      </c>
      <c r="B2956" s="6">
        <v>1000.0</v>
      </c>
      <c r="C2956" s="7" t="s">
        <v>35</v>
      </c>
      <c r="D2956" s="15">
        <v>75201.0</v>
      </c>
      <c r="F2956" s="15"/>
      <c r="G2956" s="26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</row>
    <row r="2957">
      <c r="A2957" s="5" t="s">
        <v>2688</v>
      </c>
      <c r="B2957" s="6">
        <v>500.0</v>
      </c>
      <c r="C2957" s="7" t="s">
        <v>35</v>
      </c>
      <c r="D2957" s="15">
        <v>75201.0</v>
      </c>
      <c r="F2957" s="15"/>
      <c r="G2957" s="26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28"/>
      <c r="AS2957" s="28"/>
      <c r="AT2957" s="28"/>
    </row>
    <row r="2958">
      <c r="A2958" s="5" t="s">
        <v>2689</v>
      </c>
      <c r="B2958" s="6">
        <v>250.0</v>
      </c>
      <c r="C2958" s="7" t="s">
        <v>35</v>
      </c>
      <c r="D2958" s="15">
        <v>75214.0</v>
      </c>
      <c r="F2958" s="15"/>
      <c r="G2958" s="26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28"/>
      <c r="AS2958" s="28"/>
      <c r="AT2958" s="28"/>
    </row>
    <row r="2959">
      <c r="A2959" s="5" t="s">
        <v>2690</v>
      </c>
      <c r="B2959" s="6">
        <v>500.0</v>
      </c>
      <c r="C2959" s="7" t="s">
        <v>35</v>
      </c>
      <c r="D2959" s="15">
        <v>75237.0</v>
      </c>
      <c r="F2959" s="15"/>
      <c r="G2959" s="26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28"/>
      <c r="AS2959" s="28"/>
      <c r="AT2959" s="28"/>
    </row>
    <row r="2960">
      <c r="A2960" s="5" t="s">
        <v>2691</v>
      </c>
      <c r="B2960" s="6">
        <v>50.0</v>
      </c>
      <c r="C2960" s="7" t="s">
        <v>35</v>
      </c>
      <c r="D2960" s="15">
        <v>75219.0</v>
      </c>
      <c r="F2960" s="15"/>
      <c r="G2960" s="26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28"/>
      <c r="AS2960" s="28"/>
      <c r="AT2960" s="28"/>
    </row>
    <row r="2961">
      <c r="A2961" s="5" t="s">
        <v>195</v>
      </c>
      <c r="B2961" s="6">
        <v>125.0</v>
      </c>
      <c r="C2961" s="7" t="s">
        <v>35</v>
      </c>
      <c r="D2961" s="15">
        <v>75220.0</v>
      </c>
      <c r="F2961" s="15"/>
      <c r="G2961" s="26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28"/>
      <c r="AS2961" s="28"/>
      <c r="AT2961" s="28"/>
    </row>
    <row r="2962">
      <c r="A2962" s="5" t="s">
        <v>396</v>
      </c>
      <c r="B2962" s="6">
        <v>250.0</v>
      </c>
      <c r="C2962" s="7" t="s">
        <v>35</v>
      </c>
      <c r="D2962" s="15">
        <v>75208.0</v>
      </c>
      <c r="F2962" s="15"/>
      <c r="G2962" s="26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8"/>
      <c r="AT2962" s="28"/>
    </row>
    <row r="2963">
      <c r="A2963" s="5" t="s">
        <v>40</v>
      </c>
      <c r="B2963" s="6">
        <v>250.0</v>
      </c>
      <c r="C2963" s="7" t="s">
        <v>35</v>
      </c>
      <c r="D2963" s="15">
        <v>75219.0</v>
      </c>
      <c r="F2963" s="15"/>
      <c r="G2963" s="26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28"/>
      <c r="AS2963" s="28"/>
      <c r="AT2963" s="28"/>
    </row>
    <row r="2964">
      <c r="A2964" s="5" t="s">
        <v>2692</v>
      </c>
      <c r="B2964" s="6">
        <v>50.0</v>
      </c>
      <c r="C2964" s="7" t="s">
        <v>35</v>
      </c>
      <c r="D2964" s="15">
        <v>75211.0</v>
      </c>
      <c r="F2964" s="15"/>
      <c r="G2964" s="26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28"/>
      <c r="AS2964" s="28"/>
      <c r="AT2964" s="28"/>
    </row>
    <row r="2965">
      <c r="A2965" s="5" t="s">
        <v>2693</v>
      </c>
      <c r="B2965" s="6">
        <v>100.0</v>
      </c>
      <c r="C2965" s="7" t="s">
        <v>35</v>
      </c>
      <c r="D2965" s="15">
        <v>75009.0</v>
      </c>
      <c r="F2965" s="15"/>
      <c r="G2965" s="26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28"/>
      <c r="AS2965" s="28"/>
      <c r="AT2965" s="28"/>
    </row>
    <row r="2966">
      <c r="A2966" s="5" t="s">
        <v>2694</v>
      </c>
      <c r="B2966" s="6">
        <v>150.0</v>
      </c>
      <c r="C2966" s="7" t="s">
        <v>35</v>
      </c>
      <c r="D2966" s="15">
        <v>75052.0</v>
      </c>
      <c r="F2966" s="15"/>
      <c r="G2966" s="26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28"/>
      <c r="AS2966" s="28"/>
      <c r="AT2966" s="28"/>
    </row>
    <row r="2967">
      <c r="A2967" s="5" t="s">
        <v>2695</v>
      </c>
      <c r="B2967" s="6">
        <v>500.0</v>
      </c>
      <c r="C2967" s="7" t="s">
        <v>35</v>
      </c>
      <c r="D2967" s="15">
        <v>75207.0</v>
      </c>
      <c r="F2967" s="15"/>
      <c r="G2967" s="26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28"/>
      <c r="AS2967" s="28"/>
      <c r="AT2967" s="28"/>
    </row>
    <row r="2968">
      <c r="A2968" s="5" t="s">
        <v>1525</v>
      </c>
      <c r="B2968" s="6">
        <v>100.0</v>
      </c>
      <c r="C2968" s="7" t="s">
        <v>35</v>
      </c>
      <c r="D2968" s="15">
        <v>75202.0</v>
      </c>
      <c r="F2968" s="15"/>
      <c r="G2968" s="26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28"/>
      <c r="AS2968" s="28"/>
      <c r="AT2968" s="28"/>
    </row>
    <row r="2969">
      <c r="A2969" s="5" t="s">
        <v>2696</v>
      </c>
      <c r="B2969" s="6">
        <v>250.0</v>
      </c>
      <c r="C2969" s="7" t="s">
        <v>35</v>
      </c>
      <c r="D2969" s="15">
        <v>75219.0</v>
      </c>
      <c r="F2969" s="15"/>
      <c r="G2969" s="26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28"/>
      <c r="AS2969" s="28"/>
      <c r="AT2969" s="28"/>
    </row>
    <row r="2970">
      <c r="A2970" s="5" t="s">
        <v>2697</v>
      </c>
      <c r="B2970" s="6">
        <v>1000.0</v>
      </c>
      <c r="C2970" s="7" t="s">
        <v>35</v>
      </c>
      <c r="D2970" s="15">
        <v>76225.0</v>
      </c>
      <c r="F2970" s="15"/>
      <c r="G2970" s="26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28"/>
      <c r="AS2970" s="28"/>
      <c r="AT2970" s="28"/>
    </row>
    <row r="2971">
      <c r="A2971" s="5" t="s">
        <v>2698</v>
      </c>
      <c r="B2971" s="6">
        <v>2000.0</v>
      </c>
      <c r="C2971" s="7" t="s">
        <v>241</v>
      </c>
      <c r="D2971" s="15">
        <v>75214.0</v>
      </c>
      <c r="F2971" s="15"/>
      <c r="G2971" s="26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28"/>
      <c r="AS2971" s="28"/>
      <c r="AT2971" s="28"/>
    </row>
    <row r="2972">
      <c r="A2972" s="10" t="s">
        <v>2698</v>
      </c>
      <c r="B2972" s="11">
        <v>2000.0</v>
      </c>
      <c r="C2972" s="12" t="s">
        <v>241</v>
      </c>
      <c r="D2972" s="15">
        <v>75214.0</v>
      </c>
      <c r="F2972" s="15"/>
      <c r="G2972" s="26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28"/>
      <c r="AS2972" s="28"/>
      <c r="AT2972" s="28"/>
    </row>
    <row r="2973">
      <c r="A2973" s="5" t="s">
        <v>1162</v>
      </c>
      <c r="B2973" s="6">
        <v>300.0</v>
      </c>
      <c r="C2973" s="7" t="s">
        <v>627</v>
      </c>
      <c r="D2973" s="15">
        <v>75206.0</v>
      </c>
      <c r="F2973" s="15"/>
      <c r="G2973" s="26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28"/>
      <c r="AS2973" s="28"/>
      <c r="AT2973" s="28"/>
    </row>
    <row r="2974">
      <c r="A2974" s="5" t="s">
        <v>2699</v>
      </c>
      <c r="B2974" s="6">
        <v>100.0</v>
      </c>
      <c r="C2974" s="7" t="s">
        <v>627</v>
      </c>
      <c r="D2974" s="15">
        <v>12345.0</v>
      </c>
      <c r="F2974" s="15"/>
      <c r="G2974" s="26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28"/>
      <c r="AS2974" s="28"/>
      <c r="AT2974" s="28"/>
    </row>
    <row r="2975">
      <c r="A2975" s="5" t="s">
        <v>2700</v>
      </c>
      <c r="B2975" s="6">
        <v>150.0</v>
      </c>
      <c r="C2975" s="7" t="s">
        <v>50</v>
      </c>
      <c r="D2975" s="15">
        <v>75206.0</v>
      </c>
      <c r="F2975" s="15"/>
      <c r="G2975" s="26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28"/>
      <c r="AS2975" s="28"/>
      <c r="AT2975" s="28"/>
    </row>
    <row r="2976">
      <c r="A2976" s="5" t="s">
        <v>2700</v>
      </c>
      <c r="B2976" s="6">
        <v>100.0</v>
      </c>
      <c r="C2976" s="7" t="s">
        <v>50</v>
      </c>
      <c r="D2976" s="15">
        <v>75206.0</v>
      </c>
      <c r="F2976" s="15"/>
      <c r="G2976" s="26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28"/>
      <c r="AS2976" s="28"/>
      <c r="AT2976" s="28"/>
    </row>
    <row r="2977">
      <c r="A2977" s="5" t="s">
        <v>2701</v>
      </c>
      <c r="B2977" s="6">
        <v>500.0</v>
      </c>
      <c r="C2977" s="7" t="s">
        <v>50</v>
      </c>
      <c r="D2977" s="15">
        <v>75205.0</v>
      </c>
      <c r="F2977" s="15"/>
      <c r="G2977" s="26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28"/>
      <c r="AS2977" s="28"/>
      <c r="AT2977" s="28"/>
    </row>
    <row r="2978">
      <c r="A2978" s="5" t="s">
        <v>2702</v>
      </c>
      <c r="B2978" s="6">
        <v>1000.0</v>
      </c>
      <c r="C2978" s="7" t="s">
        <v>50</v>
      </c>
      <c r="D2978" s="15">
        <v>75067.0</v>
      </c>
      <c r="F2978" s="15"/>
      <c r="G2978" s="26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28"/>
      <c r="AT2978" s="28"/>
    </row>
    <row r="2979">
      <c r="A2979" s="5" t="s">
        <v>2703</v>
      </c>
      <c r="B2979" s="6">
        <v>1000.0</v>
      </c>
      <c r="C2979" s="7" t="s">
        <v>50</v>
      </c>
      <c r="D2979" s="15">
        <v>75201.0</v>
      </c>
      <c r="F2979" s="15"/>
      <c r="G2979" s="26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28"/>
      <c r="AS2979" s="28"/>
      <c r="AT2979" s="28"/>
    </row>
    <row r="2980">
      <c r="A2980" s="5" t="s">
        <v>2704</v>
      </c>
      <c r="B2980" s="6">
        <v>500.0</v>
      </c>
      <c r="C2980" s="7" t="s">
        <v>1238</v>
      </c>
      <c r="D2980" s="15">
        <v>75238.0</v>
      </c>
      <c r="F2980" s="15"/>
      <c r="G2980" s="26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28"/>
      <c r="AS2980" s="28"/>
      <c r="AT2980" s="28"/>
    </row>
    <row r="2981">
      <c r="A2981" s="10" t="s">
        <v>1344</v>
      </c>
      <c r="B2981" s="11">
        <v>50.0</v>
      </c>
      <c r="C2981" s="12" t="s">
        <v>1238</v>
      </c>
      <c r="D2981" s="15">
        <v>75231.0</v>
      </c>
      <c r="F2981" s="15"/>
      <c r="G2981" s="26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</row>
    <row r="2982">
      <c r="A2982" s="5" t="s">
        <v>2705</v>
      </c>
      <c r="B2982" s="6">
        <v>1000.0</v>
      </c>
      <c r="C2982" s="7" t="s">
        <v>1238</v>
      </c>
      <c r="D2982" s="15">
        <v>78756.0</v>
      </c>
      <c r="F2982" s="15"/>
      <c r="G2982" s="26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28"/>
      <c r="AS2982" s="28"/>
      <c r="AT2982" s="28"/>
    </row>
    <row r="2983">
      <c r="A2983" s="10" t="s">
        <v>2706</v>
      </c>
      <c r="B2983" s="11">
        <v>50.0</v>
      </c>
      <c r="C2983" s="12" t="s">
        <v>1238</v>
      </c>
      <c r="D2983" s="15">
        <v>75082.0</v>
      </c>
      <c r="F2983" s="15"/>
      <c r="G2983" s="26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28"/>
      <c r="AS2983" s="28"/>
      <c r="AT2983" s="28"/>
    </row>
    <row r="2984">
      <c r="A2984" s="5" t="s">
        <v>2707</v>
      </c>
      <c r="B2984" s="6">
        <v>50.0</v>
      </c>
      <c r="C2984" s="7" t="s">
        <v>1238</v>
      </c>
      <c r="D2984" s="15">
        <v>75082.0</v>
      </c>
      <c r="F2984" s="15"/>
      <c r="G2984" s="26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28"/>
      <c r="AS2984" s="28"/>
      <c r="AT2984" s="28"/>
    </row>
    <row r="2985">
      <c r="A2985" s="10" t="s">
        <v>2708</v>
      </c>
      <c r="B2985" s="11">
        <v>1000.0</v>
      </c>
      <c r="C2985" s="12" t="s">
        <v>1238</v>
      </c>
      <c r="D2985" s="15">
        <v>75238.0</v>
      </c>
      <c r="F2985" s="15"/>
      <c r="G2985" s="26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28"/>
      <c r="AS2985" s="28"/>
      <c r="AT2985" s="28"/>
    </row>
    <row r="2986">
      <c r="A2986" s="5" t="s">
        <v>233</v>
      </c>
      <c r="B2986" s="6">
        <v>1000.0</v>
      </c>
      <c r="C2986" s="7" t="s">
        <v>1065</v>
      </c>
      <c r="D2986" s="15">
        <v>75209.0</v>
      </c>
      <c r="F2986" s="15"/>
      <c r="G2986" s="26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28"/>
      <c r="AS2986" s="28"/>
      <c r="AT2986" s="28"/>
    </row>
    <row r="2987">
      <c r="A2987" s="5" t="s">
        <v>2709</v>
      </c>
      <c r="B2987" s="6">
        <v>1000.0</v>
      </c>
      <c r="C2987" s="7" t="s">
        <v>1065</v>
      </c>
      <c r="D2987" s="15">
        <v>75229.0</v>
      </c>
      <c r="F2987" s="15"/>
      <c r="G2987" s="26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28"/>
      <c r="AS2987" s="28"/>
      <c r="AT2987" s="28"/>
    </row>
    <row r="2988">
      <c r="A2988" s="5" t="s">
        <v>2710</v>
      </c>
      <c r="B2988" s="6">
        <v>2500.0</v>
      </c>
      <c r="C2988" s="7" t="s">
        <v>1065</v>
      </c>
      <c r="D2988" s="15">
        <v>75206.0</v>
      </c>
      <c r="F2988" s="15"/>
      <c r="G2988" s="26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28"/>
      <c r="AS2988" s="28"/>
      <c r="AT2988" s="28"/>
    </row>
    <row r="2989">
      <c r="A2989" s="5" t="s">
        <v>2711</v>
      </c>
      <c r="B2989" s="6">
        <v>250.0</v>
      </c>
      <c r="C2989" s="7" t="s">
        <v>1065</v>
      </c>
      <c r="D2989" s="15">
        <v>75033.0</v>
      </c>
      <c r="F2989" s="15"/>
      <c r="G2989" s="26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28"/>
      <c r="AS2989" s="28"/>
      <c r="AT2989" s="28"/>
    </row>
    <row r="2990">
      <c r="A2990" s="5" t="s">
        <v>2712</v>
      </c>
      <c r="B2990" s="6">
        <v>2500.0</v>
      </c>
      <c r="C2990" s="7" t="s">
        <v>1065</v>
      </c>
      <c r="D2990" s="15">
        <v>75038.0</v>
      </c>
      <c r="F2990" s="15"/>
      <c r="G2990" s="26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28"/>
      <c r="AS2990" s="28"/>
      <c r="AT2990" s="28"/>
    </row>
    <row r="2991">
      <c r="A2991" s="5" t="s">
        <v>2713</v>
      </c>
      <c r="B2991" s="6">
        <v>250.0</v>
      </c>
      <c r="C2991" s="7" t="s">
        <v>1065</v>
      </c>
      <c r="D2991" s="15">
        <v>75069.0</v>
      </c>
      <c r="F2991" s="15"/>
      <c r="G2991" s="26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28"/>
      <c r="AS2991" s="28"/>
      <c r="AT2991" s="28"/>
    </row>
    <row r="2992">
      <c r="A2992" s="5" t="s">
        <v>2714</v>
      </c>
      <c r="B2992" s="6">
        <v>250.0</v>
      </c>
      <c r="C2992" s="7" t="s">
        <v>1065</v>
      </c>
      <c r="D2992" s="15">
        <v>76034.0</v>
      </c>
      <c r="F2992" s="15"/>
      <c r="G2992" s="26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28"/>
      <c r="AS2992" s="28"/>
      <c r="AT2992" s="28"/>
    </row>
    <row r="2993">
      <c r="A2993" s="5" t="s">
        <v>2715</v>
      </c>
      <c r="B2993" s="6">
        <v>250.0</v>
      </c>
      <c r="C2993" s="7" t="s">
        <v>1065</v>
      </c>
      <c r="D2993" s="15">
        <v>75243.0</v>
      </c>
      <c r="F2993" s="15"/>
      <c r="G2993" s="26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28"/>
      <c r="AS2993" s="28"/>
      <c r="AT2993" s="28"/>
    </row>
    <row r="2994">
      <c r="A2994" s="5" t="s">
        <v>2716</v>
      </c>
      <c r="B2994" s="6">
        <v>2500.0</v>
      </c>
      <c r="C2994" s="7" t="s">
        <v>1065</v>
      </c>
      <c r="D2994" s="15">
        <v>75034.0</v>
      </c>
      <c r="F2994" s="15"/>
      <c r="G2994" s="26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28"/>
      <c r="AS2994" s="28"/>
      <c r="AT2994" s="28"/>
    </row>
    <row r="2995">
      <c r="A2995" s="5" t="s">
        <v>2634</v>
      </c>
      <c r="B2995" s="6">
        <v>250.0</v>
      </c>
      <c r="C2995" s="7" t="s">
        <v>1065</v>
      </c>
      <c r="D2995" s="15">
        <v>75201.0</v>
      </c>
      <c r="F2995" s="15"/>
      <c r="G2995" s="26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28"/>
      <c r="AS2995" s="28"/>
      <c r="AT2995" s="28"/>
    </row>
    <row r="2996">
      <c r="A2996" s="5" t="s">
        <v>2717</v>
      </c>
      <c r="B2996" s="6">
        <v>250.0</v>
      </c>
      <c r="C2996" s="7" t="s">
        <v>1065</v>
      </c>
      <c r="D2996" s="15">
        <v>75205.0</v>
      </c>
      <c r="F2996" s="15"/>
      <c r="G2996" s="26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28"/>
      <c r="AS2996" s="28"/>
      <c r="AT2996" s="28"/>
    </row>
    <row r="2997">
      <c r="A2997" s="5" t="s">
        <v>2718</v>
      </c>
      <c r="B2997" s="6">
        <v>250.0</v>
      </c>
      <c r="C2997" s="7" t="s">
        <v>1065</v>
      </c>
      <c r="D2997" s="15">
        <v>75248.0</v>
      </c>
      <c r="F2997" s="15"/>
      <c r="G2997" s="26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28"/>
      <c r="AS2997" s="28"/>
      <c r="AT2997" s="28"/>
    </row>
    <row r="2998">
      <c r="A2998" s="5" t="s">
        <v>2719</v>
      </c>
      <c r="B2998" s="6">
        <v>1000.0</v>
      </c>
      <c r="C2998" s="7" t="s">
        <v>1065</v>
      </c>
      <c r="D2998" s="15">
        <v>75230.0</v>
      </c>
      <c r="F2998" s="15"/>
      <c r="G2998" s="26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28"/>
      <c r="AS2998" s="28"/>
      <c r="AT2998" s="28"/>
    </row>
    <row r="2999">
      <c r="A2999" s="5" t="s">
        <v>2720</v>
      </c>
      <c r="B2999" s="6">
        <v>250.0</v>
      </c>
      <c r="C2999" s="7" t="s">
        <v>1065</v>
      </c>
      <c r="D2999" s="15">
        <v>75204.0</v>
      </c>
      <c r="F2999" s="15"/>
      <c r="G2999" s="26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28"/>
      <c r="AS2999" s="28"/>
      <c r="AT2999" s="28"/>
    </row>
    <row r="3000">
      <c r="A3000" s="5" t="s">
        <v>2251</v>
      </c>
      <c r="B3000" s="6">
        <v>800.0</v>
      </c>
      <c r="C3000" s="7" t="s">
        <v>1065</v>
      </c>
      <c r="D3000" s="15">
        <v>78610.0</v>
      </c>
      <c r="F3000" s="15"/>
      <c r="G3000" s="26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28"/>
      <c r="AS3000" s="28"/>
      <c r="AT3000" s="28"/>
    </row>
    <row r="3001">
      <c r="A3001" s="5" t="s">
        <v>2721</v>
      </c>
      <c r="B3001" s="6">
        <v>250.0</v>
      </c>
      <c r="C3001" s="7" t="s">
        <v>1065</v>
      </c>
      <c r="D3001" s="15">
        <v>75219.0</v>
      </c>
      <c r="F3001" s="15"/>
      <c r="G3001" s="26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28"/>
      <c r="AS3001" s="28"/>
      <c r="AT3001" s="28"/>
    </row>
    <row r="3002">
      <c r="A3002" s="5" t="s">
        <v>2302</v>
      </c>
      <c r="B3002" s="6">
        <v>350.0</v>
      </c>
      <c r="C3002" s="7" t="s">
        <v>1065</v>
      </c>
      <c r="D3002" s="15">
        <v>75218.0</v>
      </c>
      <c r="F3002" s="15"/>
      <c r="G3002" s="26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8"/>
      <c r="AH3002" s="28"/>
      <c r="AI3002" s="28"/>
      <c r="AJ3002" s="28"/>
      <c r="AK3002" s="28"/>
      <c r="AL3002" s="28"/>
      <c r="AM3002" s="28"/>
      <c r="AN3002" s="28"/>
      <c r="AO3002" s="28"/>
      <c r="AP3002" s="28"/>
      <c r="AQ3002" s="28"/>
      <c r="AR3002" s="28"/>
      <c r="AS3002" s="28"/>
      <c r="AT3002" s="28"/>
    </row>
    <row r="3003">
      <c r="A3003" s="5"/>
      <c r="B3003" s="6"/>
      <c r="C3003" s="7"/>
      <c r="D3003" s="15"/>
      <c r="F3003" s="15"/>
      <c r="G3003" s="26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8"/>
      <c r="AH3003" s="28"/>
      <c r="AI3003" s="28"/>
      <c r="AJ3003" s="28"/>
      <c r="AK3003" s="28"/>
      <c r="AL3003" s="28"/>
      <c r="AM3003" s="28"/>
      <c r="AN3003" s="28"/>
      <c r="AO3003" s="28"/>
      <c r="AP3003" s="28"/>
      <c r="AQ3003" s="28"/>
      <c r="AR3003" s="28"/>
      <c r="AS3003" s="28"/>
      <c r="AT3003" s="28"/>
    </row>
    <row r="3004">
      <c r="A3004" s="5" t="s">
        <v>2110</v>
      </c>
      <c r="B3004" s="6">
        <v>5000.0</v>
      </c>
      <c r="C3004" s="7" t="s">
        <v>1065</v>
      </c>
      <c r="D3004" s="15">
        <v>75201.0</v>
      </c>
      <c r="F3004" s="15"/>
      <c r="G3004" s="26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8"/>
      <c r="AH3004" s="28"/>
      <c r="AI3004" s="28"/>
      <c r="AJ3004" s="28"/>
      <c r="AK3004" s="28"/>
      <c r="AL3004" s="28"/>
      <c r="AM3004" s="28"/>
      <c r="AN3004" s="28"/>
      <c r="AO3004" s="28"/>
      <c r="AP3004" s="28"/>
      <c r="AQ3004" s="28"/>
      <c r="AR3004" s="28"/>
      <c r="AS3004" s="28"/>
      <c r="AT3004" s="28"/>
    </row>
    <row r="3005">
      <c r="A3005" s="5" t="s">
        <v>2723</v>
      </c>
      <c r="B3005" s="6">
        <v>250.0</v>
      </c>
      <c r="C3005" s="7" t="s">
        <v>1065</v>
      </c>
      <c r="D3005" s="15">
        <v>75115.0</v>
      </c>
      <c r="F3005" s="15"/>
      <c r="G3005" s="26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O3005" s="28"/>
      <c r="AP3005" s="28"/>
      <c r="AQ3005" s="28"/>
      <c r="AR3005" s="28"/>
      <c r="AS3005" s="28"/>
      <c r="AT3005" s="28"/>
    </row>
    <row r="3006">
      <c r="A3006" s="5" t="s">
        <v>2724</v>
      </c>
      <c r="B3006" s="6">
        <v>2500.0</v>
      </c>
      <c r="C3006" s="7" t="s">
        <v>1065</v>
      </c>
      <c r="D3006" s="15">
        <v>75254.0</v>
      </c>
      <c r="F3006" s="15"/>
      <c r="G3006" s="26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28"/>
      <c r="AR3006" s="28"/>
      <c r="AS3006" s="28"/>
      <c r="AT3006" s="28"/>
    </row>
    <row r="3007">
      <c r="A3007" s="5" t="s">
        <v>2725</v>
      </c>
      <c r="B3007" s="6">
        <v>250.0</v>
      </c>
      <c r="C3007" s="7" t="s">
        <v>1065</v>
      </c>
      <c r="D3007" s="15">
        <v>75214.0</v>
      </c>
      <c r="F3007" s="15"/>
      <c r="G3007" s="26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8"/>
      <c r="AH3007" s="28"/>
      <c r="AI3007" s="28"/>
      <c r="AJ3007" s="28"/>
      <c r="AK3007" s="28"/>
      <c r="AL3007" s="28"/>
      <c r="AM3007" s="28"/>
      <c r="AN3007" s="28"/>
      <c r="AO3007" s="28"/>
      <c r="AP3007" s="28"/>
      <c r="AQ3007" s="28"/>
      <c r="AR3007" s="28"/>
      <c r="AS3007" s="28"/>
      <c r="AT3007" s="28"/>
    </row>
    <row r="3008">
      <c r="A3008" s="5" t="s">
        <v>2319</v>
      </c>
      <c r="B3008" s="6">
        <v>1000.0</v>
      </c>
      <c r="C3008" s="7" t="s">
        <v>1065</v>
      </c>
      <c r="D3008" s="15">
        <v>75229.0</v>
      </c>
      <c r="F3008" s="15"/>
      <c r="G3008" s="26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8"/>
      <c r="AH3008" s="28"/>
      <c r="AI3008" s="28"/>
      <c r="AJ3008" s="28"/>
      <c r="AK3008" s="28"/>
      <c r="AL3008" s="28"/>
      <c r="AM3008" s="28"/>
      <c r="AN3008" s="28"/>
      <c r="AO3008" s="28"/>
      <c r="AP3008" s="28"/>
      <c r="AQ3008" s="28"/>
      <c r="AR3008" s="28"/>
      <c r="AS3008" s="28"/>
      <c r="AT3008" s="28"/>
    </row>
    <row r="3009">
      <c r="A3009" s="5" t="s">
        <v>2726</v>
      </c>
      <c r="B3009" s="6">
        <v>500.0</v>
      </c>
      <c r="C3009" s="7" t="s">
        <v>1065</v>
      </c>
      <c r="D3009" s="15">
        <v>75214.0</v>
      </c>
      <c r="F3009" s="15"/>
      <c r="G3009" s="26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8"/>
      <c r="AH3009" s="28"/>
      <c r="AI3009" s="28"/>
      <c r="AJ3009" s="28"/>
      <c r="AK3009" s="28"/>
      <c r="AL3009" s="28"/>
      <c r="AM3009" s="28"/>
      <c r="AN3009" s="28"/>
      <c r="AO3009" s="28"/>
      <c r="AP3009" s="28"/>
      <c r="AQ3009" s="28"/>
      <c r="AR3009" s="28"/>
      <c r="AS3009" s="28"/>
      <c r="AT3009" s="28"/>
    </row>
    <row r="3010">
      <c r="A3010" s="5" t="s">
        <v>2727</v>
      </c>
      <c r="B3010" s="6">
        <v>100.0</v>
      </c>
      <c r="C3010" s="7" t="s">
        <v>1065</v>
      </c>
      <c r="D3010" s="15">
        <v>75230.0</v>
      </c>
      <c r="F3010" s="15"/>
      <c r="G3010" s="26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28"/>
      <c r="AR3010" s="28"/>
      <c r="AS3010" s="28"/>
      <c r="AT3010" s="28"/>
    </row>
    <row r="3011">
      <c r="A3011" s="5" t="s">
        <v>2728</v>
      </c>
      <c r="B3011" s="6">
        <v>50.0</v>
      </c>
      <c r="C3011" s="7" t="s">
        <v>1065</v>
      </c>
      <c r="D3011" s="15">
        <v>75180.0</v>
      </c>
      <c r="F3011" s="15"/>
      <c r="G3011" s="26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8"/>
      <c r="AH3011" s="28"/>
      <c r="AI3011" s="28"/>
      <c r="AJ3011" s="28"/>
      <c r="AK3011" s="28"/>
      <c r="AL3011" s="28"/>
      <c r="AM3011" s="28"/>
      <c r="AN3011" s="28"/>
      <c r="AO3011" s="28"/>
      <c r="AP3011" s="28"/>
      <c r="AQ3011" s="28"/>
      <c r="AR3011" s="28"/>
      <c r="AS3011" s="28"/>
      <c r="AT3011" s="28"/>
    </row>
    <row r="3012">
      <c r="A3012" s="5" t="s">
        <v>2729</v>
      </c>
      <c r="B3012" s="6">
        <v>250.0</v>
      </c>
      <c r="C3012" s="7" t="s">
        <v>1065</v>
      </c>
      <c r="D3012" s="15">
        <v>75054.0</v>
      </c>
      <c r="F3012" s="15"/>
      <c r="G3012" s="26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8"/>
      <c r="AN3012" s="28"/>
      <c r="AO3012" s="28"/>
      <c r="AP3012" s="28"/>
      <c r="AQ3012" s="28"/>
      <c r="AR3012" s="28"/>
      <c r="AS3012" s="28"/>
      <c r="AT3012" s="28"/>
    </row>
    <row r="3013">
      <c r="A3013" s="5" t="s">
        <v>2730</v>
      </c>
      <c r="B3013" s="6">
        <v>250.0</v>
      </c>
      <c r="C3013" s="7" t="s">
        <v>1065</v>
      </c>
      <c r="D3013" s="15">
        <v>75214.0</v>
      </c>
      <c r="F3013" s="15"/>
      <c r="G3013" s="26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8"/>
      <c r="AH3013" s="28"/>
      <c r="AI3013" s="28"/>
      <c r="AJ3013" s="28"/>
      <c r="AK3013" s="28"/>
      <c r="AL3013" s="28"/>
      <c r="AM3013" s="28"/>
      <c r="AN3013" s="28"/>
      <c r="AO3013" s="28"/>
      <c r="AP3013" s="28"/>
      <c r="AQ3013" s="28"/>
      <c r="AR3013" s="28"/>
      <c r="AS3013" s="28"/>
      <c r="AT3013" s="28"/>
    </row>
    <row r="3014">
      <c r="A3014" s="5" t="s">
        <v>2731</v>
      </c>
      <c r="B3014" s="6">
        <v>500.0</v>
      </c>
      <c r="C3014" s="7" t="s">
        <v>1065</v>
      </c>
      <c r="D3014" s="15">
        <v>75225.0</v>
      </c>
      <c r="F3014" s="15"/>
      <c r="G3014" s="26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8"/>
      <c r="AH3014" s="28"/>
      <c r="AI3014" s="28"/>
      <c r="AJ3014" s="28"/>
      <c r="AK3014" s="28"/>
      <c r="AL3014" s="28"/>
      <c r="AM3014" s="28"/>
      <c r="AN3014" s="28"/>
      <c r="AO3014" s="28"/>
      <c r="AP3014" s="28"/>
      <c r="AQ3014" s="28"/>
      <c r="AR3014" s="28"/>
      <c r="AS3014" s="28"/>
      <c r="AT3014" s="28"/>
    </row>
    <row r="3015">
      <c r="A3015" s="5" t="s">
        <v>2732</v>
      </c>
      <c r="B3015" s="6">
        <v>1000.0</v>
      </c>
      <c r="C3015" s="7" t="s">
        <v>1065</v>
      </c>
      <c r="D3015" s="15">
        <v>77077.0</v>
      </c>
      <c r="F3015" s="15"/>
      <c r="G3015" s="26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28"/>
      <c r="AR3015" s="28"/>
      <c r="AS3015" s="28"/>
      <c r="AT3015" s="28"/>
    </row>
    <row r="3016">
      <c r="A3016" s="5" t="s">
        <v>2259</v>
      </c>
      <c r="B3016" s="6">
        <v>250.0</v>
      </c>
      <c r="C3016" s="7" t="s">
        <v>1065</v>
      </c>
      <c r="D3016" s="15">
        <v>75214.0</v>
      </c>
      <c r="F3016" s="15"/>
      <c r="G3016" s="26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8"/>
      <c r="AH3016" s="28"/>
      <c r="AI3016" s="28"/>
      <c r="AJ3016" s="28"/>
      <c r="AK3016" s="28"/>
      <c r="AL3016" s="28"/>
      <c r="AM3016" s="28"/>
      <c r="AN3016" s="28"/>
      <c r="AO3016" s="28"/>
      <c r="AP3016" s="28"/>
      <c r="AQ3016" s="28"/>
      <c r="AR3016" s="28"/>
      <c r="AS3016" s="28"/>
      <c r="AT3016" s="28"/>
    </row>
    <row r="3017">
      <c r="A3017" s="5" t="s">
        <v>2733</v>
      </c>
      <c r="B3017" s="6">
        <v>250.0</v>
      </c>
      <c r="C3017" s="7" t="s">
        <v>1065</v>
      </c>
      <c r="D3017" s="15">
        <v>75248.0</v>
      </c>
      <c r="F3017" s="15"/>
      <c r="G3017" s="26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8"/>
      <c r="AH3017" s="28"/>
      <c r="AI3017" s="28"/>
      <c r="AJ3017" s="28"/>
      <c r="AK3017" s="28"/>
      <c r="AL3017" s="28"/>
      <c r="AM3017" s="28"/>
      <c r="AN3017" s="28"/>
      <c r="AO3017" s="28"/>
      <c r="AP3017" s="28"/>
      <c r="AQ3017" s="28"/>
      <c r="AR3017" s="28"/>
      <c r="AS3017" s="28"/>
      <c r="AT3017" s="28"/>
    </row>
    <row r="3018">
      <c r="A3018" s="5" t="s">
        <v>2734</v>
      </c>
      <c r="B3018" s="6">
        <v>500.0</v>
      </c>
      <c r="C3018" s="7" t="s">
        <v>1065</v>
      </c>
      <c r="D3018" s="15">
        <v>75218.0</v>
      </c>
      <c r="F3018" s="15"/>
      <c r="G3018" s="26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8"/>
      <c r="AH3018" s="28"/>
      <c r="AI3018" s="28"/>
      <c r="AJ3018" s="28"/>
      <c r="AK3018" s="28"/>
      <c r="AL3018" s="28"/>
      <c r="AM3018" s="28"/>
      <c r="AN3018" s="28"/>
      <c r="AO3018" s="28"/>
      <c r="AP3018" s="28"/>
      <c r="AQ3018" s="28"/>
      <c r="AR3018" s="28"/>
      <c r="AS3018" s="28"/>
      <c r="AT3018" s="28"/>
    </row>
    <row r="3019">
      <c r="A3019" s="5" t="s">
        <v>2735</v>
      </c>
      <c r="B3019" s="6">
        <v>1000.0</v>
      </c>
      <c r="C3019" s="7" t="s">
        <v>1065</v>
      </c>
      <c r="D3019" s="15">
        <v>75219.0</v>
      </c>
      <c r="F3019" s="15"/>
      <c r="G3019" s="26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8"/>
      <c r="AH3019" s="28"/>
      <c r="AI3019" s="28"/>
      <c r="AJ3019" s="28"/>
      <c r="AK3019" s="28"/>
      <c r="AL3019" s="28"/>
      <c r="AM3019" s="28"/>
      <c r="AN3019" s="28"/>
      <c r="AO3019" s="28"/>
      <c r="AP3019" s="28"/>
      <c r="AQ3019" s="28"/>
      <c r="AR3019" s="28"/>
      <c r="AS3019" s="28"/>
      <c r="AT3019" s="28"/>
    </row>
    <row r="3020">
      <c r="A3020" s="5" t="s">
        <v>2736</v>
      </c>
      <c r="B3020" s="6">
        <v>250.0</v>
      </c>
      <c r="C3020" s="7" t="s">
        <v>1065</v>
      </c>
      <c r="D3020" s="15">
        <v>75236.0</v>
      </c>
      <c r="F3020" s="15"/>
      <c r="G3020" s="26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28"/>
      <c r="AR3020" s="28"/>
      <c r="AS3020" s="28"/>
      <c r="AT3020" s="28"/>
    </row>
    <row r="3021">
      <c r="A3021" s="5" t="s">
        <v>2737</v>
      </c>
      <c r="B3021" s="6">
        <v>1000.0</v>
      </c>
      <c r="C3021" s="7" t="s">
        <v>1065</v>
      </c>
      <c r="D3021" s="15">
        <v>75237.0</v>
      </c>
      <c r="F3021" s="15"/>
      <c r="G3021" s="26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28"/>
      <c r="AR3021" s="28"/>
      <c r="AS3021" s="28"/>
      <c r="AT3021" s="28"/>
    </row>
    <row r="3022">
      <c r="A3022" s="5" t="s">
        <v>2738</v>
      </c>
      <c r="B3022" s="6">
        <v>250.0</v>
      </c>
      <c r="C3022" s="7" t="s">
        <v>1065</v>
      </c>
      <c r="D3022" s="15">
        <v>75225.0</v>
      </c>
      <c r="F3022" s="15"/>
      <c r="G3022" s="26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28"/>
      <c r="AR3022" s="28"/>
      <c r="AS3022" s="28"/>
      <c r="AT3022" s="28"/>
    </row>
    <row r="3023">
      <c r="A3023" s="5" t="s">
        <v>2576</v>
      </c>
      <c r="B3023" s="6">
        <v>250.0</v>
      </c>
      <c r="C3023" s="7" t="s">
        <v>1065</v>
      </c>
      <c r="D3023" s="15">
        <v>75214.0</v>
      </c>
      <c r="F3023" s="15"/>
      <c r="G3023" s="26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8"/>
      <c r="AH3023" s="28"/>
      <c r="AI3023" s="28"/>
      <c r="AJ3023" s="28"/>
      <c r="AK3023" s="28"/>
      <c r="AL3023" s="28"/>
      <c r="AM3023" s="28"/>
      <c r="AN3023" s="28"/>
      <c r="AO3023" s="28"/>
      <c r="AP3023" s="28"/>
      <c r="AQ3023" s="28"/>
      <c r="AR3023" s="28"/>
      <c r="AS3023" s="28"/>
      <c r="AT3023" s="28"/>
    </row>
    <row r="3024">
      <c r="A3024" s="5" t="s">
        <v>2739</v>
      </c>
      <c r="B3024" s="6">
        <v>500.0</v>
      </c>
      <c r="C3024" s="7" t="s">
        <v>1065</v>
      </c>
      <c r="D3024" s="15">
        <v>77002.0</v>
      </c>
      <c r="F3024" s="15"/>
      <c r="G3024" s="26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8"/>
      <c r="AH3024" s="28"/>
      <c r="AI3024" s="28"/>
      <c r="AJ3024" s="28"/>
      <c r="AK3024" s="28"/>
      <c r="AL3024" s="28"/>
      <c r="AM3024" s="28"/>
      <c r="AN3024" s="28"/>
      <c r="AO3024" s="28"/>
      <c r="AP3024" s="28"/>
      <c r="AQ3024" s="28"/>
      <c r="AR3024" s="28"/>
      <c r="AS3024" s="28"/>
      <c r="AT3024" s="28"/>
    </row>
    <row r="3025">
      <c r="A3025" s="5" t="s">
        <v>2740</v>
      </c>
      <c r="B3025" s="6">
        <v>10000.0</v>
      </c>
      <c r="C3025" s="7" t="s">
        <v>1065</v>
      </c>
      <c r="D3025" s="15">
        <v>75225.0</v>
      </c>
      <c r="F3025" s="15"/>
      <c r="G3025" s="26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28"/>
      <c r="AR3025" s="28"/>
      <c r="AS3025" s="28"/>
      <c r="AT3025" s="28"/>
    </row>
    <row r="3026">
      <c r="A3026" s="5" t="s">
        <v>2741</v>
      </c>
      <c r="B3026" s="6">
        <v>250.0</v>
      </c>
      <c r="C3026" s="7" t="s">
        <v>1065</v>
      </c>
      <c r="D3026" s="15">
        <v>75230.0</v>
      </c>
      <c r="F3026" s="15"/>
      <c r="G3026" s="26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28"/>
      <c r="AR3026" s="28"/>
      <c r="AS3026" s="28"/>
      <c r="AT3026" s="28"/>
    </row>
    <row r="3027">
      <c r="A3027" s="5"/>
      <c r="B3027" s="6"/>
      <c r="C3027" s="7"/>
      <c r="D3027" s="15"/>
      <c r="F3027" s="15"/>
      <c r="G3027" s="26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28"/>
      <c r="AR3027" s="28"/>
      <c r="AS3027" s="28"/>
      <c r="AT3027" s="28"/>
    </row>
    <row r="3028">
      <c r="A3028" s="5" t="s">
        <v>2743</v>
      </c>
      <c r="B3028" s="6">
        <v>500.0</v>
      </c>
      <c r="C3028" s="7" t="s">
        <v>1065</v>
      </c>
      <c r="D3028" s="15">
        <v>76112.0</v>
      </c>
      <c r="F3028" s="15"/>
      <c r="G3028" s="26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  <c r="AS3028" s="28"/>
      <c r="AT3028" s="28"/>
    </row>
    <row r="3029">
      <c r="A3029" s="5" t="s">
        <v>2264</v>
      </c>
      <c r="B3029" s="6">
        <v>250.0</v>
      </c>
      <c r="C3029" s="7" t="s">
        <v>1065</v>
      </c>
      <c r="D3029" s="15">
        <v>75249.0</v>
      </c>
      <c r="F3029" s="15"/>
      <c r="G3029" s="26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28"/>
      <c r="AR3029" s="28"/>
      <c r="AS3029" s="28"/>
      <c r="AT3029" s="28"/>
    </row>
    <row r="3030">
      <c r="A3030" s="5" t="s">
        <v>2744</v>
      </c>
      <c r="B3030" s="6">
        <v>250.0</v>
      </c>
      <c r="C3030" s="7" t="s">
        <v>1065</v>
      </c>
      <c r="D3030" s="15">
        <v>75201.0</v>
      </c>
      <c r="F3030" s="15"/>
      <c r="G3030" s="26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28"/>
      <c r="AR3030" s="28"/>
      <c r="AS3030" s="28"/>
      <c r="AT3030" s="28"/>
    </row>
    <row r="3031">
      <c r="A3031" s="5" t="s">
        <v>2555</v>
      </c>
      <c r="B3031" s="6">
        <v>250.0</v>
      </c>
      <c r="C3031" s="7" t="s">
        <v>1065</v>
      </c>
      <c r="D3031" s="15">
        <v>75214.0</v>
      </c>
      <c r="F3031" s="15"/>
      <c r="G3031" s="26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</row>
    <row r="3032">
      <c r="A3032" s="5" t="s">
        <v>2745</v>
      </c>
      <c r="B3032" s="6">
        <v>500.0</v>
      </c>
      <c r="C3032" s="7" t="s">
        <v>1065</v>
      </c>
      <c r="D3032" s="15">
        <v>75214.0</v>
      </c>
      <c r="F3032" s="15"/>
      <c r="G3032" s="26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28"/>
      <c r="AR3032" s="28"/>
      <c r="AS3032" s="28"/>
      <c r="AT3032" s="28"/>
    </row>
    <row r="3033">
      <c r="A3033" s="5" t="s">
        <v>2334</v>
      </c>
      <c r="B3033" s="6">
        <v>250.0</v>
      </c>
      <c r="C3033" s="7" t="s">
        <v>1065</v>
      </c>
      <c r="D3033" s="15">
        <v>75214.0</v>
      </c>
      <c r="F3033" s="15"/>
      <c r="G3033" s="26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28"/>
      <c r="AR3033" s="28"/>
      <c r="AS3033" s="28"/>
      <c r="AT3033" s="28"/>
    </row>
    <row r="3034">
      <c r="A3034" s="5" t="s">
        <v>2746</v>
      </c>
      <c r="B3034" s="6">
        <v>250.0</v>
      </c>
      <c r="C3034" s="7" t="s">
        <v>1065</v>
      </c>
      <c r="D3034" s="15">
        <v>75249.0</v>
      </c>
      <c r="F3034" s="15"/>
      <c r="G3034" s="26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8"/>
      <c r="AT3034" s="28"/>
    </row>
    <row r="3035">
      <c r="A3035" s="5" t="s">
        <v>2747</v>
      </c>
      <c r="B3035" s="6">
        <v>500.0</v>
      </c>
      <c r="C3035" s="7" t="s">
        <v>1065</v>
      </c>
      <c r="D3035" s="15">
        <v>75201.0</v>
      </c>
      <c r="F3035" s="15"/>
      <c r="G3035" s="26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28"/>
      <c r="AR3035" s="28"/>
      <c r="AS3035" s="28"/>
      <c r="AT3035" s="28"/>
    </row>
    <row r="3036">
      <c r="A3036" s="5" t="s">
        <v>2748</v>
      </c>
      <c r="B3036" s="6">
        <v>1000.0</v>
      </c>
      <c r="C3036" s="7" t="s">
        <v>1065</v>
      </c>
      <c r="D3036" s="15">
        <v>75019.0</v>
      </c>
      <c r="F3036" s="15"/>
      <c r="G3036" s="26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28"/>
      <c r="AR3036" s="28"/>
      <c r="AS3036" s="28"/>
      <c r="AT3036" s="28"/>
    </row>
    <row r="3037">
      <c r="A3037" s="5" t="s">
        <v>2749</v>
      </c>
      <c r="B3037" s="6">
        <v>250.0</v>
      </c>
      <c r="C3037" s="7" t="s">
        <v>1065</v>
      </c>
      <c r="D3037" s="15">
        <v>75249.0</v>
      </c>
      <c r="F3037" s="15"/>
      <c r="G3037" s="26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28"/>
      <c r="AR3037" s="28"/>
      <c r="AS3037" s="28"/>
      <c r="AT3037" s="28"/>
    </row>
    <row r="3038">
      <c r="A3038" s="5" t="s">
        <v>2329</v>
      </c>
      <c r="B3038" s="6">
        <v>250.0</v>
      </c>
      <c r="C3038" s="7" t="s">
        <v>1065</v>
      </c>
      <c r="D3038" s="15">
        <v>75205.0</v>
      </c>
      <c r="F3038" s="15"/>
      <c r="G3038" s="26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28"/>
      <c r="AR3038" s="28"/>
      <c r="AS3038" s="28"/>
      <c r="AT3038" s="28"/>
    </row>
    <row r="3039">
      <c r="A3039" s="5"/>
      <c r="B3039" s="6"/>
      <c r="C3039" s="7"/>
      <c r="D3039" s="15"/>
      <c r="F3039" s="15"/>
      <c r="G3039" s="26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28"/>
      <c r="AR3039" s="28"/>
      <c r="AS3039" s="28"/>
      <c r="AT3039" s="28"/>
    </row>
    <row r="3040">
      <c r="A3040" s="5" t="s">
        <v>2252</v>
      </c>
      <c r="B3040" s="6">
        <v>1000.0</v>
      </c>
      <c r="C3040" s="7" t="s">
        <v>1065</v>
      </c>
      <c r="D3040" s="15">
        <v>75205.0</v>
      </c>
      <c r="F3040" s="15"/>
      <c r="G3040" s="26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28"/>
      <c r="AR3040" s="28"/>
      <c r="AS3040" s="28"/>
      <c r="AT3040" s="28"/>
    </row>
    <row r="3041">
      <c r="A3041" s="5" t="s">
        <v>2751</v>
      </c>
      <c r="B3041" s="6">
        <v>2500.0</v>
      </c>
      <c r="C3041" s="7" t="s">
        <v>1065</v>
      </c>
      <c r="D3041" s="15">
        <v>75205.0</v>
      </c>
      <c r="F3041" s="15"/>
      <c r="G3041" s="26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28"/>
      <c r="AR3041" s="28"/>
      <c r="AS3041" s="28"/>
      <c r="AT3041" s="28"/>
    </row>
    <row r="3042">
      <c r="A3042" s="5" t="s">
        <v>2752</v>
      </c>
      <c r="B3042" s="6">
        <v>250.0</v>
      </c>
      <c r="C3042" s="7" t="s">
        <v>1065</v>
      </c>
      <c r="D3042" s="15">
        <v>75104.0</v>
      </c>
      <c r="F3042" s="15"/>
      <c r="G3042" s="26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8"/>
      <c r="AT3042" s="28"/>
    </row>
    <row r="3043">
      <c r="A3043" s="5" t="s">
        <v>2373</v>
      </c>
      <c r="B3043" s="6">
        <v>500.0</v>
      </c>
      <c r="C3043" s="7" t="s">
        <v>1065</v>
      </c>
      <c r="D3043" s="15">
        <v>75229.0</v>
      </c>
      <c r="F3043" s="15"/>
      <c r="G3043" s="26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28"/>
      <c r="AS3043" s="28"/>
      <c r="AT3043" s="28"/>
    </row>
    <row r="3044">
      <c r="A3044" s="5" t="s">
        <v>2753</v>
      </c>
      <c r="B3044" s="6">
        <v>250.0</v>
      </c>
      <c r="C3044" s="7" t="s">
        <v>1065</v>
      </c>
      <c r="D3044" s="15">
        <v>75229.0</v>
      </c>
      <c r="F3044" s="15"/>
      <c r="G3044" s="26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28"/>
      <c r="AS3044" s="28"/>
      <c r="AT3044" s="28"/>
    </row>
    <row r="3045">
      <c r="A3045" s="5" t="s">
        <v>2359</v>
      </c>
      <c r="B3045" s="6">
        <v>1000.0</v>
      </c>
      <c r="C3045" s="7" t="s">
        <v>1065</v>
      </c>
      <c r="D3045" s="15">
        <v>75240.0</v>
      </c>
      <c r="F3045" s="15"/>
      <c r="G3045" s="26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28"/>
      <c r="AS3045" s="28"/>
      <c r="AT3045" s="28"/>
    </row>
    <row r="3046">
      <c r="A3046" s="5" t="s">
        <v>2630</v>
      </c>
      <c r="B3046" s="6">
        <v>1000.0</v>
      </c>
      <c r="C3046" s="7" t="s">
        <v>1065</v>
      </c>
      <c r="D3046" s="15">
        <v>75214.0</v>
      </c>
      <c r="F3046" s="15"/>
      <c r="G3046" s="26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28"/>
      <c r="AS3046" s="28"/>
      <c r="AT3046" s="28"/>
    </row>
    <row r="3047">
      <c r="A3047" s="5" t="s">
        <v>2754</v>
      </c>
      <c r="B3047" s="6">
        <v>350.0</v>
      </c>
      <c r="C3047" s="7" t="s">
        <v>1065</v>
      </c>
      <c r="D3047" s="15">
        <v>75225.0</v>
      </c>
      <c r="F3047" s="15"/>
      <c r="G3047" s="26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28"/>
      <c r="AS3047" s="28"/>
      <c r="AT3047" s="28"/>
    </row>
    <row r="3048">
      <c r="A3048" s="5" t="s">
        <v>2289</v>
      </c>
      <c r="B3048" s="6">
        <v>500.0</v>
      </c>
      <c r="C3048" s="7" t="s">
        <v>1065</v>
      </c>
      <c r="D3048" s="15">
        <v>75204.0</v>
      </c>
      <c r="F3048" s="15"/>
      <c r="G3048" s="26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28"/>
      <c r="AS3048" s="28"/>
      <c r="AT3048" s="28"/>
    </row>
    <row r="3049">
      <c r="A3049" s="5"/>
      <c r="B3049" s="6"/>
      <c r="C3049" s="7"/>
      <c r="D3049" s="15"/>
      <c r="F3049" s="15"/>
      <c r="G3049" s="26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</row>
    <row r="3050">
      <c r="A3050" s="5" t="s">
        <v>2756</v>
      </c>
      <c r="B3050" s="6">
        <v>250.0</v>
      </c>
      <c r="C3050" s="7" t="s">
        <v>1065</v>
      </c>
      <c r="D3050" s="15">
        <v>75201.0</v>
      </c>
      <c r="F3050" s="15"/>
      <c r="G3050" s="26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28"/>
      <c r="AS3050" s="28"/>
      <c r="AT3050" s="28"/>
    </row>
    <row r="3051">
      <c r="A3051" s="5" t="s">
        <v>2757</v>
      </c>
      <c r="B3051" s="6">
        <v>10.0</v>
      </c>
      <c r="C3051" s="7" t="s">
        <v>1065</v>
      </c>
      <c r="D3051" s="15">
        <v>75211.0</v>
      </c>
      <c r="F3051" s="15"/>
      <c r="G3051" s="26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28"/>
      <c r="AS3051" s="28"/>
      <c r="AT3051" s="28"/>
    </row>
    <row r="3052">
      <c r="A3052" s="5" t="s">
        <v>2758</v>
      </c>
      <c r="B3052" s="6">
        <v>500.0</v>
      </c>
      <c r="C3052" s="7" t="s">
        <v>1065</v>
      </c>
      <c r="D3052" s="15">
        <v>75287.0</v>
      </c>
      <c r="F3052" s="15"/>
      <c r="G3052" s="26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28"/>
      <c r="AS3052" s="28"/>
      <c r="AT3052" s="28"/>
    </row>
    <row r="3053">
      <c r="A3053" s="5" t="s">
        <v>2759</v>
      </c>
      <c r="B3053" s="6">
        <v>50.0</v>
      </c>
      <c r="C3053" s="7" t="s">
        <v>1065</v>
      </c>
      <c r="D3053" s="15">
        <v>76063.0</v>
      </c>
      <c r="F3053" s="15"/>
      <c r="G3053" s="26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28"/>
      <c r="AS3053" s="28"/>
      <c r="AT3053" s="28"/>
    </row>
    <row r="3054">
      <c r="A3054" s="5" t="s">
        <v>2760</v>
      </c>
      <c r="B3054" s="6">
        <v>500.0</v>
      </c>
      <c r="C3054" s="7" t="s">
        <v>1065</v>
      </c>
      <c r="D3054" s="15">
        <v>76112.0</v>
      </c>
      <c r="F3054" s="15"/>
      <c r="G3054" s="26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28"/>
      <c r="AS3054" s="28"/>
      <c r="AT3054" s="28"/>
    </row>
    <row r="3055">
      <c r="A3055" s="5" t="s">
        <v>2761</v>
      </c>
      <c r="B3055" s="6">
        <v>10000.0</v>
      </c>
      <c r="C3055" s="7" t="s">
        <v>1065</v>
      </c>
      <c r="D3055" s="15">
        <v>75229.0</v>
      </c>
      <c r="F3055" s="15"/>
      <c r="G3055" s="26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</row>
    <row r="3056">
      <c r="A3056" s="5" t="s">
        <v>2762</v>
      </c>
      <c r="B3056" s="6">
        <v>250.0</v>
      </c>
      <c r="C3056" s="7" t="s">
        <v>1065</v>
      </c>
      <c r="D3056" s="15">
        <v>75243.0</v>
      </c>
      <c r="F3056" s="15"/>
      <c r="G3056" s="26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</row>
    <row r="3057">
      <c r="A3057" s="5" t="s">
        <v>2763</v>
      </c>
      <c r="B3057" s="6">
        <v>100.0</v>
      </c>
      <c r="C3057" s="7" t="s">
        <v>1065</v>
      </c>
      <c r="D3057" s="15">
        <v>75201.0</v>
      </c>
      <c r="F3057" s="15"/>
      <c r="G3057" s="26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28"/>
      <c r="AS3057" s="28"/>
      <c r="AT3057" s="28"/>
    </row>
    <row r="3058">
      <c r="A3058" s="5" t="s">
        <v>2764</v>
      </c>
      <c r="B3058" s="6">
        <v>1000.0</v>
      </c>
      <c r="C3058" s="7" t="s">
        <v>1065</v>
      </c>
      <c r="D3058" s="15">
        <v>75201.0</v>
      </c>
      <c r="F3058" s="15"/>
      <c r="G3058" s="26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28"/>
      <c r="AS3058" s="28"/>
      <c r="AT3058" s="28"/>
    </row>
    <row r="3059">
      <c r="A3059" s="5" t="s">
        <v>2765</v>
      </c>
      <c r="B3059" s="6">
        <v>1000.0</v>
      </c>
      <c r="C3059" s="7" t="s">
        <v>1065</v>
      </c>
      <c r="D3059" s="15">
        <v>75238.0</v>
      </c>
      <c r="F3059" s="15"/>
      <c r="G3059" s="26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28"/>
      <c r="AS3059" s="28"/>
      <c r="AT3059" s="28"/>
    </row>
    <row r="3060">
      <c r="A3060" s="5" t="s">
        <v>2766</v>
      </c>
      <c r="B3060" s="6">
        <v>500.0</v>
      </c>
      <c r="C3060" s="7" t="s">
        <v>1065</v>
      </c>
      <c r="D3060" s="15">
        <v>75225.0</v>
      </c>
      <c r="F3060" s="15"/>
      <c r="G3060" s="26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28"/>
      <c r="AS3060" s="28"/>
      <c r="AT3060" s="28"/>
    </row>
    <row r="3061">
      <c r="A3061" s="5" t="s">
        <v>2767</v>
      </c>
      <c r="B3061" s="6">
        <v>100.0</v>
      </c>
      <c r="C3061" s="7" t="s">
        <v>1065</v>
      </c>
      <c r="D3061" s="15">
        <v>75209.0</v>
      </c>
      <c r="F3061" s="15"/>
      <c r="G3061" s="26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28"/>
      <c r="AS3061" s="28"/>
      <c r="AT3061" s="28"/>
    </row>
    <row r="3062">
      <c r="A3062" s="5" t="s">
        <v>2768</v>
      </c>
      <c r="B3062" s="6">
        <v>5000.0</v>
      </c>
      <c r="C3062" s="7" t="s">
        <v>1065</v>
      </c>
      <c r="D3062" s="15">
        <v>75230.0</v>
      </c>
      <c r="F3062" s="15"/>
      <c r="G3062" s="26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28"/>
      <c r="AS3062" s="28"/>
      <c r="AT3062" s="28"/>
    </row>
    <row r="3063">
      <c r="A3063" s="5" t="s">
        <v>2769</v>
      </c>
      <c r="B3063" s="6">
        <v>250.0</v>
      </c>
      <c r="C3063" s="7" t="s">
        <v>1065</v>
      </c>
      <c r="D3063" s="15">
        <v>75214.0</v>
      </c>
      <c r="F3063" s="15"/>
      <c r="G3063" s="26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28"/>
      <c r="AS3063" s="28"/>
      <c r="AT3063" s="28"/>
    </row>
    <row r="3064">
      <c r="A3064" s="5" t="s">
        <v>2770</v>
      </c>
      <c r="B3064" s="6">
        <v>5000.0</v>
      </c>
      <c r="C3064" s="7" t="s">
        <v>1065</v>
      </c>
      <c r="D3064" s="15">
        <v>75229.0</v>
      </c>
      <c r="F3064" s="15"/>
      <c r="G3064" s="26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28"/>
      <c r="AS3064" s="28"/>
      <c r="AT3064" s="28"/>
    </row>
    <row r="3065">
      <c r="A3065" s="5" t="s">
        <v>2771</v>
      </c>
      <c r="B3065" s="6">
        <v>1000.0</v>
      </c>
      <c r="C3065" s="7" t="s">
        <v>1065</v>
      </c>
      <c r="D3065" s="15">
        <v>75230.0</v>
      </c>
      <c r="F3065" s="15"/>
      <c r="G3065" s="26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28"/>
      <c r="AS3065" s="28"/>
      <c r="AT3065" s="28"/>
    </row>
    <row r="3066">
      <c r="A3066" s="5" t="s">
        <v>1153</v>
      </c>
      <c r="B3066" s="6">
        <v>1000.0</v>
      </c>
      <c r="C3066" s="7" t="s">
        <v>1065</v>
      </c>
      <c r="D3066" s="15">
        <v>75230.0</v>
      </c>
      <c r="F3066" s="15"/>
      <c r="G3066" s="26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28"/>
      <c r="AS3066" s="28"/>
      <c r="AT3066" s="28"/>
    </row>
    <row r="3067">
      <c r="A3067" s="5" t="s">
        <v>2772</v>
      </c>
      <c r="B3067" s="6">
        <v>250.0</v>
      </c>
      <c r="C3067" s="7" t="s">
        <v>1065</v>
      </c>
      <c r="D3067" s="15">
        <v>75252.0</v>
      </c>
      <c r="F3067" s="15"/>
      <c r="G3067" s="26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28"/>
      <c r="AS3067" s="28"/>
      <c r="AT3067" s="28"/>
    </row>
    <row r="3068">
      <c r="A3068" s="5" t="s">
        <v>2773</v>
      </c>
      <c r="B3068" s="6">
        <v>5000.0</v>
      </c>
      <c r="C3068" s="7" t="s">
        <v>1065</v>
      </c>
      <c r="D3068" s="15">
        <v>75229.0</v>
      </c>
      <c r="F3068" s="15"/>
      <c r="G3068" s="26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28"/>
      <c r="AS3068" s="28"/>
      <c r="AT3068" s="28"/>
    </row>
    <row r="3069">
      <c r="A3069" s="5" t="s">
        <v>2774</v>
      </c>
      <c r="B3069" s="6">
        <v>1000.0</v>
      </c>
      <c r="C3069" s="7" t="s">
        <v>1065</v>
      </c>
      <c r="D3069" s="15">
        <v>75230.0</v>
      </c>
      <c r="F3069" s="15"/>
      <c r="G3069" s="26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28"/>
      <c r="AS3069" s="28"/>
      <c r="AT3069" s="28"/>
    </row>
    <row r="3070">
      <c r="A3070" s="5" t="s">
        <v>2775</v>
      </c>
      <c r="B3070" s="6">
        <v>500.0</v>
      </c>
      <c r="C3070" s="7" t="s">
        <v>1065</v>
      </c>
      <c r="D3070" s="15">
        <v>75224.0</v>
      </c>
      <c r="F3070" s="15"/>
      <c r="G3070" s="26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28"/>
      <c r="AS3070" s="28"/>
      <c r="AT3070" s="28"/>
    </row>
    <row r="3071">
      <c r="A3071" s="5" t="s">
        <v>2776</v>
      </c>
      <c r="B3071" s="6">
        <v>2500.0</v>
      </c>
      <c r="C3071" s="7" t="s">
        <v>1065</v>
      </c>
      <c r="D3071" s="15">
        <v>75225.0</v>
      </c>
      <c r="F3071" s="15"/>
      <c r="G3071" s="26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28"/>
      <c r="AS3071" s="28"/>
      <c r="AT3071" s="28"/>
    </row>
    <row r="3072">
      <c r="A3072" s="5" t="s">
        <v>1074</v>
      </c>
      <c r="B3072" s="6">
        <v>500.0</v>
      </c>
      <c r="C3072" s="7" t="s">
        <v>1065</v>
      </c>
      <c r="D3072" s="15">
        <v>75001.0</v>
      </c>
      <c r="F3072" s="15"/>
      <c r="G3072" s="26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28"/>
      <c r="AS3072" s="28"/>
      <c r="AT3072" s="28"/>
    </row>
    <row r="3073">
      <c r="A3073" s="5" t="s">
        <v>2777</v>
      </c>
      <c r="B3073" s="6">
        <v>2500.0</v>
      </c>
      <c r="C3073" s="7" t="s">
        <v>1065</v>
      </c>
      <c r="D3073" s="15">
        <v>75225.0</v>
      </c>
      <c r="F3073" s="15"/>
      <c r="G3073" s="26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28"/>
      <c r="AS3073" s="28"/>
      <c r="AT3073" s="28"/>
    </row>
    <row r="3074">
      <c r="A3074" s="5" t="s">
        <v>1536</v>
      </c>
      <c r="B3074" s="6">
        <v>100.0</v>
      </c>
      <c r="C3074" s="7" t="s">
        <v>1065</v>
      </c>
      <c r="D3074" s="15">
        <v>75204.0</v>
      </c>
      <c r="F3074" s="15"/>
      <c r="G3074" s="26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28"/>
      <c r="AS3074" s="28"/>
      <c r="AT3074" s="28"/>
    </row>
    <row r="3075">
      <c r="A3075" s="5" t="s">
        <v>2778</v>
      </c>
      <c r="B3075" s="6">
        <v>1000.0</v>
      </c>
      <c r="C3075" s="7" t="s">
        <v>1065</v>
      </c>
      <c r="D3075" s="15">
        <v>75063.0</v>
      </c>
      <c r="F3075" s="15"/>
      <c r="G3075" s="26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28"/>
      <c r="AS3075" s="28"/>
      <c r="AT3075" s="28"/>
    </row>
    <row r="3076">
      <c r="A3076" s="5" t="s">
        <v>2371</v>
      </c>
      <c r="B3076" s="6">
        <v>10000.0</v>
      </c>
      <c r="C3076" s="7" t="s">
        <v>1065</v>
      </c>
      <c r="D3076" s="15">
        <v>77021.0</v>
      </c>
      <c r="F3076" s="15"/>
      <c r="G3076" s="26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28"/>
      <c r="AS3076" s="28"/>
      <c r="AT3076" s="28"/>
    </row>
    <row r="3077">
      <c r="A3077" s="5" t="s">
        <v>2779</v>
      </c>
      <c r="B3077" s="6">
        <v>1000.0</v>
      </c>
      <c r="C3077" s="7" t="s">
        <v>1065</v>
      </c>
      <c r="D3077" s="15">
        <v>75214.0</v>
      </c>
      <c r="F3077" s="15"/>
      <c r="G3077" s="26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28"/>
      <c r="AS3077" s="28"/>
      <c r="AT3077" s="28"/>
    </row>
    <row r="3078">
      <c r="A3078" s="5" t="s">
        <v>2093</v>
      </c>
      <c r="B3078" s="6">
        <v>1000.0</v>
      </c>
      <c r="C3078" s="7" t="s">
        <v>1065</v>
      </c>
      <c r="D3078" s="15">
        <v>75205.0</v>
      </c>
      <c r="F3078" s="15"/>
      <c r="G3078" s="26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8"/>
      <c r="AT3078" s="28"/>
    </row>
    <row r="3079">
      <c r="A3079" s="5" t="s">
        <v>2780</v>
      </c>
      <c r="B3079" s="6">
        <v>1000.0</v>
      </c>
      <c r="C3079" s="7" t="s">
        <v>1065</v>
      </c>
      <c r="D3079" s="15">
        <v>75214.0</v>
      </c>
      <c r="F3079" s="15"/>
      <c r="G3079" s="26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28"/>
      <c r="AS3079" s="28"/>
      <c r="AT3079" s="28"/>
    </row>
    <row r="3080">
      <c r="A3080" s="5"/>
      <c r="B3080" s="6"/>
      <c r="C3080" s="7"/>
      <c r="D3080" s="15"/>
      <c r="F3080" s="15"/>
      <c r="G3080" s="26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</row>
    <row r="3081">
      <c r="A3081" s="5"/>
      <c r="B3081" s="6"/>
      <c r="C3081" s="7"/>
      <c r="D3081" s="15"/>
      <c r="F3081" s="15"/>
      <c r="G3081" s="26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28"/>
      <c r="AS3081" s="28"/>
      <c r="AT3081" s="28"/>
    </row>
    <row r="3082">
      <c r="A3082" s="5" t="s">
        <v>2783</v>
      </c>
      <c r="B3082" s="6">
        <v>250.0</v>
      </c>
      <c r="C3082" s="7" t="s">
        <v>1065</v>
      </c>
      <c r="D3082" s="15">
        <v>75225.0</v>
      </c>
      <c r="F3082" s="15"/>
      <c r="G3082" s="26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28"/>
      <c r="AS3082" s="28"/>
      <c r="AT3082" s="28"/>
    </row>
    <row r="3083">
      <c r="A3083" s="5" t="s">
        <v>2784</v>
      </c>
      <c r="B3083" s="6">
        <v>500.0</v>
      </c>
      <c r="C3083" s="7" t="s">
        <v>1065</v>
      </c>
      <c r="D3083" s="15">
        <v>75209.0</v>
      </c>
      <c r="F3083" s="15"/>
      <c r="G3083" s="26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28"/>
      <c r="AS3083" s="28"/>
      <c r="AT3083" s="28"/>
    </row>
    <row r="3084">
      <c r="A3084" s="5" t="s">
        <v>2785</v>
      </c>
      <c r="B3084" s="6">
        <v>5000.0</v>
      </c>
      <c r="C3084" s="7" t="s">
        <v>1065</v>
      </c>
      <c r="D3084" s="15">
        <v>75201.0</v>
      </c>
      <c r="F3084" s="15"/>
      <c r="G3084" s="26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28"/>
      <c r="AS3084" s="28"/>
      <c r="AT3084" s="28"/>
    </row>
    <row r="3085">
      <c r="A3085" s="5" t="s">
        <v>642</v>
      </c>
      <c r="B3085" s="6">
        <v>500.0</v>
      </c>
      <c r="C3085" s="7" t="s">
        <v>1065</v>
      </c>
      <c r="D3085" s="15">
        <v>75217.0</v>
      </c>
      <c r="F3085" s="15"/>
      <c r="G3085" s="26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</row>
    <row r="3086">
      <c r="A3086" s="5" t="s">
        <v>2786</v>
      </c>
      <c r="B3086" s="6">
        <v>250.0</v>
      </c>
      <c r="C3086" s="7" t="s">
        <v>1065</v>
      </c>
      <c r="D3086" s="15">
        <v>75243.0</v>
      </c>
      <c r="F3086" s="15"/>
      <c r="G3086" s="26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28"/>
      <c r="AS3086" s="28"/>
      <c r="AT3086" s="28"/>
    </row>
    <row r="3087">
      <c r="A3087" s="5" t="s">
        <v>2325</v>
      </c>
      <c r="B3087" s="6">
        <v>500.0</v>
      </c>
      <c r="C3087" s="7" t="s">
        <v>1065</v>
      </c>
      <c r="D3087" s="15">
        <v>75252.0</v>
      </c>
      <c r="F3087" s="15"/>
      <c r="G3087" s="26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28"/>
      <c r="AS3087" s="28"/>
      <c r="AT3087" s="28"/>
    </row>
    <row r="3088">
      <c r="A3088" s="5" t="s">
        <v>2787</v>
      </c>
      <c r="B3088" s="6">
        <v>500.0</v>
      </c>
      <c r="C3088" s="7" t="s">
        <v>1065</v>
      </c>
      <c r="D3088" s="15">
        <v>75201.0</v>
      </c>
      <c r="F3088" s="15"/>
      <c r="G3088" s="26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28"/>
      <c r="AS3088" s="28"/>
      <c r="AT3088" s="28"/>
    </row>
    <row r="3089">
      <c r="A3089" s="5" t="s">
        <v>2788</v>
      </c>
      <c r="B3089" s="6">
        <v>250.0</v>
      </c>
      <c r="C3089" s="7" t="s">
        <v>1065</v>
      </c>
      <c r="D3089" s="15">
        <v>75204.0</v>
      </c>
      <c r="F3089" s="15"/>
      <c r="G3089" s="26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28"/>
      <c r="AS3089" s="28"/>
      <c r="AT3089" s="28"/>
    </row>
    <row r="3090">
      <c r="A3090" s="5" t="s">
        <v>2789</v>
      </c>
      <c r="B3090" s="6">
        <v>250.0</v>
      </c>
      <c r="C3090" s="7" t="s">
        <v>1065</v>
      </c>
      <c r="D3090" s="15">
        <v>75240.0</v>
      </c>
      <c r="F3090" s="15"/>
      <c r="G3090" s="26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28"/>
      <c r="AS3090" s="28"/>
      <c r="AT3090" s="28"/>
    </row>
    <row r="3091">
      <c r="A3091" s="5" t="s">
        <v>2790</v>
      </c>
      <c r="B3091" s="6">
        <v>250.0</v>
      </c>
      <c r="C3091" s="7" t="s">
        <v>1065</v>
      </c>
      <c r="D3091" s="15">
        <v>75240.0</v>
      </c>
      <c r="F3091" s="15"/>
      <c r="G3091" s="26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</row>
    <row r="3092">
      <c r="A3092" s="5" t="s">
        <v>2791</v>
      </c>
      <c r="B3092" s="6">
        <v>500.0</v>
      </c>
      <c r="C3092" s="7" t="s">
        <v>1065</v>
      </c>
      <c r="D3092" s="15">
        <v>75214.0</v>
      </c>
      <c r="F3092" s="15"/>
      <c r="G3092" s="26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28"/>
      <c r="AS3092" s="28"/>
      <c r="AT3092" s="28"/>
    </row>
    <row r="3093">
      <c r="A3093" s="5" t="s">
        <v>2792</v>
      </c>
      <c r="B3093" s="6">
        <v>35.0</v>
      </c>
      <c r="C3093" s="7" t="s">
        <v>1065</v>
      </c>
      <c r="D3093" s="15">
        <v>75252.0</v>
      </c>
      <c r="F3093" s="15"/>
      <c r="G3093" s="26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28"/>
      <c r="AS3093" s="28"/>
      <c r="AT3093" s="28"/>
    </row>
    <row r="3094">
      <c r="A3094" s="5" t="s">
        <v>2260</v>
      </c>
      <c r="B3094" s="6">
        <v>500.0</v>
      </c>
      <c r="C3094" s="7" t="s">
        <v>1065</v>
      </c>
      <c r="D3094" s="15">
        <v>75028.0</v>
      </c>
      <c r="F3094" s="15"/>
      <c r="G3094" s="26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28"/>
      <c r="AS3094" s="28"/>
      <c r="AT3094" s="28"/>
    </row>
    <row r="3095">
      <c r="A3095" s="5" t="s">
        <v>2793</v>
      </c>
      <c r="B3095" s="6">
        <v>500.0</v>
      </c>
      <c r="C3095" s="7" t="s">
        <v>1065</v>
      </c>
      <c r="D3095" s="15">
        <v>75230.0</v>
      </c>
      <c r="F3095" s="15"/>
      <c r="G3095" s="26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28"/>
      <c r="AS3095" s="28"/>
      <c r="AT3095" s="28"/>
    </row>
    <row r="3096">
      <c r="A3096" s="5" t="s">
        <v>2254</v>
      </c>
      <c r="B3096" s="6">
        <v>250.0</v>
      </c>
      <c r="C3096" s="7" t="s">
        <v>1065</v>
      </c>
      <c r="D3096" s="15">
        <v>75214.0</v>
      </c>
      <c r="F3096" s="15"/>
      <c r="G3096" s="26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28"/>
      <c r="AS3096" s="28"/>
      <c r="AT3096" s="28"/>
    </row>
    <row r="3097">
      <c r="A3097" s="5" t="s">
        <v>2794</v>
      </c>
      <c r="B3097" s="6">
        <v>250.0</v>
      </c>
      <c r="C3097" s="7" t="s">
        <v>1065</v>
      </c>
      <c r="D3097" s="15">
        <v>75206.0</v>
      </c>
      <c r="F3097" s="15"/>
      <c r="G3097" s="26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28"/>
      <c r="AS3097" s="28"/>
      <c r="AT3097" s="28"/>
    </row>
    <row r="3098">
      <c r="A3098" s="5" t="s">
        <v>1930</v>
      </c>
      <c r="B3098" s="6">
        <v>1000.0</v>
      </c>
      <c r="C3098" s="7" t="s">
        <v>1065</v>
      </c>
      <c r="D3098" s="15">
        <v>75219.0</v>
      </c>
      <c r="F3098" s="15"/>
      <c r="G3098" s="26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28"/>
      <c r="AS3098" s="28"/>
      <c r="AT3098" s="28"/>
    </row>
    <row r="3099">
      <c r="A3099" s="5" t="s">
        <v>317</v>
      </c>
      <c r="B3099" s="6">
        <v>1000.0</v>
      </c>
      <c r="C3099" s="7" t="s">
        <v>1065</v>
      </c>
      <c r="D3099" s="15">
        <v>75201.0</v>
      </c>
      <c r="F3099" s="15"/>
      <c r="G3099" s="26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28"/>
      <c r="AS3099" s="28"/>
      <c r="AT3099" s="28"/>
    </row>
    <row r="3100">
      <c r="A3100" s="5" t="s">
        <v>2795</v>
      </c>
      <c r="B3100" s="6">
        <v>1000.0</v>
      </c>
      <c r="C3100" s="7" t="s">
        <v>1065</v>
      </c>
      <c r="D3100" s="15">
        <v>75229.0</v>
      </c>
      <c r="F3100" s="15"/>
      <c r="G3100" s="26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28"/>
      <c r="AS3100" s="28"/>
      <c r="AT3100" s="28"/>
    </row>
    <row r="3101">
      <c r="A3101" s="5"/>
      <c r="B3101" s="6"/>
      <c r="C3101" s="7"/>
      <c r="D3101" s="15"/>
      <c r="F3101" s="15"/>
      <c r="G3101" s="26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28"/>
      <c r="AS3101" s="28"/>
      <c r="AT3101" s="28"/>
    </row>
    <row r="3102">
      <c r="A3102" s="5" t="s">
        <v>2797</v>
      </c>
      <c r="B3102" s="6">
        <v>1000.0</v>
      </c>
      <c r="C3102" s="7" t="s">
        <v>1065</v>
      </c>
      <c r="D3102" s="15">
        <v>75201.0</v>
      </c>
      <c r="F3102" s="15"/>
      <c r="G3102" s="26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28"/>
      <c r="AS3102" s="28"/>
      <c r="AT3102" s="28"/>
    </row>
    <row r="3103">
      <c r="A3103" s="5" t="s">
        <v>2798</v>
      </c>
      <c r="B3103" s="6">
        <v>100.0</v>
      </c>
      <c r="C3103" s="7" t="s">
        <v>1065</v>
      </c>
      <c r="D3103" s="15">
        <v>75218.0</v>
      </c>
      <c r="F3103" s="15"/>
      <c r="G3103" s="26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28"/>
      <c r="AS3103" s="28"/>
      <c r="AT3103" s="28"/>
    </row>
    <row r="3104">
      <c r="A3104" s="5" t="s">
        <v>2799</v>
      </c>
      <c r="B3104" s="6">
        <v>100.0</v>
      </c>
      <c r="C3104" s="7" t="s">
        <v>1065</v>
      </c>
      <c r="D3104" s="15">
        <v>75230.0</v>
      </c>
      <c r="F3104" s="15"/>
      <c r="G3104" s="26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28"/>
      <c r="AS3104" s="28"/>
      <c r="AT3104" s="28"/>
    </row>
    <row r="3105">
      <c r="A3105" s="5" t="s">
        <v>2800</v>
      </c>
      <c r="B3105" s="6">
        <v>2500.0</v>
      </c>
      <c r="C3105" s="7" t="s">
        <v>1065</v>
      </c>
      <c r="D3105" s="15">
        <v>75205.0</v>
      </c>
      <c r="F3105" s="15"/>
      <c r="G3105" s="26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28"/>
      <c r="AS3105" s="28"/>
      <c r="AT3105" s="28"/>
    </row>
    <row r="3106">
      <c r="A3106" s="5" t="s">
        <v>2801</v>
      </c>
      <c r="B3106" s="6">
        <v>2500.0</v>
      </c>
      <c r="C3106" s="7" t="s">
        <v>1065</v>
      </c>
      <c r="D3106" s="15">
        <v>75205.0</v>
      </c>
      <c r="F3106" s="15"/>
      <c r="G3106" s="26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8"/>
      <c r="AT3106" s="28"/>
    </row>
    <row r="3107">
      <c r="A3107" s="5" t="s">
        <v>2605</v>
      </c>
      <c r="B3107" s="6">
        <v>5000.0</v>
      </c>
      <c r="C3107" s="7" t="s">
        <v>649</v>
      </c>
      <c r="D3107" s="15">
        <v>75201.0</v>
      </c>
      <c r="F3107" s="15"/>
      <c r="G3107" s="26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28"/>
      <c r="AS3107" s="28"/>
      <c r="AT3107" s="28"/>
    </row>
    <row r="3108">
      <c r="A3108" s="10" t="s">
        <v>2802</v>
      </c>
      <c r="B3108" s="11">
        <v>5000.0</v>
      </c>
      <c r="C3108" s="12" t="s">
        <v>649</v>
      </c>
      <c r="D3108" s="15">
        <v>75201.0</v>
      </c>
      <c r="F3108" s="15"/>
      <c r="G3108" s="26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28"/>
      <c r="AS3108" s="28"/>
      <c r="AT3108" s="28"/>
    </row>
    <row r="3109">
      <c r="A3109" s="5" t="s">
        <v>2803</v>
      </c>
      <c r="B3109" s="6">
        <v>1000.0</v>
      </c>
      <c r="C3109" s="7" t="s">
        <v>649</v>
      </c>
      <c r="D3109" s="15">
        <v>75205.0</v>
      </c>
      <c r="F3109" s="15"/>
      <c r="G3109" s="26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28"/>
      <c r="AS3109" s="28"/>
      <c r="AT3109" s="28"/>
    </row>
    <row r="3110">
      <c r="A3110" s="10" t="s">
        <v>2804</v>
      </c>
      <c r="B3110" s="11">
        <v>250.0</v>
      </c>
      <c r="C3110" s="12" t="s">
        <v>649</v>
      </c>
      <c r="D3110" s="15">
        <v>75218.0</v>
      </c>
      <c r="F3110" s="15"/>
      <c r="G3110" s="26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28"/>
      <c r="AS3110" s="28"/>
      <c r="AT3110" s="28"/>
    </row>
    <row r="3111">
      <c r="A3111" s="5" t="s">
        <v>2805</v>
      </c>
      <c r="B3111" s="6">
        <v>100.0</v>
      </c>
      <c r="C3111" s="7" t="s">
        <v>5</v>
      </c>
      <c r="D3111" s="15">
        <v>75225.0</v>
      </c>
      <c r="F3111" s="15"/>
      <c r="G3111" s="26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</row>
    <row r="3112">
      <c r="A3112" s="10" t="s">
        <v>2806</v>
      </c>
      <c r="B3112" s="11">
        <v>500.0</v>
      </c>
      <c r="C3112" s="12" t="s">
        <v>5</v>
      </c>
      <c r="D3112" s="15">
        <v>75225.0</v>
      </c>
      <c r="F3112" s="15"/>
      <c r="G3112" s="26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28"/>
      <c r="AS3112" s="28"/>
      <c r="AT3112" s="28"/>
    </row>
    <row r="3113">
      <c r="A3113" s="5" t="s">
        <v>1838</v>
      </c>
      <c r="B3113" s="6">
        <v>360.0</v>
      </c>
      <c r="C3113" s="7" t="s">
        <v>5</v>
      </c>
      <c r="D3113" s="15">
        <v>75220.0</v>
      </c>
      <c r="F3113" s="15"/>
      <c r="G3113" s="26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</row>
    <row r="3114">
      <c r="A3114" s="10" t="s">
        <v>12</v>
      </c>
      <c r="B3114" s="11">
        <v>100.0</v>
      </c>
      <c r="C3114" s="12" t="s">
        <v>5</v>
      </c>
      <c r="D3114" s="15">
        <v>75244.0</v>
      </c>
      <c r="F3114" s="15"/>
      <c r="G3114" s="26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28"/>
      <c r="AS3114" s="28"/>
      <c r="AT3114" s="28"/>
    </row>
    <row r="3115">
      <c r="A3115" s="5" t="s">
        <v>2807</v>
      </c>
      <c r="B3115" s="6">
        <v>100.0</v>
      </c>
      <c r="C3115" s="7" t="s">
        <v>5</v>
      </c>
      <c r="D3115" s="15">
        <v>75230.0</v>
      </c>
      <c r="F3115" s="15"/>
      <c r="G3115" s="26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28"/>
      <c r="AS3115" s="28"/>
      <c r="AT3115" s="28"/>
    </row>
    <row r="3116">
      <c r="A3116" s="10" t="s">
        <v>2808</v>
      </c>
      <c r="B3116" s="11">
        <v>300.0</v>
      </c>
      <c r="C3116" s="12" t="s">
        <v>5</v>
      </c>
      <c r="D3116" s="15">
        <v>75209.0</v>
      </c>
      <c r="F3116" s="15"/>
      <c r="G3116" s="26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28"/>
      <c r="AS3116" s="28"/>
      <c r="AT3116" s="28"/>
    </row>
    <row r="3117">
      <c r="A3117" s="5" t="s">
        <v>2809</v>
      </c>
      <c r="B3117" s="6">
        <v>200.0</v>
      </c>
      <c r="C3117" s="7" t="s">
        <v>5</v>
      </c>
      <c r="D3117" s="15">
        <v>75244.0</v>
      </c>
      <c r="F3117" s="15"/>
      <c r="G3117" s="26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28"/>
      <c r="AS3117" s="28"/>
      <c r="AT3117" s="28"/>
    </row>
    <row r="3118">
      <c r="A3118" s="10" t="s">
        <v>2810</v>
      </c>
      <c r="B3118" s="11">
        <v>500.0</v>
      </c>
      <c r="C3118" s="12" t="s">
        <v>5</v>
      </c>
      <c r="D3118" s="15">
        <v>75225.0</v>
      </c>
      <c r="F3118" s="15"/>
      <c r="G3118" s="26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28"/>
      <c r="AS3118" s="28"/>
      <c r="AT3118" s="28"/>
    </row>
    <row r="3119">
      <c r="A3119" s="5" t="s">
        <v>1811</v>
      </c>
      <c r="B3119" s="6">
        <v>150.0</v>
      </c>
      <c r="C3119" s="7" t="s">
        <v>5</v>
      </c>
      <c r="D3119" s="15">
        <v>75220.0</v>
      </c>
      <c r="F3119" s="15"/>
      <c r="G3119" s="26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28"/>
      <c r="AS3119" s="28"/>
      <c r="AT3119" s="28"/>
    </row>
    <row r="3120">
      <c r="A3120" s="10" t="s">
        <v>2811</v>
      </c>
      <c r="B3120" s="11">
        <v>100.0</v>
      </c>
      <c r="C3120" s="12" t="s">
        <v>5</v>
      </c>
      <c r="D3120" s="15">
        <v>75209.0</v>
      </c>
      <c r="F3120" s="15"/>
      <c r="G3120" s="26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28"/>
      <c r="AS3120" s="28"/>
      <c r="AT3120" s="28"/>
    </row>
    <row r="3121">
      <c r="A3121" s="5" t="s">
        <v>2812</v>
      </c>
      <c r="B3121" s="6">
        <v>100.0</v>
      </c>
      <c r="C3121" s="7" t="s">
        <v>5</v>
      </c>
      <c r="D3121" s="15">
        <v>75225.0</v>
      </c>
      <c r="F3121" s="15"/>
      <c r="G3121" s="26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28"/>
      <c r="AS3121" s="28"/>
      <c r="AT3121" s="28"/>
    </row>
    <row r="3122">
      <c r="A3122" s="10" t="s">
        <v>1344</v>
      </c>
      <c r="B3122" s="11">
        <v>500.0</v>
      </c>
      <c r="C3122" s="12" t="s">
        <v>5</v>
      </c>
      <c r="D3122" s="15">
        <v>75231.0</v>
      </c>
      <c r="F3122" s="15"/>
      <c r="G3122" s="26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8"/>
      <c r="AT3122" s="28"/>
    </row>
    <row r="3123">
      <c r="A3123" s="5" t="s">
        <v>2813</v>
      </c>
      <c r="B3123" s="6">
        <v>10.0</v>
      </c>
      <c r="C3123" s="7" t="s">
        <v>5</v>
      </c>
      <c r="D3123" s="15">
        <v>75231.0</v>
      </c>
      <c r="F3123" s="15"/>
      <c r="G3123" s="26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28"/>
      <c r="AS3123" s="28"/>
      <c r="AT3123" s="28"/>
    </row>
    <row r="3124">
      <c r="A3124" s="10" t="s">
        <v>2814</v>
      </c>
      <c r="B3124" s="11">
        <v>100.0</v>
      </c>
      <c r="C3124" s="12" t="s">
        <v>5</v>
      </c>
      <c r="D3124" s="15">
        <v>75244.0</v>
      </c>
      <c r="F3124" s="15"/>
      <c r="G3124" s="26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28"/>
      <c r="AS3124" s="28"/>
      <c r="AT3124" s="28"/>
    </row>
    <row r="3125">
      <c r="A3125" s="5" t="s">
        <v>2815</v>
      </c>
      <c r="B3125" s="6">
        <v>100.0</v>
      </c>
      <c r="C3125" s="7" t="s">
        <v>5</v>
      </c>
      <c r="D3125" s="15">
        <v>75209.0</v>
      </c>
      <c r="F3125" s="15"/>
      <c r="G3125" s="26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28"/>
      <c r="AS3125" s="28"/>
      <c r="AT3125" s="28"/>
    </row>
    <row r="3126">
      <c r="A3126" s="10" t="s">
        <v>2816</v>
      </c>
      <c r="B3126" s="11">
        <v>300.0</v>
      </c>
      <c r="C3126" s="12" t="s">
        <v>5</v>
      </c>
      <c r="D3126" s="15">
        <v>75229.0</v>
      </c>
      <c r="F3126" s="15"/>
      <c r="G3126" s="26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28"/>
      <c r="AS3126" s="28"/>
      <c r="AT3126" s="28"/>
    </row>
    <row r="3127">
      <c r="A3127" s="5" t="s">
        <v>2817</v>
      </c>
      <c r="B3127" s="6">
        <v>1000.0</v>
      </c>
      <c r="C3127" s="7" t="s">
        <v>5</v>
      </c>
      <c r="D3127" s="15">
        <v>75225.0</v>
      </c>
      <c r="F3127" s="15"/>
      <c r="G3127" s="26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</row>
    <row r="3128">
      <c r="A3128" s="10" t="s">
        <v>2818</v>
      </c>
      <c r="B3128" s="11">
        <v>500.0</v>
      </c>
      <c r="C3128" s="12" t="s">
        <v>5</v>
      </c>
      <c r="D3128" s="15">
        <v>75209.0</v>
      </c>
      <c r="F3128" s="15"/>
      <c r="G3128" s="26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</row>
    <row r="3129">
      <c r="A3129" s="5" t="s">
        <v>2819</v>
      </c>
      <c r="B3129" s="6">
        <v>100.0</v>
      </c>
      <c r="C3129" s="7" t="s">
        <v>5</v>
      </c>
      <c r="D3129" s="15">
        <v>75231.0</v>
      </c>
      <c r="F3129" s="15"/>
      <c r="G3129" s="26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</row>
    <row r="3130">
      <c r="A3130" s="10" t="s">
        <v>1841</v>
      </c>
      <c r="B3130" s="11">
        <v>1000.0</v>
      </c>
      <c r="C3130" s="12" t="s">
        <v>5</v>
      </c>
      <c r="D3130" s="15">
        <v>75209.0</v>
      </c>
      <c r="F3130" s="15"/>
      <c r="G3130" s="26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8"/>
      <c r="AT3130" s="28"/>
    </row>
    <row r="3131">
      <c r="A3131" s="5" t="s">
        <v>2820</v>
      </c>
      <c r="B3131" s="6">
        <v>50.0</v>
      </c>
      <c r="C3131" s="7" t="s">
        <v>5</v>
      </c>
      <c r="D3131" s="15">
        <v>75229.0</v>
      </c>
      <c r="F3131" s="15"/>
      <c r="G3131" s="26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</row>
    <row r="3132">
      <c r="A3132" s="10" t="s">
        <v>2821</v>
      </c>
      <c r="B3132" s="11">
        <v>25.0</v>
      </c>
      <c r="C3132" s="12" t="s">
        <v>5</v>
      </c>
      <c r="D3132" s="15">
        <v>75225.0</v>
      </c>
      <c r="F3132" s="15"/>
      <c r="G3132" s="26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</row>
    <row r="3133">
      <c r="A3133" s="5" t="s">
        <v>2822</v>
      </c>
      <c r="B3133" s="6">
        <v>100.0</v>
      </c>
      <c r="C3133" s="7" t="s">
        <v>5</v>
      </c>
      <c r="D3133" s="15">
        <v>75230.0</v>
      </c>
      <c r="F3133" s="15"/>
      <c r="G3133" s="26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</row>
    <row r="3134">
      <c r="A3134" s="10" t="s">
        <v>2823</v>
      </c>
      <c r="B3134" s="11">
        <v>250.0</v>
      </c>
      <c r="C3134" s="12" t="s">
        <v>5</v>
      </c>
      <c r="D3134" s="15">
        <v>75244.0</v>
      </c>
      <c r="F3134" s="15"/>
      <c r="G3134" s="26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</row>
    <row r="3135">
      <c r="A3135" s="5" t="s">
        <v>1809</v>
      </c>
      <c r="B3135" s="6">
        <v>250.0</v>
      </c>
      <c r="C3135" s="7" t="s">
        <v>5</v>
      </c>
      <c r="D3135" s="15">
        <v>75229.0</v>
      </c>
      <c r="F3135" s="15"/>
      <c r="G3135" s="26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</row>
    <row r="3136">
      <c r="A3136" s="10" t="s">
        <v>2824</v>
      </c>
      <c r="B3136" s="11">
        <v>50.0</v>
      </c>
      <c r="C3136" s="12" t="s">
        <v>5</v>
      </c>
      <c r="D3136" s="15">
        <v>75205.0</v>
      </c>
      <c r="F3136" s="15"/>
      <c r="G3136" s="26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</row>
    <row r="3137">
      <c r="A3137" s="5" t="s">
        <v>2825</v>
      </c>
      <c r="B3137" s="6">
        <v>100.0</v>
      </c>
      <c r="C3137" s="7" t="s">
        <v>5</v>
      </c>
      <c r="D3137" s="15">
        <v>75229.0</v>
      </c>
      <c r="F3137" s="15"/>
      <c r="G3137" s="26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</row>
    <row r="3138">
      <c r="A3138" s="10" t="s">
        <v>1849</v>
      </c>
      <c r="B3138" s="11">
        <v>2500.0</v>
      </c>
      <c r="C3138" s="12" t="s">
        <v>5</v>
      </c>
      <c r="D3138" s="15">
        <v>75229.0</v>
      </c>
      <c r="F3138" s="15"/>
      <c r="G3138" s="26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8"/>
      <c r="AT3138" s="28"/>
    </row>
    <row r="3139">
      <c r="A3139" s="5" t="s">
        <v>2826</v>
      </c>
      <c r="B3139" s="6">
        <v>200.0</v>
      </c>
      <c r="C3139" s="7" t="s">
        <v>5</v>
      </c>
      <c r="D3139" s="15">
        <v>75209.0</v>
      </c>
      <c r="F3139" s="15"/>
      <c r="G3139" s="26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</row>
    <row r="3140">
      <c r="A3140" s="10" t="s">
        <v>2827</v>
      </c>
      <c r="B3140" s="11">
        <v>500.0</v>
      </c>
      <c r="C3140" s="12" t="s">
        <v>5</v>
      </c>
      <c r="D3140" s="15">
        <v>75229.0</v>
      </c>
      <c r="F3140" s="15"/>
      <c r="G3140" s="26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</row>
    <row r="3141">
      <c r="A3141" s="5" t="s">
        <v>2828</v>
      </c>
      <c r="B3141" s="6">
        <v>100.0</v>
      </c>
      <c r="C3141" s="7" t="s">
        <v>5</v>
      </c>
      <c r="D3141" s="15">
        <v>75204.0</v>
      </c>
      <c r="F3141" s="15"/>
      <c r="G3141" s="26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</row>
    <row r="3142">
      <c r="A3142" s="10" t="s">
        <v>2819</v>
      </c>
      <c r="B3142" s="11">
        <v>100.0</v>
      </c>
      <c r="C3142" s="12" t="s">
        <v>5</v>
      </c>
      <c r="D3142" s="15">
        <v>75231.0</v>
      </c>
      <c r="F3142" s="15"/>
      <c r="G3142" s="26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8"/>
      <c r="AT3142" s="28"/>
    </row>
    <row r="3143">
      <c r="A3143" s="5" t="s">
        <v>2829</v>
      </c>
      <c r="B3143" s="6">
        <v>1000.0</v>
      </c>
      <c r="C3143" s="7" t="s">
        <v>5</v>
      </c>
      <c r="D3143" s="15">
        <v>75225.0</v>
      </c>
      <c r="F3143" s="15"/>
      <c r="G3143" s="26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28"/>
      <c r="AS3143" s="28"/>
      <c r="AT3143" s="28"/>
    </row>
    <row r="3144">
      <c r="A3144" s="10" t="s">
        <v>2830</v>
      </c>
      <c r="B3144" s="11">
        <v>100.0</v>
      </c>
      <c r="C3144" s="12" t="s">
        <v>5</v>
      </c>
      <c r="D3144" s="15">
        <v>75225.0</v>
      </c>
      <c r="F3144" s="15"/>
      <c r="G3144" s="26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28"/>
      <c r="AS3144" s="28"/>
      <c r="AT3144" s="28"/>
    </row>
    <row r="3145">
      <c r="A3145" s="5" t="s">
        <v>2811</v>
      </c>
      <c r="B3145" s="6">
        <v>100.0</v>
      </c>
      <c r="C3145" s="7" t="s">
        <v>5</v>
      </c>
      <c r="D3145" s="15">
        <v>75209.0</v>
      </c>
      <c r="F3145" s="15"/>
      <c r="G3145" s="26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28"/>
      <c r="AS3145" s="28"/>
      <c r="AT3145" s="28"/>
    </row>
    <row r="3146">
      <c r="A3146" s="10" t="s">
        <v>2831</v>
      </c>
      <c r="B3146" s="11">
        <v>50.0</v>
      </c>
      <c r="C3146" s="12" t="s">
        <v>5</v>
      </c>
      <c r="D3146" s="15">
        <v>75229.0</v>
      </c>
      <c r="F3146" s="15"/>
      <c r="G3146" s="26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28"/>
      <c r="AS3146" s="28"/>
      <c r="AT3146" s="28"/>
    </row>
    <row r="3147">
      <c r="A3147" s="5" t="s">
        <v>2832</v>
      </c>
      <c r="B3147" s="6">
        <v>250.0</v>
      </c>
      <c r="C3147" s="7" t="s">
        <v>5</v>
      </c>
      <c r="D3147" s="15">
        <v>75220.0</v>
      </c>
      <c r="F3147" s="15"/>
      <c r="G3147" s="26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28"/>
      <c r="AS3147" s="28"/>
      <c r="AT3147" s="28"/>
    </row>
    <row r="3148">
      <c r="A3148" s="10" t="s">
        <v>344</v>
      </c>
      <c r="B3148" s="11">
        <v>250.0</v>
      </c>
      <c r="C3148" s="12" t="s">
        <v>5</v>
      </c>
      <c r="D3148" s="15">
        <v>75376.0</v>
      </c>
      <c r="F3148" s="15"/>
      <c r="G3148" s="26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28"/>
      <c r="AS3148" s="28"/>
      <c r="AT3148" s="28"/>
    </row>
    <row r="3149">
      <c r="A3149" s="5" t="s">
        <v>2833</v>
      </c>
      <c r="B3149" s="6">
        <v>100.0</v>
      </c>
      <c r="C3149" s="7" t="s">
        <v>5</v>
      </c>
      <c r="D3149" s="15">
        <v>75209.0</v>
      </c>
      <c r="F3149" s="15"/>
      <c r="G3149" s="26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28"/>
      <c r="AS3149" s="28"/>
      <c r="AT3149" s="28"/>
    </row>
    <row r="3150">
      <c r="A3150" s="10" t="s">
        <v>2834</v>
      </c>
      <c r="B3150" s="11">
        <v>100.0</v>
      </c>
      <c r="C3150" s="12" t="s">
        <v>5</v>
      </c>
      <c r="D3150" s="15">
        <v>75225.0</v>
      </c>
      <c r="F3150" s="15"/>
      <c r="G3150" s="26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28"/>
      <c r="AS3150" s="28"/>
      <c r="AT3150" s="28"/>
    </row>
    <row r="3151">
      <c r="A3151" s="5" t="s">
        <v>2835</v>
      </c>
      <c r="B3151" s="6">
        <v>50.0</v>
      </c>
      <c r="C3151" s="7" t="s">
        <v>5</v>
      </c>
      <c r="D3151" s="15">
        <v>75209.0</v>
      </c>
      <c r="F3151" s="15"/>
      <c r="G3151" s="26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28"/>
      <c r="AS3151" s="28"/>
      <c r="AT3151" s="28"/>
    </row>
    <row r="3152">
      <c r="A3152" s="10" t="s">
        <v>2836</v>
      </c>
      <c r="B3152" s="11">
        <v>30.0</v>
      </c>
      <c r="C3152" s="12" t="s">
        <v>5</v>
      </c>
      <c r="D3152" s="15">
        <v>75229.0</v>
      </c>
      <c r="F3152" s="15"/>
      <c r="G3152" s="26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28"/>
      <c r="AS3152" s="28"/>
      <c r="AT3152" s="28"/>
    </row>
    <row r="3153">
      <c r="A3153" s="5" t="s">
        <v>2837</v>
      </c>
      <c r="B3153" s="6">
        <v>10.0</v>
      </c>
      <c r="C3153" s="7" t="s">
        <v>5</v>
      </c>
      <c r="D3153" s="15">
        <v>75231.0</v>
      </c>
      <c r="F3153" s="15"/>
      <c r="G3153" s="26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28"/>
      <c r="AS3153" s="28"/>
      <c r="AT3153" s="28"/>
    </row>
    <row r="3154">
      <c r="A3154" s="10" t="s">
        <v>2838</v>
      </c>
      <c r="B3154" s="11">
        <v>100.0</v>
      </c>
      <c r="C3154" s="12" t="s">
        <v>5</v>
      </c>
      <c r="D3154" s="15">
        <v>75229.0</v>
      </c>
      <c r="F3154" s="15"/>
      <c r="G3154" s="26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28"/>
      <c r="AS3154" s="28"/>
      <c r="AT3154" s="28"/>
    </row>
    <row r="3155">
      <c r="A3155" s="5" t="s">
        <v>2839</v>
      </c>
      <c r="B3155" s="6">
        <v>250.0</v>
      </c>
      <c r="C3155" s="7" t="s">
        <v>5</v>
      </c>
      <c r="D3155" s="15">
        <v>75228.0</v>
      </c>
      <c r="F3155" s="15"/>
      <c r="G3155" s="26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28"/>
      <c r="AS3155" s="28"/>
      <c r="AT3155" s="28"/>
    </row>
    <row r="3156">
      <c r="A3156" s="10" t="s">
        <v>2816</v>
      </c>
      <c r="B3156" s="11">
        <v>100.0</v>
      </c>
      <c r="C3156" s="12" t="s">
        <v>5</v>
      </c>
      <c r="D3156" s="15">
        <v>75229.0</v>
      </c>
      <c r="F3156" s="15"/>
      <c r="G3156" s="26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28"/>
      <c r="AS3156" s="28"/>
      <c r="AT3156" s="28"/>
    </row>
    <row r="3157">
      <c r="A3157" s="5" t="s">
        <v>2840</v>
      </c>
      <c r="B3157" s="6">
        <v>1000.0</v>
      </c>
      <c r="C3157" s="7" t="s">
        <v>5</v>
      </c>
      <c r="D3157" s="15">
        <v>75207.0</v>
      </c>
      <c r="F3157" s="15"/>
      <c r="G3157" s="26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</row>
    <row r="3158">
      <c r="A3158" s="10" t="s">
        <v>2799</v>
      </c>
      <c r="B3158" s="11">
        <v>30.0</v>
      </c>
      <c r="C3158" s="12" t="s">
        <v>5</v>
      </c>
      <c r="D3158" s="15">
        <v>75230.0</v>
      </c>
      <c r="F3158" s="15"/>
      <c r="G3158" s="26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28"/>
      <c r="AS3158" s="28"/>
      <c r="AT3158" s="28"/>
    </row>
    <row r="3159">
      <c r="A3159" s="5" t="s">
        <v>2841</v>
      </c>
      <c r="B3159" s="6">
        <v>1000.0</v>
      </c>
      <c r="C3159" s="7" t="s">
        <v>5</v>
      </c>
      <c r="D3159" s="15">
        <v>75230.0</v>
      </c>
      <c r="F3159" s="15"/>
      <c r="G3159" s="26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28"/>
      <c r="AS3159" s="28"/>
      <c r="AT3159" s="28"/>
    </row>
    <row r="3160">
      <c r="A3160" s="10" t="s">
        <v>2842</v>
      </c>
      <c r="B3160" s="11">
        <v>1000.0</v>
      </c>
      <c r="C3160" s="12" t="s">
        <v>5</v>
      </c>
      <c r="D3160" s="15">
        <v>75201.0</v>
      </c>
      <c r="F3160" s="15"/>
      <c r="G3160" s="26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28"/>
      <c r="AS3160" s="28"/>
      <c r="AT3160" s="28"/>
    </row>
    <row r="3161">
      <c r="A3161" s="5" t="s">
        <v>2843</v>
      </c>
      <c r="B3161" s="6">
        <v>50.0</v>
      </c>
      <c r="C3161" s="7" t="s">
        <v>5</v>
      </c>
      <c r="D3161" s="15">
        <v>75209.0</v>
      </c>
      <c r="F3161" s="15"/>
      <c r="G3161" s="26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28"/>
      <c r="AS3161" s="28"/>
      <c r="AT3161" s="28"/>
    </row>
    <row r="3162">
      <c r="A3162" s="10" t="s">
        <v>2844</v>
      </c>
      <c r="B3162" s="11">
        <v>250.0</v>
      </c>
      <c r="C3162" s="12" t="s">
        <v>1005</v>
      </c>
      <c r="D3162" s="15">
        <v>75226.0</v>
      </c>
      <c r="F3162" s="15"/>
      <c r="G3162" s="26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28"/>
      <c r="AS3162" s="28"/>
      <c r="AT3162" s="28"/>
    </row>
    <row r="3163">
      <c r="A3163" s="5" t="s">
        <v>2845</v>
      </c>
      <c r="B3163" s="6">
        <v>250.0</v>
      </c>
      <c r="C3163" s="7" t="s">
        <v>1005</v>
      </c>
      <c r="D3163" s="15">
        <v>75228.0</v>
      </c>
      <c r="F3163" s="15"/>
      <c r="G3163" s="26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28"/>
      <c r="AS3163" s="28"/>
      <c r="AT3163" s="28"/>
    </row>
    <row r="3164">
      <c r="A3164" s="10" t="s">
        <v>2846</v>
      </c>
      <c r="B3164" s="11">
        <v>250.0</v>
      </c>
      <c r="C3164" s="12" t="s">
        <v>1005</v>
      </c>
      <c r="D3164" s="15">
        <v>75228.0</v>
      </c>
      <c r="F3164" s="15"/>
      <c r="G3164" s="26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28"/>
      <c r="AS3164" s="28"/>
      <c r="AT3164" s="28"/>
    </row>
    <row r="3165">
      <c r="A3165" s="5" t="s">
        <v>1940</v>
      </c>
      <c r="B3165" s="6">
        <v>1000.0</v>
      </c>
      <c r="C3165" s="7" t="s">
        <v>1005</v>
      </c>
      <c r="D3165" s="15">
        <v>75367.0</v>
      </c>
      <c r="F3165" s="15"/>
      <c r="G3165" s="26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28"/>
      <c r="AS3165" s="28"/>
      <c r="AT3165" s="28"/>
    </row>
    <row r="3166">
      <c r="A3166" s="10" t="s">
        <v>72</v>
      </c>
      <c r="B3166" s="11">
        <v>1000.0</v>
      </c>
      <c r="C3166" s="12" t="s">
        <v>1005</v>
      </c>
      <c r="D3166" s="15">
        <v>75208.0</v>
      </c>
      <c r="F3166" s="15"/>
      <c r="G3166" s="26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28"/>
      <c r="AS3166" s="28"/>
      <c r="AT3166" s="28"/>
    </row>
    <row r="3167">
      <c r="A3167" s="5" t="s">
        <v>2847</v>
      </c>
      <c r="B3167" s="6">
        <v>75.0</v>
      </c>
      <c r="C3167" s="7" t="s">
        <v>1005</v>
      </c>
      <c r="D3167" s="15">
        <v>75228.0</v>
      </c>
      <c r="F3167" s="15"/>
      <c r="G3167" s="26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28"/>
      <c r="AS3167" s="28"/>
      <c r="AT3167" s="28"/>
    </row>
    <row r="3168">
      <c r="A3168" s="10" t="s">
        <v>2848</v>
      </c>
      <c r="B3168" s="11">
        <v>500.0</v>
      </c>
      <c r="C3168" s="12" t="s">
        <v>1005</v>
      </c>
      <c r="D3168" s="15">
        <v>75226.0</v>
      </c>
      <c r="F3168" s="15"/>
      <c r="G3168" s="26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28"/>
      <c r="AS3168" s="28"/>
      <c r="AT3168" s="28"/>
    </row>
    <row r="3169">
      <c r="A3169" s="5" t="s">
        <v>2849</v>
      </c>
      <c r="B3169" s="6">
        <v>500.0</v>
      </c>
      <c r="C3169" s="7" t="s">
        <v>1005</v>
      </c>
      <c r="D3169" s="15">
        <v>75209.0</v>
      </c>
      <c r="F3169" s="15"/>
      <c r="G3169" s="26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28"/>
      <c r="AS3169" s="28"/>
      <c r="AT3169" s="28"/>
    </row>
    <row r="3170">
      <c r="A3170" s="10" t="s">
        <v>2850</v>
      </c>
      <c r="B3170" s="11">
        <v>500.0</v>
      </c>
      <c r="C3170" s="12" t="s">
        <v>1005</v>
      </c>
      <c r="D3170" s="15">
        <v>75218.0</v>
      </c>
      <c r="F3170" s="15"/>
      <c r="G3170" s="26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28"/>
      <c r="AS3170" s="28"/>
      <c r="AT3170" s="28"/>
    </row>
    <row r="3171">
      <c r="A3171" s="5" t="s">
        <v>2851</v>
      </c>
      <c r="B3171" s="6">
        <v>1000.0</v>
      </c>
      <c r="C3171" s="7" t="s">
        <v>1005</v>
      </c>
      <c r="D3171" s="15">
        <v>75205.0</v>
      </c>
      <c r="F3171" s="15"/>
      <c r="G3171" s="26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28"/>
      <c r="AS3171" s="28"/>
      <c r="AT3171" s="28"/>
    </row>
    <row r="3172">
      <c r="A3172" s="10" t="s">
        <v>2852</v>
      </c>
      <c r="B3172" s="11">
        <v>1000.0</v>
      </c>
      <c r="C3172" s="12" t="s">
        <v>1005</v>
      </c>
      <c r="D3172" s="15">
        <v>75205.0</v>
      </c>
      <c r="F3172" s="15"/>
      <c r="G3172" s="26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28"/>
      <c r="AS3172" s="28"/>
      <c r="AT3172" s="28"/>
    </row>
    <row r="3173">
      <c r="A3173" s="5" t="s">
        <v>2853</v>
      </c>
      <c r="B3173" s="6">
        <v>1000.0</v>
      </c>
      <c r="C3173" s="7" t="s">
        <v>1005</v>
      </c>
      <c r="D3173" s="15">
        <v>75205.0</v>
      </c>
      <c r="F3173" s="15"/>
      <c r="G3173" s="26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28"/>
      <c r="AS3173" s="28"/>
      <c r="AT3173" s="28"/>
    </row>
    <row r="3174">
      <c r="A3174" s="10" t="s">
        <v>2854</v>
      </c>
      <c r="B3174" s="11">
        <v>500.0</v>
      </c>
      <c r="C3174" s="12" t="s">
        <v>1005</v>
      </c>
      <c r="D3174" s="15">
        <v>75229.0</v>
      </c>
      <c r="F3174" s="15"/>
      <c r="G3174" s="26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28"/>
      <c r="AS3174" s="28"/>
      <c r="AT3174" s="28"/>
    </row>
    <row r="3175">
      <c r="A3175" s="5" t="s">
        <v>2855</v>
      </c>
      <c r="B3175" s="6">
        <v>250.0</v>
      </c>
      <c r="C3175" s="7" t="s">
        <v>1005</v>
      </c>
      <c r="D3175" s="15">
        <v>75223.0</v>
      </c>
      <c r="F3175" s="15"/>
      <c r="G3175" s="26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28"/>
      <c r="AS3175" s="28"/>
      <c r="AT3175" s="28"/>
    </row>
    <row r="3176">
      <c r="A3176" s="10" t="s">
        <v>2856</v>
      </c>
      <c r="B3176" s="11">
        <v>500.0</v>
      </c>
      <c r="C3176" s="12" t="s">
        <v>1005</v>
      </c>
      <c r="D3176" s="15">
        <v>75205.0</v>
      </c>
      <c r="F3176" s="15"/>
      <c r="G3176" s="26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28"/>
      <c r="AS3176" s="28"/>
      <c r="AT3176" s="28"/>
    </row>
    <row r="3177">
      <c r="A3177" s="5" t="s">
        <v>2857</v>
      </c>
      <c r="B3177" s="6">
        <v>250.0</v>
      </c>
      <c r="C3177" s="7" t="s">
        <v>1005</v>
      </c>
      <c r="D3177" s="15">
        <v>75218.0</v>
      </c>
      <c r="F3177" s="15"/>
      <c r="G3177" s="26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28"/>
      <c r="AS3177" s="28"/>
      <c r="AT3177" s="28"/>
    </row>
    <row r="3178">
      <c r="A3178" s="10" t="s">
        <v>2858</v>
      </c>
      <c r="B3178" s="11">
        <v>500.0</v>
      </c>
      <c r="C3178" s="12" t="s">
        <v>1005</v>
      </c>
      <c r="D3178" s="15">
        <v>75225.0</v>
      </c>
      <c r="F3178" s="15"/>
      <c r="G3178" s="26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28"/>
      <c r="AS3178" s="28"/>
      <c r="AT3178" s="28"/>
    </row>
    <row r="3179">
      <c r="A3179" s="5" t="s">
        <v>82</v>
      </c>
      <c r="B3179" s="6">
        <v>100.0</v>
      </c>
      <c r="C3179" s="7" t="s">
        <v>1005</v>
      </c>
      <c r="D3179" s="15">
        <v>75201.0</v>
      </c>
      <c r="F3179" s="15"/>
      <c r="G3179" s="26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28"/>
      <c r="AS3179" s="28"/>
      <c r="AT3179" s="28"/>
    </row>
    <row r="3180">
      <c r="A3180" s="10" t="s">
        <v>2859</v>
      </c>
      <c r="B3180" s="11">
        <v>25.0</v>
      </c>
      <c r="C3180" s="12" t="s">
        <v>1005</v>
      </c>
      <c r="D3180" s="15">
        <v>75214.0</v>
      </c>
      <c r="F3180" s="15"/>
      <c r="G3180" s="26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28"/>
      <c r="AS3180" s="28"/>
      <c r="AT3180" s="28"/>
    </row>
    <row r="3181">
      <c r="A3181" s="5" t="s">
        <v>2665</v>
      </c>
      <c r="B3181" s="6">
        <v>500.0</v>
      </c>
      <c r="C3181" s="7" t="s">
        <v>1005</v>
      </c>
      <c r="D3181" s="15">
        <v>75219.0</v>
      </c>
      <c r="F3181" s="15"/>
      <c r="G3181" s="26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28"/>
      <c r="AS3181" s="28"/>
      <c r="AT3181" s="28"/>
    </row>
    <row r="3182">
      <c r="A3182" s="10" t="s">
        <v>2860</v>
      </c>
      <c r="B3182" s="11">
        <v>350.0</v>
      </c>
      <c r="C3182" s="12" t="s">
        <v>1005</v>
      </c>
      <c r="D3182" s="15">
        <v>75225.0</v>
      </c>
      <c r="F3182" s="15"/>
      <c r="G3182" s="26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28"/>
      <c r="AS3182" s="28"/>
      <c r="AT3182" s="28"/>
    </row>
    <row r="3183">
      <c r="A3183" s="5" t="s">
        <v>1162</v>
      </c>
      <c r="B3183" s="6">
        <v>250.0</v>
      </c>
      <c r="C3183" s="7" t="s">
        <v>1005</v>
      </c>
      <c r="D3183" s="15">
        <v>75206.0</v>
      </c>
      <c r="F3183" s="15"/>
      <c r="G3183" s="26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28"/>
      <c r="AS3183" s="28"/>
      <c r="AT3183" s="28"/>
    </row>
    <row r="3184">
      <c r="A3184" s="10" t="s">
        <v>2861</v>
      </c>
      <c r="B3184" s="11">
        <v>100.0</v>
      </c>
      <c r="C3184" s="12" t="s">
        <v>1005</v>
      </c>
      <c r="D3184" s="15">
        <v>75248.0</v>
      </c>
      <c r="F3184" s="15"/>
      <c r="G3184" s="26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28"/>
      <c r="AS3184" s="28"/>
      <c r="AT3184" s="28"/>
    </row>
    <row r="3185">
      <c r="A3185" s="5" t="s">
        <v>2574</v>
      </c>
      <c r="B3185" s="6">
        <v>100.0</v>
      </c>
      <c r="C3185" s="7" t="s">
        <v>1005</v>
      </c>
      <c r="D3185" s="15">
        <v>75214.0</v>
      </c>
      <c r="F3185" s="15"/>
      <c r="G3185" s="26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28"/>
      <c r="AS3185" s="28"/>
      <c r="AT3185" s="28"/>
    </row>
    <row r="3186">
      <c r="A3186" s="10" t="s">
        <v>2862</v>
      </c>
      <c r="B3186" s="11">
        <v>1000.0</v>
      </c>
      <c r="C3186" s="12" t="s">
        <v>1005</v>
      </c>
      <c r="D3186" s="15">
        <v>75230.0</v>
      </c>
      <c r="F3186" s="15"/>
      <c r="G3186" s="26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28"/>
      <c r="AS3186" s="28"/>
      <c r="AT3186" s="28"/>
    </row>
    <row r="3187">
      <c r="A3187" s="5" t="s">
        <v>2863</v>
      </c>
      <c r="B3187" s="6">
        <v>100.0</v>
      </c>
      <c r="C3187" s="7" t="s">
        <v>1005</v>
      </c>
      <c r="D3187" s="15">
        <v>75214.0</v>
      </c>
      <c r="F3187" s="15"/>
      <c r="G3187" s="26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28"/>
      <c r="AS3187" s="28"/>
      <c r="AT3187" s="28"/>
    </row>
    <row r="3188">
      <c r="A3188" s="10" t="s">
        <v>2864</v>
      </c>
      <c r="B3188" s="11">
        <v>250.0</v>
      </c>
      <c r="C3188" s="12" t="s">
        <v>1005</v>
      </c>
      <c r="D3188" s="15">
        <v>75214.0</v>
      </c>
      <c r="F3188" s="15"/>
      <c r="G3188" s="26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28"/>
      <c r="AS3188" s="28"/>
      <c r="AT3188" s="28"/>
    </row>
    <row r="3189">
      <c r="A3189" s="5" t="s">
        <v>2865</v>
      </c>
      <c r="B3189" s="6">
        <v>50.0</v>
      </c>
      <c r="C3189" s="7" t="s">
        <v>1005</v>
      </c>
      <c r="D3189" s="15">
        <v>75214.0</v>
      </c>
      <c r="F3189" s="15"/>
      <c r="G3189" s="26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28"/>
      <c r="AS3189" s="28"/>
      <c r="AT3189" s="28"/>
    </row>
    <row r="3190">
      <c r="A3190" s="10" t="s">
        <v>2866</v>
      </c>
      <c r="B3190" s="11">
        <v>150.0</v>
      </c>
      <c r="C3190" s="12" t="s">
        <v>1005</v>
      </c>
      <c r="D3190" s="15">
        <v>75201.0</v>
      </c>
      <c r="F3190" s="15"/>
      <c r="G3190" s="26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28"/>
      <c r="AS3190" s="28"/>
      <c r="AT3190" s="28"/>
    </row>
    <row r="3191">
      <c r="A3191" s="5" t="s">
        <v>2867</v>
      </c>
      <c r="B3191" s="6">
        <v>1000.0</v>
      </c>
      <c r="C3191" s="7" t="s">
        <v>1005</v>
      </c>
      <c r="D3191" s="15">
        <v>77021.0</v>
      </c>
      <c r="F3191" s="15"/>
      <c r="G3191" s="26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28"/>
      <c r="AS3191" s="28"/>
      <c r="AT3191" s="28"/>
    </row>
    <row r="3192">
      <c r="A3192" s="10" t="s">
        <v>2868</v>
      </c>
      <c r="B3192" s="11">
        <v>100.0</v>
      </c>
      <c r="C3192" s="12" t="s">
        <v>1005</v>
      </c>
      <c r="D3192" s="15">
        <v>75218.0</v>
      </c>
      <c r="F3192" s="15"/>
      <c r="G3192" s="26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28"/>
      <c r="AS3192" s="28"/>
      <c r="AT3192" s="28"/>
    </row>
    <row r="3193">
      <c r="A3193" s="5" t="s">
        <v>2869</v>
      </c>
      <c r="B3193" s="6">
        <v>250.0</v>
      </c>
      <c r="C3193" s="7" t="s">
        <v>649</v>
      </c>
      <c r="D3193" s="15">
        <v>75208.0</v>
      </c>
      <c r="F3193" s="15"/>
      <c r="G3193" s="26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28"/>
      <c r="AS3193" s="28"/>
      <c r="AT3193" s="28"/>
    </row>
    <row r="3194">
      <c r="A3194" s="10" t="s">
        <v>2870</v>
      </c>
      <c r="B3194" s="11">
        <v>500.0</v>
      </c>
      <c r="C3194" s="12" t="s">
        <v>649</v>
      </c>
      <c r="D3194" s="15">
        <v>75228.0</v>
      </c>
      <c r="F3194" s="15"/>
      <c r="G3194" s="26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28"/>
      <c r="AS3194" s="28"/>
      <c r="AT3194" s="28"/>
    </row>
    <row r="3195">
      <c r="A3195" s="5" t="s">
        <v>2871</v>
      </c>
      <c r="B3195" s="6">
        <v>100.0</v>
      </c>
      <c r="C3195" s="7" t="s">
        <v>649</v>
      </c>
      <c r="D3195" s="15">
        <v>75208.0</v>
      </c>
      <c r="F3195" s="15"/>
      <c r="G3195" s="26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28"/>
      <c r="AS3195" s="28"/>
      <c r="AT3195" s="28"/>
    </row>
    <row r="3196">
      <c r="A3196" s="10" t="s">
        <v>2872</v>
      </c>
      <c r="B3196" s="11">
        <v>500.0</v>
      </c>
      <c r="C3196" s="12" t="s">
        <v>649</v>
      </c>
      <c r="D3196" s="15">
        <v>75208.0</v>
      </c>
      <c r="F3196" s="15"/>
      <c r="G3196" s="26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28"/>
      <c r="AS3196" s="28"/>
      <c r="AT3196" s="28"/>
    </row>
    <row r="3197">
      <c r="A3197" s="5" t="s">
        <v>2873</v>
      </c>
      <c r="B3197" s="6">
        <v>500.0</v>
      </c>
      <c r="C3197" s="7" t="s">
        <v>649</v>
      </c>
      <c r="D3197" s="15">
        <v>75224.0</v>
      </c>
      <c r="F3197" s="15"/>
      <c r="G3197" s="26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28"/>
      <c r="AS3197" s="28"/>
      <c r="AT3197" s="28"/>
    </row>
    <row r="3198">
      <c r="A3198" s="10" t="s">
        <v>2874</v>
      </c>
      <c r="B3198" s="11">
        <v>500.0</v>
      </c>
      <c r="C3198" s="12" t="s">
        <v>649</v>
      </c>
      <c r="D3198" s="15">
        <v>75022.0</v>
      </c>
      <c r="F3198" s="15"/>
      <c r="G3198" s="26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28"/>
      <c r="AS3198" s="28"/>
      <c r="AT3198" s="28"/>
    </row>
    <row r="3199">
      <c r="A3199" s="5" t="s">
        <v>2875</v>
      </c>
      <c r="B3199" s="6">
        <v>500.0</v>
      </c>
      <c r="C3199" s="7" t="s">
        <v>649</v>
      </c>
      <c r="D3199" s="15">
        <v>75224.0</v>
      </c>
      <c r="F3199" s="15"/>
      <c r="G3199" s="26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28"/>
      <c r="AS3199" s="28"/>
      <c r="AT3199" s="28"/>
    </row>
    <row r="3200">
      <c r="A3200" s="10" t="s">
        <v>2876</v>
      </c>
      <c r="B3200" s="11">
        <v>500.0</v>
      </c>
      <c r="C3200" s="12" t="s">
        <v>649</v>
      </c>
      <c r="D3200" s="15">
        <v>75208.0</v>
      </c>
      <c r="F3200" s="15"/>
      <c r="G3200" s="26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28"/>
      <c r="AS3200" s="28"/>
      <c r="AT3200" s="28"/>
    </row>
    <row r="3201">
      <c r="A3201" s="5" t="s">
        <v>2877</v>
      </c>
      <c r="B3201" s="6">
        <v>250.0</v>
      </c>
      <c r="C3201" s="7" t="s">
        <v>649</v>
      </c>
      <c r="D3201" s="15">
        <v>75201.0</v>
      </c>
      <c r="F3201" s="15"/>
      <c r="G3201" s="26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28"/>
      <c r="AS3201" s="28"/>
      <c r="AT3201" s="28"/>
    </row>
    <row r="3202">
      <c r="A3202" s="10" t="s">
        <v>2878</v>
      </c>
      <c r="B3202" s="11">
        <v>100.0</v>
      </c>
      <c r="C3202" s="12" t="s">
        <v>649</v>
      </c>
      <c r="D3202" s="15">
        <v>75208.0</v>
      </c>
      <c r="F3202" s="15"/>
      <c r="G3202" s="26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28"/>
      <c r="AS3202" s="28"/>
      <c r="AT3202" s="28"/>
    </row>
    <row r="3203">
      <c r="A3203" s="5" t="s">
        <v>2879</v>
      </c>
      <c r="B3203" s="6">
        <v>100.0</v>
      </c>
      <c r="C3203" s="7" t="s">
        <v>649</v>
      </c>
      <c r="D3203" s="15">
        <v>75208.0</v>
      </c>
      <c r="F3203" s="15"/>
      <c r="G3203" s="26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28"/>
      <c r="AS3203" s="28"/>
      <c r="AT3203" s="28"/>
    </row>
    <row r="3204">
      <c r="A3204" s="10" t="s">
        <v>2880</v>
      </c>
      <c r="B3204" s="11">
        <v>949.7</v>
      </c>
      <c r="C3204" s="12" t="s">
        <v>649</v>
      </c>
      <c r="D3204" s="15">
        <v>75208.0</v>
      </c>
      <c r="F3204" s="15"/>
      <c r="G3204" s="26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28"/>
      <c r="AS3204" s="28"/>
      <c r="AT3204" s="28"/>
    </row>
    <row r="3205">
      <c r="A3205" s="5" t="s">
        <v>2881</v>
      </c>
      <c r="B3205" s="6">
        <v>500.0</v>
      </c>
      <c r="C3205" s="7" t="s">
        <v>649</v>
      </c>
      <c r="D3205" s="15">
        <v>75208.0</v>
      </c>
      <c r="F3205" s="15"/>
      <c r="G3205" s="26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28"/>
      <c r="AS3205" s="28"/>
      <c r="AT3205" s="28"/>
    </row>
    <row r="3206">
      <c r="A3206" s="10" t="s">
        <v>2882</v>
      </c>
      <c r="B3206" s="11">
        <v>949.7</v>
      </c>
      <c r="C3206" s="12" t="s">
        <v>649</v>
      </c>
      <c r="D3206" s="15">
        <v>75071.0</v>
      </c>
      <c r="F3206" s="15"/>
      <c r="G3206" s="26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28"/>
      <c r="AS3206" s="28"/>
      <c r="AT3206" s="28"/>
    </row>
    <row r="3207">
      <c r="A3207" s="5" t="s">
        <v>2883</v>
      </c>
      <c r="B3207" s="6">
        <v>500.0</v>
      </c>
      <c r="C3207" s="7" t="s">
        <v>649</v>
      </c>
      <c r="D3207" s="15">
        <v>75208.0</v>
      </c>
      <c r="F3207" s="15"/>
      <c r="G3207" s="26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28"/>
      <c r="AS3207" s="28"/>
      <c r="AT3207" s="28"/>
    </row>
    <row r="3208">
      <c r="A3208" s="10" t="s">
        <v>1889</v>
      </c>
      <c r="B3208" s="11">
        <v>250.0</v>
      </c>
      <c r="C3208" s="12" t="s">
        <v>649</v>
      </c>
      <c r="D3208" s="15">
        <v>78703.0</v>
      </c>
      <c r="F3208" s="15"/>
      <c r="G3208" s="26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28"/>
      <c r="AS3208" s="28"/>
      <c r="AT3208" s="28"/>
    </row>
    <row r="3209">
      <c r="A3209" s="5" t="s">
        <v>2884</v>
      </c>
      <c r="B3209" s="6">
        <v>500.0</v>
      </c>
      <c r="C3209" s="7" t="s">
        <v>649</v>
      </c>
      <c r="D3209" s="15">
        <v>75224.0</v>
      </c>
      <c r="F3209" s="15"/>
      <c r="G3209" s="26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28"/>
      <c r="AS3209" s="28"/>
      <c r="AT3209" s="28"/>
    </row>
    <row r="3210">
      <c r="A3210" s="10" t="s">
        <v>2885</v>
      </c>
      <c r="B3210" s="11">
        <v>250.0</v>
      </c>
      <c r="C3210" s="12" t="s">
        <v>649</v>
      </c>
      <c r="D3210" s="15">
        <v>75208.0</v>
      </c>
      <c r="F3210" s="15"/>
      <c r="G3210" s="26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28"/>
      <c r="AS3210" s="28"/>
      <c r="AT3210" s="28"/>
    </row>
    <row r="3211">
      <c r="A3211" s="5" t="s">
        <v>2886</v>
      </c>
      <c r="B3211" s="6">
        <v>500.0</v>
      </c>
      <c r="C3211" s="7" t="s">
        <v>649</v>
      </c>
      <c r="D3211" s="15">
        <v>75201.0</v>
      </c>
      <c r="F3211" s="15"/>
      <c r="G3211" s="26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28"/>
      <c r="AS3211" s="28"/>
      <c r="AT3211" s="28"/>
    </row>
    <row r="3212">
      <c r="A3212" s="10" t="s">
        <v>734</v>
      </c>
      <c r="B3212" s="11">
        <v>250.0</v>
      </c>
      <c r="C3212" s="12" t="s">
        <v>649</v>
      </c>
      <c r="D3212" s="15">
        <v>75211.0</v>
      </c>
      <c r="F3212" s="15"/>
      <c r="G3212" s="26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28"/>
      <c r="AS3212" s="28"/>
      <c r="AT3212" s="28"/>
    </row>
    <row r="3213">
      <c r="A3213" s="5" t="s">
        <v>2887</v>
      </c>
      <c r="B3213" s="6">
        <v>833.33</v>
      </c>
      <c r="C3213" s="7" t="s">
        <v>649</v>
      </c>
      <c r="D3213" s="15">
        <v>75208.0</v>
      </c>
      <c r="F3213" s="15"/>
      <c r="G3213" s="26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28"/>
      <c r="AS3213" s="28"/>
      <c r="AT3213" s="28"/>
    </row>
    <row r="3214">
      <c r="A3214" s="10" t="s">
        <v>2888</v>
      </c>
      <c r="B3214" s="11">
        <v>500.0</v>
      </c>
      <c r="C3214" s="12" t="s">
        <v>649</v>
      </c>
      <c r="D3214" s="15">
        <v>75028.0</v>
      </c>
      <c r="F3214" s="15"/>
      <c r="G3214" s="26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28"/>
      <c r="AS3214" s="28"/>
      <c r="AT3214" s="28"/>
    </row>
    <row r="3215">
      <c r="A3215" s="5" t="s">
        <v>2889</v>
      </c>
      <c r="B3215" s="6">
        <v>833.33</v>
      </c>
      <c r="C3215" s="7" t="s">
        <v>649</v>
      </c>
      <c r="D3215" s="15">
        <v>75208.0</v>
      </c>
      <c r="F3215" s="15"/>
      <c r="G3215" s="26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28"/>
      <c r="AS3215" s="28"/>
      <c r="AT3215" s="28"/>
    </row>
    <row r="3216">
      <c r="A3216" s="10" t="s">
        <v>2890</v>
      </c>
      <c r="B3216" s="11">
        <v>1000.0</v>
      </c>
      <c r="C3216" s="12" t="s">
        <v>649</v>
      </c>
      <c r="D3216" s="15">
        <v>75115.0</v>
      </c>
      <c r="F3216" s="15"/>
      <c r="G3216" s="26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28"/>
      <c r="AS3216" s="28"/>
      <c r="AT3216" s="28"/>
    </row>
    <row r="3217">
      <c r="A3217" s="5" t="s">
        <v>2891</v>
      </c>
      <c r="B3217" s="6">
        <v>100.0</v>
      </c>
      <c r="C3217" s="7" t="s">
        <v>649</v>
      </c>
      <c r="D3217" s="15">
        <v>75214.0</v>
      </c>
      <c r="F3217" s="15"/>
      <c r="G3217" s="26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28"/>
      <c r="AS3217" s="28"/>
      <c r="AT3217" s="28"/>
    </row>
    <row r="3218">
      <c r="A3218" s="10" t="s">
        <v>2892</v>
      </c>
      <c r="B3218" s="11">
        <v>500.0</v>
      </c>
      <c r="C3218" s="12" t="s">
        <v>649</v>
      </c>
      <c r="D3218" s="15">
        <v>75226.0</v>
      </c>
      <c r="F3218" s="15"/>
      <c r="G3218" s="26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28"/>
      <c r="AS3218" s="28"/>
      <c r="AT3218" s="28"/>
    </row>
    <row r="3219">
      <c r="A3219" s="5" t="s">
        <v>2893</v>
      </c>
      <c r="B3219" s="6">
        <v>250.0</v>
      </c>
      <c r="C3219" s="7" t="s">
        <v>649</v>
      </c>
      <c r="D3219" s="15">
        <v>75208.0</v>
      </c>
      <c r="F3219" s="15"/>
      <c r="G3219" s="26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28"/>
      <c r="AS3219" s="28"/>
      <c r="AT3219" s="28"/>
    </row>
    <row r="3220">
      <c r="A3220" s="10" t="s">
        <v>2894</v>
      </c>
      <c r="B3220" s="11">
        <v>949.7</v>
      </c>
      <c r="C3220" s="12" t="s">
        <v>649</v>
      </c>
      <c r="D3220" s="15">
        <v>75067.0</v>
      </c>
      <c r="F3220" s="15"/>
      <c r="G3220" s="26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28"/>
      <c r="AS3220" s="28"/>
      <c r="AT3220" s="28"/>
    </row>
    <row r="3221">
      <c r="A3221" s="5" t="s">
        <v>747</v>
      </c>
      <c r="B3221" s="6">
        <v>833.0</v>
      </c>
      <c r="C3221" s="7" t="s">
        <v>649</v>
      </c>
      <c r="D3221" s="15">
        <v>75208.0</v>
      </c>
      <c r="F3221" s="15"/>
      <c r="G3221" s="26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28"/>
      <c r="AS3221" s="28"/>
      <c r="AT3221" s="28"/>
    </row>
    <row r="3222">
      <c r="A3222" s="10" t="s">
        <v>2895</v>
      </c>
      <c r="B3222" s="11">
        <v>237.2</v>
      </c>
      <c r="C3222" s="12" t="s">
        <v>649</v>
      </c>
      <c r="D3222" s="15">
        <v>75208.0</v>
      </c>
      <c r="F3222" s="15"/>
      <c r="G3222" s="26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28"/>
      <c r="AS3222" s="28"/>
      <c r="AT3222" s="28"/>
    </row>
    <row r="3223">
      <c r="A3223" s="5" t="s">
        <v>2896</v>
      </c>
      <c r="B3223" s="6">
        <v>75.0</v>
      </c>
      <c r="C3223" s="7" t="s">
        <v>649</v>
      </c>
      <c r="D3223" s="15">
        <v>75208.0</v>
      </c>
      <c r="F3223" s="15"/>
      <c r="G3223" s="26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28"/>
      <c r="AS3223" s="28"/>
      <c r="AT3223" s="28"/>
    </row>
    <row r="3224">
      <c r="A3224" s="10" t="s">
        <v>1446</v>
      </c>
      <c r="B3224" s="11">
        <v>94.7</v>
      </c>
      <c r="C3224" s="12" t="s">
        <v>649</v>
      </c>
      <c r="D3224" s="15">
        <v>75702.0</v>
      </c>
      <c r="F3224" s="15"/>
      <c r="G3224" s="26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28"/>
      <c r="AS3224" s="28"/>
      <c r="AT3224" s="28"/>
    </row>
    <row r="3225">
      <c r="A3225" s="5" t="s">
        <v>2897</v>
      </c>
      <c r="B3225" s="6">
        <v>1000.0</v>
      </c>
      <c r="C3225" s="7" t="s">
        <v>649</v>
      </c>
      <c r="D3225" s="15">
        <v>75208.0</v>
      </c>
      <c r="F3225" s="15"/>
      <c r="G3225" s="26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28"/>
      <c r="AS3225" s="28"/>
      <c r="AT3225" s="28"/>
    </row>
    <row r="3226">
      <c r="A3226" s="10" t="s">
        <v>2898</v>
      </c>
      <c r="B3226" s="11">
        <v>250.0</v>
      </c>
      <c r="C3226" s="12" t="s">
        <v>649</v>
      </c>
      <c r="D3226" s="15">
        <v>75208.0</v>
      </c>
      <c r="F3226" s="15"/>
      <c r="G3226" s="26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28"/>
      <c r="AS3226" s="28"/>
      <c r="AT3226" s="28"/>
    </row>
    <row r="3227">
      <c r="A3227" s="5" t="s">
        <v>1498</v>
      </c>
      <c r="B3227" s="6">
        <v>150.0</v>
      </c>
      <c r="C3227" s="7" t="s">
        <v>649</v>
      </c>
      <c r="D3227" s="15">
        <v>75222.0</v>
      </c>
      <c r="F3227" s="15"/>
      <c r="G3227" s="26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28"/>
      <c r="AS3227" s="28"/>
      <c r="AT3227" s="28"/>
    </row>
    <row r="3228">
      <c r="A3228" s="10" t="s">
        <v>2899</v>
      </c>
      <c r="B3228" s="11">
        <v>1000.0</v>
      </c>
      <c r="C3228" s="12" t="s">
        <v>649</v>
      </c>
      <c r="D3228" s="15">
        <v>75208.0</v>
      </c>
      <c r="F3228" s="15"/>
      <c r="G3228" s="26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28"/>
      <c r="AS3228" s="28"/>
      <c r="AT3228" s="28"/>
    </row>
    <row r="3229">
      <c r="A3229" s="5" t="s">
        <v>2900</v>
      </c>
      <c r="B3229" s="6">
        <v>1000.0</v>
      </c>
      <c r="C3229" s="7" t="s">
        <v>649</v>
      </c>
      <c r="D3229" s="15">
        <v>75208.0</v>
      </c>
      <c r="F3229" s="15"/>
      <c r="G3229" s="26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28"/>
      <c r="AS3229" s="28"/>
      <c r="AT3229" s="28"/>
    </row>
    <row r="3230">
      <c r="A3230" s="10" t="s">
        <v>2901</v>
      </c>
      <c r="B3230" s="11">
        <v>100.0</v>
      </c>
      <c r="C3230" s="12" t="s">
        <v>649</v>
      </c>
      <c r="D3230" s="15">
        <v>75208.0</v>
      </c>
      <c r="F3230" s="15"/>
      <c r="G3230" s="26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28"/>
      <c r="AS3230" s="28"/>
      <c r="AT3230" s="28"/>
    </row>
    <row r="3231">
      <c r="A3231" s="5" t="s">
        <v>2902</v>
      </c>
      <c r="B3231" s="6">
        <v>249.0</v>
      </c>
      <c r="C3231" s="7" t="s">
        <v>649</v>
      </c>
      <c r="D3231" s="15">
        <v>75208.0</v>
      </c>
      <c r="F3231" s="15"/>
      <c r="G3231" s="26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28"/>
      <c r="AS3231" s="28"/>
      <c r="AT3231" s="28"/>
    </row>
    <row r="3232">
      <c r="A3232" s="10" t="s">
        <v>2903</v>
      </c>
      <c r="B3232" s="11">
        <v>500.0</v>
      </c>
      <c r="C3232" s="12" t="s">
        <v>649</v>
      </c>
      <c r="D3232" s="15">
        <v>75222.0</v>
      </c>
      <c r="F3232" s="15"/>
      <c r="G3232" s="26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28"/>
      <c r="AS3232" s="28"/>
      <c r="AT3232" s="28"/>
    </row>
    <row r="3233">
      <c r="A3233" s="5" t="s">
        <v>2904</v>
      </c>
      <c r="B3233" s="6">
        <v>100.0</v>
      </c>
      <c r="C3233" s="7" t="s">
        <v>649</v>
      </c>
      <c r="D3233" s="15">
        <v>75208.0</v>
      </c>
      <c r="F3233" s="15"/>
      <c r="G3233" s="26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28"/>
      <c r="AS3233" s="28"/>
      <c r="AT3233" s="28"/>
    </row>
    <row r="3234">
      <c r="A3234" s="10" t="s">
        <v>2905</v>
      </c>
      <c r="B3234" s="11">
        <v>1000.0</v>
      </c>
      <c r="C3234" s="12" t="s">
        <v>649</v>
      </c>
      <c r="D3234" s="15">
        <v>75225.0</v>
      </c>
      <c r="F3234" s="15"/>
      <c r="G3234" s="26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28"/>
      <c r="AS3234" s="28"/>
      <c r="AT3234" s="28"/>
    </row>
    <row r="3235">
      <c r="A3235" s="5" t="s">
        <v>2906</v>
      </c>
      <c r="B3235" s="6">
        <v>1000.0</v>
      </c>
      <c r="C3235" s="7" t="s">
        <v>649</v>
      </c>
      <c r="D3235" s="15">
        <v>75223.0</v>
      </c>
      <c r="F3235" s="15"/>
      <c r="G3235" s="26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28"/>
      <c r="AS3235" s="28"/>
      <c r="AT3235" s="28"/>
    </row>
    <row r="3236">
      <c r="A3236" s="10" t="s">
        <v>2907</v>
      </c>
      <c r="B3236" s="11">
        <v>100.0</v>
      </c>
      <c r="C3236" s="12" t="s">
        <v>649</v>
      </c>
      <c r="D3236" s="15">
        <v>75208.0</v>
      </c>
      <c r="F3236" s="15"/>
      <c r="G3236" s="26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28"/>
      <c r="AS3236" s="28"/>
      <c r="AT3236" s="28"/>
    </row>
    <row r="3237">
      <c r="A3237" s="5" t="s">
        <v>2908</v>
      </c>
      <c r="B3237" s="6">
        <v>250.0</v>
      </c>
      <c r="C3237" s="7" t="s">
        <v>649</v>
      </c>
      <c r="D3237" s="15">
        <v>75208.0</v>
      </c>
      <c r="F3237" s="15"/>
      <c r="G3237" s="26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28"/>
      <c r="AS3237" s="28"/>
      <c r="AT3237" s="28"/>
    </row>
    <row r="3238">
      <c r="A3238" s="10" t="s">
        <v>2909</v>
      </c>
      <c r="B3238" s="11">
        <v>500.0</v>
      </c>
      <c r="C3238" s="12" t="s">
        <v>649</v>
      </c>
      <c r="D3238" s="15">
        <v>75229.0</v>
      </c>
      <c r="F3238" s="15"/>
      <c r="G3238" s="26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28"/>
      <c r="AS3238" s="28"/>
      <c r="AT3238" s="28"/>
    </row>
    <row r="3239">
      <c r="A3239" s="5" t="s">
        <v>2910</v>
      </c>
      <c r="B3239" s="6">
        <v>500.0</v>
      </c>
      <c r="C3239" s="7" t="s">
        <v>649</v>
      </c>
      <c r="D3239" s="15">
        <v>76063.0</v>
      </c>
      <c r="F3239" s="15"/>
      <c r="G3239" s="26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28"/>
      <c r="AS3239" s="28"/>
      <c r="AT3239" s="28"/>
    </row>
    <row r="3240">
      <c r="A3240" s="10" t="s">
        <v>2911</v>
      </c>
      <c r="B3240" s="11">
        <v>500.0</v>
      </c>
      <c r="C3240" s="12" t="s">
        <v>649</v>
      </c>
      <c r="D3240" s="15">
        <v>75208.0</v>
      </c>
      <c r="F3240" s="15"/>
      <c r="G3240" s="26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28"/>
      <c r="AS3240" s="28"/>
      <c r="AT3240" s="28"/>
    </row>
    <row r="3241">
      <c r="A3241" s="5" t="s">
        <v>2912</v>
      </c>
      <c r="B3241" s="6">
        <v>1000.0</v>
      </c>
      <c r="C3241" s="7" t="s">
        <v>649</v>
      </c>
      <c r="D3241" s="15">
        <v>75208.0</v>
      </c>
      <c r="F3241" s="15"/>
      <c r="G3241" s="26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28"/>
      <c r="AS3241" s="28"/>
      <c r="AT3241" s="28"/>
    </row>
    <row r="3242">
      <c r="A3242" s="10" t="s">
        <v>2913</v>
      </c>
      <c r="B3242" s="11">
        <v>50.0</v>
      </c>
      <c r="C3242" s="12" t="s">
        <v>649</v>
      </c>
      <c r="D3242" s="15">
        <v>75235.0</v>
      </c>
      <c r="F3242" s="15"/>
      <c r="G3242" s="26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28"/>
      <c r="AS3242" s="28"/>
      <c r="AT3242" s="28"/>
    </row>
    <row r="3243">
      <c r="A3243" s="5" t="s">
        <v>2914</v>
      </c>
      <c r="B3243" s="6">
        <v>1000.0</v>
      </c>
      <c r="C3243" s="7" t="s">
        <v>649</v>
      </c>
      <c r="D3243" s="15">
        <v>75230.0</v>
      </c>
      <c r="F3243" s="15"/>
      <c r="G3243" s="26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28"/>
      <c r="AS3243" s="28"/>
      <c r="AT3243" s="28"/>
    </row>
    <row r="3244">
      <c r="A3244" s="10" t="s">
        <v>2915</v>
      </c>
      <c r="B3244" s="11">
        <v>500.0</v>
      </c>
      <c r="C3244" s="12" t="s">
        <v>649</v>
      </c>
      <c r="D3244" s="15">
        <v>75208.0</v>
      </c>
      <c r="F3244" s="15"/>
      <c r="G3244" s="26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28"/>
      <c r="AS3244" s="28"/>
      <c r="AT3244" s="28"/>
    </row>
    <row r="3245">
      <c r="A3245" s="5" t="s">
        <v>2916</v>
      </c>
      <c r="B3245" s="6">
        <v>250.0</v>
      </c>
      <c r="C3245" s="7" t="s">
        <v>649</v>
      </c>
      <c r="D3245" s="15">
        <v>75219.0</v>
      </c>
      <c r="F3245" s="15"/>
      <c r="G3245" s="26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28"/>
      <c r="AS3245" s="28"/>
      <c r="AT3245" s="28"/>
    </row>
    <row r="3246">
      <c r="A3246" s="10" t="s">
        <v>2917</v>
      </c>
      <c r="B3246" s="11">
        <v>1000.0</v>
      </c>
      <c r="C3246" s="12" t="s">
        <v>649</v>
      </c>
      <c r="D3246" s="15">
        <v>75226.0</v>
      </c>
      <c r="F3246" s="15"/>
      <c r="G3246" s="26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28"/>
      <c r="AS3246" s="28"/>
      <c r="AT3246" s="28"/>
    </row>
    <row r="3247">
      <c r="A3247" s="5" t="s">
        <v>2918</v>
      </c>
      <c r="B3247" s="6">
        <v>1000.0</v>
      </c>
      <c r="C3247" s="7" t="s">
        <v>649</v>
      </c>
      <c r="D3247" s="15">
        <v>75013.0</v>
      </c>
      <c r="F3247" s="15"/>
      <c r="G3247" s="26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28"/>
      <c r="AS3247" s="28"/>
      <c r="AT3247" s="28"/>
    </row>
    <row r="3248">
      <c r="A3248" s="10" t="s">
        <v>2919</v>
      </c>
      <c r="B3248" s="11">
        <v>1000.0</v>
      </c>
      <c r="C3248" s="12" t="s">
        <v>649</v>
      </c>
      <c r="D3248" s="15">
        <v>75070.0</v>
      </c>
      <c r="F3248" s="15"/>
      <c r="G3248" s="26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28"/>
      <c r="AS3248" s="28"/>
      <c r="AT3248" s="28"/>
    </row>
    <row r="3249">
      <c r="A3249" s="5" t="s">
        <v>2920</v>
      </c>
      <c r="B3249" s="6">
        <v>1000.0</v>
      </c>
      <c r="C3249" s="7" t="s">
        <v>649</v>
      </c>
      <c r="D3249" s="15">
        <v>75070.0</v>
      </c>
      <c r="F3249" s="15"/>
      <c r="G3249" s="26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28"/>
      <c r="AS3249" s="28"/>
      <c r="AT3249" s="28"/>
    </row>
    <row r="3250">
      <c r="A3250" s="10" t="s">
        <v>2921</v>
      </c>
      <c r="B3250" s="11">
        <v>47.2</v>
      </c>
      <c r="C3250" s="12" t="s">
        <v>649</v>
      </c>
      <c r="D3250" s="15">
        <v>75208.0</v>
      </c>
      <c r="F3250" s="15"/>
      <c r="G3250" s="26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28"/>
      <c r="AS3250" s="28"/>
      <c r="AT3250" s="28"/>
    </row>
    <row r="3251">
      <c r="A3251" s="5" t="s">
        <v>2922</v>
      </c>
      <c r="B3251" s="6">
        <v>500.0</v>
      </c>
      <c r="C3251" s="7" t="s">
        <v>649</v>
      </c>
      <c r="D3251" s="15">
        <v>75215.0</v>
      </c>
      <c r="F3251" s="15"/>
      <c r="G3251" s="26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28"/>
      <c r="AS3251" s="28"/>
      <c r="AT3251" s="28"/>
    </row>
    <row r="3252">
      <c r="A3252" s="10" t="s">
        <v>2923</v>
      </c>
      <c r="B3252" s="11">
        <v>500.0</v>
      </c>
      <c r="C3252" s="12" t="s">
        <v>649</v>
      </c>
      <c r="D3252" s="15">
        <v>75224.0</v>
      </c>
      <c r="F3252" s="15"/>
      <c r="G3252" s="26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28"/>
      <c r="AS3252" s="28"/>
      <c r="AT3252" s="28"/>
    </row>
    <row r="3253">
      <c r="A3253" s="5" t="s">
        <v>2924</v>
      </c>
      <c r="B3253" s="6">
        <v>500.0</v>
      </c>
      <c r="C3253" s="7" t="s">
        <v>649</v>
      </c>
      <c r="D3253" s="15">
        <v>75224.0</v>
      </c>
      <c r="F3253" s="15"/>
      <c r="G3253" s="26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28"/>
      <c r="AS3253" s="28"/>
      <c r="AT3253" s="28"/>
    </row>
    <row r="3254">
      <c r="A3254" s="10" t="s">
        <v>2925</v>
      </c>
      <c r="B3254" s="11">
        <v>50.0</v>
      </c>
      <c r="C3254" s="12" t="s">
        <v>649</v>
      </c>
      <c r="D3254" s="15">
        <v>75208.0</v>
      </c>
      <c r="F3254" s="15"/>
      <c r="G3254" s="26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28"/>
      <c r="AS3254" s="28"/>
      <c r="AT3254" s="28"/>
    </row>
    <row r="3255">
      <c r="A3255" s="5" t="s">
        <v>2926</v>
      </c>
      <c r="B3255" s="6">
        <v>1000.0</v>
      </c>
      <c r="C3255" s="7" t="s">
        <v>649</v>
      </c>
      <c r="D3255" s="15">
        <v>75244.0</v>
      </c>
      <c r="F3255" s="15"/>
      <c r="G3255" s="26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28"/>
      <c r="AS3255" s="28"/>
      <c r="AT3255" s="28"/>
    </row>
    <row r="3256">
      <c r="A3256" s="10" t="s">
        <v>2927</v>
      </c>
      <c r="B3256" s="11">
        <v>500.0</v>
      </c>
      <c r="C3256" s="12" t="s">
        <v>649</v>
      </c>
      <c r="D3256" s="15">
        <v>75208.0</v>
      </c>
      <c r="F3256" s="15"/>
      <c r="G3256" s="26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28"/>
      <c r="AS3256" s="28"/>
      <c r="AT3256" s="28"/>
    </row>
    <row r="3257">
      <c r="A3257" s="5" t="s">
        <v>2928</v>
      </c>
      <c r="B3257" s="6">
        <v>25.0</v>
      </c>
      <c r="C3257" s="7" t="s">
        <v>649</v>
      </c>
      <c r="D3257" s="15">
        <v>75229.0</v>
      </c>
      <c r="F3257" s="15"/>
      <c r="G3257" s="26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28"/>
      <c r="AS3257" s="28"/>
      <c r="AT3257" s="28"/>
    </row>
    <row r="3258">
      <c r="A3258" s="10" t="s">
        <v>2929</v>
      </c>
      <c r="B3258" s="11">
        <v>25.0</v>
      </c>
      <c r="C3258" s="12" t="s">
        <v>649</v>
      </c>
      <c r="D3258" s="15">
        <v>75204.0</v>
      </c>
      <c r="F3258" s="15"/>
      <c r="G3258" s="26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28"/>
      <c r="AS3258" s="28"/>
      <c r="AT3258" s="28"/>
    </row>
    <row r="3259">
      <c r="A3259" s="5" t="s">
        <v>2930</v>
      </c>
      <c r="B3259" s="6">
        <v>237.2</v>
      </c>
      <c r="C3259" s="7" t="s">
        <v>649</v>
      </c>
      <c r="D3259" s="15">
        <v>75215.0</v>
      </c>
      <c r="F3259" s="15"/>
      <c r="G3259" s="26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28"/>
      <c r="AS3259" s="28"/>
      <c r="AT3259" s="28"/>
    </row>
    <row r="3260">
      <c r="A3260" s="10" t="s">
        <v>2931</v>
      </c>
      <c r="B3260" s="11">
        <v>500.0</v>
      </c>
      <c r="C3260" s="12" t="s">
        <v>649</v>
      </c>
      <c r="D3260" s="15">
        <v>75229.0</v>
      </c>
      <c r="F3260" s="15"/>
      <c r="G3260" s="26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28"/>
      <c r="AS3260" s="28"/>
      <c r="AT3260" s="28"/>
    </row>
    <row r="3261">
      <c r="A3261" s="5" t="s">
        <v>2932</v>
      </c>
      <c r="B3261" s="6">
        <v>250.0</v>
      </c>
      <c r="C3261" s="7" t="s">
        <v>649</v>
      </c>
      <c r="D3261" s="15">
        <v>75204.0</v>
      </c>
      <c r="F3261" s="15"/>
      <c r="G3261" s="26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28"/>
      <c r="AS3261" s="28"/>
      <c r="AT3261" s="28"/>
    </row>
    <row r="3262">
      <c r="A3262" s="10" t="s">
        <v>2933</v>
      </c>
      <c r="B3262" s="11">
        <v>500.0</v>
      </c>
      <c r="C3262" s="12" t="s">
        <v>649</v>
      </c>
      <c r="D3262" s="15">
        <v>75233.0</v>
      </c>
      <c r="F3262" s="15"/>
      <c r="G3262" s="26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28"/>
      <c r="AS3262" s="28"/>
      <c r="AT3262" s="28"/>
    </row>
    <row r="3263">
      <c r="A3263" s="5" t="s">
        <v>2934</v>
      </c>
      <c r="B3263" s="6">
        <v>500.0</v>
      </c>
      <c r="C3263" s="7" t="s">
        <v>649</v>
      </c>
      <c r="D3263" s="15">
        <v>75229.0</v>
      </c>
      <c r="F3263" s="15"/>
      <c r="G3263" s="26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8"/>
      <c r="AH3263" s="28"/>
      <c r="AI3263" s="28"/>
      <c r="AJ3263" s="28"/>
      <c r="AK3263" s="28"/>
      <c r="AL3263" s="28"/>
      <c r="AM3263" s="28"/>
      <c r="AN3263" s="28"/>
      <c r="AO3263" s="28"/>
      <c r="AP3263" s="28"/>
      <c r="AQ3263" s="28"/>
      <c r="AR3263" s="28"/>
      <c r="AS3263" s="28"/>
      <c r="AT3263" s="28"/>
    </row>
    <row r="3264">
      <c r="A3264" s="10" t="s">
        <v>2935</v>
      </c>
      <c r="B3264" s="11">
        <v>949.7</v>
      </c>
      <c r="C3264" s="12" t="s">
        <v>649</v>
      </c>
      <c r="D3264" s="15">
        <v>75243.0</v>
      </c>
      <c r="F3264" s="15"/>
      <c r="G3264" s="26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O3264" s="28"/>
      <c r="AP3264" s="28"/>
      <c r="AQ3264" s="28"/>
      <c r="AR3264" s="28"/>
      <c r="AS3264" s="28"/>
      <c r="AT3264" s="28"/>
    </row>
    <row r="3265">
      <c r="A3265" s="5" t="s">
        <v>2936</v>
      </c>
      <c r="B3265" s="6">
        <v>949.7</v>
      </c>
      <c r="C3265" s="7" t="s">
        <v>649</v>
      </c>
      <c r="D3265" s="15">
        <v>75205.0</v>
      </c>
      <c r="F3265" s="15"/>
      <c r="G3265" s="26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28"/>
      <c r="AR3265" s="28"/>
      <c r="AS3265" s="28"/>
      <c r="AT3265" s="28"/>
    </row>
    <row r="3266">
      <c r="A3266" s="10" t="s">
        <v>1470</v>
      </c>
      <c r="B3266" s="11">
        <v>100.0</v>
      </c>
      <c r="C3266" s="12" t="s">
        <v>649</v>
      </c>
      <c r="D3266" s="15">
        <v>75208.0</v>
      </c>
      <c r="F3266" s="15"/>
      <c r="G3266" s="26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R3266" s="28"/>
      <c r="AS3266" s="28"/>
      <c r="AT3266" s="28"/>
    </row>
    <row r="3267">
      <c r="A3267" s="5" t="s">
        <v>2937</v>
      </c>
      <c r="B3267" s="6">
        <v>50.0</v>
      </c>
      <c r="C3267" s="7" t="s">
        <v>649</v>
      </c>
      <c r="D3267" s="15">
        <v>75208.0</v>
      </c>
      <c r="F3267" s="15"/>
      <c r="G3267" s="26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28"/>
      <c r="AS3267" s="28"/>
      <c r="AT3267" s="28"/>
    </row>
    <row r="3268">
      <c r="A3268" s="10" t="s">
        <v>670</v>
      </c>
      <c r="B3268" s="11">
        <v>500.0</v>
      </c>
      <c r="C3268" s="12" t="s">
        <v>649</v>
      </c>
      <c r="D3268" s="15">
        <v>75229.0</v>
      </c>
      <c r="F3268" s="15"/>
      <c r="G3268" s="26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28"/>
      <c r="AS3268" s="28"/>
      <c r="AT3268" s="28"/>
    </row>
    <row r="3269">
      <c r="A3269" s="5" t="s">
        <v>2938</v>
      </c>
      <c r="B3269" s="6">
        <v>250.0</v>
      </c>
      <c r="C3269" s="7" t="s">
        <v>649</v>
      </c>
      <c r="D3269" s="15">
        <v>75208.0</v>
      </c>
      <c r="F3269" s="15"/>
      <c r="G3269" s="26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J3269" s="28"/>
      <c r="AK3269" s="28"/>
      <c r="AL3269" s="28"/>
      <c r="AM3269" s="28"/>
      <c r="AN3269" s="28"/>
      <c r="AO3269" s="28"/>
      <c r="AP3269" s="28"/>
      <c r="AQ3269" s="28"/>
      <c r="AR3269" s="28"/>
      <c r="AS3269" s="28"/>
      <c r="AT3269" s="28"/>
    </row>
    <row r="3270">
      <c r="A3270" s="10" t="s">
        <v>2939</v>
      </c>
      <c r="B3270" s="11">
        <v>250.0</v>
      </c>
      <c r="C3270" s="12" t="s">
        <v>649</v>
      </c>
      <c r="D3270" s="15">
        <v>75298.0</v>
      </c>
      <c r="F3270" s="15"/>
      <c r="G3270" s="26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28"/>
      <c r="AR3270" s="28"/>
      <c r="AS3270" s="28"/>
      <c r="AT3270" s="28"/>
    </row>
    <row r="3271">
      <c r="A3271" s="5" t="s">
        <v>2940</v>
      </c>
      <c r="B3271" s="6">
        <v>949.7</v>
      </c>
      <c r="C3271" s="7" t="s">
        <v>649</v>
      </c>
      <c r="D3271" s="15">
        <v>75206.0</v>
      </c>
      <c r="F3271" s="15"/>
      <c r="G3271" s="26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28"/>
      <c r="AS3271" s="28"/>
      <c r="AT3271" s="28"/>
    </row>
    <row r="3272">
      <c r="A3272" s="10" t="s">
        <v>1486</v>
      </c>
      <c r="B3272" s="11">
        <v>100.0</v>
      </c>
      <c r="C3272" s="12" t="s">
        <v>649</v>
      </c>
      <c r="D3272" s="15">
        <v>75208.0</v>
      </c>
      <c r="F3272" s="15"/>
      <c r="G3272" s="26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28"/>
      <c r="AS3272" s="28"/>
      <c r="AT3272" s="28"/>
    </row>
    <row r="3273">
      <c r="A3273" s="5" t="s">
        <v>2941</v>
      </c>
      <c r="B3273" s="6">
        <v>250.0</v>
      </c>
      <c r="C3273" s="7" t="s">
        <v>649</v>
      </c>
      <c r="D3273" s="15">
        <v>75224.0</v>
      </c>
      <c r="F3273" s="15"/>
      <c r="G3273" s="26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28"/>
      <c r="AS3273" s="28"/>
      <c r="AT3273" s="28"/>
    </row>
    <row r="3274">
      <c r="A3274" s="10" t="s">
        <v>2942</v>
      </c>
      <c r="B3274" s="11">
        <v>949.7</v>
      </c>
      <c r="C3274" s="12" t="s">
        <v>649</v>
      </c>
      <c r="D3274" s="15">
        <v>75214.0</v>
      </c>
      <c r="F3274" s="15"/>
      <c r="G3274" s="26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28"/>
      <c r="AS3274" s="28"/>
      <c r="AT3274" s="28"/>
    </row>
    <row r="3275">
      <c r="A3275" s="5" t="s">
        <v>2943</v>
      </c>
      <c r="B3275" s="6">
        <v>949.7</v>
      </c>
      <c r="C3275" s="7" t="s">
        <v>649</v>
      </c>
      <c r="D3275" s="15">
        <v>75205.0</v>
      </c>
      <c r="F3275" s="15"/>
      <c r="G3275" s="26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28"/>
      <c r="AS3275" s="28"/>
      <c r="AT3275" s="28"/>
    </row>
    <row r="3276">
      <c r="A3276" s="10" t="s">
        <v>2944</v>
      </c>
      <c r="B3276" s="11">
        <v>250.0</v>
      </c>
      <c r="C3276" s="12" t="s">
        <v>649</v>
      </c>
      <c r="D3276" s="15">
        <v>75208.0</v>
      </c>
      <c r="F3276" s="15"/>
      <c r="G3276" s="26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28"/>
      <c r="AS3276" s="28"/>
      <c r="AT3276" s="28"/>
    </row>
    <row r="3277">
      <c r="A3277" s="5" t="s">
        <v>2945</v>
      </c>
      <c r="B3277" s="6">
        <v>50.0</v>
      </c>
      <c r="C3277" s="7" t="s">
        <v>649</v>
      </c>
      <c r="D3277" s="15">
        <v>75208.0</v>
      </c>
      <c r="F3277" s="15"/>
      <c r="G3277" s="26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28"/>
      <c r="AS3277" s="28"/>
      <c r="AT3277" s="28"/>
    </row>
    <row r="3278">
      <c r="A3278" s="10" t="s">
        <v>2946</v>
      </c>
      <c r="B3278" s="11">
        <v>500.0</v>
      </c>
      <c r="C3278" s="12" t="s">
        <v>649</v>
      </c>
      <c r="D3278" s="15">
        <v>76040.0</v>
      </c>
      <c r="F3278" s="15"/>
      <c r="G3278" s="26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28"/>
      <c r="AS3278" s="28"/>
      <c r="AT3278" s="28"/>
    </row>
    <row r="3279">
      <c r="A3279" s="5" t="s">
        <v>2947</v>
      </c>
      <c r="B3279" s="6">
        <v>1000.0</v>
      </c>
      <c r="C3279" s="7" t="s">
        <v>649</v>
      </c>
      <c r="D3279" s="15">
        <v>75201.0</v>
      </c>
      <c r="F3279" s="15"/>
      <c r="G3279" s="26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28"/>
      <c r="AS3279" s="28"/>
      <c r="AT3279" s="28"/>
    </row>
    <row r="3280">
      <c r="A3280" s="10" t="s">
        <v>2948</v>
      </c>
      <c r="B3280" s="11">
        <v>100.0</v>
      </c>
      <c r="C3280" s="12" t="s">
        <v>649</v>
      </c>
      <c r="D3280" s="15">
        <v>75226.0</v>
      </c>
      <c r="F3280" s="15"/>
      <c r="G3280" s="26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28"/>
      <c r="AS3280" s="28"/>
      <c r="AT3280" s="28"/>
    </row>
    <row r="3281">
      <c r="A3281" s="5" t="s">
        <v>2949</v>
      </c>
      <c r="B3281" s="6">
        <v>50.0</v>
      </c>
      <c r="C3281" s="7" t="s">
        <v>649</v>
      </c>
      <c r="D3281" s="15">
        <v>75219.0</v>
      </c>
      <c r="F3281" s="15"/>
      <c r="G3281" s="26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28"/>
      <c r="AS3281" s="28"/>
      <c r="AT3281" s="28"/>
    </row>
    <row r="3282">
      <c r="A3282" s="10" t="s">
        <v>2950</v>
      </c>
      <c r="B3282" s="11">
        <v>949.7</v>
      </c>
      <c r="C3282" s="12" t="s">
        <v>649</v>
      </c>
      <c r="D3282" s="15">
        <v>75205.0</v>
      </c>
      <c r="F3282" s="15"/>
      <c r="G3282" s="26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28"/>
      <c r="AS3282" s="28"/>
      <c r="AT3282" s="28"/>
    </row>
    <row r="3283">
      <c r="A3283" s="5" t="s">
        <v>2951</v>
      </c>
      <c r="B3283" s="6">
        <v>50.0</v>
      </c>
      <c r="C3283" s="7" t="s">
        <v>649</v>
      </c>
      <c r="D3283" s="15">
        <v>75208.0</v>
      </c>
      <c r="F3283" s="15"/>
      <c r="G3283" s="26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28"/>
      <c r="AS3283" s="28"/>
      <c r="AT3283" s="28"/>
    </row>
    <row r="3284">
      <c r="A3284" s="10" t="s">
        <v>2952</v>
      </c>
      <c r="B3284" s="11">
        <v>949.7</v>
      </c>
      <c r="C3284" s="12" t="s">
        <v>649</v>
      </c>
      <c r="D3284" s="15">
        <v>75208.0</v>
      </c>
      <c r="F3284" s="15"/>
      <c r="G3284" s="26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28"/>
      <c r="AS3284" s="28"/>
      <c r="AT3284" s="28"/>
    </row>
    <row r="3285">
      <c r="A3285" s="5" t="s">
        <v>2953</v>
      </c>
      <c r="B3285" s="6">
        <v>2500.0</v>
      </c>
      <c r="C3285" s="7" t="s">
        <v>649</v>
      </c>
      <c r="D3285" s="15">
        <v>75093.0</v>
      </c>
      <c r="F3285" s="15"/>
      <c r="G3285" s="26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28"/>
      <c r="AS3285" s="28"/>
      <c r="AT3285" s="28"/>
    </row>
    <row r="3286">
      <c r="A3286" s="10" t="s">
        <v>2954</v>
      </c>
      <c r="B3286" s="11">
        <v>500.0</v>
      </c>
      <c r="C3286" s="12" t="s">
        <v>649</v>
      </c>
      <c r="D3286" s="15">
        <v>75219.0</v>
      </c>
      <c r="F3286" s="15"/>
      <c r="G3286" s="26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28"/>
      <c r="AS3286" s="28"/>
      <c r="AT3286" s="28"/>
    </row>
    <row r="3287">
      <c r="A3287" s="5" t="s">
        <v>2955</v>
      </c>
      <c r="B3287" s="6">
        <v>2500.0</v>
      </c>
      <c r="C3287" s="7" t="s">
        <v>649</v>
      </c>
      <c r="D3287" s="15">
        <v>78768.0</v>
      </c>
      <c r="F3287" s="15"/>
      <c r="G3287" s="26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28"/>
      <c r="AS3287" s="28"/>
      <c r="AT3287" s="28"/>
    </row>
    <row r="3288">
      <c r="A3288" s="10" t="s">
        <v>2858</v>
      </c>
      <c r="B3288" s="11">
        <v>500.0</v>
      </c>
      <c r="C3288" s="12" t="s">
        <v>375</v>
      </c>
      <c r="D3288" s="15">
        <v>75225.0</v>
      </c>
      <c r="F3288" s="15"/>
      <c r="G3288" s="26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28"/>
      <c r="AS3288" s="28"/>
      <c r="AT3288" s="28"/>
    </row>
    <row r="3289">
      <c r="A3289" s="10" t="s">
        <v>2956</v>
      </c>
      <c r="B3289" s="11">
        <v>500.0</v>
      </c>
      <c r="C3289" s="12" t="s">
        <v>375</v>
      </c>
      <c r="D3289" s="15">
        <v>75229.0</v>
      </c>
      <c r="F3289" s="15"/>
      <c r="G3289" s="26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28"/>
      <c r="AS3289" s="28"/>
      <c r="AT3289" s="28"/>
    </row>
    <row r="3290">
      <c r="A3290" s="10" t="s">
        <v>2957</v>
      </c>
      <c r="B3290" s="11">
        <v>1000.0</v>
      </c>
      <c r="C3290" s="12" t="s">
        <v>375</v>
      </c>
      <c r="D3290" s="15">
        <v>75067.0</v>
      </c>
      <c r="F3290" s="15"/>
      <c r="G3290" s="26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28"/>
      <c r="AS3290" s="28"/>
      <c r="AT3290" s="28"/>
    </row>
    <row r="3291">
      <c r="A3291" s="10" t="s">
        <v>2958</v>
      </c>
      <c r="B3291" s="11">
        <v>250.0</v>
      </c>
      <c r="C3291" s="12" t="s">
        <v>375</v>
      </c>
      <c r="D3291" s="15">
        <v>75219.0</v>
      </c>
      <c r="F3291" s="15"/>
      <c r="G3291" s="26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28"/>
      <c r="AS3291" s="28"/>
      <c r="AT3291" s="28"/>
    </row>
    <row r="3292">
      <c r="A3292" s="10" t="s">
        <v>2959</v>
      </c>
      <c r="B3292" s="11">
        <v>500.0</v>
      </c>
      <c r="C3292" s="12" t="s">
        <v>375</v>
      </c>
      <c r="D3292" s="15">
        <v>75205.0</v>
      </c>
      <c r="F3292" s="15"/>
      <c r="G3292" s="26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28"/>
      <c r="AS3292" s="28"/>
      <c r="AT3292" s="28"/>
    </row>
    <row r="3293">
      <c r="A3293" s="10" t="s">
        <v>2960</v>
      </c>
      <c r="B3293" s="11">
        <v>500.0</v>
      </c>
      <c r="C3293" s="12" t="s">
        <v>375</v>
      </c>
      <c r="D3293" s="15">
        <v>75226.0</v>
      </c>
      <c r="F3293" s="15"/>
      <c r="G3293" s="26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28"/>
      <c r="AS3293" s="28"/>
      <c r="AT3293" s="28"/>
    </row>
    <row r="3294">
      <c r="A3294" s="10" t="s">
        <v>2961</v>
      </c>
      <c r="B3294" s="11">
        <v>10000.0</v>
      </c>
      <c r="C3294" s="12" t="s">
        <v>1065</v>
      </c>
      <c r="D3294" s="15">
        <v>75504.0</v>
      </c>
      <c r="F3294" s="15"/>
      <c r="G3294" s="26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28"/>
      <c r="AS3294" s="28"/>
      <c r="AT3294" s="28"/>
    </row>
    <row r="3295">
      <c r="A3295" s="10" t="s">
        <v>2962</v>
      </c>
      <c r="B3295" s="11">
        <v>250.0</v>
      </c>
      <c r="C3295" s="12" t="s">
        <v>1065</v>
      </c>
      <c r="D3295" s="15">
        <v>75007.0</v>
      </c>
      <c r="F3295" s="15"/>
      <c r="G3295" s="26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28"/>
      <c r="AS3295" s="28"/>
      <c r="AT3295" s="28"/>
    </row>
    <row r="3296">
      <c r="A3296" s="10" t="s">
        <v>2963</v>
      </c>
      <c r="B3296" s="11">
        <v>1000.0</v>
      </c>
      <c r="C3296" s="12" t="s">
        <v>1065</v>
      </c>
      <c r="D3296" s="15">
        <v>75120.0</v>
      </c>
      <c r="F3296" s="15"/>
      <c r="G3296" s="26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28"/>
      <c r="AS3296" s="28"/>
      <c r="AT3296" s="28"/>
    </row>
    <row r="3297">
      <c r="A3297" s="10" t="s">
        <v>2964</v>
      </c>
      <c r="B3297" s="11">
        <v>250.0</v>
      </c>
      <c r="C3297" s="12" t="s">
        <v>1065</v>
      </c>
      <c r="D3297" s="15">
        <v>75137.0</v>
      </c>
      <c r="F3297" s="15"/>
      <c r="G3297" s="26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28"/>
      <c r="AS3297" s="28"/>
      <c r="AT3297" s="28"/>
    </row>
    <row r="3298">
      <c r="A3298" s="10" t="s">
        <v>2965</v>
      </c>
      <c r="B3298" s="11">
        <v>1000.0</v>
      </c>
      <c r="C3298" s="12" t="s">
        <v>1065</v>
      </c>
      <c r="D3298" s="15">
        <v>75225.0</v>
      </c>
      <c r="F3298" s="15"/>
      <c r="G3298" s="26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28"/>
      <c r="AS3298" s="28"/>
      <c r="AT3298" s="28"/>
    </row>
    <row r="3299">
      <c r="A3299" s="10" t="s">
        <v>2966</v>
      </c>
      <c r="B3299" s="11">
        <v>5000.0</v>
      </c>
      <c r="C3299" s="12" t="s">
        <v>1065</v>
      </c>
      <c r="D3299" s="15">
        <v>75201.0</v>
      </c>
      <c r="F3299" s="15"/>
      <c r="G3299" s="26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28"/>
      <c r="AS3299" s="28"/>
      <c r="AT3299" s="28"/>
    </row>
    <row r="3300">
      <c r="A3300" s="10" t="s">
        <v>2967</v>
      </c>
      <c r="B3300" s="11">
        <v>500.0</v>
      </c>
      <c r="C3300" s="12" t="s">
        <v>1065</v>
      </c>
      <c r="D3300" s="15">
        <v>75208.0</v>
      </c>
      <c r="F3300" s="15"/>
      <c r="G3300" s="26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28"/>
      <c r="AS3300" s="28"/>
      <c r="AT3300" s="28"/>
    </row>
    <row r="3301">
      <c r="A3301" s="10" t="s">
        <v>153</v>
      </c>
      <c r="B3301" s="11">
        <v>5000.0</v>
      </c>
      <c r="C3301" s="12" t="s">
        <v>1065</v>
      </c>
      <c r="D3301" s="15">
        <v>75219.0</v>
      </c>
      <c r="F3301" s="15"/>
      <c r="G3301" s="26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28"/>
      <c r="AS3301" s="28"/>
      <c r="AT3301" s="28"/>
    </row>
    <row r="3302">
      <c r="A3302" s="10" t="s">
        <v>2108</v>
      </c>
      <c r="B3302" s="11">
        <v>5000.0</v>
      </c>
      <c r="C3302" s="12" t="s">
        <v>1065</v>
      </c>
      <c r="D3302" s="15">
        <v>75229.0</v>
      </c>
      <c r="F3302" s="15"/>
      <c r="G3302" s="26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28"/>
      <c r="AS3302" s="28"/>
      <c r="AT3302" s="28"/>
    </row>
    <row r="3303">
      <c r="A3303" s="10" t="s">
        <v>19</v>
      </c>
      <c r="B3303" s="11">
        <v>1000.0</v>
      </c>
      <c r="C3303" s="12" t="s">
        <v>1065</v>
      </c>
      <c r="D3303" s="15">
        <v>75048.0</v>
      </c>
      <c r="F3303" s="15"/>
      <c r="G3303" s="26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28"/>
      <c r="AS3303" s="28"/>
      <c r="AT3303" s="28"/>
    </row>
    <row r="3304">
      <c r="A3304" s="10"/>
      <c r="B3304" s="11"/>
      <c r="C3304" s="12"/>
      <c r="D3304" s="15"/>
      <c r="F3304" s="15"/>
      <c r="G3304" s="26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28"/>
      <c r="AS3304" s="28"/>
      <c r="AT3304" s="28"/>
    </row>
    <row r="3305">
      <c r="A3305" s="10" t="s">
        <v>175</v>
      </c>
      <c r="B3305" s="11">
        <v>500.0</v>
      </c>
      <c r="C3305" s="12" t="s">
        <v>1065</v>
      </c>
      <c r="D3305" s="15">
        <v>75223.0</v>
      </c>
      <c r="F3305" s="15"/>
      <c r="G3305" s="26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28"/>
      <c r="AS3305" s="28"/>
      <c r="AT3305" s="28"/>
    </row>
    <row r="3306">
      <c r="A3306" s="10"/>
      <c r="B3306" s="11"/>
      <c r="C3306" s="12"/>
      <c r="D3306" s="15"/>
      <c r="F3306" s="15"/>
      <c r="G3306" s="26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28"/>
      <c r="AS3306" s="28"/>
      <c r="AT3306" s="28"/>
    </row>
    <row r="3307">
      <c r="A3307" s="10" t="s">
        <v>2486</v>
      </c>
      <c r="B3307" s="11">
        <v>1000.0</v>
      </c>
      <c r="C3307" s="12" t="s">
        <v>1065</v>
      </c>
      <c r="D3307" s="15">
        <v>75201.0</v>
      </c>
      <c r="F3307" s="15"/>
      <c r="G3307" s="26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28"/>
      <c r="AS3307" s="28"/>
      <c r="AT3307" s="28"/>
    </row>
    <row r="3308">
      <c r="A3308" s="10" t="s">
        <v>448</v>
      </c>
      <c r="B3308" s="11">
        <v>250.0</v>
      </c>
      <c r="C3308" s="12" t="s">
        <v>1065</v>
      </c>
      <c r="D3308" s="15">
        <v>75214.0</v>
      </c>
      <c r="F3308" s="15"/>
      <c r="G3308" s="26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28"/>
      <c r="AS3308" s="28"/>
      <c r="AT3308" s="28"/>
    </row>
    <row r="3309">
      <c r="A3309" s="10" t="s">
        <v>2970</v>
      </c>
      <c r="B3309" s="11">
        <v>10000.0</v>
      </c>
      <c r="C3309" s="12" t="s">
        <v>1065</v>
      </c>
      <c r="D3309" s="15">
        <v>75230.0</v>
      </c>
      <c r="F3309" s="15"/>
      <c r="G3309" s="26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28"/>
      <c r="AS3309" s="28"/>
      <c r="AT3309" s="28"/>
    </row>
    <row r="3310">
      <c r="A3310" s="10" t="s">
        <v>2971</v>
      </c>
      <c r="B3310" s="11">
        <v>1000.0</v>
      </c>
      <c r="C3310" s="12" t="s">
        <v>1065</v>
      </c>
      <c r="D3310" s="15">
        <v>75007.0</v>
      </c>
      <c r="F3310" s="15"/>
      <c r="G3310" s="26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28"/>
      <c r="AS3310" s="28"/>
      <c r="AT3310" s="28"/>
    </row>
    <row r="3311">
      <c r="A3311" s="10" t="s">
        <v>1914</v>
      </c>
      <c r="B3311" s="11">
        <v>200.0</v>
      </c>
      <c r="C3311" s="12" t="s">
        <v>1065</v>
      </c>
      <c r="D3311" s="15">
        <v>75240.0</v>
      </c>
      <c r="F3311" s="15"/>
      <c r="G3311" s="26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28"/>
      <c r="AS3311" s="28"/>
      <c r="AT3311" s="28"/>
    </row>
    <row r="3312">
      <c r="A3312" s="10" t="s">
        <v>2972</v>
      </c>
      <c r="B3312" s="11">
        <v>2500.0</v>
      </c>
      <c r="C3312" s="12" t="s">
        <v>1065</v>
      </c>
      <c r="D3312" s="15">
        <v>75201.0</v>
      </c>
      <c r="F3312" s="15"/>
      <c r="G3312" s="26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28"/>
      <c r="AS3312" s="28"/>
      <c r="AT3312" s="28"/>
    </row>
    <row r="3313">
      <c r="A3313" s="10" t="s">
        <v>2973</v>
      </c>
      <c r="B3313" s="11">
        <v>250.0</v>
      </c>
      <c r="C3313" s="12" t="s">
        <v>1065</v>
      </c>
      <c r="D3313" s="15">
        <v>75230.0</v>
      </c>
      <c r="F3313" s="15"/>
      <c r="G3313" s="26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28"/>
      <c r="AS3313" s="28"/>
      <c r="AT3313" s="28"/>
    </row>
    <row r="3314">
      <c r="A3314" s="10" t="s">
        <v>2974</v>
      </c>
      <c r="B3314" s="11">
        <v>100.0</v>
      </c>
      <c r="C3314" s="12" t="s">
        <v>1065</v>
      </c>
      <c r="D3314" s="15">
        <v>75214.0</v>
      </c>
      <c r="F3314" s="15"/>
      <c r="G3314" s="26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28"/>
      <c r="AS3314" s="28"/>
      <c r="AT3314" s="28"/>
    </row>
    <row r="3315">
      <c r="A3315" s="10" t="s">
        <v>2975</v>
      </c>
      <c r="B3315" s="11">
        <v>250.0</v>
      </c>
      <c r="C3315" s="12" t="s">
        <v>1065</v>
      </c>
      <c r="D3315" s="15">
        <v>75209.0</v>
      </c>
      <c r="F3315" s="15"/>
      <c r="G3315" s="26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28"/>
      <c r="AS3315" s="28"/>
      <c r="AT3315" s="28"/>
    </row>
    <row r="3316">
      <c r="A3316" s="10" t="s">
        <v>2976</v>
      </c>
      <c r="B3316" s="11">
        <v>1000.0</v>
      </c>
      <c r="C3316" s="12" t="s">
        <v>1065</v>
      </c>
      <c r="D3316" s="15">
        <v>75220.0</v>
      </c>
      <c r="F3316" s="15"/>
      <c r="G3316" s="26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28"/>
      <c r="AS3316" s="28"/>
      <c r="AT3316" s="28"/>
    </row>
    <row r="3317">
      <c r="A3317" s="10" t="s">
        <v>2977</v>
      </c>
      <c r="B3317" s="11">
        <v>1000.0</v>
      </c>
      <c r="C3317" s="12" t="s">
        <v>1065</v>
      </c>
      <c r="D3317" s="15">
        <v>75209.0</v>
      </c>
      <c r="F3317" s="15"/>
      <c r="G3317" s="26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28"/>
      <c r="AT3317" s="28"/>
    </row>
    <row r="3318">
      <c r="A3318" s="10" t="s">
        <v>2978</v>
      </c>
      <c r="B3318" s="11">
        <v>250.0</v>
      </c>
      <c r="C3318" s="12" t="s">
        <v>1065</v>
      </c>
      <c r="D3318" s="15">
        <v>75081.0</v>
      </c>
      <c r="F3318" s="15"/>
      <c r="G3318" s="26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28"/>
      <c r="AT3318" s="28"/>
    </row>
    <row r="3319">
      <c r="A3319" s="10" t="s">
        <v>2489</v>
      </c>
      <c r="B3319" s="11">
        <v>1000.0</v>
      </c>
      <c r="C3319" s="12" t="s">
        <v>1065</v>
      </c>
      <c r="D3319" s="15">
        <v>75205.0</v>
      </c>
      <c r="F3319" s="15"/>
      <c r="G3319" s="26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28"/>
      <c r="AS3319" s="28"/>
      <c r="AT3319" s="28"/>
    </row>
    <row r="3320">
      <c r="A3320" s="10" t="s">
        <v>2979</v>
      </c>
      <c r="B3320" s="11">
        <v>5000.0</v>
      </c>
      <c r="C3320" s="12" t="s">
        <v>1065</v>
      </c>
      <c r="D3320" s="15">
        <v>75205.0</v>
      </c>
      <c r="F3320" s="15"/>
      <c r="G3320" s="26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28"/>
      <c r="AS3320" s="28"/>
      <c r="AT3320" s="28"/>
    </row>
    <row r="3321">
      <c r="A3321" s="10" t="s">
        <v>2980</v>
      </c>
      <c r="B3321" s="11">
        <v>100.0</v>
      </c>
      <c r="C3321" s="12" t="s">
        <v>1065</v>
      </c>
      <c r="D3321" s="15">
        <v>75248.0</v>
      </c>
      <c r="F3321" s="15"/>
      <c r="G3321" s="26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28"/>
      <c r="AS3321" s="28"/>
      <c r="AT3321" s="28"/>
    </row>
    <row r="3322">
      <c r="A3322" s="10" t="s">
        <v>2981</v>
      </c>
      <c r="B3322" s="11">
        <v>1000.0</v>
      </c>
      <c r="C3322" s="12" t="s">
        <v>1065</v>
      </c>
      <c r="D3322" s="15">
        <v>75209.0</v>
      </c>
      <c r="F3322" s="15"/>
      <c r="G3322" s="26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28"/>
      <c r="AS3322" s="28"/>
      <c r="AT3322" s="28"/>
    </row>
    <row r="3323">
      <c r="A3323" s="10" t="s">
        <v>2982</v>
      </c>
      <c r="B3323" s="11">
        <v>2500.0</v>
      </c>
      <c r="C3323" s="12" t="s">
        <v>1065</v>
      </c>
      <c r="D3323" s="15">
        <v>75207.0</v>
      </c>
      <c r="F3323" s="15"/>
      <c r="G3323" s="26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28"/>
      <c r="AS3323" s="28"/>
      <c r="AT3323" s="28"/>
    </row>
    <row r="3324">
      <c r="A3324" s="10" t="s">
        <v>2983</v>
      </c>
      <c r="B3324" s="11">
        <v>250.0</v>
      </c>
      <c r="C3324" s="12" t="s">
        <v>1065</v>
      </c>
      <c r="D3324" s="15">
        <v>75219.0</v>
      </c>
      <c r="F3324" s="15"/>
      <c r="G3324" s="26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28"/>
      <c r="AS3324" s="28"/>
      <c r="AT3324" s="28"/>
    </row>
    <row r="3325">
      <c r="A3325" s="10" t="s">
        <v>2984</v>
      </c>
      <c r="B3325" s="11">
        <v>1000.0</v>
      </c>
      <c r="C3325" s="12" t="s">
        <v>1065</v>
      </c>
      <c r="D3325" s="15">
        <v>75225.0</v>
      </c>
      <c r="F3325" s="15"/>
      <c r="G3325" s="26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28"/>
      <c r="AS3325" s="28"/>
      <c r="AT3325" s="28"/>
    </row>
    <row r="3326">
      <c r="A3326" s="10" t="s">
        <v>2985</v>
      </c>
      <c r="B3326" s="11">
        <v>500.0</v>
      </c>
      <c r="C3326" s="12" t="s">
        <v>1065</v>
      </c>
      <c r="D3326" s="15">
        <v>75225.0</v>
      </c>
      <c r="F3326" s="15"/>
      <c r="G3326" s="26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28"/>
      <c r="AS3326" s="28"/>
      <c r="AT3326" s="28"/>
    </row>
    <row r="3327">
      <c r="A3327" s="10" t="s">
        <v>2986</v>
      </c>
      <c r="B3327" s="11">
        <v>250.0</v>
      </c>
      <c r="C3327" s="12" t="s">
        <v>1065</v>
      </c>
      <c r="D3327" s="15">
        <v>75013.0</v>
      </c>
      <c r="F3327" s="15"/>
      <c r="G3327" s="26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28"/>
      <c r="AS3327" s="28"/>
      <c r="AT3327" s="28"/>
    </row>
    <row r="3328">
      <c r="A3328" s="10" t="s">
        <v>2987</v>
      </c>
      <c r="B3328" s="11">
        <v>5000.0</v>
      </c>
      <c r="C3328" s="12" t="s">
        <v>1065</v>
      </c>
      <c r="D3328" s="15">
        <v>75219.0</v>
      </c>
      <c r="F3328" s="15"/>
      <c r="G3328" s="26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28"/>
      <c r="AS3328" s="28"/>
      <c r="AT3328" s="28"/>
    </row>
    <row r="3329">
      <c r="A3329" s="10" t="s">
        <v>2988</v>
      </c>
      <c r="B3329" s="11">
        <v>500.0</v>
      </c>
      <c r="C3329" s="12" t="s">
        <v>1065</v>
      </c>
      <c r="D3329" s="15">
        <v>75201.0</v>
      </c>
      <c r="F3329" s="15"/>
      <c r="G3329" s="26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28"/>
      <c r="AS3329" s="28"/>
      <c r="AT3329" s="28"/>
    </row>
    <row r="3330">
      <c r="A3330" s="10" t="s">
        <v>344</v>
      </c>
      <c r="B3330" s="11">
        <v>1000.0</v>
      </c>
      <c r="C3330" s="12" t="s">
        <v>1065</v>
      </c>
      <c r="D3330" s="15">
        <v>75376.0</v>
      </c>
      <c r="F3330" s="15"/>
      <c r="G3330" s="26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28"/>
      <c r="AS3330" s="28"/>
      <c r="AT3330" s="28"/>
    </row>
    <row r="3331">
      <c r="A3331" s="10" t="s">
        <v>2989</v>
      </c>
      <c r="B3331" s="11">
        <v>10000.0</v>
      </c>
      <c r="C3331" s="12" t="s">
        <v>1065</v>
      </c>
      <c r="D3331" s="15">
        <v>75220.0</v>
      </c>
      <c r="F3331" s="15"/>
      <c r="G3331" s="26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28"/>
      <c r="AS3331" s="28"/>
      <c r="AT3331" s="28"/>
    </row>
    <row r="3332">
      <c r="A3332" s="10" t="s">
        <v>2460</v>
      </c>
      <c r="B3332" s="11">
        <v>1000.0</v>
      </c>
      <c r="C3332" s="12" t="s">
        <v>1065</v>
      </c>
      <c r="D3332" s="15">
        <v>75235.0</v>
      </c>
      <c r="F3332" s="15"/>
      <c r="G3332" s="26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28"/>
      <c r="AS3332" s="28"/>
      <c r="AT3332" s="28"/>
    </row>
    <row r="3333">
      <c r="A3333" s="10" t="s">
        <v>2990</v>
      </c>
      <c r="B3333" s="11">
        <v>5000.0</v>
      </c>
      <c r="C3333" s="12" t="s">
        <v>1065</v>
      </c>
      <c r="D3333" s="15">
        <v>75220.0</v>
      </c>
      <c r="F3333" s="15"/>
      <c r="G3333" s="26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28"/>
      <c r="AS3333" s="28"/>
      <c r="AT3333" s="28"/>
    </row>
    <row r="3334">
      <c r="A3334" s="10" t="s">
        <v>2991</v>
      </c>
      <c r="B3334" s="11">
        <v>25.0</v>
      </c>
      <c r="C3334" s="12" t="s">
        <v>1065</v>
      </c>
      <c r="D3334" s="15">
        <v>75228.0</v>
      </c>
      <c r="F3334" s="15"/>
      <c r="G3334" s="26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28"/>
      <c r="AS3334" s="28"/>
      <c r="AT3334" s="28"/>
    </row>
    <row r="3335">
      <c r="A3335" s="10" t="s">
        <v>2992</v>
      </c>
      <c r="B3335" s="11">
        <v>1000.0</v>
      </c>
      <c r="C3335" s="12" t="s">
        <v>1065</v>
      </c>
      <c r="D3335" s="15">
        <v>75219.0</v>
      </c>
      <c r="F3335" s="15"/>
      <c r="G3335" s="26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28"/>
      <c r="AS3335" s="28"/>
      <c r="AT3335" s="28"/>
    </row>
    <row r="3336">
      <c r="A3336" s="10" t="s">
        <v>1071</v>
      </c>
      <c r="B3336" s="11">
        <v>3000.0</v>
      </c>
      <c r="C3336" s="12" t="s">
        <v>1065</v>
      </c>
      <c r="D3336" s="15">
        <v>75115.0</v>
      </c>
      <c r="F3336" s="15"/>
      <c r="G3336" s="26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28"/>
      <c r="AS3336" s="28"/>
      <c r="AT3336" s="28"/>
    </row>
    <row r="3337">
      <c r="A3337" s="10"/>
      <c r="B3337" s="11"/>
      <c r="C3337" s="12"/>
      <c r="D3337" s="15"/>
      <c r="F3337" s="15"/>
      <c r="G3337" s="26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28"/>
      <c r="AS3337" s="28"/>
      <c r="AT3337" s="28"/>
    </row>
    <row r="3338">
      <c r="A3338" s="10" t="s">
        <v>2993</v>
      </c>
      <c r="B3338" s="11">
        <v>5000.0</v>
      </c>
      <c r="C3338" s="12" t="s">
        <v>1065</v>
      </c>
      <c r="D3338" s="15">
        <v>75057.0</v>
      </c>
      <c r="F3338" s="15"/>
      <c r="G3338" s="26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28"/>
      <c r="AS3338" s="28"/>
      <c r="AT3338" s="28"/>
    </row>
    <row r="3339">
      <c r="A3339" s="10" t="s">
        <v>2994</v>
      </c>
      <c r="B3339" s="11">
        <v>10000.0</v>
      </c>
      <c r="C3339" s="12" t="s">
        <v>1065</v>
      </c>
      <c r="D3339" s="15">
        <v>75219.0</v>
      </c>
      <c r="F3339" s="15"/>
      <c r="G3339" s="26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28"/>
      <c r="AS3339" s="28"/>
      <c r="AT3339" s="28"/>
    </row>
    <row r="3340">
      <c r="A3340" s="10" t="s">
        <v>2995</v>
      </c>
      <c r="B3340" s="11">
        <v>2500.0</v>
      </c>
      <c r="C3340" s="12" t="s">
        <v>1065</v>
      </c>
      <c r="D3340" s="15">
        <v>75209.0</v>
      </c>
      <c r="F3340" s="15"/>
      <c r="G3340" s="26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28"/>
      <c r="AS3340" s="28"/>
      <c r="AT3340" s="28"/>
    </row>
    <row r="3341">
      <c r="A3341" s="10" t="s">
        <v>2958</v>
      </c>
      <c r="B3341" s="11">
        <v>500.0</v>
      </c>
      <c r="C3341" s="12" t="s">
        <v>1060</v>
      </c>
      <c r="D3341" s="15">
        <v>75219.0</v>
      </c>
      <c r="F3341" s="15"/>
      <c r="G3341" s="26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28"/>
      <c r="AS3341" s="28"/>
      <c r="AT3341" s="28"/>
    </row>
    <row r="3342">
      <c r="A3342" s="5" t="s">
        <v>2996</v>
      </c>
      <c r="B3342" s="6">
        <v>500.0</v>
      </c>
      <c r="C3342" s="7" t="s">
        <v>1065</v>
      </c>
      <c r="D3342" s="15">
        <v>75230.0</v>
      </c>
      <c r="F3342" s="15"/>
      <c r="G3342" s="26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28"/>
      <c r="AS3342" s="28"/>
      <c r="AT3342" s="28"/>
    </row>
    <row r="3343">
      <c r="A3343" s="5" t="s">
        <v>2997</v>
      </c>
      <c r="B3343" s="6">
        <v>2500.0</v>
      </c>
      <c r="C3343" s="7" t="s">
        <v>1065</v>
      </c>
      <c r="D3343" s="15">
        <v>75225.0</v>
      </c>
      <c r="F3343" s="15"/>
      <c r="G3343" s="26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28"/>
      <c r="AS3343" s="28"/>
      <c r="AT3343" s="28"/>
    </row>
    <row r="3344">
      <c r="A3344" s="5" t="s">
        <v>2998</v>
      </c>
      <c r="B3344" s="6">
        <v>1000.0</v>
      </c>
      <c r="C3344" s="7" t="s">
        <v>1065</v>
      </c>
      <c r="D3344" s="15">
        <v>75205.0</v>
      </c>
      <c r="F3344" s="15"/>
      <c r="G3344" s="26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28"/>
      <c r="AS3344" s="28"/>
      <c r="AT3344" s="28"/>
    </row>
    <row r="3345">
      <c r="A3345" s="5" t="s">
        <v>2999</v>
      </c>
      <c r="B3345" s="6">
        <v>250.0</v>
      </c>
      <c r="C3345" s="7" t="s">
        <v>1065</v>
      </c>
      <c r="D3345" s="15">
        <v>75214.0</v>
      </c>
      <c r="F3345" s="15"/>
      <c r="G3345" s="26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28"/>
      <c r="AS3345" s="28"/>
      <c r="AT3345" s="28"/>
    </row>
    <row r="3346">
      <c r="A3346" s="5" t="s">
        <v>3000</v>
      </c>
      <c r="B3346" s="6">
        <v>1000.0</v>
      </c>
      <c r="C3346" s="7" t="s">
        <v>1065</v>
      </c>
      <c r="D3346" s="15">
        <v>75205.0</v>
      </c>
      <c r="F3346" s="15"/>
      <c r="G3346" s="26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28"/>
      <c r="AS3346" s="28"/>
      <c r="AT3346" s="28"/>
    </row>
    <row r="3347">
      <c r="A3347" s="5" t="s">
        <v>3001</v>
      </c>
      <c r="B3347" s="6">
        <v>10000.0</v>
      </c>
      <c r="C3347" s="7" t="s">
        <v>1065</v>
      </c>
      <c r="D3347" s="15">
        <v>75230.0</v>
      </c>
      <c r="F3347" s="15"/>
      <c r="G3347" s="26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28"/>
      <c r="AS3347" s="28"/>
      <c r="AT3347" s="28"/>
    </row>
    <row r="3348">
      <c r="A3348" s="5" t="s">
        <v>3002</v>
      </c>
      <c r="B3348" s="6">
        <v>10000.0</v>
      </c>
      <c r="C3348" s="7" t="s">
        <v>1065</v>
      </c>
      <c r="D3348" s="15">
        <v>75209.0</v>
      </c>
      <c r="F3348" s="15"/>
      <c r="G3348" s="26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28"/>
      <c r="AS3348" s="28"/>
      <c r="AT3348" s="28"/>
    </row>
    <row r="3349">
      <c r="A3349" s="5" t="s">
        <v>3003</v>
      </c>
      <c r="B3349" s="6">
        <v>500.0</v>
      </c>
      <c r="C3349" s="7" t="s">
        <v>1065</v>
      </c>
      <c r="D3349" s="15">
        <v>75220.0</v>
      </c>
      <c r="F3349" s="15"/>
      <c r="G3349" s="26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28"/>
      <c r="AS3349" s="28"/>
      <c r="AT3349" s="28"/>
    </row>
    <row r="3350">
      <c r="A3350" s="5" t="s">
        <v>3004</v>
      </c>
      <c r="B3350" s="6">
        <v>250.0</v>
      </c>
      <c r="C3350" s="7" t="s">
        <v>1065</v>
      </c>
      <c r="D3350" s="15">
        <v>75214.0</v>
      </c>
      <c r="F3350" s="15"/>
      <c r="G3350" s="26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28"/>
      <c r="AS3350" s="28"/>
      <c r="AT3350" s="28"/>
    </row>
    <row r="3351">
      <c r="A3351" s="5" t="s">
        <v>3005</v>
      </c>
      <c r="B3351" s="6">
        <v>250.0</v>
      </c>
      <c r="C3351" s="7" t="s">
        <v>1065</v>
      </c>
      <c r="D3351" s="15">
        <v>75229.0</v>
      </c>
      <c r="F3351" s="15"/>
      <c r="G3351" s="26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28"/>
      <c r="AS3351" s="28"/>
      <c r="AT3351" s="28"/>
    </row>
    <row r="3352">
      <c r="A3352" s="5" t="s">
        <v>2395</v>
      </c>
      <c r="B3352" s="6">
        <v>10000.0</v>
      </c>
      <c r="C3352" s="7" t="s">
        <v>1065</v>
      </c>
      <c r="D3352" s="15">
        <v>75207.0</v>
      </c>
      <c r="F3352" s="15"/>
      <c r="G3352" s="26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28"/>
      <c r="AS3352" s="28"/>
      <c r="AT3352" s="28"/>
    </row>
    <row r="3353">
      <c r="A3353" s="5" t="s">
        <v>3006</v>
      </c>
      <c r="B3353" s="6">
        <v>100.0</v>
      </c>
      <c r="C3353" s="7" t="s">
        <v>1065</v>
      </c>
      <c r="D3353" s="15">
        <v>75218.0</v>
      </c>
      <c r="F3353" s="15"/>
      <c r="G3353" s="26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28"/>
      <c r="AS3353" s="28"/>
      <c r="AT3353" s="28"/>
    </row>
    <row r="3354">
      <c r="A3354" s="5" t="s">
        <v>3007</v>
      </c>
      <c r="B3354" s="6">
        <v>100.0</v>
      </c>
      <c r="C3354" s="7" t="s">
        <v>1065</v>
      </c>
      <c r="D3354" s="15">
        <v>75232.0</v>
      </c>
      <c r="F3354" s="15"/>
      <c r="G3354" s="26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28"/>
      <c r="AS3354" s="28"/>
      <c r="AT3354" s="28"/>
    </row>
    <row r="3355">
      <c r="A3355" s="5" t="s">
        <v>3008</v>
      </c>
      <c r="B3355" s="6">
        <v>300.0</v>
      </c>
      <c r="C3355" s="7" t="s">
        <v>1065</v>
      </c>
      <c r="D3355" s="15">
        <v>75134.0</v>
      </c>
      <c r="F3355" s="15"/>
      <c r="G3355" s="26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28"/>
      <c r="AS3355" s="28"/>
      <c r="AT3355" s="28"/>
    </row>
    <row r="3356">
      <c r="A3356" s="5" t="s">
        <v>3009</v>
      </c>
      <c r="B3356" s="6">
        <v>5000.0</v>
      </c>
      <c r="C3356" s="7" t="s">
        <v>1065</v>
      </c>
      <c r="D3356" s="15">
        <v>75601.0</v>
      </c>
      <c r="F3356" s="15"/>
      <c r="G3356" s="26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28"/>
      <c r="AS3356" s="28"/>
      <c r="AT3356" s="28"/>
    </row>
    <row r="3357">
      <c r="A3357" s="5" t="s">
        <v>2255</v>
      </c>
      <c r="B3357" s="6">
        <v>5000.0</v>
      </c>
      <c r="C3357" s="7" t="s">
        <v>1065</v>
      </c>
      <c r="D3357" s="15">
        <v>76710.0</v>
      </c>
      <c r="F3357" s="15"/>
      <c r="G3357" s="26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28"/>
      <c r="AS3357" s="28"/>
      <c r="AT3357" s="28"/>
    </row>
    <row r="3358">
      <c r="A3358" s="5"/>
      <c r="B3358" s="6"/>
      <c r="C3358" s="7"/>
      <c r="D3358" s="15"/>
      <c r="F3358" s="15"/>
      <c r="G3358" s="26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28"/>
      <c r="AS3358" s="28"/>
      <c r="AT3358" s="28"/>
    </row>
    <row r="3359">
      <c r="A3359" s="5" t="s">
        <v>3011</v>
      </c>
      <c r="B3359" s="6">
        <v>250.0</v>
      </c>
      <c r="C3359" s="7" t="s">
        <v>1065</v>
      </c>
      <c r="D3359" s="15">
        <v>75219.0</v>
      </c>
      <c r="F3359" s="15"/>
      <c r="G3359" s="26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28"/>
      <c r="AS3359" s="28"/>
      <c r="AT3359" s="28"/>
    </row>
    <row r="3360">
      <c r="A3360" s="5" t="s">
        <v>3012</v>
      </c>
      <c r="B3360" s="6">
        <v>250.0</v>
      </c>
      <c r="C3360" s="7" t="s">
        <v>1065</v>
      </c>
      <c r="D3360" s="15">
        <v>75033.0</v>
      </c>
      <c r="F3360" s="15"/>
      <c r="G3360" s="26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28"/>
      <c r="AS3360" s="28"/>
      <c r="AT3360" s="28"/>
    </row>
    <row r="3361">
      <c r="A3361" s="5" t="s">
        <v>3013</v>
      </c>
      <c r="B3361" s="6">
        <v>250.0</v>
      </c>
      <c r="C3361" s="7" t="s">
        <v>1065</v>
      </c>
      <c r="D3361" s="15">
        <v>75224.0</v>
      </c>
      <c r="F3361" s="15"/>
      <c r="G3361" s="26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28"/>
      <c r="AS3361" s="28"/>
      <c r="AT3361" s="28"/>
    </row>
    <row r="3362">
      <c r="A3362" s="5" t="s">
        <v>3014</v>
      </c>
      <c r="B3362" s="6">
        <v>250.0</v>
      </c>
      <c r="C3362" s="7" t="s">
        <v>1065</v>
      </c>
      <c r="D3362" s="15">
        <v>75238.0</v>
      </c>
      <c r="F3362" s="15"/>
      <c r="G3362" s="26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28"/>
      <c r="AS3362" s="28"/>
      <c r="AT3362" s="28"/>
    </row>
    <row r="3363">
      <c r="A3363" s="5" t="s">
        <v>3015</v>
      </c>
      <c r="B3363" s="6">
        <v>10000.0</v>
      </c>
      <c r="C3363" s="7" t="s">
        <v>1065</v>
      </c>
      <c r="D3363" s="15">
        <v>75230.0</v>
      </c>
      <c r="F3363" s="15"/>
      <c r="G3363" s="26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28"/>
      <c r="AS3363" s="28"/>
      <c r="AT3363" s="28"/>
    </row>
    <row r="3364">
      <c r="A3364" s="5" t="s">
        <v>3016</v>
      </c>
      <c r="B3364" s="6">
        <v>10000.0</v>
      </c>
      <c r="C3364" s="7" t="s">
        <v>1065</v>
      </c>
      <c r="D3364" s="15">
        <v>75230.0</v>
      </c>
      <c r="F3364" s="15"/>
      <c r="G3364" s="26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28"/>
      <c r="AS3364" s="28"/>
      <c r="AT3364" s="28"/>
    </row>
    <row r="3365">
      <c r="A3365" s="5" t="s">
        <v>3017</v>
      </c>
      <c r="B3365" s="6">
        <v>250.0</v>
      </c>
      <c r="C3365" s="7" t="s">
        <v>1065</v>
      </c>
      <c r="D3365" s="15">
        <v>75229.0</v>
      </c>
      <c r="F3365" s="15"/>
      <c r="G3365" s="26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28"/>
      <c r="AS3365" s="28"/>
      <c r="AT3365" s="28"/>
    </row>
    <row r="3366">
      <c r="A3366" s="5" t="s">
        <v>3018</v>
      </c>
      <c r="B3366" s="6">
        <v>750.0</v>
      </c>
      <c r="C3366" s="7" t="s">
        <v>1065</v>
      </c>
      <c r="D3366" s="15">
        <v>75225.0</v>
      </c>
      <c r="F3366" s="15"/>
      <c r="G3366" s="26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28"/>
      <c r="AS3366" s="28"/>
      <c r="AT3366" s="28"/>
    </row>
    <row r="3367">
      <c r="A3367" s="5" t="s">
        <v>3019</v>
      </c>
      <c r="B3367" s="6">
        <v>250.0</v>
      </c>
      <c r="C3367" s="7" t="s">
        <v>1065</v>
      </c>
      <c r="D3367" s="15">
        <v>75214.0</v>
      </c>
      <c r="F3367" s="15"/>
      <c r="G3367" s="26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28"/>
      <c r="AS3367" s="28"/>
      <c r="AT3367" s="28"/>
    </row>
    <row r="3368">
      <c r="A3368" s="5" t="s">
        <v>3020</v>
      </c>
      <c r="B3368" s="6">
        <v>250.0</v>
      </c>
      <c r="C3368" s="7" t="s">
        <v>1065</v>
      </c>
      <c r="D3368" s="15">
        <v>75006.0</v>
      </c>
      <c r="F3368" s="15"/>
      <c r="G3368" s="26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</row>
    <row r="3369">
      <c r="A3369" s="5" t="s">
        <v>3021</v>
      </c>
      <c r="B3369" s="6">
        <v>250.0</v>
      </c>
      <c r="C3369" s="7" t="s">
        <v>1065</v>
      </c>
      <c r="D3369" s="15">
        <v>75219.0</v>
      </c>
      <c r="F3369" s="15"/>
      <c r="G3369" s="26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28"/>
      <c r="AS3369" s="28"/>
      <c r="AT3369" s="28"/>
    </row>
    <row r="3370">
      <c r="A3370" s="5" t="s">
        <v>3022</v>
      </c>
      <c r="B3370" s="6">
        <v>250.0</v>
      </c>
      <c r="C3370" s="7" t="s">
        <v>1065</v>
      </c>
      <c r="D3370" s="15">
        <v>75204.0</v>
      </c>
      <c r="F3370" s="15"/>
      <c r="G3370" s="26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28"/>
      <c r="AS3370" s="28"/>
      <c r="AT3370" s="28"/>
    </row>
    <row r="3371">
      <c r="A3371" s="5" t="s">
        <v>3023</v>
      </c>
      <c r="B3371" s="6">
        <v>250.0</v>
      </c>
      <c r="C3371" s="7" t="s">
        <v>1065</v>
      </c>
      <c r="D3371" s="15">
        <v>75230.0</v>
      </c>
      <c r="F3371" s="15"/>
      <c r="G3371" s="26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28"/>
      <c r="AS3371" s="28"/>
      <c r="AT3371" s="28"/>
    </row>
    <row r="3372">
      <c r="A3372" s="5" t="s">
        <v>3024</v>
      </c>
      <c r="B3372" s="6">
        <v>500.0</v>
      </c>
      <c r="C3372" s="7" t="s">
        <v>1065</v>
      </c>
      <c r="D3372" s="15">
        <v>75243.0</v>
      </c>
      <c r="F3372" s="15"/>
      <c r="G3372" s="26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28"/>
      <c r="AS3372" s="28"/>
      <c r="AT3372" s="28"/>
    </row>
    <row r="3373">
      <c r="A3373" s="5" t="s">
        <v>3025</v>
      </c>
      <c r="B3373" s="6">
        <v>5000.0</v>
      </c>
      <c r="C3373" s="7" t="s">
        <v>1065</v>
      </c>
      <c r="D3373" s="15">
        <v>75220.0</v>
      </c>
      <c r="F3373" s="15"/>
      <c r="G3373" s="26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28"/>
      <c r="AS3373" s="28"/>
      <c r="AT3373" s="28"/>
    </row>
    <row r="3374">
      <c r="A3374" s="5" t="s">
        <v>3026</v>
      </c>
      <c r="B3374" s="6">
        <v>250.0</v>
      </c>
      <c r="C3374" s="7" t="s">
        <v>1065</v>
      </c>
      <c r="D3374" s="15">
        <v>76120.0</v>
      </c>
      <c r="F3374" s="15"/>
      <c r="G3374" s="26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28"/>
      <c r="AS3374" s="28"/>
      <c r="AT3374" s="28"/>
    </row>
    <row r="3375">
      <c r="A3375" s="5" t="s">
        <v>2084</v>
      </c>
      <c r="B3375" s="6">
        <v>2500.0</v>
      </c>
      <c r="C3375" s="7" t="s">
        <v>1065</v>
      </c>
      <c r="D3375" s="15">
        <v>75013.0</v>
      </c>
      <c r="F3375" s="15"/>
      <c r="G3375" s="26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28"/>
      <c r="AS3375" s="28"/>
      <c r="AT3375" s="28"/>
    </row>
    <row r="3376">
      <c r="A3376" s="5" t="s">
        <v>3027</v>
      </c>
      <c r="B3376" s="6">
        <v>250.0</v>
      </c>
      <c r="C3376" s="7" t="s">
        <v>1065</v>
      </c>
      <c r="D3376" s="15">
        <v>75225.0</v>
      </c>
      <c r="F3376" s="15"/>
      <c r="G3376" s="26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28"/>
      <c r="AS3376" s="28"/>
      <c r="AT3376" s="28"/>
    </row>
    <row r="3377">
      <c r="A3377" s="5" t="s">
        <v>3028</v>
      </c>
      <c r="B3377" s="6">
        <v>500.0</v>
      </c>
      <c r="C3377" s="7" t="s">
        <v>1065</v>
      </c>
      <c r="D3377" s="15">
        <v>75225.0</v>
      </c>
      <c r="F3377" s="15"/>
      <c r="G3377" s="26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28"/>
      <c r="AS3377" s="28"/>
      <c r="AT3377" s="28"/>
    </row>
    <row r="3378">
      <c r="A3378" s="5" t="s">
        <v>3029</v>
      </c>
      <c r="B3378" s="6">
        <v>500.0</v>
      </c>
      <c r="C3378" s="7" t="s">
        <v>1065</v>
      </c>
      <c r="D3378" s="15">
        <v>75209.0</v>
      </c>
      <c r="F3378" s="15"/>
      <c r="G3378" s="26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28"/>
      <c r="AS3378" s="28"/>
      <c r="AT3378" s="28"/>
    </row>
    <row r="3379">
      <c r="A3379" s="5" t="s">
        <v>3030</v>
      </c>
      <c r="B3379" s="6">
        <v>250.0</v>
      </c>
      <c r="C3379" s="7" t="s">
        <v>1065</v>
      </c>
      <c r="D3379" s="15">
        <v>75209.0</v>
      </c>
      <c r="F3379" s="15"/>
      <c r="G3379" s="26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28"/>
      <c r="AS3379" s="28"/>
      <c r="AT3379" s="28"/>
    </row>
    <row r="3380">
      <c r="A3380" s="5" t="s">
        <v>3031</v>
      </c>
      <c r="B3380" s="6">
        <v>250.0</v>
      </c>
      <c r="C3380" s="7" t="s">
        <v>1065</v>
      </c>
      <c r="D3380" s="15">
        <v>75115.0</v>
      </c>
      <c r="F3380" s="15"/>
      <c r="G3380" s="26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28"/>
      <c r="AS3380" s="28"/>
      <c r="AT3380" s="28"/>
    </row>
    <row r="3381">
      <c r="A3381" s="5" t="s">
        <v>3032</v>
      </c>
      <c r="B3381" s="6">
        <v>250.0</v>
      </c>
      <c r="C3381" s="7" t="s">
        <v>1065</v>
      </c>
      <c r="D3381" s="15">
        <v>75201.0</v>
      </c>
      <c r="F3381" s="15"/>
      <c r="G3381" s="26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28"/>
      <c r="AS3381" s="28"/>
      <c r="AT3381" s="28"/>
    </row>
    <row r="3382">
      <c r="A3382" s="5" t="s">
        <v>3033</v>
      </c>
      <c r="B3382" s="6">
        <v>5000.0</v>
      </c>
      <c r="C3382" s="7" t="s">
        <v>1065</v>
      </c>
      <c r="D3382" s="15">
        <v>75201.0</v>
      </c>
      <c r="F3382" s="15"/>
      <c r="G3382" s="26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28"/>
      <c r="AS3382" s="28"/>
      <c r="AT3382" s="28"/>
    </row>
    <row r="3383">
      <c r="A3383" s="5" t="s">
        <v>3034</v>
      </c>
      <c r="B3383" s="6">
        <v>250.0</v>
      </c>
      <c r="C3383" s="7" t="s">
        <v>1065</v>
      </c>
      <c r="D3383" s="15">
        <v>75137.0</v>
      </c>
      <c r="F3383" s="15"/>
      <c r="G3383" s="26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28"/>
      <c r="AS3383" s="28"/>
      <c r="AT3383" s="28"/>
    </row>
    <row r="3384">
      <c r="A3384" s="5" t="s">
        <v>3035</v>
      </c>
      <c r="B3384" s="6">
        <v>500.0</v>
      </c>
      <c r="C3384" s="7" t="s">
        <v>1065</v>
      </c>
      <c r="D3384" s="15">
        <v>75209.0</v>
      </c>
      <c r="F3384" s="15"/>
      <c r="G3384" s="26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28"/>
      <c r="AS3384" s="28"/>
      <c r="AT3384" s="28"/>
    </row>
    <row r="3385">
      <c r="A3385" s="5" t="s">
        <v>3036</v>
      </c>
      <c r="B3385" s="6">
        <v>250.0</v>
      </c>
      <c r="C3385" s="7" t="s">
        <v>1065</v>
      </c>
      <c r="D3385" s="15">
        <v>75225.0</v>
      </c>
      <c r="F3385" s="15"/>
      <c r="G3385" s="26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28"/>
      <c r="AS3385" s="28"/>
      <c r="AT3385" s="28"/>
    </row>
    <row r="3386">
      <c r="A3386" s="5" t="s">
        <v>3037</v>
      </c>
      <c r="B3386" s="6">
        <v>250.0</v>
      </c>
      <c r="C3386" s="7" t="s">
        <v>1065</v>
      </c>
      <c r="D3386" s="15">
        <v>75209.0</v>
      </c>
      <c r="F3386" s="15"/>
      <c r="G3386" s="26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28"/>
      <c r="AS3386" s="28"/>
      <c r="AT3386" s="28"/>
    </row>
    <row r="3387">
      <c r="A3387" s="5" t="s">
        <v>3038</v>
      </c>
      <c r="B3387" s="6">
        <v>250.0</v>
      </c>
      <c r="C3387" s="7" t="s">
        <v>1065</v>
      </c>
      <c r="D3387" s="15">
        <v>75214.0</v>
      </c>
      <c r="F3387" s="15"/>
      <c r="G3387" s="26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28"/>
      <c r="AS3387" s="28"/>
      <c r="AT3387" s="28"/>
    </row>
    <row r="3388">
      <c r="A3388" s="5" t="s">
        <v>3039</v>
      </c>
      <c r="B3388" s="6">
        <v>250.0</v>
      </c>
      <c r="C3388" s="7" t="s">
        <v>1065</v>
      </c>
      <c r="D3388" s="15">
        <v>75225.0</v>
      </c>
      <c r="F3388" s="15"/>
      <c r="G3388" s="26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28"/>
      <c r="AS3388" s="28"/>
      <c r="AT3388" s="28"/>
    </row>
    <row r="3389">
      <c r="A3389" s="5" t="s">
        <v>3040</v>
      </c>
      <c r="B3389" s="6">
        <v>250.0</v>
      </c>
      <c r="C3389" s="7" t="s">
        <v>1065</v>
      </c>
      <c r="D3389" s="15">
        <v>75233.0</v>
      </c>
      <c r="F3389" s="15"/>
      <c r="G3389" s="26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28"/>
      <c r="AS3389" s="28"/>
      <c r="AT3389" s="28"/>
    </row>
    <row r="3390">
      <c r="A3390" s="5"/>
      <c r="B3390" s="6"/>
      <c r="C3390" s="7"/>
      <c r="D3390" s="15"/>
      <c r="F3390" s="15"/>
      <c r="G3390" s="26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28"/>
      <c r="AS3390" s="28"/>
      <c r="AT3390" s="28"/>
    </row>
    <row r="3391">
      <c r="A3391" s="5" t="s">
        <v>3042</v>
      </c>
      <c r="B3391" s="6">
        <v>500.0</v>
      </c>
      <c r="C3391" s="7" t="s">
        <v>1065</v>
      </c>
      <c r="D3391" s="15">
        <v>75205.0</v>
      </c>
      <c r="F3391" s="15"/>
      <c r="G3391" s="26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28"/>
      <c r="AS3391" s="28"/>
      <c r="AT3391" s="28"/>
    </row>
    <row r="3392">
      <c r="A3392" s="5" t="s">
        <v>3043</v>
      </c>
      <c r="B3392" s="6">
        <v>5000.0</v>
      </c>
      <c r="C3392" s="7" t="s">
        <v>1065</v>
      </c>
      <c r="D3392" s="15">
        <v>75229.0</v>
      </c>
      <c r="F3392" s="15"/>
      <c r="G3392" s="26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28"/>
      <c r="AS3392" s="28"/>
      <c r="AT3392" s="28"/>
    </row>
    <row r="3393">
      <c r="A3393" s="5" t="s">
        <v>3044</v>
      </c>
      <c r="B3393" s="6">
        <v>5000.0</v>
      </c>
      <c r="C3393" s="7" t="s">
        <v>1065</v>
      </c>
      <c r="D3393" s="15">
        <v>75043.0</v>
      </c>
      <c r="F3393" s="15"/>
      <c r="G3393" s="26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28"/>
      <c r="AS3393" s="28"/>
      <c r="AT3393" s="28"/>
    </row>
    <row r="3394">
      <c r="A3394" s="5" t="s">
        <v>2369</v>
      </c>
      <c r="B3394" s="6">
        <v>250.0</v>
      </c>
      <c r="C3394" s="7" t="s">
        <v>1065</v>
      </c>
      <c r="D3394" s="15">
        <v>75218.0</v>
      </c>
      <c r="F3394" s="15"/>
      <c r="G3394" s="26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28"/>
      <c r="AS3394" s="28"/>
      <c r="AT3394" s="28"/>
    </row>
    <row r="3395">
      <c r="A3395" s="5" t="s">
        <v>348</v>
      </c>
      <c r="B3395" s="6">
        <v>250.0</v>
      </c>
      <c r="C3395" s="7" t="s">
        <v>349</v>
      </c>
      <c r="D3395" s="15">
        <v>75201.0</v>
      </c>
      <c r="F3395" s="15"/>
      <c r="G3395" s="26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28"/>
      <c r="AS3395" s="28"/>
      <c r="AT3395" s="28"/>
    </row>
    <row r="3396">
      <c r="A3396" s="10" t="s">
        <v>348</v>
      </c>
      <c r="B3396" s="11">
        <v>250.0</v>
      </c>
      <c r="C3396" s="12" t="s">
        <v>349</v>
      </c>
      <c r="D3396" s="15">
        <v>75201.0</v>
      </c>
      <c r="F3396" s="15"/>
      <c r="G3396" s="26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28"/>
      <c r="AS3396" s="28"/>
      <c r="AT3396" s="28"/>
    </row>
    <row r="3397">
      <c r="A3397" s="5" t="s">
        <v>3045</v>
      </c>
      <c r="B3397" s="6">
        <v>100.0</v>
      </c>
      <c r="C3397" s="7" t="s">
        <v>349</v>
      </c>
      <c r="D3397" s="15">
        <v>75201.0</v>
      </c>
      <c r="F3397" s="15"/>
      <c r="G3397" s="26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28"/>
      <c r="AS3397" s="28"/>
      <c r="AT3397" s="28"/>
    </row>
    <row r="3398">
      <c r="A3398" s="10" t="s">
        <v>3045</v>
      </c>
      <c r="B3398" s="11">
        <v>100.0</v>
      </c>
      <c r="C3398" s="12" t="s">
        <v>349</v>
      </c>
      <c r="D3398" s="15">
        <v>75201.0</v>
      </c>
      <c r="F3398" s="15"/>
      <c r="G3398" s="26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28"/>
      <c r="AS3398" s="28"/>
      <c r="AT3398" s="28"/>
    </row>
    <row r="3399">
      <c r="A3399" s="5" t="s">
        <v>2344</v>
      </c>
      <c r="B3399" s="6">
        <v>500.0</v>
      </c>
      <c r="C3399" s="7" t="s">
        <v>1151</v>
      </c>
      <c r="D3399" s="15">
        <v>75229.0</v>
      </c>
      <c r="F3399" s="15"/>
      <c r="G3399" s="26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28"/>
      <c r="AS3399" s="28"/>
      <c r="AT3399" s="28"/>
    </row>
    <row r="3400">
      <c r="A3400" s="5" t="s">
        <v>3046</v>
      </c>
      <c r="B3400" s="6">
        <v>200.0</v>
      </c>
      <c r="C3400" s="7" t="s">
        <v>1151</v>
      </c>
      <c r="D3400" s="15">
        <v>75206.0</v>
      </c>
      <c r="F3400" s="15"/>
      <c r="G3400" s="26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28"/>
      <c r="AS3400" s="28"/>
      <c r="AT3400" s="28"/>
    </row>
    <row r="3401">
      <c r="A3401" s="5" t="s">
        <v>3047</v>
      </c>
      <c r="B3401" s="6">
        <v>1000.0</v>
      </c>
      <c r="C3401" s="7" t="s">
        <v>1151</v>
      </c>
      <c r="D3401" s="15">
        <v>75201.0</v>
      </c>
      <c r="F3401" s="15"/>
      <c r="G3401" s="26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28"/>
      <c r="AS3401" s="28"/>
      <c r="AT3401" s="28"/>
    </row>
    <row r="3402">
      <c r="A3402" s="5" t="s">
        <v>3048</v>
      </c>
      <c r="B3402" s="6">
        <v>500.0</v>
      </c>
      <c r="C3402" s="7" t="s">
        <v>1151</v>
      </c>
      <c r="D3402" s="15">
        <v>75244.0</v>
      </c>
      <c r="F3402" s="15"/>
      <c r="G3402" s="26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28"/>
      <c r="AS3402" s="28"/>
      <c r="AT3402" s="28"/>
    </row>
    <row r="3403">
      <c r="A3403" s="5" t="s">
        <v>3049</v>
      </c>
      <c r="B3403" s="6">
        <v>250.0</v>
      </c>
      <c r="C3403" s="7" t="s">
        <v>1151</v>
      </c>
      <c r="D3403" s="15">
        <v>75014.0</v>
      </c>
      <c r="F3403" s="15"/>
      <c r="G3403" s="26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28"/>
      <c r="AS3403" s="28"/>
      <c r="AT3403" s="28"/>
    </row>
    <row r="3404">
      <c r="A3404" s="5" t="s">
        <v>2486</v>
      </c>
      <c r="B3404" s="6">
        <v>500.0</v>
      </c>
      <c r="C3404" s="7" t="s">
        <v>1151</v>
      </c>
      <c r="D3404" s="15">
        <v>75201.0</v>
      </c>
      <c r="F3404" s="15"/>
      <c r="G3404" s="26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28"/>
      <c r="AS3404" s="28"/>
      <c r="AT3404" s="28"/>
    </row>
    <row r="3405">
      <c r="A3405" s="5" t="s">
        <v>3050</v>
      </c>
      <c r="B3405" s="6">
        <v>100.0</v>
      </c>
      <c r="C3405" s="7" t="s">
        <v>1151</v>
      </c>
      <c r="D3405" s="15">
        <v>75210.0</v>
      </c>
      <c r="F3405" s="15"/>
      <c r="G3405" s="26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28"/>
      <c r="AS3405" s="28"/>
      <c r="AT3405" s="28"/>
    </row>
    <row r="3406">
      <c r="A3406" s="5" t="s">
        <v>3051</v>
      </c>
      <c r="B3406" s="6">
        <v>150.0</v>
      </c>
      <c r="C3406" s="7" t="s">
        <v>1151</v>
      </c>
      <c r="D3406" s="15">
        <v>75232.0</v>
      </c>
      <c r="F3406" s="15"/>
      <c r="G3406" s="26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28"/>
      <c r="AS3406" s="28"/>
      <c r="AT3406" s="28"/>
    </row>
    <row r="3407">
      <c r="A3407" s="5" t="s">
        <v>3052</v>
      </c>
      <c r="B3407" s="6">
        <v>50.0</v>
      </c>
      <c r="C3407" s="7" t="s">
        <v>1151</v>
      </c>
      <c r="D3407" s="15">
        <v>75080.0</v>
      </c>
      <c r="F3407" s="15"/>
      <c r="G3407" s="26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28"/>
      <c r="AS3407" s="28"/>
      <c r="AT3407" s="28"/>
    </row>
    <row r="3408">
      <c r="A3408" s="5" t="s">
        <v>3053</v>
      </c>
      <c r="B3408" s="6">
        <v>50.0</v>
      </c>
      <c r="C3408" s="7" t="s">
        <v>1151</v>
      </c>
      <c r="D3408" s="15">
        <v>75208.0</v>
      </c>
      <c r="F3408" s="15"/>
      <c r="G3408" s="26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28"/>
      <c r="AS3408" s="28"/>
      <c r="AT3408" s="28"/>
    </row>
    <row r="3409">
      <c r="A3409" s="5" t="s">
        <v>3054</v>
      </c>
      <c r="B3409" s="6">
        <v>1000.0</v>
      </c>
      <c r="C3409" s="7" t="s">
        <v>1151</v>
      </c>
      <c r="D3409" s="15">
        <v>75360.0</v>
      </c>
      <c r="F3409" s="15"/>
      <c r="G3409" s="26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28"/>
      <c r="AS3409" s="28"/>
      <c r="AT3409" s="28"/>
    </row>
    <row r="3410">
      <c r="A3410" s="5" t="s">
        <v>3055</v>
      </c>
      <c r="B3410" s="6">
        <v>250.0</v>
      </c>
      <c r="C3410" s="7" t="s">
        <v>1151</v>
      </c>
      <c r="D3410" s="15">
        <v>75225.0</v>
      </c>
      <c r="F3410" s="15"/>
      <c r="G3410" s="26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28"/>
      <c r="AS3410" s="28"/>
      <c r="AT3410" s="28"/>
    </row>
    <row r="3411">
      <c r="A3411" s="5" t="s">
        <v>3056</v>
      </c>
      <c r="B3411" s="6">
        <v>250.0</v>
      </c>
      <c r="C3411" s="7" t="s">
        <v>1151</v>
      </c>
      <c r="D3411" s="15">
        <v>75238.0</v>
      </c>
      <c r="F3411" s="15"/>
      <c r="G3411" s="26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</row>
    <row r="3412">
      <c r="A3412" s="5" t="s">
        <v>2245</v>
      </c>
      <c r="B3412" s="6">
        <v>1000.0</v>
      </c>
      <c r="C3412" s="7" t="s">
        <v>1151</v>
      </c>
      <c r="D3412" s="15">
        <v>75230.0</v>
      </c>
      <c r="F3412" s="15"/>
      <c r="G3412" s="26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28"/>
      <c r="AS3412" s="28"/>
      <c r="AT3412" s="28"/>
    </row>
    <row r="3413">
      <c r="A3413" s="5" t="s">
        <v>3057</v>
      </c>
      <c r="B3413" s="6">
        <v>500.0</v>
      </c>
      <c r="C3413" s="7" t="s">
        <v>1151</v>
      </c>
      <c r="D3413" s="15">
        <v>75208.0</v>
      </c>
      <c r="F3413" s="15"/>
      <c r="G3413" s="26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28"/>
      <c r="AS3413" s="28"/>
      <c r="AT3413" s="28"/>
    </row>
    <row r="3414">
      <c r="A3414" s="5" t="s">
        <v>3058</v>
      </c>
      <c r="B3414" s="6">
        <v>500.0</v>
      </c>
      <c r="C3414" s="7" t="s">
        <v>1151</v>
      </c>
      <c r="D3414" s="15">
        <v>75098.0</v>
      </c>
      <c r="F3414" s="15"/>
      <c r="G3414" s="26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28"/>
      <c r="AS3414" s="28"/>
      <c r="AT3414" s="28"/>
    </row>
    <row r="3415">
      <c r="A3415" s="5" t="s">
        <v>1517</v>
      </c>
      <c r="B3415" s="6">
        <v>1000.0</v>
      </c>
      <c r="C3415" s="7" t="s">
        <v>1151</v>
      </c>
      <c r="D3415" s="15">
        <v>75208.0</v>
      </c>
      <c r="F3415" s="15"/>
      <c r="G3415" s="26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28"/>
      <c r="AS3415" s="28"/>
      <c r="AT3415" s="28"/>
    </row>
    <row r="3416">
      <c r="A3416" s="5" t="s">
        <v>3059</v>
      </c>
      <c r="B3416" s="6">
        <v>1000.0</v>
      </c>
      <c r="C3416" s="7" t="s">
        <v>1151</v>
      </c>
      <c r="D3416" s="15">
        <v>75115.0</v>
      </c>
      <c r="F3416" s="15"/>
      <c r="G3416" s="26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28"/>
      <c r="AS3416" s="28"/>
      <c r="AT3416" s="28"/>
    </row>
    <row r="3417">
      <c r="A3417" s="5" t="s">
        <v>3060</v>
      </c>
      <c r="B3417" s="6">
        <v>1000.0</v>
      </c>
      <c r="C3417" s="7" t="s">
        <v>1151</v>
      </c>
      <c r="D3417" s="15">
        <v>75115.0</v>
      </c>
      <c r="F3417" s="15"/>
      <c r="G3417" s="26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28"/>
      <c r="AS3417" s="28"/>
      <c r="AT3417" s="28"/>
    </row>
    <row r="3418">
      <c r="A3418" s="5" t="s">
        <v>3061</v>
      </c>
      <c r="B3418" s="6">
        <v>1000.0</v>
      </c>
      <c r="C3418" s="7" t="s">
        <v>1151</v>
      </c>
      <c r="D3418" s="15">
        <v>75225.0</v>
      </c>
      <c r="F3418" s="15"/>
      <c r="G3418" s="26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28"/>
      <c r="AS3418" s="28"/>
      <c r="AT3418" s="28"/>
    </row>
    <row r="3419">
      <c r="A3419" s="5" t="s">
        <v>3062</v>
      </c>
      <c r="B3419" s="6">
        <v>500.0</v>
      </c>
      <c r="C3419" s="7" t="s">
        <v>1151</v>
      </c>
      <c r="D3419" s="15">
        <v>75215.0</v>
      </c>
      <c r="F3419" s="15"/>
      <c r="G3419" s="26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28"/>
      <c r="AS3419" s="28"/>
      <c r="AT3419" s="28"/>
    </row>
    <row r="3420">
      <c r="A3420" s="5" t="s">
        <v>3063</v>
      </c>
      <c r="B3420" s="6">
        <v>1000.0</v>
      </c>
      <c r="C3420" s="7" t="s">
        <v>1151</v>
      </c>
      <c r="D3420" s="15">
        <v>76051.0</v>
      </c>
      <c r="F3420" s="15"/>
      <c r="G3420" s="26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28"/>
      <c r="AS3420" s="28"/>
      <c r="AT3420" s="28"/>
    </row>
    <row r="3421">
      <c r="A3421" s="5" t="s">
        <v>3064</v>
      </c>
      <c r="B3421" s="6">
        <v>1000.0</v>
      </c>
      <c r="C3421" s="7" t="s">
        <v>1151</v>
      </c>
      <c r="D3421" s="15">
        <v>75205.0</v>
      </c>
      <c r="F3421" s="15"/>
      <c r="G3421" s="26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28"/>
      <c r="AS3421" s="28"/>
      <c r="AT3421" s="28"/>
    </row>
    <row r="3422">
      <c r="A3422" s="5" t="s">
        <v>3065</v>
      </c>
      <c r="B3422" s="6">
        <v>1000.0</v>
      </c>
      <c r="C3422" s="7" t="s">
        <v>1151</v>
      </c>
      <c r="D3422" s="15">
        <v>75219.0</v>
      </c>
      <c r="F3422" s="15"/>
      <c r="G3422" s="26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28"/>
      <c r="AS3422" s="28"/>
      <c r="AT3422" s="28"/>
    </row>
    <row r="3423">
      <c r="A3423" s="5" t="s">
        <v>1043</v>
      </c>
      <c r="B3423" s="6">
        <v>250.0</v>
      </c>
      <c r="C3423" s="7" t="s">
        <v>1151</v>
      </c>
      <c r="D3423" s="15">
        <v>75201.0</v>
      </c>
      <c r="F3423" s="15"/>
      <c r="G3423" s="26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28"/>
      <c r="AS3423" s="28"/>
      <c r="AT3423" s="28"/>
    </row>
    <row r="3424">
      <c r="A3424" s="5" t="s">
        <v>3066</v>
      </c>
      <c r="B3424" s="6">
        <v>500.0</v>
      </c>
      <c r="C3424" s="7" t="s">
        <v>1151</v>
      </c>
      <c r="D3424" s="15">
        <v>75001.0</v>
      </c>
      <c r="F3424" s="15"/>
      <c r="G3424" s="26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28"/>
      <c r="AS3424" s="28"/>
      <c r="AT3424" s="28"/>
    </row>
    <row r="3425">
      <c r="A3425" s="5" t="s">
        <v>3067</v>
      </c>
      <c r="B3425" s="6">
        <v>500.0</v>
      </c>
      <c r="C3425" s="7" t="s">
        <v>1151</v>
      </c>
      <c r="D3425" s="15">
        <v>75034.0</v>
      </c>
      <c r="F3425" s="15"/>
      <c r="G3425" s="26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28"/>
      <c r="AS3425" s="28"/>
      <c r="AT3425" s="28"/>
    </row>
    <row r="3426">
      <c r="A3426" s="5" t="s">
        <v>3068</v>
      </c>
      <c r="B3426" s="6">
        <v>1000.0</v>
      </c>
      <c r="C3426" s="7" t="s">
        <v>1151</v>
      </c>
      <c r="D3426" s="15">
        <v>75206.0</v>
      </c>
      <c r="F3426" s="15"/>
      <c r="G3426" s="26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28"/>
      <c r="AS3426" s="28"/>
      <c r="AT3426" s="28"/>
    </row>
    <row r="3427">
      <c r="A3427" s="5" t="s">
        <v>3069</v>
      </c>
      <c r="B3427" s="6">
        <v>250.0</v>
      </c>
      <c r="C3427" s="7" t="s">
        <v>1151</v>
      </c>
      <c r="D3427" s="15">
        <v>75230.0</v>
      </c>
      <c r="F3427" s="15"/>
      <c r="G3427" s="26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</row>
    <row r="3428">
      <c r="A3428" s="5" t="s">
        <v>2605</v>
      </c>
      <c r="B3428" s="6">
        <v>1000.0</v>
      </c>
      <c r="C3428" s="7" t="s">
        <v>1151</v>
      </c>
      <c r="D3428" s="15">
        <v>75201.0</v>
      </c>
      <c r="F3428" s="15"/>
      <c r="G3428" s="26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28"/>
      <c r="AS3428" s="28"/>
      <c r="AT3428" s="28"/>
    </row>
    <row r="3429">
      <c r="A3429" s="5" t="s">
        <v>2987</v>
      </c>
      <c r="B3429" s="6">
        <v>1000.0</v>
      </c>
      <c r="C3429" s="7" t="s">
        <v>1151</v>
      </c>
      <c r="D3429" s="15">
        <v>75219.0</v>
      </c>
      <c r="F3429" s="15"/>
      <c r="G3429" s="26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28"/>
      <c r="AS3429" s="28"/>
      <c r="AT3429" s="28"/>
    </row>
    <row r="3430">
      <c r="A3430" s="5" t="s">
        <v>3070</v>
      </c>
      <c r="B3430" s="6">
        <v>1000.0</v>
      </c>
      <c r="C3430" s="7" t="s">
        <v>1151</v>
      </c>
      <c r="D3430" s="15">
        <v>75376.0</v>
      </c>
      <c r="F3430" s="15"/>
      <c r="G3430" s="26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28"/>
      <c r="AS3430" s="28"/>
      <c r="AT3430" s="28"/>
    </row>
    <row r="3431">
      <c r="A3431" s="5" t="s">
        <v>1153</v>
      </c>
      <c r="B3431" s="6">
        <v>500.0</v>
      </c>
      <c r="C3431" s="7" t="s">
        <v>1151</v>
      </c>
      <c r="D3431" s="15">
        <v>75230.0</v>
      </c>
      <c r="F3431" s="15"/>
      <c r="G3431" s="26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28"/>
      <c r="AS3431" s="28"/>
      <c r="AT3431" s="28"/>
    </row>
    <row r="3432">
      <c r="A3432" s="5" t="s">
        <v>3071</v>
      </c>
      <c r="B3432" s="6">
        <v>1000.0</v>
      </c>
      <c r="C3432" s="7" t="s">
        <v>1151</v>
      </c>
      <c r="D3432" s="15">
        <v>75115.0</v>
      </c>
      <c r="F3432" s="15"/>
      <c r="G3432" s="26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28"/>
      <c r="AS3432" s="28"/>
      <c r="AT3432" s="28"/>
    </row>
    <row r="3433">
      <c r="A3433" s="5" t="s">
        <v>3072</v>
      </c>
      <c r="B3433" s="6">
        <v>500.0</v>
      </c>
      <c r="C3433" s="7" t="s">
        <v>1151</v>
      </c>
      <c r="D3433" s="15">
        <v>75115.0</v>
      </c>
      <c r="F3433" s="15"/>
      <c r="G3433" s="26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28"/>
      <c r="AS3433" s="28"/>
      <c r="AT3433" s="28"/>
    </row>
    <row r="3434">
      <c r="A3434" s="5" t="s">
        <v>3073</v>
      </c>
      <c r="B3434" s="6">
        <v>500.0</v>
      </c>
      <c r="C3434" s="7" t="s">
        <v>1151</v>
      </c>
      <c r="D3434" s="15">
        <v>75229.0</v>
      </c>
      <c r="F3434" s="15"/>
      <c r="G3434" s="26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28"/>
      <c r="AS3434" s="28"/>
      <c r="AT3434" s="28"/>
    </row>
    <row r="3435">
      <c r="A3435" s="5" t="s">
        <v>3074</v>
      </c>
      <c r="B3435" s="6">
        <v>1000.0</v>
      </c>
      <c r="C3435" s="7" t="s">
        <v>1151</v>
      </c>
      <c r="D3435" s="15">
        <v>75229.0</v>
      </c>
      <c r="F3435" s="15"/>
      <c r="G3435" s="26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28"/>
      <c r="AS3435" s="28"/>
      <c r="AT3435" s="28"/>
    </row>
    <row r="3436">
      <c r="A3436" s="5" t="s">
        <v>3075</v>
      </c>
      <c r="B3436" s="6">
        <v>50.0</v>
      </c>
      <c r="C3436" s="7" t="s">
        <v>1151</v>
      </c>
      <c r="D3436" s="15">
        <v>75241.0</v>
      </c>
      <c r="F3436" s="15"/>
      <c r="G3436" s="26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28"/>
      <c r="AS3436" s="28"/>
      <c r="AT3436" s="28"/>
    </row>
    <row r="3437">
      <c r="A3437" s="5" t="s">
        <v>3076</v>
      </c>
      <c r="B3437" s="6">
        <v>100.0</v>
      </c>
      <c r="C3437" s="7" t="s">
        <v>1151</v>
      </c>
      <c r="D3437" s="15">
        <v>75241.0</v>
      </c>
      <c r="F3437" s="15"/>
      <c r="G3437" s="26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28"/>
      <c r="AS3437" s="28"/>
      <c r="AT3437" s="28"/>
    </row>
    <row r="3438">
      <c r="A3438" s="5" t="s">
        <v>3077</v>
      </c>
      <c r="B3438" s="6">
        <v>150.0</v>
      </c>
      <c r="C3438" s="7" t="s">
        <v>1151</v>
      </c>
      <c r="D3438" s="15">
        <v>75215.0</v>
      </c>
      <c r="F3438" s="15"/>
      <c r="G3438" s="26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28"/>
      <c r="AS3438" s="28"/>
      <c r="AT3438" s="28"/>
    </row>
    <row r="3439">
      <c r="A3439" s="5" t="s">
        <v>3078</v>
      </c>
      <c r="B3439" s="6">
        <v>150.0</v>
      </c>
      <c r="C3439" s="7" t="s">
        <v>1151</v>
      </c>
      <c r="D3439" s="15">
        <v>75080.0</v>
      </c>
      <c r="F3439" s="15"/>
      <c r="G3439" s="26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28"/>
      <c r="AS3439" s="28"/>
      <c r="AT3439" s="28"/>
    </row>
    <row r="3440">
      <c r="A3440" s="5" t="s">
        <v>1159</v>
      </c>
      <c r="B3440" s="6">
        <v>100.0</v>
      </c>
      <c r="C3440" s="7" t="s">
        <v>1151</v>
      </c>
      <c r="D3440" s="15">
        <v>75232.0</v>
      </c>
      <c r="F3440" s="15"/>
      <c r="G3440" s="26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28"/>
      <c r="AS3440" s="28"/>
      <c r="AT3440" s="28"/>
    </row>
    <row r="3441">
      <c r="A3441" s="5" t="s">
        <v>3079</v>
      </c>
      <c r="B3441" s="6">
        <v>200.0</v>
      </c>
      <c r="C3441" s="7" t="s">
        <v>1151</v>
      </c>
      <c r="D3441" s="15">
        <v>75216.0</v>
      </c>
      <c r="F3441" s="15"/>
      <c r="G3441" s="26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28"/>
      <c r="AS3441" s="28"/>
      <c r="AT3441" s="28"/>
    </row>
    <row r="3442">
      <c r="A3442" s="5" t="s">
        <v>3080</v>
      </c>
      <c r="B3442" s="6">
        <v>300.0</v>
      </c>
      <c r="C3442" s="7" t="s">
        <v>1151</v>
      </c>
      <c r="D3442" s="15">
        <v>75215.0</v>
      </c>
      <c r="F3442" s="15"/>
      <c r="G3442" s="26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28"/>
      <c r="AS3442" s="28"/>
      <c r="AT3442" s="28"/>
    </row>
    <row r="3443">
      <c r="A3443" s="5" t="s">
        <v>3081</v>
      </c>
      <c r="B3443" s="6">
        <v>200.0</v>
      </c>
      <c r="C3443" s="7" t="s">
        <v>1151</v>
      </c>
      <c r="D3443" s="15">
        <v>75214.0</v>
      </c>
      <c r="F3443" s="15"/>
      <c r="G3443" s="26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</row>
    <row r="3444">
      <c r="A3444" s="5" t="s">
        <v>3082</v>
      </c>
      <c r="B3444" s="6">
        <v>100.0</v>
      </c>
      <c r="C3444" s="7" t="s">
        <v>1151</v>
      </c>
      <c r="D3444" s="15">
        <v>75232.0</v>
      </c>
      <c r="F3444" s="15"/>
      <c r="G3444" s="26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28"/>
      <c r="AS3444" s="28"/>
      <c r="AT3444" s="28"/>
    </row>
    <row r="3445">
      <c r="A3445" s="5" t="s">
        <v>3083</v>
      </c>
      <c r="B3445" s="6">
        <v>500.0</v>
      </c>
      <c r="C3445" s="7" t="s">
        <v>1151</v>
      </c>
      <c r="D3445" s="15">
        <v>75203.0</v>
      </c>
      <c r="F3445" s="15"/>
      <c r="G3445" s="26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28"/>
      <c r="AS3445" s="28"/>
      <c r="AT3445" s="28"/>
    </row>
    <row r="3446">
      <c r="A3446" s="5" t="s">
        <v>3084</v>
      </c>
      <c r="B3446" s="6">
        <v>500.0</v>
      </c>
      <c r="C3446" s="7" t="s">
        <v>1151</v>
      </c>
      <c r="D3446" s="15">
        <v>76040.0</v>
      </c>
      <c r="F3446" s="15"/>
      <c r="G3446" s="26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8"/>
      <c r="AT3446" s="28"/>
    </row>
    <row r="3447">
      <c r="A3447" s="5" t="s">
        <v>3085</v>
      </c>
      <c r="B3447" s="6">
        <v>250.0</v>
      </c>
      <c r="C3447" s="7" t="s">
        <v>1151</v>
      </c>
      <c r="D3447" s="15">
        <v>75232.0</v>
      </c>
      <c r="F3447" s="15"/>
      <c r="G3447" s="26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28"/>
      <c r="AS3447" s="28"/>
      <c r="AT3447" s="28"/>
    </row>
    <row r="3448">
      <c r="A3448" s="5" t="s">
        <v>3086</v>
      </c>
      <c r="B3448" s="6">
        <v>250.0</v>
      </c>
      <c r="C3448" s="7" t="s">
        <v>1151</v>
      </c>
      <c r="D3448" s="15">
        <v>75205.0</v>
      </c>
      <c r="F3448" s="15"/>
      <c r="G3448" s="26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28"/>
      <c r="AS3448" s="28"/>
      <c r="AT3448" s="28"/>
    </row>
    <row r="3449">
      <c r="A3449" s="5" t="s">
        <v>3087</v>
      </c>
      <c r="B3449" s="6">
        <v>500.0</v>
      </c>
      <c r="C3449" s="7" t="s">
        <v>1151</v>
      </c>
      <c r="D3449" s="15">
        <v>75230.0</v>
      </c>
      <c r="F3449" s="15"/>
      <c r="G3449" s="26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28"/>
      <c r="AS3449" s="28"/>
      <c r="AT3449" s="28"/>
    </row>
    <row r="3450">
      <c r="A3450" s="5" t="s">
        <v>3088</v>
      </c>
      <c r="B3450" s="6">
        <v>500.0</v>
      </c>
      <c r="C3450" s="7" t="s">
        <v>1151</v>
      </c>
      <c r="D3450" s="15">
        <v>76063.0</v>
      </c>
      <c r="F3450" s="15"/>
      <c r="G3450" s="26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28"/>
      <c r="AS3450" s="28"/>
      <c r="AT3450" s="28"/>
    </row>
    <row r="3451">
      <c r="A3451" s="5" t="s">
        <v>3089</v>
      </c>
      <c r="B3451" s="6">
        <v>500.0</v>
      </c>
      <c r="C3451" s="7" t="s">
        <v>1151</v>
      </c>
      <c r="D3451" s="15">
        <v>75028.0</v>
      </c>
      <c r="F3451" s="15"/>
      <c r="G3451" s="26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28"/>
      <c r="AS3451" s="28"/>
      <c r="AT3451" s="28"/>
    </row>
    <row r="3452">
      <c r="A3452" s="5" t="s">
        <v>2096</v>
      </c>
      <c r="B3452" s="6">
        <v>500.0</v>
      </c>
      <c r="C3452" s="7" t="s">
        <v>1151</v>
      </c>
      <c r="D3452" s="15">
        <v>75215.0</v>
      </c>
      <c r="F3452" s="15"/>
      <c r="G3452" s="26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28"/>
      <c r="AS3452" s="28"/>
      <c r="AT3452" s="28"/>
    </row>
    <row r="3453">
      <c r="A3453" s="5" t="s">
        <v>3090</v>
      </c>
      <c r="B3453" s="6">
        <v>800.0</v>
      </c>
      <c r="C3453" s="7" t="s">
        <v>1151</v>
      </c>
      <c r="D3453" s="15">
        <v>75252.0</v>
      </c>
      <c r="F3453" s="15"/>
      <c r="G3453" s="26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28"/>
      <c r="AS3453" s="28"/>
      <c r="AT3453" s="28"/>
    </row>
    <row r="3454">
      <c r="A3454" s="5" t="s">
        <v>3091</v>
      </c>
      <c r="B3454" s="6">
        <v>500.0</v>
      </c>
      <c r="C3454" s="7" t="s">
        <v>1151</v>
      </c>
      <c r="D3454" s="15">
        <v>75038.0</v>
      </c>
      <c r="F3454" s="15"/>
      <c r="G3454" s="26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28"/>
      <c r="AS3454" s="28"/>
      <c r="AT3454" s="28"/>
    </row>
    <row r="3455">
      <c r="A3455" s="5" t="s">
        <v>3092</v>
      </c>
      <c r="B3455" s="6">
        <v>500.0</v>
      </c>
      <c r="C3455" s="7" t="s">
        <v>1151</v>
      </c>
      <c r="D3455" s="15">
        <v>75002.0</v>
      </c>
      <c r="F3455" s="15"/>
      <c r="G3455" s="26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28"/>
      <c r="AS3455" s="28"/>
      <c r="AT3455" s="28"/>
    </row>
    <row r="3456">
      <c r="A3456" s="5" t="s">
        <v>3093</v>
      </c>
      <c r="B3456" s="6">
        <v>500.0</v>
      </c>
      <c r="C3456" s="7" t="s">
        <v>1151</v>
      </c>
      <c r="D3456" s="15">
        <v>75082.0</v>
      </c>
      <c r="F3456" s="15"/>
      <c r="G3456" s="26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28"/>
      <c r="AS3456" s="28"/>
      <c r="AT3456" s="28"/>
    </row>
    <row r="3457">
      <c r="A3457" s="5" t="s">
        <v>3094</v>
      </c>
      <c r="B3457" s="6">
        <v>1000.0</v>
      </c>
      <c r="C3457" s="7" t="s">
        <v>1151</v>
      </c>
      <c r="D3457" s="15">
        <v>75063.0</v>
      </c>
      <c r="F3457" s="15"/>
      <c r="G3457" s="26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28"/>
      <c r="AS3457" s="28"/>
      <c r="AT3457" s="28"/>
    </row>
    <row r="3458">
      <c r="A3458" s="5" t="s">
        <v>3095</v>
      </c>
      <c r="B3458" s="6">
        <v>1000.0</v>
      </c>
      <c r="C3458" s="7" t="s">
        <v>1151</v>
      </c>
      <c r="D3458" s="15">
        <v>75115.0</v>
      </c>
      <c r="F3458" s="15"/>
      <c r="G3458" s="26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28"/>
      <c r="AS3458" s="28"/>
      <c r="AT3458" s="28"/>
    </row>
    <row r="3459">
      <c r="A3459" s="5" t="s">
        <v>3096</v>
      </c>
      <c r="B3459" s="6">
        <v>1000.0</v>
      </c>
      <c r="C3459" s="7" t="s">
        <v>1151</v>
      </c>
      <c r="D3459" s="15">
        <v>75038.0</v>
      </c>
      <c r="F3459" s="15"/>
      <c r="G3459" s="26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</row>
    <row r="3460">
      <c r="A3460" s="5" t="s">
        <v>3097</v>
      </c>
      <c r="B3460" s="6">
        <v>1000.0</v>
      </c>
      <c r="C3460" s="7" t="s">
        <v>1151</v>
      </c>
      <c r="D3460" s="15">
        <v>75038.0</v>
      </c>
      <c r="F3460" s="15"/>
      <c r="G3460" s="26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28"/>
      <c r="AS3460" s="28"/>
      <c r="AT3460" s="28"/>
    </row>
    <row r="3461">
      <c r="A3461" s="5" t="s">
        <v>3098</v>
      </c>
      <c r="B3461" s="6">
        <v>1000.0</v>
      </c>
      <c r="C3461" s="7" t="s">
        <v>1151</v>
      </c>
      <c r="D3461" s="15">
        <v>75232.0</v>
      </c>
      <c r="F3461" s="15"/>
      <c r="G3461" s="26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28"/>
      <c r="AS3461" s="28"/>
      <c r="AT3461" s="28"/>
    </row>
    <row r="3462">
      <c r="A3462" s="5" t="s">
        <v>3099</v>
      </c>
      <c r="B3462" s="6">
        <v>1000.0</v>
      </c>
      <c r="C3462" s="7" t="s">
        <v>1151</v>
      </c>
      <c r="D3462" s="15">
        <v>75376.0</v>
      </c>
      <c r="F3462" s="15"/>
      <c r="G3462" s="26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28"/>
      <c r="AS3462" s="28"/>
      <c r="AT3462" s="28"/>
    </row>
    <row r="3463">
      <c r="A3463" s="5" t="s">
        <v>3100</v>
      </c>
      <c r="B3463" s="6">
        <v>1000.0</v>
      </c>
      <c r="C3463" s="7" t="s">
        <v>1151</v>
      </c>
      <c r="D3463" s="30">
        <v>75115.0</v>
      </c>
      <c r="F3463" s="15"/>
      <c r="G3463" s="26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28"/>
      <c r="AS3463" s="28"/>
      <c r="AT3463" s="28"/>
    </row>
    <row r="3464">
      <c r="A3464" s="5" t="s">
        <v>3101</v>
      </c>
      <c r="B3464" s="6">
        <v>1000.0</v>
      </c>
      <c r="C3464" s="7" t="s">
        <v>1151</v>
      </c>
      <c r="D3464" s="15">
        <v>75201.0</v>
      </c>
      <c r="F3464" s="15"/>
      <c r="G3464" s="26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28"/>
      <c r="AS3464" s="28"/>
      <c r="AT3464" s="28"/>
    </row>
    <row r="3465">
      <c r="A3465" s="5" t="s">
        <v>3102</v>
      </c>
      <c r="B3465" s="6">
        <v>1000.0</v>
      </c>
      <c r="C3465" s="7" t="s">
        <v>1151</v>
      </c>
      <c r="D3465" s="15">
        <v>75201.0</v>
      </c>
      <c r="F3465" s="15"/>
      <c r="G3465" s="26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28"/>
      <c r="AS3465" s="28"/>
      <c r="AT3465" s="28"/>
    </row>
    <row r="3466">
      <c r="A3466" s="5" t="s">
        <v>3103</v>
      </c>
      <c r="B3466" s="6">
        <v>1000.0</v>
      </c>
      <c r="C3466" s="7" t="s">
        <v>1151</v>
      </c>
      <c r="D3466" s="15">
        <v>78760.0</v>
      </c>
      <c r="F3466" s="15"/>
      <c r="G3466" s="26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28"/>
      <c r="AS3466" s="28"/>
      <c r="AT3466" s="28"/>
    </row>
    <row r="3467">
      <c r="A3467" s="5" t="s">
        <v>3104</v>
      </c>
      <c r="B3467" s="6">
        <v>1000.0</v>
      </c>
      <c r="C3467" s="7" t="s">
        <v>1060</v>
      </c>
      <c r="D3467" s="15">
        <v>75201.0</v>
      </c>
      <c r="F3467" s="15"/>
      <c r="G3467" s="26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28"/>
      <c r="AS3467" s="28"/>
      <c r="AT3467" s="28"/>
    </row>
    <row r="3468">
      <c r="A3468" s="10" t="s">
        <v>3105</v>
      </c>
      <c r="B3468" s="11">
        <v>1000.0</v>
      </c>
      <c r="C3468" s="12" t="s">
        <v>1060</v>
      </c>
      <c r="D3468" s="15">
        <v>75201.0</v>
      </c>
      <c r="F3468" s="15"/>
      <c r="G3468" s="26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28"/>
      <c r="AS3468" s="28"/>
      <c r="AT3468" s="28"/>
    </row>
    <row r="3469">
      <c r="A3469" s="5" t="s">
        <v>3106</v>
      </c>
      <c r="B3469" s="6">
        <v>200.0</v>
      </c>
      <c r="C3469" s="7" t="s">
        <v>634</v>
      </c>
      <c r="D3469" s="15">
        <v>75080.0</v>
      </c>
      <c r="F3469" s="15"/>
      <c r="G3469" s="26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28"/>
      <c r="AS3469" s="28"/>
      <c r="AT3469" s="28"/>
    </row>
    <row r="3470">
      <c r="A3470" s="5" t="s">
        <v>3107</v>
      </c>
      <c r="B3470" s="6">
        <v>1000.0</v>
      </c>
      <c r="C3470" s="7" t="s">
        <v>634</v>
      </c>
      <c r="D3470" s="15">
        <v>75219.0</v>
      </c>
      <c r="F3470" s="15"/>
      <c r="G3470" s="26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28"/>
      <c r="AS3470" s="28"/>
      <c r="AT3470" s="28"/>
    </row>
    <row r="3471">
      <c r="A3471" s="5" t="s">
        <v>1539</v>
      </c>
      <c r="B3471" s="6">
        <v>250.0</v>
      </c>
      <c r="C3471" s="7" t="s">
        <v>634</v>
      </c>
      <c r="D3471" s="15">
        <v>75204.0</v>
      </c>
      <c r="F3471" s="15"/>
      <c r="G3471" s="26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28"/>
      <c r="AS3471" s="28"/>
      <c r="AT3471" s="28"/>
    </row>
    <row r="3472">
      <c r="A3472" s="5" t="s">
        <v>3108</v>
      </c>
      <c r="B3472" s="6">
        <v>1000.0</v>
      </c>
      <c r="C3472" s="7" t="s">
        <v>634</v>
      </c>
      <c r="D3472" s="15">
        <v>75238.0</v>
      </c>
      <c r="F3472" s="15"/>
      <c r="G3472" s="26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28"/>
      <c r="AS3472" s="28"/>
      <c r="AT3472" s="28"/>
    </row>
    <row r="3473">
      <c r="A3473" s="5" t="s">
        <v>2000</v>
      </c>
      <c r="B3473" s="6">
        <v>500.0</v>
      </c>
      <c r="C3473" s="7" t="s">
        <v>634</v>
      </c>
      <c r="D3473" s="15">
        <v>75230.0</v>
      </c>
      <c r="F3473" s="15"/>
      <c r="G3473" s="26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28"/>
      <c r="AS3473" s="28"/>
      <c r="AT3473" s="28"/>
    </row>
    <row r="3474">
      <c r="A3474" s="5" t="s">
        <v>2001</v>
      </c>
      <c r="B3474" s="6">
        <v>1000.0</v>
      </c>
      <c r="C3474" s="7" t="s">
        <v>634</v>
      </c>
      <c r="D3474" s="15">
        <v>75230.0</v>
      </c>
      <c r="F3474" s="15"/>
      <c r="G3474" s="26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28"/>
      <c r="AS3474" s="28"/>
      <c r="AT3474" s="28"/>
    </row>
    <row r="3475">
      <c r="A3475" s="5"/>
      <c r="B3475" s="6"/>
      <c r="C3475" s="7"/>
      <c r="D3475" s="15"/>
      <c r="F3475" s="15"/>
      <c r="G3475" s="26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28"/>
      <c r="AS3475" s="28"/>
      <c r="AT3475" s="28"/>
    </row>
    <row r="3476">
      <c r="A3476" s="5" t="s">
        <v>3110</v>
      </c>
      <c r="B3476" s="6">
        <v>1000.0</v>
      </c>
      <c r="C3476" s="7" t="s">
        <v>634</v>
      </c>
      <c r="D3476" s="15">
        <v>75254.0</v>
      </c>
      <c r="F3476" s="15"/>
      <c r="G3476" s="26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28"/>
      <c r="AS3476" s="28"/>
      <c r="AT3476" s="28"/>
    </row>
    <row r="3477">
      <c r="A3477" s="5" t="s">
        <v>3111</v>
      </c>
      <c r="B3477" s="6">
        <v>1000.0</v>
      </c>
      <c r="C3477" s="7" t="s">
        <v>634</v>
      </c>
      <c r="D3477" s="15">
        <v>75230.0</v>
      </c>
      <c r="F3477" s="15"/>
      <c r="G3477" s="26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28"/>
      <c r="AS3477" s="28"/>
      <c r="AT3477" s="28"/>
    </row>
    <row r="3478">
      <c r="A3478" s="5" t="s">
        <v>413</v>
      </c>
      <c r="B3478" s="6">
        <v>500.0</v>
      </c>
      <c r="C3478" s="7" t="s">
        <v>634</v>
      </c>
      <c r="D3478" s="15">
        <v>75230.0</v>
      </c>
      <c r="F3478" s="15"/>
      <c r="G3478" s="26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28"/>
      <c r="AS3478" s="28"/>
      <c r="AT3478" s="28"/>
    </row>
    <row r="3479">
      <c r="A3479" s="5" t="s">
        <v>823</v>
      </c>
      <c r="B3479" s="6">
        <v>1000.0</v>
      </c>
      <c r="C3479" s="7" t="s">
        <v>634</v>
      </c>
      <c r="D3479" s="15">
        <v>75230.0</v>
      </c>
      <c r="F3479" s="15"/>
      <c r="G3479" s="26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28"/>
      <c r="AS3479" s="28"/>
      <c r="AT3479" s="28"/>
    </row>
    <row r="3480">
      <c r="A3480" s="5" t="s">
        <v>3112</v>
      </c>
      <c r="B3480" s="6">
        <v>1000.0</v>
      </c>
      <c r="C3480" s="7" t="s">
        <v>634</v>
      </c>
      <c r="D3480" s="15">
        <v>75231.0</v>
      </c>
      <c r="F3480" s="15"/>
      <c r="G3480" s="26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28"/>
      <c r="AS3480" s="28"/>
      <c r="AT3480" s="28"/>
    </row>
    <row r="3481">
      <c r="A3481" s="5"/>
      <c r="B3481" s="6"/>
      <c r="C3481" s="7"/>
      <c r="D3481" s="15"/>
      <c r="F3481" s="15"/>
      <c r="G3481" s="26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28"/>
      <c r="AS3481" s="28"/>
      <c r="AT3481" s="28"/>
    </row>
    <row r="3482">
      <c r="A3482" s="5" t="s">
        <v>3114</v>
      </c>
      <c r="B3482" s="6">
        <v>1000.0</v>
      </c>
      <c r="C3482" s="7" t="s">
        <v>634</v>
      </c>
      <c r="D3482" s="15">
        <v>75220.0</v>
      </c>
      <c r="F3482" s="15"/>
      <c r="G3482" s="26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28"/>
      <c r="AS3482" s="28"/>
      <c r="AT3482" s="28"/>
    </row>
    <row r="3483">
      <c r="A3483" s="5" t="s">
        <v>3115</v>
      </c>
      <c r="B3483" s="6">
        <v>1000.0</v>
      </c>
      <c r="C3483" s="7" t="s">
        <v>634</v>
      </c>
      <c r="D3483" s="15">
        <v>75225.0</v>
      </c>
      <c r="F3483" s="15"/>
      <c r="G3483" s="26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28"/>
      <c r="AS3483" s="28"/>
      <c r="AT3483" s="28"/>
    </row>
    <row r="3484">
      <c r="A3484" s="5" t="s">
        <v>3116</v>
      </c>
      <c r="B3484" s="6">
        <v>500.0</v>
      </c>
      <c r="C3484" s="7" t="s">
        <v>634</v>
      </c>
      <c r="D3484" s="15">
        <v>75230.0</v>
      </c>
      <c r="F3484" s="15"/>
      <c r="G3484" s="26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28"/>
      <c r="AS3484" s="28"/>
      <c r="AT3484" s="28"/>
    </row>
    <row r="3485">
      <c r="A3485" s="5" t="s">
        <v>3117</v>
      </c>
      <c r="B3485" s="6">
        <v>1000.0</v>
      </c>
      <c r="C3485" s="7" t="s">
        <v>634</v>
      </c>
      <c r="D3485" s="15">
        <v>75230.0</v>
      </c>
      <c r="F3485" s="15"/>
      <c r="G3485" s="26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28"/>
      <c r="AS3485" s="28"/>
      <c r="AT3485" s="28"/>
    </row>
    <row r="3486">
      <c r="A3486" s="5" t="s">
        <v>3118</v>
      </c>
      <c r="B3486" s="6">
        <v>1000.0</v>
      </c>
      <c r="C3486" s="7" t="s">
        <v>634</v>
      </c>
      <c r="D3486" s="15">
        <v>75230.0</v>
      </c>
      <c r="F3486" s="15"/>
      <c r="G3486" s="26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28"/>
      <c r="AS3486" s="28"/>
      <c r="AT3486" s="28"/>
    </row>
    <row r="3487">
      <c r="A3487" s="5" t="s">
        <v>3119</v>
      </c>
      <c r="B3487" s="6">
        <v>250.0</v>
      </c>
      <c r="C3487" s="7" t="s">
        <v>634</v>
      </c>
      <c r="D3487" s="15">
        <v>75214.0</v>
      </c>
      <c r="F3487" s="15"/>
      <c r="G3487" s="26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28"/>
      <c r="AS3487" s="28"/>
      <c r="AT3487" s="28"/>
    </row>
    <row r="3488">
      <c r="A3488" s="5" t="s">
        <v>3120</v>
      </c>
      <c r="B3488" s="6">
        <v>1000.0</v>
      </c>
      <c r="C3488" s="7" t="s">
        <v>634</v>
      </c>
      <c r="D3488" s="15">
        <v>75225.0</v>
      </c>
      <c r="F3488" s="15"/>
      <c r="G3488" s="26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28"/>
      <c r="AS3488" s="28"/>
      <c r="AT3488" s="28"/>
    </row>
    <row r="3489">
      <c r="A3489" s="5" t="s">
        <v>3121</v>
      </c>
      <c r="B3489" s="6">
        <v>1000.0</v>
      </c>
      <c r="C3489" s="7" t="s">
        <v>634</v>
      </c>
      <c r="D3489" s="15">
        <v>75230.0</v>
      </c>
      <c r="F3489" s="15"/>
      <c r="G3489" s="26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28"/>
      <c r="AS3489" s="28"/>
      <c r="AT3489" s="28"/>
    </row>
    <row r="3490">
      <c r="A3490" s="5" t="s">
        <v>1153</v>
      </c>
      <c r="B3490" s="6">
        <v>1000.0</v>
      </c>
      <c r="C3490" s="7" t="s">
        <v>634</v>
      </c>
      <c r="D3490" s="15">
        <v>75230.0</v>
      </c>
      <c r="F3490" s="15"/>
      <c r="G3490" s="26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28"/>
      <c r="AS3490" s="28"/>
      <c r="AT3490" s="28"/>
    </row>
    <row r="3491">
      <c r="A3491" s="5" t="s">
        <v>3122</v>
      </c>
      <c r="B3491" s="6">
        <v>2000.0</v>
      </c>
      <c r="C3491" s="7" t="s">
        <v>634</v>
      </c>
      <c r="D3491" s="15">
        <v>75081.0</v>
      </c>
      <c r="F3491" s="15"/>
      <c r="G3491" s="26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28"/>
      <c r="AS3491" s="28"/>
      <c r="AT3491" s="28"/>
    </row>
    <row r="3492">
      <c r="A3492" s="5" t="s">
        <v>3123</v>
      </c>
      <c r="B3492" s="6">
        <v>1000.0</v>
      </c>
      <c r="C3492" s="7" t="s">
        <v>634</v>
      </c>
      <c r="D3492" s="15">
        <v>75214.0</v>
      </c>
      <c r="F3492" s="15"/>
      <c r="G3492" s="26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28"/>
      <c r="AS3492" s="28"/>
      <c r="AT3492" s="28"/>
    </row>
    <row r="3493">
      <c r="A3493" s="5" t="s">
        <v>3124</v>
      </c>
      <c r="B3493" s="6">
        <v>2500.0</v>
      </c>
      <c r="C3493" s="7" t="s">
        <v>2125</v>
      </c>
      <c r="D3493" s="15">
        <v>78768.0</v>
      </c>
      <c r="F3493" s="15"/>
      <c r="G3493" s="26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28"/>
      <c r="AS3493" s="28"/>
      <c r="AT3493" s="28"/>
    </row>
    <row r="3494">
      <c r="A3494" s="10" t="s">
        <v>3125</v>
      </c>
      <c r="B3494" s="11">
        <v>25.0</v>
      </c>
      <c r="C3494" s="12" t="s">
        <v>636</v>
      </c>
      <c r="D3494" s="15">
        <v>75238.0</v>
      </c>
      <c r="F3494" s="15"/>
      <c r="G3494" s="26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28"/>
      <c r="AS3494" s="28"/>
      <c r="AT3494" s="28"/>
    </row>
    <row r="3495">
      <c r="A3495" s="10" t="s">
        <v>991</v>
      </c>
      <c r="B3495" s="11">
        <v>25.0</v>
      </c>
      <c r="C3495" s="12" t="s">
        <v>636</v>
      </c>
      <c r="D3495" s="15">
        <v>75243.0</v>
      </c>
      <c r="F3495" s="15"/>
      <c r="G3495" s="26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28"/>
      <c r="AS3495" s="28"/>
      <c r="AT3495" s="28"/>
    </row>
    <row r="3496">
      <c r="A3496" s="10" t="s">
        <v>2015</v>
      </c>
      <c r="B3496" s="11">
        <v>100.0</v>
      </c>
      <c r="C3496" s="12" t="s">
        <v>636</v>
      </c>
      <c r="D3496" s="15">
        <v>75228.0</v>
      </c>
      <c r="F3496" s="15"/>
      <c r="G3496" s="26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28"/>
      <c r="AS3496" s="28"/>
      <c r="AT3496" s="28"/>
    </row>
    <row r="3497">
      <c r="A3497" s="10" t="s">
        <v>3126</v>
      </c>
      <c r="B3497" s="11">
        <v>25.0</v>
      </c>
      <c r="C3497" s="12" t="s">
        <v>636</v>
      </c>
      <c r="D3497" s="15">
        <v>75228.0</v>
      </c>
      <c r="F3497" s="15"/>
      <c r="G3497" s="26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28"/>
      <c r="AS3497" s="28"/>
      <c r="AT3497" s="28"/>
    </row>
    <row r="3498">
      <c r="A3498" s="10"/>
      <c r="B3498" s="11"/>
      <c r="C3498" s="12"/>
      <c r="D3498" s="15"/>
      <c r="F3498" s="15"/>
      <c r="G3498" s="26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28"/>
      <c r="AS3498" s="28"/>
      <c r="AT3498" s="28"/>
    </row>
    <row r="3499">
      <c r="A3499" s="10" t="s">
        <v>3128</v>
      </c>
      <c r="B3499" s="11">
        <v>25.0</v>
      </c>
      <c r="C3499" s="12" t="s">
        <v>636</v>
      </c>
      <c r="D3499" s="15">
        <v>75231.0</v>
      </c>
      <c r="F3499" s="15"/>
      <c r="G3499" s="26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28"/>
      <c r="AS3499" s="28"/>
      <c r="AT3499" s="28"/>
    </row>
    <row r="3500">
      <c r="A3500" s="10" t="s">
        <v>3129</v>
      </c>
      <c r="B3500" s="11">
        <v>25.0</v>
      </c>
      <c r="C3500" s="12" t="s">
        <v>636</v>
      </c>
      <c r="D3500" s="15">
        <v>75218.0</v>
      </c>
      <c r="F3500" s="15"/>
      <c r="G3500" s="26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28"/>
      <c r="AS3500" s="28"/>
      <c r="AT3500" s="28"/>
    </row>
    <row r="3501">
      <c r="A3501" s="10" t="s">
        <v>637</v>
      </c>
      <c r="B3501" s="11">
        <v>50.0</v>
      </c>
      <c r="C3501" s="12" t="s">
        <v>636</v>
      </c>
      <c r="D3501" s="15">
        <v>75218.0</v>
      </c>
      <c r="F3501" s="15"/>
      <c r="G3501" s="26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28"/>
      <c r="AS3501" s="28"/>
      <c r="AT3501" s="28"/>
    </row>
    <row r="3502">
      <c r="A3502" s="10" t="s">
        <v>3130</v>
      </c>
      <c r="B3502" s="11">
        <v>100.0</v>
      </c>
      <c r="C3502" s="12" t="s">
        <v>636</v>
      </c>
      <c r="D3502" s="15">
        <v>75228.0</v>
      </c>
      <c r="F3502" s="15"/>
      <c r="G3502" s="26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28"/>
      <c r="AS3502" s="28"/>
      <c r="AT3502" s="28"/>
    </row>
    <row r="3503">
      <c r="A3503" s="10" t="s">
        <v>3131</v>
      </c>
      <c r="B3503" s="11">
        <v>25.0</v>
      </c>
      <c r="C3503" s="12" t="s">
        <v>636</v>
      </c>
      <c r="D3503" s="15">
        <v>75214.0</v>
      </c>
      <c r="F3503" s="15"/>
      <c r="G3503" s="26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28"/>
      <c r="AS3503" s="28"/>
      <c r="AT3503" s="28"/>
    </row>
    <row r="3504">
      <c r="A3504" s="10" t="s">
        <v>638</v>
      </c>
      <c r="B3504" s="11">
        <v>50.0</v>
      </c>
      <c r="C3504" s="12" t="s">
        <v>636</v>
      </c>
      <c r="D3504" s="15">
        <v>75214.0</v>
      </c>
      <c r="F3504" s="15"/>
      <c r="G3504" s="26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28"/>
      <c r="AS3504" s="28"/>
      <c r="AT3504" s="28"/>
    </row>
    <row r="3505">
      <c r="A3505" s="10" t="s">
        <v>2054</v>
      </c>
      <c r="B3505" s="11">
        <v>50.0</v>
      </c>
      <c r="C3505" s="12" t="s">
        <v>2055</v>
      </c>
      <c r="D3505" s="15">
        <v>75218.0</v>
      </c>
      <c r="F3505" s="15"/>
      <c r="G3505" s="26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28"/>
      <c r="AS3505" s="28"/>
      <c r="AT3505" s="28"/>
    </row>
    <row r="3506">
      <c r="A3506" s="5" t="s">
        <v>3132</v>
      </c>
      <c r="B3506" s="6">
        <v>100.0</v>
      </c>
      <c r="C3506" s="7" t="s">
        <v>636</v>
      </c>
      <c r="D3506" s="15">
        <v>75238.0</v>
      </c>
      <c r="F3506" s="15"/>
      <c r="G3506" s="26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28"/>
      <c r="AS3506" s="28"/>
      <c r="AT3506" s="28"/>
    </row>
    <row r="3507">
      <c r="A3507" s="5" t="s">
        <v>3133</v>
      </c>
      <c r="B3507" s="6">
        <v>25.0</v>
      </c>
      <c r="C3507" s="7" t="s">
        <v>636</v>
      </c>
      <c r="D3507" s="15">
        <v>75218.0</v>
      </c>
      <c r="F3507" s="15"/>
      <c r="G3507" s="26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28"/>
      <c r="AS3507" s="28"/>
      <c r="AT3507" s="28"/>
    </row>
    <row r="3508">
      <c r="A3508" s="5" t="s">
        <v>3134</v>
      </c>
      <c r="B3508" s="6">
        <v>100.0</v>
      </c>
      <c r="C3508" s="7" t="s">
        <v>636</v>
      </c>
      <c r="D3508" s="15">
        <v>75801.0</v>
      </c>
      <c r="F3508" s="15"/>
      <c r="G3508" s="26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28"/>
      <c r="AS3508" s="28"/>
      <c r="AT3508" s="28"/>
    </row>
    <row r="3509">
      <c r="A3509" s="5" t="s">
        <v>3130</v>
      </c>
      <c r="B3509" s="6">
        <v>900.0</v>
      </c>
      <c r="C3509" s="7" t="s">
        <v>636</v>
      </c>
      <c r="D3509" s="15">
        <v>75228.0</v>
      </c>
      <c r="F3509" s="15"/>
      <c r="G3509" s="26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28"/>
      <c r="AS3509" s="28"/>
      <c r="AT3509" s="28"/>
    </row>
    <row r="3510">
      <c r="A3510" s="5" t="s">
        <v>2054</v>
      </c>
      <c r="B3510" s="6">
        <v>50.0</v>
      </c>
      <c r="C3510" s="7" t="s">
        <v>2055</v>
      </c>
      <c r="D3510" s="15">
        <v>75218.0</v>
      </c>
      <c r="F3510" s="15"/>
      <c r="G3510" s="26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28"/>
      <c r="AS3510" s="28"/>
      <c r="AT3510" s="28"/>
    </row>
    <row r="3511">
      <c r="A3511" s="10" t="s">
        <v>2054</v>
      </c>
      <c r="B3511" s="11">
        <v>50.0</v>
      </c>
      <c r="C3511" s="12" t="s">
        <v>2055</v>
      </c>
      <c r="D3511" s="15">
        <v>75218.0</v>
      </c>
      <c r="F3511" s="15"/>
      <c r="G3511" s="26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28"/>
      <c r="AS3511" s="28"/>
      <c r="AT3511" s="28"/>
    </row>
    <row r="3512">
      <c r="A3512" s="5" t="s">
        <v>2054</v>
      </c>
      <c r="B3512" s="6">
        <v>50.0</v>
      </c>
      <c r="C3512" s="7" t="s">
        <v>2055</v>
      </c>
      <c r="D3512" s="15">
        <v>75218.0</v>
      </c>
      <c r="F3512" s="15"/>
      <c r="G3512" s="26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28"/>
      <c r="AS3512" s="28"/>
      <c r="AT3512" s="28"/>
    </row>
    <row r="3513">
      <c r="A3513" s="10" t="s">
        <v>2054</v>
      </c>
      <c r="B3513" s="11">
        <v>50.0</v>
      </c>
      <c r="C3513" s="12" t="s">
        <v>2055</v>
      </c>
      <c r="D3513" s="15">
        <v>75218.0</v>
      </c>
      <c r="F3513" s="15"/>
      <c r="G3513" s="26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28"/>
      <c r="AS3513" s="28"/>
      <c r="AT3513" s="28"/>
    </row>
    <row r="3514">
      <c r="A3514" s="5" t="s">
        <v>1162</v>
      </c>
      <c r="B3514" s="6">
        <v>100.0</v>
      </c>
      <c r="C3514" s="7" t="s">
        <v>2055</v>
      </c>
      <c r="D3514" s="15">
        <v>75206.0</v>
      </c>
      <c r="F3514" s="15"/>
      <c r="G3514" s="26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28"/>
      <c r="AS3514" s="28"/>
      <c r="AT3514" s="28"/>
    </row>
    <row r="3515">
      <c r="A3515" s="10" t="s">
        <v>3135</v>
      </c>
      <c r="B3515" s="11">
        <v>500.0</v>
      </c>
      <c r="C3515" s="12" t="s">
        <v>2055</v>
      </c>
      <c r="D3515" s="15">
        <v>75230.0</v>
      </c>
      <c r="F3515" s="15"/>
      <c r="G3515" s="26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28"/>
      <c r="AS3515" s="28"/>
      <c r="AT3515" s="28"/>
    </row>
    <row r="3516">
      <c r="A3516" s="5" t="s">
        <v>3136</v>
      </c>
      <c r="B3516" s="6">
        <v>100.0</v>
      </c>
      <c r="C3516" s="7" t="s">
        <v>2055</v>
      </c>
      <c r="D3516" s="15">
        <v>75225.0</v>
      </c>
      <c r="F3516" s="15"/>
      <c r="G3516" s="26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28"/>
      <c r="AS3516" s="28"/>
      <c r="AT3516" s="28"/>
    </row>
    <row r="3517">
      <c r="A3517" s="10" t="s">
        <v>3137</v>
      </c>
      <c r="B3517" s="11">
        <v>50.0</v>
      </c>
      <c r="C3517" s="12" t="s">
        <v>2055</v>
      </c>
      <c r="D3517" s="15">
        <v>75243.0</v>
      </c>
      <c r="F3517" s="15"/>
      <c r="G3517" s="26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28"/>
      <c r="AS3517" s="28"/>
      <c r="AT3517" s="28"/>
    </row>
    <row r="3518">
      <c r="A3518" s="5" t="s">
        <v>3138</v>
      </c>
      <c r="B3518" s="6">
        <v>100.0</v>
      </c>
      <c r="C3518" s="7" t="s">
        <v>2055</v>
      </c>
      <c r="D3518" s="15">
        <v>75231.0</v>
      </c>
      <c r="F3518" s="15"/>
      <c r="G3518" s="26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28"/>
      <c r="AS3518" s="28"/>
      <c r="AT3518" s="28"/>
    </row>
    <row r="3519">
      <c r="A3519" s="10" t="s">
        <v>3139</v>
      </c>
      <c r="B3519" s="11">
        <v>100.0</v>
      </c>
      <c r="C3519" s="12" t="s">
        <v>2055</v>
      </c>
      <c r="D3519" s="15">
        <v>75243.0</v>
      </c>
      <c r="F3519" s="15"/>
      <c r="G3519" s="26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28"/>
      <c r="AS3519" s="28"/>
      <c r="AT3519" s="28"/>
    </row>
    <row r="3520">
      <c r="A3520" s="5" t="s">
        <v>3140</v>
      </c>
      <c r="B3520" s="6">
        <v>125.0</v>
      </c>
      <c r="C3520" s="7" t="s">
        <v>2055</v>
      </c>
      <c r="D3520" s="15">
        <v>75243.0</v>
      </c>
      <c r="F3520" s="15"/>
      <c r="G3520" s="26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28"/>
      <c r="AS3520" s="28"/>
      <c r="AT3520" s="28"/>
    </row>
    <row r="3521">
      <c r="A3521" s="10" t="s">
        <v>3141</v>
      </c>
      <c r="B3521" s="11">
        <v>1000.0</v>
      </c>
      <c r="C3521" s="12" t="s">
        <v>2055</v>
      </c>
      <c r="D3521" s="15">
        <v>75225.0</v>
      </c>
      <c r="F3521" s="15"/>
      <c r="G3521" s="26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28"/>
      <c r="AS3521" s="28"/>
      <c r="AT3521" s="28"/>
    </row>
    <row r="3522">
      <c r="A3522" s="5" t="s">
        <v>1344</v>
      </c>
      <c r="B3522" s="6">
        <v>100.0</v>
      </c>
      <c r="C3522" s="7" t="s">
        <v>2055</v>
      </c>
      <c r="D3522" s="15">
        <v>75231.0</v>
      </c>
      <c r="F3522" s="15"/>
      <c r="G3522" s="26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28"/>
      <c r="AS3522" s="28"/>
      <c r="AT3522" s="28"/>
    </row>
    <row r="3523">
      <c r="A3523" s="10" t="s">
        <v>3142</v>
      </c>
      <c r="B3523" s="11">
        <v>50.0</v>
      </c>
      <c r="C3523" s="12" t="s">
        <v>2055</v>
      </c>
      <c r="D3523" s="15">
        <v>75238.0</v>
      </c>
      <c r="F3523" s="15"/>
      <c r="G3523" s="26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28"/>
      <c r="AS3523" s="28"/>
      <c r="AT3523" s="28"/>
    </row>
    <row r="3524">
      <c r="A3524" s="5" t="s">
        <v>2054</v>
      </c>
      <c r="B3524" s="6">
        <v>50.0</v>
      </c>
      <c r="C3524" s="7" t="s">
        <v>2055</v>
      </c>
      <c r="D3524" s="15">
        <v>75218.0</v>
      </c>
      <c r="F3524" s="15"/>
      <c r="G3524" s="26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28"/>
      <c r="AS3524" s="28"/>
      <c r="AT3524" s="28"/>
    </row>
    <row r="3525">
      <c r="A3525" s="10" t="s">
        <v>3143</v>
      </c>
      <c r="B3525" s="11">
        <v>1000.0</v>
      </c>
      <c r="C3525" s="12" t="s">
        <v>649</v>
      </c>
      <c r="D3525" s="15">
        <v>75209.0</v>
      </c>
      <c r="F3525" s="15"/>
      <c r="G3525" s="26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28"/>
      <c r="AS3525" s="28"/>
      <c r="AT3525" s="28"/>
    </row>
    <row r="3526">
      <c r="A3526" s="5" t="s">
        <v>3144</v>
      </c>
      <c r="B3526" s="6">
        <v>25.0</v>
      </c>
      <c r="C3526" s="7" t="s">
        <v>649</v>
      </c>
      <c r="D3526" s="15">
        <v>75208.0</v>
      </c>
      <c r="F3526" s="15"/>
      <c r="G3526" s="26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28"/>
      <c r="AS3526" s="28"/>
      <c r="AT3526" s="28"/>
    </row>
    <row r="3527">
      <c r="A3527" s="10" t="s">
        <v>3145</v>
      </c>
      <c r="B3527" s="11">
        <v>949.7</v>
      </c>
      <c r="C3527" s="12" t="s">
        <v>649</v>
      </c>
      <c r="D3527" s="15">
        <v>75208.0</v>
      </c>
      <c r="F3527" s="15"/>
      <c r="G3527" s="26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28"/>
      <c r="AS3527" s="28"/>
      <c r="AT3527" s="28"/>
    </row>
    <row r="3528">
      <c r="A3528" s="5" t="s">
        <v>3146</v>
      </c>
      <c r="B3528" s="6">
        <v>500.0</v>
      </c>
      <c r="C3528" s="7" t="s">
        <v>649</v>
      </c>
      <c r="D3528" s="15">
        <v>75225.0</v>
      </c>
      <c r="F3528" s="15"/>
      <c r="G3528" s="26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28"/>
      <c r="AS3528" s="28"/>
      <c r="AT3528" s="28"/>
    </row>
    <row r="3529">
      <c r="A3529" s="10" t="s">
        <v>1514</v>
      </c>
      <c r="B3529" s="11">
        <v>1000.0</v>
      </c>
      <c r="C3529" s="12" t="s">
        <v>649</v>
      </c>
      <c r="D3529" s="15">
        <v>75225.0</v>
      </c>
      <c r="F3529" s="15"/>
      <c r="G3529" s="26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28"/>
      <c r="AS3529" s="28"/>
      <c r="AT3529" s="28"/>
    </row>
    <row r="3530">
      <c r="A3530" s="5" t="s">
        <v>3147</v>
      </c>
      <c r="B3530" s="6">
        <v>1000.0</v>
      </c>
      <c r="C3530" s="7" t="s">
        <v>649</v>
      </c>
      <c r="D3530" s="15">
        <v>75225.0</v>
      </c>
      <c r="F3530" s="15"/>
      <c r="G3530" s="26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28"/>
      <c r="AS3530" s="28"/>
      <c r="AT3530" s="28"/>
    </row>
    <row r="3531">
      <c r="A3531" s="10" t="s">
        <v>3148</v>
      </c>
      <c r="B3531" s="11">
        <v>949.7</v>
      </c>
      <c r="C3531" s="12" t="s">
        <v>649</v>
      </c>
      <c r="D3531" s="15">
        <v>75208.0</v>
      </c>
      <c r="F3531" s="15"/>
      <c r="G3531" s="26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28"/>
      <c r="AS3531" s="28"/>
      <c r="AT3531" s="28"/>
    </row>
    <row r="3532">
      <c r="A3532" s="5" t="s">
        <v>3149</v>
      </c>
      <c r="B3532" s="6">
        <v>949.7</v>
      </c>
      <c r="C3532" s="7" t="s">
        <v>649</v>
      </c>
      <c r="D3532" s="15">
        <v>75238.0</v>
      </c>
      <c r="F3532" s="15"/>
      <c r="G3532" s="26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28"/>
      <c r="AS3532" s="28"/>
      <c r="AT3532" s="28"/>
    </row>
    <row r="3533">
      <c r="A3533" s="10" t="s">
        <v>3150</v>
      </c>
      <c r="B3533" s="11">
        <v>949.7</v>
      </c>
      <c r="C3533" s="12" t="s">
        <v>649</v>
      </c>
      <c r="D3533" s="15">
        <v>76004.0</v>
      </c>
      <c r="F3533" s="15"/>
      <c r="G3533" s="26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28"/>
      <c r="AS3533" s="28"/>
      <c r="AT3533" s="28"/>
    </row>
    <row r="3534">
      <c r="A3534" s="5" t="s">
        <v>3151</v>
      </c>
      <c r="B3534" s="6">
        <v>949.7</v>
      </c>
      <c r="C3534" s="7" t="s">
        <v>649</v>
      </c>
      <c r="D3534" s="15">
        <v>75214.0</v>
      </c>
      <c r="F3534" s="15"/>
      <c r="G3534" s="26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28"/>
      <c r="AS3534" s="28"/>
      <c r="AT3534" s="28"/>
    </row>
    <row r="3535">
      <c r="A3535" s="10" t="s">
        <v>3152</v>
      </c>
      <c r="B3535" s="11">
        <v>949.7</v>
      </c>
      <c r="C3535" s="12" t="s">
        <v>649</v>
      </c>
      <c r="D3535" s="15">
        <v>75214.0</v>
      </c>
      <c r="F3535" s="15"/>
      <c r="G3535" s="26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28"/>
      <c r="AS3535" s="28"/>
      <c r="AT3535" s="28"/>
    </row>
    <row r="3536">
      <c r="A3536" s="5" t="s">
        <v>3153</v>
      </c>
      <c r="B3536" s="6">
        <v>949.7</v>
      </c>
      <c r="C3536" s="7" t="s">
        <v>649</v>
      </c>
      <c r="D3536" s="15">
        <v>75214.0</v>
      </c>
      <c r="F3536" s="15"/>
      <c r="G3536" s="26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28"/>
      <c r="AS3536" s="28"/>
      <c r="AT3536" s="28"/>
    </row>
    <row r="3537">
      <c r="A3537" s="10" t="s">
        <v>3154</v>
      </c>
      <c r="B3537" s="11">
        <v>200.0</v>
      </c>
      <c r="C3537" s="12" t="s">
        <v>649</v>
      </c>
      <c r="D3537" s="15">
        <v>75214.0</v>
      </c>
      <c r="F3537" s="15"/>
      <c r="G3537" s="26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28"/>
      <c r="AS3537" s="28"/>
      <c r="AT3537" s="28"/>
    </row>
    <row r="3538">
      <c r="A3538" s="5" t="s">
        <v>2817</v>
      </c>
      <c r="B3538" s="6">
        <v>949.7</v>
      </c>
      <c r="C3538" s="7" t="s">
        <v>649</v>
      </c>
      <c r="D3538" s="15">
        <v>75225.0</v>
      </c>
      <c r="F3538" s="15"/>
      <c r="G3538" s="26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28"/>
      <c r="AS3538" s="28"/>
      <c r="AT3538" s="28"/>
    </row>
    <row r="3539">
      <c r="A3539" s="10" t="s">
        <v>3155</v>
      </c>
      <c r="B3539" s="11">
        <v>949.7</v>
      </c>
      <c r="C3539" s="12" t="s">
        <v>649</v>
      </c>
      <c r="D3539" s="15">
        <v>75201.0</v>
      </c>
      <c r="F3539" s="15"/>
      <c r="G3539" s="26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28"/>
      <c r="AS3539" s="28"/>
      <c r="AT3539" s="28"/>
    </row>
    <row r="3540">
      <c r="A3540" s="5" t="s">
        <v>3156</v>
      </c>
      <c r="B3540" s="6">
        <v>500.0</v>
      </c>
      <c r="C3540" s="7" t="s">
        <v>649</v>
      </c>
      <c r="D3540" s="15">
        <v>75240.0</v>
      </c>
      <c r="F3540" s="15"/>
      <c r="G3540" s="26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28"/>
      <c r="AS3540" s="28"/>
      <c r="AT3540" s="28"/>
    </row>
    <row r="3541">
      <c r="A3541" s="10" t="s">
        <v>3157</v>
      </c>
      <c r="B3541" s="11">
        <v>949.7</v>
      </c>
      <c r="C3541" s="12" t="s">
        <v>649</v>
      </c>
      <c r="D3541" s="15">
        <v>75205.0</v>
      </c>
      <c r="F3541" s="15"/>
      <c r="G3541" s="26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28"/>
      <c r="AS3541" s="28"/>
      <c r="AT3541" s="28"/>
    </row>
    <row r="3542">
      <c r="A3542" s="5" t="s">
        <v>3158</v>
      </c>
      <c r="B3542" s="6">
        <v>949.7</v>
      </c>
      <c r="C3542" s="7" t="s">
        <v>649</v>
      </c>
      <c r="D3542" s="15">
        <v>75205.0</v>
      </c>
      <c r="F3542" s="15"/>
      <c r="G3542" s="26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28"/>
      <c r="AS3542" s="28"/>
      <c r="AT3542" s="28"/>
    </row>
    <row r="3543">
      <c r="A3543" s="10" t="s">
        <v>3159</v>
      </c>
      <c r="B3543" s="11">
        <v>949.7</v>
      </c>
      <c r="C3543" s="12" t="s">
        <v>649</v>
      </c>
      <c r="D3543" s="15">
        <v>75206.0</v>
      </c>
      <c r="F3543" s="15"/>
      <c r="G3543" s="26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28"/>
      <c r="AS3543" s="28"/>
      <c r="AT3543" s="28"/>
    </row>
    <row r="3544">
      <c r="A3544" s="5" t="s">
        <v>3160</v>
      </c>
      <c r="B3544" s="6">
        <v>189.7</v>
      </c>
      <c r="C3544" s="7" t="s">
        <v>649</v>
      </c>
      <c r="D3544" s="15">
        <v>75229.0</v>
      </c>
      <c r="F3544" s="15"/>
      <c r="G3544" s="26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28"/>
      <c r="AS3544" s="28"/>
      <c r="AT3544" s="28"/>
    </row>
    <row r="3545">
      <c r="A3545" s="10" t="s">
        <v>3161</v>
      </c>
      <c r="B3545" s="11">
        <v>250.0</v>
      </c>
      <c r="C3545" s="12" t="s">
        <v>649</v>
      </c>
      <c r="D3545" s="15">
        <v>75219.0</v>
      </c>
      <c r="F3545" s="15"/>
      <c r="G3545" s="26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28"/>
      <c r="AS3545" s="28"/>
      <c r="AT3545" s="28"/>
    </row>
    <row r="3546">
      <c r="A3546" s="5" t="s">
        <v>3162</v>
      </c>
      <c r="B3546" s="6">
        <v>949.7</v>
      </c>
      <c r="C3546" s="7" t="s">
        <v>649</v>
      </c>
      <c r="D3546" s="15">
        <v>75254.0</v>
      </c>
      <c r="F3546" s="15"/>
      <c r="G3546" s="26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28"/>
      <c r="AS3546" s="28"/>
      <c r="AT3546" s="28"/>
    </row>
    <row r="3547">
      <c r="A3547" s="10" t="s">
        <v>3163</v>
      </c>
      <c r="B3547" s="11">
        <v>949.7</v>
      </c>
      <c r="C3547" s="12" t="s">
        <v>649</v>
      </c>
      <c r="D3547" s="15">
        <v>75234.0</v>
      </c>
      <c r="F3547" s="15"/>
      <c r="G3547" s="26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28"/>
      <c r="AS3547" s="28"/>
      <c r="AT3547" s="28"/>
    </row>
    <row r="3548">
      <c r="A3548" s="5" t="s">
        <v>3164</v>
      </c>
      <c r="B3548" s="6">
        <v>500.0</v>
      </c>
      <c r="C3548" s="7" t="s">
        <v>649</v>
      </c>
      <c r="D3548" s="15">
        <v>75230.0</v>
      </c>
      <c r="F3548" s="15"/>
      <c r="G3548" s="26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28"/>
      <c r="AS3548" s="28"/>
      <c r="AT3548" s="28"/>
    </row>
    <row r="3549">
      <c r="A3549" s="10" t="s">
        <v>3165</v>
      </c>
      <c r="B3549" s="11">
        <v>948.0</v>
      </c>
      <c r="C3549" s="12" t="s">
        <v>649</v>
      </c>
      <c r="D3549" s="15">
        <v>76226.0</v>
      </c>
      <c r="F3549" s="15"/>
      <c r="G3549" s="26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28"/>
      <c r="AS3549" s="28"/>
      <c r="AT3549" s="28"/>
    </row>
    <row r="3550">
      <c r="A3550" s="5" t="s">
        <v>3166</v>
      </c>
      <c r="B3550" s="6">
        <v>250.0</v>
      </c>
      <c r="C3550" s="7" t="s">
        <v>649</v>
      </c>
      <c r="D3550" s="15">
        <v>75231.0</v>
      </c>
      <c r="F3550" s="15"/>
      <c r="G3550" s="26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28"/>
      <c r="AS3550" s="28"/>
      <c r="AT3550" s="28"/>
    </row>
    <row r="3551">
      <c r="A3551" s="10" t="s">
        <v>3167</v>
      </c>
      <c r="B3551" s="11">
        <v>900.0</v>
      </c>
      <c r="C3551" s="12" t="s">
        <v>649</v>
      </c>
      <c r="D3551" s="15">
        <v>75057.0</v>
      </c>
      <c r="F3551" s="15"/>
      <c r="G3551" s="26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28"/>
      <c r="AS3551" s="28"/>
      <c r="AT3551" s="28"/>
    </row>
    <row r="3552">
      <c r="A3552" s="5" t="s">
        <v>3168</v>
      </c>
      <c r="B3552" s="6">
        <v>949.7</v>
      </c>
      <c r="C3552" s="7" t="s">
        <v>649</v>
      </c>
      <c r="D3552" s="15">
        <v>75209.0</v>
      </c>
      <c r="F3552" s="15"/>
      <c r="G3552" s="26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28"/>
      <c r="AS3552" s="28"/>
      <c r="AT3552" s="28"/>
    </row>
    <row r="3553">
      <c r="A3553" s="10" t="s">
        <v>3169</v>
      </c>
      <c r="B3553" s="11">
        <v>949.7</v>
      </c>
      <c r="C3553" s="12" t="s">
        <v>649</v>
      </c>
      <c r="D3553" s="15">
        <v>75205.0</v>
      </c>
      <c r="F3553" s="15"/>
      <c r="G3553" s="26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28"/>
      <c r="AS3553" s="28"/>
      <c r="AT3553" s="28"/>
    </row>
    <row r="3554">
      <c r="A3554" s="5" t="s">
        <v>1512</v>
      </c>
      <c r="B3554" s="6">
        <v>949.7</v>
      </c>
      <c r="C3554" s="7" t="s">
        <v>649</v>
      </c>
      <c r="D3554" s="15">
        <v>75204.0</v>
      </c>
      <c r="F3554" s="15"/>
      <c r="G3554" s="26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28"/>
      <c r="AS3554" s="28"/>
      <c r="AT3554" s="28"/>
    </row>
    <row r="3555">
      <c r="A3555" s="10" t="s">
        <v>3170</v>
      </c>
      <c r="B3555" s="11">
        <v>949.7</v>
      </c>
      <c r="C3555" s="12" t="s">
        <v>649</v>
      </c>
      <c r="D3555" s="15">
        <v>75226.0</v>
      </c>
      <c r="F3555" s="15"/>
      <c r="G3555" s="26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28"/>
      <c r="AS3555" s="28"/>
      <c r="AT3555" s="28"/>
    </row>
    <row r="3556">
      <c r="A3556" s="5" t="s">
        <v>3171</v>
      </c>
      <c r="B3556" s="6">
        <v>474.7</v>
      </c>
      <c r="C3556" s="7" t="s">
        <v>649</v>
      </c>
      <c r="D3556" s="15">
        <v>75231.0</v>
      </c>
      <c r="F3556" s="15"/>
      <c r="G3556" s="26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28"/>
      <c r="AS3556" s="28"/>
      <c r="AT3556" s="28"/>
    </row>
    <row r="3557">
      <c r="A3557" s="10" t="s">
        <v>3172</v>
      </c>
      <c r="B3557" s="11">
        <v>949.7</v>
      </c>
      <c r="C3557" s="12" t="s">
        <v>649</v>
      </c>
      <c r="D3557" s="15">
        <v>75205.0</v>
      </c>
      <c r="F3557" s="15"/>
      <c r="G3557" s="26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28"/>
      <c r="AS3557" s="28"/>
      <c r="AT3557" s="28"/>
    </row>
    <row r="3558">
      <c r="A3558" s="5" t="s">
        <v>3173</v>
      </c>
      <c r="B3558" s="6">
        <v>474.7</v>
      </c>
      <c r="C3558" s="7" t="s">
        <v>649</v>
      </c>
      <c r="D3558" s="15">
        <v>75205.0</v>
      </c>
      <c r="F3558" s="15"/>
      <c r="G3558" s="26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28"/>
      <c r="AS3558" s="28"/>
      <c r="AT3558" s="28"/>
    </row>
    <row r="3559">
      <c r="A3559" s="10" t="s">
        <v>3174</v>
      </c>
      <c r="B3559" s="11">
        <v>949.7</v>
      </c>
      <c r="C3559" s="12" t="s">
        <v>649</v>
      </c>
      <c r="D3559" s="15">
        <v>75225.0</v>
      </c>
      <c r="F3559" s="15"/>
      <c r="G3559" s="26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28"/>
      <c r="AS3559" s="28"/>
      <c r="AT3559" s="28"/>
    </row>
    <row r="3560">
      <c r="A3560" s="5" t="s">
        <v>3175</v>
      </c>
      <c r="B3560" s="6">
        <v>949.7</v>
      </c>
      <c r="C3560" s="7" t="s">
        <v>649</v>
      </c>
      <c r="D3560" s="15">
        <v>75201.0</v>
      </c>
      <c r="F3560" s="15"/>
      <c r="G3560" s="26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28"/>
      <c r="AS3560" s="28"/>
      <c r="AT3560" s="28"/>
    </row>
    <row r="3561">
      <c r="A3561" s="10" t="s">
        <v>2242</v>
      </c>
      <c r="B3561" s="11">
        <v>949.7</v>
      </c>
      <c r="C3561" s="12" t="s">
        <v>649</v>
      </c>
      <c r="D3561" s="15">
        <v>75219.0</v>
      </c>
      <c r="F3561" s="15"/>
      <c r="G3561" s="26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28"/>
      <c r="AS3561" s="28"/>
      <c r="AT3561" s="28"/>
    </row>
    <row r="3562">
      <c r="A3562" s="5" t="s">
        <v>3176</v>
      </c>
      <c r="B3562" s="6">
        <v>949.7</v>
      </c>
      <c r="C3562" s="7" t="s">
        <v>649</v>
      </c>
      <c r="D3562" s="15">
        <v>75205.0</v>
      </c>
      <c r="F3562" s="15"/>
      <c r="G3562" s="26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28"/>
      <c r="AS3562" s="28"/>
      <c r="AT3562" s="28"/>
    </row>
    <row r="3563">
      <c r="A3563" s="10" t="s">
        <v>3177</v>
      </c>
      <c r="B3563" s="11">
        <v>250.0</v>
      </c>
      <c r="C3563" s="12" t="s">
        <v>649</v>
      </c>
      <c r="D3563" s="15">
        <v>75219.0</v>
      </c>
      <c r="F3563" s="15"/>
      <c r="G3563" s="26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28"/>
      <c r="AS3563" s="28"/>
      <c r="AT3563" s="28"/>
    </row>
    <row r="3564">
      <c r="A3564" s="5" t="s">
        <v>3178</v>
      </c>
      <c r="B3564" s="6">
        <v>1000.0</v>
      </c>
      <c r="C3564" s="7" t="s">
        <v>649</v>
      </c>
      <c r="D3564" s="15">
        <v>75078.0</v>
      </c>
      <c r="F3564" s="15"/>
      <c r="G3564" s="26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28"/>
      <c r="AS3564" s="28"/>
      <c r="AT3564" s="28"/>
    </row>
    <row r="3565">
      <c r="A3565" s="10" t="s">
        <v>3179</v>
      </c>
      <c r="B3565" s="11">
        <v>500.0</v>
      </c>
      <c r="C3565" s="12" t="s">
        <v>649</v>
      </c>
      <c r="D3565" s="15">
        <v>75225.0</v>
      </c>
      <c r="F3565" s="15"/>
      <c r="G3565" s="26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28"/>
      <c r="AS3565" s="28"/>
      <c r="AT3565" s="28"/>
    </row>
    <row r="3566">
      <c r="A3566" s="5" t="s">
        <v>3180</v>
      </c>
      <c r="B3566" s="6">
        <v>1000.0</v>
      </c>
      <c r="C3566" s="7" t="s">
        <v>649</v>
      </c>
      <c r="D3566" s="15">
        <v>75208.0</v>
      </c>
      <c r="F3566" s="15"/>
      <c r="G3566" s="26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28"/>
      <c r="AS3566" s="28"/>
      <c r="AT3566" s="28"/>
    </row>
    <row r="3567">
      <c r="A3567" s="10" t="s">
        <v>3181</v>
      </c>
      <c r="B3567" s="11">
        <v>1000.0</v>
      </c>
      <c r="C3567" s="12" t="s">
        <v>649</v>
      </c>
      <c r="D3567" s="15">
        <v>75049.0</v>
      </c>
      <c r="F3567" s="15"/>
      <c r="G3567" s="26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28"/>
      <c r="AS3567" s="28"/>
      <c r="AT3567" s="28"/>
    </row>
    <row r="3568">
      <c r="A3568" s="5" t="s">
        <v>3182</v>
      </c>
      <c r="B3568" s="6">
        <v>1000.0</v>
      </c>
      <c r="C3568" s="7" t="s">
        <v>649</v>
      </c>
      <c r="D3568" s="15">
        <v>75238.0</v>
      </c>
      <c r="F3568" s="15"/>
      <c r="G3568" s="26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28"/>
      <c r="AS3568" s="28"/>
      <c r="AT3568" s="28"/>
    </row>
    <row r="3569">
      <c r="A3569" s="10" t="s">
        <v>3183</v>
      </c>
      <c r="B3569" s="11">
        <v>500.0</v>
      </c>
      <c r="C3569" s="12" t="s">
        <v>649</v>
      </c>
      <c r="D3569" s="15">
        <v>75201.0</v>
      </c>
      <c r="F3569" s="15"/>
      <c r="G3569" s="26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28"/>
      <c r="AS3569" s="28"/>
      <c r="AT3569" s="28"/>
    </row>
    <row r="3570">
      <c r="A3570" s="5" t="s">
        <v>3184</v>
      </c>
      <c r="B3570" s="6">
        <v>1000.0</v>
      </c>
      <c r="C3570" s="7" t="s">
        <v>649</v>
      </c>
      <c r="D3570" s="15">
        <v>75205.0</v>
      </c>
      <c r="F3570" s="15"/>
      <c r="G3570" s="26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28"/>
      <c r="AS3570" s="28"/>
      <c r="AT3570" s="28"/>
    </row>
    <row r="3571">
      <c r="A3571" s="10" t="s">
        <v>3185</v>
      </c>
      <c r="B3571" s="11">
        <v>1000.0</v>
      </c>
      <c r="C3571" s="12" t="s">
        <v>649</v>
      </c>
      <c r="D3571" s="15">
        <v>75205.0</v>
      </c>
      <c r="F3571" s="15"/>
      <c r="G3571" s="26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28"/>
      <c r="AS3571" s="28"/>
      <c r="AT3571" s="28"/>
    </row>
    <row r="3572">
      <c r="A3572" s="5" t="s">
        <v>1509</v>
      </c>
      <c r="B3572" s="6">
        <v>949.7</v>
      </c>
      <c r="C3572" s="7" t="s">
        <v>649</v>
      </c>
      <c r="D3572" s="15">
        <v>75208.0</v>
      </c>
      <c r="F3572" s="15"/>
      <c r="G3572" s="26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28"/>
      <c r="AS3572" s="28"/>
      <c r="AT3572" s="28"/>
    </row>
    <row r="3573">
      <c r="A3573" s="10" t="s">
        <v>3186</v>
      </c>
      <c r="B3573" s="11">
        <v>1000.0</v>
      </c>
      <c r="C3573" s="12" t="s">
        <v>649</v>
      </c>
      <c r="D3573" s="15">
        <v>75208.0</v>
      </c>
      <c r="F3573" s="15"/>
      <c r="G3573" s="26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28"/>
      <c r="AS3573" s="28"/>
      <c r="AT3573" s="28"/>
    </row>
    <row r="3574">
      <c r="A3574" s="5" t="s">
        <v>1913</v>
      </c>
      <c r="B3574" s="6">
        <v>1000.0</v>
      </c>
      <c r="C3574" s="7" t="s">
        <v>649</v>
      </c>
      <c r="D3574" s="15">
        <v>75208.0</v>
      </c>
      <c r="F3574" s="15"/>
      <c r="G3574" s="26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28"/>
      <c r="AS3574" s="28"/>
      <c r="AT3574" s="28"/>
    </row>
    <row r="3575">
      <c r="A3575" s="10" t="s">
        <v>1507</v>
      </c>
      <c r="B3575" s="11">
        <v>1000.0</v>
      </c>
      <c r="C3575" s="12" t="s">
        <v>649</v>
      </c>
      <c r="D3575" s="15">
        <v>75057.0</v>
      </c>
      <c r="F3575" s="15"/>
      <c r="G3575" s="26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28"/>
      <c r="AS3575" s="28"/>
      <c r="AT3575" s="28"/>
    </row>
    <row r="3576">
      <c r="A3576" s="5" t="s">
        <v>3187</v>
      </c>
      <c r="B3576" s="6">
        <v>1000.0</v>
      </c>
      <c r="C3576" s="7" t="s">
        <v>649</v>
      </c>
      <c r="D3576" s="15">
        <v>75057.0</v>
      </c>
      <c r="F3576" s="15"/>
      <c r="G3576" s="26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28"/>
      <c r="AS3576" s="28"/>
      <c r="AT3576" s="28"/>
    </row>
    <row r="3577">
      <c r="A3577" s="10" t="s">
        <v>3188</v>
      </c>
      <c r="B3577" s="11">
        <v>1000.0</v>
      </c>
      <c r="C3577" s="12" t="s">
        <v>649</v>
      </c>
      <c r="D3577" s="15">
        <v>75214.0</v>
      </c>
      <c r="F3577" s="15"/>
      <c r="G3577" s="26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28"/>
      <c r="AS3577" s="28"/>
      <c r="AT3577" s="28"/>
    </row>
    <row r="3578">
      <c r="A3578" s="5" t="s">
        <v>738</v>
      </c>
      <c r="B3578" s="6">
        <v>1000.0</v>
      </c>
      <c r="C3578" s="7" t="s">
        <v>649</v>
      </c>
      <c r="D3578" s="15">
        <v>75208.0</v>
      </c>
      <c r="F3578" s="15"/>
      <c r="G3578" s="26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28"/>
      <c r="AS3578" s="28"/>
      <c r="AT3578" s="28"/>
    </row>
    <row r="3579">
      <c r="A3579" s="10" t="s">
        <v>3189</v>
      </c>
      <c r="B3579" s="11">
        <v>1000.0</v>
      </c>
      <c r="C3579" s="12" t="s">
        <v>649</v>
      </c>
      <c r="D3579" s="15">
        <v>75214.0</v>
      </c>
      <c r="F3579" s="15"/>
      <c r="G3579" s="26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28"/>
      <c r="AS3579" s="28"/>
      <c r="AT3579" s="28"/>
    </row>
    <row r="3580">
      <c r="A3580" s="5" t="s">
        <v>3190</v>
      </c>
      <c r="B3580" s="6">
        <v>1000.0</v>
      </c>
      <c r="C3580" s="7" t="s">
        <v>649</v>
      </c>
      <c r="D3580" s="15">
        <v>75205.0</v>
      </c>
      <c r="F3580" s="15"/>
      <c r="G3580" s="26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28"/>
      <c r="AS3580" s="28"/>
      <c r="AT3580" s="28"/>
    </row>
    <row r="3581">
      <c r="A3581" s="10" t="s">
        <v>3191</v>
      </c>
      <c r="B3581" s="11">
        <v>1000.0</v>
      </c>
      <c r="C3581" s="12" t="s">
        <v>649</v>
      </c>
      <c r="D3581" s="15">
        <v>75207.0</v>
      </c>
      <c r="F3581" s="15"/>
      <c r="G3581" s="26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28"/>
      <c r="AS3581" s="28"/>
      <c r="AT3581" s="28"/>
    </row>
    <row r="3582">
      <c r="A3582" s="5" t="s">
        <v>3192</v>
      </c>
      <c r="B3582" s="6">
        <v>1000.0</v>
      </c>
      <c r="C3582" s="7" t="s">
        <v>649</v>
      </c>
      <c r="D3582" s="15">
        <v>75205.0</v>
      </c>
      <c r="F3582" s="15"/>
      <c r="G3582" s="26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28"/>
      <c r="AS3582" s="28"/>
      <c r="AT3582" s="28"/>
    </row>
    <row r="3583">
      <c r="A3583" s="10" t="s">
        <v>3193</v>
      </c>
      <c r="B3583" s="11">
        <v>500.0</v>
      </c>
      <c r="C3583" s="12" t="s">
        <v>649</v>
      </c>
      <c r="D3583" s="15">
        <v>75215.0</v>
      </c>
      <c r="F3583" s="15"/>
      <c r="G3583" s="26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28"/>
      <c r="AS3583" s="28"/>
      <c r="AT3583" s="28"/>
    </row>
    <row r="3584">
      <c r="A3584" s="5" t="s">
        <v>3194</v>
      </c>
      <c r="B3584" s="6">
        <v>474.7</v>
      </c>
      <c r="C3584" s="7" t="s">
        <v>649</v>
      </c>
      <c r="D3584" s="15">
        <v>75201.0</v>
      </c>
      <c r="F3584" s="15"/>
      <c r="G3584" s="26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28"/>
      <c r="AS3584" s="28"/>
      <c r="AT3584" s="28"/>
    </row>
    <row r="3585">
      <c r="A3585" s="10" t="s">
        <v>3195</v>
      </c>
      <c r="B3585" s="11">
        <v>100.0</v>
      </c>
      <c r="C3585" s="12" t="s">
        <v>649</v>
      </c>
      <c r="D3585" s="15">
        <v>75208.0</v>
      </c>
      <c r="F3585" s="15"/>
      <c r="G3585" s="26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28"/>
      <c r="AS3585" s="28"/>
      <c r="AT3585" s="28"/>
    </row>
    <row r="3586">
      <c r="A3586" s="5" t="s">
        <v>3196</v>
      </c>
      <c r="B3586" s="6">
        <v>750.0</v>
      </c>
      <c r="C3586" s="7" t="s">
        <v>649</v>
      </c>
      <c r="D3586" s="15">
        <v>75201.0</v>
      </c>
      <c r="F3586" s="15"/>
      <c r="G3586" s="26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28"/>
      <c r="AS3586" s="28"/>
      <c r="AT3586" s="28"/>
    </row>
    <row r="3587">
      <c r="A3587" s="10" t="s">
        <v>658</v>
      </c>
      <c r="B3587" s="11">
        <v>500.0</v>
      </c>
      <c r="C3587" s="12" t="s">
        <v>649</v>
      </c>
      <c r="D3587" s="15">
        <v>75205.0</v>
      </c>
      <c r="F3587" s="15"/>
      <c r="G3587" s="26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28"/>
      <c r="AS3587" s="28"/>
      <c r="AT3587" s="28"/>
    </row>
    <row r="3588">
      <c r="A3588" s="5" t="s">
        <v>3197</v>
      </c>
      <c r="B3588" s="6">
        <v>500.0</v>
      </c>
      <c r="C3588" s="7" t="s">
        <v>649</v>
      </c>
      <c r="D3588" s="15">
        <v>75205.0</v>
      </c>
      <c r="F3588" s="15"/>
      <c r="G3588" s="26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28"/>
      <c r="AS3588" s="28"/>
      <c r="AT3588" s="28"/>
    </row>
    <row r="3589">
      <c r="A3589" s="10" t="s">
        <v>3198</v>
      </c>
      <c r="B3589" s="11">
        <v>949.7</v>
      </c>
      <c r="C3589" s="12" t="s">
        <v>649</v>
      </c>
      <c r="D3589" s="15">
        <v>75208.0</v>
      </c>
      <c r="F3589" s="15"/>
      <c r="G3589" s="26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28"/>
      <c r="AS3589" s="28"/>
      <c r="AT3589" s="28"/>
    </row>
    <row r="3590">
      <c r="A3590" s="5" t="s">
        <v>3199</v>
      </c>
      <c r="B3590" s="6">
        <v>1000.0</v>
      </c>
      <c r="C3590" s="7" t="s">
        <v>649</v>
      </c>
      <c r="D3590" s="15">
        <v>75225.0</v>
      </c>
      <c r="F3590" s="15"/>
      <c r="G3590" s="26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28"/>
      <c r="AS3590" s="28"/>
      <c r="AT3590" s="28"/>
    </row>
    <row r="3591">
      <c r="A3591" s="10" t="s">
        <v>1485</v>
      </c>
      <c r="B3591" s="11">
        <v>150.0</v>
      </c>
      <c r="C3591" s="12" t="s">
        <v>649</v>
      </c>
      <c r="D3591" s="15">
        <v>75208.0</v>
      </c>
      <c r="F3591" s="15"/>
      <c r="G3591" s="26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28"/>
      <c r="AS3591" s="28"/>
      <c r="AT3591" s="28"/>
    </row>
    <row r="3592">
      <c r="A3592" s="5" t="s">
        <v>3200</v>
      </c>
      <c r="B3592" s="6">
        <v>332.2</v>
      </c>
      <c r="C3592" s="7" t="s">
        <v>649</v>
      </c>
      <c r="D3592" s="15">
        <v>75208.0</v>
      </c>
      <c r="F3592" s="15"/>
      <c r="G3592" s="26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28"/>
      <c r="AS3592" s="28"/>
      <c r="AT3592" s="28"/>
    </row>
    <row r="3593">
      <c r="A3593" s="10" t="s">
        <v>3201</v>
      </c>
      <c r="B3593" s="11">
        <v>500.0</v>
      </c>
      <c r="C3593" s="12" t="s">
        <v>649</v>
      </c>
      <c r="D3593" s="15">
        <v>75208.0</v>
      </c>
      <c r="F3593" s="15"/>
      <c r="G3593" s="26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28"/>
      <c r="AS3593" s="28"/>
      <c r="AT3593" s="28"/>
    </row>
    <row r="3594">
      <c r="A3594" s="5" t="s">
        <v>1909</v>
      </c>
      <c r="B3594" s="6">
        <v>100.0</v>
      </c>
      <c r="C3594" s="7" t="s">
        <v>649</v>
      </c>
      <c r="D3594" s="15">
        <v>75208.0</v>
      </c>
      <c r="F3594" s="15"/>
      <c r="G3594" s="26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28"/>
      <c r="AS3594" s="28"/>
      <c r="AT3594" s="28"/>
    </row>
    <row r="3595">
      <c r="A3595" s="10" t="s">
        <v>3202</v>
      </c>
      <c r="B3595" s="11">
        <v>500.0</v>
      </c>
      <c r="C3595" s="12" t="s">
        <v>649</v>
      </c>
      <c r="D3595" s="15">
        <v>75208.0</v>
      </c>
      <c r="F3595" s="15"/>
      <c r="G3595" s="26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28"/>
      <c r="AS3595" s="28"/>
      <c r="AT3595" s="28"/>
    </row>
    <row r="3596">
      <c r="A3596" s="5" t="s">
        <v>3203</v>
      </c>
      <c r="B3596" s="6">
        <v>949.7</v>
      </c>
      <c r="C3596" s="7" t="s">
        <v>649</v>
      </c>
      <c r="D3596" s="15">
        <v>75208.0</v>
      </c>
      <c r="F3596" s="15"/>
      <c r="G3596" s="26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28"/>
      <c r="AS3596" s="28"/>
      <c r="AT3596" s="28"/>
    </row>
    <row r="3597">
      <c r="A3597" s="10" t="s">
        <v>3204</v>
      </c>
      <c r="B3597" s="11">
        <v>949.7</v>
      </c>
      <c r="C3597" s="12" t="s">
        <v>649</v>
      </c>
      <c r="D3597" s="15">
        <v>75203.0</v>
      </c>
      <c r="F3597" s="15"/>
      <c r="G3597" s="26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28"/>
      <c r="AS3597" s="28"/>
      <c r="AT3597" s="28"/>
    </row>
    <row r="3598">
      <c r="A3598" s="14"/>
      <c r="B3598" s="15"/>
      <c r="C3598" s="16"/>
      <c r="D3598" s="15"/>
      <c r="F3598" s="15"/>
      <c r="G3598" s="26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28"/>
      <c r="AS3598" s="28"/>
      <c r="AT3598" s="28"/>
    </row>
    <row r="3599">
      <c r="A3599" s="14"/>
      <c r="B3599" s="15"/>
      <c r="C3599" s="16"/>
      <c r="D3599" s="15"/>
      <c r="F3599" s="15"/>
      <c r="G3599" s="26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28"/>
      <c r="AS3599" s="28"/>
      <c r="AT3599" s="28"/>
    </row>
    <row r="3600">
      <c r="A3600" s="14"/>
      <c r="B3600" s="15"/>
      <c r="C3600" s="16"/>
      <c r="D3600" s="15"/>
      <c r="F3600" s="15"/>
      <c r="G3600" s="26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28"/>
      <c r="AS3600" s="28"/>
      <c r="AT3600" s="28"/>
    </row>
    <row r="3601">
      <c r="A3601" s="14"/>
      <c r="B3601" s="15"/>
      <c r="C3601" s="16"/>
      <c r="D3601" s="15"/>
      <c r="F3601" s="15"/>
      <c r="G3601" s="26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28"/>
      <c r="AS3601" s="28"/>
      <c r="AT3601" s="28"/>
    </row>
    <row r="3602">
      <c r="A3602" s="14"/>
      <c r="B3602" s="15"/>
      <c r="C3602" s="16"/>
      <c r="D3602" s="15"/>
      <c r="F3602" s="15"/>
      <c r="G3602" s="26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28"/>
      <c r="AS3602" s="28"/>
      <c r="AT3602" s="28"/>
    </row>
    <row r="3603">
      <c r="A3603" s="14"/>
      <c r="B3603" s="15"/>
      <c r="C3603" s="16"/>
      <c r="D3603" s="15"/>
      <c r="F3603" s="15"/>
      <c r="G3603" s="26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28"/>
      <c r="AS3603" s="28"/>
      <c r="AT3603" s="28"/>
    </row>
    <row r="3604">
      <c r="A3604" s="14"/>
      <c r="B3604" s="15"/>
      <c r="C3604" s="16"/>
      <c r="D3604" s="15"/>
      <c r="F3604" s="15"/>
      <c r="G3604" s="26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28"/>
      <c r="AS3604" s="28"/>
      <c r="AT3604" s="28"/>
    </row>
    <row r="3605">
      <c r="A3605" s="14"/>
      <c r="B3605" s="15"/>
      <c r="C3605" s="16"/>
      <c r="D3605" s="15"/>
      <c r="F3605" s="15"/>
      <c r="G3605" s="26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28"/>
      <c r="AS3605" s="28"/>
      <c r="AT3605" s="28"/>
    </row>
    <row r="3606">
      <c r="A3606" s="14"/>
      <c r="B3606" s="15"/>
      <c r="C3606" s="16"/>
      <c r="D3606" s="15"/>
      <c r="F3606" s="15"/>
      <c r="G3606" s="26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28"/>
      <c r="AS3606" s="28"/>
      <c r="AT3606" s="28"/>
    </row>
    <row r="3607">
      <c r="A3607" s="14"/>
      <c r="B3607" s="15"/>
      <c r="C3607" s="16"/>
      <c r="D3607" s="15"/>
      <c r="F3607" s="15"/>
      <c r="G3607" s="26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28"/>
      <c r="AS3607" s="28"/>
      <c r="AT3607" s="28"/>
    </row>
    <row r="3608">
      <c r="A3608" s="14"/>
      <c r="B3608" s="15"/>
      <c r="C3608" s="16"/>
      <c r="D3608" s="15"/>
      <c r="F3608" s="15"/>
      <c r="G3608" s="26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28"/>
      <c r="AS3608" s="28"/>
      <c r="AT3608" s="28"/>
    </row>
    <row r="3609">
      <c r="A3609" s="14"/>
      <c r="B3609" s="15"/>
      <c r="C3609" s="16"/>
      <c r="D3609" s="15"/>
      <c r="F3609" s="15"/>
      <c r="G3609" s="26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28"/>
      <c r="AS3609" s="28"/>
      <c r="AT3609" s="28"/>
    </row>
    <row r="3610">
      <c r="A3610" s="14"/>
      <c r="B3610" s="15"/>
      <c r="C3610" s="16"/>
      <c r="D3610" s="15"/>
      <c r="F3610" s="15"/>
      <c r="G3610" s="26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28"/>
      <c r="AS3610" s="28"/>
      <c r="AT3610" s="28"/>
    </row>
    <row r="3611">
      <c r="A3611" s="14"/>
      <c r="B3611" s="15"/>
      <c r="C3611" s="16"/>
      <c r="D3611" s="15"/>
      <c r="F3611" s="15"/>
      <c r="G3611" s="26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28"/>
      <c r="AS3611" s="28"/>
      <c r="AT3611" s="28"/>
    </row>
    <row r="3612">
      <c r="A3612" s="14"/>
      <c r="B3612" s="15"/>
      <c r="C3612" s="16"/>
      <c r="D3612" s="15"/>
      <c r="F3612" s="15"/>
      <c r="G3612" s="26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28"/>
      <c r="AS3612" s="28"/>
      <c r="AT3612" s="28"/>
    </row>
    <row r="3613">
      <c r="A3613" s="14"/>
      <c r="B3613" s="15"/>
      <c r="C3613" s="16"/>
      <c r="D3613" s="15"/>
      <c r="F3613" s="15"/>
      <c r="G3613" s="26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28"/>
      <c r="AS3613" s="28"/>
      <c r="AT3613" s="28"/>
    </row>
    <row r="3614">
      <c r="A3614" s="14"/>
      <c r="B3614" s="15"/>
      <c r="C3614" s="16"/>
      <c r="D3614" s="15"/>
      <c r="F3614" s="15"/>
      <c r="G3614" s="26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28"/>
      <c r="AS3614" s="28"/>
      <c r="AT3614" s="28"/>
    </row>
    <row r="3615">
      <c r="A3615" s="14"/>
      <c r="B3615" s="15"/>
      <c r="C3615" s="16"/>
      <c r="D3615" s="15"/>
      <c r="F3615" s="15"/>
      <c r="G3615" s="26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28"/>
      <c r="AS3615" s="28"/>
      <c r="AT3615" s="28"/>
    </row>
    <row r="3616">
      <c r="A3616" s="14"/>
      <c r="B3616" s="15"/>
      <c r="C3616" s="16"/>
      <c r="D3616" s="15"/>
      <c r="F3616" s="15"/>
      <c r="G3616" s="26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28"/>
      <c r="AS3616" s="28"/>
      <c r="AT3616" s="28"/>
    </row>
    <row r="3617">
      <c r="A3617" s="14"/>
      <c r="B3617" s="15"/>
      <c r="C3617" s="16"/>
      <c r="D3617" s="15"/>
      <c r="F3617" s="15"/>
      <c r="G3617" s="26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28"/>
      <c r="AS3617" s="28"/>
      <c r="AT3617" s="28"/>
    </row>
    <row r="3618">
      <c r="A3618" s="14"/>
      <c r="B3618" s="15"/>
      <c r="C3618" s="16"/>
      <c r="D3618" s="15"/>
      <c r="F3618" s="15"/>
      <c r="G3618" s="26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28"/>
      <c r="AS3618" s="28"/>
      <c r="AT3618" s="28"/>
    </row>
    <row r="3619">
      <c r="A3619" s="14"/>
      <c r="B3619" s="15"/>
      <c r="C3619" s="16"/>
      <c r="D3619" s="15"/>
      <c r="F3619" s="15"/>
      <c r="G3619" s="26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28"/>
      <c r="AS3619" s="28"/>
      <c r="AT3619" s="28"/>
    </row>
    <row r="3620">
      <c r="A3620" s="14"/>
      <c r="B3620" s="15"/>
      <c r="C3620" s="16"/>
      <c r="D3620" s="15"/>
      <c r="F3620" s="15"/>
      <c r="G3620" s="26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28"/>
      <c r="AS3620" s="28"/>
      <c r="AT3620" s="28"/>
    </row>
    <row r="3621">
      <c r="A3621" s="14"/>
      <c r="B3621" s="15"/>
      <c r="C3621" s="16"/>
      <c r="D3621" s="15"/>
      <c r="F3621" s="15"/>
      <c r="G3621" s="26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28"/>
      <c r="AS3621" s="28"/>
      <c r="AT3621" s="28"/>
    </row>
    <row r="3622">
      <c r="A3622" s="14"/>
      <c r="B3622" s="15"/>
      <c r="C3622" s="16"/>
      <c r="D3622" s="15"/>
      <c r="F3622" s="15"/>
      <c r="G3622" s="26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28"/>
      <c r="AS3622" s="28"/>
      <c r="AT3622" s="28"/>
    </row>
    <row r="3623">
      <c r="A3623" s="14"/>
      <c r="B3623" s="15"/>
      <c r="C3623" s="16"/>
      <c r="D3623" s="15"/>
      <c r="F3623" s="15"/>
      <c r="G3623" s="26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28"/>
      <c r="AS3623" s="28"/>
      <c r="AT3623" s="28"/>
    </row>
    <row r="3624">
      <c r="A3624" s="14"/>
      <c r="B3624" s="15"/>
      <c r="C3624" s="16"/>
      <c r="D3624" s="15"/>
      <c r="F3624" s="15"/>
      <c r="G3624" s="26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28"/>
      <c r="AS3624" s="28"/>
      <c r="AT3624" s="28"/>
    </row>
    <row r="3625">
      <c r="A3625" s="14"/>
      <c r="B3625" s="15"/>
      <c r="C3625" s="16"/>
      <c r="D3625" s="15"/>
      <c r="F3625" s="15"/>
      <c r="G3625" s="26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28"/>
      <c r="AS3625" s="28"/>
      <c r="AT3625" s="28"/>
    </row>
    <row r="3626">
      <c r="A3626" s="14"/>
      <c r="B3626" s="15"/>
      <c r="C3626" s="16"/>
      <c r="D3626" s="15"/>
      <c r="F3626" s="15"/>
      <c r="G3626" s="26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28"/>
      <c r="AS3626" s="28"/>
      <c r="AT3626" s="28"/>
    </row>
    <row r="3627">
      <c r="A3627" s="14"/>
      <c r="B3627" s="15"/>
      <c r="C3627" s="16"/>
      <c r="D3627" s="15"/>
      <c r="F3627" s="15"/>
      <c r="G3627" s="26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28"/>
      <c r="AS3627" s="28"/>
      <c r="AT3627" s="28"/>
    </row>
    <row r="3628">
      <c r="A3628" s="14"/>
      <c r="B3628" s="15"/>
      <c r="C3628" s="16"/>
      <c r="D3628" s="15"/>
      <c r="F3628" s="15"/>
      <c r="G3628" s="26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28"/>
      <c r="AS3628" s="28"/>
      <c r="AT3628" s="28"/>
    </row>
    <row r="3629">
      <c r="A3629" s="14"/>
      <c r="B3629" s="15"/>
      <c r="C3629" s="16"/>
      <c r="D3629" s="15"/>
      <c r="F3629" s="15"/>
      <c r="G3629" s="26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28"/>
      <c r="AS3629" s="28"/>
      <c r="AT3629" s="28"/>
    </row>
    <row r="3630">
      <c r="A3630" s="14"/>
      <c r="B3630" s="15"/>
      <c r="C3630" s="16"/>
      <c r="D3630" s="15"/>
      <c r="F3630" s="15"/>
      <c r="G3630" s="26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28"/>
      <c r="AS3630" s="28"/>
      <c r="AT3630" s="28"/>
    </row>
    <row r="3631">
      <c r="A3631" s="14"/>
      <c r="B3631" s="15"/>
      <c r="C3631" s="16"/>
      <c r="D3631" s="15"/>
      <c r="F3631" s="15"/>
      <c r="G3631" s="26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28"/>
      <c r="AS3631" s="28"/>
      <c r="AT3631" s="28"/>
    </row>
    <row r="3632">
      <c r="A3632" s="14"/>
      <c r="B3632" s="15"/>
      <c r="C3632" s="16"/>
      <c r="D3632" s="15"/>
      <c r="F3632" s="15"/>
      <c r="G3632" s="26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28"/>
      <c r="AS3632" s="28"/>
      <c r="AT3632" s="28"/>
    </row>
    <row r="3633">
      <c r="A3633" s="14"/>
      <c r="B3633" s="15"/>
      <c r="C3633" s="16"/>
      <c r="D3633" s="15"/>
      <c r="F3633" s="15"/>
      <c r="G3633" s="26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28"/>
      <c r="AS3633" s="28"/>
      <c r="AT3633" s="28"/>
    </row>
    <row r="3634">
      <c r="A3634" s="14"/>
      <c r="B3634" s="15"/>
      <c r="C3634" s="16"/>
      <c r="D3634" s="15"/>
      <c r="F3634" s="15"/>
      <c r="G3634" s="26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28"/>
      <c r="AS3634" s="28"/>
      <c r="AT3634" s="28"/>
    </row>
    <row r="3635">
      <c r="A3635" s="14"/>
      <c r="B3635" s="15"/>
      <c r="C3635" s="16"/>
      <c r="D3635" s="15"/>
      <c r="F3635" s="15"/>
      <c r="G3635" s="26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28"/>
      <c r="AS3635" s="28"/>
      <c r="AT3635" s="28"/>
    </row>
    <row r="3636">
      <c r="A3636" s="14"/>
      <c r="B3636" s="15"/>
      <c r="C3636" s="16"/>
      <c r="D3636" s="15"/>
      <c r="F3636" s="15"/>
      <c r="G3636" s="26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28"/>
      <c r="AS3636" s="28"/>
      <c r="AT3636" s="28"/>
    </row>
    <row r="3637">
      <c r="A3637" s="14"/>
      <c r="B3637" s="15"/>
      <c r="C3637" s="16"/>
      <c r="D3637" s="15"/>
      <c r="F3637" s="15"/>
      <c r="G3637" s="26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28"/>
      <c r="AS3637" s="28"/>
      <c r="AT3637" s="28"/>
    </row>
    <row r="3638">
      <c r="A3638" s="14"/>
      <c r="B3638" s="15"/>
      <c r="C3638" s="16"/>
      <c r="D3638" s="15"/>
      <c r="F3638" s="15"/>
      <c r="G3638" s="26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28"/>
      <c r="AS3638" s="28"/>
      <c r="AT3638" s="28"/>
    </row>
    <row r="3639">
      <c r="A3639" s="14"/>
      <c r="B3639" s="15"/>
      <c r="C3639" s="16"/>
      <c r="D3639" s="15"/>
      <c r="F3639" s="15"/>
      <c r="G3639" s="26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28"/>
      <c r="AS3639" s="28"/>
      <c r="AT3639" s="28"/>
    </row>
    <row r="3640">
      <c r="A3640" s="14"/>
      <c r="B3640" s="15"/>
      <c r="C3640" s="16"/>
      <c r="D3640" s="15"/>
      <c r="F3640" s="15"/>
      <c r="G3640" s="26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28"/>
      <c r="AS3640" s="28"/>
      <c r="AT3640" s="28"/>
    </row>
    <row r="3641">
      <c r="A3641" s="14"/>
      <c r="B3641" s="15"/>
      <c r="C3641" s="16"/>
      <c r="D3641" s="15"/>
      <c r="F3641" s="15"/>
      <c r="G3641" s="26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28"/>
      <c r="AS3641" s="28"/>
      <c r="AT3641" s="28"/>
    </row>
    <row r="3642">
      <c r="A3642" s="14"/>
      <c r="B3642" s="15"/>
      <c r="C3642" s="16"/>
      <c r="D3642" s="15"/>
      <c r="F3642" s="15"/>
      <c r="G3642" s="26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28"/>
      <c r="AS3642" s="28"/>
      <c r="AT3642" s="28"/>
    </row>
    <row r="3643">
      <c r="A3643" s="14"/>
      <c r="B3643" s="15"/>
      <c r="C3643" s="16"/>
      <c r="D3643" s="15"/>
      <c r="F3643" s="15"/>
      <c r="G3643" s="26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28"/>
      <c r="AS3643" s="28"/>
      <c r="AT3643" s="28"/>
    </row>
    <row r="3644">
      <c r="A3644" s="14"/>
      <c r="B3644" s="15"/>
      <c r="C3644" s="16"/>
      <c r="D3644" s="15"/>
      <c r="F3644" s="15"/>
      <c r="G3644" s="26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28"/>
      <c r="AS3644" s="28"/>
      <c r="AT3644" s="28"/>
    </row>
    <row r="3645">
      <c r="A3645" s="14"/>
      <c r="B3645" s="15"/>
      <c r="C3645" s="16"/>
      <c r="D3645" s="15"/>
      <c r="F3645" s="15"/>
      <c r="G3645" s="26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8"/>
      <c r="AH3645" s="28"/>
      <c r="AI3645" s="28"/>
      <c r="AJ3645" s="28"/>
      <c r="AK3645" s="28"/>
      <c r="AL3645" s="28"/>
      <c r="AM3645" s="28"/>
      <c r="AN3645" s="28"/>
      <c r="AO3645" s="28"/>
      <c r="AP3645" s="28"/>
      <c r="AQ3645" s="28"/>
      <c r="AR3645" s="28"/>
      <c r="AS3645" s="28"/>
      <c r="AT3645" s="28"/>
    </row>
    <row r="3646">
      <c r="A3646" s="14"/>
      <c r="B3646" s="15"/>
      <c r="C3646" s="16"/>
      <c r="D3646" s="15"/>
      <c r="F3646" s="15"/>
      <c r="G3646" s="26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28"/>
      <c r="AR3646" s="28"/>
      <c r="AS3646" s="28"/>
      <c r="AT3646" s="28"/>
    </row>
    <row r="3647">
      <c r="A3647" s="14"/>
      <c r="B3647" s="15"/>
      <c r="C3647" s="16"/>
      <c r="D3647" s="15"/>
      <c r="F3647" s="15"/>
      <c r="G3647" s="26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28"/>
      <c r="AR3647" s="28"/>
      <c r="AS3647" s="28"/>
      <c r="AT3647" s="28"/>
    </row>
    <row r="3648">
      <c r="A3648" s="14"/>
      <c r="B3648" s="15"/>
      <c r="C3648" s="16"/>
      <c r="D3648" s="15"/>
      <c r="F3648" s="15"/>
      <c r="G3648" s="26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8"/>
      <c r="AH3648" s="28"/>
      <c r="AI3648" s="28"/>
      <c r="AJ3648" s="28"/>
      <c r="AK3648" s="28"/>
      <c r="AL3648" s="28"/>
      <c r="AM3648" s="28"/>
      <c r="AN3648" s="28"/>
      <c r="AO3648" s="28"/>
      <c r="AP3648" s="28"/>
      <c r="AQ3648" s="28"/>
      <c r="AR3648" s="28"/>
      <c r="AS3648" s="28"/>
      <c r="AT3648" s="28"/>
    </row>
    <row r="3649">
      <c r="A3649" s="14"/>
      <c r="B3649" s="15"/>
      <c r="C3649" s="16"/>
      <c r="D3649" s="15"/>
      <c r="F3649" s="15"/>
      <c r="G3649" s="26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8"/>
      <c r="AH3649" s="28"/>
      <c r="AI3649" s="28"/>
      <c r="AJ3649" s="28"/>
      <c r="AK3649" s="28"/>
      <c r="AL3649" s="28"/>
      <c r="AM3649" s="28"/>
      <c r="AN3649" s="28"/>
      <c r="AO3649" s="28"/>
      <c r="AP3649" s="28"/>
      <c r="AQ3649" s="28"/>
      <c r="AR3649" s="28"/>
      <c r="AS3649" s="28"/>
      <c r="AT3649" s="28"/>
    </row>
    <row r="3650">
      <c r="A3650" s="14"/>
      <c r="B3650" s="15"/>
      <c r="C3650" s="16"/>
      <c r="D3650" s="15"/>
      <c r="F3650" s="15"/>
      <c r="G3650" s="26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8"/>
      <c r="AH3650" s="28"/>
      <c r="AI3650" s="28"/>
      <c r="AJ3650" s="28"/>
      <c r="AK3650" s="28"/>
      <c r="AL3650" s="28"/>
      <c r="AM3650" s="28"/>
      <c r="AN3650" s="28"/>
      <c r="AO3650" s="28"/>
      <c r="AP3650" s="28"/>
      <c r="AQ3650" s="28"/>
      <c r="AR3650" s="28"/>
      <c r="AS3650" s="28"/>
      <c r="AT3650" s="28"/>
    </row>
    <row r="3651">
      <c r="A3651" s="14"/>
      <c r="B3651" s="15"/>
      <c r="C3651" s="16"/>
      <c r="D3651" s="15"/>
      <c r="F3651" s="15"/>
      <c r="G3651" s="26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28"/>
      <c r="AR3651" s="28"/>
      <c r="AS3651" s="28"/>
      <c r="AT3651" s="28"/>
    </row>
    <row r="3652">
      <c r="A3652" s="14"/>
      <c r="B3652" s="15"/>
      <c r="C3652" s="16"/>
      <c r="D3652" s="15"/>
      <c r="F3652" s="15"/>
      <c r="G3652" s="26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8"/>
      <c r="AH3652" s="28"/>
      <c r="AI3652" s="28"/>
      <c r="AJ3652" s="28"/>
      <c r="AK3652" s="28"/>
      <c r="AL3652" s="28"/>
      <c r="AM3652" s="28"/>
      <c r="AN3652" s="28"/>
      <c r="AO3652" s="28"/>
      <c r="AP3652" s="28"/>
      <c r="AQ3652" s="28"/>
      <c r="AR3652" s="28"/>
      <c r="AS3652" s="28"/>
      <c r="AT3652" s="28"/>
    </row>
    <row r="3653">
      <c r="A3653" s="14"/>
      <c r="B3653" s="15"/>
      <c r="C3653" s="16"/>
      <c r="D3653" s="15"/>
      <c r="F3653" s="15"/>
      <c r="G3653" s="26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8"/>
      <c r="AH3653" s="28"/>
      <c r="AI3653" s="28"/>
      <c r="AJ3653" s="28"/>
      <c r="AK3653" s="28"/>
      <c r="AL3653" s="28"/>
      <c r="AM3653" s="28"/>
      <c r="AN3653" s="28"/>
      <c r="AO3653" s="28"/>
      <c r="AP3653" s="28"/>
      <c r="AQ3653" s="28"/>
      <c r="AR3653" s="28"/>
      <c r="AS3653" s="28"/>
      <c r="AT3653" s="28"/>
    </row>
    <row r="3654">
      <c r="A3654" s="14"/>
      <c r="B3654" s="15"/>
      <c r="C3654" s="16"/>
      <c r="D3654" s="15"/>
      <c r="F3654" s="15"/>
      <c r="G3654" s="26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8"/>
      <c r="AH3654" s="28"/>
      <c r="AI3654" s="28"/>
      <c r="AJ3654" s="28"/>
      <c r="AK3654" s="28"/>
      <c r="AL3654" s="28"/>
      <c r="AM3654" s="28"/>
      <c r="AN3654" s="28"/>
      <c r="AO3654" s="28"/>
      <c r="AP3654" s="28"/>
      <c r="AQ3654" s="28"/>
      <c r="AR3654" s="28"/>
      <c r="AS3654" s="28"/>
      <c r="AT3654" s="28"/>
    </row>
    <row r="3655">
      <c r="A3655" s="14"/>
      <c r="B3655" s="15"/>
      <c r="C3655" s="16"/>
      <c r="D3655" s="15"/>
      <c r="F3655" s="15"/>
      <c r="G3655" s="26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8"/>
      <c r="AH3655" s="28"/>
      <c r="AI3655" s="28"/>
      <c r="AJ3655" s="28"/>
      <c r="AK3655" s="28"/>
      <c r="AL3655" s="28"/>
      <c r="AM3655" s="28"/>
      <c r="AN3655" s="28"/>
      <c r="AO3655" s="28"/>
      <c r="AP3655" s="28"/>
      <c r="AQ3655" s="28"/>
      <c r="AR3655" s="28"/>
      <c r="AS3655" s="28"/>
      <c r="AT3655" s="28"/>
    </row>
    <row r="3656">
      <c r="A3656" s="14"/>
      <c r="B3656" s="15"/>
      <c r="C3656" s="16"/>
      <c r="D3656" s="15"/>
      <c r="F3656" s="15"/>
      <c r="G3656" s="26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8"/>
      <c r="AH3656" s="28"/>
      <c r="AI3656" s="28"/>
      <c r="AJ3656" s="28"/>
      <c r="AK3656" s="28"/>
      <c r="AL3656" s="28"/>
      <c r="AM3656" s="28"/>
      <c r="AN3656" s="28"/>
      <c r="AO3656" s="28"/>
      <c r="AP3656" s="28"/>
      <c r="AQ3656" s="28"/>
      <c r="AR3656" s="28"/>
      <c r="AS3656" s="28"/>
      <c r="AT3656" s="28"/>
    </row>
    <row r="3657">
      <c r="A3657" s="14"/>
      <c r="B3657" s="15"/>
      <c r="C3657" s="16"/>
      <c r="D3657" s="15"/>
      <c r="F3657" s="15"/>
      <c r="G3657" s="26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8"/>
      <c r="AH3657" s="28"/>
      <c r="AI3657" s="28"/>
      <c r="AJ3657" s="28"/>
      <c r="AK3657" s="28"/>
      <c r="AL3657" s="28"/>
      <c r="AM3657" s="28"/>
      <c r="AN3657" s="28"/>
      <c r="AO3657" s="28"/>
      <c r="AP3657" s="28"/>
      <c r="AQ3657" s="28"/>
      <c r="AR3657" s="28"/>
      <c r="AS3657" s="28"/>
      <c r="AT3657" s="28"/>
    </row>
    <row r="3658">
      <c r="A3658" s="14"/>
      <c r="B3658" s="15"/>
      <c r="C3658" s="16"/>
      <c r="D3658" s="15"/>
      <c r="F3658" s="15"/>
      <c r="G3658" s="26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28"/>
      <c r="AR3658" s="28"/>
      <c r="AS3658" s="28"/>
      <c r="AT3658" s="28"/>
    </row>
    <row r="3659">
      <c r="A3659" s="14"/>
      <c r="B3659" s="15"/>
      <c r="C3659" s="16"/>
      <c r="D3659" s="15"/>
      <c r="F3659" s="15"/>
      <c r="G3659" s="26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28"/>
      <c r="AS3659" s="28"/>
      <c r="AT3659" s="28"/>
    </row>
    <row r="3660">
      <c r="A3660" s="14"/>
      <c r="B3660" s="15"/>
      <c r="C3660" s="16"/>
      <c r="D3660" s="15"/>
      <c r="F3660" s="15"/>
      <c r="G3660" s="26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8"/>
      <c r="AM3660" s="28"/>
      <c r="AN3660" s="28"/>
      <c r="AO3660" s="28"/>
      <c r="AP3660" s="28"/>
      <c r="AQ3660" s="28"/>
      <c r="AR3660" s="28"/>
      <c r="AS3660" s="28"/>
      <c r="AT3660" s="28"/>
    </row>
    <row r="3661">
      <c r="A3661" s="14"/>
      <c r="B3661" s="15"/>
      <c r="C3661" s="16"/>
      <c r="D3661" s="15"/>
      <c r="F3661" s="15"/>
      <c r="G3661" s="26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8"/>
      <c r="AH3661" s="28"/>
      <c r="AI3661" s="28"/>
      <c r="AJ3661" s="28"/>
      <c r="AK3661" s="28"/>
      <c r="AL3661" s="28"/>
      <c r="AM3661" s="28"/>
      <c r="AN3661" s="28"/>
      <c r="AO3661" s="28"/>
      <c r="AP3661" s="28"/>
      <c r="AQ3661" s="28"/>
      <c r="AR3661" s="28"/>
      <c r="AS3661" s="28"/>
      <c r="AT3661" s="28"/>
    </row>
    <row r="3662">
      <c r="A3662" s="14"/>
      <c r="B3662" s="15"/>
      <c r="C3662" s="16"/>
      <c r="D3662" s="15"/>
      <c r="F3662" s="15"/>
      <c r="G3662" s="26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8"/>
      <c r="AH3662" s="28"/>
      <c r="AI3662" s="28"/>
      <c r="AJ3662" s="28"/>
      <c r="AK3662" s="28"/>
      <c r="AL3662" s="28"/>
      <c r="AM3662" s="28"/>
      <c r="AN3662" s="28"/>
      <c r="AO3662" s="28"/>
      <c r="AP3662" s="28"/>
      <c r="AQ3662" s="28"/>
      <c r="AR3662" s="28"/>
      <c r="AS3662" s="28"/>
      <c r="AT3662" s="28"/>
    </row>
    <row r="3663">
      <c r="A3663" s="14"/>
      <c r="B3663" s="15"/>
      <c r="C3663" s="16"/>
      <c r="D3663" s="15"/>
      <c r="F3663" s="15"/>
      <c r="G3663" s="26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8"/>
      <c r="AH3663" s="28"/>
      <c r="AI3663" s="28"/>
      <c r="AJ3663" s="28"/>
      <c r="AK3663" s="28"/>
      <c r="AL3663" s="28"/>
      <c r="AM3663" s="28"/>
      <c r="AN3663" s="28"/>
      <c r="AO3663" s="28"/>
      <c r="AP3663" s="28"/>
      <c r="AQ3663" s="28"/>
      <c r="AR3663" s="28"/>
      <c r="AS3663" s="28"/>
      <c r="AT3663" s="28"/>
    </row>
    <row r="3664">
      <c r="A3664" s="14"/>
      <c r="B3664" s="15"/>
      <c r="C3664" s="16"/>
      <c r="D3664" s="15"/>
      <c r="F3664" s="15"/>
      <c r="G3664" s="26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28"/>
      <c r="AR3664" s="28"/>
      <c r="AS3664" s="28"/>
      <c r="AT3664" s="28"/>
    </row>
    <row r="3665">
      <c r="A3665" s="14"/>
      <c r="B3665" s="15"/>
      <c r="C3665" s="16"/>
      <c r="D3665" s="15"/>
      <c r="F3665" s="15"/>
      <c r="G3665" s="26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8"/>
      <c r="AH3665" s="28"/>
      <c r="AI3665" s="28"/>
      <c r="AJ3665" s="28"/>
      <c r="AK3665" s="28"/>
      <c r="AL3665" s="28"/>
      <c r="AM3665" s="28"/>
      <c r="AN3665" s="28"/>
      <c r="AO3665" s="28"/>
      <c r="AP3665" s="28"/>
      <c r="AQ3665" s="28"/>
      <c r="AR3665" s="28"/>
      <c r="AS3665" s="28"/>
      <c r="AT3665" s="28"/>
    </row>
    <row r="3666">
      <c r="A3666" s="14"/>
      <c r="B3666" s="15"/>
      <c r="C3666" s="16"/>
      <c r="D3666" s="15"/>
      <c r="F3666" s="15"/>
      <c r="G3666" s="26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8"/>
      <c r="AH3666" s="28"/>
      <c r="AI3666" s="28"/>
      <c r="AJ3666" s="28"/>
      <c r="AK3666" s="28"/>
      <c r="AL3666" s="28"/>
      <c r="AM3666" s="28"/>
      <c r="AN3666" s="28"/>
      <c r="AO3666" s="28"/>
      <c r="AP3666" s="28"/>
      <c r="AQ3666" s="28"/>
      <c r="AR3666" s="28"/>
      <c r="AS3666" s="28"/>
      <c r="AT3666" s="28"/>
    </row>
    <row r="3667">
      <c r="A3667" s="14"/>
      <c r="B3667" s="15"/>
      <c r="C3667" s="16"/>
      <c r="D3667" s="15"/>
      <c r="F3667" s="15"/>
      <c r="G3667" s="26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28"/>
      <c r="AR3667" s="28"/>
      <c r="AS3667" s="28"/>
      <c r="AT3667" s="28"/>
    </row>
    <row r="3668">
      <c r="A3668" s="14"/>
      <c r="B3668" s="15"/>
      <c r="C3668" s="16"/>
      <c r="D3668" s="15"/>
      <c r="F3668" s="15"/>
      <c r="G3668" s="26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8"/>
      <c r="AH3668" s="28"/>
      <c r="AI3668" s="28"/>
      <c r="AJ3668" s="28"/>
      <c r="AK3668" s="28"/>
      <c r="AL3668" s="28"/>
      <c r="AM3668" s="28"/>
      <c r="AN3668" s="28"/>
      <c r="AO3668" s="28"/>
      <c r="AP3668" s="28"/>
      <c r="AQ3668" s="28"/>
      <c r="AR3668" s="28"/>
      <c r="AS3668" s="28"/>
      <c r="AT3668" s="28"/>
    </row>
    <row r="3669">
      <c r="A3669" s="14"/>
      <c r="B3669" s="15"/>
      <c r="C3669" s="16"/>
      <c r="D3669" s="15"/>
      <c r="F3669" s="15"/>
      <c r="G3669" s="26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8"/>
      <c r="AH3669" s="28"/>
      <c r="AI3669" s="28"/>
      <c r="AJ3669" s="28"/>
      <c r="AK3669" s="28"/>
      <c r="AL3669" s="28"/>
      <c r="AM3669" s="28"/>
      <c r="AN3669" s="28"/>
      <c r="AO3669" s="28"/>
      <c r="AP3669" s="28"/>
      <c r="AQ3669" s="28"/>
      <c r="AR3669" s="28"/>
      <c r="AS3669" s="28"/>
      <c r="AT3669" s="28"/>
    </row>
    <row r="3670">
      <c r="A3670" s="14"/>
      <c r="B3670" s="15"/>
      <c r="C3670" s="16"/>
      <c r="D3670" s="15"/>
      <c r="F3670" s="15"/>
      <c r="G3670" s="26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8"/>
      <c r="AH3670" s="28"/>
      <c r="AI3670" s="28"/>
      <c r="AJ3670" s="28"/>
      <c r="AK3670" s="28"/>
      <c r="AL3670" s="28"/>
      <c r="AM3670" s="28"/>
      <c r="AN3670" s="28"/>
      <c r="AO3670" s="28"/>
      <c r="AP3670" s="28"/>
      <c r="AQ3670" s="28"/>
      <c r="AR3670" s="28"/>
      <c r="AS3670" s="28"/>
      <c r="AT3670" s="28"/>
    </row>
    <row r="3671">
      <c r="A3671" s="14"/>
      <c r="B3671" s="15"/>
      <c r="C3671" s="16"/>
      <c r="D3671" s="15"/>
      <c r="F3671" s="15"/>
      <c r="G3671" s="26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8"/>
      <c r="AH3671" s="28"/>
      <c r="AI3671" s="28"/>
      <c r="AJ3671" s="28"/>
      <c r="AK3671" s="28"/>
      <c r="AL3671" s="28"/>
      <c r="AM3671" s="28"/>
      <c r="AN3671" s="28"/>
      <c r="AO3671" s="28"/>
      <c r="AP3671" s="28"/>
      <c r="AQ3671" s="28"/>
      <c r="AR3671" s="28"/>
      <c r="AS3671" s="28"/>
      <c r="AT3671" s="28"/>
    </row>
    <row r="3672">
      <c r="A3672" s="14"/>
      <c r="B3672" s="15"/>
      <c r="C3672" s="16"/>
      <c r="D3672" s="15"/>
      <c r="F3672" s="15"/>
      <c r="G3672" s="26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8"/>
      <c r="AH3672" s="28"/>
      <c r="AI3672" s="28"/>
      <c r="AJ3672" s="28"/>
      <c r="AK3672" s="28"/>
      <c r="AL3672" s="28"/>
      <c r="AM3672" s="28"/>
      <c r="AN3672" s="28"/>
      <c r="AO3672" s="28"/>
      <c r="AP3672" s="28"/>
      <c r="AQ3672" s="28"/>
      <c r="AR3672" s="28"/>
      <c r="AS3672" s="28"/>
      <c r="AT3672" s="28"/>
    </row>
    <row r="3673">
      <c r="A3673" s="14"/>
      <c r="B3673" s="15"/>
      <c r="C3673" s="16"/>
      <c r="D3673" s="15"/>
      <c r="F3673" s="15"/>
      <c r="G3673" s="26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28"/>
      <c r="AR3673" s="28"/>
      <c r="AS3673" s="28"/>
      <c r="AT3673" s="28"/>
    </row>
    <row r="3674">
      <c r="A3674" s="14"/>
      <c r="B3674" s="15"/>
      <c r="C3674" s="16"/>
      <c r="D3674" s="15"/>
      <c r="F3674" s="15"/>
      <c r="G3674" s="26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28"/>
      <c r="AS3674" s="28"/>
      <c r="AT3674" s="28"/>
    </row>
    <row r="3675">
      <c r="A3675" s="14"/>
      <c r="B3675" s="15"/>
      <c r="C3675" s="16"/>
      <c r="D3675" s="15"/>
      <c r="F3675" s="15"/>
      <c r="G3675" s="26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28"/>
      <c r="AS3675" s="28"/>
      <c r="AT3675" s="28"/>
    </row>
    <row r="3676">
      <c r="A3676" s="14"/>
      <c r="B3676" s="15"/>
      <c r="C3676" s="16"/>
      <c r="D3676" s="15"/>
      <c r="F3676" s="15"/>
      <c r="G3676" s="26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28"/>
      <c r="AS3676" s="28"/>
      <c r="AT3676" s="28"/>
    </row>
    <row r="3677">
      <c r="A3677" s="14"/>
      <c r="B3677" s="15"/>
      <c r="C3677" s="16"/>
      <c r="D3677" s="15"/>
      <c r="F3677" s="15"/>
      <c r="G3677" s="26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28"/>
      <c r="AS3677" s="28"/>
      <c r="AT3677" s="28"/>
    </row>
    <row r="3678">
      <c r="A3678" s="14"/>
      <c r="B3678" s="15"/>
      <c r="C3678" s="16"/>
      <c r="D3678" s="15"/>
      <c r="F3678" s="15"/>
      <c r="G3678" s="26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28"/>
      <c r="AS3678" s="28"/>
      <c r="AT3678" s="28"/>
    </row>
    <row r="3679">
      <c r="A3679" s="14"/>
      <c r="B3679" s="15"/>
      <c r="C3679" s="16"/>
      <c r="D3679" s="15"/>
      <c r="F3679" s="15"/>
      <c r="G3679" s="26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28"/>
      <c r="AS3679" s="28"/>
      <c r="AT3679" s="28"/>
    </row>
    <row r="3680">
      <c r="A3680" s="14"/>
      <c r="B3680" s="15"/>
      <c r="C3680" s="16"/>
      <c r="D3680" s="15"/>
      <c r="F3680" s="15"/>
      <c r="G3680" s="26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28"/>
      <c r="AS3680" s="28"/>
      <c r="AT3680" s="28"/>
    </row>
    <row r="3681">
      <c r="A3681" s="14"/>
      <c r="B3681" s="15"/>
      <c r="C3681" s="16"/>
      <c r="D3681" s="15"/>
      <c r="F3681" s="15"/>
      <c r="G3681" s="26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28"/>
      <c r="AS3681" s="28"/>
      <c r="AT3681" s="28"/>
    </row>
    <row r="3682">
      <c r="A3682" s="14"/>
      <c r="B3682" s="15"/>
      <c r="C3682" s="16"/>
      <c r="D3682" s="15"/>
      <c r="F3682" s="15"/>
      <c r="G3682" s="26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28"/>
      <c r="AS3682" s="28"/>
      <c r="AT3682" s="28"/>
    </row>
    <row r="3683">
      <c r="A3683" s="14"/>
      <c r="B3683" s="15"/>
      <c r="C3683" s="16"/>
      <c r="D3683" s="15"/>
      <c r="F3683" s="15"/>
      <c r="G3683" s="26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28"/>
      <c r="AS3683" s="28"/>
      <c r="AT3683" s="28"/>
    </row>
    <row r="3684">
      <c r="A3684" s="14"/>
      <c r="B3684" s="15"/>
      <c r="C3684" s="16"/>
      <c r="D3684" s="15"/>
      <c r="F3684" s="15"/>
      <c r="G3684" s="26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28"/>
      <c r="AS3684" s="28"/>
      <c r="AT3684" s="28"/>
    </row>
    <row r="3685">
      <c r="A3685" s="14"/>
      <c r="B3685" s="15"/>
      <c r="C3685" s="16"/>
      <c r="D3685" s="15"/>
      <c r="F3685" s="15"/>
      <c r="G3685" s="26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28"/>
      <c r="AS3685" s="28"/>
      <c r="AT3685" s="28"/>
    </row>
    <row r="3686">
      <c r="A3686" s="14"/>
      <c r="B3686" s="15"/>
      <c r="C3686" s="16"/>
      <c r="D3686" s="15"/>
      <c r="F3686" s="15"/>
      <c r="G3686" s="26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28"/>
      <c r="AS3686" s="28"/>
      <c r="AT3686" s="28"/>
    </row>
    <row r="3687">
      <c r="A3687" s="14"/>
      <c r="B3687" s="15"/>
      <c r="C3687" s="16"/>
      <c r="D3687" s="15"/>
      <c r="F3687" s="15"/>
      <c r="G3687" s="26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28"/>
      <c r="AS3687" s="28"/>
      <c r="AT3687" s="28"/>
    </row>
    <row r="3688">
      <c r="A3688" s="14"/>
      <c r="B3688" s="15"/>
      <c r="C3688" s="16"/>
      <c r="D3688" s="15"/>
      <c r="F3688" s="15"/>
      <c r="G3688" s="26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28"/>
      <c r="AS3688" s="28"/>
      <c r="AT3688" s="28"/>
    </row>
    <row r="3689">
      <c r="A3689" s="14"/>
      <c r="B3689" s="15"/>
      <c r="C3689" s="16"/>
      <c r="D3689" s="15"/>
      <c r="F3689" s="15"/>
      <c r="G3689" s="26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28"/>
      <c r="AS3689" s="28"/>
      <c r="AT3689" s="28"/>
    </row>
    <row r="3690">
      <c r="A3690" s="14"/>
      <c r="B3690" s="15"/>
      <c r="C3690" s="16"/>
      <c r="D3690" s="15"/>
      <c r="F3690" s="15"/>
      <c r="G3690" s="26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28"/>
      <c r="AS3690" s="28"/>
      <c r="AT3690" s="28"/>
    </row>
    <row r="3691">
      <c r="A3691" s="14"/>
      <c r="B3691" s="15"/>
      <c r="C3691" s="16"/>
      <c r="D3691" s="15"/>
      <c r="F3691" s="15"/>
      <c r="G3691" s="26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28"/>
      <c r="AS3691" s="28"/>
      <c r="AT3691" s="28"/>
    </row>
    <row r="3692">
      <c r="A3692" s="14"/>
      <c r="B3692" s="15"/>
      <c r="C3692" s="16"/>
      <c r="D3692" s="15"/>
      <c r="F3692" s="15"/>
      <c r="G3692" s="26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28"/>
      <c r="AS3692" s="28"/>
      <c r="AT3692" s="28"/>
    </row>
    <row r="3693">
      <c r="A3693" s="14"/>
      <c r="B3693" s="15"/>
      <c r="C3693" s="16"/>
      <c r="D3693" s="15"/>
      <c r="F3693" s="15"/>
      <c r="G3693" s="26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28"/>
      <c r="AS3693" s="28"/>
      <c r="AT3693" s="28"/>
    </row>
    <row r="3694">
      <c r="A3694" s="14"/>
      <c r="B3694" s="15"/>
      <c r="C3694" s="16"/>
      <c r="D3694" s="15"/>
      <c r="F3694" s="15"/>
      <c r="G3694" s="26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28"/>
      <c r="AS3694" s="28"/>
      <c r="AT3694" s="28"/>
    </row>
    <row r="3695">
      <c r="A3695" s="14"/>
      <c r="B3695" s="15"/>
      <c r="C3695" s="16"/>
      <c r="D3695" s="15"/>
      <c r="F3695" s="15"/>
      <c r="G3695" s="26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8"/>
      <c r="AH3695" s="28"/>
      <c r="AI3695" s="28"/>
      <c r="AJ3695" s="28"/>
      <c r="AK3695" s="28"/>
      <c r="AL3695" s="28"/>
      <c r="AM3695" s="28"/>
      <c r="AN3695" s="28"/>
      <c r="AO3695" s="28"/>
      <c r="AP3695" s="28"/>
      <c r="AQ3695" s="28"/>
      <c r="AR3695" s="28"/>
      <c r="AS3695" s="28"/>
      <c r="AT3695" s="28"/>
    </row>
    <row r="3696">
      <c r="A3696" s="14"/>
      <c r="B3696" s="15"/>
      <c r="C3696" s="16"/>
      <c r="D3696" s="15"/>
      <c r="F3696" s="15"/>
      <c r="G3696" s="26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8"/>
      <c r="AH3696" s="28"/>
      <c r="AI3696" s="28"/>
      <c r="AJ3696" s="28"/>
      <c r="AK3696" s="28"/>
      <c r="AL3696" s="28"/>
      <c r="AM3696" s="28"/>
      <c r="AN3696" s="28"/>
      <c r="AO3696" s="28"/>
      <c r="AP3696" s="28"/>
      <c r="AQ3696" s="28"/>
      <c r="AR3696" s="28"/>
      <c r="AS3696" s="28"/>
      <c r="AT3696" s="28"/>
    </row>
    <row r="3697">
      <c r="A3697" s="14"/>
      <c r="B3697" s="15"/>
      <c r="C3697" s="16"/>
      <c r="D3697" s="15"/>
      <c r="F3697" s="15"/>
      <c r="G3697" s="26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8"/>
      <c r="AH3697" s="28"/>
      <c r="AI3697" s="28"/>
      <c r="AJ3697" s="28"/>
      <c r="AK3697" s="28"/>
      <c r="AL3697" s="28"/>
      <c r="AM3697" s="28"/>
      <c r="AN3697" s="28"/>
      <c r="AO3697" s="28"/>
      <c r="AP3697" s="28"/>
      <c r="AQ3697" s="28"/>
      <c r="AR3697" s="28"/>
      <c r="AS3697" s="28"/>
      <c r="AT3697" s="28"/>
    </row>
    <row r="3698">
      <c r="A3698" s="14"/>
      <c r="B3698" s="15"/>
      <c r="C3698" s="16"/>
      <c r="D3698" s="15"/>
      <c r="F3698" s="15"/>
      <c r="G3698" s="26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8"/>
      <c r="AH3698" s="28"/>
      <c r="AI3698" s="28"/>
      <c r="AJ3698" s="28"/>
      <c r="AK3698" s="28"/>
      <c r="AL3698" s="28"/>
      <c r="AM3698" s="28"/>
      <c r="AN3698" s="28"/>
      <c r="AO3698" s="28"/>
      <c r="AP3698" s="28"/>
      <c r="AQ3698" s="28"/>
      <c r="AR3698" s="28"/>
      <c r="AS3698" s="28"/>
      <c r="AT3698" s="28"/>
    </row>
    <row r="3699">
      <c r="A3699" s="14"/>
      <c r="B3699" s="15"/>
      <c r="C3699" s="16"/>
      <c r="D3699" s="15"/>
      <c r="F3699" s="15"/>
      <c r="G3699" s="26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8"/>
      <c r="AH3699" s="28"/>
      <c r="AI3699" s="28"/>
      <c r="AJ3699" s="28"/>
      <c r="AK3699" s="28"/>
      <c r="AL3699" s="28"/>
      <c r="AM3699" s="28"/>
      <c r="AN3699" s="28"/>
      <c r="AO3699" s="28"/>
      <c r="AP3699" s="28"/>
      <c r="AQ3699" s="28"/>
      <c r="AR3699" s="28"/>
      <c r="AS3699" s="28"/>
      <c r="AT3699" s="28"/>
    </row>
    <row r="3700">
      <c r="A3700" s="14"/>
      <c r="B3700" s="15"/>
      <c r="C3700" s="16"/>
      <c r="D3700" s="15"/>
      <c r="F3700" s="15"/>
      <c r="G3700" s="26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8"/>
      <c r="AH3700" s="28"/>
      <c r="AI3700" s="28"/>
      <c r="AJ3700" s="28"/>
      <c r="AK3700" s="28"/>
      <c r="AL3700" s="28"/>
      <c r="AM3700" s="28"/>
      <c r="AN3700" s="28"/>
      <c r="AO3700" s="28"/>
      <c r="AP3700" s="28"/>
      <c r="AQ3700" s="28"/>
      <c r="AR3700" s="28"/>
      <c r="AS3700" s="28"/>
      <c r="AT3700" s="28"/>
    </row>
    <row r="3701">
      <c r="A3701" s="14"/>
      <c r="B3701" s="15"/>
      <c r="C3701" s="16"/>
      <c r="D3701" s="15"/>
      <c r="F3701" s="15"/>
      <c r="G3701" s="26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  <c r="AP3701" s="28"/>
      <c r="AQ3701" s="28"/>
      <c r="AR3701" s="28"/>
      <c r="AS3701" s="28"/>
      <c r="AT3701" s="28"/>
    </row>
    <row r="3702">
      <c r="A3702" s="14"/>
      <c r="B3702" s="15"/>
      <c r="C3702" s="16"/>
      <c r="D3702" s="15"/>
      <c r="F3702" s="15"/>
      <c r="G3702" s="26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8"/>
      <c r="AH3702" s="28"/>
      <c r="AI3702" s="28"/>
      <c r="AJ3702" s="28"/>
      <c r="AK3702" s="28"/>
      <c r="AL3702" s="28"/>
      <c r="AM3702" s="28"/>
      <c r="AN3702" s="28"/>
      <c r="AO3702" s="28"/>
      <c r="AP3702" s="28"/>
      <c r="AQ3702" s="28"/>
      <c r="AR3702" s="28"/>
      <c r="AS3702" s="28"/>
      <c r="AT3702" s="28"/>
    </row>
    <row r="3703">
      <c r="A3703" s="14"/>
      <c r="B3703" s="15"/>
      <c r="C3703" s="16"/>
      <c r="D3703" s="15"/>
      <c r="F3703" s="15"/>
      <c r="G3703" s="26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8"/>
      <c r="AH3703" s="28"/>
      <c r="AI3703" s="28"/>
      <c r="AJ3703" s="28"/>
      <c r="AK3703" s="28"/>
      <c r="AL3703" s="28"/>
      <c r="AM3703" s="28"/>
      <c r="AN3703" s="28"/>
      <c r="AO3703" s="28"/>
      <c r="AP3703" s="28"/>
      <c r="AQ3703" s="28"/>
      <c r="AR3703" s="28"/>
      <c r="AS3703" s="28"/>
      <c r="AT3703" s="28"/>
    </row>
    <row r="3704">
      <c r="A3704" s="14"/>
      <c r="B3704" s="15"/>
      <c r="C3704" s="16"/>
      <c r="D3704" s="15"/>
      <c r="F3704" s="15"/>
      <c r="G3704" s="26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8"/>
      <c r="AH3704" s="28"/>
      <c r="AI3704" s="28"/>
      <c r="AJ3704" s="28"/>
      <c r="AK3704" s="28"/>
      <c r="AL3704" s="28"/>
      <c r="AM3704" s="28"/>
      <c r="AN3704" s="28"/>
      <c r="AO3704" s="28"/>
      <c r="AP3704" s="28"/>
      <c r="AQ3704" s="28"/>
      <c r="AR3704" s="28"/>
      <c r="AS3704" s="28"/>
      <c r="AT3704" s="28"/>
    </row>
    <row r="3705">
      <c r="A3705" s="14"/>
      <c r="B3705" s="15"/>
      <c r="C3705" s="16"/>
      <c r="D3705" s="15"/>
      <c r="F3705" s="15"/>
      <c r="G3705" s="26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8"/>
      <c r="AH3705" s="28"/>
      <c r="AI3705" s="28"/>
      <c r="AJ3705" s="28"/>
      <c r="AK3705" s="28"/>
      <c r="AL3705" s="28"/>
      <c r="AM3705" s="28"/>
      <c r="AN3705" s="28"/>
      <c r="AO3705" s="28"/>
      <c r="AP3705" s="28"/>
      <c r="AQ3705" s="28"/>
      <c r="AR3705" s="28"/>
      <c r="AS3705" s="28"/>
      <c r="AT3705" s="28"/>
    </row>
    <row r="3706">
      <c r="A3706" s="14"/>
      <c r="B3706" s="15"/>
      <c r="C3706" s="16"/>
      <c r="D3706" s="15"/>
      <c r="F3706" s="15"/>
      <c r="G3706" s="26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8"/>
      <c r="AH3706" s="28"/>
      <c r="AI3706" s="28"/>
      <c r="AJ3706" s="28"/>
      <c r="AK3706" s="28"/>
      <c r="AL3706" s="28"/>
      <c r="AM3706" s="28"/>
      <c r="AN3706" s="28"/>
      <c r="AO3706" s="28"/>
      <c r="AP3706" s="28"/>
      <c r="AQ3706" s="28"/>
      <c r="AR3706" s="28"/>
      <c r="AS3706" s="28"/>
      <c r="AT3706" s="28"/>
    </row>
    <row r="3707">
      <c r="A3707" s="14"/>
      <c r="B3707" s="15"/>
      <c r="C3707" s="16"/>
      <c r="D3707" s="15"/>
      <c r="F3707" s="15"/>
      <c r="G3707" s="26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8"/>
      <c r="AH3707" s="28"/>
      <c r="AI3707" s="28"/>
      <c r="AJ3707" s="28"/>
      <c r="AK3707" s="28"/>
      <c r="AL3707" s="28"/>
      <c r="AM3707" s="28"/>
      <c r="AN3707" s="28"/>
      <c r="AO3707" s="28"/>
      <c r="AP3707" s="28"/>
      <c r="AQ3707" s="28"/>
      <c r="AR3707" s="28"/>
      <c r="AS3707" s="28"/>
      <c r="AT3707" s="28"/>
    </row>
    <row r="3708">
      <c r="A3708" s="14"/>
      <c r="B3708" s="15"/>
      <c r="C3708" s="16"/>
      <c r="D3708" s="15"/>
      <c r="F3708" s="15"/>
      <c r="G3708" s="26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28"/>
      <c r="AR3708" s="28"/>
      <c r="AS3708" s="28"/>
      <c r="AT3708" s="28"/>
    </row>
    <row r="3709">
      <c r="A3709" s="14"/>
      <c r="B3709" s="15"/>
      <c r="C3709" s="16"/>
      <c r="D3709" s="15"/>
      <c r="F3709" s="15"/>
      <c r="G3709" s="26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28"/>
      <c r="AS3709" s="28"/>
      <c r="AT3709" s="28"/>
    </row>
    <row r="3710">
      <c r="A3710" s="14"/>
      <c r="B3710" s="15"/>
      <c r="C3710" s="16"/>
      <c r="D3710" s="15"/>
      <c r="F3710" s="15"/>
      <c r="G3710" s="26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8"/>
      <c r="AH3710" s="28"/>
      <c r="AI3710" s="28"/>
      <c r="AJ3710" s="28"/>
      <c r="AK3710" s="28"/>
      <c r="AL3710" s="28"/>
      <c r="AM3710" s="28"/>
      <c r="AN3710" s="28"/>
      <c r="AO3710" s="28"/>
      <c r="AP3710" s="28"/>
      <c r="AQ3710" s="28"/>
      <c r="AR3710" s="28"/>
      <c r="AS3710" s="28"/>
      <c r="AT3710" s="28"/>
    </row>
    <row r="3711">
      <c r="A3711" s="14"/>
      <c r="B3711" s="15"/>
      <c r="C3711" s="16"/>
      <c r="D3711" s="15"/>
      <c r="F3711" s="15"/>
      <c r="G3711" s="26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8"/>
      <c r="AM3711" s="28"/>
      <c r="AN3711" s="28"/>
      <c r="AO3711" s="28"/>
      <c r="AP3711" s="28"/>
      <c r="AQ3711" s="28"/>
      <c r="AR3711" s="28"/>
      <c r="AS3711" s="28"/>
      <c r="AT3711" s="28"/>
    </row>
    <row r="3712">
      <c r="A3712" s="14"/>
      <c r="B3712" s="15"/>
      <c r="C3712" s="16"/>
      <c r="D3712" s="15"/>
      <c r="F3712" s="15"/>
      <c r="G3712" s="26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8"/>
      <c r="AH3712" s="28"/>
      <c r="AI3712" s="28"/>
      <c r="AJ3712" s="28"/>
      <c r="AK3712" s="28"/>
      <c r="AL3712" s="28"/>
      <c r="AM3712" s="28"/>
      <c r="AN3712" s="28"/>
      <c r="AO3712" s="28"/>
      <c r="AP3712" s="28"/>
      <c r="AQ3712" s="28"/>
      <c r="AR3712" s="28"/>
      <c r="AS3712" s="28"/>
      <c r="AT3712" s="28"/>
    </row>
    <row r="3713">
      <c r="A3713" s="14"/>
      <c r="B3713" s="15"/>
      <c r="C3713" s="16"/>
      <c r="D3713" s="15"/>
      <c r="F3713" s="15"/>
      <c r="G3713" s="26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8"/>
      <c r="AH3713" s="28"/>
      <c r="AI3713" s="28"/>
      <c r="AJ3713" s="28"/>
      <c r="AK3713" s="28"/>
      <c r="AL3713" s="28"/>
      <c r="AM3713" s="28"/>
      <c r="AN3713" s="28"/>
      <c r="AO3713" s="28"/>
      <c r="AP3713" s="28"/>
      <c r="AQ3713" s="28"/>
      <c r="AR3713" s="28"/>
      <c r="AS3713" s="28"/>
      <c r="AT3713" s="28"/>
    </row>
    <row r="3714">
      <c r="A3714" s="14"/>
      <c r="B3714" s="15"/>
      <c r="C3714" s="16"/>
      <c r="D3714" s="15"/>
      <c r="F3714" s="15"/>
      <c r="G3714" s="26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8"/>
      <c r="AH3714" s="28"/>
      <c r="AI3714" s="28"/>
      <c r="AJ3714" s="28"/>
      <c r="AK3714" s="28"/>
      <c r="AL3714" s="28"/>
      <c r="AM3714" s="28"/>
      <c r="AN3714" s="28"/>
      <c r="AO3714" s="28"/>
      <c r="AP3714" s="28"/>
      <c r="AQ3714" s="28"/>
      <c r="AR3714" s="28"/>
      <c r="AS3714" s="28"/>
      <c r="AT3714" s="28"/>
    </row>
    <row r="3715">
      <c r="A3715" s="14"/>
      <c r="B3715" s="15"/>
      <c r="C3715" s="16"/>
      <c r="D3715" s="15"/>
      <c r="F3715" s="15"/>
      <c r="G3715" s="26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8"/>
      <c r="AH3715" s="28"/>
      <c r="AI3715" s="28"/>
      <c r="AJ3715" s="28"/>
      <c r="AK3715" s="28"/>
      <c r="AL3715" s="28"/>
      <c r="AM3715" s="28"/>
      <c r="AN3715" s="28"/>
      <c r="AO3715" s="28"/>
      <c r="AP3715" s="28"/>
      <c r="AQ3715" s="28"/>
      <c r="AR3715" s="28"/>
      <c r="AS3715" s="28"/>
      <c r="AT3715" s="28"/>
    </row>
    <row r="3716">
      <c r="A3716" s="14"/>
      <c r="B3716" s="15"/>
      <c r="C3716" s="16"/>
      <c r="D3716" s="15"/>
      <c r="F3716" s="15"/>
      <c r="G3716" s="26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8"/>
      <c r="AH3716" s="28"/>
      <c r="AI3716" s="28"/>
      <c r="AJ3716" s="28"/>
      <c r="AK3716" s="28"/>
      <c r="AL3716" s="28"/>
      <c r="AM3716" s="28"/>
      <c r="AN3716" s="28"/>
      <c r="AO3716" s="28"/>
      <c r="AP3716" s="28"/>
      <c r="AQ3716" s="28"/>
      <c r="AR3716" s="28"/>
      <c r="AS3716" s="28"/>
      <c r="AT3716" s="28"/>
    </row>
    <row r="3717">
      <c r="A3717" s="14"/>
      <c r="B3717" s="15"/>
      <c r="C3717" s="16"/>
      <c r="D3717" s="15"/>
      <c r="F3717" s="15"/>
      <c r="G3717" s="26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8"/>
      <c r="AH3717" s="28"/>
      <c r="AI3717" s="28"/>
      <c r="AJ3717" s="28"/>
      <c r="AK3717" s="28"/>
      <c r="AL3717" s="28"/>
      <c r="AM3717" s="28"/>
      <c r="AN3717" s="28"/>
      <c r="AO3717" s="28"/>
      <c r="AP3717" s="28"/>
      <c r="AQ3717" s="28"/>
      <c r="AR3717" s="28"/>
      <c r="AS3717" s="28"/>
      <c r="AT3717" s="28"/>
    </row>
    <row r="3718">
      <c r="A3718" s="14"/>
      <c r="B3718" s="15"/>
      <c r="C3718" s="16"/>
      <c r="D3718" s="15"/>
      <c r="F3718" s="15"/>
      <c r="G3718" s="26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8"/>
      <c r="AH3718" s="28"/>
      <c r="AI3718" s="28"/>
      <c r="AJ3718" s="28"/>
      <c r="AK3718" s="28"/>
      <c r="AL3718" s="28"/>
      <c r="AM3718" s="28"/>
      <c r="AN3718" s="28"/>
      <c r="AO3718" s="28"/>
      <c r="AP3718" s="28"/>
      <c r="AQ3718" s="28"/>
      <c r="AR3718" s="28"/>
      <c r="AS3718" s="28"/>
      <c r="AT3718" s="28"/>
    </row>
    <row r="3719">
      <c r="A3719" s="14"/>
      <c r="B3719" s="15"/>
      <c r="C3719" s="16"/>
      <c r="D3719" s="15"/>
      <c r="F3719" s="15"/>
      <c r="G3719" s="26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8"/>
      <c r="AH3719" s="28"/>
      <c r="AI3719" s="28"/>
      <c r="AJ3719" s="28"/>
      <c r="AK3719" s="28"/>
      <c r="AL3719" s="28"/>
      <c r="AM3719" s="28"/>
      <c r="AN3719" s="28"/>
      <c r="AO3719" s="28"/>
      <c r="AP3719" s="28"/>
      <c r="AQ3719" s="28"/>
      <c r="AR3719" s="28"/>
      <c r="AS3719" s="28"/>
      <c r="AT3719" s="28"/>
    </row>
    <row r="3720">
      <c r="A3720" s="14"/>
      <c r="B3720" s="15"/>
      <c r="C3720" s="16"/>
      <c r="D3720" s="15"/>
      <c r="F3720" s="15"/>
      <c r="G3720" s="26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28"/>
      <c r="AR3720" s="28"/>
      <c r="AS3720" s="28"/>
      <c r="AT3720" s="28"/>
    </row>
    <row r="3721">
      <c r="A3721" s="14"/>
      <c r="B3721" s="15"/>
      <c r="C3721" s="16"/>
      <c r="D3721" s="15"/>
      <c r="F3721" s="15"/>
      <c r="G3721" s="26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8"/>
      <c r="AH3721" s="28"/>
      <c r="AI3721" s="28"/>
      <c r="AJ3721" s="28"/>
      <c r="AK3721" s="28"/>
      <c r="AL3721" s="28"/>
      <c r="AM3721" s="28"/>
      <c r="AN3721" s="28"/>
      <c r="AO3721" s="28"/>
      <c r="AP3721" s="28"/>
      <c r="AQ3721" s="28"/>
      <c r="AR3721" s="28"/>
      <c r="AS3721" s="28"/>
      <c r="AT3721" s="28"/>
    </row>
    <row r="3722">
      <c r="A3722" s="14"/>
      <c r="B3722" s="15"/>
      <c r="C3722" s="16"/>
      <c r="D3722" s="15"/>
      <c r="F3722" s="15"/>
      <c r="G3722" s="26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8"/>
      <c r="AH3722" s="28"/>
      <c r="AI3722" s="28"/>
      <c r="AJ3722" s="28"/>
      <c r="AK3722" s="28"/>
      <c r="AL3722" s="28"/>
      <c r="AM3722" s="28"/>
      <c r="AN3722" s="28"/>
      <c r="AO3722" s="28"/>
      <c r="AP3722" s="28"/>
      <c r="AQ3722" s="28"/>
      <c r="AR3722" s="28"/>
      <c r="AS3722" s="28"/>
      <c r="AT3722" s="28"/>
    </row>
    <row r="3723">
      <c r="A3723" s="14"/>
      <c r="B3723" s="15"/>
      <c r="C3723" s="16"/>
      <c r="D3723" s="15"/>
      <c r="F3723" s="15"/>
      <c r="G3723" s="26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28"/>
      <c r="AR3723" s="28"/>
      <c r="AS3723" s="28"/>
      <c r="AT3723" s="28"/>
    </row>
    <row r="3724">
      <c r="A3724" s="14"/>
      <c r="B3724" s="15"/>
      <c r="C3724" s="16"/>
      <c r="D3724" s="15"/>
      <c r="F3724" s="15"/>
      <c r="G3724" s="26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28"/>
      <c r="AS3724" s="28"/>
      <c r="AT3724" s="28"/>
    </row>
    <row r="3725">
      <c r="A3725" s="14"/>
      <c r="B3725" s="15"/>
      <c r="C3725" s="16"/>
      <c r="D3725" s="15"/>
      <c r="F3725" s="15"/>
      <c r="G3725" s="26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28"/>
      <c r="AS3725" s="28"/>
      <c r="AT3725" s="28"/>
    </row>
    <row r="3726">
      <c r="A3726" s="14"/>
      <c r="B3726" s="15"/>
      <c r="C3726" s="16"/>
      <c r="D3726" s="15"/>
      <c r="F3726" s="15"/>
      <c r="G3726" s="26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O3726" s="28"/>
      <c r="AP3726" s="28"/>
      <c r="AQ3726" s="28"/>
      <c r="AR3726" s="28"/>
      <c r="AS3726" s="28"/>
      <c r="AT3726" s="28"/>
    </row>
    <row r="3727">
      <c r="A3727" s="14"/>
      <c r="B3727" s="15"/>
      <c r="C3727" s="16"/>
      <c r="D3727" s="15"/>
      <c r="F3727" s="15"/>
      <c r="G3727" s="26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28"/>
      <c r="AR3727" s="28"/>
      <c r="AS3727" s="28"/>
      <c r="AT3727" s="28"/>
    </row>
    <row r="3728">
      <c r="A3728" s="14"/>
      <c r="B3728" s="15"/>
      <c r="C3728" s="16"/>
      <c r="D3728" s="15"/>
      <c r="F3728" s="15"/>
      <c r="G3728" s="26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R3728" s="28"/>
      <c r="AS3728" s="28"/>
      <c r="AT3728" s="28"/>
    </row>
    <row r="3729">
      <c r="A3729" s="14"/>
      <c r="B3729" s="15"/>
      <c r="C3729" s="16"/>
      <c r="D3729" s="15"/>
      <c r="F3729" s="15"/>
      <c r="G3729" s="26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28"/>
      <c r="AS3729" s="28"/>
      <c r="AT3729" s="28"/>
    </row>
    <row r="3730">
      <c r="A3730" s="14"/>
      <c r="B3730" s="15"/>
      <c r="C3730" s="16"/>
      <c r="D3730" s="15"/>
      <c r="F3730" s="15"/>
      <c r="G3730" s="26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28"/>
      <c r="AS3730" s="28"/>
      <c r="AT3730" s="28"/>
    </row>
    <row r="3731">
      <c r="A3731" s="14"/>
      <c r="B3731" s="15"/>
      <c r="C3731" s="16"/>
      <c r="D3731" s="15"/>
      <c r="F3731" s="15"/>
      <c r="G3731" s="26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28"/>
      <c r="AS3731" s="28"/>
      <c r="AT3731" s="28"/>
    </row>
    <row r="3732">
      <c r="A3732" s="14"/>
      <c r="B3732" s="15"/>
      <c r="C3732" s="16"/>
      <c r="D3732" s="15"/>
      <c r="F3732" s="15"/>
      <c r="G3732" s="26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28"/>
      <c r="AR3732" s="28"/>
      <c r="AS3732" s="28"/>
      <c r="AT3732" s="28"/>
    </row>
    <row r="3733">
      <c r="A3733" s="14"/>
      <c r="B3733" s="15"/>
      <c r="C3733" s="16"/>
      <c r="D3733" s="15"/>
      <c r="F3733" s="15"/>
      <c r="G3733" s="26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28"/>
      <c r="AS3733" s="28"/>
      <c r="AT3733" s="28"/>
    </row>
    <row r="3734">
      <c r="A3734" s="14"/>
      <c r="B3734" s="15"/>
      <c r="C3734" s="16"/>
      <c r="D3734" s="15"/>
      <c r="F3734" s="15"/>
      <c r="G3734" s="26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28"/>
      <c r="AS3734" s="28"/>
      <c r="AT3734" s="28"/>
    </row>
    <row r="3735">
      <c r="A3735" s="14"/>
      <c r="B3735" s="15"/>
      <c r="C3735" s="16"/>
      <c r="D3735" s="15"/>
      <c r="F3735" s="15"/>
      <c r="G3735" s="26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28"/>
      <c r="AS3735" s="28"/>
      <c r="AT3735" s="28"/>
    </row>
    <row r="3736">
      <c r="A3736" s="14"/>
      <c r="B3736" s="15"/>
      <c r="C3736" s="16"/>
      <c r="D3736" s="15"/>
      <c r="F3736" s="15"/>
      <c r="G3736" s="26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28"/>
      <c r="AS3736" s="28"/>
      <c r="AT3736" s="28"/>
    </row>
    <row r="3737">
      <c r="A3737" s="14"/>
      <c r="B3737" s="15"/>
      <c r="C3737" s="16"/>
      <c r="D3737" s="15"/>
      <c r="F3737" s="15"/>
      <c r="G3737" s="26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28"/>
      <c r="AS3737" s="28"/>
      <c r="AT3737" s="28"/>
    </row>
    <row r="3738">
      <c r="A3738" s="14"/>
      <c r="B3738" s="15"/>
      <c r="C3738" s="16"/>
      <c r="D3738" s="15"/>
      <c r="F3738" s="15"/>
      <c r="G3738" s="26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28"/>
      <c r="AS3738" s="28"/>
      <c r="AT3738" s="28"/>
    </row>
    <row r="3739">
      <c r="A3739" s="14"/>
      <c r="B3739" s="15"/>
      <c r="C3739" s="16"/>
      <c r="D3739" s="15"/>
      <c r="F3739" s="15"/>
      <c r="G3739" s="26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28"/>
      <c r="AS3739" s="28"/>
      <c r="AT3739" s="28"/>
    </row>
    <row r="3740">
      <c r="A3740" s="14"/>
      <c r="B3740" s="15"/>
      <c r="C3740" s="16"/>
      <c r="D3740" s="15"/>
      <c r="F3740" s="15"/>
      <c r="G3740" s="26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28"/>
      <c r="AS3740" s="28"/>
      <c r="AT3740" s="28"/>
    </row>
    <row r="3741">
      <c r="A3741" s="14"/>
      <c r="B3741" s="15"/>
      <c r="C3741" s="16"/>
      <c r="D3741" s="15"/>
      <c r="F3741" s="15"/>
      <c r="G3741" s="26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28"/>
      <c r="AS3741" s="28"/>
      <c r="AT3741" s="28"/>
    </row>
    <row r="3742">
      <c r="A3742" s="14"/>
      <c r="B3742" s="15"/>
      <c r="C3742" s="16"/>
      <c r="D3742" s="15"/>
      <c r="F3742" s="15"/>
      <c r="G3742" s="26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28"/>
      <c r="AS3742" s="28"/>
      <c r="AT3742" s="28"/>
    </row>
    <row r="3743">
      <c r="A3743" s="14"/>
      <c r="B3743" s="15"/>
      <c r="C3743" s="16"/>
      <c r="D3743" s="15"/>
      <c r="F3743" s="15"/>
      <c r="G3743" s="26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28"/>
      <c r="AS3743" s="28"/>
      <c r="AT3743" s="28"/>
    </row>
    <row r="3744">
      <c r="A3744" s="14"/>
      <c r="B3744" s="15"/>
      <c r="C3744" s="16"/>
      <c r="D3744" s="15"/>
      <c r="F3744" s="15"/>
      <c r="G3744" s="26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28"/>
      <c r="AS3744" s="28"/>
      <c r="AT3744" s="28"/>
    </row>
    <row r="3745">
      <c r="A3745" s="14"/>
      <c r="B3745" s="15"/>
      <c r="C3745" s="16"/>
      <c r="D3745" s="15"/>
      <c r="F3745" s="15"/>
      <c r="G3745" s="26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28"/>
      <c r="AS3745" s="28"/>
      <c r="AT3745" s="28"/>
    </row>
    <row r="3746">
      <c r="A3746" s="14"/>
      <c r="B3746" s="15"/>
      <c r="C3746" s="16"/>
      <c r="D3746" s="15"/>
      <c r="F3746" s="15"/>
      <c r="G3746" s="26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28"/>
      <c r="AS3746" s="28"/>
      <c r="AT3746" s="28"/>
    </row>
    <row r="3747">
      <c r="A3747" s="14"/>
      <c r="B3747" s="15"/>
      <c r="C3747" s="16"/>
      <c r="D3747" s="15"/>
      <c r="F3747" s="15"/>
      <c r="G3747" s="26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28"/>
      <c r="AS3747" s="28"/>
      <c r="AT3747" s="28"/>
    </row>
    <row r="3748">
      <c r="A3748" s="14"/>
      <c r="B3748" s="15"/>
      <c r="C3748" s="16"/>
      <c r="D3748" s="15"/>
      <c r="F3748" s="15"/>
      <c r="G3748" s="26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28"/>
      <c r="AS3748" s="28"/>
      <c r="AT3748" s="28"/>
    </row>
    <row r="3749">
      <c r="A3749" s="14"/>
      <c r="B3749" s="15"/>
      <c r="C3749" s="16"/>
      <c r="D3749" s="15"/>
      <c r="F3749" s="15"/>
      <c r="G3749" s="26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28"/>
      <c r="AS3749" s="28"/>
      <c r="AT3749" s="28"/>
    </row>
    <row r="3750">
      <c r="A3750" s="14"/>
      <c r="B3750" s="15"/>
      <c r="C3750" s="16"/>
      <c r="D3750" s="15"/>
      <c r="F3750" s="15"/>
      <c r="G3750" s="26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28"/>
      <c r="AS3750" s="28"/>
      <c r="AT3750" s="28"/>
    </row>
    <row r="3751">
      <c r="A3751" s="14"/>
      <c r="B3751" s="15"/>
      <c r="C3751" s="16"/>
      <c r="D3751" s="15"/>
      <c r="F3751" s="15"/>
      <c r="G3751" s="26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28"/>
      <c r="AS3751" s="28"/>
      <c r="AT3751" s="28"/>
    </row>
    <row r="3752">
      <c r="A3752" s="14"/>
      <c r="B3752" s="15"/>
      <c r="C3752" s="16"/>
      <c r="D3752" s="15"/>
      <c r="F3752" s="15"/>
      <c r="G3752" s="26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28"/>
      <c r="AS3752" s="28"/>
      <c r="AT3752" s="28"/>
    </row>
    <row r="3753">
      <c r="A3753" s="14"/>
      <c r="B3753" s="15"/>
      <c r="C3753" s="16"/>
      <c r="D3753" s="15"/>
      <c r="F3753" s="15"/>
      <c r="G3753" s="26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28"/>
      <c r="AS3753" s="28"/>
      <c r="AT3753" s="28"/>
    </row>
    <row r="3754">
      <c r="A3754" s="14"/>
      <c r="B3754" s="15"/>
      <c r="C3754" s="16"/>
      <c r="D3754" s="15"/>
      <c r="F3754" s="15"/>
      <c r="G3754" s="26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28"/>
      <c r="AS3754" s="28"/>
      <c r="AT3754" s="28"/>
    </row>
    <row r="3755">
      <c r="A3755" s="14"/>
      <c r="B3755" s="15"/>
      <c r="C3755" s="16"/>
      <c r="D3755" s="15"/>
      <c r="F3755" s="15"/>
      <c r="G3755" s="26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28"/>
      <c r="AS3755" s="28"/>
      <c r="AT3755" s="28"/>
    </row>
    <row r="3756">
      <c r="A3756" s="14"/>
      <c r="B3756" s="15"/>
      <c r="C3756" s="16"/>
      <c r="D3756" s="15"/>
      <c r="F3756" s="15"/>
      <c r="G3756" s="26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28"/>
      <c r="AS3756" s="28"/>
      <c r="AT3756" s="28"/>
    </row>
    <row r="3757">
      <c r="A3757" s="14"/>
      <c r="B3757" s="15"/>
      <c r="C3757" s="16"/>
      <c r="D3757" s="15"/>
      <c r="F3757" s="15"/>
      <c r="G3757" s="26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28"/>
      <c r="AS3757" s="28"/>
      <c r="AT3757" s="28"/>
    </row>
    <row r="3758">
      <c r="A3758" s="14"/>
      <c r="B3758" s="15"/>
      <c r="C3758" s="16"/>
      <c r="D3758" s="15"/>
      <c r="F3758" s="15"/>
      <c r="G3758" s="26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28"/>
      <c r="AS3758" s="28"/>
      <c r="AT3758" s="28"/>
    </row>
    <row r="3759">
      <c r="A3759" s="14"/>
      <c r="B3759" s="15"/>
      <c r="C3759" s="16"/>
      <c r="D3759" s="15"/>
      <c r="F3759" s="15"/>
      <c r="G3759" s="26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28"/>
      <c r="AS3759" s="28"/>
      <c r="AT3759" s="28"/>
    </row>
    <row r="3760">
      <c r="A3760" s="14"/>
      <c r="B3760" s="15"/>
      <c r="C3760" s="16"/>
      <c r="D3760" s="15"/>
      <c r="F3760" s="15"/>
      <c r="G3760" s="26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28"/>
      <c r="AS3760" s="28"/>
      <c r="AT3760" s="28"/>
    </row>
    <row r="3761">
      <c r="A3761" s="14"/>
      <c r="B3761" s="15"/>
      <c r="C3761" s="16"/>
      <c r="D3761" s="15"/>
      <c r="F3761" s="15"/>
      <c r="G3761" s="26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28"/>
      <c r="AS3761" s="28"/>
      <c r="AT3761" s="28"/>
    </row>
    <row r="3762">
      <c r="A3762" s="14"/>
      <c r="B3762" s="15"/>
      <c r="C3762" s="16"/>
      <c r="D3762" s="15"/>
      <c r="F3762" s="15"/>
      <c r="G3762" s="26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28"/>
      <c r="AS3762" s="28"/>
      <c r="AT3762" s="28"/>
    </row>
    <row r="3763">
      <c r="A3763" s="14"/>
      <c r="B3763" s="15"/>
      <c r="C3763" s="16"/>
      <c r="D3763" s="15"/>
      <c r="F3763" s="15"/>
      <c r="G3763" s="26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28"/>
      <c r="AS3763" s="28"/>
      <c r="AT3763" s="28"/>
    </row>
    <row r="3764">
      <c r="A3764" s="14"/>
      <c r="B3764" s="15"/>
      <c r="C3764" s="16"/>
      <c r="D3764" s="15"/>
      <c r="F3764" s="15"/>
      <c r="G3764" s="26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28"/>
      <c r="AS3764" s="28"/>
      <c r="AT3764" s="28"/>
    </row>
    <row r="3765">
      <c r="A3765" s="14"/>
      <c r="B3765" s="15"/>
      <c r="C3765" s="16"/>
      <c r="D3765" s="15"/>
      <c r="F3765" s="15"/>
      <c r="G3765" s="26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28"/>
      <c r="AS3765" s="28"/>
      <c r="AT3765" s="28"/>
    </row>
    <row r="3766">
      <c r="A3766" s="14"/>
      <c r="B3766" s="15"/>
      <c r="C3766" s="16"/>
      <c r="D3766" s="15"/>
      <c r="F3766" s="15"/>
      <c r="G3766" s="26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28"/>
      <c r="AS3766" s="28"/>
      <c r="AT3766" s="28"/>
    </row>
    <row r="3767">
      <c r="A3767" s="14"/>
      <c r="B3767" s="15"/>
      <c r="C3767" s="16"/>
      <c r="D3767" s="15"/>
      <c r="F3767" s="15"/>
      <c r="G3767" s="26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28"/>
      <c r="AS3767" s="28"/>
      <c r="AT3767" s="28"/>
    </row>
    <row r="3768">
      <c r="A3768" s="14"/>
      <c r="B3768" s="15"/>
      <c r="C3768" s="16"/>
      <c r="D3768" s="15"/>
      <c r="F3768" s="15"/>
      <c r="G3768" s="26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28"/>
      <c r="AS3768" s="28"/>
      <c r="AT3768" s="28"/>
    </row>
    <row r="3769">
      <c r="A3769" s="14"/>
      <c r="B3769" s="15"/>
      <c r="C3769" s="16"/>
      <c r="D3769" s="15"/>
      <c r="F3769" s="15"/>
      <c r="G3769" s="26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28"/>
      <c r="AS3769" s="28"/>
      <c r="AT3769" s="28"/>
    </row>
    <row r="3770">
      <c r="A3770" s="14"/>
      <c r="B3770" s="15"/>
      <c r="C3770" s="16"/>
      <c r="D3770" s="15"/>
      <c r="F3770" s="15"/>
      <c r="G3770" s="26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28"/>
      <c r="AS3770" s="28"/>
      <c r="AT3770" s="28"/>
    </row>
    <row r="3771">
      <c r="A3771" s="14"/>
      <c r="B3771" s="15"/>
      <c r="C3771" s="16"/>
      <c r="D3771" s="15"/>
      <c r="F3771" s="15"/>
      <c r="G3771" s="26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28"/>
      <c r="AS3771" s="28"/>
      <c r="AT3771" s="28"/>
    </row>
    <row r="3772">
      <c r="A3772" s="14"/>
      <c r="B3772" s="15"/>
      <c r="C3772" s="16"/>
      <c r="D3772" s="15"/>
      <c r="F3772" s="15"/>
      <c r="G3772" s="26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28"/>
      <c r="AS3772" s="28"/>
      <c r="AT3772" s="28"/>
    </row>
    <row r="3773">
      <c r="A3773" s="14"/>
      <c r="B3773" s="15"/>
      <c r="C3773" s="16"/>
      <c r="D3773" s="15"/>
      <c r="F3773" s="15"/>
      <c r="G3773" s="26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28"/>
      <c r="AS3773" s="28"/>
      <c r="AT3773" s="28"/>
    </row>
    <row r="3774">
      <c r="A3774" s="14"/>
      <c r="B3774" s="15"/>
      <c r="C3774" s="16"/>
      <c r="D3774" s="15"/>
      <c r="F3774" s="15"/>
      <c r="G3774" s="26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28"/>
      <c r="AS3774" s="28"/>
      <c r="AT3774" s="28"/>
    </row>
    <row r="3775">
      <c r="A3775" s="14"/>
      <c r="B3775" s="15"/>
      <c r="C3775" s="16"/>
      <c r="D3775" s="15"/>
      <c r="F3775" s="15"/>
      <c r="G3775" s="26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28"/>
      <c r="AS3775" s="28"/>
      <c r="AT3775" s="28"/>
    </row>
    <row r="3776">
      <c r="A3776" s="14"/>
      <c r="B3776" s="15"/>
      <c r="C3776" s="16"/>
      <c r="D3776" s="15"/>
      <c r="F3776" s="15"/>
      <c r="G3776" s="26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28"/>
      <c r="AS3776" s="28"/>
      <c r="AT3776" s="28"/>
    </row>
    <row r="3777">
      <c r="A3777" s="14"/>
      <c r="B3777" s="15"/>
      <c r="C3777" s="16"/>
      <c r="D3777" s="15"/>
      <c r="F3777" s="15"/>
      <c r="G3777" s="26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28"/>
      <c r="AS3777" s="28"/>
      <c r="AT3777" s="28"/>
    </row>
    <row r="3778">
      <c r="A3778" s="14"/>
      <c r="B3778" s="15"/>
      <c r="C3778" s="16"/>
      <c r="D3778" s="15"/>
      <c r="F3778" s="15"/>
      <c r="G3778" s="26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28"/>
      <c r="AS3778" s="28"/>
      <c r="AT3778" s="28"/>
    </row>
    <row r="3779">
      <c r="A3779" s="14"/>
      <c r="B3779" s="15"/>
      <c r="C3779" s="16"/>
      <c r="D3779" s="15"/>
      <c r="F3779" s="15"/>
      <c r="G3779" s="26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28"/>
      <c r="AS3779" s="28"/>
      <c r="AT3779" s="28"/>
    </row>
    <row r="3780">
      <c r="A3780" s="14"/>
      <c r="B3780" s="15"/>
      <c r="C3780" s="16"/>
      <c r="D3780" s="15"/>
      <c r="F3780" s="15"/>
      <c r="G3780" s="26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28"/>
      <c r="AS3780" s="28"/>
      <c r="AT3780" s="28"/>
    </row>
    <row r="3781">
      <c r="A3781" s="14"/>
      <c r="B3781" s="15"/>
      <c r="C3781" s="16"/>
      <c r="D3781" s="15"/>
      <c r="F3781" s="15"/>
      <c r="G3781" s="26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28"/>
      <c r="AS3781" s="28"/>
      <c r="AT3781" s="28"/>
    </row>
    <row r="3782">
      <c r="A3782" s="14"/>
      <c r="B3782" s="15"/>
      <c r="C3782" s="16"/>
      <c r="D3782" s="15"/>
      <c r="F3782" s="15"/>
      <c r="G3782" s="26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28"/>
      <c r="AS3782" s="28"/>
      <c r="AT3782" s="28"/>
    </row>
    <row r="3783">
      <c r="A3783" s="14"/>
      <c r="B3783" s="15"/>
      <c r="C3783" s="16"/>
      <c r="D3783" s="15"/>
      <c r="F3783" s="15"/>
      <c r="G3783" s="26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28"/>
      <c r="AS3783" s="28"/>
      <c r="AT3783" s="28"/>
    </row>
    <row r="3784">
      <c r="A3784" s="14"/>
      <c r="B3784" s="15"/>
      <c r="C3784" s="16"/>
      <c r="D3784" s="15"/>
      <c r="F3784" s="15"/>
      <c r="G3784" s="26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28"/>
      <c r="AS3784" s="28"/>
      <c r="AT3784" s="28"/>
    </row>
    <row r="3785">
      <c r="A3785" s="14"/>
      <c r="B3785" s="15"/>
      <c r="C3785" s="16"/>
      <c r="D3785" s="15"/>
      <c r="F3785" s="15"/>
      <c r="G3785" s="26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28"/>
      <c r="AS3785" s="28"/>
      <c r="AT3785" s="28"/>
    </row>
    <row r="3786">
      <c r="A3786" s="14"/>
      <c r="B3786" s="15"/>
      <c r="C3786" s="16"/>
      <c r="D3786" s="15"/>
      <c r="F3786" s="15"/>
      <c r="G3786" s="26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28"/>
      <c r="AS3786" s="28"/>
      <c r="AT3786" s="28"/>
    </row>
    <row r="3787">
      <c r="A3787" s="14"/>
      <c r="B3787" s="15"/>
      <c r="C3787" s="16"/>
      <c r="D3787" s="15"/>
      <c r="F3787" s="15"/>
      <c r="G3787" s="26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28"/>
      <c r="AS3787" s="28"/>
      <c r="AT3787" s="28"/>
    </row>
    <row r="3788">
      <c r="A3788" s="14"/>
      <c r="B3788" s="15"/>
      <c r="C3788" s="16"/>
      <c r="D3788" s="15"/>
      <c r="F3788" s="15"/>
      <c r="G3788" s="26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28"/>
      <c r="AS3788" s="28"/>
      <c r="AT3788" s="28"/>
    </row>
    <row r="3789">
      <c r="A3789" s="14"/>
      <c r="B3789" s="15"/>
      <c r="C3789" s="16"/>
      <c r="D3789" s="15"/>
      <c r="F3789" s="15"/>
      <c r="G3789" s="26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28"/>
      <c r="AS3789" s="28"/>
      <c r="AT3789" s="28"/>
    </row>
    <row r="3790">
      <c r="A3790" s="14"/>
      <c r="B3790" s="15"/>
      <c r="C3790" s="16"/>
      <c r="D3790" s="15"/>
      <c r="F3790" s="15"/>
      <c r="G3790" s="26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28"/>
      <c r="AS3790" s="28"/>
      <c r="AT3790" s="28"/>
    </row>
    <row r="3791">
      <c r="A3791" s="14"/>
      <c r="B3791" s="15"/>
      <c r="C3791" s="16"/>
      <c r="D3791" s="15"/>
      <c r="F3791" s="15"/>
      <c r="G3791" s="26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28"/>
      <c r="AS3791" s="28"/>
      <c r="AT3791" s="28"/>
    </row>
    <row r="3792">
      <c r="A3792" s="14"/>
      <c r="B3792" s="15"/>
      <c r="C3792" s="16"/>
      <c r="D3792" s="15"/>
      <c r="F3792" s="15"/>
      <c r="G3792" s="26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28"/>
      <c r="AS3792" s="28"/>
      <c r="AT3792" s="28"/>
    </row>
    <row r="3793">
      <c r="A3793" s="14"/>
      <c r="B3793" s="15"/>
      <c r="C3793" s="16"/>
      <c r="D3793" s="15"/>
      <c r="F3793" s="15"/>
      <c r="G3793" s="26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28"/>
      <c r="AS3793" s="28"/>
      <c r="AT3793" s="28"/>
    </row>
    <row r="3794">
      <c r="A3794" s="14"/>
      <c r="B3794" s="15"/>
      <c r="C3794" s="16"/>
      <c r="D3794" s="15"/>
      <c r="F3794" s="15"/>
      <c r="G3794" s="26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28"/>
      <c r="AS3794" s="28"/>
      <c r="AT3794" s="28"/>
    </row>
    <row r="3795">
      <c r="A3795" s="14"/>
      <c r="B3795" s="15"/>
      <c r="C3795" s="16"/>
      <c r="D3795" s="15"/>
      <c r="F3795" s="15"/>
      <c r="G3795" s="26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28"/>
      <c r="AS3795" s="28"/>
      <c r="AT3795" s="28"/>
    </row>
    <row r="3796">
      <c r="A3796" s="14"/>
      <c r="B3796" s="15"/>
      <c r="C3796" s="16"/>
      <c r="D3796" s="15"/>
      <c r="F3796" s="15"/>
      <c r="G3796" s="26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28"/>
      <c r="AS3796" s="28"/>
      <c r="AT3796" s="28"/>
    </row>
    <row r="3797">
      <c r="A3797" s="14"/>
      <c r="B3797" s="15"/>
      <c r="C3797" s="16"/>
      <c r="D3797" s="15"/>
      <c r="F3797" s="15"/>
      <c r="G3797" s="26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28"/>
      <c r="AS3797" s="28"/>
      <c r="AT3797" s="28"/>
    </row>
    <row r="3798">
      <c r="A3798" s="14"/>
      <c r="B3798" s="15"/>
      <c r="C3798" s="16"/>
      <c r="D3798" s="15"/>
      <c r="F3798" s="15"/>
      <c r="G3798" s="26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28"/>
      <c r="AS3798" s="28"/>
      <c r="AT3798" s="28"/>
    </row>
    <row r="3799">
      <c r="A3799" s="14"/>
      <c r="B3799" s="15"/>
      <c r="C3799" s="16"/>
      <c r="D3799" s="15"/>
      <c r="F3799" s="15"/>
      <c r="G3799" s="26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28"/>
      <c r="AS3799" s="28"/>
      <c r="AT3799" s="28"/>
    </row>
    <row r="3800">
      <c r="A3800" s="14"/>
      <c r="B3800" s="15"/>
      <c r="C3800" s="16"/>
      <c r="D3800" s="15"/>
      <c r="F3800" s="15"/>
      <c r="G3800" s="26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28"/>
      <c r="AS3800" s="28"/>
      <c r="AT3800" s="28"/>
    </row>
    <row r="3801">
      <c r="A3801" s="14"/>
      <c r="B3801" s="15"/>
      <c r="C3801" s="16"/>
      <c r="D3801" s="15"/>
      <c r="F3801" s="15"/>
      <c r="G3801" s="26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28"/>
      <c r="AS3801" s="28"/>
      <c r="AT3801" s="28"/>
    </row>
    <row r="3802">
      <c r="A3802" s="14"/>
      <c r="B3802" s="15"/>
      <c r="C3802" s="16"/>
      <c r="D3802" s="15"/>
      <c r="F3802" s="15"/>
      <c r="G3802" s="26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8"/>
      <c r="AH3802" s="28"/>
      <c r="AI3802" s="28"/>
      <c r="AJ3802" s="28"/>
      <c r="AK3802" s="28"/>
      <c r="AL3802" s="28"/>
      <c r="AM3802" s="28"/>
      <c r="AN3802" s="28"/>
      <c r="AO3802" s="28"/>
      <c r="AP3802" s="28"/>
      <c r="AQ3802" s="28"/>
      <c r="AR3802" s="28"/>
      <c r="AS3802" s="28"/>
      <c r="AT3802" s="28"/>
    </row>
    <row r="3803">
      <c r="A3803" s="14"/>
      <c r="B3803" s="15"/>
      <c r="C3803" s="16"/>
      <c r="D3803" s="15"/>
      <c r="F3803" s="15"/>
      <c r="G3803" s="26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8"/>
      <c r="AP3803" s="28"/>
      <c r="AQ3803" s="28"/>
      <c r="AR3803" s="28"/>
      <c r="AS3803" s="28"/>
      <c r="AT3803" s="28"/>
    </row>
    <row r="3804">
      <c r="A3804" s="14"/>
      <c r="B3804" s="15"/>
      <c r="C3804" s="16"/>
      <c r="D3804" s="15"/>
      <c r="F3804" s="15"/>
      <c r="G3804" s="26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8"/>
      <c r="AH3804" s="28"/>
      <c r="AI3804" s="28"/>
      <c r="AJ3804" s="28"/>
      <c r="AK3804" s="28"/>
      <c r="AL3804" s="28"/>
      <c r="AM3804" s="28"/>
      <c r="AN3804" s="28"/>
      <c r="AO3804" s="28"/>
      <c r="AP3804" s="28"/>
      <c r="AQ3804" s="28"/>
      <c r="AR3804" s="28"/>
      <c r="AS3804" s="28"/>
      <c r="AT3804" s="28"/>
    </row>
    <row r="3805">
      <c r="A3805" s="14"/>
      <c r="B3805" s="15"/>
      <c r="C3805" s="16"/>
      <c r="D3805" s="15"/>
      <c r="F3805" s="15"/>
      <c r="G3805" s="26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8"/>
      <c r="AH3805" s="28"/>
      <c r="AI3805" s="28"/>
      <c r="AJ3805" s="28"/>
      <c r="AK3805" s="28"/>
      <c r="AL3805" s="28"/>
      <c r="AM3805" s="28"/>
      <c r="AN3805" s="28"/>
      <c r="AO3805" s="28"/>
      <c r="AP3805" s="28"/>
      <c r="AQ3805" s="28"/>
      <c r="AR3805" s="28"/>
      <c r="AS3805" s="28"/>
      <c r="AT3805" s="28"/>
    </row>
    <row r="3806">
      <c r="A3806" s="14"/>
      <c r="B3806" s="15"/>
      <c r="C3806" s="16"/>
      <c r="D3806" s="15"/>
      <c r="F3806" s="15"/>
      <c r="G3806" s="26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8"/>
      <c r="AH3806" s="28"/>
      <c r="AI3806" s="28"/>
      <c r="AJ3806" s="28"/>
      <c r="AK3806" s="28"/>
      <c r="AL3806" s="28"/>
      <c r="AM3806" s="28"/>
      <c r="AN3806" s="28"/>
      <c r="AO3806" s="28"/>
      <c r="AP3806" s="28"/>
      <c r="AQ3806" s="28"/>
      <c r="AR3806" s="28"/>
      <c r="AS3806" s="28"/>
      <c r="AT3806" s="28"/>
    </row>
    <row r="3807">
      <c r="A3807" s="14"/>
      <c r="B3807" s="15"/>
      <c r="C3807" s="16"/>
      <c r="D3807" s="15"/>
      <c r="F3807" s="15"/>
      <c r="G3807" s="26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8"/>
      <c r="AH3807" s="28"/>
      <c r="AI3807" s="28"/>
      <c r="AJ3807" s="28"/>
      <c r="AK3807" s="28"/>
      <c r="AL3807" s="28"/>
      <c r="AM3807" s="28"/>
      <c r="AN3807" s="28"/>
      <c r="AO3807" s="28"/>
      <c r="AP3807" s="28"/>
      <c r="AQ3807" s="28"/>
      <c r="AR3807" s="28"/>
      <c r="AS3807" s="28"/>
      <c r="AT3807" s="28"/>
    </row>
    <row r="3808">
      <c r="A3808" s="14"/>
      <c r="B3808" s="15"/>
      <c r="C3808" s="16"/>
      <c r="D3808" s="15"/>
      <c r="F3808" s="15"/>
      <c r="G3808" s="26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8"/>
      <c r="AH3808" s="28"/>
      <c r="AI3808" s="28"/>
      <c r="AJ3808" s="28"/>
      <c r="AK3808" s="28"/>
      <c r="AL3808" s="28"/>
      <c r="AM3808" s="28"/>
      <c r="AN3808" s="28"/>
      <c r="AO3808" s="28"/>
      <c r="AP3808" s="28"/>
      <c r="AQ3808" s="28"/>
      <c r="AR3808" s="28"/>
      <c r="AS3808" s="28"/>
      <c r="AT3808" s="28"/>
    </row>
    <row r="3809">
      <c r="A3809" s="14"/>
      <c r="B3809" s="15"/>
      <c r="C3809" s="16"/>
      <c r="D3809" s="15"/>
      <c r="F3809" s="15"/>
      <c r="G3809" s="26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8"/>
      <c r="AH3809" s="28"/>
      <c r="AI3809" s="28"/>
      <c r="AJ3809" s="28"/>
      <c r="AK3809" s="28"/>
      <c r="AL3809" s="28"/>
      <c r="AM3809" s="28"/>
      <c r="AN3809" s="28"/>
      <c r="AO3809" s="28"/>
      <c r="AP3809" s="28"/>
      <c r="AQ3809" s="28"/>
      <c r="AR3809" s="28"/>
      <c r="AS3809" s="28"/>
      <c r="AT3809" s="28"/>
    </row>
    <row r="3810">
      <c r="A3810" s="14"/>
      <c r="B3810" s="15"/>
      <c r="C3810" s="16"/>
      <c r="D3810" s="15"/>
      <c r="F3810" s="15"/>
      <c r="G3810" s="26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8"/>
      <c r="AH3810" s="28"/>
      <c r="AI3810" s="28"/>
      <c r="AJ3810" s="28"/>
      <c r="AK3810" s="28"/>
      <c r="AL3810" s="28"/>
      <c r="AM3810" s="28"/>
      <c r="AN3810" s="28"/>
      <c r="AO3810" s="28"/>
      <c r="AP3810" s="28"/>
      <c r="AQ3810" s="28"/>
      <c r="AR3810" s="28"/>
      <c r="AS3810" s="28"/>
      <c r="AT3810" s="28"/>
    </row>
    <row r="3811">
      <c r="A3811" s="14"/>
      <c r="B3811" s="15"/>
      <c r="C3811" s="16"/>
      <c r="D3811" s="15"/>
      <c r="F3811" s="15"/>
      <c r="G3811" s="26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8"/>
      <c r="AH3811" s="28"/>
      <c r="AI3811" s="28"/>
      <c r="AJ3811" s="28"/>
      <c r="AK3811" s="28"/>
      <c r="AL3811" s="28"/>
      <c r="AM3811" s="28"/>
      <c r="AN3811" s="28"/>
      <c r="AO3811" s="28"/>
      <c r="AP3811" s="28"/>
      <c r="AQ3811" s="28"/>
      <c r="AR3811" s="28"/>
      <c r="AS3811" s="28"/>
      <c r="AT3811" s="28"/>
    </row>
    <row r="3812">
      <c r="A3812" s="14"/>
      <c r="B3812" s="15"/>
      <c r="C3812" s="16"/>
      <c r="D3812" s="15"/>
      <c r="F3812" s="15"/>
      <c r="G3812" s="26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8"/>
      <c r="AH3812" s="28"/>
      <c r="AI3812" s="28"/>
      <c r="AJ3812" s="28"/>
      <c r="AK3812" s="28"/>
      <c r="AL3812" s="28"/>
      <c r="AM3812" s="28"/>
      <c r="AN3812" s="28"/>
      <c r="AO3812" s="28"/>
      <c r="AP3812" s="28"/>
      <c r="AQ3812" s="28"/>
      <c r="AR3812" s="28"/>
      <c r="AS3812" s="28"/>
      <c r="AT3812" s="28"/>
    </row>
    <row r="3813">
      <c r="A3813" s="14"/>
      <c r="B3813" s="15"/>
      <c r="C3813" s="16"/>
      <c r="D3813" s="15"/>
      <c r="F3813" s="15"/>
      <c r="G3813" s="26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8"/>
      <c r="AH3813" s="28"/>
      <c r="AI3813" s="28"/>
      <c r="AJ3813" s="28"/>
      <c r="AK3813" s="28"/>
      <c r="AL3813" s="28"/>
      <c r="AM3813" s="28"/>
      <c r="AN3813" s="28"/>
      <c r="AO3813" s="28"/>
      <c r="AP3813" s="28"/>
      <c r="AQ3813" s="28"/>
      <c r="AR3813" s="28"/>
      <c r="AS3813" s="28"/>
      <c r="AT3813" s="28"/>
    </row>
    <row r="3814">
      <c r="A3814" s="14"/>
      <c r="B3814" s="15"/>
      <c r="C3814" s="16"/>
      <c r="D3814" s="15"/>
      <c r="F3814" s="15"/>
      <c r="G3814" s="26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8"/>
      <c r="AH3814" s="28"/>
      <c r="AI3814" s="28"/>
      <c r="AJ3814" s="28"/>
      <c r="AK3814" s="28"/>
      <c r="AL3814" s="28"/>
      <c r="AM3814" s="28"/>
      <c r="AN3814" s="28"/>
      <c r="AO3814" s="28"/>
      <c r="AP3814" s="28"/>
      <c r="AQ3814" s="28"/>
      <c r="AR3814" s="28"/>
      <c r="AS3814" s="28"/>
      <c r="AT3814" s="28"/>
    </row>
    <row r="3815">
      <c r="A3815" s="14"/>
      <c r="B3815" s="15"/>
      <c r="C3815" s="16"/>
      <c r="D3815" s="15"/>
      <c r="F3815" s="15"/>
      <c r="G3815" s="26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28"/>
      <c r="AR3815" s="28"/>
      <c r="AS3815" s="28"/>
      <c r="AT3815" s="28"/>
    </row>
    <row r="3816">
      <c r="A3816" s="14"/>
      <c r="B3816" s="15"/>
      <c r="C3816" s="16"/>
      <c r="D3816" s="15"/>
      <c r="F3816" s="15"/>
      <c r="G3816" s="26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28"/>
      <c r="AS3816" s="28"/>
      <c r="AT3816" s="28"/>
    </row>
    <row r="3817">
      <c r="A3817" s="14"/>
      <c r="B3817" s="15"/>
      <c r="C3817" s="16"/>
      <c r="D3817" s="15"/>
      <c r="F3817" s="15"/>
      <c r="G3817" s="26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8"/>
      <c r="AH3817" s="28"/>
      <c r="AI3817" s="28"/>
      <c r="AJ3817" s="28"/>
      <c r="AK3817" s="28"/>
      <c r="AL3817" s="28"/>
      <c r="AM3817" s="28"/>
      <c r="AN3817" s="28"/>
      <c r="AO3817" s="28"/>
      <c r="AP3817" s="28"/>
      <c r="AQ3817" s="28"/>
      <c r="AR3817" s="28"/>
      <c r="AS3817" s="28"/>
      <c r="AT3817" s="28"/>
    </row>
    <row r="3818">
      <c r="A3818" s="14"/>
      <c r="B3818" s="15"/>
      <c r="C3818" s="16"/>
      <c r="D3818" s="15"/>
      <c r="F3818" s="15"/>
      <c r="G3818" s="26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8"/>
      <c r="AH3818" s="28"/>
      <c r="AI3818" s="28"/>
      <c r="AJ3818" s="28"/>
      <c r="AK3818" s="28"/>
      <c r="AL3818" s="28"/>
      <c r="AM3818" s="28"/>
      <c r="AN3818" s="28"/>
      <c r="AO3818" s="28"/>
      <c r="AP3818" s="28"/>
      <c r="AQ3818" s="28"/>
      <c r="AR3818" s="28"/>
      <c r="AS3818" s="28"/>
      <c r="AT3818" s="28"/>
    </row>
    <row r="3819">
      <c r="A3819" s="14"/>
      <c r="B3819" s="15"/>
      <c r="C3819" s="16"/>
      <c r="D3819" s="15"/>
      <c r="F3819" s="15"/>
      <c r="G3819" s="26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8"/>
      <c r="AH3819" s="28"/>
      <c r="AI3819" s="28"/>
      <c r="AJ3819" s="28"/>
      <c r="AK3819" s="28"/>
      <c r="AL3819" s="28"/>
      <c r="AM3819" s="28"/>
      <c r="AN3819" s="28"/>
      <c r="AO3819" s="28"/>
      <c r="AP3819" s="28"/>
      <c r="AQ3819" s="28"/>
      <c r="AR3819" s="28"/>
      <c r="AS3819" s="28"/>
      <c r="AT3819" s="28"/>
    </row>
    <row r="3820">
      <c r="A3820" s="14"/>
      <c r="B3820" s="15"/>
      <c r="C3820" s="16"/>
      <c r="D3820" s="15"/>
      <c r="F3820" s="15"/>
      <c r="G3820" s="26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8"/>
      <c r="AH3820" s="28"/>
      <c r="AI3820" s="28"/>
      <c r="AJ3820" s="28"/>
      <c r="AK3820" s="28"/>
      <c r="AL3820" s="28"/>
      <c r="AM3820" s="28"/>
      <c r="AN3820" s="28"/>
      <c r="AO3820" s="28"/>
      <c r="AP3820" s="28"/>
      <c r="AQ3820" s="28"/>
      <c r="AR3820" s="28"/>
      <c r="AS3820" s="28"/>
      <c r="AT3820" s="28"/>
    </row>
    <row r="3821">
      <c r="A3821" s="14"/>
      <c r="B3821" s="15"/>
      <c r="C3821" s="16"/>
      <c r="D3821" s="15"/>
      <c r="F3821" s="15"/>
      <c r="G3821" s="26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8"/>
      <c r="AH3821" s="28"/>
      <c r="AI3821" s="28"/>
      <c r="AJ3821" s="28"/>
      <c r="AK3821" s="28"/>
      <c r="AL3821" s="28"/>
      <c r="AM3821" s="28"/>
      <c r="AN3821" s="28"/>
      <c r="AO3821" s="28"/>
      <c r="AP3821" s="28"/>
      <c r="AQ3821" s="28"/>
      <c r="AR3821" s="28"/>
      <c r="AS3821" s="28"/>
      <c r="AT3821" s="28"/>
    </row>
    <row r="3822">
      <c r="A3822" s="14"/>
      <c r="B3822" s="15"/>
      <c r="C3822" s="16"/>
      <c r="D3822" s="15"/>
      <c r="F3822" s="15"/>
      <c r="G3822" s="26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8"/>
      <c r="AH3822" s="28"/>
      <c r="AI3822" s="28"/>
      <c r="AJ3822" s="28"/>
      <c r="AK3822" s="28"/>
      <c r="AL3822" s="28"/>
      <c r="AM3822" s="28"/>
      <c r="AN3822" s="28"/>
      <c r="AO3822" s="28"/>
      <c r="AP3822" s="28"/>
      <c r="AQ3822" s="28"/>
      <c r="AR3822" s="28"/>
      <c r="AS3822" s="28"/>
      <c r="AT3822" s="28"/>
    </row>
    <row r="3823">
      <c r="A3823" s="14"/>
      <c r="B3823" s="15"/>
      <c r="C3823" s="16"/>
      <c r="D3823" s="15"/>
      <c r="F3823" s="15"/>
      <c r="G3823" s="26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8"/>
      <c r="AH3823" s="28"/>
      <c r="AI3823" s="28"/>
      <c r="AJ3823" s="28"/>
      <c r="AK3823" s="28"/>
      <c r="AL3823" s="28"/>
      <c r="AM3823" s="28"/>
      <c r="AN3823" s="28"/>
      <c r="AO3823" s="28"/>
      <c r="AP3823" s="28"/>
      <c r="AQ3823" s="28"/>
      <c r="AR3823" s="28"/>
      <c r="AS3823" s="28"/>
      <c r="AT3823" s="28"/>
    </row>
    <row r="3824">
      <c r="A3824" s="14"/>
      <c r="B3824" s="15"/>
      <c r="C3824" s="16"/>
      <c r="D3824" s="15"/>
      <c r="F3824" s="15"/>
      <c r="G3824" s="26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8"/>
      <c r="AH3824" s="28"/>
      <c r="AI3824" s="28"/>
      <c r="AJ3824" s="28"/>
      <c r="AK3824" s="28"/>
      <c r="AL3824" s="28"/>
      <c r="AM3824" s="28"/>
      <c r="AN3824" s="28"/>
      <c r="AO3824" s="28"/>
      <c r="AP3824" s="28"/>
      <c r="AQ3824" s="28"/>
      <c r="AR3824" s="28"/>
      <c r="AS3824" s="28"/>
      <c r="AT3824" s="28"/>
    </row>
    <row r="3825">
      <c r="A3825" s="14"/>
      <c r="B3825" s="15"/>
      <c r="C3825" s="16"/>
      <c r="D3825" s="15"/>
      <c r="F3825" s="15"/>
      <c r="G3825" s="26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8"/>
      <c r="AH3825" s="28"/>
      <c r="AI3825" s="28"/>
      <c r="AJ3825" s="28"/>
      <c r="AK3825" s="28"/>
      <c r="AL3825" s="28"/>
      <c r="AM3825" s="28"/>
      <c r="AN3825" s="28"/>
      <c r="AO3825" s="28"/>
      <c r="AP3825" s="28"/>
      <c r="AQ3825" s="28"/>
      <c r="AR3825" s="28"/>
      <c r="AS3825" s="28"/>
      <c r="AT3825" s="28"/>
    </row>
    <row r="3826">
      <c r="A3826" s="14"/>
      <c r="B3826" s="15"/>
      <c r="C3826" s="16"/>
      <c r="D3826" s="15"/>
      <c r="F3826" s="15"/>
      <c r="G3826" s="26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8"/>
      <c r="AH3826" s="28"/>
      <c r="AI3826" s="28"/>
      <c r="AJ3826" s="28"/>
      <c r="AK3826" s="28"/>
      <c r="AL3826" s="28"/>
      <c r="AM3826" s="28"/>
      <c r="AN3826" s="28"/>
      <c r="AO3826" s="28"/>
      <c r="AP3826" s="28"/>
      <c r="AQ3826" s="28"/>
      <c r="AR3826" s="28"/>
      <c r="AS3826" s="28"/>
      <c r="AT3826" s="28"/>
    </row>
    <row r="3827">
      <c r="A3827" s="14"/>
      <c r="B3827" s="15"/>
      <c r="C3827" s="16"/>
      <c r="D3827" s="15"/>
      <c r="F3827" s="15"/>
      <c r="G3827" s="26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8"/>
      <c r="AH3827" s="28"/>
      <c r="AI3827" s="28"/>
      <c r="AJ3827" s="28"/>
      <c r="AK3827" s="28"/>
      <c r="AL3827" s="28"/>
      <c r="AM3827" s="28"/>
      <c r="AN3827" s="28"/>
      <c r="AO3827" s="28"/>
      <c r="AP3827" s="28"/>
      <c r="AQ3827" s="28"/>
      <c r="AR3827" s="28"/>
      <c r="AS3827" s="28"/>
      <c r="AT3827" s="28"/>
    </row>
    <row r="3828">
      <c r="A3828" s="14"/>
      <c r="B3828" s="15"/>
      <c r="C3828" s="16"/>
      <c r="D3828" s="15"/>
      <c r="F3828" s="15"/>
      <c r="G3828" s="26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8"/>
      <c r="AH3828" s="28"/>
      <c r="AI3828" s="28"/>
      <c r="AJ3828" s="28"/>
      <c r="AK3828" s="28"/>
      <c r="AL3828" s="28"/>
      <c r="AM3828" s="28"/>
      <c r="AN3828" s="28"/>
      <c r="AO3828" s="28"/>
      <c r="AP3828" s="28"/>
      <c r="AQ3828" s="28"/>
      <c r="AR3828" s="28"/>
      <c r="AS3828" s="28"/>
      <c r="AT3828" s="28"/>
    </row>
    <row r="3829">
      <c r="A3829" s="14"/>
      <c r="B3829" s="15"/>
      <c r="C3829" s="16"/>
      <c r="D3829" s="15"/>
      <c r="F3829" s="15"/>
      <c r="G3829" s="26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8"/>
      <c r="AP3829" s="28"/>
      <c r="AQ3829" s="28"/>
      <c r="AR3829" s="28"/>
      <c r="AS3829" s="28"/>
      <c r="AT3829" s="28"/>
    </row>
    <row r="3830">
      <c r="A3830" s="14"/>
      <c r="B3830" s="15"/>
      <c r="C3830" s="16"/>
      <c r="D3830" s="15"/>
      <c r="F3830" s="15"/>
      <c r="G3830" s="26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28"/>
      <c r="AR3830" s="28"/>
      <c r="AS3830" s="28"/>
      <c r="AT3830" s="28"/>
    </row>
    <row r="3831">
      <c r="A3831" s="14"/>
      <c r="B3831" s="15"/>
      <c r="C3831" s="16"/>
      <c r="D3831" s="15"/>
      <c r="F3831" s="15"/>
      <c r="G3831" s="26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28"/>
      <c r="AS3831" s="28"/>
      <c r="AT3831" s="28"/>
    </row>
    <row r="3832">
      <c r="A3832" s="14"/>
      <c r="B3832" s="15"/>
      <c r="C3832" s="16"/>
      <c r="D3832" s="15"/>
      <c r="F3832" s="15"/>
      <c r="G3832" s="26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28"/>
      <c r="AS3832" s="28"/>
      <c r="AT3832" s="28"/>
    </row>
    <row r="3833">
      <c r="A3833" s="14"/>
      <c r="B3833" s="15"/>
      <c r="C3833" s="16"/>
      <c r="D3833" s="15"/>
      <c r="F3833" s="15"/>
      <c r="G3833" s="26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O3833" s="28"/>
      <c r="AP3833" s="28"/>
      <c r="AQ3833" s="28"/>
      <c r="AR3833" s="28"/>
      <c r="AS3833" s="28"/>
      <c r="AT3833" s="28"/>
    </row>
    <row r="3834">
      <c r="A3834" s="14"/>
      <c r="B3834" s="15"/>
      <c r="C3834" s="16"/>
      <c r="D3834" s="15"/>
      <c r="F3834" s="15"/>
      <c r="G3834" s="26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28"/>
      <c r="AR3834" s="28"/>
      <c r="AS3834" s="28"/>
      <c r="AT3834" s="28"/>
    </row>
    <row r="3835">
      <c r="A3835" s="14"/>
      <c r="B3835" s="15"/>
      <c r="C3835" s="16"/>
      <c r="D3835" s="15"/>
      <c r="F3835" s="15"/>
      <c r="G3835" s="26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R3835" s="28"/>
      <c r="AS3835" s="28"/>
      <c r="AT3835" s="28"/>
    </row>
    <row r="3836">
      <c r="A3836" s="14"/>
      <c r="B3836" s="15"/>
      <c r="C3836" s="16"/>
      <c r="D3836" s="15"/>
      <c r="F3836" s="15"/>
      <c r="G3836" s="26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28"/>
      <c r="AS3836" s="28"/>
      <c r="AT3836" s="28"/>
    </row>
    <row r="3837">
      <c r="A3837" s="14"/>
      <c r="B3837" s="15"/>
      <c r="C3837" s="16"/>
      <c r="D3837" s="15"/>
      <c r="F3837" s="15"/>
      <c r="G3837" s="26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28"/>
      <c r="AS3837" s="28"/>
      <c r="AT3837" s="28"/>
    </row>
    <row r="3838">
      <c r="A3838" s="14"/>
      <c r="B3838" s="15"/>
      <c r="C3838" s="16"/>
      <c r="D3838" s="15"/>
      <c r="F3838" s="15"/>
      <c r="G3838" s="26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28"/>
      <c r="AS3838" s="28"/>
      <c r="AT3838" s="28"/>
    </row>
    <row r="3839">
      <c r="A3839" s="14"/>
      <c r="B3839" s="15"/>
      <c r="C3839" s="16"/>
      <c r="D3839" s="15"/>
      <c r="F3839" s="15"/>
      <c r="G3839" s="26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28"/>
      <c r="AR3839" s="28"/>
      <c r="AS3839" s="28"/>
      <c r="AT3839" s="28"/>
    </row>
    <row r="3840">
      <c r="A3840" s="14"/>
      <c r="B3840" s="15"/>
      <c r="C3840" s="16"/>
      <c r="D3840" s="15"/>
      <c r="F3840" s="15"/>
      <c r="G3840" s="26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28"/>
      <c r="AS3840" s="28"/>
      <c r="AT3840" s="28"/>
    </row>
    <row r="3841">
      <c r="A3841" s="14"/>
      <c r="B3841" s="15"/>
      <c r="C3841" s="16"/>
      <c r="D3841" s="15"/>
      <c r="F3841" s="15"/>
      <c r="G3841" s="26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28"/>
      <c r="AS3841" s="28"/>
      <c r="AT3841" s="28"/>
    </row>
    <row r="3842">
      <c r="A3842" s="14"/>
      <c r="B3842" s="15"/>
      <c r="C3842" s="16"/>
      <c r="D3842" s="15"/>
      <c r="F3842" s="15"/>
      <c r="G3842" s="26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28"/>
      <c r="AS3842" s="28"/>
      <c r="AT3842" s="28"/>
    </row>
    <row r="3843">
      <c r="A3843" s="14"/>
      <c r="B3843" s="15"/>
      <c r="C3843" s="16"/>
      <c r="D3843" s="15"/>
      <c r="F3843" s="15"/>
      <c r="G3843" s="26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28"/>
      <c r="AS3843" s="28"/>
      <c r="AT3843" s="28"/>
    </row>
    <row r="3844">
      <c r="A3844" s="14"/>
      <c r="B3844" s="15"/>
      <c r="C3844" s="16"/>
      <c r="D3844" s="15"/>
      <c r="F3844" s="15"/>
      <c r="G3844" s="26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28"/>
      <c r="AS3844" s="28"/>
      <c r="AT3844" s="28"/>
    </row>
    <row r="3845">
      <c r="A3845" s="14"/>
      <c r="B3845" s="15"/>
      <c r="C3845" s="16"/>
      <c r="D3845" s="15"/>
      <c r="F3845" s="15"/>
      <c r="G3845" s="26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28"/>
      <c r="AS3845" s="28"/>
      <c r="AT3845" s="28"/>
    </row>
    <row r="3846">
      <c r="A3846" s="14"/>
      <c r="B3846" s="15"/>
      <c r="C3846" s="16"/>
      <c r="D3846" s="15"/>
      <c r="F3846" s="15"/>
      <c r="G3846" s="26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28"/>
      <c r="AS3846" s="28"/>
      <c r="AT3846" s="28"/>
    </row>
    <row r="3847">
      <c r="A3847" s="14"/>
      <c r="B3847" s="15"/>
      <c r="C3847" s="16"/>
      <c r="D3847" s="15"/>
      <c r="F3847" s="15"/>
      <c r="G3847" s="26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28"/>
      <c r="AS3847" s="28"/>
      <c r="AT3847" s="28"/>
    </row>
    <row r="3848">
      <c r="A3848" s="14"/>
      <c r="B3848" s="15"/>
      <c r="C3848" s="16"/>
      <c r="D3848" s="15"/>
      <c r="F3848" s="15"/>
      <c r="G3848" s="26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28"/>
      <c r="AS3848" s="28"/>
      <c r="AT3848" s="28"/>
    </row>
    <row r="3849">
      <c r="A3849" s="14"/>
      <c r="B3849" s="15"/>
      <c r="C3849" s="16"/>
      <c r="D3849" s="15"/>
      <c r="F3849" s="15"/>
      <c r="G3849" s="26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28"/>
      <c r="AS3849" s="28"/>
      <c r="AT3849" s="28"/>
    </row>
    <row r="3850">
      <c r="A3850" s="14"/>
      <c r="B3850" s="15"/>
      <c r="C3850" s="16"/>
      <c r="D3850" s="15"/>
      <c r="F3850" s="15"/>
      <c r="G3850" s="26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28"/>
      <c r="AS3850" s="28"/>
      <c r="AT3850" s="28"/>
    </row>
    <row r="3851">
      <c r="A3851" s="14"/>
      <c r="B3851" s="15"/>
      <c r="C3851" s="16"/>
      <c r="D3851" s="15"/>
      <c r="F3851" s="15"/>
      <c r="G3851" s="26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28"/>
      <c r="AS3851" s="28"/>
      <c r="AT3851" s="28"/>
    </row>
    <row r="3852">
      <c r="A3852" s="14"/>
      <c r="B3852" s="15"/>
      <c r="C3852" s="16"/>
      <c r="D3852" s="15"/>
      <c r="F3852" s="15"/>
      <c r="G3852" s="26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28"/>
      <c r="AS3852" s="28"/>
      <c r="AT3852" s="28"/>
    </row>
    <row r="3853">
      <c r="A3853" s="14"/>
      <c r="B3853" s="15"/>
      <c r="C3853" s="16"/>
      <c r="D3853" s="15"/>
      <c r="F3853" s="15"/>
      <c r="G3853" s="26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28"/>
      <c r="AS3853" s="28"/>
      <c r="AT3853" s="28"/>
    </row>
    <row r="3854">
      <c r="A3854" s="14"/>
      <c r="B3854" s="15"/>
      <c r="C3854" s="16"/>
      <c r="D3854" s="15"/>
      <c r="F3854" s="15"/>
      <c r="G3854" s="26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28"/>
      <c r="AS3854" s="28"/>
      <c r="AT3854" s="28"/>
    </row>
    <row r="3855">
      <c r="A3855" s="14"/>
      <c r="B3855" s="15"/>
      <c r="C3855" s="16"/>
      <c r="D3855" s="15"/>
      <c r="F3855" s="15"/>
      <c r="G3855" s="26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28"/>
      <c r="AS3855" s="28"/>
      <c r="AT3855" s="28"/>
    </row>
    <row r="3856">
      <c r="A3856" s="14"/>
      <c r="B3856" s="15"/>
      <c r="C3856" s="16"/>
      <c r="D3856" s="15"/>
      <c r="F3856" s="15"/>
      <c r="G3856" s="26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28"/>
      <c r="AS3856" s="28"/>
      <c r="AT3856" s="28"/>
    </row>
    <row r="3857">
      <c r="A3857" s="14"/>
      <c r="B3857" s="15"/>
      <c r="C3857" s="16"/>
      <c r="D3857" s="15"/>
      <c r="F3857" s="15"/>
      <c r="G3857" s="26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28"/>
      <c r="AS3857" s="28"/>
      <c r="AT3857" s="28"/>
    </row>
    <row r="3858">
      <c r="A3858" s="14"/>
      <c r="B3858" s="15"/>
      <c r="C3858" s="16"/>
      <c r="D3858" s="15"/>
      <c r="F3858" s="15"/>
      <c r="G3858" s="26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28"/>
      <c r="AS3858" s="28"/>
      <c r="AT3858" s="28"/>
    </row>
    <row r="3859">
      <c r="A3859" s="14"/>
      <c r="B3859" s="15"/>
      <c r="C3859" s="16"/>
      <c r="D3859" s="15"/>
      <c r="F3859" s="15"/>
      <c r="G3859" s="26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28"/>
      <c r="AS3859" s="28"/>
      <c r="AT3859" s="28"/>
    </row>
    <row r="3860">
      <c r="A3860" s="14"/>
      <c r="B3860" s="15"/>
      <c r="C3860" s="16"/>
      <c r="D3860" s="15"/>
      <c r="F3860" s="15"/>
      <c r="G3860" s="26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28"/>
      <c r="AS3860" s="28"/>
      <c r="AT3860" s="28"/>
    </row>
    <row r="3861">
      <c r="A3861" s="14"/>
      <c r="B3861" s="15"/>
      <c r="C3861" s="16"/>
      <c r="D3861" s="15"/>
      <c r="F3861" s="15"/>
      <c r="G3861" s="26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28"/>
      <c r="AS3861" s="28"/>
      <c r="AT3861" s="28"/>
    </row>
    <row r="3862">
      <c r="A3862" s="14"/>
      <c r="B3862" s="15"/>
      <c r="C3862" s="16"/>
      <c r="D3862" s="15"/>
      <c r="F3862" s="15"/>
      <c r="G3862" s="26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28"/>
      <c r="AS3862" s="28"/>
      <c r="AT3862" s="28"/>
    </row>
    <row r="3863">
      <c r="A3863" s="14"/>
      <c r="B3863" s="15"/>
      <c r="C3863" s="16"/>
      <c r="D3863" s="15"/>
      <c r="F3863" s="15"/>
      <c r="G3863" s="26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28"/>
      <c r="AS3863" s="28"/>
      <c r="AT3863" s="28"/>
    </row>
    <row r="3864">
      <c r="A3864" s="14"/>
      <c r="B3864" s="15"/>
      <c r="C3864" s="16"/>
      <c r="D3864" s="15"/>
      <c r="F3864" s="15"/>
      <c r="G3864" s="26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28"/>
      <c r="AS3864" s="28"/>
      <c r="AT3864" s="28"/>
    </row>
    <row r="3865">
      <c r="A3865" s="14"/>
      <c r="B3865" s="15"/>
      <c r="C3865" s="16"/>
      <c r="D3865" s="15"/>
      <c r="F3865" s="15"/>
      <c r="G3865" s="26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28"/>
      <c r="AS3865" s="28"/>
      <c r="AT3865" s="28"/>
    </row>
    <row r="3866">
      <c r="A3866" s="14"/>
      <c r="B3866" s="15"/>
      <c r="C3866" s="16"/>
      <c r="D3866" s="15"/>
      <c r="F3866" s="15"/>
      <c r="G3866" s="26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28"/>
      <c r="AS3866" s="28"/>
      <c r="AT3866" s="28"/>
    </row>
    <row r="3867">
      <c r="A3867" s="14"/>
      <c r="B3867" s="15"/>
      <c r="C3867" s="16"/>
      <c r="D3867" s="15"/>
      <c r="F3867" s="15"/>
      <c r="G3867" s="26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28"/>
      <c r="AS3867" s="28"/>
      <c r="AT3867" s="28"/>
    </row>
    <row r="3868">
      <c r="A3868" s="14"/>
      <c r="B3868" s="15"/>
      <c r="C3868" s="16"/>
      <c r="D3868" s="15"/>
      <c r="F3868" s="15"/>
      <c r="G3868" s="26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28"/>
      <c r="AS3868" s="28"/>
      <c r="AT3868" s="28"/>
    </row>
    <row r="3869">
      <c r="A3869" s="14"/>
      <c r="B3869" s="15"/>
      <c r="C3869" s="16"/>
      <c r="D3869" s="15"/>
      <c r="F3869" s="15"/>
      <c r="G3869" s="26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28"/>
      <c r="AS3869" s="28"/>
      <c r="AT3869" s="28"/>
    </row>
    <row r="3870">
      <c r="A3870" s="14"/>
      <c r="B3870" s="15"/>
      <c r="C3870" s="16"/>
      <c r="D3870" s="15"/>
      <c r="F3870" s="15"/>
      <c r="G3870" s="26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28"/>
      <c r="AS3870" s="28"/>
      <c r="AT3870" s="28"/>
    </row>
    <row r="3871">
      <c r="A3871" s="14"/>
      <c r="B3871" s="15"/>
      <c r="C3871" s="16"/>
      <c r="D3871" s="15"/>
      <c r="F3871" s="15"/>
      <c r="G3871" s="26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28"/>
      <c r="AS3871" s="28"/>
      <c r="AT3871" s="28"/>
    </row>
    <row r="3872">
      <c r="A3872" s="14"/>
      <c r="B3872" s="15"/>
      <c r="C3872" s="16"/>
      <c r="D3872" s="15"/>
      <c r="F3872" s="15"/>
      <c r="G3872" s="26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28"/>
      <c r="AS3872" s="28"/>
      <c r="AT3872" s="28"/>
    </row>
    <row r="3873">
      <c r="A3873" s="14"/>
      <c r="B3873" s="15"/>
      <c r="C3873" s="16"/>
      <c r="D3873" s="15"/>
      <c r="F3873" s="15"/>
      <c r="G3873" s="26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28"/>
      <c r="AS3873" s="28"/>
      <c r="AT3873" s="28"/>
    </row>
    <row r="3874">
      <c r="A3874" s="14"/>
      <c r="B3874" s="15"/>
      <c r="C3874" s="16"/>
      <c r="D3874" s="15"/>
      <c r="F3874" s="15"/>
      <c r="G3874" s="26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28"/>
      <c r="AS3874" s="28"/>
      <c r="AT3874" s="28"/>
    </row>
    <row r="3875">
      <c r="A3875" s="14"/>
      <c r="B3875" s="15"/>
      <c r="C3875" s="16"/>
      <c r="D3875" s="15"/>
      <c r="F3875" s="15"/>
      <c r="G3875" s="26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28"/>
      <c r="AS3875" s="28"/>
      <c r="AT3875" s="28"/>
    </row>
    <row r="3876">
      <c r="A3876" s="14"/>
      <c r="B3876" s="15"/>
      <c r="C3876" s="16"/>
      <c r="D3876" s="15"/>
      <c r="F3876" s="15"/>
      <c r="G3876" s="26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28"/>
      <c r="AS3876" s="28"/>
      <c r="AT3876" s="28"/>
    </row>
    <row r="3877">
      <c r="A3877" s="14"/>
      <c r="B3877" s="15"/>
      <c r="C3877" s="16"/>
      <c r="D3877" s="15"/>
      <c r="F3877" s="15"/>
      <c r="G3877" s="26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28"/>
      <c r="AS3877" s="28"/>
      <c r="AT3877" s="28"/>
    </row>
    <row r="3878">
      <c r="A3878" s="14"/>
      <c r="B3878" s="15"/>
      <c r="C3878" s="16"/>
      <c r="D3878" s="15"/>
      <c r="F3878" s="15"/>
      <c r="G3878" s="26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28"/>
      <c r="AS3878" s="28"/>
      <c r="AT3878" s="28"/>
    </row>
    <row r="3879">
      <c r="A3879" s="14"/>
      <c r="B3879" s="15"/>
      <c r="C3879" s="16"/>
      <c r="D3879" s="15"/>
      <c r="F3879" s="15"/>
      <c r="G3879" s="26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28"/>
      <c r="AS3879" s="28"/>
      <c r="AT3879" s="28"/>
    </row>
    <row r="3880">
      <c r="A3880" s="14"/>
      <c r="B3880" s="15"/>
      <c r="C3880" s="16"/>
      <c r="D3880" s="15"/>
      <c r="F3880" s="15"/>
      <c r="G3880" s="26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28"/>
      <c r="AS3880" s="28"/>
      <c r="AT3880" s="28"/>
    </row>
    <row r="3881">
      <c r="A3881" s="14"/>
      <c r="B3881" s="15"/>
      <c r="C3881" s="16"/>
      <c r="D3881" s="15"/>
      <c r="F3881" s="15"/>
      <c r="G3881" s="26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28"/>
      <c r="AS3881" s="28"/>
      <c r="AT3881" s="28"/>
    </row>
    <row r="3882">
      <c r="A3882" s="14"/>
      <c r="B3882" s="15"/>
      <c r="C3882" s="16"/>
      <c r="D3882" s="15"/>
      <c r="F3882" s="15"/>
      <c r="G3882" s="26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28"/>
      <c r="AS3882" s="28"/>
      <c r="AT3882" s="28"/>
    </row>
    <row r="3883">
      <c r="A3883" s="14"/>
      <c r="B3883" s="15"/>
      <c r="C3883" s="16"/>
      <c r="D3883" s="15"/>
      <c r="F3883" s="15"/>
      <c r="G3883" s="26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28"/>
      <c r="AS3883" s="28"/>
      <c r="AT3883" s="28"/>
    </row>
    <row r="3884">
      <c r="A3884" s="14"/>
      <c r="B3884" s="15"/>
      <c r="C3884" s="16"/>
      <c r="D3884" s="15"/>
      <c r="F3884" s="15"/>
      <c r="G3884" s="26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28"/>
      <c r="AS3884" s="28"/>
      <c r="AT3884" s="28"/>
    </row>
    <row r="3885">
      <c r="A3885" s="14"/>
      <c r="B3885" s="15"/>
      <c r="C3885" s="16"/>
      <c r="D3885" s="15"/>
      <c r="F3885" s="15"/>
      <c r="G3885" s="26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28"/>
      <c r="AS3885" s="28"/>
      <c r="AT3885" s="28"/>
    </row>
    <row r="3886">
      <c r="A3886" s="14"/>
      <c r="B3886" s="15"/>
      <c r="C3886" s="16"/>
      <c r="D3886" s="15"/>
      <c r="F3886" s="15"/>
      <c r="G3886" s="26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28"/>
      <c r="AS3886" s="28"/>
      <c r="AT3886" s="28"/>
    </row>
    <row r="3887">
      <c r="A3887" s="14"/>
      <c r="B3887" s="15"/>
      <c r="C3887" s="16"/>
      <c r="D3887" s="15"/>
      <c r="F3887" s="15"/>
      <c r="G3887" s="26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28"/>
      <c r="AS3887" s="28"/>
      <c r="AT3887" s="28"/>
    </row>
    <row r="3888">
      <c r="A3888" s="14"/>
      <c r="B3888" s="15"/>
      <c r="C3888" s="16"/>
      <c r="D3888" s="15"/>
      <c r="F3888" s="15"/>
      <c r="G3888" s="26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28"/>
      <c r="AS3888" s="28"/>
      <c r="AT3888" s="28"/>
    </row>
    <row r="3889">
      <c r="A3889" s="14"/>
      <c r="B3889" s="15"/>
      <c r="C3889" s="16"/>
      <c r="D3889" s="15"/>
      <c r="F3889" s="15"/>
      <c r="G3889" s="26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28"/>
      <c r="AS3889" s="28"/>
      <c r="AT3889" s="28"/>
    </row>
    <row r="3890">
      <c r="A3890" s="14"/>
      <c r="B3890" s="15"/>
      <c r="C3890" s="16"/>
      <c r="D3890" s="15"/>
      <c r="F3890" s="15"/>
      <c r="G3890" s="26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28"/>
      <c r="AS3890" s="28"/>
      <c r="AT3890" s="28"/>
    </row>
    <row r="3891">
      <c r="A3891" s="14"/>
      <c r="B3891" s="15"/>
      <c r="C3891" s="16"/>
      <c r="D3891" s="15"/>
      <c r="F3891" s="15"/>
      <c r="G3891" s="26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28"/>
      <c r="AS3891" s="28"/>
      <c r="AT3891" s="28"/>
    </row>
    <row r="3892">
      <c r="A3892" s="14"/>
      <c r="B3892" s="15"/>
      <c r="C3892" s="16"/>
      <c r="D3892" s="15"/>
      <c r="F3892" s="15"/>
      <c r="G3892" s="26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28"/>
      <c r="AS3892" s="28"/>
      <c r="AT3892" s="28"/>
    </row>
    <row r="3893">
      <c r="A3893" s="14"/>
      <c r="B3893" s="15"/>
      <c r="C3893" s="16"/>
      <c r="D3893" s="15"/>
      <c r="F3893" s="15"/>
      <c r="G3893" s="26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28"/>
      <c r="AS3893" s="28"/>
      <c r="AT3893" s="28"/>
    </row>
    <row r="3894">
      <c r="A3894" s="14"/>
      <c r="B3894" s="15"/>
      <c r="C3894" s="16"/>
      <c r="D3894" s="15"/>
      <c r="F3894" s="15"/>
      <c r="G3894" s="26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28"/>
      <c r="AS3894" s="28"/>
      <c r="AT3894" s="28"/>
    </row>
    <row r="3895">
      <c r="A3895" s="14"/>
      <c r="B3895" s="15"/>
      <c r="C3895" s="16"/>
      <c r="D3895" s="15"/>
      <c r="F3895" s="15"/>
      <c r="G3895" s="26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28"/>
      <c r="AS3895" s="28"/>
      <c r="AT3895" s="28"/>
    </row>
    <row r="3896">
      <c r="A3896" s="14"/>
      <c r="B3896" s="15"/>
      <c r="C3896" s="16"/>
      <c r="D3896" s="15"/>
      <c r="F3896" s="15"/>
      <c r="G3896" s="26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28"/>
      <c r="AS3896" s="28"/>
      <c r="AT3896" s="28"/>
    </row>
    <row r="3897">
      <c r="A3897" s="14"/>
      <c r="B3897" s="15"/>
      <c r="C3897" s="16"/>
      <c r="D3897" s="15"/>
      <c r="F3897" s="15"/>
      <c r="G3897" s="26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28"/>
      <c r="AS3897" s="28"/>
      <c r="AT3897" s="28"/>
    </row>
    <row r="3898">
      <c r="A3898" s="14"/>
      <c r="B3898" s="15"/>
      <c r="C3898" s="16"/>
      <c r="D3898" s="15"/>
      <c r="F3898" s="15"/>
      <c r="G3898" s="26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28"/>
      <c r="AS3898" s="28"/>
      <c r="AT3898" s="28"/>
    </row>
    <row r="3899">
      <c r="A3899" s="14"/>
      <c r="B3899" s="15"/>
      <c r="C3899" s="16"/>
      <c r="D3899" s="15"/>
      <c r="F3899" s="15"/>
      <c r="G3899" s="26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28"/>
      <c r="AS3899" s="28"/>
      <c r="AT3899" s="28"/>
    </row>
    <row r="3900">
      <c r="A3900" s="14"/>
      <c r="B3900" s="15"/>
      <c r="C3900" s="16"/>
      <c r="D3900" s="15"/>
      <c r="F3900" s="15"/>
      <c r="G3900" s="26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28"/>
      <c r="AS3900" s="28"/>
      <c r="AT3900" s="28"/>
    </row>
    <row r="3901">
      <c r="A3901" s="14"/>
      <c r="B3901" s="15"/>
      <c r="C3901" s="16"/>
      <c r="D3901" s="15"/>
      <c r="F3901" s="15"/>
      <c r="G3901" s="26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28"/>
      <c r="AS3901" s="28"/>
      <c r="AT3901" s="28"/>
    </row>
    <row r="3902">
      <c r="A3902" s="14"/>
      <c r="B3902" s="15"/>
      <c r="C3902" s="16"/>
      <c r="D3902" s="15"/>
      <c r="F3902" s="15"/>
      <c r="G3902" s="26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28"/>
      <c r="AS3902" s="28"/>
      <c r="AT3902" s="28"/>
    </row>
    <row r="3903">
      <c r="A3903" s="14"/>
      <c r="B3903" s="15"/>
      <c r="C3903" s="16"/>
      <c r="D3903" s="15"/>
      <c r="F3903" s="15"/>
      <c r="G3903" s="26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28"/>
      <c r="AS3903" s="28"/>
      <c r="AT3903" s="28"/>
    </row>
    <row r="3904">
      <c r="A3904" s="14"/>
      <c r="B3904" s="15"/>
      <c r="C3904" s="16"/>
      <c r="D3904" s="15"/>
      <c r="F3904" s="15"/>
      <c r="G3904" s="26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28"/>
      <c r="AS3904" s="28"/>
      <c r="AT3904" s="28"/>
    </row>
    <row r="3905">
      <c r="A3905" s="14"/>
      <c r="B3905" s="15"/>
      <c r="C3905" s="16"/>
      <c r="D3905" s="15"/>
      <c r="F3905" s="15"/>
      <c r="G3905" s="26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28"/>
      <c r="AS3905" s="28"/>
      <c r="AT3905" s="28"/>
    </row>
    <row r="3906">
      <c r="A3906" s="14"/>
      <c r="B3906" s="15"/>
      <c r="C3906" s="16"/>
      <c r="D3906" s="15"/>
      <c r="F3906" s="15"/>
      <c r="G3906" s="26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28"/>
      <c r="AS3906" s="28"/>
      <c r="AT3906" s="28"/>
    </row>
    <row r="3907">
      <c r="A3907" s="14"/>
      <c r="B3907" s="15"/>
      <c r="C3907" s="16"/>
      <c r="D3907" s="15"/>
      <c r="F3907" s="15"/>
      <c r="G3907" s="26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28"/>
      <c r="AS3907" s="28"/>
      <c r="AT3907" s="28"/>
    </row>
    <row r="3908">
      <c r="A3908" s="14"/>
      <c r="B3908" s="15"/>
      <c r="C3908" s="16"/>
      <c r="D3908" s="15"/>
      <c r="F3908" s="15"/>
      <c r="G3908" s="26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28"/>
      <c r="AS3908" s="28"/>
      <c r="AT3908" s="28"/>
    </row>
    <row r="3909">
      <c r="A3909" s="14"/>
      <c r="B3909" s="15"/>
      <c r="C3909" s="16"/>
      <c r="D3909" s="15"/>
      <c r="F3909" s="15"/>
      <c r="G3909" s="26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28"/>
      <c r="AS3909" s="28"/>
      <c r="AT3909" s="28"/>
    </row>
    <row r="3910">
      <c r="A3910" s="14"/>
      <c r="B3910" s="15"/>
      <c r="C3910" s="16"/>
      <c r="D3910" s="15"/>
      <c r="F3910" s="15"/>
      <c r="G3910" s="26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28"/>
      <c r="AS3910" s="28"/>
      <c r="AT3910" s="28"/>
    </row>
    <row r="3911">
      <c r="A3911" s="14"/>
      <c r="B3911" s="15"/>
      <c r="C3911" s="16"/>
      <c r="D3911" s="15"/>
      <c r="F3911" s="15"/>
      <c r="G3911" s="26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28"/>
      <c r="AS3911" s="28"/>
      <c r="AT3911" s="28"/>
    </row>
    <row r="3912">
      <c r="A3912" s="14"/>
      <c r="B3912" s="15"/>
      <c r="C3912" s="16"/>
      <c r="D3912" s="15"/>
      <c r="F3912" s="15"/>
      <c r="G3912" s="26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28"/>
      <c r="AS3912" s="28"/>
      <c r="AT3912" s="28"/>
    </row>
    <row r="3913">
      <c r="A3913" s="14"/>
      <c r="B3913" s="15"/>
      <c r="C3913" s="16"/>
      <c r="D3913" s="15"/>
      <c r="F3913" s="15"/>
      <c r="G3913" s="26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28"/>
      <c r="AS3913" s="28"/>
      <c r="AT3913" s="28"/>
    </row>
    <row r="3914">
      <c r="A3914" s="14"/>
      <c r="B3914" s="15"/>
      <c r="C3914" s="16"/>
      <c r="D3914" s="15"/>
      <c r="F3914" s="15"/>
      <c r="G3914" s="26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28"/>
      <c r="AS3914" s="28"/>
      <c r="AT3914" s="28"/>
    </row>
    <row r="3915">
      <c r="A3915" s="14"/>
      <c r="B3915" s="15"/>
      <c r="C3915" s="16"/>
      <c r="D3915" s="15"/>
      <c r="F3915" s="15"/>
      <c r="G3915" s="26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28"/>
      <c r="AS3915" s="28"/>
      <c r="AT3915" s="28"/>
    </row>
    <row r="3916">
      <c r="A3916" s="14"/>
      <c r="B3916" s="15"/>
      <c r="C3916" s="16"/>
      <c r="D3916" s="15"/>
      <c r="F3916" s="15"/>
      <c r="G3916" s="26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28"/>
      <c r="AS3916" s="28"/>
      <c r="AT3916" s="28"/>
    </row>
    <row r="3917">
      <c r="A3917" s="14"/>
      <c r="B3917" s="15"/>
      <c r="C3917" s="16"/>
      <c r="D3917" s="15"/>
      <c r="F3917" s="15"/>
      <c r="G3917" s="26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28"/>
      <c r="AS3917" s="28"/>
      <c r="AT3917" s="28"/>
    </row>
    <row r="3918">
      <c r="A3918" s="14"/>
      <c r="B3918" s="15"/>
      <c r="C3918" s="16"/>
      <c r="D3918" s="15"/>
      <c r="F3918" s="15"/>
      <c r="G3918" s="26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28"/>
      <c r="AS3918" s="28"/>
      <c r="AT3918" s="28"/>
    </row>
    <row r="3919">
      <c r="A3919" s="14"/>
      <c r="B3919" s="15"/>
      <c r="C3919" s="16"/>
      <c r="D3919" s="15"/>
      <c r="F3919" s="15"/>
      <c r="G3919" s="26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28"/>
      <c r="AS3919" s="28"/>
      <c r="AT3919" s="28"/>
    </row>
    <row r="3920">
      <c r="A3920" s="14"/>
      <c r="B3920" s="15"/>
      <c r="C3920" s="16"/>
      <c r="D3920" s="15"/>
      <c r="F3920" s="15"/>
      <c r="G3920" s="26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28"/>
      <c r="AS3920" s="28"/>
      <c r="AT3920" s="28"/>
    </row>
    <row r="3921">
      <c r="A3921" s="14"/>
      <c r="B3921" s="15"/>
      <c r="C3921" s="16"/>
      <c r="D3921" s="15"/>
      <c r="F3921" s="15"/>
      <c r="G3921" s="26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28"/>
      <c r="AS3921" s="28"/>
      <c r="AT3921" s="28"/>
    </row>
    <row r="3922">
      <c r="A3922" s="14"/>
      <c r="B3922" s="15"/>
      <c r="C3922" s="16"/>
      <c r="D3922" s="15"/>
      <c r="F3922" s="15"/>
      <c r="G3922" s="26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28"/>
      <c r="AS3922" s="28"/>
      <c r="AT3922" s="28"/>
    </row>
    <row r="3923">
      <c r="A3923" s="14"/>
      <c r="B3923" s="15"/>
      <c r="C3923" s="16"/>
      <c r="D3923" s="15"/>
      <c r="F3923" s="15"/>
      <c r="G3923" s="26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28"/>
      <c r="AS3923" s="28"/>
      <c r="AT3923" s="28"/>
    </row>
    <row r="3924">
      <c r="A3924" s="14"/>
      <c r="B3924" s="15"/>
      <c r="C3924" s="16"/>
      <c r="D3924" s="15"/>
      <c r="F3924" s="15"/>
      <c r="G3924" s="26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28"/>
      <c r="AS3924" s="28"/>
      <c r="AT3924" s="28"/>
    </row>
    <row r="3925">
      <c r="A3925" s="14"/>
      <c r="B3925" s="15"/>
      <c r="C3925" s="16"/>
      <c r="D3925" s="15"/>
      <c r="F3925" s="15"/>
      <c r="G3925" s="26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28"/>
      <c r="AS3925" s="28"/>
      <c r="AT3925" s="28"/>
    </row>
    <row r="3926">
      <c r="A3926" s="14"/>
      <c r="B3926" s="15"/>
      <c r="C3926" s="16"/>
      <c r="D3926" s="15"/>
      <c r="F3926" s="15"/>
      <c r="G3926" s="26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28"/>
      <c r="AS3926" s="28"/>
      <c r="AT3926" s="28"/>
    </row>
    <row r="3927">
      <c r="A3927" s="14"/>
      <c r="B3927" s="15"/>
      <c r="C3927" s="16"/>
      <c r="D3927" s="15"/>
      <c r="F3927" s="15"/>
      <c r="G3927" s="26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28"/>
      <c r="AS3927" s="28"/>
      <c r="AT3927" s="28"/>
    </row>
    <row r="3928">
      <c r="A3928" s="14"/>
      <c r="B3928" s="15"/>
      <c r="C3928" s="16"/>
      <c r="D3928" s="15"/>
      <c r="F3928" s="15"/>
      <c r="G3928" s="26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28"/>
      <c r="AS3928" s="28"/>
      <c r="AT3928" s="28"/>
    </row>
    <row r="3929">
      <c r="A3929" s="14"/>
      <c r="B3929" s="15"/>
      <c r="C3929" s="16"/>
      <c r="D3929" s="15"/>
      <c r="F3929" s="15"/>
      <c r="G3929" s="26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28"/>
      <c r="AS3929" s="28"/>
      <c r="AT3929" s="28"/>
    </row>
    <row r="3930">
      <c r="A3930" s="14"/>
      <c r="B3930" s="15"/>
      <c r="C3930" s="16"/>
      <c r="D3930" s="15"/>
      <c r="F3930" s="15"/>
      <c r="G3930" s="26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28"/>
      <c r="AS3930" s="28"/>
      <c r="AT3930" s="28"/>
    </row>
    <row r="3931">
      <c r="A3931" s="14"/>
      <c r="B3931" s="15"/>
      <c r="C3931" s="16"/>
      <c r="D3931" s="15"/>
      <c r="F3931" s="15"/>
      <c r="G3931" s="26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28"/>
      <c r="AS3931" s="28"/>
      <c r="AT3931" s="28"/>
    </row>
    <row r="3932">
      <c r="A3932" s="14"/>
      <c r="B3932" s="15"/>
      <c r="C3932" s="16"/>
      <c r="D3932" s="15"/>
      <c r="F3932" s="15"/>
      <c r="G3932" s="26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28"/>
      <c r="AS3932" s="28"/>
      <c r="AT3932" s="28"/>
    </row>
    <row r="3933">
      <c r="A3933" s="14"/>
      <c r="B3933" s="15"/>
      <c r="C3933" s="16"/>
      <c r="D3933" s="15"/>
      <c r="F3933" s="15"/>
      <c r="G3933" s="26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28"/>
      <c r="AS3933" s="28"/>
      <c r="AT3933" s="28"/>
    </row>
    <row r="3934">
      <c r="A3934" s="14"/>
      <c r="B3934" s="15"/>
      <c r="C3934" s="16"/>
      <c r="D3934" s="15"/>
      <c r="F3934" s="15"/>
      <c r="G3934" s="26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28"/>
      <c r="AS3934" s="28"/>
      <c r="AT3934" s="28"/>
    </row>
    <row r="3935">
      <c r="A3935" s="14"/>
      <c r="B3935" s="15"/>
      <c r="C3935" s="16"/>
      <c r="D3935" s="15"/>
      <c r="F3935" s="15"/>
      <c r="G3935" s="26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28"/>
      <c r="AS3935" s="28"/>
      <c r="AT3935" s="28"/>
    </row>
    <row r="3936">
      <c r="A3936" s="14"/>
      <c r="B3936" s="15"/>
      <c r="C3936" s="16"/>
      <c r="D3936" s="15"/>
      <c r="F3936" s="15"/>
      <c r="G3936" s="26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8"/>
      <c r="AH3936" s="28"/>
      <c r="AI3936" s="28"/>
      <c r="AJ3936" s="28"/>
      <c r="AK3936" s="28"/>
      <c r="AL3936" s="28"/>
      <c r="AM3936" s="28"/>
      <c r="AN3936" s="28"/>
      <c r="AO3936" s="28"/>
      <c r="AP3936" s="28"/>
      <c r="AQ3936" s="28"/>
      <c r="AR3936" s="28"/>
      <c r="AS3936" s="28"/>
      <c r="AT3936" s="28"/>
    </row>
    <row r="3937">
      <c r="A3937" s="14"/>
      <c r="B3937" s="15"/>
      <c r="C3937" s="16"/>
      <c r="D3937" s="15"/>
      <c r="F3937" s="15"/>
      <c r="G3937" s="26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8"/>
      <c r="AH3937" s="28"/>
      <c r="AI3937" s="28"/>
      <c r="AJ3937" s="28"/>
      <c r="AK3937" s="28"/>
      <c r="AL3937" s="28"/>
      <c r="AM3937" s="28"/>
      <c r="AN3937" s="28"/>
      <c r="AO3937" s="28"/>
      <c r="AP3937" s="28"/>
      <c r="AQ3937" s="28"/>
      <c r="AR3937" s="28"/>
      <c r="AS3937" s="28"/>
      <c r="AT3937" s="28"/>
    </row>
    <row r="3938">
      <c r="A3938" s="14"/>
      <c r="B3938" s="15"/>
      <c r="C3938" s="16"/>
      <c r="D3938" s="15"/>
      <c r="F3938" s="15"/>
      <c r="G3938" s="26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8"/>
      <c r="AH3938" s="28"/>
      <c r="AI3938" s="28"/>
      <c r="AJ3938" s="28"/>
      <c r="AK3938" s="28"/>
      <c r="AL3938" s="28"/>
      <c r="AM3938" s="28"/>
      <c r="AN3938" s="28"/>
      <c r="AO3938" s="28"/>
      <c r="AP3938" s="28"/>
      <c r="AQ3938" s="28"/>
      <c r="AR3938" s="28"/>
      <c r="AS3938" s="28"/>
      <c r="AT3938" s="28"/>
    </row>
    <row r="3939">
      <c r="A3939" s="14"/>
      <c r="B3939" s="15"/>
      <c r="C3939" s="16"/>
      <c r="D3939" s="15"/>
      <c r="F3939" s="15"/>
      <c r="G3939" s="26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8"/>
      <c r="AH3939" s="28"/>
      <c r="AI3939" s="28"/>
      <c r="AJ3939" s="28"/>
      <c r="AK3939" s="28"/>
      <c r="AL3939" s="28"/>
      <c r="AM3939" s="28"/>
      <c r="AN3939" s="28"/>
      <c r="AO3939" s="28"/>
      <c r="AP3939" s="28"/>
      <c r="AQ3939" s="28"/>
      <c r="AR3939" s="28"/>
      <c r="AS3939" s="28"/>
      <c r="AT3939" s="28"/>
    </row>
    <row r="3940">
      <c r="A3940" s="14"/>
      <c r="B3940" s="15"/>
      <c r="C3940" s="16"/>
      <c r="D3940" s="15"/>
      <c r="F3940" s="15"/>
      <c r="G3940" s="26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28"/>
      <c r="AM3940" s="28"/>
      <c r="AN3940" s="28"/>
      <c r="AO3940" s="28"/>
      <c r="AP3940" s="28"/>
      <c r="AQ3940" s="28"/>
      <c r="AR3940" s="28"/>
      <c r="AS3940" s="28"/>
      <c r="AT3940" s="28"/>
    </row>
    <row r="3941">
      <c r="A3941" s="14"/>
      <c r="B3941" s="15"/>
      <c r="C3941" s="16"/>
      <c r="D3941" s="15"/>
      <c r="F3941" s="15"/>
      <c r="G3941" s="26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8"/>
      <c r="AH3941" s="28"/>
      <c r="AI3941" s="28"/>
      <c r="AJ3941" s="28"/>
      <c r="AK3941" s="28"/>
      <c r="AL3941" s="28"/>
      <c r="AM3941" s="28"/>
      <c r="AN3941" s="28"/>
      <c r="AO3941" s="28"/>
      <c r="AP3941" s="28"/>
      <c r="AQ3941" s="28"/>
      <c r="AR3941" s="28"/>
      <c r="AS3941" s="28"/>
      <c r="AT3941" s="28"/>
    </row>
    <row r="3942">
      <c r="A3942" s="14"/>
      <c r="B3942" s="15"/>
      <c r="C3942" s="16"/>
      <c r="D3942" s="15"/>
      <c r="F3942" s="15"/>
      <c r="G3942" s="26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8"/>
      <c r="AH3942" s="28"/>
      <c r="AI3942" s="28"/>
      <c r="AJ3942" s="28"/>
      <c r="AK3942" s="28"/>
      <c r="AL3942" s="28"/>
      <c r="AM3942" s="28"/>
      <c r="AN3942" s="28"/>
      <c r="AO3942" s="28"/>
      <c r="AP3942" s="28"/>
      <c r="AQ3942" s="28"/>
      <c r="AR3942" s="28"/>
      <c r="AS3942" s="28"/>
      <c r="AT3942" s="28"/>
    </row>
    <row r="3943">
      <c r="A3943" s="14"/>
      <c r="B3943" s="15"/>
      <c r="C3943" s="16"/>
      <c r="D3943" s="15"/>
      <c r="F3943" s="15"/>
      <c r="G3943" s="26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8"/>
      <c r="AH3943" s="28"/>
      <c r="AI3943" s="28"/>
      <c r="AJ3943" s="28"/>
      <c r="AK3943" s="28"/>
      <c r="AL3943" s="28"/>
      <c r="AM3943" s="28"/>
      <c r="AN3943" s="28"/>
      <c r="AO3943" s="28"/>
      <c r="AP3943" s="28"/>
      <c r="AQ3943" s="28"/>
      <c r="AR3943" s="28"/>
      <c r="AS3943" s="28"/>
      <c r="AT3943" s="28"/>
    </row>
    <row r="3944">
      <c r="A3944" s="14"/>
      <c r="B3944" s="15"/>
      <c r="C3944" s="16"/>
      <c r="D3944" s="15"/>
      <c r="F3944" s="15"/>
      <c r="G3944" s="26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28"/>
      <c r="AR3944" s="28"/>
      <c r="AS3944" s="28"/>
      <c r="AT3944" s="28"/>
    </row>
    <row r="3945">
      <c r="A3945" s="14"/>
      <c r="B3945" s="15"/>
      <c r="C3945" s="16"/>
      <c r="D3945" s="15"/>
      <c r="F3945" s="15"/>
      <c r="G3945" s="26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8"/>
      <c r="AH3945" s="28"/>
      <c r="AI3945" s="28"/>
      <c r="AJ3945" s="28"/>
      <c r="AK3945" s="28"/>
      <c r="AL3945" s="28"/>
      <c r="AM3945" s="28"/>
      <c r="AN3945" s="28"/>
      <c r="AO3945" s="28"/>
      <c r="AP3945" s="28"/>
      <c r="AQ3945" s="28"/>
      <c r="AR3945" s="28"/>
      <c r="AS3945" s="28"/>
      <c r="AT3945" s="28"/>
    </row>
    <row r="3946">
      <c r="A3946" s="14"/>
      <c r="B3946" s="15"/>
      <c r="C3946" s="16"/>
      <c r="D3946" s="15"/>
      <c r="F3946" s="15"/>
      <c r="G3946" s="26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8"/>
      <c r="AH3946" s="28"/>
      <c r="AI3946" s="28"/>
      <c r="AJ3946" s="28"/>
      <c r="AK3946" s="28"/>
      <c r="AL3946" s="28"/>
      <c r="AM3946" s="28"/>
      <c r="AN3946" s="28"/>
      <c r="AO3946" s="28"/>
      <c r="AP3946" s="28"/>
      <c r="AQ3946" s="28"/>
      <c r="AR3946" s="28"/>
      <c r="AS3946" s="28"/>
      <c r="AT3946" s="28"/>
    </row>
    <row r="3947">
      <c r="A3947" s="14"/>
      <c r="B3947" s="15"/>
      <c r="C3947" s="16"/>
      <c r="D3947" s="15"/>
      <c r="F3947" s="15"/>
      <c r="G3947" s="26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8"/>
      <c r="AH3947" s="28"/>
      <c r="AI3947" s="28"/>
      <c r="AJ3947" s="28"/>
      <c r="AK3947" s="28"/>
      <c r="AL3947" s="28"/>
      <c r="AM3947" s="28"/>
      <c r="AN3947" s="28"/>
      <c r="AO3947" s="28"/>
      <c r="AP3947" s="28"/>
      <c r="AQ3947" s="28"/>
      <c r="AR3947" s="28"/>
      <c r="AS3947" s="28"/>
      <c r="AT3947" s="28"/>
    </row>
    <row r="3948">
      <c r="A3948" s="14"/>
      <c r="B3948" s="15"/>
      <c r="C3948" s="16"/>
      <c r="D3948" s="15"/>
      <c r="F3948" s="15"/>
      <c r="G3948" s="26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8"/>
      <c r="AH3948" s="28"/>
      <c r="AI3948" s="28"/>
      <c r="AJ3948" s="28"/>
      <c r="AK3948" s="28"/>
      <c r="AL3948" s="28"/>
      <c r="AM3948" s="28"/>
      <c r="AN3948" s="28"/>
      <c r="AO3948" s="28"/>
      <c r="AP3948" s="28"/>
      <c r="AQ3948" s="28"/>
      <c r="AR3948" s="28"/>
      <c r="AS3948" s="28"/>
      <c r="AT3948" s="28"/>
    </row>
    <row r="3949">
      <c r="A3949" s="14"/>
      <c r="B3949" s="15"/>
      <c r="C3949" s="16"/>
      <c r="D3949" s="15"/>
      <c r="F3949" s="15"/>
      <c r="G3949" s="26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28"/>
      <c r="AR3949" s="28"/>
      <c r="AS3949" s="28"/>
      <c r="AT3949" s="28"/>
    </row>
    <row r="3950">
      <c r="A3950" s="14"/>
      <c r="B3950" s="15"/>
      <c r="C3950" s="16"/>
      <c r="D3950" s="15"/>
      <c r="F3950" s="15"/>
      <c r="G3950" s="26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28"/>
      <c r="AS3950" s="28"/>
      <c r="AT3950" s="28"/>
    </row>
    <row r="3951">
      <c r="A3951" s="14"/>
      <c r="B3951" s="15"/>
      <c r="C3951" s="16"/>
      <c r="D3951" s="15"/>
      <c r="F3951" s="15"/>
      <c r="G3951" s="26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8"/>
      <c r="AH3951" s="28"/>
      <c r="AI3951" s="28"/>
      <c r="AJ3951" s="28"/>
      <c r="AK3951" s="28"/>
      <c r="AL3951" s="28"/>
      <c r="AM3951" s="28"/>
      <c r="AN3951" s="28"/>
      <c r="AO3951" s="28"/>
      <c r="AP3951" s="28"/>
      <c r="AQ3951" s="28"/>
      <c r="AR3951" s="28"/>
      <c r="AS3951" s="28"/>
      <c r="AT3951" s="28"/>
    </row>
    <row r="3952">
      <c r="A3952" s="14"/>
      <c r="B3952" s="15"/>
      <c r="C3952" s="16"/>
      <c r="D3952" s="15"/>
      <c r="F3952" s="15"/>
      <c r="G3952" s="26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8"/>
      <c r="AH3952" s="28"/>
      <c r="AI3952" s="28"/>
      <c r="AJ3952" s="28"/>
      <c r="AK3952" s="28"/>
      <c r="AL3952" s="28"/>
      <c r="AM3952" s="28"/>
      <c r="AN3952" s="28"/>
      <c r="AO3952" s="28"/>
      <c r="AP3952" s="28"/>
      <c r="AQ3952" s="28"/>
      <c r="AR3952" s="28"/>
      <c r="AS3952" s="28"/>
      <c r="AT3952" s="28"/>
    </row>
    <row r="3953">
      <c r="A3953" s="14"/>
      <c r="B3953" s="15"/>
      <c r="C3953" s="16"/>
      <c r="D3953" s="15"/>
      <c r="F3953" s="15"/>
      <c r="G3953" s="26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8"/>
      <c r="AH3953" s="28"/>
      <c r="AI3953" s="28"/>
      <c r="AJ3953" s="28"/>
      <c r="AK3953" s="28"/>
      <c r="AL3953" s="28"/>
      <c r="AM3953" s="28"/>
      <c r="AN3953" s="28"/>
      <c r="AO3953" s="28"/>
      <c r="AP3953" s="28"/>
      <c r="AQ3953" s="28"/>
      <c r="AR3953" s="28"/>
      <c r="AS3953" s="28"/>
      <c r="AT3953" s="28"/>
    </row>
    <row r="3954">
      <c r="A3954" s="14"/>
      <c r="B3954" s="15"/>
      <c r="C3954" s="16"/>
      <c r="D3954" s="15"/>
      <c r="F3954" s="15"/>
      <c r="G3954" s="26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8"/>
      <c r="AH3954" s="28"/>
      <c r="AI3954" s="28"/>
      <c r="AJ3954" s="28"/>
      <c r="AK3954" s="28"/>
      <c r="AL3954" s="28"/>
      <c r="AM3954" s="28"/>
      <c r="AN3954" s="28"/>
      <c r="AO3954" s="28"/>
      <c r="AP3954" s="28"/>
      <c r="AQ3954" s="28"/>
      <c r="AR3954" s="28"/>
      <c r="AS3954" s="28"/>
      <c r="AT3954" s="28"/>
    </row>
    <row r="3955">
      <c r="A3955" s="14"/>
      <c r="B3955" s="15"/>
      <c r="C3955" s="16"/>
      <c r="D3955" s="15"/>
      <c r="F3955" s="15"/>
      <c r="G3955" s="26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  <c r="AF3955" s="28"/>
      <c r="AG3955" s="28"/>
      <c r="AH3955" s="28"/>
      <c r="AI3955" s="28"/>
      <c r="AJ3955" s="28"/>
      <c r="AK3955" s="28"/>
      <c r="AL3955" s="28"/>
      <c r="AM3955" s="28"/>
      <c r="AN3955" s="28"/>
      <c r="AO3955" s="28"/>
      <c r="AP3955" s="28"/>
      <c r="AQ3955" s="28"/>
      <c r="AR3955" s="28"/>
      <c r="AS3955" s="28"/>
      <c r="AT3955" s="28"/>
    </row>
    <row r="3956">
      <c r="A3956" s="14"/>
      <c r="B3956" s="15"/>
      <c r="C3956" s="16"/>
      <c r="D3956" s="15"/>
      <c r="F3956" s="15"/>
      <c r="G3956" s="26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8"/>
      <c r="AH3956" s="28"/>
      <c r="AI3956" s="28"/>
      <c r="AJ3956" s="28"/>
      <c r="AK3956" s="28"/>
      <c r="AL3956" s="28"/>
      <c r="AM3956" s="28"/>
      <c r="AN3956" s="28"/>
      <c r="AO3956" s="28"/>
      <c r="AP3956" s="28"/>
      <c r="AQ3956" s="28"/>
      <c r="AR3956" s="28"/>
      <c r="AS3956" s="28"/>
      <c r="AT3956" s="28"/>
    </row>
    <row r="3957">
      <c r="A3957" s="14"/>
      <c r="B3957" s="15"/>
      <c r="C3957" s="16"/>
      <c r="D3957" s="15"/>
      <c r="F3957" s="15"/>
      <c r="G3957" s="26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8"/>
      <c r="AH3957" s="28"/>
      <c r="AI3957" s="28"/>
      <c r="AJ3957" s="28"/>
      <c r="AK3957" s="28"/>
      <c r="AL3957" s="28"/>
      <c r="AM3957" s="28"/>
      <c r="AN3957" s="28"/>
      <c r="AO3957" s="28"/>
      <c r="AP3957" s="28"/>
      <c r="AQ3957" s="28"/>
      <c r="AR3957" s="28"/>
      <c r="AS3957" s="28"/>
      <c r="AT3957" s="28"/>
    </row>
    <row r="3958">
      <c r="A3958" s="14"/>
      <c r="B3958" s="15"/>
      <c r="C3958" s="16"/>
      <c r="D3958" s="15"/>
      <c r="F3958" s="15"/>
      <c r="G3958" s="26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8"/>
      <c r="AH3958" s="28"/>
      <c r="AI3958" s="28"/>
      <c r="AJ3958" s="28"/>
      <c r="AK3958" s="28"/>
      <c r="AL3958" s="28"/>
      <c r="AM3958" s="28"/>
      <c r="AN3958" s="28"/>
      <c r="AO3958" s="28"/>
      <c r="AP3958" s="28"/>
      <c r="AQ3958" s="28"/>
      <c r="AR3958" s="28"/>
      <c r="AS3958" s="28"/>
      <c r="AT3958" s="28"/>
    </row>
    <row r="3959">
      <c r="A3959" s="14"/>
      <c r="B3959" s="15"/>
      <c r="C3959" s="16"/>
      <c r="D3959" s="15"/>
      <c r="F3959" s="15"/>
      <c r="G3959" s="26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8"/>
      <c r="AH3959" s="28"/>
      <c r="AI3959" s="28"/>
      <c r="AJ3959" s="28"/>
      <c r="AK3959" s="28"/>
      <c r="AL3959" s="28"/>
      <c r="AM3959" s="28"/>
      <c r="AN3959" s="28"/>
      <c r="AO3959" s="28"/>
      <c r="AP3959" s="28"/>
      <c r="AQ3959" s="28"/>
      <c r="AR3959" s="28"/>
      <c r="AS3959" s="28"/>
      <c r="AT3959" s="28"/>
    </row>
    <row r="3960">
      <c r="A3960" s="14"/>
      <c r="B3960" s="15"/>
      <c r="C3960" s="16"/>
      <c r="D3960" s="15"/>
      <c r="F3960" s="15"/>
      <c r="G3960" s="26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8"/>
      <c r="AH3960" s="28"/>
      <c r="AI3960" s="28"/>
      <c r="AJ3960" s="28"/>
      <c r="AK3960" s="28"/>
      <c r="AL3960" s="28"/>
      <c r="AM3960" s="28"/>
      <c r="AN3960" s="28"/>
      <c r="AO3960" s="28"/>
      <c r="AP3960" s="28"/>
      <c r="AQ3960" s="28"/>
      <c r="AR3960" s="28"/>
      <c r="AS3960" s="28"/>
      <c r="AT3960" s="28"/>
    </row>
    <row r="3961">
      <c r="A3961" s="14"/>
      <c r="B3961" s="15"/>
      <c r="C3961" s="16"/>
      <c r="D3961" s="15"/>
      <c r="F3961" s="15"/>
      <c r="G3961" s="26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8"/>
      <c r="AH3961" s="28"/>
      <c r="AI3961" s="28"/>
      <c r="AJ3961" s="28"/>
      <c r="AK3961" s="28"/>
      <c r="AL3961" s="28"/>
      <c r="AM3961" s="28"/>
      <c r="AN3961" s="28"/>
      <c r="AO3961" s="28"/>
      <c r="AP3961" s="28"/>
      <c r="AQ3961" s="28"/>
      <c r="AR3961" s="28"/>
      <c r="AS3961" s="28"/>
      <c r="AT3961" s="28"/>
    </row>
    <row r="3962">
      <c r="A3962" s="14"/>
      <c r="B3962" s="15"/>
      <c r="C3962" s="16"/>
      <c r="D3962" s="15"/>
      <c r="F3962" s="15"/>
      <c r="G3962" s="26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8"/>
      <c r="AP3962" s="28"/>
      <c r="AQ3962" s="28"/>
      <c r="AR3962" s="28"/>
      <c r="AS3962" s="28"/>
      <c r="AT3962" s="28"/>
    </row>
    <row r="3963">
      <c r="A3963" s="14"/>
      <c r="B3963" s="15"/>
      <c r="C3963" s="16"/>
      <c r="D3963" s="15"/>
      <c r="F3963" s="15"/>
      <c r="G3963" s="26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8"/>
      <c r="AH3963" s="28"/>
      <c r="AI3963" s="28"/>
      <c r="AJ3963" s="28"/>
      <c r="AK3963" s="28"/>
      <c r="AL3963" s="28"/>
      <c r="AM3963" s="28"/>
      <c r="AN3963" s="28"/>
      <c r="AO3963" s="28"/>
      <c r="AP3963" s="28"/>
      <c r="AQ3963" s="28"/>
      <c r="AR3963" s="28"/>
      <c r="AS3963" s="28"/>
      <c r="AT3963" s="28"/>
    </row>
    <row r="3964">
      <c r="A3964" s="14"/>
      <c r="B3964" s="15"/>
      <c r="C3964" s="16"/>
      <c r="D3964" s="15"/>
      <c r="F3964" s="15"/>
      <c r="G3964" s="26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28"/>
      <c r="AR3964" s="28"/>
      <c r="AS3964" s="28"/>
      <c r="AT3964" s="28"/>
    </row>
    <row r="3965">
      <c r="A3965" s="14"/>
      <c r="B3965" s="15"/>
      <c r="C3965" s="16"/>
      <c r="D3965" s="15"/>
      <c r="F3965" s="15"/>
      <c r="G3965" s="26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28"/>
      <c r="AS3965" s="28"/>
      <c r="AT3965" s="28"/>
    </row>
    <row r="3966">
      <c r="A3966" s="14"/>
      <c r="B3966" s="15"/>
      <c r="C3966" s="16"/>
      <c r="D3966" s="15"/>
      <c r="F3966" s="15"/>
      <c r="G3966" s="26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28"/>
      <c r="AS3966" s="28"/>
      <c r="AT3966" s="28"/>
    </row>
    <row r="3967">
      <c r="A3967" s="14"/>
      <c r="B3967" s="15"/>
      <c r="C3967" s="16"/>
      <c r="D3967" s="15"/>
      <c r="F3967" s="15"/>
      <c r="G3967" s="26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O3967" s="28"/>
      <c r="AP3967" s="28"/>
      <c r="AQ3967" s="28"/>
      <c r="AR3967" s="28"/>
      <c r="AS3967" s="28"/>
      <c r="AT3967" s="28"/>
    </row>
    <row r="3968">
      <c r="A3968" s="14"/>
      <c r="B3968" s="15"/>
      <c r="C3968" s="16"/>
      <c r="D3968" s="15"/>
      <c r="F3968" s="15"/>
      <c r="G3968" s="26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28"/>
      <c r="AR3968" s="28"/>
      <c r="AS3968" s="28"/>
      <c r="AT3968" s="28"/>
    </row>
    <row r="3969">
      <c r="A3969" s="14"/>
      <c r="B3969" s="15"/>
      <c r="C3969" s="16"/>
      <c r="D3969" s="15"/>
      <c r="F3969" s="15"/>
      <c r="G3969" s="26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R3969" s="28"/>
      <c r="AS3969" s="28"/>
      <c r="AT3969" s="28"/>
    </row>
    <row r="3970">
      <c r="A3970" s="14"/>
      <c r="B3970" s="15"/>
      <c r="C3970" s="16"/>
      <c r="D3970" s="15"/>
      <c r="F3970" s="15"/>
      <c r="G3970" s="26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28"/>
      <c r="AS3970" s="28"/>
      <c r="AT3970" s="28"/>
    </row>
    <row r="3971">
      <c r="A3971" s="14"/>
      <c r="B3971" s="15"/>
      <c r="C3971" s="16"/>
      <c r="D3971" s="15"/>
      <c r="F3971" s="15"/>
      <c r="G3971" s="26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28"/>
      <c r="AS3971" s="28"/>
      <c r="AT3971" s="28"/>
    </row>
    <row r="3972">
      <c r="A3972" s="14"/>
      <c r="B3972" s="15"/>
      <c r="C3972" s="16"/>
      <c r="D3972" s="15"/>
      <c r="F3972" s="15"/>
      <c r="G3972" s="26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28"/>
      <c r="AS3972" s="28"/>
      <c r="AT3972" s="28"/>
    </row>
    <row r="3973">
      <c r="A3973" s="14"/>
      <c r="B3973" s="15"/>
      <c r="C3973" s="16"/>
      <c r="D3973" s="15"/>
      <c r="F3973" s="15"/>
      <c r="G3973" s="26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28"/>
      <c r="AR3973" s="28"/>
      <c r="AS3973" s="28"/>
      <c r="AT3973" s="28"/>
    </row>
    <row r="3974">
      <c r="A3974" s="14"/>
      <c r="B3974" s="15"/>
      <c r="C3974" s="16"/>
      <c r="D3974" s="15"/>
      <c r="F3974" s="15"/>
      <c r="G3974" s="26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28"/>
      <c r="AS3974" s="28"/>
      <c r="AT3974" s="28"/>
    </row>
    <row r="3975">
      <c r="A3975" s="14"/>
      <c r="B3975" s="15"/>
      <c r="C3975" s="16"/>
      <c r="D3975" s="15"/>
      <c r="F3975" s="15"/>
      <c r="G3975" s="26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28"/>
      <c r="AS3975" s="28"/>
      <c r="AT3975" s="28"/>
    </row>
    <row r="3976">
      <c r="A3976" s="14"/>
      <c r="B3976" s="15"/>
      <c r="C3976" s="16"/>
      <c r="D3976" s="15"/>
      <c r="F3976" s="15"/>
      <c r="G3976" s="26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28"/>
      <c r="AS3976" s="28"/>
      <c r="AT3976" s="28"/>
    </row>
    <row r="3977">
      <c r="A3977" s="14"/>
      <c r="B3977" s="15"/>
      <c r="C3977" s="16"/>
      <c r="D3977" s="15"/>
      <c r="F3977" s="15"/>
      <c r="G3977" s="26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28"/>
      <c r="AS3977" s="28"/>
      <c r="AT3977" s="28"/>
    </row>
    <row r="3978">
      <c r="A3978" s="14"/>
      <c r="B3978" s="15"/>
      <c r="C3978" s="16"/>
      <c r="D3978" s="15"/>
      <c r="F3978" s="15"/>
      <c r="G3978" s="26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28"/>
      <c r="AS3978" s="28"/>
      <c r="AT3978" s="28"/>
    </row>
    <row r="3979">
      <c r="A3979" s="14"/>
      <c r="B3979" s="15"/>
      <c r="C3979" s="16"/>
      <c r="D3979" s="15"/>
      <c r="F3979" s="15"/>
      <c r="G3979" s="26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28"/>
      <c r="AS3979" s="28"/>
      <c r="AT3979" s="28"/>
    </row>
    <row r="3980">
      <c r="A3980" s="14"/>
      <c r="B3980" s="15"/>
      <c r="C3980" s="16"/>
      <c r="D3980" s="15"/>
      <c r="F3980" s="15"/>
      <c r="G3980" s="26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28"/>
      <c r="AS3980" s="28"/>
      <c r="AT3980" s="28"/>
    </row>
    <row r="3981">
      <c r="A3981" s="14"/>
      <c r="B3981" s="15"/>
      <c r="C3981" s="16"/>
      <c r="D3981" s="15"/>
      <c r="F3981" s="15"/>
      <c r="G3981" s="26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28"/>
      <c r="AS3981" s="28"/>
      <c r="AT3981" s="28"/>
    </row>
    <row r="3982">
      <c r="A3982" s="14"/>
      <c r="B3982" s="15"/>
      <c r="C3982" s="16"/>
      <c r="D3982" s="15"/>
      <c r="F3982" s="15"/>
      <c r="G3982" s="26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28"/>
      <c r="AS3982" s="28"/>
      <c r="AT3982" s="28"/>
    </row>
    <row r="3983">
      <c r="A3983" s="14"/>
      <c r="B3983" s="15"/>
      <c r="C3983" s="16"/>
      <c r="D3983" s="15"/>
      <c r="F3983" s="15"/>
      <c r="G3983" s="26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28"/>
      <c r="AS3983" s="28"/>
      <c r="AT3983" s="28"/>
    </row>
    <row r="3984">
      <c r="A3984" s="14"/>
      <c r="B3984" s="15"/>
      <c r="C3984" s="16"/>
      <c r="D3984" s="15"/>
      <c r="F3984" s="15"/>
      <c r="G3984" s="26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28"/>
      <c r="AS3984" s="28"/>
      <c r="AT3984" s="28"/>
    </row>
    <row r="3985">
      <c r="A3985" s="14"/>
      <c r="B3985" s="15"/>
      <c r="C3985" s="16"/>
      <c r="D3985" s="15"/>
      <c r="F3985" s="15"/>
      <c r="G3985" s="26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28"/>
      <c r="AS3985" s="28"/>
      <c r="AT3985" s="28"/>
    </row>
    <row r="3986">
      <c r="A3986" s="14"/>
      <c r="B3986" s="15"/>
      <c r="C3986" s="16"/>
      <c r="D3986" s="15"/>
      <c r="F3986" s="15"/>
      <c r="G3986" s="26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28"/>
      <c r="AS3986" s="28"/>
      <c r="AT3986" s="28"/>
    </row>
    <row r="3987">
      <c r="A3987" s="14"/>
      <c r="B3987" s="15"/>
      <c r="C3987" s="16"/>
      <c r="D3987" s="15"/>
      <c r="F3987" s="15"/>
      <c r="G3987" s="26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28"/>
      <c r="AS3987" s="28"/>
      <c r="AT3987" s="28"/>
    </row>
    <row r="3988">
      <c r="A3988" s="14"/>
      <c r="B3988" s="15"/>
      <c r="C3988" s="16"/>
      <c r="D3988" s="15"/>
      <c r="F3988" s="15"/>
      <c r="G3988" s="26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28"/>
      <c r="AS3988" s="28"/>
      <c r="AT3988" s="28"/>
    </row>
    <row r="3989">
      <c r="A3989" s="14"/>
      <c r="B3989" s="15"/>
      <c r="C3989" s="16"/>
      <c r="D3989" s="15"/>
      <c r="F3989" s="15"/>
      <c r="G3989" s="26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28"/>
      <c r="AS3989" s="28"/>
      <c r="AT3989" s="28"/>
    </row>
    <row r="3990">
      <c r="A3990" s="14"/>
      <c r="B3990" s="15"/>
      <c r="C3990" s="16"/>
      <c r="D3990" s="15"/>
      <c r="F3990" s="15"/>
      <c r="G3990" s="26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28"/>
      <c r="AS3990" s="28"/>
      <c r="AT3990" s="28"/>
    </row>
    <row r="3991">
      <c r="A3991" s="14"/>
      <c r="B3991" s="15"/>
      <c r="C3991" s="16"/>
      <c r="D3991" s="15"/>
      <c r="F3991" s="15"/>
      <c r="G3991" s="26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28"/>
      <c r="AS3991" s="28"/>
      <c r="AT3991" s="28"/>
    </row>
    <row r="3992">
      <c r="A3992" s="14"/>
      <c r="B3992" s="15"/>
      <c r="C3992" s="16"/>
      <c r="D3992" s="15"/>
      <c r="F3992" s="15"/>
      <c r="G3992" s="26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28"/>
      <c r="AS3992" s="28"/>
      <c r="AT3992" s="28"/>
    </row>
    <row r="3993">
      <c r="A3993" s="14"/>
      <c r="B3993" s="15"/>
      <c r="C3993" s="16"/>
      <c r="D3993" s="15"/>
      <c r="F3993" s="15"/>
      <c r="G3993" s="26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28"/>
      <c r="AS3993" s="28"/>
      <c r="AT3993" s="28"/>
    </row>
    <row r="3994">
      <c r="A3994" s="14"/>
      <c r="B3994" s="15"/>
      <c r="C3994" s="16"/>
      <c r="D3994" s="15"/>
      <c r="F3994" s="15"/>
      <c r="G3994" s="26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28"/>
      <c r="AS3994" s="28"/>
      <c r="AT3994" s="28"/>
    </row>
    <row r="3995">
      <c r="A3995" s="14"/>
      <c r="B3995" s="15"/>
      <c r="C3995" s="16"/>
      <c r="D3995" s="15"/>
      <c r="F3995" s="15"/>
      <c r="G3995" s="26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28"/>
      <c r="AS3995" s="28"/>
      <c r="AT3995" s="28"/>
    </row>
    <row r="3996">
      <c r="A3996" s="14"/>
      <c r="B3996" s="15"/>
      <c r="C3996" s="16"/>
      <c r="D3996" s="15"/>
      <c r="F3996" s="15"/>
      <c r="G3996" s="26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28"/>
      <c r="AS3996" s="28"/>
      <c r="AT3996" s="28"/>
    </row>
    <row r="3997">
      <c r="A3997" s="14"/>
      <c r="B3997" s="15"/>
      <c r="C3997" s="16"/>
      <c r="D3997" s="15"/>
      <c r="F3997" s="15"/>
      <c r="G3997" s="26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28"/>
      <c r="AS3997" s="28"/>
      <c r="AT3997" s="28"/>
    </row>
    <row r="3998">
      <c r="A3998" s="14"/>
      <c r="B3998" s="15"/>
      <c r="C3998" s="16"/>
      <c r="D3998" s="15"/>
      <c r="F3998" s="15"/>
      <c r="G3998" s="26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28"/>
      <c r="AS3998" s="28"/>
      <c r="AT3998" s="28"/>
    </row>
    <row r="3999">
      <c r="A3999" s="14"/>
      <c r="B3999" s="15"/>
      <c r="C3999" s="16"/>
      <c r="D3999" s="15"/>
      <c r="F3999" s="15"/>
      <c r="G3999" s="26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28"/>
      <c r="AS3999" s="28"/>
      <c r="AT3999" s="28"/>
    </row>
    <row r="4000">
      <c r="A4000" s="14"/>
      <c r="B4000" s="15"/>
      <c r="C4000" s="16"/>
      <c r="D4000" s="15"/>
      <c r="F4000" s="15"/>
      <c r="G4000" s="26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28"/>
      <c r="AS4000" s="28"/>
      <c r="AT4000" s="28"/>
    </row>
    <row r="4001">
      <c r="A4001" s="14"/>
      <c r="B4001" s="15"/>
      <c r="C4001" s="16"/>
      <c r="D4001" s="15"/>
      <c r="F4001" s="15"/>
      <c r="G4001" s="26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28"/>
      <c r="AS4001" s="28"/>
      <c r="AT4001" s="28"/>
    </row>
    <row r="4002">
      <c r="A4002" s="14"/>
      <c r="B4002" s="15"/>
      <c r="C4002" s="16"/>
      <c r="D4002" s="15"/>
      <c r="F4002" s="15"/>
      <c r="G4002" s="26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28"/>
      <c r="AS4002" s="28"/>
      <c r="AT4002" s="28"/>
    </row>
    <row r="4003">
      <c r="A4003" s="14"/>
      <c r="B4003" s="15"/>
      <c r="C4003" s="16"/>
      <c r="D4003" s="15"/>
      <c r="F4003" s="15"/>
      <c r="G4003" s="26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28"/>
      <c r="AS4003" s="28"/>
      <c r="AT4003" s="28"/>
    </row>
    <row r="4004">
      <c r="A4004" s="14"/>
      <c r="B4004" s="15"/>
      <c r="C4004" s="16"/>
      <c r="D4004" s="15"/>
      <c r="F4004" s="15"/>
      <c r="G4004" s="26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28"/>
      <c r="AS4004" s="28"/>
      <c r="AT4004" s="28"/>
    </row>
    <row r="4005">
      <c r="A4005" s="14"/>
      <c r="B4005" s="15"/>
      <c r="C4005" s="16"/>
      <c r="D4005" s="15"/>
      <c r="F4005" s="15"/>
      <c r="G4005" s="26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28"/>
      <c r="AS4005" s="28"/>
      <c r="AT4005" s="28"/>
    </row>
    <row r="4006">
      <c r="A4006" s="14"/>
      <c r="B4006" s="15"/>
      <c r="C4006" s="16"/>
      <c r="D4006" s="15"/>
      <c r="F4006" s="15"/>
      <c r="G4006" s="26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28"/>
      <c r="AS4006" s="28"/>
      <c r="AT4006" s="28"/>
    </row>
    <row r="4007">
      <c r="A4007" s="14"/>
      <c r="B4007" s="15"/>
      <c r="C4007" s="16"/>
      <c r="D4007" s="15"/>
      <c r="F4007" s="15"/>
      <c r="G4007" s="26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28"/>
      <c r="AS4007" s="28"/>
      <c r="AT4007" s="28"/>
    </row>
    <row r="4008">
      <c r="A4008" s="14"/>
      <c r="B4008" s="15"/>
      <c r="C4008" s="16"/>
      <c r="D4008" s="15"/>
      <c r="F4008" s="15"/>
      <c r="G4008" s="26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28"/>
      <c r="AS4008" s="28"/>
      <c r="AT4008" s="28"/>
    </row>
    <row r="4009">
      <c r="A4009" s="14"/>
      <c r="B4009" s="15"/>
      <c r="C4009" s="16"/>
      <c r="D4009" s="15"/>
      <c r="F4009" s="15"/>
      <c r="G4009" s="26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28"/>
      <c r="AS4009" s="28"/>
      <c r="AT4009" s="28"/>
    </row>
    <row r="4010">
      <c r="A4010" s="14"/>
      <c r="B4010" s="15"/>
      <c r="C4010" s="16"/>
      <c r="D4010" s="15"/>
      <c r="F4010" s="15"/>
      <c r="G4010" s="26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28"/>
      <c r="AS4010" s="28"/>
      <c r="AT4010" s="28"/>
    </row>
    <row r="4011">
      <c r="A4011" s="14"/>
      <c r="B4011" s="15"/>
      <c r="C4011" s="16"/>
      <c r="D4011" s="15"/>
      <c r="F4011" s="15"/>
      <c r="G4011" s="26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28"/>
      <c r="AS4011" s="28"/>
      <c r="AT4011" s="28"/>
    </row>
    <row r="4012">
      <c r="A4012" s="14"/>
      <c r="B4012" s="15"/>
      <c r="C4012" s="16"/>
      <c r="D4012" s="15"/>
      <c r="F4012" s="15"/>
      <c r="G4012" s="26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28"/>
      <c r="AS4012" s="28"/>
      <c r="AT4012" s="28"/>
    </row>
    <row r="4013">
      <c r="A4013" s="14"/>
      <c r="B4013" s="15"/>
      <c r="C4013" s="16"/>
      <c r="D4013" s="15"/>
      <c r="F4013" s="15"/>
      <c r="G4013" s="26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28"/>
      <c r="AS4013" s="28"/>
      <c r="AT4013" s="28"/>
    </row>
    <row r="4014">
      <c r="A4014" s="14"/>
      <c r="B4014" s="15"/>
      <c r="C4014" s="16"/>
      <c r="D4014" s="15"/>
      <c r="F4014" s="15"/>
      <c r="G4014" s="26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28"/>
      <c r="AS4014" s="28"/>
      <c r="AT4014" s="28"/>
    </row>
    <row r="4015">
      <c r="A4015" s="14"/>
      <c r="B4015" s="15"/>
      <c r="C4015" s="16"/>
      <c r="D4015" s="15"/>
      <c r="F4015" s="15"/>
      <c r="G4015" s="26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28"/>
      <c r="AS4015" s="28"/>
      <c r="AT4015" s="28"/>
    </row>
    <row r="4016">
      <c r="A4016" s="14"/>
      <c r="B4016" s="15"/>
      <c r="C4016" s="16"/>
      <c r="D4016" s="15"/>
      <c r="F4016" s="15"/>
      <c r="G4016" s="26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28"/>
      <c r="AS4016" s="28"/>
      <c r="AT4016" s="28"/>
    </row>
    <row r="4017">
      <c r="A4017" s="14"/>
      <c r="B4017" s="15"/>
      <c r="C4017" s="16"/>
      <c r="D4017" s="15"/>
      <c r="F4017" s="15"/>
      <c r="G4017" s="26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28"/>
      <c r="AS4017" s="28"/>
      <c r="AT4017" s="28"/>
    </row>
    <row r="4018">
      <c r="A4018" s="14"/>
      <c r="B4018" s="15"/>
      <c r="C4018" s="16"/>
      <c r="D4018" s="15"/>
      <c r="F4018" s="15"/>
      <c r="G4018" s="26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28"/>
      <c r="AS4018" s="28"/>
      <c r="AT4018" s="28"/>
    </row>
    <row r="4019">
      <c r="A4019" s="14"/>
      <c r="B4019" s="15"/>
      <c r="C4019" s="16"/>
      <c r="D4019" s="15"/>
      <c r="F4019" s="15"/>
      <c r="G4019" s="26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28"/>
      <c r="AS4019" s="28"/>
      <c r="AT4019" s="28"/>
    </row>
    <row r="4020">
      <c r="A4020" s="14"/>
      <c r="B4020" s="15"/>
      <c r="C4020" s="16"/>
      <c r="D4020" s="15"/>
      <c r="F4020" s="15"/>
      <c r="G4020" s="26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28"/>
      <c r="AS4020" s="28"/>
      <c r="AT4020" s="28"/>
    </row>
    <row r="4021">
      <c r="A4021" s="14"/>
      <c r="B4021" s="15"/>
      <c r="C4021" s="16"/>
      <c r="D4021" s="15"/>
      <c r="F4021" s="15"/>
      <c r="G4021" s="26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28"/>
      <c r="AS4021" s="28"/>
      <c r="AT4021" s="28"/>
    </row>
    <row r="4022">
      <c r="A4022" s="14"/>
      <c r="B4022" s="15"/>
      <c r="C4022" s="16"/>
      <c r="D4022" s="15"/>
      <c r="F4022" s="15"/>
      <c r="G4022" s="26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28"/>
      <c r="AS4022" s="28"/>
      <c r="AT4022" s="28"/>
    </row>
    <row r="4023">
      <c r="A4023" s="14"/>
      <c r="B4023" s="15"/>
      <c r="C4023" s="16"/>
      <c r="D4023" s="15"/>
      <c r="F4023" s="15"/>
      <c r="G4023" s="26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28"/>
      <c r="AS4023" s="28"/>
      <c r="AT4023" s="28"/>
    </row>
    <row r="4024">
      <c r="A4024" s="14"/>
      <c r="B4024" s="15"/>
      <c r="C4024" s="16"/>
      <c r="D4024" s="15"/>
      <c r="F4024" s="15"/>
      <c r="G4024" s="26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28"/>
      <c r="AS4024" s="28"/>
      <c r="AT4024" s="28"/>
    </row>
    <row r="4025">
      <c r="A4025" s="14"/>
      <c r="B4025" s="15"/>
      <c r="C4025" s="16"/>
      <c r="D4025" s="15"/>
      <c r="F4025" s="15"/>
      <c r="G4025" s="26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28"/>
      <c r="AS4025" s="28"/>
      <c r="AT4025" s="28"/>
    </row>
    <row r="4026">
      <c r="A4026" s="14"/>
      <c r="B4026" s="15"/>
      <c r="C4026" s="16"/>
      <c r="D4026" s="15"/>
      <c r="F4026" s="15"/>
      <c r="G4026" s="26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28"/>
      <c r="AS4026" s="28"/>
      <c r="AT4026" s="28"/>
    </row>
    <row r="4027">
      <c r="A4027" s="14"/>
      <c r="B4027" s="15"/>
      <c r="C4027" s="16"/>
      <c r="D4027" s="15"/>
      <c r="F4027" s="15"/>
      <c r="G4027" s="26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28"/>
      <c r="AS4027" s="28"/>
      <c r="AT4027" s="28"/>
    </row>
    <row r="4028">
      <c r="A4028" s="14"/>
      <c r="B4028" s="15"/>
      <c r="C4028" s="16"/>
      <c r="D4028" s="15"/>
      <c r="F4028" s="15"/>
      <c r="G4028" s="26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28"/>
      <c r="AS4028" s="28"/>
      <c r="AT4028" s="28"/>
    </row>
    <row r="4029">
      <c r="A4029" s="14"/>
      <c r="B4029" s="15"/>
      <c r="C4029" s="16"/>
      <c r="D4029" s="15"/>
      <c r="F4029" s="15"/>
      <c r="G4029" s="26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28"/>
      <c r="AS4029" s="28"/>
      <c r="AT4029" s="28"/>
    </row>
    <row r="4030">
      <c r="A4030" s="14"/>
      <c r="B4030" s="15"/>
      <c r="C4030" s="16"/>
      <c r="D4030" s="15"/>
      <c r="F4030" s="15"/>
      <c r="G4030" s="26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28"/>
      <c r="AS4030" s="28"/>
      <c r="AT4030" s="28"/>
    </row>
    <row r="4031">
      <c r="A4031" s="14"/>
      <c r="B4031" s="15"/>
      <c r="C4031" s="16"/>
      <c r="D4031" s="15"/>
      <c r="F4031" s="15"/>
      <c r="G4031" s="26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28"/>
      <c r="AS4031" s="28"/>
      <c r="AT4031" s="28"/>
    </row>
    <row r="4032">
      <c r="A4032" s="14"/>
      <c r="B4032" s="15"/>
      <c r="C4032" s="16"/>
      <c r="D4032" s="15"/>
      <c r="F4032" s="15"/>
      <c r="G4032" s="26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28"/>
      <c r="AS4032" s="28"/>
      <c r="AT4032" s="28"/>
    </row>
    <row r="4033">
      <c r="A4033" s="14"/>
      <c r="B4033" s="15"/>
      <c r="C4033" s="16"/>
      <c r="D4033" s="15"/>
      <c r="F4033" s="15"/>
      <c r="G4033" s="26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28"/>
      <c r="AS4033" s="28"/>
      <c r="AT4033" s="28"/>
    </row>
    <row r="4034">
      <c r="A4034" s="14"/>
      <c r="B4034" s="15"/>
      <c r="C4034" s="16"/>
      <c r="D4034" s="15"/>
      <c r="F4034" s="15"/>
      <c r="G4034" s="26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28"/>
      <c r="AS4034" s="28"/>
      <c r="AT4034" s="28"/>
    </row>
    <row r="4035">
      <c r="A4035" s="14"/>
      <c r="B4035" s="15"/>
      <c r="C4035" s="16"/>
      <c r="D4035" s="15"/>
      <c r="F4035" s="15"/>
      <c r="G4035" s="26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28"/>
      <c r="AS4035" s="28"/>
      <c r="AT4035" s="28"/>
    </row>
    <row r="4036">
      <c r="A4036" s="14"/>
      <c r="B4036" s="15"/>
      <c r="C4036" s="16"/>
      <c r="D4036" s="15"/>
      <c r="F4036" s="15"/>
      <c r="G4036" s="26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28"/>
      <c r="AS4036" s="28"/>
      <c r="AT4036" s="28"/>
    </row>
    <row r="4037">
      <c r="A4037" s="14"/>
      <c r="B4037" s="15"/>
      <c r="C4037" s="16"/>
      <c r="D4037" s="15"/>
      <c r="F4037" s="15"/>
      <c r="G4037" s="26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28"/>
      <c r="AS4037" s="28"/>
      <c r="AT4037" s="28"/>
    </row>
    <row r="4038">
      <c r="A4038" s="14"/>
      <c r="B4038" s="15"/>
      <c r="C4038" s="16"/>
      <c r="D4038" s="15"/>
      <c r="F4038" s="15"/>
      <c r="G4038" s="26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28"/>
      <c r="AS4038" s="28"/>
      <c r="AT4038" s="28"/>
    </row>
    <row r="4039">
      <c r="A4039" s="14"/>
      <c r="B4039" s="15"/>
      <c r="C4039" s="16"/>
      <c r="D4039" s="15"/>
      <c r="F4039" s="15"/>
      <c r="G4039" s="26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28"/>
      <c r="AS4039" s="28"/>
      <c r="AT4039" s="28"/>
    </row>
    <row r="4040">
      <c r="A4040" s="14"/>
      <c r="B4040" s="15"/>
      <c r="C4040" s="16"/>
      <c r="D4040" s="15"/>
      <c r="F4040" s="15"/>
      <c r="G4040" s="26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28"/>
      <c r="AS4040" s="28"/>
      <c r="AT4040" s="28"/>
    </row>
    <row r="4041">
      <c r="A4041" s="14"/>
      <c r="B4041" s="15"/>
      <c r="C4041" s="16"/>
      <c r="D4041" s="15"/>
      <c r="F4041" s="15"/>
      <c r="G4041" s="26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28"/>
      <c r="AS4041" s="28"/>
      <c r="AT4041" s="28"/>
    </row>
    <row r="4042">
      <c r="A4042" s="14"/>
      <c r="B4042" s="15"/>
      <c r="C4042" s="16"/>
      <c r="D4042" s="15"/>
      <c r="F4042" s="15"/>
      <c r="G4042" s="26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28"/>
      <c r="AR4042" s="28"/>
      <c r="AS4042" s="28"/>
      <c r="AT4042" s="28"/>
    </row>
    <row r="4043">
      <c r="A4043" s="14"/>
      <c r="B4043" s="15"/>
      <c r="C4043" s="16"/>
      <c r="D4043" s="15"/>
      <c r="F4043" s="15"/>
      <c r="G4043" s="26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8"/>
      <c r="AP4043" s="28"/>
      <c r="AQ4043" s="28"/>
      <c r="AR4043" s="28"/>
      <c r="AS4043" s="28"/>
      <c r="AT4043" s="28"/>
    </row>
    <row r="4044">
      <c r="A4044" s="14"/>
      <c r="B4044" s="15"/>
      <c r="C4044" s="16"/>
      <c r="D4044" s="15"/>
      <c r="F4044" s="15"/>
      <c r="G4044" s="26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8"/>
      <c r="AH4044" s="28"/>
      <c r="AI4044" s="28"/>
      <c r="AJ4044" s="28"/>
      <c r="AK4044" s="28"/>
      <c r="AL4044" s="28"/>
      <c r="AM4044" s="28"/>
      <c r="AN4044" s="28"/>
      <c r="AO4044" s="28"/>
      <c r="AP4044" s="28"/>
      <c r="AQ4044" s="28"/>
      <c r="AR4044" s="28"/>
      <c r="AS4044" s="28"/>
      <c r="AT4044" s="28"/>
    </row>
    <row r="4045">
      <c r="A4045" s="14"/>
      <c r="B4045" s="15"/>
      <c r="C4045" s="16"/>
      <c r="D4045" s="15"/>
      <c r="F4045" s="15"/>
      <c r="G4045" s="26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8"/>
      <c r="AH4045" s="28"/>
      <c r="AI4045" s="28"/>
      <c r="AJ4045" s="28"/>
      <c r="AK4045" s="28"/>
      <c r="AL4045" s="28"/>
      <c r="AM4045" s="28"/>
      <c r="AN4045" s="28"/>
      <c r="AO4045" s="28"/>
      <c r="AP4045" s="28"/>
      <c r="AQ4045" s="28"/>
      <c r="AR4045" s="28"/>
      <c r="AS4045" s="28"/>
      <c r="AT4045" s="28"/>
    </row>
    <row r="4046">
      <c r="A4046" s="14"/>
      <c r="B4046" s="15"/>
      <c r="C4046" s="16"/>
      <c r="D4046" s="15"/>
      <c r="F4046" s="15"/>
      <c r="G4046" s="26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8"/>
      <c r="AH4046" s="28"/>
      <c r="AI4046" s="28"/>
      <c r="AJ4046" s="28"/>
      <c r="AK4046" s="28"/>
      <c r="AL4046" s="28"/>
      <c r="AM4046" s="28"/>
      <c r="AN4046" s="28"/>
      <c r="AO4046" s="28"/>
      <c r="AP4046" s="28"/>
      <c r="AQ4046" s="28"/>
      <c r="AR4046" s="28"/>
      <c r="AS4046" s="28"/>
      <c r="AT4046" s="28"/>
    </row>
    <row r="4047">
      <c r="A4047" s="14"/>
      <c r="B4047" s="15"/>
      <c r="C4047" s="16"/>
      <c r="D4047" s="15"/>
      <c r="F4047" s="15"/>
      <c r="G4047" s="26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8"/>
      <c r="AH4047" s="28"/>
      <c r="AI4047" s="28"/>
      <c r="AJ4047" s="28"/>
      <c r="AK4047" s="28"/>
      <c r="AL4047" s="28"/>
      <c r="AM4047" s="28"/>
      <c r="AN4047" s="28"/>
      <c r="AO4047" s="28"/>
      <c r="AP4047" s="28"/>
      <c r="AQ4047" s="28"/>
      <c r="AR4047" s="28"/>
      <c r="AS4047" s="28"/>
      <c r="AT4047" s="28"/>
    </row>
    <row r="4048">
      <c r="A4048" s="14"/>
      <c r="B4048" s="15"/>
      <c r="C4048" s="16"/>
      <c r="D4048" s="15"/>
      <c r="F4048" s="15"/>
      <c r="G4048" s="26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8"/>
      <c r="AH4048" s="28"/>
      <c r="AI4048" s="28"/>
      <c r="AJ4048" s="28"/>
      <c r="AK4048" s="28"/>
      <c r="AL4048" s="28"/>
      <c r="AM4048" s="28"/>
      <c r="AN4048" s="28"/>
      <c r="AO4048" s="28"/>
      <c r="AP4048" s="28"/>
      <c r="AQ4048" s="28"/>
      <c r="AR4048" s="28"/>
      <c r="AS4048" s="28"/>
      <c r="AT4048" s="28"/>
    </row>
    <row r="4049">
      <c r="A4049" s="14"/>
      <c r="B4049" s="15"/>
      <c r="C4049" s="16"/>
      <c r="D4049" s="15"/>
      <c r="F4049" s="15"/>
      <c r="G4049" s="26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8"/>
      <c r="AH4049" s="28"/>
      <c r="AI4049" s="28"/>
      <c r="AJ4049" s="28"/>
      <c r="AK4049" s="28"/>
      <c r="AL4049" s="28"/>
      <c r="AM4049" s="28"/>
      <c r="AN4049" s="28"/>
      <c r="AO4049" s="28"/>
      <c r="AP4049" s="28"/>
      <c r="AQ4049" s="28"/>
      <c r="AR4049" s="28"/>
      <c r="AS4049" s="28"/>
      <c r="AT4049" s="28"/>
    </row>
    <row r="4050">
      <c r="A4050" s="14"/>
      <c r="B4050" s="15"/>
      <c r="C4050" s="16"/>
      <c r="D4050" s="15"/>
      <c r="F4050" s="15"/>
      <c r="G4050" s="26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8"/>
      <c r="AH4050" s="28"/>
      <c r="AI4050" s="28"/>
      <c r="AJ4050" s="28"/>
      <c r="AK4050" s="28"/>
      <c r="AL4050" s="28"/>
      <c r="AM4050" s="28"/>
      <c r="AN4050" s="28"/>
      <c r="AO4050" s="28"/>
      <c r="AP4050" s="28"/>
      <c r="AQ4050" s="28"/>
      <c r="AR4050" s="28"/>
      <c r="AS4050" s="28"/>
      <c r="AT4050" s="28"/>
    </row>
    <row r="4051">
      <c r="A4051" s="14"/>
      <c r="B4051" s="15"/>
      <c r="C4051" s="16"/>
      <c r="D4051" s="15"/>
      <c r="F4051" s="15"/>
      <c r="G4051" s="26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8"/>
      <c r="AH4051" s="28"/>
      <c r="AI4051" s="28"/>
      <c r="AJ4051" s="28"/>
      <c r="AK4051" s="28"/>
      <c r="AL4051" s="28"/>
      <c r="AM4051" s="28"/>
      <c r="AN4051" s="28"/>
      <c r="AO4051" s="28"/>
      <c r="AP4051" s="28"/>
      <c r="AQ4051" s="28"/>
      <c r="AR4051" s="28"/>
      <c r="AS4051" s="28"/>
      <c r="AT4051" s="28"/>
    </row>
    <row r="4052">
      <c r="A4052" s="14"/>
      <c r="B4052" s="15"/>
      <c r="C4052" s="16"/>
      <c r="D4052" s="15"/>
      <c r="F4052" s="15"/>
      <c r="G4052" s="26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8"/>
      <c r="AH4052" s="28"/>
      <c r="AI4052" s="28"/>
      <c r="AJ4052" s="28"/>
      <c r="AK4052" s="28"/>
      <c r="AL4052" s="28"/>
      <c r="AM4052" s="28"/>
      <c r="AN4052" s="28"/>
      <c r="AO4052" s="28"/>
      <c r="AP4052" s="28"/>
      <c r="AQ4052" s="28"/>
      <c r="AR4052" s="28"/>
      <c r="AS4052" s="28"/>
      <c r="AT4052" s="28"/>
    </row>
    <row r="4053">
      <c r="A4053" s="14"/>
      <c r="B4053" s="15"/>
      <c r="C4053" s="16"/>
      <c r="D4053" s="15"/>
      <c r="F4053" s="15"/>
      <c r="G4053" s="26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8"/>
      <c r="AH4053" s="28"/>
      <c r="AI4053" s="28"/>
      <c r="AJ4053" s="28"/>
      <c r="AK4053" s="28"/>
      <c r="AL4053" s="28"/>
      <c r="AM4053" s="28"/>
      <c r="AN4053" s="28"/>
      <c r="AO4053" s="28"/>
      <c r="AP4053" s="28"/>
      <c r="AQ4053" s="28"/>
      <c r="AR4053" s="28"/>
      <c r="AS4053" s="28"/>
      <c r="AT4053" s="28"/>
    </row>
    <row r="4054">
      <c r="A4054" s="14"/>
      <c r="B4054" s="15"/>
      <c r="C4054" s="16"/>
      <c r="D4054" s="15"/>
      <c r="F4054" s="15"/>
      <c r="G4054" s="26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8"/>
      <c r="AH4054" s="28"/>
      <c r="AI4054" s="28"/>
      <c r="AJ4054" s="28"/>
      <c r="AK4054" s="28"/>
      <c r="AL4054" s="28"/>
      <c r="AM4054" s="28"/>
      <c r="AN4054" s="28"/>
      <c r="AO4054" s="28"/>
      <c r="AP4054" s="28"/>
      <c r="AQ4054" s="28"/>
      <c r="AR4054" s="28"/>
      <c r="AS4054" s="28"/>
      <c r="AT4054" s="28"/>
    </row>
    <row r="4055">
      <c r="A4055" s="14"/>
      <c r="B4055" s="15"/>
      <c r="C4055" s="16"/>
      <c r="D4055" s="15"/>
      <c r="F4055" s="15"/>
      <c r="G4055" s="26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28"/>
      <c r="AR4055" s="28"/>
      <c r="AS4055" s="28"/>
      <c r="AT4055" s="28"/>
    </row>
    <row r="4056">
      <c r="A4056" s="14"/>
      <c r="B4056" s="15"/>
      <c r="C4056" s="16"/>
      <c r="D4056" s="15"/>
      <c r="F4056" s="15"/>
      <c r="G4056" s="26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28"/>
      <c r="AS4056" s="28"/>
      <c r="AT4056" s="28"/>
    </row>
    <row r="4057">
      <c r="A4057" s="14"/>
      <c r="B4057" s="15"/>
      <c r="C4057" s="16"/>
      <c r="D4057" s="15"/>
      <c r="F4057" s="15"/>
      <c r="G4057" s="26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8"/>
      <c r="AH4057" s="28"/>
      <c r="AI4057" s="28"/>
      <c r="AJ4057" s="28"/>
      <c r="AK4057" s="28"/>
      <c r="AL4057" s="28"/>
      <c r="AM4057" s="28"/>
      <c r="AN4057" s="28"/>
      <c r="AO4057" s="28"/>
      <c r="AP4057" s="28"/>
      <c r="AQ4057" s="28"/>
      <c r="AR4057" s="28"/>
      <c r="AS4057" s="28"/>
      <c r="AT4057" s="28"/>
    </row>
    <row r="4058">
      <c r="A4058" s="14"/>
      <c r="B4058" s="15"/>
      <c r="C4058" s="16"/>
      <c r="D4058" s="15"/>
      <c r="F4058" s="15"/>
      <c r="G4058" s="26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8"/>
      <c r="AH4058" s="28"/>
      <c r="AI4058" s="28"/>
      <c r="AJ4058" s="28"/>
      <c r="AK4058" s="28"/>
      <c r="AL4058" s="28"/>
      <c r="AM4058" s="28"/>
      <c r="AN4058" s="28"/>
      <c r="AO4058" s="28"/>
      <c r="AP4058" s="28"/>
      <c r="AQ4058" s="28"/>
      <c r="AR4058" s="28"/>
      <c r="AS4058" s="28"/>
      <c r="AT4058" s="28"/>
    </row>
    <row r="4059">
      <c r="A4059" s="14"/>
      <c r="B4059" s="15"/>
      <c r="C4059" s="16"/>
      <c r="D4059" s="15"/>
      <c r="F4059" s="15"/>
      <c r="G4059" s="26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8"/>
      <c r="AH4059" s="28"/>
      <c r="AI4059" s="28"/>
      <c r="AJ4059" s="28"/>
      <c r="AK4059" s="28"/>
      <c r="AL4059" s="28"/>
      <c r="AM4059" s="28"/>
      <c r="AN4059" s="28"/>
      <c r="AO4059" s="28"/>
      <c r="AP4059" s="28"/>
      <c r="AQ4059" s="28"/>
      <c r="AR4059" s="28"/>
      <c r="AS4059" s="28"/>
      <c r="AT4059" s="28"/>
    </row>
    <row r="4060">
      <c r="A4060" s="14"/>
      <c r="B4060" s="15"/>
      <c r="C4060" s="16"/>
      <c r="D4060" s="15"/>
      <c r="F4060" s="15"/>
      <c r="G4060" s="26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28"/>
      <c r="AR4060" s="28"/>
      <c r="AS4060" s="28"/>
      <c r="AT4060" s="28"/>
    </row>
    <row r="4061">
      <c r="A4061" s="14"/>
      <c r="B4061" s="15"/>
      <c r="C4061" s="16"/>
      <c r="D4061" s="15"/>
      <c r="F4061" s="15"/>
      <c r="G4061" s="26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8"/>
      <c r="AH4061" s="28"/>
      <c r="AI4061" s="28"/>
      <c r="AJ4061" s="28"/>
      <c r="AK4061" s="28"/>
      <c r="AL4061" s="28"/>
      <c r="AM4061" s="28"/>
      <c r="AN4061" s="28"/>
      <c r="AO4061" s="28"/>
      <c r="AP4061" s="28"/>
      <c r="AQ4061" s="28"/>
      <c r="AR4061" s="28"/>
      <c r="AS4061" s="28"/>
      <c r="AT4061" s="28"/>
    </row>
    <row r="4062">
      <c r="A4062" s="14"/>
      <c r="B4062" s="15"/>
      <c r="C4062" s="16"/>
      <c r="D4062" s="15"/>
      <c r="F4062" s="15"/>
      <c r="G4062" s="26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8"/>
      <c r="AH4062" s="28"/>
      <c r="AI4062" s="28"/>
      <c r="AJ4062" s="28"/>
      <c r="AK4062" s="28"/>
      <c r="AL4062" s="28"/>
      <c r="AM4062" s="28"/>
      <c r="AN4062" s="28"/>
      <c r="AO4062" s="28"/>
      <c r="AP4062" s="28"/>
      <c r="AQ4062" s="28"/>
      <c r="AR4062" s="28"/>
      <c r="AS4062" s="28"/>
      <c r="AT4062" s="28"/>
    </row>
    <row r="4063">
      <c r="A4063" s="14"/>
      <c r="B4063" s="15"/>
      <c r="C4063" s="16"/>
      <c r="D4063" s="15"/>
      <c r="F4063" s="15"/>
      <c r="G4063" s="26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8"/>
      <c r="AH4063" s="28"/>
      <c r="AI4063" s="28"/>
      <c r="AJ4063" s="28"/>
      <c r="AK4063" s="28"/>
      <c r="AL4063" s="28"/>
      <c r="AM4063" s="28"/>
      <c r="AN4063" s="28"/>
      <c r="AO4063" s="28"/>
      <c r="AP4063" s="28"/>
      <c r="AQ4063" s="28"/>
      <c r="AR4063" s="28"/>
      <c r="AS4063" s="28"/>
      <c r="AT4063" s="28"/>
    </row>
    <row r="4064">
      <c r="A4064" s="14"/>
      <c r="B4064" s="15"/>
      <c r="C4064" s="16"/>
      <c r="D4064" s="15"/>
      <c r="F4064" s="15"/>
      <c r="G4064" s="26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8"/>
      <c r="AH4064" s="28"/>
      <c r="AI4064" s="28"/>
      <c r="AJ4064" s="28"/>
      <c r="AK4064" s="28"/>
      <c r="AL4064" s="28"/>
      <c r="AM4064" s="28"/>
      <c r="AN4064" s="28"/>
      <c r="AO4064" s="28"/>
      <c r="AP4064" s="28"/>
      <c r="AQ4064" s="28"/>
      <c r="AR4064" s="28"/>
      <c r="AS4064" s="28"/>
      <c r="AT4064" s="28"/>
    </row>
    <row r="4065">
      <c r="A4065" s="14"/>
      <c r="B4065" s="15"/>
      <c r="C4065" s="16"/>
      <c r="D4065" s="15"/>
      <c r="F4065" s="15"/>
      <c r="G4065" s="26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8"/>
      <c r="AH4065" s="28"/>
      <c r="AI4065" s="28"/>
      <c r="AJ4065" s="28"/>
      <c r="AK4065" s="28"/>
      <c r="AL4065" s="28"/>
      <c r="AM4065" s="28"/>
      <c r="AN4065" s="28"/>
      <c r="AO4065" s="28"/>
      <c r="AP4065" s="28"/>
      <c r="AQ4065" s="28"/>
      <c r="AR4065" s="28"/>
      <c r="AS4065" s="28"/>
      <c r="AT4065" s="28"/>
    </row>
    <row r="4066">
      <c r="A4066" s="14"/>
      <c r="B4066" s="15"/>
      <c r="C4066" s="16"/>
      <c r="D4066" s="15"/>
      <c r="F4066" s="15"/>
      <c r="G4066" s="26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8"/>
      <c r="AH4066" s="28"/>
      <c r="AI4066" s="28"/>
      <c r="AJ4066" s="28"/>
      <c r="AK4066" s="28"/>
      <c r="AL4066" s="28"/>
      <c r="AM4066" s="28"/>
      <c r="AN4066" s="28"/>
      <c r="AO4066" s="28"/>
      <c r="AP4066" s="28"/>
      <c r="AQ4066" s="28"/>
      <c r="AR4066" s="28"/>
      <c r="AS4066" s="28"/>
      <c r="AT4066" s="28"/>
    </row>
    <row r="4067">
      <c r="A4067" s="14"/>
      <c r="B4067" s="15"/>
      <c r="C4067" s="16"/>
      <c r="D4067" s="15"/>
      <c r="F4067" s="15"/>
      <c r="G4067" s="26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8"/>
      <c r="AH4067" s="28"/>
      <c r="AI4067" s="28"/>
      <c r="AJ4067" s="28"/>
      <c r="AK4067" s="28"/>
      <c r="AL4067" s="28"/>
      <c r="AM4067" s="28"/>
      <c r="AN4067" s="28"/>
      <c r="AO4067" s="28"/>
      <c r="AP4067" s="28"/>
      <c r="AQ4067" s="28"/>
      <c r="AR4067" s="28"/>
      <c r="AS4067" s="28"/>
      <c r="AT4067" s="28"/>
    </row>
    <row r="4068">
      <c r="A4068" s="14"/>
      <c r="B4068" s="15"/>
      <c r="C4068" s="16"/>
      <c r="D4068" s="15"/>
      <c r="F4068" s="15"/>
      <c r="G4068" s="26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8"/>
      <c r="AH4068" s="28"/>
      <c r="AI4068" s="28"/>
      <c r="AJ4068" s="28"/>
      <c r="AK4068" s="28"/>
      <c r="AL4068" s="28"/>
      <c r="AM4068" s="28"/>
      <c r="AN4068" s="28"/>
      <c r="AO4068" s="28"/>
      <c r="AP4068" s="28"/>
      <c r="AQ4068" s="28"/>
      <c r="AR4068" s="28"/>
      <c r="AS4068" s="28"/>
      <c r="AT4068" s="28"/>
    </row>
    <row r="4069">
      <c r="A4069" s="14"/>
      <c r="B4069" s="15"/>
      <c r="C4069" s="16"/>
      <c r="D4069" s="15"/>
      <c r="F4069" s="15"/>
      <c r="G4069" s="26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28"/>
      <c r="AR4069" s="28"/>
      <c r="AS4069" s="28"/>
      <c r="AT4069" s="28"/>
    </row>
    <row r="4070">
      <c r="A4070" s="14"/>
      <c r="B4070" s="15"/>
      <c r="C4070" s="16"/>
      <c r="D4070" s="15"/>
      <c r="F4070" s="15"/>
      <c r="G4070" s="26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28"/>
      <c r="AS4070" s="28"/>
      <c r="AT4070" s="28"/>
    </row>
    <row r="4071">
      <c r="A4071" s="14"/>
      <c r="B4071" s="15"/>
      <c r="C4071" s="16"/>
      <c r="D4071" s="15"/>
      <c r="F4071" s="15"/>
      <c r="G4071" s="26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28"/>
      <c r="AS4071" s="28"/>
      <c r="AT4071" s="28"/>
    </row>
    <row r="4072">
      <c r="A4072" s="14"/>
      <c r="B4072" s="15"/>
      <c r="C4072" s="16"/>
      <c r="D4072" s="15"/>
      <c r="F4072" s="15"/>
      <c r="G4072" s="26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28"/>
      <c r="AS4072" s="28"/>
      <c r="AT4072" s="28"/>
    </row>
    <row r="4073">
      <c r="A4073" s="14"/>
      <c r="B4073" s="15"/>
      <c r="C4073" s="16"/>
      <c r="D4073" s="15"/>
      <c r="F4073" s="15"/>
      <c r="G4073" s="26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O4073" s="28"/>
      <c r="AP4073" s="28"/>
      <c r="AQ4073" s="28"/>
      <c r="AR4073" s="28"/>
      <c r="AS4073" s="28"/>
      <c r="AT4073" s="28"/>
    </row>
    <row r="4074">
      <c r="A4074" s="14"/>
      <c r="B4074" s="15"/>
      <c r="C4074" s="16"/>
      <c r="D4074" s="15"/>
      <c r="F4074" s="15"/>
      <c r="G4074" s="26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28"/>
      <c r="AR4074" s="28"/>
      <c r="AS4074" s="28"/>
      <c r="AT4074" s="28"/>
    </row>
    <row r="4075">
      <c r="A4075" s="14"/>
      <c r="B4075" s="15"/>
      <c r="C4075" s="16"/>
      <c r="D4075" s="15"/>
      <c r="F4075" s="15"/>
      <c r="G4075" s="26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R4075" s="28"/>
      <c r="AS4075" s="28"/>
      <c r="AT4075" s="28"/>
    </row>
    <row r="4076">
      <c r="A4076" s="14"/>
      <c r="B4076" s="15"/>
      <c r="C4076" s="16"/>
      <c r="D4076" s="15"/>
      <c r="F4076" s="15"/>
      <c r="G4076" s="26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28"/>
      <c r="AS4076" s="28"/>
      <c r="AT4076" s="28"/>
    </row>
    <row r="4077">
      <c r="A4077" s="14"/>
      <c r="B4077" s="15"/>
      <c r="C4077" s="16"/>
      <c r="D4077" s="15"/>
      <c r="F4077" s="15"/>
      <c r="G4077" s="26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28"/>
      <c r="AS4077" s="28"/>
      <c r="AT4077" s="28"/>
    </row>
    <row r="4078">
      <c r="A4078" s="14"/>
      <c r="B4078" s="15"/>
      <c r="C4078" s="16"/>
      <c r="D4078" s="15"/>
      <c r="F4078" s="15"/>
      <c r="G4078" s="26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28"/>
      <c r="AS4078" s="28"/>
      <c r="AT4078" s="28"/>
    </row>
    <row r="4079">
      <c r="A4079" s="14"/>
      <c r="B4079" s="15"/>
      <c r="C4079" s="16"/>
      <c r="D4079" s="15"/>
      <c r="F4079" s="15"/>
      <c r="G4079" s="26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28"/>
      <c r="AR4079" s="28"/>
      <c r="AS4079" s="28"/>
      <c r="AT4079" s="28"/>
    </row>
    <row r="4080">
      <c r="A4080" s="14"/>
      <c r="B4080" s="15"/>
      <c r="C4080" s="16"/>
      <c r="D4080" s="15"/>
      <c r="F4080" s="15"/>
      <c r="G4080" s="26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28"/>
      <c r="AS4080" s="28"/>
      <c r="AT4080" s="28"/>
    </row>
    <row r="4081">
      <c r="A4081" s="14"/>
      <c r="B4081" s="15"/>
      <c r="C4081" s="16"/>
      <c r="D4081" s="15"/>
      <c r="F4081" s="15"/>
      <c r="G4081" s="26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28"/>
      <c r="AS4081" s="28"/>
      <c r="AT4081" s="28"/>
    </row>
    <row r="4082">
      <c r="A4082" s="14"/>
      <c r="B4082" s="15"/>
      <c r="C4082" s="16"/>
      <c r="D4082" s="15"/>
      <c r="F4082" s="15"/>
      <c r="G4082" s="26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28"/>
      <c r="AS4082" s="28"/>
      <c r="AT4082" s="28"/>
    </row>
    <row r="4083">
      <c r="A4083" s="14"/>
      <c r="B4083" s="15"/>
      <c r="C4083" s="16"/>
      <c r="D4083" s="15"/>
      <c r="F4083" s="15"/>
      <c r="G4083" s="26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28"/>
      <c r="AS4083" s="28"/>
      <c r="AT4083" s="28"/>
    </row>
    <row r="4084">
      <c r="A4084" s="14"/>
      <c r="B4084" s="15"/>
      <c r="C4084" s="16"/>
      <c r="D4084" s="15"/>
      <c r="F4084" s="15"/>
      <c r="G4084" s="26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28"/>
      <c r="AS4084" s="28"/>
      <c r="AT4084" s="28"/>
    </row>
    <row r="4085">
      <c r="A4085" s="14"/>
      <c r="B4085" s="15"/>
      <c r="C4085" s="16"/>
      <c r="D4085" s="15"/>
      <c r="F4085" s="15"/>
      <c r="G4085" s="26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28"/>
      <c r="AS4085" s="28"/>
      <c r="AT4085" s="28"/>
    </row>
    <row r="4086">
      <c r="A4086" s="14"/>
      <c r="B4086" s="15"/>
      <c r="C4086" s="16"/>
      <c r="D4086" s="15"/>
      <c r="F4086" s="15"/>
      <c r="G4086" s="26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28"/>
      <c r="AS4086" s="28"/>
      <c r="AT4086" s="28"/>
    </row>
    <row r="4087">
      <c r="A4087" s="14"/>
      <c r="B4087" s="15"/>
      <c r="C4087" s="16"/>
      <c r="D4087" s="15"/>
      <c r="F4087" s="15"/>
      <c r="G4087" s="26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28"/>
      <c r="AS4087" s="28"/>
      <c r="AT4087" s="28"/>
    </row>
    <row r="4088">
      <c r="A4088" s="14"/>
      <c r="B4088" s="15"/>
      <c r="C4088" s="16"/>
      <c r="D4088" s="15"/>
      <c r="F4088" s="15"/>
      <c r="G4088" s="26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28"/>
      <c r="AS4088" s="28"/>
      <c r="AT4088" s="28"/>
    </row>
    <row r="4089">
      <c r="A4089" s="14"/>
      <c r="B4089" s="15"/>
      <c r="C4089" s="16"/>
      <c r="D4089" s="15"/>
      <c r="F4089" s="15"/>
      <c r="G4089" s="26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28"/>
      <c r="AS4089" s="28"/>
      <c r="AT4089" s="28"/>
    </row>
    <row r="4090">
      <c r="A4090" s="14"/>
      <c r="B4090" s="15"/>
      <c r="C4090" s="16"/>
      <c r="D4090" s="15"/>
      <c r="F4090" s="15"/>
      <c r="G4090" s="26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28"/>
      <c r="AS4090" s="28"/>
      <c r="AT4090" s="28"/>
    </row>
    <row r="4091">
      <c r="A4091" s="14"/>
      <c r="B4091" s="15"/>
      <c r="C4091" s="16"/>
      <c r="D4091" s="15"/>
      <c r="F4091" s="15"/>
      <c r="G4091" s="26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28"/>
      <c r="AS4091" s="28"/>
      <c r="AT4091" s="28"/>
    </row>
    <row r="4092">
      <c r="A4092" s="14"/>
      <c r="B4092" s="15"/>
      <c r="C4092" s="16"/>
      <c r="D4092" s="15"/>
      <c r="F4092" s="15"/>
      <c r="G4092" s="26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28"/>
      <c r="AS4092" s="28"/>
      <c r="AT4092" s="28"/>
    </row>
    <row r="4093">
      <c r="A4093" s="14"/>
      <c r="B4093" s="15"/>
      <c r="C4093" s="16"/>
      <c r="D4093" s="15"/>
      <c r="F4093" s="15"/>
      <c r="G4093" s="26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28"/>
      <c r="AS4093" s="28"/>
      <c r="AT4093" s="28"/>
    </row>
    <row r="4094">
      <c r="A4094" s="14"/>
      <c r="B4094" s="15"/>
      <c r="C4094" s="16"/>
      <c r="D4094" s="15"/>
      <c r="F4094" s="15"/>
      <c r="G4094" s="26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28"/>
      <c r="AS4094" s="28"/>
      <c r="AT4094" s="28"/>
    </row>
    <row r="4095">
      <c r="A4095" s="14"/>
      <c r="B4095" s="15"/>
      <c r="C4095" s="16"/>
      <c r="D4095" s="15"/>
      <c r="F4095" s="15"/>
      <c r="G4095" s="26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28"/>
      <c r="AS4095" s="28"/>
      <c r="AT4095" s="28"/>
    </row>
    <row r="4096">
      <c r="A4096" s="14"/>
      <c r="B4096" s="15"/>
      <c r="C4096" s="16"/>
      <c r="D4096" s="15"/>
      <c r="F4096" s="15"/>
      <c r="G4096" s="26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28"/>
      <c r="AS4096" s="28"/>
      <c r="AT4096" s="28"/>
    </row>
    <row r="4097">
      <c r="A4097" s="14"/>
      <c r="B4097" s="15"/>
      <c r="C4097" s="16"/>
      <c r="D4097" s="15"/>
      <c r="F4097" s="15"/>
      <c r="G4097" s="26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28"/>
      <c r="AS4097" s="28"/>
      <c r="AT4097" s="28"/>
    </row>
    <row r="4098">
      <c r="A4098" s="14"/>
      <c r="B4098" s="15"/>
      <c r="C4098" s="16"/>
      <c r="D4098" s="15"/>
      <c r="F4098" s="15"/>
      <c r="G4098" s="26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28"/>
      <c r="AS4098" s="28"/>
      <c r="AT4098" s="28"/>
    </row>
    <row r="4099">
      <c r="A4099" s="14"/>
      <c r="B4099" s="15"/>
      <c r="C4099" s="16"/>
      <c r="D4099" s="15"/>
      <c r="F4099" s="15"/>
      <c r="G4099" s="26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28"/>
      <c r="AS4099" s="28"/>
      <c r="AT4099" s="28"/>
    </row>
    <row r="4100">
      <c r="A4100" s="14"/>
      <c r="B4100" s="15"/>
      <c r="C4100" s="16"/>
      <c r="D4100" s="15"/>
      <c r="F4100" s="15"/>
      <c r="G4100" s="26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28"/>
      <c r="AS4100" s="28"/>
      <c r="AT4100" s="28"/>
    </row>
    <row r="4101">
      <c r="A4101" s="14"/>
      <c r="B4101" s="15"/>
      <c r="C4101" s="16"/>
      <c r="D4101" s="15"/>
      <c r="F4101" s="15"/>
      <c r="G4101" s="26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28"/>
      <c r="AS4101" s="28"/>
      <c r="AT4101" s="28"/>
    </row>
    <row r="4102">
      <c r="A4102" s="14"/>
      <c r="B4102" s="15"/>
      <c r="C4102" s="16"/>
      <c r="D4102" s="15"/>
      <c r="F4102" s="15"/>
      <c r="G4102" s="26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28"/>
      <c r="AS4102" s="28"/>
      <c r="AT4102" s="28"/>
    </row>
    <row r="4103">
      <c r="A4103" s="14"/>
      <c r="B4103" s="15"/>
      <c r="C4103" s="16"/>
      <c r="D4103" s="15"/>
      <c r="F4103" s="15"/>
      <c r="G4103" s="26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28"/>
      <c r="AS4103" s="28"/>
      <c r="AT4103" s="28"/>
    </row>
    <row r="4104">
      <c r="A4104" s="14"/>
      <c r="B4104" s="15"/>
      <c r="C4104" s="16"/>
      <c r="D4104" s="15"/>
      <c r="F4104" s="15"/>
      <c r="G4104" s="26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28"/>
      <c r="AS4104" s="28"/>
      <c r="AT4104" s="28"/>
    </row>
    <row r="4105">
      <c r="A4105" s="14"/>
      <c r="B4105" s="15"/>
      <c r="C4105" s="16"/>
      <c r="D4105" s="15"/>
      <c r="F4105" s="15"/>
      <c r="G4105" s="26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28"/>
      <c r="AS4105" s="28"/>
      <c r="AT4105" s="28"/>
    </row>
    <row r="4106">
      <c r="A4106" s="14"/>
      <c r="B4106" s="15"/>
      <c r="C4106" s="16"/>
      <c r="D4106" s="15"/>
      <c r="F4106" s="15"/>
      <c r="G4106" s="26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28"/>
      <c r="AS4106" s="28"/>
      <c r="AT4106" s="28"/>
    </row>
    <row r="4107">
      <c r="A4107" s="14"/>
      <c r="B4107" s="15"/>
      <c r="C4107" s="16"/>
      <c r="D4107" s="15"/>
      <c r="F4107" s="15"/>
      <c r="G4107" s="26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28"/>
      <c r="AS4107" s="28"/>
      <c r="AT4107" s="28"/>
    </row>
    <row r="4108">
      <c r="A4108" s="14"/>
      <c r="B4108" s="15"/>
      <c r="C4108" s="16"/>
      <c r="D4108" s="15"/>
      <c r="F4108" s="15"/>
      <c r="G4108" s="26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28"/>
      <c r="AS4108" s="28"/>
      <c r="AT4108" s="28"/>
    </row>
    <row r="4109">
      <c r="A4109" s="14"/>
      <c r="B4109" s="15"/>
      <c r="C4109" s="16"/>
      <c r="D4109" s="15"/>
      <c r="F4109" s="15"/>
      <c r="G4109" s="26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28"/>
      <c r="AS4109" s="28"/>
      <c r="AT4109" s="28"/>
    </row>
    <row r="4110">
      <c r="A4110" s="14"/>
      <c r="B4110" s="15"/>
      <c r="C4110" s="16"/>
      <c r="D4110" s="15"/>
      <c r="F4110" s="15"/>
      <c r="G4110" s="26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28"/>
      <c r="AS4110" s="28"/>
      <c r="AT4110" s="28"/>
    </row>
    <row r="4111">
      <c r="A4111" s="14"/>
      <c r="B4111" s="15"/>
      <c r="C4111" s="16"/>
      <c r="D4111" s="15"/>
      <c r="F4111" s="15"/>
      <c r="G4111" s="26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28"/>
      <c r="AS4111" s="28"/>
      <c r="AT4111" s="28"/>
    </row>
    <row r="4112">
      <c r="A4112" s="14"/>
      <c r="B4112" s="15"/>
      <c r="C4112" s="16"/>
      <c r="D4112" s="15"/>
      <c r="F4112" s="15"/>
      <c r="G4112" s="26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28"/>
      <c r="AS4112" s="28"/>
      <c r="AT4112" s="28"/>
    </row>
    <row r="4113">
      <c r="A4113" s="14"/>
      <c r="B4113" s="15"/>
      <c r="C4113" s="16"/>
      <c r="D4113" s="15"/>
      <c r="F4113" s="15"/>
      <c r="G4113" s="26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28"/>
      <c r="AS4113" s="28"/>
      <c r="AT4113" s="28"/>
    </row>
    <row r="4114">
      <c r="A4114" s="14"/>
      <c r="B4114" s="15"/>
      <c r="C4114" s="16"/>
      <c r="D4114" s="15"/>
      <c r="F4114" s="15"/>
      <c r="G4114" s="26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28"/>
      <c r="AS4114" s="28"/>
      <c r="AT4114" s="28"/>
    </row>
    <row r="4115">
      <c r="A4115" s="14"/>
      <c r="B4115" s="15"/>
      <c r="C4115" s="16"/>
      <c r="D4115" s="15"/>
      <c r="F4115" s="15"/>
      <c r="G4115" s="26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28"/>
      <c r="AS4115" s="28"/>
      <c r="AT4115" s="28"/>
    </row>
    <row r="4116">
      <c r="A4116" s="14"/>
      <c r="B4116" s="15"/>
      <c r="C4116" s="16"/>
      <c r="D4116" s="15"/>
      <c r="F4116" s="15"/>
      <c r="G4116" s="26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28"/>
      <c r="AS4116" s="28"/>
      <c r="AT4116" s="28"/>
    </row>
    <row r="4117">
      <c r="A4117" s="14"/>
      <c r="B4117" s="15"/>
      <c r="C4117" s="16"/>
      <c r="D4117" s="15"/>
      <c r="F4117" s="15"/>
      <c r="G4117" s="26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28"/>
      <c r="AS4117" s="28"/>
      <c r="AT4117" s="28"/>
    </row>
    <row r="4118">
      <c r="A4118" s="14"/>
      <c r="B4118" s="15"/>
      <c r="C4118" s="16"/>
      <c r="D4118" s="15"/>
      <c r="F4118" s="15"/>
      <c r="G4118" s="26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28"/>
      <c r="AS4118" s="28"/>
      <c r="AT4118" s="28"/>
    </row>
    <row r="4119">
      <c r="A4119" s="14"/>
      <c r="B4119" s="15"/>
      <c r="C4119" s="16"/>
      <c r="D4119" s="15"/>
      <c r="F4119" s="15"/>
      <c r="G4119" s="26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28"/>
      <c r="AS4119" s="28"/>
      <c r="AT4119" s="28"/>
    </row>
    <row r="4120">
      <c r="A4120" s="14"/>
      <c r="B4120" s="15"/>
      <c r="C4120" s="16"/>
      <c r="D4120" s="15"/>
      <c r="F4120" s="15"/>
      <c r="G4120" s="26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28"/>
      <c r="AS4120" s="28"/>
      <c r="AT4120" s="28"/>
    </row>
    <row r="4121">
      <c r="A4121" s="14"/>
      <c r="B4121" s="15"/>
      <c r="C4121" s="16"/>
      <c r="D4121" s="15"/>
      <c r="F4121" s="15"/>
      <c r="G4121" s="26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28"/>
      <c r="AS4121" s="28"/>
      <c r="AT4121" s="28"/>
    </row>
    <row r="4122">
      <c r="A4122" s="14"/>
      <c r="B4122" s="15"/>
      <c r="C4122" s="16"/>
      <c r="D4122" s="15"/>
      <c r="F4122" s="15"/>
      <c r="G4122" s="26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28"/>
      <c r="AS4122" s="28"/>
      <c r="AT4122" s="28"/>
    </row>
    <row r="4123">
      <c r="A4123" s="14"/>
      <c r="B4123" s="15"/>
      <c r="C4123" s="16"/>
      <c r="D4123" s="15"/>
      <c r="F4123" s="15"/>
      <c r="G4123" s="26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28"/>
      <c r="AS4123" s="28"/>
      <c r="AT4123" s="28"/>
    </row>
    <row r="4124">
      <c r="A4124" s="14"/>
      <c r="B4124" s="15"/>
      <c r="C4124" s="16"/>
      <c r="D4124" s="15"/>
      <c r="F4124" s="15"/>
      <c r="G4124" s="26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28"/>
      <c r="AS4124" s="28"/>
      <c r="AT4124" s="28"/>
    </row>
    <row r="4125">
      <c r="A4125" s="14"/>
      <c r="B4125" s="15"/>
      <c r="C4125" s="16"/>
      <c r="D4125" s="15"/>
      <c r="F4125" s="15"/>
      <c r="G4125" s="26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28"/>
      <c r="AS4125" s="28"/>
      <c r="AT4125" s="28"/>
    </row>
    <row r="4126">
      <c r="A4126" s="14"/>
      <c r="B4126" s="15"/>
      <c r="C4126" s="16"/>
      <c r="D4126" s="15"/>
      <c r="F4126" s="15"/>
      <c r="G4126" s="26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28"/>
      <c r="AS4126" s="28"/>
      <c r="AT4126" s="28"/>
    </row>
    <row r="4127">
      <c r="A4127" s="14"/>
      <c r="B4127" s="15"/>
      <c r="C4127" s="16"/>
      <c r="D4127" s="15"/>
      <c r="F4127" s="15"/>
      <c r="G4127" s="26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28"/>
      <c r="AS4127" s="28"/>
      <c r="AT4127" s="28"/>
    </row>
    <row r="4128">
      <c r="A4128" s="14"/>
      <c r="B4128" s="15"/>
      <c r="C4128" s="16"/>
      <c r="D4128" s="15"/>
      <c r="F4128" s="15"/>
      <c r="G4128" s="26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28"/>
      <c r="AS4128" s="28"/>
      <c r="AT4128" s="28"/>
    </row>
    <row r="4129">
      <c r="A4129" s="14"/>
      <c r="B4129" s="15"/>
      <c r="C4129" s="16"/>
      <c r="D4129" s="15"/>
      <c r="F4129" s="15"/>
      <c r="G4129" s="26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28"/>
      <c r="AS4129" s="28"/>
      <c r="AT4129" s="28"/>
    </row>
    <row r="4130">
      <c r="A4130" s="14"/>
      <c r="B4130" s="15"/>
      <c r="C4130" s="16"/>
      <c r="D4130" s="15"/>
      <c r="F4130" s="15"/>
      <c r="G4130" s="26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28"/>
      <c r="AS4130" s="28"/>
      <c r="AT4130" s="28"/>
    </row>
    <row r="4131">
      <c r="A4131" s="14"/>
      <c r="B4131" s="15"/>
      <c r="C4131" s="16"/>
      <c r="D4131" s="15"/>
      <c r="F4131" s="15"/>
      <c r="G4131" s="26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28"/>
      <c r="AS4131" s="28"/>
      <c r="AT4131" s="28"/>
    </row>
    <row r="4132">
      <c r="A4132" s="14"/>
      <c r="B4132" s="15"/>
      <c r="C4132" s="16"/>
      <c r="D4132" s="15"/>
      <c r="F4132" s="15"/>
      <c r="G4132" s="26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28"/>
      <c r="AS4132" s="28"/>
      <c r="AT4132" s="28"/>
    </row>
    <row r="4133">
      <c r="A4133" s="14"/>
      <c r="B4133" s="15"/>
      <c r="C4133" s="16"/>
      <c r="D4133" s="15"/>
      <c r="F4133" s="15"/>
      <c r="G4133" s="26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28"/>
      <c r="AS4133" s="28"/>
      <c r="AT4133" s="28"/>
    </row>
    <row r="4134">
      <c r="A4134" s="14"/>
      <c r="B4134" s="15"/>
      <c r="C4134" s="16"/>
      <c r="D4134" s="15"/>
      <c r="F4134" s="15"/>
      <c r="G4134" s="26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28"/>
      <c r="AS4134" s="28"/>
      <c r="AT4134" s="28"/>
    </row>
    <row r="4135">
      <c r="A4135" s="14"/>
      <c r="B4135" s="15"/>
      <c r="C4135" s="16"/>
      <c r="D4135" s="15"/>
      <c r="F4135" s="15"/>
      <c r="G4135" s="26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28"/>
      <c r="AS4135" s="28"/>
      <c r="AT4135" s="28"/>
    </row>
    <row r="4136">
      <c r="A4136" s="14"/>
      <c r="B4136" s="15"/>
      <c r="C4136" s="16"/>
      <c r="D4136" s="15"/>
      <c r="F4136" s="15"/>
      <c r="G4136" s="26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28"/>
      <c r="AS4136" s="28"/>
      <c r="AT4136" s="28"/>
    </row>
    <row r="4137">
      <c r="A4137" s="14"/>
      <c r="B4137" s="15"/>
      <c r="C4137" s="16"/>
      <c r="D4137" s="15"/>
      <c r="F4137" s="15"/>
      <c r="G4137" s="26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28"/>
      <c r="AS4137" s="28"/>
      <c r="AT4137" s="28"/>
    </row>
    <row r="4138">
      <c r="A4138" s="14"/>
      <c r="B4138" s="15"/>
      <c r="C4138" s="16"/>
      <c r="D4138" s="15"/>
      <c r="F4138" s="15"/>
      <c r="G4138" s="26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28"/>
      <c r="AS4138" s="28"/>
      <c r="AT4138" s="28"/>
    </row>
    <row r="4139">
      <c r="A4139" s="14"/>
      <c r="B4139" s="15"/>
      <c r="C4139" s="16"/>
      <c r="D4139" s="15"/>
      <c r="F4139" s="15"/>
      <c r="G4139" s="26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28"/>
      <c r="AS4139" s="28"/>
      <c r="AT4139" s="28"/>
    </row>
    <row r="4140">
      <c r="A4140" s="14"/>
      <c r="B4140" s="15"/>
      <c r="C4140" s="16"/>
      <c r="D4140" s="15"/>
      <c r="F4140" s="15"/>
      <c r="G4140" s="26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28"/>
      <c r="AS4140" s="28"/>
      <c r="AT4140" s="28"/>
    </row>
    <row r="4141">
      <c r="A4141" s="14"/>
      <c r="B4141" s="15"/>
      <c r="C4141" s="16"/>
      <c r="D4141" s="15"/>
      <c r="F4141" s="15"/>
      <c r="G4141" s="26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28"/>
      <c r="AS4141" s="28"/>
      <c r="AT4141" s="28"/>
    </row>
    <row r="4142">
      <c r="A4142" s="14"/>
      <c r="B4142" s="15"/>
      <c r="C4142" s="16"/>
      <c r="D4142" s="15"/>
      <c r="F4142" s="15"/>
      <c r="G4142" s="26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28"/>
      <c r="AS4142" s="28"/>
      <c r="AT4142" s="28"/>
    </row>
    <row r="4143">
      <c r="A4143" s="14"/>
      <c r="B4143" s="15"/>
      <c r="C4143" s="16"/>
      <c r="D4143" s="15"/>
      <c r="F4143" s="15"/>
      <c r="G4143" s="26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28"/>
      <c r="AS4143" s="28"/>
      <c r="AT4143" s="28"/>
    </row>
    <row r="4144">
      <c r="A4144" s="14"/>
      <c r="B4144" s="15"/>
      <c r="C4144" s="16"/>
      <c r="D4144" s="15"/>
      <c r="F4144" s="15"/>
      <c r="G4144" s="26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28"/>
      <c r="AS4144" s="28"/>
      <c r="AT4144" s="28"/>
    </row>
    <row r="4145">
      <c r="A4145" s="14"/>
      <c r="B4145" s="15"/>
      <c r="C4145" s="16"/>
      <c r="D4145" s="15"/>
      <c r="F4145" s="15"/>
      <c r="G4145" s="26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28"/>
      <c r="AS4145" s="28"/>
      <c r="AT4145" s="28"/>
    </row>
    <row r="4146">
      <c r="A4146" s="14"/>
      <c r="B4146" s="15"/>
      <c r="C4146" s="16"/>
      <c r="D4146" s="15"/>
      <c r="F4146" s="15"/>
      <c r="G4146" s="26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28"/>
      <c r="AS4146" s="28"/>
      <c r="AT4146" s="28"/>
    </row>
    <row r="4147">
      <c r="A4147" s="14"/>
      <c r="B4147" s="15"/>
      <c r="C4147" s="16"/>
      <c r="D4147" s="15"/>
      <c r="F4147" s="15"/>
      <c r="G4147" s="26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28"/>
      <c r="AS4147" s="28"/>
      <c r="AT4147" s="28"/>
    </row>
    <row r="4148">
      <c r="A4148" s="14"/>
      <c r="B4148" s="15"/>
      <c r="C4148" s="16"/>
      <c r="D4148" s="15"/>
      <c r="F4148" s="15"/>
      <c r="G4148" s="26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28"/>
      <c r="AS4148" s="28"/>
      <c r="AT4148" s="28"/>
    </row>
    <row r="4149">
      <c r="A4149" s="14"/>
      <c r="B4149" s="15"/>
      <c r="C4149" s="16"/>
      <c r="D4149" s="15"/>
      <c r="F4149" s="15"/>
      <c r="G4149" s="26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28"/>
      <c r="AS4149" s="28"/>
      <c r="AT4149" s="28"/>
    </row>
    <row r="4150">
      <c r="A4150" s="14"/>
      <c r="B4150" s="15"/>
      <c r="C4150" s="16"/>
      <c r="D4150" s="15"/>
      <c r="F4150" s="15"/>
      <c r="G4150" s="26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28"/>
      <c r="AS4150" s="28"/>
      <c r="AT4150" s="28"/>
    </row>
    <row r="4151">
      <c r="A4151" s="14"/>
      <c r="B4151" s="15"/>
      <c r="C4151" s="16"/>
      <c r="D4151" s="15"/>
      <c r="F4151" s="15"/>
      <c r="G4151" s="26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28"/>
      <c r="AS4151" s="28"/>
      <c r="AT4151" s="28"/>
    </row>
    <row r="4152">
      <c r="A4152" s="14"/>
      <c r="B4152" s="15"/>
      <c r="C4152" s="16"/>
      <c r="D4152" s="15"/>
      <c r="F4152" s="15"/>
      <c r="G4152" s="26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28"/>
      <c r="AS4152" s="28"/>
      <c r="AT4152" s="28"/>
    </row>
    <row r="4153">
      <c r="A4153" s="14"/>
      <c r="B4153" s="15"/>
      <c r="C4153" s="16"/>
      <c r="D4153" s="15"/>
      <c r="F4153" s="15"/>
      <c r="G4153" s="26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28"/>
      <c r="AS4153" s="28"/>
      <c r="AT4153" s="28"/>
    </row>
    <row r="4154">
      <c r="A4154" s="14"/>
      <c r="B4154" s="15"/>
      <c r="C4154" s="16"/>
      <c r="D4154" s="15"/>
      <c r="F4154" s="15"/>
      <c r="G4154" s="26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28"/>
      <c r="AS4154" s="28"/>
      <c r="AT4154" s="28"/>
    </row>
    <row r="4155">
      <c r="A4155" s="14"/>
      <c r="B4155" s="15"/>
      <c r="C4155" s="16"/>
      <c r="D4155" s="15"/>
      <c r="F4155" s="15"/>
      <c r="G4155" s="26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28"/>
      <c r="AS4155" s="28"/>
      <c r="AT4155" s="28"/>
    </row>
    <row r="4156">
      <c r="A4156" s="14"/>
      <c r="B4156" s="15"/>
      <c r="C4156" s="16"/>
      <c r="D4156" s="15"/>
      <c r="F4156" s="15"/>
      <c r="G4156" s="26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</row>
    <row r="4157">
      <c r="A4157" s="14"/>
      <c r="B4157" s="15"/>
      <c r="C4157" s="16"/>
      <c r="D4157" s="15"/>
      <c r="F4157" s="15"/>
      <c r="G4157" s="26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28"/>
      <c r="AS4157" s="28"/>
      <c r="AT4157" s="28"/>
    </row>
    <row r="4158">
      <c r="A4158" s="14"/>
      <c r="B4158" s="15"/>
      <c r="C4158" s="16"/>
      <c r="D4158" s="15"/>
      <c r="F4158" s="15"/>
      <c r="G4158" s="26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28"/>
      <c r="AS4158" s="28"/>
      <c r="AT4158" s="28"/>
    </row>
    <row r="4159">
      <c r="A4159" s="14"/>
      <c r="B4159" s="15"/>
      <c r="C4159" s="16"/>
      <c r="D4159" s="15"/>
      <c r="F4159" s="15"/>
      <c r="G4159" s="26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28"/>
      <c r="AS4159" s="28"/>
      <c r="AT4159" s="28"/>
    </row>
    <row r="4160">
      <c r="A4160" s="14"/>
      <c r="B4160" s="15"/>
      <c r="C4160" s="16"/>
      <c r="D4160" s="15"/>
      <c r="F4160" s="15"/>
      <c r="G4160" s="26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28"/>
      <c r="AS4160" s="28"/>
      <c r="AT4160" s="28"/>
    </row>
    <row r="4161">
      <c r="A4161" s="14"/>
      <c r="B4161" s="15"/>
      <c r="C4161" s="16"/>
      <c r="D4161" s="15"/>
      <c r="F4161" s="15"/>
      <c r="G4161" s="26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28"/>
      <c r="AS4161" s="28"/>
      <c r="AT4161" s="28"/>
    </row>
    <row r="4162">
      <c r="A4162" s="14"/>
      <c r="B4162" s="15"/>
      <c r="C4162" s="16"/>
      <c r="D4162" s="15"/>
      <c r="F4162" s="15"/>
      <c r="G4162" s="26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28"/>
      <c r="AS4162" s="28"/>
      <c r="AT4162" s="28"/>
    </row>
    <row r="4163">
      <c r="A4163" s="14"/>
      <c r="B4163" s="15"/>
      <c r="C4163" s="16"/>
      <c r="D4163" s="15"/>
      <c r="F4163" s="15"/>
      <c r="G4163" s="26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28"/>
      <c r="AS4163" s="28"/>
      <c r="AT4163" s="28"/>
    </row>
    <row r="4164">
      <c r="A4164" s="14"/>
      <c r="B4164" s="15"/>
      <c r="C4164" s="16"/>
      <c r="D4164" s="15"/>
      <c r="F4164" s="15"/>
      <c r="G4164" s="26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28"/>
      <c r="AS4164" s="28"/>
      <c r="AT4164" s="28"/>
    </row>
    <row r="4165">
      <c r="A4165" s="14"/>
      <c r="B4165" s="15"/>
      <c r="C4165" s="16"/>
      <c r="D4165" s="15"/>
      <c r="F4165" s="15"/>
      <c r="G4165" s="26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28"/>
      <c r="AS4165" s="28"/>
      <c r="AT4165" s="28"/>
    </row>
    <row r="4166">
      <c r="A4166" s="14"/>
      <c r="B4166" s="15"/>
      <c r="C4166" s="16"/>
      <c r="D4166" s="15"/>
      <c r="F4166" s="15"/>
      <c r="G4166" s="26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28"/>
      <c r="AS4166" s="28"/>
      <c r="AT4166" s="28"/>
    </row>
    <row r="4167">
      <c r="A4167" s="14"/>
      <c r="B4167" s="15"/>
      <c r="C4167" s="16"/>
      <c r="D4167" s="15"/>
      <c r="F4167" s="15"/>
      <c r="G4167" s="26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28"/>
      <c r="AS4167" s="28"/>
      <c r="AT4167" s="28"/>
    </row>
    <row r="4168">
      <c r="A4168" s="14"/>
      <c r="B4168" s="15"/>
      <c r="C4168" s="16"/>
      <c r="D4168" s="15"/>
      <c r="F4168" s="15"/>
      <c r="G4168" s="26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28"/>
      <c r="AS4168" s="28"/>
      <c r="AT4168" s="28"/>
    </row>
    <row r="4169">
      <c r="A4169" s="14"/>
      <c r="B4169" s="15"/>
      <c r="C4169" s="16"/>
      <c r="D4169" s="15"/>
      <c r="F4169" s="15"/>
      <c r="G4169" s="26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28"/>
      <c r="AS4169" s="28"/>
      <c r="AT4169" s="28"/>
    </row>
    <row r="4170">
      <c r="A4170" s="14"/>
      <c r="B4170" s="15"/>
      <c r="C4170" s="16"/>
      <c r="D4170" s="15"/>
      <c r="F4170" s="15"/>
      <c r="G4170" s="26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28"/>
      <c r="AS4170" s="28"/>
      <c r="AT4170" s="28"/>
    </row>
    <row r="4171">
      <c r="A4171" s="14"/>
      <c r="B4171" s="15"/>
      <c r="C4171" s="16"/>
      <c r="D4171" s="15"/>
      <c r="F4171" s="15"/>
      <c r="G4171" s="26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28"/>
      <c r="AS4171" s="28"/>
      <c r="AT4171" s="28"/>
    </row>
    <row r="4172">
      <c r="A4172" s="14"/>
      <c r="B4172" s="15"/>
      <c r="C4172" s="16"/>
      <c r="D4172" s="15"/>
      <c r="F4172" s="15"/>
      <c r="G4172" s="26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28"/>
      <c r="AS4172" s="28"/>
      <c r="AT4172" s="28"/>
    </row>
    <row r="4173">
      <c r="A4173" s="14"/>
      <c r="B4173" s="15"/>
      <c r="C4173" s="16"/>
      <c r="D4173" s="15"/>
      <c r="F4173" s="15"/>
      <c r="G4173" s="26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28"/>
      <c r="AS4173" s="28"/>
      <c r="AT4173" s="28"/>
    </row>
    <row r="4174">
      <c r="A4174" s="14"/>
      <c r="B4174" s="15"/>
      <c r="C4174" s="16"/>
      <c r="D4174" s="15"/>
      <c r="F4174" s="15"/>
      <c r="G4174" s="26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28"/>
      <c r="AS4174" s="28"/>
      <c r="AT4174" s="28"/>
    </row>
    <row r="4175">
      <c r="A4175" s="14"/>
      <c r="B4175" s="15"/>
      <c r="C4175" s="16"/>
      <c r="D4175" s="15"/>
      <c r="F4175" s="15"/>
      <c r="G4175" s="26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8"/>
      <c r="AH4175" s="28"/>
      <c r="AI4175" s="28"/>
      <c r="AJ4175" s="28"/>
      <c r="AK4175" s="28"/>
      <c r="AL4175" s="28"/>
      <c r="AM4175" s="28"/>
      <c r="AN4175" s="28"/>
      <c r="AO4175" s="28"/>
      <c r="AP4175" s="28"/>
      <c r="AQ4175" s="28"/>
      <c r="AR4175" s="28"/>
      <c r="AS4175" s="28"/>
      <c r="AT4175" s="28"/>
    </row>
    <row r="4176">
      <c r="A4176" s="14"/>
      <c r="B4176" s="15"/>
      <c r="C4176" s="16"/>
      <c r="D4176" s="15"/>
      <c r="F4176" s="15"/>
      <c r="G4176" s="26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8"/>
      <c r="AH4176" s="28"/>
      <c r="AI4176" s="28"/>
      <c r="AJ4176" s="28"/>
      <c r="AK4176" s="28"/>
      <c r="AL4176" s="28"/>
      <c r="AM4176" s="28"/>
      <c r="AN4176" s="28"/>
      <c r="AO4176" s="28"/>
      <c r="AP4176" s="28"/>
      <c r="AQ4176" s="28"/>
      <c r="AR4176" s="28"/>
      <c r="AS4176" s="28"/>
      <c r="AT4176" s="28"/>
    </row>
    <row r="4177">
      <c r="A4177" s="14"/>
      <c r="B4177" s="15"/>
      <c r="C4177" s="16"/>
      <c r="D4177" s="15"/>
      <c r="F4177" s="15"/>
      <c r="G4177" s="26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8"/>
      <c r="AH4177" s="28"/>
      <c r="AI4177" s="28"/>
      <c r="AJ4177" s="28"/>
      <c r="AK4177" s="28"/>
      <c r="AL4177" s="28"/>
      <c r="AM4177" s="28"/>
      <c r="AN4177" s="28"/>
      <c r="AO4177" s="28"/>
      <c r="AP4177" s="28"/>
      <c r="AQ4177" s="28"/>
      <c r="AR4177" s="28"/>
      <c r="AS4177" s="28"/>
      <c r="AT4177" s="28"/>
    </row>
    <row r="4178">
      <c r="A4178" s="14"/>
      <c r="B4178" s="15"/>
      <c r="C4178" s="16"/>
      <c r="D4178" s="15"/>
      <c r="F4178" s="15"/>
      <c r="G4178" s="26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8"/>
      <c r="AH4178" s="28"/>
      <c r="AI4178" s="28"/>
      <c r="AJ4178" s="28"/>
      <c r="AK4178" s="28"/>
      <c r="AL4178" s="28"/>
      <c r="AM4178" s="28"/>
      <c r="AN4178" s="28"/>
      <c r="AO4178" s="28"/>
      <c r="AP4178" s="28"/>
      <c r="AQ4178" s="28"/>
      <c r="AR4178" s="28"/>
      <c r="AS4178" s="28"/>
      <c r="AT4178" s="28"/>
    </row>
    <row r="4179">
      <c r="A4179" s="14"/>
      <c r="B4179" s="15"/>
      <c r="C4179" s="16"/>
      <c r="D4179" s="15"/>
      <c r="F4179" s="15"/>
      <c r="G4179" s="26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8"/>
      <c r="AH4179" s="28"/>
      <c r="AI4179" s="28"/>
      <c r="AJ4179" s="28"/>
      <c r="AK4179" s="28"/>
      <c r="AL4179" s="28"/>
      <c r="AM4179" s="28"/>
      <c r="AN4179" s="28"/>
      <c r="AO4179" s="28"/>
      <c r="AP4179" s="28"/>
      <c r="AQ4179" s="28"/>
      <c r="AR4179" s="28"/>
      <c r="AS4179" s="28"/>
      <c r="AT4179" s="28"/>
    </row>
    <row r="4180">
      <c r="A4180" s="14"/>
      <c r="B4180" s="15"/>
      <c r="C4180" s="16"/>
      <c r="D4180" s="15"/>
      <c r="F4180" s="15"/>
      <c r="G4180" s="26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8"/>
      <c r="AH4180" s="28"/>
      <c r="AI4180" s="28"/>
      <c r="AJ4180" s="28"/>
      <c r="AK4180" s="28"/>
      <c r="AL4180" s="28"/>
      <c r="AM4180" s="28"/>
      <c r="AN4180" s="28"/>
      <c r="AO4180" s="28"/>
      <c r="AP4180" s="28"/>
      <c r="AQ4180" s="28"/>
      <c r="AR4180" s="28"/>
      <c r="AS4180" s="28"/>
      <c r="AT4180" s="28"/>
    </row>
    <row r="4181">
      <c r="A4181" s="14"/>
      <c r="B4181" s="15"/>
      <c r="C4181" s="16"/>
      <c r="D4181" s="15"/>
      <c r="F4181" s="15"/>
      <c r="G4181" s="26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8"/>
      <c r="AH4181" s="28"/>
      <c r="AI4181" s="28"/>
      <c r="AJ4181" s="28"/>
      <c r="AK4181" s="28"/>
      <c r="AL4181" s="28"/>
      <c r="AM4181" s="28"/>
      <c r="AN4181" s="28"/>
      <c r="AO4181" s="28"/>
      <c r="AP4181" s="28"/>
      <c r="AQ4181" s="28"/>
      <c r="AR4181" s="28"/>
      <c r="AS4181" s="28"/>
      <c r="AT4181" s="28"/>
    </row>
    <row r="4182">
      <c r="A4182" s="14"/>
      <c r="B4182" s="15"/>
      <c r="C4182" s="16"/>
      <c r="D4182" s="15"/>
      <c r="F4182" s="15"/>
      <c r="G4182" s="26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8"/>
      <c r="AH4182" s="28"/>
      <c r="AI4182" s="28"/>
      <c r="AJ4182" s="28"/>
      <c r="AK4182" s="28"/>
      <c r="AL4182" s="28"/>
      <c r="AM4182" s="28"/>
      <c r="AN4182" s="28"/>
      <c r="AO4182" s="28"/>
      <c r="AP4182" s="28"/>
      <c r="AQ4182" s="28"/>
      <c r="AR4182" s="28"/>
      <c r="AS4182" s="28"/>
      <c r="AT4182" s="28"/>
    </row>
    <row r="4183">
      <c r="A4183" s="14"/>
      <c r="B4183" s="15"/>
      <c r="C4183" s="16"/>
      <c r="D4183" s="15"/>
      <c r="F4183" s="15"/>
      <c r="G4183" s="26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8"/>
      <c r="AH4183" s="28"/>
      <c r="AI4183" s="28"/>
      <c r="AJ4183" s="28"/>
      <c r="AK4183" s="28"/>
      <c r="AL4183" s="28"/>
      <c r="AM4183" s="28"/>
      <c r="AN4183" s="28"/>
      <c r="AO4183" s="28"/>
      <c r="AP4183" s="28"/>
      <c r="AQ4183" s="28"/>
      <c r="AR4183" s="28"/>
      <c r="AS4183" s="28"/>
      <c r="AT4183" s="28"/>
    </row>
    <row r="4184">
      <c r="A4184" s="14"/>
      <c r="B4184" s="15"/>
      <c r="C4184" s="16"/>
      <c r="D4184" s="15"/>
      <c r="F4184" s="15"/>
      <c r="G4184" s="26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28"/>
      <c r="AM4184" s="28"/>
      <c r="AN4184" s="28"/>
      <c r="AO4184" s="28"/>
      <c r="AP4184" s="28"/>
      <c r="AQ4184" s="28"/>
      <c r="AR4184" s="28"/>
      <c r="AS4184" s="28"/>
      <c r="AT4184" s="28"/>
    </row>
    <row r="4185">
      <c r="A4185" s="14"/>
      <c r="B4185" s="15"/>
      <c r="C4185" s="16"/>
      <c r="D4185" s="15"/>
      <c r="F4185" s="15"/>
      <c r="G4185" s="26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8"/>
      <c r="AH4185" s="28"/>
      <c r="AI4185" s="28"/>
      <c r="AJ4185" s="28"/>
      <c r="AK4185" s="28"/>
      <c r="AL4185" s="28"/>
      <c r="AM4185" s="28"/>
      <c r="AN4185" s="28"/>
      <c r="AO4185" s="28"/>
      <c r="AP4185" s="28"/>
      <c r="AQ4185" s="28"/>
      <c r="AR4185" s="28"/>
      <c r="AS4185" s="28"/>
      <c r="AT4185" s="28"/>
    </row>
    <row r="4186">
      <c r="A4186" s="14"/>
      <c r="B4186" s="15"/>
      <c r="C4186" s="16"/>
      <c r="D4186" s="15"/>
      <c r="F4186" s="15"/>
      <c r="G4186" s="26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8"/>
      <c r="AH4186" s="28"/>
      <c r="AI4186" s="28"/>
      <c r="AJ4186" s="28"/>
      <c r="AK4186" s="28"/>
      <c r="AL4186" s="28"/>
      <c r="AM4186" s="28"/>
      <c r="AN4186" s="28"/>
      <c r="AO4186" s="28"/>
      <c r="AP4186" s="28"/>
      <c r="AQ4186" s="28"/>
      <c r="AR4186" s="28"/>
      <c r="AS4186" s="28"/>
      <c r="AT4186" s="28"/>
    </row>
    <row r="4187">
      <c r="A4187" s="14"/>
      <c r="B4187" s="15"/>
      <c r="C4187" s="16"/>
      <c r="D4187" s="15"/>
      <c r="F4187" s="15"/>
      <c r="G4187" s="26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28"/>
      <c r="AM4187" s="28"/>
      <c r="AN4187" s="28"/>
      <c r="AO4187" s="28"/>
      <c r="AP4187" s="28"/>
      <c r="AQ4187" s="28"/>
      <c r="AR4187" s="28"/>
      <c r="AS4187" s="28"/>
      <c r="AT4187" s="28"/>
    </row>
    <row r="4188">
      <c r="A4188" s="14"/>
      <c r="B4188" s="15"/>
      <c r="C4188" s="16"/>
      <c r="D4188" s="15"/>
      <c r="F4188" s="15"/>
      <c r="G4188" s="26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28"/>
      <c r="AS4188" s="28"/>
      <c r="AT4188" s="28"/>
    </row>
    <row r="4189">
      <c r="A4189" s="14"/>
      <c r="B4189" s="15"/>
      <c r="C4189" s="16"/>
      <c r="D4189" s="15"/>
      <c r="F4189" s="15"/>
      <c r="G4189" s="26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28"/>
      <c r="AS4189" s="28"/>
      <c r="AT4189" s="28"/>
    </row>
    <row r="4190">
      <c r="A4190" s="14"/>
      <c r="B4190" s="15"/>
      <c r="C4190" s="16"/>
      <c r="D4190" s="15"/>
      <c r="F4190" s="15"/>
      <c r="G4190" s="26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8"/>
      <c r="AH4190" s="28"/>
      <c r="AI4190" s="28"/>
      <c r="AJ4190" s="28"/>
      <c r="AK4190" s="28"/>
      <c r="AL4190" s="28"/>
      <c r="AM4190" s="28"/>
      <c r="AN4190" s="28"/>
      <c r="AO4190" s="28"/>
      <c r="AP4190" s="28"/>
      <c r="AQ4190" s="28"/>
      <c r="AR4190" s="28"/>
      <c r="AS4190" s="28"/>
      <c r="AT4190" s="28"/>
    </row>
    <row r="4191">
      <c r="A4191" s="14"/>
      <c r="B4191" s="15"/>
      <c r="C4191" s="16"/>
      <c r="D4191" s="15"/>
      <c r="F4191" s="15"/>
      <c r="G4191" s="26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8"/>
      <c r="AH4191" s="28"/>
      <c r="AI4191" s="28"/>
      <c r="AJ4191" s="28"/>
      <c r="AK4191" s="28"/>
      <c r="AL4191" s="28"/>
      <c r="AM4191" s="28"/>
      <c r="AN4191" s="28"/>
      <c r="AO4191" s="28"/>
      <c r="AP4191" s="28"/>
      <c r="AQ4191" s="28"/>
      <c r="AR4191" s="28"/>
      <c r="AS4191" s="28"/>
      <c r="AT4191" s="28"/>
    </row>
    <row r="4192">
      <c r="A4192" s="14"/>
      <c r="B4192" s="15"/>
      <c r="C4192" s="16"/>
      <c r="D4192" s="15"/>
      <c r="F4192" s="15"/>
      <c r="G4192" s="26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8"/>
      <c r="AH4192" s="28"/>
      <c r="AI4192" s="28"/>
      <c r="AJ4192" s="28"/>
      <c r="AK4192" s="28"/>
      <c r="AL4192" s="28"/>
      <c r="AM4192" s="28"/>
      <c r="AN4192" s="28"/>
      <c r="AO4192" s="28"/>
      <c r="AP4192" s="28"/>
      <c r="AQ4192" s="28"/>
      <c r="AR4192" s="28"/>
      <c r="AS4192" s="28"/>
      <c r="AT4192" s="28"/>
    </row>
    <row r="4193">
      <c r="A4193" s="14"/>
      <c r="B4193" s="15"/>
      <c r="C4193" s="16"/>
      <c r="D4193" s="15"/>
      <c r="F4193" s="15"/>
      <c r="G4193" s="26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8"/>
      <c r="AH4193" s="28"/>
      <c r="AI4193" s="28"/>
      <c r="AJ4193" s="28"/>
      <c r="AK4193" s="28"/>
      <c r="AL4193" s="28"/>
      <c r="AM4193" s="28"/>
      <c r="AN4193" s="28"/>
      <c r="AO4193" s="28"/>
      <c r="AP4193" s="28"/>
      <c r="AQ4193" s="28"/>
      <c r="AR4193" s="28"/>
      <c r="AS4193" s="28"/>
      <c r="AT4193" s="28"/>
    </row>
    <row r="4194">
      <c r="A4194" s="14"/>
      <c r="B4194" s="15"/>
      <c r="C4194" s="16"/>
      <c r="D4194" s="15"/>
      <c r="F4194" s="15"/>
      <c r="G4194" s="26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8"/>
      <c r="AH4194" s="28"/>
      <c r="AI4194" s="28"/>
      <c r="AJ4194" s="28"/>
      <c r="AK4194" s="28"/>
      <c r="AL4194" s="28"/>
      <c r="AM4194" s="28"/>
      <c r="AN4194" s="28"/>
      <c r="AO4194" s="28"/>
      <c r="AP4194" s="28"/>
      <c r="AQ4194" s="28"/>
      <c r="AR4194" s="28"/>
      <c r="AS4194" s="28"/>
      <c r="AT4194" s="28"/>
    </row>
    <row r="4195">
      <c r="A4195" s="14"/>
      <c r="B4195" s="15"/>
      <c r="C4195" s="16"/>
      <c r="D4195" s="15"/>
      <c r="F4195" s="15"/>
      <c r="G4195" s="26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8"/>
      <c r="AH4195" s="28"/>
      <c r="AI4195" s="28"/>
      <c r="AJ4195" s="28"/>
      <c r="AK4195" s="28"/>
      <c r="AL4195" s="28"/>
      <c r="AM4195" s="28"/>
      <c r="AN4195" s="28"/>
      <c r="AO4195" s="28"/>
      <c r="AP4195" s="28"/>
      <c r="AQ4195" s="28"/>
      <c r="AR4195" s="28"/>
      <c r="AS4195" s="28"/>
      <c r="AT4195" s="28"/>
    </row>
    <row r="4196">
      <c r="A4196" s="14"/>
      <c r="B4196" s="15"/>
      <c r="C4196" s="16"/>
      <c r="D4196" s="15"/>
      <c r="F4196" s="15"/>
      <c r="G4196" s="26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8"/>
      <c r="AH4196" s="28"/>
      <c r="AI4196" s="28"/>
      <c r="AJ4196" s="28"/>
      <c r="AK4196" s="28"/>
      <c r="AL4196" s="28"/>
      <c r="AM4196" s="28"/>
      <c r="AN4196" s="28"/>
      <c r="AO4196" s="28"/>
      <c r="AP4196" s="28"/>
      <c r="AQ4196" s="28"/>
      <c r="AR4196" s="28"/>
      <c r="AS4196" s="28"/>
      <c r="AT4196" s="28"/>
    </row>
    <row r="4197">
      <c r="A4197" s="14"/>
      <c r="B4197" s="15"/>
      <c r="C4197" s="16"/>
      <c r="D4197" s="15"/>
      <c r="F4197" s="15"/>
      <c r="G4197" s="26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8"/>
      <c r="AH4197" s="28"/>
      <c r="AI4197" s="28"/>
      <c r="AJ4197" s="28"/>
      <c r="AK4197" s="28"/>
      <c r="AL4197" s="28"/>
      <c r="AM4197" s="28"/>
      <c r="AN4197" s="28"/>
      <c r="AO4197" s="28"/>
      <c r="AP4197" s="28"/>
      <c r="AQ4197" s="28"/>
      <c r="AR4197" s="28"/>
      <c r="AS4197" s="28"/>
      <c r="AT4197" s="28"/>
    </row>
    <row r="4198">
      <c r="A4198" s="14"/>
      <c r="B4198" s="15"/>
      <c r="C4198" s="16"/>
      <c r="D4198" s="15"/>
      <c r="F4198" s="15"/>
      <c r="G4198" s="26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28"/>
      <c r="AR4198" s="28"/>
      <c r="AS4198" s="28"/>
      <c r="AT4198" s="28"/>
    </row>
    <row r="4199">
      <c r="A4199" s="14"/>
      <c r="B4199" s="15"/>
      <c r="C4199" s="16"/>
      <c r="D4199" s="15"/>
      <c r="F4199" s="15"/>
      <c r="G4199" s="26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8"/>
      <c r="AH4199" s="28"/>
      <c r="AI4199" s="28"/>
      <c r="AJ4199" s="28"/>
      <c r="AK4199" s="28"/>
      <c r="AL4199" s="28"/>
      <c r="AM4199" s="28"/>
      <c r="AN4199" s="28"/>
      <c r="AO4199" s="28"/>
      <c r="AP4199" s="28"/>
      <c r="AQ4199" s="28"/>
      <c r="AR4199" s="28"/>
      <c r="AS4199" s="28"/>
      <c r="AT4199" s="28"/>
    </row>
    <row r="4200">
      <c r="A4200" s="14"/>
      <c r="B4200" s="15"/>
      <c r="C4200" s="16"/>
      <c r="D4200" s="15"/>
      <c r="F4200" s="15"/>
      <c r="G4200" s="26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8"/>
      <c r="AH4200" s="28"/>
      <c r="AI4200" s="28"/>
      <c r="AJ4200" s="28"/>
      <c r="AK4200" s="28"/>
      <c r="AL4200" s="28"/>
      <c r="AM4200" s="28"/>
      <c r="AN4200" s="28"/>
      <c r="AO4200" s="28"/>
      <c r="AP4200" s="28"/>
      <c r="AQ4200" s="28"/>
      <c r="AR4200" s="28"/>
      <c r="AS4200" s="28"/>
      <c r="AT4200" s="28"/>
    </row>
    <row r="4201">
      <c r="A4201" s="14"/>
      <c r="B4201" s="15"/>
      <c r="C4201" s="16"/>
      <c r="D4201" s="15"/>
      <c r="F4201" s="15"/>
      <c r="G4201" s="26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8"/>
      <c r="AH4201" s="28"/>
      <c r="AI4201" s="28"/>
      <c r="AJ4201" s="28"/>
      <c r="AK4201" s="28"/>
      <c r="AL4201" s="28"/>
      <c r="AM4201" s="28"/>
      <c r="AN4201" s="28"/>
      <c r="AO4201" s="28"/>
      <c r="AP4201" s="28"/>
      <c r="AQ4201" s="28"/>
      <c r="AR4201" s="28"/>
      <c r="AS4201" s="28"/>
      <c r="AT4201" s="28"/>
    </row>
    <row r="4202">
      <c r="A4202" s="14"/>
      <c r="B4202" s="15"/>
      <c r="C4202" s="16"/>
      <c r="D4202" s="15"/>
      <c r="F4202" s="15"/>
      <c r="G4202" s="26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8"/>
      <c r="AH4202" s="28"/>
      <c r="AI4202" s="28"/>
      <c r="AJ4202" s="28"/>
      <c r="AK4202" s="28"/>
      <c r="AL4202" s="28"/>
      <c r="AM4202" s="28"/>
      <c r="AN4202" s="28"/>
      <c r="AO4202" s="28"/>
      <c r="AP4202" s="28"/>
      <c r="AQ4202" s="28"/>
      <c r="AR4202" s="28"/>
      <c r="AS4202" s="28"/>
      <c r="AT4202" s="28"/>
    </row>
    <row r="4203">
      <c r="A4203" s="14"/>
      <c r="B4203" s="15"/>
      <c r="C4203" s="16"/>
      <c r="D4203" s="15"/>
      <c r="F4203" s="15"/>
      <c r="G4203" s="26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28"/>
      <c r="AR4203" s="28"/>
      <c r="AS4203" s="28"/>
      <c r="AT4203" s="28"/>
    </row>
    <row r="4204">
      <c r="A4204" s="14"/>
      <c r="B4204" s="15"/>
      <c r="C4204" s="16"/>
      <c r="D4204" s="15"/>
      <c r="F4204" s="15"/>
      <c r="G4204" s="26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28"/>
      <c r="AS4204" s="28"/>
      <c r="AT4204" s="28"/>
    </row>
    <row r="4205">
      <c r="A4205" s="14"/>
      <c r="B4205" s="15"/>
      <c r="C4205" s="16"/>
      <c r="D4205" s="15"/>
      <c r="F4205" s="15"/>
      <c r="G4205" s="26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28"/>
      <c r="AS4205" s="28"/>
      <c r="AT4205" s="28"/>
    </row>
    <row r="4206">
      <c r="A4206" s="14"/>
      <c r="B4206" s="15"/>
      <c r="C4206" s="16"/>
      <c r="D4206" s="15"/>
      <c r="F4206" s="15"/>
      <c r="G4206" s="26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O4206" s="28"/>
      <c r="AP4206" s="28"/>
      <c r="AQ4206" s="28"/>
      <c r="AR4206" s="28"/>
      <c r="AS4206" s="28"/>
      <c r="AT4206" s="28"/>
    </row>
    <row r="4207">
      <c r="A4207" s="14"/>
      <c r="B4207" s="15"/>
      <c r="C4207" s="16"/>
      <c r="D4207" s="15"/>
      <c r="F4207" s="15"/>
      <c r="G4207" s="26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28"/>
      <c r="AR4207" s="28"/>
      <c r="AS4207" s="28"/>
      <c r="AT4207" s="28"/>
    </row>
    <row r="4208">
      <c r="A4208" s="14"/>
      <c r="B4208" s="15"/>
      <c r="C4208" s="16"/>
      <c r="D4208" s="15"/>
      <c r="F4208" s="15"/>
      <c r="G4208" s="26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R4208" s="28"/>
      <c r="AS4208" s="28"/>
      <c r="AT4208" s="28"/>
    </row>
    <row r="4209">
      <c r="A4209" s="14"/>
      <c r="B4209" s="15"/>
      <c r="C4209" s="16"/>
      <c r="D4209" s="15"/>
      <c r="F4209" s="15"/>
      <c r="G4209" s="26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28"/>
      <c r="AS4209" s="28"/>
      <c r="AT4209" s="28"/>
    </row>
    <row r="4210">
      <c r="A4210" s="14"/>
      <c r="B4210" s="15"/>
      <c r="C4210" s="16"/>
      <c r="D4210" s="15"/>
      <c r="F4210" s="15"/>
      <c r="G4210" s="26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28"/>
      <c r="AS4210" s="28"/>
      <c r="AT4210" s="28"/>
    </row>
    <row r="4211">
      <c r="A4211" s="14"/>
      <c r="B4211" s="15"/>
      <c r="C4211" s="16"/>
      <c r="D4211" s="15"/>
      <c r="F4211" s="15"/>
      <c r="G4211" s="26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28"/>
      <c r="AS4211" s="28"/>
      <c r="AT4211" s="28"/>
    </row>
    <row r="4212">
      <c r="A4212" s="14"/>
      <c r="B4212" s="15"/>
      <c r="C4212" s="16"/>
      <c r="D4212" s="15"/>
      <c r="F4212" s="15"/>
      <c r="G4212" s="26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28"/>
      <c r="AR4212" s="28"/>
      <c r="AS4212" s="28"/>
      <c r="AT4212" s="28"/>
    </row>
    <row r="4213">
      <c r="A4213" s="14"/>
      <c r="B4213" s="15"/>
      <c r="C4213" s="16"/>
      <c r="D4213" s="15"/>
      <c r="F4213" s="15"/>
      <c r="G4213" s="26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28"/>
      <c r="AS4213" s="28"/>
      <c r="AT4213" s="28"/>
    </row>
    <row r="4214">
      <c r="A4214" s="14"/>
      <c r="B4214" s="15"/>
      <c r="C4214" s="16"/>
      <c r="D4214" s="15"/>
      <c r="F4214" s="15"/>
      <c r="G4214" s="26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28"/>
      <c r="AS4214" s="28"/>
      <c r="AT4214" s="28"/>
    </row>
    <row r="4215">
      <c r="A4215" s="14"/>
      <c r="B4215" s="15"/>
      <c r="C4215" s="16"/>
      <c r="D4215" s="15"/>
      <c r="F4215" s="15"/>
      <c r="G4215" s="26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28"/>
      <c r="AS4215" s="28"/>
      <c r="AT4215" s="28"/>
    </row>
    <row r="4216">
      <c r="A4216" s="14"/>
      <c r="B4216" s="15"/>
      <c r="C4216" s="16"/>
      <c r="D4216" s="15"/>
      <c r="F4216" s="15"/>
      <c r="G4216" s="26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28"/>
      <c r="AS4216" s="28"/>
      <c r="AT4216" s="28"/>
    </row>
    <row r="4217">
      <c r="A4217" s="14"/>
      <c r="B4217" s="15"/>
      <c r="C4217" s="16"/>
      <c r="D4217" s="15"/>
      <c r="F4217" s="15"/>
      <c r="G4217" s="26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28"/>
      <c r="AS4217" s="28"/>
      <c r="AT4217" s="28"/>
    </row>
    <row r="4218">
      <c r="A4218" s="14"/>
      <c r="B4218" s="15"/>
      <c r="C4218" s="16"/>
      <c r="D4218" s="15"/>
      <c r="F4218" s="15"/>
      <c r="G4218" s="26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28"/>
      <c r="AS4218" s="28"/>
      <c r="AT4218" s="28"/>
    </row>
    <row r="4219">
      <c r="A4219" s="14"/>
      <c r="B4219" s="15"/>
      <c r="C4219" s="16"/>
      <c r="D4219" s="15"/>
      <c r="F4219" s="15"/>
      <c r="G4219" s="26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28"/>
      <c r="AS4219" s="28"/>
      <c r="AT4219" s="28"/>
    </row>
    <row r="4220">
      <c r="A4220" s="14"/>
      <c r="B4220" s="15"/>
      <c r="C4220" s="16"/>
      <c r="D4220" s="15"/>
      <c r="F4220" s="15"/>
      <c r="G4220" s="26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28"/>
      <c r="AS4220" s="28"/>
      <c r="AT4220" s="28"/>
    </row>
    <row r="4221">
      <c r="A4221" s="14"/>
      <c r="B4221" s="15"/>
      <c r="C4221" s="16"/>
      <c r="D4221" s="15"/>
      <c r="F4221" s="15"/>
      <c r="G4221" s="26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28"/>
      <c r="AS4221" s="28"/>
      <c r="AT4221" s="28"/>
    </row>
    <row r="4222">
      <c r="A4222" s="14"/>
      <c r="B4222" s="15"/>
      <c r="C4222" s="16"/>
      <c r="D4222" s="15"/>
      <c r="F4222" s="15"/>
      <c r="G4222" s="26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28"/>
      <c r="AS4222" s="28"/>
      <c r="AT4222" s="28"/>
    </row>
    <row r="4223">
      <c r="A4223" s="14"/>
      <c r="B4223" s="15"/>
      <c r="C4223" s="16"/>
      <c r="D4223" s="15"/>
      <c r="F4223" s="15"/>
      <c r="G4223" s="26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28"/>
      <c r="AS4223" s="28"/>
      <c r="AT4223" s="28"/>
    </row>
    <row r="4224">
      <c r="A4224" s="14"/>
      <c r="B4224" s="15"/>
      <c r="C4224" s="16"/>
      <c r="D4224" s="15"/>
      <c r="F4224" s="15"/>
      <c r="G4224" s="26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28"/>
      <c r="AS4224" s="28"/>
      <c r="AT4224" s="28"/>
    </row>
    <row r="4225">
      <c r="A4225" s="14"/>
      <c r="B4225" s="15"/>
      <c r="C4225" s="16"/>
      <c r="D4225" s="15"/>
      <c r="F4225" s="15"/>
      <c r="G4225" s="26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28"/>
      <c r="AS4225" s="28"/>
      <c r="AT4225" s="28"/>
    </row>
    <row r="4226">
      <c r="A4226" s="14"/>
      <c r="B4226" s="15"/>
      <c r="C4226" s="16"/>
      <c r="D4226" s="15"/>
      <c r="F4226" s="15"/>
      <c r="G4226" s="26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28"/>
      <c r="AS4226" s="28"/>
      <c r="AT4226" s="28"/>
    </row>
    <row r="4227">
      <c r="A4227" s="14"/>
      <c r="B4227" s="15"/>
      <c r="C4227" s="16"/>
      <c r="D4227" s="15"/>
      <c r="F4227" s="15"/>
      <c r="G4227" s="26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28"/>
      <c r="AS4227" s="28"/>
      <c r="AT4227" s="28"/>
    </row>
    <row r="4228">
      <c r="A4228" s="14"/>
      <c r="B4228" s="15"/>
      <c r="C4228" s="16"/>
      <c r="D4228" s="15"/>
      <c r="F4228" s="15"/>
      <c r="G4228" s="26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28"/>
      <c r="AS4228" s="28"/>
      <c r="AT4228" s="28"/>
    </row>
    <row r="4229">
      <c r="A4229" s="14"/>
      <c r="B4229" s="15"/>
      <c r="C4229" s="16"/>
      <c r="D4229" s="15"/>
      <c r="F4229" s="15"/>
      <c r="G4229" s="26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28"/>
      <c r="AS4229" s="28"/>
      <c r="AT4229" s="28"/>
    </row>
    <row r="4230">
      <c r="A4230" s="14"/>
      <c r="B4230" s="15"/>
      <c r="C4230" s="16"/>
      <c r="D4230" s="15"/>
      <c r="F4230" s="15"/>
      <c r="G4230" s="26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28"/>
      <c r="AS4230" s="28"/>
      <c r="AT4230" s="28"/>
    </row>
    <row r="4231">
      <c r="A4231" s="14"/>
      <c r="B4231" s="15"/>
      <c r="C4231" s="16"/>
      <c r="D4231" s="15"/>
      <c r="F4231" s="15"/>
      <c r="G4231" s="26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28"/>
      <c r="AS4231" s="28"/>
      <c r="AT4231" s="28"/>
    </row>
    <row r="4232">
      <c r="A4232" s="14"/>
      <c r="B4232" s="15"/>
      <c r="C4232" s="16"/>
      <c r="D4232" s="15"/>
      <c r="F4232" s="15"/>
      <c r="G4232" s="26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28"/>
      <c r="AS4232" s="28"/>
      <c r="AT4232" s="28"/>
    </row>
    <row r="4233">
      <c r="A4233" s="14"/>
      <c r="B4233" s="15"/>
      <c r="C4233" s="16"/>
      <c r="D4233" s="15"/>
      <c r="F4233" s="15"/>
      <c r="G4233" s="26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28"/>
      <c r="AS4233" s="28"/>
      <c r="AT4233" s="28"/>
    </row>
    <row r="4234">
      <c r="A4234" s="14"/>
      <c r="B4234" s="15"/>
      <c r="C4234" s="16"/>
      <c r="D4234" s="15"/>
      <c r="F4234" s="15"/>
      <c r="G4234" s="26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28"/>
      <c r="AS4234" s="28"/>
      <c r="AT4234" s="28"/>
    </row>
    <row r="4235">
      <c r="A4235" s="14"/>
      <c r="B4235" s="15"/>
      <c r="C4235" s="16"/>
      <c r="D4235" s="15"/>
      <c r="F4235" s="15"/>
      <c r="G4235" s="26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28"/>
      <c r="AS4235" s="28"/>
      <c r="AT4235" s="28"/>
    </row>
    <row r="4236">
      <c r="A4236" s="14"/>
      <c r="B4236" s="15"/>
      <c r="C4236" s="16"/>
      <c r="D4236" s="15"/>
      <c r="F4236" s="15"/>
      <c r="G4236" s="26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28"/>
      <c r="AS4236" s="28"/>
      <c r="AT4236" s="28"/>
    </row>
    <row r="4237">
      <c r="A4237" s="14"/>
      <c r="B4237" s="15"/>
      <c r="C4237" s="16"/>
      <c r="D4237" s="15"/>
      <c r="F4237" s="15"/>
      <c r="G4237" s="26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28"/>
      <c r="AS4237" s="28"/>
      <c r="AT4237" s="28"/>
    </row>
    <row r="4238">
      <c r="A4238" s="14"/>
      <c r="B4238" s="15"/>
      <c r="C4238" s="16"/>
      <c r="D4238" s="15"/>
      <c r="F4238" s="15"/>
      <c r="G4238" s="26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28"/>
      <c r="AS4238" s="28"/>
      <c r="AT4238" s="28"/>
    </row>
    <row r="4239">
      <c r="A4239" s="14"/>
      <c r="B4239" s="15"/>
      <c r="C4239" s="16"/>
      <c r="D4239" s="15"/>
      <c r="F4239" s="15"/>
      <c r="G4239" s="26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28"/>
      <c r="AS4239" s="28"/>
      <c r="AT4239" s="28"/>
    </row>
    <row r="4240">
      <c r="A4240" s="14"/>
      <c r="B4240" s="15"/>
      <c r="C4240" s="16"/>
      <c r="D4240" s="15"/>
      <c r="F4240" s="15"/>
      <c r="G4240" s="26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28"/>
      <c r="AS4240" s="28"/>
      <c r="AT4240" s="28"/>
    </row>
    <row r="4241">
      <c r="A4241" s="14"/>
      <c r="B4241" s="15"/>
      <c r="C4241" s="16"/>
      <c r="D4241" s="15"/>
      <c r="F4241" s="15"/>
      <c r="G4241" s="26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28"/>
      <c r="AS4241" s="28"/>
      <c r="AT4241" s="28"/>
    </row>
    <row r="4242">
      <c r="A4242" s="14"/>
      <c r="B4242" s="15"/>
      <c r="C4242" s="16"/>
      <c r="D4242" s="15"/>
      <c r="F4242" s="15"/>
      <c r="G4242" s="26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28"/>
      <c r="AS4242" s="28"/>
      <c r="AT4242" s="28"/>
    </row>
    <row r="4243">
      <c r="A4243" s="14"/>
      <c r="B4243" s="15"/>
      <c r="C4243" s="16"/>
      <c r="D4243" s="15"/>
      <c r="F4243" s="15"/>
      <c r="G4243" s="26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28"/>
      <c r="AS4243" s="28"/>
      <c r="AT4243" s="28"/>
    </row>
    <row r="4244">
      <c r="A4244" s="14"/>
      <c r="B4244" s="15"/>
      <c r="C4244" s="16"/>
      <c r="D4244" s="15"/>
      <c r="F4244" s="15"/>
      <c r="G4244" s="26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28"/>
      <c r="AS4244" s="28"/>
      <c r="AT4244" s="28"/>
    </row>
    <row r="4245">
      <c r="A4245" s="14"/>
      <c r="B4245" s="15"/>
      <c r="C4245" s="16"/>
      <c r="D4245" s="15"/>
      <c r="F4245" s="15"/>
      <c r="G4245" s="26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28"/>
      <c r="AS4245" s="28"/>
      <c r="AT4245" s="28"/>
    </row>
    <row r="4246">
      <c r="A4246" s="14"/>
      <c r="B4246" s="15"/>
      <c r="C4246" s="16"/>
      <c r="D4246" s="15"/>
      <c r="F4246" s="15"/>
      <c r="G4246" s="26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28"/>
      <c r="AS4246" s="28"/>
      <c r="AT4246" s="28"/>
    </row>
    <row r="4247">
      <c r="A4247" s="14"/>
      <c r="B4247" s="15"/>
      <c r="C4247" s="16"/>
      <c r="D4247" s="15"/>
      <c r="F4247" s="15"/>
      <c r="G4247" s="26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28"/>
      <c r="AS4247" s="28"/>
      <c r="AT4247" s="28"/>
    </row>
    <row r="4248">
      <c r="A4248" s="14"/>
      <c r="B4248" s="15"/>
      <c r="C4248" s="16"/>
      <c r="D4248" s="15"/>
      <c r="F4248" s="15"/>
      <c r="G4248" s="26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28"/>
      <c r="AS4248" s="28"/>
      <c r="AT4248" s="28"/>
    </row>
    <row r="4249">
      <c r="A4249" s="14"/>
      <c r="B4249" s="15"/>
      <c r="C4249" s="16"/>
      <c r="D4249" s="15"/>
      <c r="F4249" s="15"/>
      <c r="G4249" s="26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28"/>
      <c r="AS4249" s="28"/>
      <c r="AT4249" s="28"/>
    </row>
    <row r="4250">
      <c r="A4250" s="14"/>
      <c r="B4250" s="15"/>
      <c r="C4250" s="16"/>
      <c r="D4250" s="15"/>
      <c r="F4250" s="15"/>
      <c r="G4250" s="26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28"/>
      <c r="AS4250" s="28"/>
      <c r="AT4250" s="28"/>
    </row>
    <row r="4251">
      <c r="A4251" s="14"/>
      <c r="B4251" s="15"/>
      <c r="C4251" s="16"/>
      <c r="D4251" s="15"/>
      <c r="F4251" s="15"/>
      <c r="G4251" s="26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28"/>
      <c r="AS4251" s="28"/>
      <c r="AT4251" s="28"/>
    </row>
    <row r="4252">
      <c r="A4252" s="14"/>
      <c r="B4252" s="15"/>
      <c r="C4252" s="16"/>
      <c r="D4252" s="15"/>
      <c r="F4252" s="15"/>
      <c r="G4252" s="26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28"/>
      <c r="AS4252" s="28"/>
      <c r="AT4252" s="28"/>
    </row>
    <row r="4253">
      <c r="A4253" s="14"/>
      <c r="B4253" s="15"/>
      <c r="C4253" s="16"/>
      <c r="D4253" s="15"/>
      <c r="F4253" s="15"/>
      <c r="G4253" s="26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28"/>
      <c r="AS4253" s="28"/>
      <c r="AT4253" s="28"/>
    </row>
    <row r="4254">
      <c r="A4254" s="14"/>
      <c r="B4254" s="15"/>
      <c r="C4254" s="16"/>
      <c r="D4254" s="15"/>
      <c r="F4254" s="15"/>
      <c r="G4254" s="26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28"/>
      <c r="AS4254" s="28"/>
      <c r="AT4254" s="28"/>
    </row>
    <row r="4255">
      <c r="A4255" s="14"/>
      <c r="B4255" s="15"/>
      <c r="C4255" s="16"/>
      <c r="D4255" s="15"/>
      <c r="F4255" s="15"/>
      <c r="G4255" s="26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28"/>
      <c r="AS4255" s="28"/>
      <c r="AT4255" s="28"/>
    </row>
    <row r="4256">
      <c r="A4256" s="14"/>
      <c r="B4256" s="15"/>
      <c r="C4256" s="16"/>
      <c r="D4256" s="15"/>
      <c r="F4256" s="15"/>
      <c r="G4256" s="26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28"/>
      <c r="AS4256" s="28"/>
      <c r="AT4256" s="28"/>
    </row>
    <row r="4257">
      <c r="A4257" s="14"/>
      <c r="B4257" s="15"/>
      <c r="C4257" s="16"/>
      <c r="D4257" s="15"/>
      <c r="F4257" s="15"/>
      <c r="G4257" s="26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28"/>
      <c r="AS4257" s="28"/>
      <c r="AT4257" s="28"/>
    </row>
    <row r="4258">
      <c r="A4258" s="14"/>
      <c r="B4258" s="15"/>
      <c r="C4258" s="16"/>
      <c r="D4258" s="15"/>
      <c r="F4258" s="15"/>
      <c r="G4258" s="26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28"/>
      <c r="AS4258" s="28"/>
      <c r="AT4258" s="28"/>
    </row>
    <row r="4259">
      <c r="A4259" s="14"/>
      <c r="B4259" s="15"/>
      <c r="C4259" s="16"/>
      <c r="D4259" s="15"/>
      <c r="F4259" s="15"/>
      <c r="G4259" s="26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28"/>
      <c r="AS4259" s="28"/>
      <c r="AT4259" s="28"/>
    </row>
    <row r="4260">
      <c r="A4260" s="14"/>
      <c r="B4260" s="15"/>
      <c r="C4260" s="16"/>
      <c r="D4260" s="15"/>
      <c r="F4260" s="15"/>
      <c r="G4260" s="26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28"/>
      <c r="AS4260" s="28"/>
      <c r="AT4260" s="28"/>
    </row>
    <row r="4261">
      <c r="A4261" s="14"/>
      <c r="B4261" s="15"/>
      <c r="C4261" s="16"/>
      <c r="D4261" s="15"/>
      <c r="F4261" s="15"/>
      <c r="G4261" s="26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28"/>
      <c r="AS4261" s="28"/>
      <c r="AT4261" s="28"/>
    </row>
    <row r="4262">
      <c r="A4262" s="14"/>
      <c r="B4262" s="15"/>
      <c r="C4262" s="16"/>
      <c r="D4262" s="15"/>
      <c r="F4262" s="15"/>
      <c r="G4262" s="26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28"/>
      <c r="AS4262" s="28"/>
      <c r="AT4262" s="28"/>
    </row>
    <row r="4263">
      <c r="A4263" s="14"/>
      <c r="B4263" s="15"/>
      <c r="C4263" s="16"/>
      <c r="D4263" s="15"/>
      <c r="F4263" s="15"/>
      <c r="G4263" s="26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28"/>
      <c r="AS4263" s="28"/>
      <c r="AT4263" s="28"/>
    </row>
    <row r="4264">
      <c r="A4264" s="14"/>
      <c r="B4264" s="15"/>
      <c r="C4264" s="16"/>
      <c r="D4264" s="15"/>
      <c r="F4264" s="15"/>
      <c r="G4264" s="26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28"/>
      <c r="AS4264" s="28"/>
      <c r="AT4264" s="28"/>
    </row>
    <row r="4265">
      <c r="A4265" s="14"/>
      <c r="B4265" s="15"/>
      <c r="C4265" s="16"/>
      <c r="D4265" s="15"/>
      <c r="F4265" s="15"/>
      <c r="G4265" s="26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28"/>
      <c r="AS4265" s="28"/>
      <c r="AT4265" s="28"/>
    </row>
    <row r="4266">
      <c r="A4266" s="14"/>
      <c r="B4266" s="15"/>
      <c r="C4266" s="16"/>
      <c r="D4266" s="15"/>
      <c r="F4266" s="15"/>
      <c r="G4266" s="26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28"/>
      <c r="AS4266" s="28"/>
      <c r="AT4266" s="28"/>
    </row>
    <row r="4267">
      <c r="A4267" s="14"/>
      <c r="B4267" s="15"/>
      <c r="C4267" s="16"/>
      <c r="D4267" s="15"/>
      <c r="F4267" s="15"/>
      <c r="G4267" s="26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28"/>
      <c r="AS4267" s="28"/>
      <c r="AT4267" s="28"/>
    </row>
    <row r="4268">
      <c r="A4268" s="14"/>
      <c r="B4268" s="15"/>
      <c r="C4268" s="16"/>
      <c r="D4268" s="15"/>
      <c r="F4268" s="15"/>
      <c r="G4268" s="26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28"/>
      <c r="AS4268" s="28"/>
      <c r="AT4268" s="28"/>
    </row>
    <row r="4269">
      <c r="A4269" s="14"/>
      <c r="B4269" s="15"/>
      <c r="C4269" s="16"/>
      <c r="D4269" s="15"/>
      <c r="F4269" s="15"/>
      <c r="G4269" s="26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28"/>
      <c r="AS4269" s="28"/>
      <c r="AT4269" s="28"/>
    </row>
    <row r="4270">
      <c r="A4270" s="14"/>
      <c r="B4270" s="15"/>
      <c r="C4270" s="16"/>
      <c r="D4270" s="15"/>
      <c r="F4270" s="15"/>
      <c r="G4270" s="26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28"/>
      <c r="AS4270" s="28"/>
      <c r="AT4270" s="28"/>
    </row>
    <row r="4271">
      <c r="A4271" s="14"/>
      <c r="B4271" s="15"/>
      <c r="C4271" s="16"/>
      <c r="D4271" s="15"/>
      <c r="F4271" s="15"/>
      <c r="G4271" s="26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28"/>
      <c r="AS4271" s="28"/>
      <c r="AT4271" s="28"/>
    </row>
    <row r="4272">
      <c r="A4272" s="14"/>
      <c r="B4272" s="15"/>
      <c r="C4272" s="16"/>
      <c r="D4272" s="15"/>
      <c r="F4272" s="15"/>
      <c r="G4272" s="26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28"/>
      <c r="AS4272" s="28"/>
      <c r="AT4272" s="28"/>
    </row>
    <row r="4273">
      <c r="A4273" s="14"/>
      <c r="B4273" s="15"/>
      <c r="C4273" s="16"/>
      <c r="D4273" s="15"/>
      <c r="F4273" s="15"/>
      <c r="G4273" s="26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28"/>
      <c r="AS4273" s="28"/>
      <c r="AT4273" s="28"/>
    </row>
    <row r="4274">
      <c r="A4274" s="14"/>
      <c r="B4274" s="15"/>
      <c r="C4274" s="16"/>
      <c r="D4274" s="15"/>
      <c r="F4274" s="15"/>
      <c r="G4274" s="26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28"/>
      <c r="AS4274" s="28"/>
      <c r="AT4274" s="28"/>
    </row>
    <row r="4275">
      <c r="A4275" s="14"/>
      <c r="B4275" s="15"/>
      <c r="C4275" s="16"/>
      <c r="D4275" s="15"/>
      <c r="F4275" s="15"/>
      <c r="G4275" s="26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28"/>
      <c r="AS4275" s="28"/>
      <c r="AT4275" s="28"/>
    </row>
    <row r="4276">
      <c r="A4276" s="14"/>
      <c r="B4276" s="15"/>
      <c r="C4276" s="16"/>
      <c r="D4276" s="15"/>
      <c r="F4276" s="15"/>
      <c r="G4276" s="26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28"/>
      <c r="AS4276" s="28"/>
      <c r="AT4276" s="28"/>
    </row>
    <row r="4277">
      <c r="A4277" s="14"/>
      <c r="B4277" s="15"/>
      <c r="C4277" s="16"/>
      <c r="D4277" s="15"/>
      <c r="F4277" s="15"/>
      <c r="G4277" s="26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28"/>
      <c r="AS4277" s="28"/>
      <c r="AT4277" s="28"/>
    </row>
    <row r="4278">
      <c r="A4278" s="14"/>
      <c r="B4278" s="15"/>
      <c r="C4278" s="16"/>
      <c r="D4278" s="15"/>
      <c r="F4278" s="15"/>
      <c r="G4278" s="26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28"/>
      <c r="AS4278" s="28"/>
      <c r="AT4278" s="28"/>
    </row>
    <row r="4279">
      <c r="A4279" s="14"/>
      <c r="B4279" s="15"/>
      <c r="C4279" s="16"/>
      <c r="D4279" s="15"/>
      <c r="F4279" s="15"/>
      <c r="G4279" s="26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28"/>
      <c r="AS4279" s="28"/>
      <c r="AT4279" s="28"/>
    </row>
    <row r="4280">
      <c r="A4280" s="14"/>
      <c r="B4280" s="15"/>
      <c r="C4280" s="16"/>
      <c r="D4280" s="15"/>
      <c r="F4280" s="15"/>
      <c r="G4280" s="26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28"/>
      <c r="AS4280" s="28"/>
      <c r="AT4280" s="28"/>
    </row>
    <row r="4281">
      <c r="A4281" s="14"/>
      <c r="B4281" s="15"/>
      <c r="C4281" s="16"/>
      <c r="D4281" s="15"/>
      <c r="F4281" s="15"/>
      <c r="G4281" s="26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28"/>
      <c r="AS4281" s="28"/>
      <c r="AT4281" s="28"/>
    </row>
    <row r="4282">
      <c r="A4282" s="14"/>
      <c r="B4282" s="15"/>
      <c r="C4282" s="16"/>
      <c r="D4282" s="15"/>
      <c r="F4282" s="15"/>
      <c r="G4282" s="26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28"/>
      <c r="AS4282" s="28"/>
      <c r="AT4282" s="28"/>
    </row>
    <row r="4283">
      <c r="A4283" s="14"/>
      <c r="B4283" s="15"/>
      <c r="C4283" s="16"/>
      <c r="D4283" s="15"/>
      <c r="F4283" s="15"/>
      <c r="G4283" s="26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28"/>
      <c r="AS4283" s="28"/>
      <c r="AT4283" s="28"/>
    </row>
    <row r="4284">
      <c r="A4284" s="14"/>
      <c r="B4284" s="15"/>
      <c r="C4284" s="16"/>
      <c r="D4284" s="15"/>
      <c r="F4284" s="15"/>
      <c r="G4284" s="26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28"/>
      <c r="AS4284" s="28"/>
      <c r="AT4284" s="28"/>
    </row>
    <row r="4285">
      <c r="A4285" s="14"/>
      <c r="B4285" s="15"/>
      <c r="C4285" s="16"/>
      <c r="D4285" s="15"/>
      <c r="F4285" s="15"/>
      <c r="G4285" s="26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28"/>
      <c r="AS4285" s="28"/>
      <c r="AT4285" s="28"/>
    </row>
    <row r="4286">
      <c r="A4286" s="14"/>
      <c r="B4286" s="15"/>
      <c r="C4286" s="16"/>
      <c r="D4286" s="15"/>
      <c r="F4286" s="15"/>
      <c r="G4286" s="26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28"/>
      <c r="AS4286" s="28"/>
      <c r="AT4286" s="28"/>
    </row>
    <row r="4287">
      <c r="A4287" s="14"/>
      <c r="B4287" s="15"/>
      <c r="C4287" s="16"/>
      <c r="D4287" s="15"/>
      <c r="F4287" s="15"/>
      <c r="G4287" s="26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28"/>
      <c r="AS4287" s="28"/>
      <c r="AT4287" s="28"/>
    </row>
    <row r="4288">
      <c r="A4288" s="14"/>
      <c r="B4288" s="15"/>
      <c r="C4288" s="16"/>
      <c r="D4288" s="15"/>
      <c r="F4288" s="15"/>
      <c r="G4288" s="26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28"/>
      <c r="AS4288" s="28"/>
      <c r="AT4288" s="28"/>
    </row>
    <row r="4289">
      <c r="A4289" s="14"/>
      <c r="B4289" s="15"/>
      <c r="C4289" s="16"/>
      <c r="D4289" s="15"/>
      <c r="F4289" s="15"/>
      <c r="G4289" s="26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28"/>
      <c r="AS4289" s="28"/>
      <c r="AT4289" s="28"/>
    </row>
    <row r="4290">
      <c r="A4290" s="14"/>
      <c r="B4290" s="15"/>
      <c r="C4290" s="16"/>
      <c r="D4290" s="15"/>
      <c r="F4290" s="15"/>
      <c r="G4290" s="26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28"/>
      <c r="AS4290" s="28"/>
      <c r="AT4290" s="28"/>
    </row>
    <row r="4291">
      <c r="A4291" s="14"/>
      <c r="B4291" s="15"/>
      <c r="C4291" s="16"/>
      <c r="D4291" s="15"/>
      <c r="F4291" s="15"/>
      <c r="G4291" s="26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28"/>
      <c r="AS4291" s="28"/>
      <c r="AT4291" s="28"/>
    </row>
    <row r="4292">
      <c r="A4292" s="14"/>
      <c r="B4292" s="15"/>
      <c r="C4292" s="16"/>
      <c r="D4292" s="15"/>
      <c r="F4292" s="15"/>
      <c r="G4292" s="26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28"/>
      <c r="AS4292" s="28"/>
      <c r="AT4292" s="28"/>
    </row>
    <row r="4293">
      <c r="A4293" s="14"/>
      <c r="B4293" s="15"/>
      <c r="C4293" s="16"/>
      <c r="D4293" s="15"/>
      <c r="F4293" s="15"/>
      <c r="G4293" s="26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28"/>
      <c r="AS4293" s="28"/>
      <c r="AT4293" s="28"/>
    </row>
    <row r="4294">
      <c r="A4294" s="14"/>
      <c r="B4294" s="15"/>
      <c r="C4294" s="16"/>
      <c r="D4294" s="15"/>
      <c r="F4294" s="15"/>
      <c r="G4294" s="26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28"/>
      <c r="AS4294" s="28"/>
      <c r="AT4294" s="28"/>
    </row>
    <row r="4295">
      <c r="A4295" s="14"/>
      <c r="B4295" s="15"/>
      <c r="C4295" s="16"/>
      <c r="D4295" s="15"/>
      <c r="F4295" s="15"/>
      <c r="G4295" s="26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28"/>
      <c r="AS4295" s="28"/>
      <c r="AT4295" s="28"/>
    </row>
    <row r="4296">
      <c r="A4296" s="14"/>
      <c r="B4296" s="15"/>
      <c r="C4296" s="16"/>
      <c r="D4296" s="15"/>
      <c r="F4296" s="15"/>
      <c r="G4296" s="26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28"/>
      <c r="AS4296" s="28"/>
      <c r="AT4296" s="28"/>
    </row>
    <row r="4297">
      <c r="A4297" s="14"/>
      <c r="B4297" s="15"/>
      <c r="C4297" s="16"/>
      <c r="D4297" s="15"/>
      <c r="F4297" s="15"/>
      <c r="G4297" s="26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28"/>
      <c r="AS4297" s="28"/>
      <c r="AT4297" s="28"/>
    </row>
    <row r="4298">
      <c r="A4298" s="14"/>
      <c r="B4298" s="15"/>
      <c r="C4298" s="16"/>
      <c r="D4298" s="15"/>
      <c r="F4298" s="15"/>
      <c r="G4298" s="26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28"/>
      <c r="AS4298" s="28"/>
      <c r="AT4298" s="28"/>
    </row>
    <row r="4299">
      <c r="A4299" s="14"/>
      <c r="B4299" s="15"/>
      <c r="C4299" s="16"/>
      <c r="D4299" s="15"/>
      <c r="F4299" s="15"/>
      <c r="G4299" s="26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28"/>
      <c r="AS4299" s="28"/>
      <c r="AT4299" s="28"/>
    </row>
    <row r="4300">
      <c r="A4300" s="14"/>
      <c r="B4300" s="15"/>
      <c r="C4300" s="16"/>
      <c r="D4300" s="15"/>
      <c r="F4300" s="15"/>
      <c r="G4300" s="26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28"/>
      <c r="AS4300" s="28"/>
      <c r="AT4300" s="28"/>
    </row>
    <row r="4301">
      <c r="A4301" s="14"/>
      <c r="B4301" s="15"/>
      <c r="C4301" s="16"/>
      <c r="D4301" s="15"/>
      <c r="F4301" s="15"/>
      <c r="G4301" s="26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28"/>
      <c r="AS4301" s="28"/>
      <c r="AT4301" s="28"/>
    </row>
    <row r="4302">
      <c r="A4302" s="14"/>
      <c r="B4302" s="15"/>
      <c r="C4302" s="16"/>
      <c r="D4302" s="15"/>
      <c r="F4302" s="15"/>
      <c r="G4302" s="26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28"/>
      <c r="AS4302" s="28"/>
      <c r="AT4302" s="28"/>
    </row>
    <row r="4303">
      <c r="A4303" s="14"/>
      <c r="B4303" s="15"/>
      <c r="C4303" s="16"/>
      <c r="D4303" s="15"/>
      <c r="F4303" s="15"/>
      <c r="G4303" s="26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28"/>
      <c r="AS4303" s="28"/>
      <c r="AT4303" s="28"/>
    </row>
    <row r="4304">
      <c r="A4304" s="14"/>
      <c r="B4304" s="15"/>
      <c r="C4304" s="16"/>
      <c r="D4304" s="15"/>
      <c r="F4304" s="15"/>
      <c r="G4304" s="26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28"/>
      <c r="AS4304" s="28"/>
      <c r="AT4304" s="28"/>
    </row>
    <row r="4305">
      <c r="A4305" s="14"/>
      <c r="B4305" s="15"/>
      <c r="C4305" s="16"/>
      <c r="D4305" s="15"/>
      <c r="F4305" s="15"/>
      <c r="G4305" s="26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28"/>
      <c r="AS4305" s="28"/>
      <c r="AT4305" s="28"/>
    </row>
    <row r="4306">
      <c r="A4306" s="14"/>
      <c r="B4306" s="15"/>
      <c r="C4306" s="16"/>
      <c r="D4306" s="15"/>
      <c r="F4306" s="15"/>
      <c r="G4306" s="26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28"/>
      <c r="AS4306" s="28"/>
      <c r="AT4306" s="28"/>
    </row>
    <row r="4307">
      <c r="A4307" s="14"/>
      <c r="B4307" s="15"/>
      <c r="C4307" s="16"/>
      <c r="D4307" s="15"/>
      <c r="F4307" s="15"/>
      <c r="G4307" s="26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28"/>
      <c r="AS4307" s="28"/>
      <c r="AT4307" s="28"/>
    </row>
    <row r="4308">
      <c r="A4308" s="14"/>
      <c r="B4308" s="15"/>
      <c r="C4308" s="16"/>
      <c r="D4308" s="15"/>
      <c r="F4308" s="15"/>
      <c r="G4308" s="26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8"/>
      <c r="AH4308" s="28"/>
      <c r="AI4308" s="28"/>
      <c r="AJ4308" s="28"/>
      <c r="AK4308" s="28"/>
      <c r="AL4308" s="28"/>
      <c r="AM4308" s="28"/>
      <c r="AN4308" s="28"/>
      <c r="AO4308" s="28"/>
      <c r="AP4308" s="28"/>
      <c r="AQ4308" s="28"/>
      <c r="AR4308" s="28"/>
      <c r="AS4308" s="28"/>
      <c r="AT4308" s="28"/>
    </row>
    <row r="4309">
      <c r="A4309" s="14"/>
      <c r="B4309" s="15"/>
      <c r="C4309" s="16"/>
      <c r="D4309" s="15"/>
      <c r="F4309" s="15"/>
      <c r="G4309" s="26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8"/>
      <c r="AH4309" s="28"/>
      <c r="AI4309" s="28"/>
      <c r="AJ4309" s="28"/>
      <c r="AK4309" s="28"/>
      <c r="AL4309" s="28"/>
      <c r="AM4309" s="28"/>
      <c r="AN4309" s="28"/>
      <c r="AO4309" s="28"/>
      <c r="AP4309" s="28"/>
      <c r="AQ4309" s="28"/>
      <c r="AR4309" s="28"/>
      <c r="AS4309" s="28"/>
      <c r="AT4309" s="28"/>
    </row>
    <row r="4310">
      <c r="A4310" s="14"/>
      <c r="B4310" s="15"/>
      <c r="C4310" s="16"/>
      <c r="D4310" s="15"/>
      <c r="F4310" s="15"/>
      <c r="G4310" s="26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8"/>
      <c r="AH4310" s="28"/>
      <c r="AI4310" s="28"/>
      <c r="AJ4310" s="28"/>
      <c r="AK4310" s="28"/>
      <c r="AL4310" s="28"/>
      <c r="AM4310" s="28"/>
      <c r="AN4310" s="28"/>
      <c r="AO4310" s="28"/>
      <c r="AP4310" s="28"/>
      <c r="AQ4310" s="28"/>
      <c r="AR4310" s="28"/>
      <c r="AS4310" s="28"/>
      <c r="AT4310" s="28"/>
    </row>
    <row r="4311">
      <c r="A4311" s="14"/>
      <c r="B4311" s="15"/>
      <c r="C4311" s="16"/>
      <c r="D4311" s="15"/>
      <c r="F4311" s="15"/>
      <c r="G4311" s="26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8"/>
      <c r="AH4311" s="28"/>
      <c r="AI4311" s="28"/>
      <c r="AJ4311" s="28"/>
      <c r="AK4311" s="28"/>
      <c r="AL4311" s="28"/>
      <c r="AM4311" s="28"/>
      <c r="AN4311" s="28"/>
      <c r="AO4311" s="28"/>
      <c r="AP4311" s="28"/>
      <c r="AQ4311" s="28"/>
      <c r="AR4311" s="28"/>
      <c r="AS4311" s="28"/>
      <c r="AT4311" s="28"/>
    </row>
    <row r="4312">
      <c r="A4312" s="14"/>
      <c r="B4312" s="15"/>
      <c r="C4312" s="16"/>
      <c r="D4312" s="15"/>
      <c r="F4312" s="15"/>
      <c r="G4312" s="26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8"/>
      <c r="AH4312" s="28"/>
      <c r="AI4312" s="28"/>
      <c r="AJ4312" s="28"/>
      <c r="AK4312" s="28"/>
      <c r="AL4312" s="28"/>
      <c r="AM4312" s="28"/>
      <c r="AN4312" s="28"/>
      <c r="AO4312" s="28"/>
      <c r="AP4312" s="28"/>
      <c r="AQ4312" s="28"/>
      <c r="AR4312" s="28"/>
      <c r="AS4312" s="28"/>
      <c r="AT4312" s="28"/>
    </row>
    <row r="4313">
      <c r="A4313" s="14"/>
      <c r="B4313" s="15"/>
      <c r="C4313" s="16"/>
      <c r="D4313" s="15"/>
      <c r="F4313" s="15"/>
      <c r="G4313" s="26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8"/>
      <c r="AH4313" s="28"/>
      <c r="AI4313" s="28"/>
      <c r="AJ4313" s="28"/>
      <c r="AK4313" s="28"/>
      <c r="AL4313" s="28"/>
      <c r="AM4313" s="28"/>
      <c r="AN4313" s="28"/>
      <c r="AO4313" s="28"/>
      <c r="AP4313" s="28"/>
      <c r="AQ4313" s="28"/>
      <c r="AR4313" s="28"/>
      <c r="AS4313" s="28"/>
      <c r="AT4313" s="28"/>
    </row>
    <row r="4314">
      <c r="A4314" s="14"/>
      <c r="B4314" s="15"/>
      <c r="C4314" s="16"/>
      <c r="D4314" s="15"/>
      <c r="F4314" s="15"/>
      <c r="G4314" s="26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28"/>
      <c r="AR4314" s="28"/>
      <c r="AS4314" s="28"/>
      <c r="AT4314" s="28"/>
    </row>
    <row r="4315">
      <c r="A4315" s="14"/>
      <c r="B4315" s="15"/>
      <c r="C4315" s="16"/>
      <c r="D4315" s="15"/>
      <c r="F4315" s="15"/>
      <c r="G4315" s="26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8"/>
      <c r="AH4315" s="28"/>
      <c r="AI4315" s="28"/>
      <c r="AJ4315" s="28"/>
      <c r="AK4315" s="28"/>
      <c r="AL4315" s="28"/>
      <c r="AM4315" s="28"/>
      <c r="AN4315" s="28"/>
      <c r="AO4315" s="28"/>
      <c r="AP4315" s="28"/>
      <c r="AQ4315" s="28"/>
      <c r="AR4315" s="28"/>
      <c r="AS4315" s="28"/>
      <c r="AT4315" s="28"/>
    </row>
    <row r="4316">
      <c r="A4316" s="14"/>
      <c r="B4316" s="15"/>
      <c r="C4316" s="16"/>
      <c r="D4316" s="15"/>
      <c r="F4316" s="15"/>
      <c r="G4316" s="26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28"/>
      <c r="AR4316" s="28"/>
      <c r="AS4316" s="28"/>
      <c r="AT4316" s="28"/>
    </row>
    <row r="4317">
      <c r="A4317" s="14"/>
      <c r="B4317" s="15"/>
      <c r="C4317" s="16"/>
      <c r="D4317" s="15"/>
      <c r="F4317" s="15"/>
      <c r="G4317" s="26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8"/>
      <c r="AH4317" s="28"/>
      <c r="AI4317" s="28"/>
      <c r="AJ4317" s="28"/>
      <c r="AK4317" s="28"/>
      <c r="AL4317" s="28"/>
      <c r="AM4317" s="28"/>
      <c r="AN4317" s="28"/>
      <c r="AO4317" s="28"/>
      <c r="AP4317" s="28"/>
      <c r="AQ4317" s="28"/>
      <c r="AR4317" s="28"/>
      <c r="AS4317" s="28"/>
      <c r="AT4317" s="28"/>
    </row>
    <row r="4318">
      <c r="A4318" s="14"/>
      <c r="B4318" s="15"/>
      <c r="C4318" s="16"/>
      <c r="D4318" s="15"/>
      <c r="F4318" s="15"/>
      <c r="G4318" s="26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8"/>
      <c r="AH4318" s="28"/>
      <c r="AI4318" s="28"/>
      <c r="AJ4318" s="28"/>
      <c r="AK4318" s="28"/>
      <c r="AL4318" s="28"/>
      <c r="AM4318" s="28"/>
      <c r="AN4318" s="28"/>
      <c r="AO4318" s="28"/>
      <c r="AP4318" s="28"/>
      <c r="AQ4318" s="28"/>
      <c r="AR4318" s="28"/>
      <c r="AS4318" s="28"/>
      <c r="AT4318" s="28"/>
    </row>
    <row r="4319">
      <c r="A4319" s="14"/>
      <c r="B4319" s="15"/>
      <c r="C4319" s="16"/>
      <c r="D4319" s="15"/>
      <c r="F4319" s="15"/>
      <c r="G4319" s="26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  <c r="AP4319" s="28"/>
      <c r="AQ4319" s="28"/>
      <c r="AR4319" s="28"/>
      <c r="AS4319" s="28"/>
      <c r="AT4319" s="28"/>
    </row>
    <row r="4320">
      <c r="A4320" s="14"/>
      <c r="B4320" s="15"/>
      <c r="C4320" s="16"/>
      <c r="D4320" s="15"/>
      <c r="F4320" s="15"/>
      <c r="G4320" s="26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  <c r="AP4320" s="28"/>
      <c r="AQ4320" s="28"/>
      <c r="AR4320" s="28"/>
      <c r="AS4320" s="28"/>
      <c r="AT4320" s="28"/>
    </row>
    <row r="4321">
      <c r="A4321" s="14"/>
      <c r="B4321" s="15"/>
      <c r="C4321" s="16"/>
      <c r="D4321" s="15"/>
      <c r="F4321" s="15"/>
      <c r="G4321" s="26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28"/>
      <c r="AR4321" s="28"/>
      <c r="AS4321" s="28"/>
      <c r="AT4321" s="28"/>
    </row>
    <row r="4322">
      <c r="A4322" s="14"/>
      <c r="B4322" s="15"/>
      <c r="C4322" s="16"/>
      <c r="D4322" s="15"/>
      <c r="F4322" s="15"/>
      <c r="G4322" s="26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28"/>
      <c r="AS4322" s="28"/>
      <c r="AT4322" s="28"/>
    </row>
    <row r="4323">
      <c r="A4323" s="14"/>
      <c r="B4323" s="15"/>
      <c r="C4323" s="16"/>
      <c r="D4323" s="15"/>
      <c r="F4323" s="15"/>
      <c r="G4323" s="26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  <c r="AP4323" s="28"/>
      <c r="AQ4323" s="28"/>
      <c r="AR4323" s="28"/>
      <c r="AS4323" s="28"/>
      <c r="AT4323" s="28"/>
    </row>
    <row r="4324">
      <c r="A4324" s="14"/>
      <c r="B4324" s="15"/>
      <c r="C4324" s="16"/>
      <c r="D4324" s="15"/>
      <c r="F4324" s="15"/>
      <c r="G4324" s="26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  <c r="AP4324" s="28"/>
      <c r="AQ4324" s="28"/>
      <c r="AR4324" s="28"/>
      <c r="AS4324" s="28"/>
      <c r="AT4324" s="28"/>
    </row>
    <row r="4325">
      <c r="A4325" s="14"/>
      <c r="B4325" s="15"/>
      <c r="C4325" s="16"/>
      <c r="D4325" s="15"/>
      <c r="F4325" s="15"/>
      <c r="G4325" s="26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  <c r="AP4325" s="28"/>
      <c r="AQ4325" s="28"/>
      <c r="AR4325" s="28"/>
      <c r="AS4325" s="28"/>
      <c r="AT4325" s="28"/>
    </row>
    <row r="4326">
      <c r="A4326" s="14"/>
      <c r="B4326" s="15"/>
      <c r="C4326" s="16"/>
      <c r="D4326" s="15"/>
      <c r="F4326" s="15"/>
      <c r="G4326" s="26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  <c r="AP4326" s="28"/>
      <c r="AQ4326" s="28"/>
      <c r="AR4326" s="28"/>
      <c r="AS4326" s="28"/>
      <c r="AT4326" s="28"/>
    </row>
    <row r="4327">
      <c r="A4327" s="14"/>
      <c r="B4327" s="15"/>
      <c r="C4327" s="16"/>
      <c r="D4327" s="15"/>
      <c r="F4327" s="15"/>
      <c r="G4327" s="26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  <c r="AP4327" s="28"/>
      <c r="AQ4327" s="28"/>
      <c r="AR4327" s="28"/>
      <c r="AS4327" s="28"/>
      <c r="AT4327" s="28"/>
    </row>
    <row r="4328">
      <c r="A4328" s="14"/>
      <c r="B4328" s="15"/>
      <c r="C4328" s="16"/>
      <c r="D4328" s="15"/>
      <c r="F4328" s="15"/>
      <c r="G4328" s="26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28"/>
      <c r="AR4328" s="28"/>
      <c r="AS4328" s="28"/>
      <c r="AT4328" s="28"/>
    </row>
    <row r="4329">
      <c r="A4329" s="14"/>
      <c r="B4329" s="15"/>
      <c r="C4329" s="16"/>
      <c r="D4329" s="15"/>
      <c r="F4329" s="15"/>
      <c r="G4329" s="26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8"/>
      <c r="AH4329" s="28"/>
      <c r="AI4329" s="28"/>
      <c r="AJ4329" s="28"/>
      <c r="AK4329" s="28"/>
      <c r="AL4329" s="28"/>
      <c r="AM4329" s="28"/>
      <c r="AN4329" s="28"/>
      <c r="AO4329" s="28"/>
      <c r="AP4329" s="28"/>
      <c r="AQ4329" s="28"/>
      <c r="AR4329" s="28"/>
      <c r="AS4329" s="28"/>
      <c r="AT4329" s="28"/>
    </row>
    <row r="4330">
      <c r="A4330" s="14"/>
      <c r="B4330" s="15"/>
      <c r="C4330" s="16"/>
      <c r="D4330" s="15"/>
      <c r="F4330" s="15"/>
      <c r="G4330" s="26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8"/>
      <c r="AH4330" s="28"/>
      <c r="AI4330" s="28"/>
      <c r="AJ4330" s="28"/>
      <c r="AK4330" s="28"/>
      <c r="AL4330" s="28"/>
      <c r="AM4330" s="28"/>
      <c r="AN4330" s="28"/>
      <c r="AO4330" s="28"/>
      <c r="AP4330" s="28"/>
      <c r="AQ4330" s="28"/>
      <c r="AR4330" s="28"/>
      <c r="AS4330" s="28"/>
      <c r="AT4330" s="28"/>
    </row>
    <row r="4331">
      <c r="A4331" s="14"/>
      <c r="B4331" s="15"/>
      <c r="C4331" s="16"/>
      <c r="D4331" s="15"/>
      <c r="F4331" s="15"/>
      <c r="G4331" s="26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8"/>
      <c r="AH4331" s="28"/>
      <c r="AI4331" s="28"/>
      <c r="AJ4331" s="28"/>
      <c r="AK4331" s="28"/>
      <c r="AL4331" s="28"/>
      <c r="AM4331" s="28"/>
      <c r="AN4331" s="28"/>
      <c r="AO4331" s="28"/>
      <c r="AP4331" s="28"/>
      <c r="AQ4331" s="28"/>
      <c r="AR4331" s="28"/>
      <c r="AS4331" s="28"/>
      <c r="AT4331" s="28"/>
    </row>
    <row r="4332">
      <c r="A4332" s="14"/>
      <c r="B4332" s="15"/>
      <c r="C4332" s="16"/>
      <c r="D4332" s="15"/>
      <c r="F4332" s="15"/>
      <c r="G4332" s="26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28"/>
      <c r="AR4332" s="28"/>
      <c r="AS4332" s="28"/>
      <c r="AT4332" s="28"/>
    </row>
    <row r="4333">
      <c r="A4333" s="14"/>
      <c r="B4333" s="15"/>
      <c r="C4333" s="16"/>
      <c r="D4333" s="15"/>
      <c r="F4333" s="15"/>
      <c r="G4333" s="26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8"/>
      <c r="AH4333" s="28"/>
      <c r="AI4333" s="28"/>
      <c r="AJ4333" s="28"/>
      <c r="AK4333" s="28"/>
      <c r="AL4333" s="28"/>
      <c r="AM4333" s="28"/>
      <c r="AN4333" s="28"/>
      <c r="AO4333" s="28"/>
      <c r="AP4333" s="28"/>
      <c r="AQ4333" s="28"/>
      <c r="AR4333" s="28"/>
      <c r="AS4333" s="28"/>
      <c r="AT4333" s="28"/>
    </row>
    <row r="4334">
      <c r="A4334" s="14"/>
      <c r="B4334" s="15"/>
      <c r="C4334" s="16"/>
      <c r="D4334" s="15"/>
      <c r="F4334" s="15"/>
      <c r="G4334" s="26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8"/>
      <c r="AH4334" s="28"/>
      <c r="AI4334" s="28"/>
      <c r="AJ4334" s="28"/>
      <c r="AK4334" s="28"/>
      <c r="AL4334" s="28"/>
      <c r="AM4334" s="28"/>
      <c r="AN4334" s="28"/>
      <c r="AO4334" s="28"/>
      <c r="AP4334" s="28"/>
      <c r="AQ4334" s="28"/>
      <c r="AR4334" s="28"/>
      <c r="AS4334" s="28"/>
      <c r="AT4334" s="28"/>
    </row>
    <row r="4335">
      <c r="A4335" s="14"/>
      <c r="B4335" s="15"/>
      <c r="C4335" s="16"/>
      <c r="D4335" s="15"/>
      <c r="F4335" s="15"/>
      <c r="G4335" s="26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8"/>
      <c r="AH4335" s="28"/>
      <c r="AI4335" s="28"/>
      <c r="AJ4335" s="28"/>
      <c r="AK4335" s="28"/>
      <c r="AL4335" s="28"/>
      <c r="AM4335" s="28"/>
      <c r="AN4335" s="28"/>
      <c r="AO4335" s="28"/>
      <c r="AP4335" s="28"/>
      <c r="AQ4335" s="28"/>
      <c r="AR4335" s="28"/>
      <c r="AS4335" s="28"/>
      <c r="AT4335" s="28"/>
    </row>
    <row r="4336">
      <c r="A4336" s="14"/>
      <c r="B4336" s="15"/>
      <c r="C4336" s="16"/>
      <c r="D4336" s="15"/>
      <c r="F4336" s="15"/>
      <c r="G4336" s="26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28"/>
      <c r="AR4336" s="28"/>
      <c r="AS4336" s="28"/>
      <c r="AT4336" s="28"/>
    </row>
    <row r="4337">
      <c r="A4337" s="14"/>
      <c r="B4337" s="15"/>
      <c r="C4337" s="16"/>
      <c r="D4337" s="15"/>
      <c r="F4337" s="15"/>
      <c r="G4337" s="26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28"/>
      <c r="AS4337" s="28"/>
      <c r="AT4337" s="28"/>
    </row>
    <row r="4338">
      <c r="A4338" s="14"/>
      <c r="B4338" s="15"/>
      <c r="C4338" s="16"/>
      <c r="D4338" s="15"/>
      <c r="F4338" s="15"/>
      <c r="G4338" s="26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28"/>
      <c r="AS4338" s="28"/>
      <c r="AT4338" s="28"/>
    </row>
    <row r="4339">
      <c r="A4339" s="14"/>
      <c r="B4339" s="15"/>
      <c r="C4339" s="16"/>
      <c r="D4339" s="15"/>
      <c r="F4339" s="15"/>
      <c r="G4339" s="26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O4339" s="28"/>
      <c r="AP4339" s="28"/>
      <c r="AQ4339" s="28"/>
      <c r="AR4339" s="28"/>
      <c r="AS4339" s="28"/>
      <c r="AT4339" s="28"/>
    </row>
    <row r="4340">
      <c r="A4340" s="14"/>
      <c r="B4340" s="15"/>
      <c r="C4340" s="16"/>
      <c r="D4340" s="15"/>
      <c r="F4340" s="15"/>
      <c r="G4340" s="26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28"/>
      <c r="AR4340" s="28"/>
      <c r="AS4340" s="28"/>
      <c r="AT4340" s="28"/>
    </row>
    <row r="4341">
      <c r="A4341" s="14"/>
      <c r="B4341" s="15"/>
      <c r="C4341" s="16"/>
      <c r="D4341" s="15"/>
      <c r="F4341" s="15"/>
      <c r="G4341" s="26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R4341" s="28"/>
      <c r="AS4341" s="28"/>
      <c r="AT4341" s="28"/>
    </row>
    <row r="4342">
      <c r="A4342" s="14"/>
      <c r="B4342" s="15"/>
      <c r="C4342" s="16"/>
      <c r="D4342" s="15"/>
      <c r="F4342" s="15"/>
      <c r="G4342" s="26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28"/>
      <c r="AS4342" s="28"/>
      <c r="AT4342" s="28"/>
    </row>
    <row r="4343">
      <c r="A4343" s="14"/>
      <c r="B4343" s="15"/>
      <c r="C4343" s="16"/>
      <c r="D4343" s="15"/>
      <c r="F4343" s="15"/>
      <c r="G4343" s="26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28"/>
      <c r="AS4343" s="28"/>
      <c r="AT4343" s="28"/>
    </row>
    <row r="4344">
      <c r="A4344" s="14"/>
      <c r="B4344" s="15"/>
      <c r="C4344" s="16"/>
      <c r="D4344" s="15"/>
      <c r="F4344" s="15"/>
      <c r="G4344" s="26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28"/>
      <c r="AS4344" s="28"/>
      <c r="AT4344" s="28"/>
    </row>
    <row r="4345">
      <c r="A4345" s="14"/>
      <c r="B4345" s="15"/>
      <c r="C4345" s="16"/>
      <c r="D4345" s="15"/>
      <c r="F4345" s="15"/>
      <c r="G4345" s="26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28"/>
      <c r="AR4345" s="28"/>
      <c r="AS4345" s="28"/>
      <c r="AT4345" s="28"/>
    </row>
    <row r="4346">
      <c r="A4346" s="14"/>
      <c r="B4346" s="15"/>
      <c r="C4346" s="16"/>
      <c r="D4346" s="15"/>
      <c r="F4346" s="15"/>
      <c r="G4346" s="26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28"/>
      <c r="AS4346" s="28"/>
      <c r="AT4346" s="28"/>
    </row>
    <row r="4347">
      <c r="A4347" s="14"/>
      <c r="B4347" s="15"/>
      <c r="C4347" s="16"/>
      <c r="D4347" s="15"/>
      <c r="F4347" s="15"/>
      <c r="G4347" s="26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28"/>
      <c r="AS4347" s="28"/>
      <c r="AT4347" s="28"/>
    </row>
    <row r="4348">
      <c r="A4348" s="14"/>
      <c r="B4348" s="15"/>
      <c r="C4348" s="16"/>
      <c r="D4348" s="15"/>
      <c r="F4348" s="15"/>
      <c r="G4348" s="26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28"/>
      <c r="AS4348" s="28"/>
      <c r="AT4348" s="28"/>
    </row>
    <row r="4349">
      <c r="A4349" s="14"/>
      <c r="B4349" s="15"/>
      <c r="C4349" s="16"/>
      <c r="D4349" s="15"/>
      <c r="F4349" s="15"/>
      <c r="G4349" s="26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28"/>
      <c r="AS4349" s="28"/>
      <c r="AT4349" s="28"/>
    </row>
    <row r="4350">
      <c r="A4350" s="14"/>
      <c r="B4350" s="15"/>
      <c r="C4350" s="16"/>
      <c r="D4350" s="15"/>
      <c r="F4350" s="15"/>
      <c r="G4350" s="26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28"/>
      <c r="AS4350" s="28"/>
      <c r="AT4350" s="28"/>
    </row>
    <row r="4351">
      <c r="A4351" s="14"/>
      <c r="B4351" s="15"/>
      <c r="C4351" s="16"/>
      <c r="D4351" s="15"/>
      <c r="F4351" s="15"/>
      <c r="G4351" s="26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28"/>
      <c r="AS4351" s="28"/>
      <c r="AT4351" s="28"/>
    </row>
    <row r="4352">
      <c r="A4352" s="14"/>
      <c r="B4352" s="15"/>
      <c r="C4352" s="16"/>
      <c r="D4352" s="15"/>
      <c r="F4352" s="15"/>
      <c r="G4352" s="26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28"/>
      <c r="AS4352" s="28"/>
      <c r="AT4352" s="28"/>
    </row>
    <row r="4353">
      <c r="A4353" s="14"/>
      <c r="B4353" s="15"/>
      <c r="C4353" s="16"/>
      <c r="D4353" s="15"/>
      <c r="F4353" s="15"/>
      <c r="G4353" s="26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28"/>
      <c r="AS4353" s="28"/>
      <c r="AT4353" s="28"/>
    </row>
    <row r="4354">
      <c r="A4354" s="14"/>
      <c r="B4354" s="15"/>
      <c r="C4354" s="16"/>
      <c r="D4354" s="15"/>
      <c r="F4354" s="15"/>
      <c r="G4354" s="26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28"/>
      <c r="AS4354" s="28"/>
      <c r="AT4354" s="28"/>
    </row>
    <row r="4355">
      <c r="A4355" s="14"/>
      <c r="B4355" s="15"/>
      <c r="C4355" s="16"/>
      <c r="D4355" s="15"/>
      <c r="F4355" s="15"/>
      <c r="G4355" s="26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28"/>
      <c r="AS4355" s="28"/>
      <c r="AT4355" s="28"/>
    </row>
    <row r="4356">
      <c r="A4356" s="14"/>
      <c r="B4356" s="15"/>
      <c r="C4356" s="16"/>
      <c r="D4356" s="15"/>
      <c r="F4356" s="15"/>
      <c r="G4356" s="26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28"/>
      <c r="AS4356" s="28"/>
      <c r="AT4356" s="28"/>
    </row>
    <row r="4357">
      <c r="A4357" s="14"/>
      <c r="B4357" s="15"/>
      <c r="C4357" s="16"/>
      <c r="D4357" s="15"/>
      <c r="F4357" s="15"/>
      <c r="G4357" s="26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28"/>
      <c r="AS4357" s="28"/>
      <c r="AT4357" s="28"/>
    </row>
    <row r="4358">
      <c r="A4358" s="14"/>
      <c r="B4358" s="15"/>
      <c r="C4358" s="16"/>
      <c r="D4358" s="15"/>
      <c r="F4358" s="15"/>
      <c r="G4358" s="26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28"/>
      <c r="AS4358" s="28"/>
      <c r="AT4358" s="28"/>
    </row>
    <row r="4359">
      <c r="A4359" s="14"/>
      <c r="B4359" s="15"/>
      <c r="C4359" s="16"/>
      <c r="D4359" s="15"/>
      <c r="F4359" s="15"/>
      <c r="G4359" s="26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28"/>
      <c r="AS4359" s="28"/>
      <c r="AT4359" s="28"/>
    </row>
    <row r="4360">
      <c r="A4360" s="14"/>
      <c r="B4360" s="15"/>
      <c r="C4360" s="16"/>
      <c r="D4360" s="15"/>
      <c r="F4360" s="15"/>
      <c r="G4360" s="26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28"/>
      <c r="AS4360" s="28"/>
      <c r="AT4360" s="28"/>
    </row>
    <row r="4361">
      <c r="A4361" s="14"/>
      <c r="B4361" s="15"/>
      <c r="C4361" s="16"/>
      <c r="D4361" s="15"/>
      <c r="F4361" s="15"/>
      <c r="G4361" s="26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28"/>
      <c r="AS4361" s="28"/>
      <c r="AT4361" s="28"/>
    </row>
    <row r="4362">
      <c r="A4362" s="14"/>
      <c r="B4362" s="15"/>
      <c r="C4362" s="16"/>
      <c r="D4362" s="15"/>
      <c r="F4362" s="15"/>
      <c r="G4362" s="26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28"/>
      <c r="AS4362" s="28"/>
      <c r="AT4362" s="28"/>
    </row>
    <row r="4363">
      <c r="A4363" s="14"/>
      <c r="B4363" s="15"/>
      <c r="C4363" s="16"/>
      <c r="D4363" s="15"/>
      <c r="F4363" s="15"/>
      <c r="G4363" s="26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28"/>
      <c r="AS4363" s="28"/>
      <c r="AT4363" s="28"/>
    </row>
    <row r="4364">
      <c r="A4364" s="14"/>
      <c r="B4364" s="15"/>
      <c r="C4364" s="16"/>
      <c r="D4364" s="15"/>
      <c r="F4364" s="15"/>
      <c r="G4364" s="26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28"/>
      <c r="AS4364" s="28"/>
      <c r="AT4364" s="28"/>
    </row>
    <row r="4365">
      <c r="A4365" s="14"/>
      <c r="B4365" s="15"/>
      <c r="C4365" s="16"/>
      <c r="D4365" s="15"/>
      <c r="F4365" s="15"/>
      <c r="G4365" s="26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28"/>
      <c r="AS4365" s="28"/>
      <c r="AT4365" s="28"/>
    </row>
    <row r="4366">
      <c r="A4366" s="14"/>
      <c r="B4366" s="15"/>
      <c r="C4366" s="16"/>
      <c r="D4366" s="15"/>
      <c r="F4366" s="15"/>
      <c r="G4366" s="26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28"/>
      <c r="AS4366" s="28"/>
      <c r="AT4366" s="28"/>
    </row>
    <row r="4367">
      <c r="A4367" s="14"/>
      <c r="B4367" s="15"/>
      <c r="C4367" s="16"/>
      <c r="D4367" s="15"/>
      <c r="F4367" s="15"/>
      <c r="G4367" s="26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28"/>
      <c r="AS4367" s="28"/>
      <c r="AT4367" s="28"/>
    </row>
    <row r="4368">
      <c r="A4368" s="14"/>
      <c r="B4368" s="15"/>
      <c r="C4368" s="16"/>
      <c r="D4368" s="15"/>
      <c r="F4368" s="15"/>
      <c r="G4368" s="26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28"/>
      <c r="AS4368" s="28"/>
      <c r="AT4368" s="28"/>
    </row>
    <row r="4369">
      <c r="A4369" s="14"/>
      <c r="B4369" s="15"/>
      <c r="C4369" s="16"/>
      <c r="D4369" s="15"/>
      <c r="F4369" s="15"/>
      <c r="G4369" s="26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28"/>
      <c r="AS4369" s="28"/>
      <c r="AT4369" s="28"/>
    </row>
    <row r="4370">
      <c r="A4370" s="14"/>
      <c r="B4370" s="15"/>
      <c r="C4370" s="16"/>
      <c r="D4370" s="15"/>
      <c r="F4370" s="15"/>
      <c r="G4370" s="26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28"/>
      <c r="AS4370" s="28"/>
      <c r="AT4370" s="28"/>
    </row>
    <row r="4371">
      <c r="A4371" s="14"/>
      <c r="B4371" s="15"/>
      <c r="C4371" s="16"/>
      <c r="D4371" s="15"/>
      <c r="F4371" s="15"/>
      <c r="G4371" s="26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28"/>
      <c r="AS4371" s="28"/>
      <c r="AT4371" s="28"/>
    </row>
    <row r="4372">
      <c r="A4372" s="14"/>
      <c r="B4372" s="15"/>
      <c r="C4372" s="16"/>
      <c r="D4372" s="15"/>
      <c r="F4372" s="15"/>
      <c r="G4372" s="26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28"/>
      <c r="AS4372" s="28"/>
      <c r="AT4372" s="28"/>
    </row>
    <row r="4373">
      <c r="A4373" s="14"/>
      <c r="B4373" s="15"/>
      <c r="C4373" s="16"/>
      <c r="D4373" s="15"/>
      <c r="F4373" s="15"/>
      <c r="G4373" s="26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28"/>
      <c r="AS4373" s="28"/>
      <c r="AT4373" s="28"/>
    </row>
    <row r="4374">
      <c r="A4374" s="14"/>
      <c r="B4374" s="15"/>
      <c r="C4374" s="16"/>
      <c r="D4374" s="15"/>
      <c r="F4374" s="15"/>
      <c r="G4374" s="26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28"/>
      <c r="AS4374" s="28"/>
      <c r="AT4374" s="28"/>
    </row>
    <row r="4375">
      <c r="A4375" s="14"/>
      <c r="B4375" s="15"/>
      <c r="C4375" s="16"/>
      <c r="D4375" s="15"/>
      <c r="F4375" s="15"/>
      <c r="G4375" s="26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28"/>
      <c r="AS4375" s="28"/>
      <c r="AT4375" s="28"/>
    </row>
    <row r="4376">
      <c r="A4376" s="14"/>
      <c r="B4376" s="15"/>
      <c r="C4376" s="16"/>
      <c r="D4376" s="15"/>
      <c r="F4376" s="15"/>
      <c r="G4376" s="26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28"/>
      <c r="AS4376" s="28"/>
      <c r="AT4376" s="28"/>
    </row>
    <row r="4377">
      <c r="A4377" s="14"/>
      <c r="B4377" s="15"/>
      <c r="C4377" s="16"/>
      <c r="D4377" s="15"/>
      <c r="F4377" s="15"/>
      <c r="G4377" s="26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28"/>
      <c r="AS4377" s="28"/>
      <c r="AT4377" s="28"/>
    </row>
    <row r="4378">
      <c r="A4378" s="14"/>
      <c r="B4378" s="15"/>
      <c r="C4378" s="16"/>
      <c r="D4378" s="15"/>
      <c r="F4378" s="15"/>
      <c r="G4378" s="26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28"/>
      <c r="AS4378" s="28"/>
      <c r="AT4378" s="28"/>
    </row>
    <row r="4379">
      <c r="A4379" s="14"/>
      <c r="B4379" s="15"/>
      <c r="C4379" s="16"/>
      <c r="D4379" s="15"/>
      <c r="F4379" s="15"/>
      <c r="G4379" s="26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28"/>
      <c r="AS4379" s="28"/>
      <c r="AT4379" s="28"/>
    </row>
    <row r="4380">
      <c r="A4380" s="14"/>
      <c r="B4380" s="15"/>
      <c r="C4380" s="16"/>
      <c r="D4380" s="15"/>
      <c r="F4380" s="15"/>
      <c r="G4380" s="26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28"/>
      <c r="AS4380" s="28"/>
      <c r="AT4380" s="28"/>
    </row>
    <row r="4381">
      <c r="A4381" s="14"/>
      <c r="B4381" s="15"/>
      <c r="C4381" s="16"/>
      <c r="D4381" s="15"/>
      <c r="F4381" s="15"/>
      <c r="G4381" s="26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28"/>
      <c r="AS4381" s="28"/>
      <c r="AT4381" s="28"/>
    </row>
    <row r="4382">
      <c r="A4382" s="14"/>
      <c r="B4382" s="15"/>
      <c r="C4382" s="16"/>
      <c r="D4382" s="15"/>
      <c r="F4382" s="15"/>
      <c r="G4382" s="26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28"/>
      <c r="AS4382" s="28"/>
      <c r="AT4382" s="28"/>
    </row>
    <row r="4383">
      <c r="A4383" s="14"/>
      <c r="B4383" s="15"/>
      <c r="C4383" s="16"/>
      <c r="D4383" s="15"/>
      <c r="F4383" s="15"/>
      <c r="G4383" s="26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28"/>
      <c r="AS4383" s="28"/>
      <c r="AT4383" s="28"/>
    </row>
    <row r="4384">
      <c r="A4384" s="14"/>
      <c r="B4384" s="15"/>
      <c r="C4384" s="16"/>
      <c r="D4384" s="15"/>
      <c r="F4384" s="15"/>
      <c r="G4384" s="26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28"/>
      <c r="AS4384" s="28"/>
      <c r="AT4384" s="28"/>
    </row>
    <row r="4385">
      <c r="A4385" s="14"/>
      <c r="B4385" s="15"/>
      <c r="C4385" s="16"/>
      <c r="D4385" s="15"/>
      <c r="F4385" s="15"/>
      <c r="G4385" s="26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28"/>
      <c r="AS4385" s="28"/>
      <c r="AT4385" s="28"/>
    </row>
    <row r="4386">
      <c r="A4386" s="14"/>
      <c r="B4386" s="15"/>
      <c r="C4386" s="16"/>
      <c r="D4386" s="15"/>
      <c r="F4386" s="15"/>
      <c r="G4386" s="26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28"/>
      <c r="AS4386" s="28"/>
      <c r="AT4386" s="28"/>
    </row>
    <row r="4387">
      <c r="A4387" s="14"/>
      <c r="B4387" s="15"/>
      <c r="C4387" s="16"/>
      <c r="D4387" s="15"/>
      <c r="F4387" s="15"/>
      <c r="G4387" s="26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28"/>
      <c r="AS4387" s="28"/>
      <c r="AT4387" s="28"/>
    </row>
    <row r="4388">
      <c r="A4388" s="14"/>
      <c r="B4388" s="15"/>
      <c r="C4388" s="16"/>
      <c r="D4388" s="15"/>
      <c r="F4388" s="15"/>
      <c r="G4388" s="26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28"/>
      <c r="AS4388" s="28"/>
      <c r="AT4388" s="28"/>
    </row>
    <row r="4389">
      <c r="A4389" s="14"/>
      <c r="B4389" s="15"/>
      <c r="C4389" s="16"/>
      <c r="D4389" s="15"/>
      <c r="F4389" s="15"/>
      <c r="G4389" s="26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28"/>
      <c r="AS4389" s="28"/>
      <c r="AT4389" s="28"/>
    </row>
    <row r="4390">
      <c r="A4390" s="14"/>
      <c r="B4390" s="15"/>
      <c r="C4390" s="16"/>
      <c r="D4390" s="15"/>
      <c r="F4390" s="15"/>
      <c r="G4390" s="26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28"/>
      <c r="AS4390" s="28"/>
      <c r="AT4390" s="28"/>
    </row>
    <row r="4391">
      <c r="A4391" s="14"/>
      <c r="B4391" s="15"/>
      <c r="C4391" s="16"/>
      <c r="D4391" s="15"/>
      <c r="F4391" s="15"/>
      <c r="G4391" s="26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28"/>
      <c r="AS4391" s="28"/>
      <c r="AT4391" s="28"/>
    </row>
    <row r="4392">
      <c r="A4392" s="14"/>
      <c r="B4392" s="15"/>
      <c r="C4392" s="16"/>
      <c r="D4392" s="15"/>
      <c r="F4392" s="15"/>
      <c r="G4392" s="26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28"/>
      <c r="AS4392" s="28"/>
      <c r="AT4392" s="28"/>
    </row>
    <row r="4393">
      <c r="A4393" s="14"/>
      <c r="B4393" s="15"/>
      <c r="C4393" s="16"/>
      <c r="D4393" s="15"/>
      <c r="F4393" s="15"/>
      <c r="G4393" s="26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28"/>
      <c r="AS4393" s="28"/>
      <c r="AT4393" s="28"/>
    </row>
    <row r="4394">
      <c r="A4394" s="14"/>
      <c r="B4394" s="15"/>
      <c r="C4394" s="16"/>
      <c r="D4394" s="15"/>
      <c r="F4394" s="15"/>
      <c r="G4394" s="26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28"/>
      <c r="AS4394" s="28"/>
      <c r="AT4394" s="28"/>
    </row>
    <row r="4395">
      <c r="A4395" s="14"/>
      <c r="B4395" s="15"/>
      <c r="C4395" s="16"/>
      <c r="D4395" s="15"/>
      <c r="F4395" s="15"/>
      <c r="G4395" s="26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28"/>
      <c r="AS4395" s="28"/>
      <c r="AT4395" s="28"/>
    </row>
    <row r="4396">
      <c r="A4396" s="14"/>
      <c r="B4396" s="15"/>
      <c r="C4396" s="16"/>
      <c r="D4396" s="15"/>
      <c r="F4396" s="15"/>
      <c r="G4396" s="26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28"/>
      <c r="AS4396" s="28"/>
      <c r="AT4396" s="28"/>
    </row>
    <row r="4397">
      <c r="A4397" s="14"/>
      <c r="B4397" s="15"/>
      <c r="C4397" s="16"/>
      <c r="D4397" s="15"/>
      <c r="F4397" s="15"/>
      <c r="G4397" s="26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28"/>
      <c r="AS4397" s="28"/>
      <c r="AT4397" s="28"/>
    </row>
    <row r="4398">
      <c r="A4398" s="14"/>
      <c r="B4398" s="15"/>
      <c r="C4398" s="16"/>
      <c r="D4398" s="15"/>
      <c r="F4398" s="15"/>
      <c r="G4398" s="26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28"/>
      <c r="AS4398" s="28"/>
      <c r="AT4398" s="28"/>
    </row>
    <row r="4399">
      <c r="A4399" s="14"/>
      <c r="B4399" s="15"/>
      <c r="C4399" s="16"/>
      <c r="D4399" s="15"/>
      <c r="F4399" s="15"/>
      <c r="G4399" s="26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28"/>
      <c r="AS4399" s="28"/>
      <c r="AT4399" s="28"/>
    </row>
    <row r="4400">
      <c r="A4400" s="14"/>
      <c r="B4400" s="15"/>
      <c r="C4400" s="16"/>
      <c r="D4400" s="15"/>
      <c r="F4400" s="15"/>
      <c r="G4400" s="26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28"/>
      <c r="AS4400" s="28"/>
      <c r="AT4400" s="28"/>
    </row>
    <row r="4401">
      <c r="A4401" s="14"/>
      <c r="B4401" s="15"/>
      <c r="C4401" s="16"/>
      <c r="D4401" s="15"/>
      <c r="F4401" s="15"/>
      <c r="G4401" s="26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28"/>
      <c r="AS4401" s="28"/>
      <c r="AT4401" s="28"/>
    </row>
    <row r="4402">
      <c r="A4402" s="14"/>
      <c r="B4402" s="15"/>
      <c r="C4402" s="16"/>
      <c r="D4402" s="15"/>
      <c r="F4402" s="15"/>
      <c r="G4402" s="26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28"/>
      <c r="AS4402" s="28"/>
      <c r="AT4402" s="28"/>
    </row>
    <row r="4403">
      <c r="A4403" s="14"/>
      <c r="B4403" s="15"/>
      <c r="C4403" s="16"/>
      <c r="D4403" s="15"/>
      <c r="F4403" s="15"/>
      <c r="G4403" s="26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28"/>
      <c r="AS4403" s="28"/>
      <c r="AT4403" s="28"/>
    </row>
    <row r="4404">
      <c r="A4404" s="14"/>
      <c r="B4404" s="15"/>
      <c r="C4404" s="16"/>
      <c r="D4404" s="15"/>
      <c r="F4404" s="15"/>
      <c r="G4404" s="26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28"/>
      <c r="AS4404" s="28"/>
      <c r="AT4404" s="28"/>
    </row>
    <row r="4405">
      <c r="A4405" s="14"/>
      <c r="B4405" s="15"/>
      <c r="C4405" s="16"/>
      <c r="D4405" s="15"/>
      <c r="F4405" s="15"/>
      <c r="G4405" s="26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28"/>
      <c r="AS4405" s="28"/>
      <c r="AT4405" s="28"/>
    </row>
    <row r="4406">
      <c r="A4406" s="14"/>
      <c r="B4406" s="15"/>
      <c r="C4406" s="16"/>
      <c r="D4406" s="15"/>
      <c r="F4406" s="15"/>
      <c r="G4406" s="26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28"/>
      <c r="AS4406" s="28"/>
      <c r="AT4406" s="28"/>
    </row>
    <row r="4407">
      <c r="A4407" s="14"/>
      <c r="B4407" s="15"/>
      <c r="C4407" s="16"/>
      <c r="D4407" s="15"/>
      <c r="F4407" s="15"/>
      <c r="G4407" s="26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28"/>
      <c r="AS4407" s="28"/>
      <c r="AT4407" s="28"/>
    </row>
    <row r="4408">
      <c r="A4408" s="14"/>
      <c r="B4408" s="15"/>
      <c r="C4408" s="16"/>
      <c r="D4408" s="15"/>
      <c r="F4408" s="15"/>
      <c r="G4408" s="26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28"/>
      <c r="AS4408" s="28"/>
      <c r="AT4408" s="28"/>
    </row>
    <row r="4409">
      <c r="A4409" s="14"/>
      <c r="B4409" s="15"/>
      <c r="C4409" s="16"/>
      <c r="D4409" s="15"/>
      <c r="F4409" s="15"/>
      <c r="G4409" s="26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28"/>
      <c r="AS4409" s="28"/>
      <c r="AT4409" s="28"/>
    </row>
    <row r="4410">
      <c r="A4410" s="14"/>
      <c r="B4410" s="15"/>
      <c r="C4410" s="16"/>
      <c r="D4410" s="15"/>
      <c r="F4410" s="15"/>
      <c r="G4410" s="26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28"/>
      <c r="AS4410" s="28"/>
      <c r="AT4410" s="28"/>
    </row>
    <row r="4411">
      <c r="A4411" s="14"/>
      <c r="B4411" s="15"/>
      <c r="C4411" s="16"/>
      <c r="D4411" s="15"/>
      <c r="F4411" s="15"/>
      <c r="G4411" s="26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28"/>
      <c r="AS4411" s="28"/>
      <c r="AT4411" s="28"/>
    </row>
    <row r="4412">
      <c r="A4412" s="14"/>
      <c r="B4412" s="15"/>
      <c r="C4412" s="16"/>
      <c r="D4412" s="15"/>
      <c r="F4412" s="15"/>
      <c r="G4412" s="26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28"/>
      <c r="AS4412" s="28"/>
      <c r="AT4412" s="28"/>
    </row>
    <row r="4413">
      <c r="A4413" s="14"/>
      <c r="B4413" s="15"/>
      <c r="C4413" s="16"/>
      <c r="D4413" s="15"/>
      <c r="F4413" s="15"/>
      <c r="G4413" s="26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28"/>
      <c r="AS4413" s="28"/>
      <c r="AT4413" s="28"/>
    </row>
    <row r="4414">
      <c r="A4414" s="14"/>
      <c r="B4414" s="15"/>
      <c r="C4414" s="16"/>
      <c r="D4414" s="15"/>
      <c r="F4414" s="15"/>
      <c r="G4414" s="26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28"/>
      <c r="AS4414" s="28"/>
      <c r="AT4414" s="28"/>
    </row>
    <row r="4415">
      <c r="A4415" s="14"/>
      <c r="B4415" s="15"/>
      <c r="C4415" s="16"/>
      <c r="D4415" s="15"/>
      <c r="F4415" s="15"/>
      <c r="G4415" s="26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28"/>
      <c r="AS4415" s="28"/>
      <c r="AT4415" s="28"/>
    </row>
    <row r="4416">
      <c r="A4416" s="14"/>
      <c r="B4416" s="15"/>
      <c r="C4416" s="16"/>
      <c r="D4416" s="15"/>
      <c r="F4416" s="15"/>
      <c r="G4416" s="26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28"/>
      <c r="AS4416" s="28"/>
      <c r="AT4416" s="28"/>
    </row>
    <row r="4417">
      <c r="A4417" s="14"/>
      <c r="B4417" s="15"/>
      <c r="C4417" s="16"/>
      <c r="D4417" s="15"/>
      <c r="F4417" s="15"/>
      <c r="G4417" s="26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28"/>
      <c r="AS4417" s="28"/>
      <c r="AT4417" s="28"/>
    </row>
    <row r="4418">
      <c r="A4418" s="14"/>
      <c r="B4418" s="15"/>
      <c r="C4418" s="16"/>
      <c r="D4418" s="15"/>
      <c r="F4418" s="15"/>
      <c r="G4418" s="26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28"/>
      <c r="AS4418" s="28"/>
      <c r="AT4418" s="28"/>
    </row>
    <row r="4419">
      <c r="A4419" s="14"/>
      <c r="B4419" s="15"/>
      <c r="C4419" s="16"/>
      <c r="D4419" s="15"/>
      <c r="F4419" s="15"/>
      <c r="G4419" s="26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28"/>
      <c r="AS4419" s="28"/>
      <c r="AT4419" s="28"/>
    </row>
    <row r="4420">
      <c r="A4420" s="14"/>
      <c r="B4420" s="15"/>
      <c r="C4420" s="16"/>
      <c r="D4420" s="15"/>
      <c r="F4420" s="15"/>
      <c r="G4420" s="26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28"/>
      <c r="AS4420" s="28"/>
      <c r="AT4420" s="28"/>
    </row>
    <row r="4421">
      <c r="A4421" s="14"/>
      <c r="B4421" s="15"/>
      <c r="C4421" s="16"/>
      <c r="D4421" s="15"/>
      <c r="F4421" s="15"/>
      <c r="G4421" s="26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28"/>
      <c r="AS4421" s="28"/>
      <c r="AT4421" s="28"/>
    </row>
    <row r="4422">
      <c r="A4422" s="14"/>
      <c r="B4422" s="15"/>
      <c r="C4422" s="16"/>
      <c r="D4422" s="15"/>
      <c r="F4422" s="15"/>
      <c r="G4422" s="26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28"/>
      <c r="AS4422" s="28"/>
      <c r="AT4422" s="28"/>
    </row>
    <row r="4423">
      <c r="A4423" s="14"/>
      <c r="B4423" s="15"/>
      <c r="C4423" s="16"/>
      <c r="D4423" s="15"/>
      <c r="F4423" s="15"/>
      <c r="G4423" s="26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28"/>
      <c r="AS4423" s="28"/>
      <c r="AT4423" s="28"/>
    </row>
    <row r="4424">
      <c r="A4424" s="14"/>
      <c r="B4424" s="15"/>
      <c r="C4424" s="16"/>
      <c r="D4424" s="15"/>
      <c r="F4424" s="15"/>
      <c r="G4424" s="26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28"/>
      <c r="AS4424" s="28"/>
      <c r="AT4424" s="28"/>
    </row>
    <row r="4425">
      <c r="A4425" s="14"/>
      <c r="B4425" s="15"/>
      <c r="C4425" s="16"/>
      <c r="D4425" s="15"/>
      <c r="F4425" s="15"/>
      <c r="G4425" s="26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28"/>
      <c r="AS4425" s="28"/>
      <c r="AT4425" s="28"/>
    </row>
    <row r="4426">
      <c r="A4426" s="14"/>
      <c r="B4426" s="15"/>
      <c r="C4426" s="16"/>
      <c r="D4426" s="15"/>
      <c r="F4426" s="15"/>
      <c r="G4426" s="26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28"/>
      <c r="AS4426" s="28"/>
      <c r="AT4426" s="28"/>
    </row>
    <row r="4427">
      <c r="A4427" s="14"/>
      <c r="B4427" s="15"/>
      <c r="C4427" s="16"/>
      <c r="D4427" s="15"/>
      <c r="F4427" s="15"/>
      <c r="G4427" s="26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28"/>
      <c r="AS4427" s="28"/>
      <c r="AT4427" s="28"/>
    </row>
    <row r="4428">
      <c r="A4428" s="14"/>
      <c r="B4428" s="15"/>
      <c r="C4428" s="16"/>
      <c r="D4428" s="15"/>
      <c r="F4428" s="15"/>
      <c r="G4428" s="26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28"/>
      <c r="AS4428" s="28"/>
      <c r="AT4428" s="28"/>
    </row>
    <row r="4429">
      <c r="A4429" s="14"/>
      <c r="B4429" s="15"/>
      <c r="C4429" s="16"/>
      <c r="D4429" s="15"/>
      <c r="F4429" s="15"/>
      <c r="G4429" s="26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28"/>
      <c r="AS4429" s="28"/>
      <c r="AT4429" s="28"/>
    </row>
    <row r="4430">
      <c r="A4430" s="14"/>
      <c r="B4430" s="15"/>
      <c r="C4430" s="16"/>
      <c r="D4430" s="15"/>
      <c r="F4430" s="15"/>
      <c r="G4430" s="26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28"/>
      <c r="AS4430" s="28"/>
      <c r="AT4430" s="28"/>
    </row>
    <row r="4431">
      <c r="A4431" s="14"/>
      <c r="B4431" s="15"/>
      <c r="C4431" s="16"/>
      <c r="D4431" s="15"/>
      <c r="F4431" s="15"/>
      <c r="G4431" s="26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28"/>
      <c r="AS4431" s="28"/>
      <c r="AT4431" s="28"/>
    </row>
    <row r="4432">
      <c r="A4432" s="14"/>
      <c r="B4432" s="15"/>
      <c r="C4432" s="16"/>
      <c r="D4432" s="15"/>
      <c r="F4432" s="15"/>
      <c r="G4432" s="26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28"/>
      <c r="AS4432" s="28"/>
      <c r="AT4432" s="28"/>
    </row>
    <row r="4433">
      <c r="A4433" s="14"/>
      <c r="B4433" s="15"/>
      <c r="C4433" s="16"/>
      <c r="D4433" s="15"/>
      <c r="F4433" s="15"/>
      <c r="G4433" s="26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28"/>
      <c r="AS4433" s="28"/>
      <c r="AT4433" s="28"/>
    </row>
    <row r="4434">
      <c r="A4434" s="14"/>
      <c r="B4434" s="15"/>
      <c r="C4434" s="16"/>
      <c r="D4434" s="15"/>
      <c r="F4434" s="15"/>
      <c r="G4434" s="26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28"/>
      <c r="AS4434" s="28"/>
      <c r="AT4434" s="28"/>
    </row>
    <row r="4435">
      <c r="A4435" s="14"/>
      <c r="B4435" s="15"/>
      <c r="C4435" s="16"/>
      <c r="D4435" s="15"/>
      <c r="F4435" s="15"/>
      <c r="G4435" s="26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28"/>
      <c r="AS4435" s="28"/>
      <c r="AT4435" s="28"/>
    </row>
    <row r="4436">
      <c r="A4436" s="14"/>
      <c r="B4436" s="15"/>
      <c r="C4436" s="16"/>
      <c r="D4436" s="15"/>
      <c r="F4436" s="15"/>
      <c r="G4436" s="26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28"/>
      <c r="AS4436" s="28"/>
      <c r="AT4436" s="28"/>
    </row>
    <row r="4437">
      <c r="A4437" s="14"/>
      <c r="B4437" s="15"/>
      <c r="C4437" s="16"/>
      <c r="D4437" s="15"/>
      <c r="F4437" s="15"/>
      <c r="G4437" s="26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28"/>
      <c r="AS4437" s="28"/>
      <c r="AT4437" s="28"/>
    </row>
    <row r="4438">
      <c r="A4438" s="14"/>
      <c r="B4438" s="15"/>
      <c r="C4438" s="16"/>
      <c r="D4438" s="15"/>
      <c r="F4438" s="15"/>
      <c r="G4438" s="26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28"/>
      <c r="AS4438" s="28"/>
      <c r="AT4438" s="28"/>
    </row>
    <row r="4439">
      <c r="A4439" s="14"/>
      <c r="B4439" s="15"/>
      <c r="C4439" s="16"/>
      <c r="D4439" s="15"/>
      <c r="F4439" s="15"/>
      <c r="G4439" s="26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28"/>
      <c r="AS4439" s="28"/>
      <c r="AT4439" s="28"/>
    </row>
    <row r="4440">
      <c r="A4440" s="14"/>
      <c r="B4440" s="15"/>
      <c r="C4440" s="16"/>
      <c r="D4440" s="15"/>
      <c r="F4440" s="15"/>
      <c r="G4440" s="26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28"/>
      <c r="AS4440" s="28"/>
      <c r="AT4440" s="28"/>
    </row>
    <row r="4441">
      <c r="A4441" s="14"/>
      <c r="B4441" s="15"/>
      <c r="C4441" s="16"/>
      <c r="D4441" s="15"/>
      <c r="F4441" s="15"/>
      <c r="G4441" s="26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28"/>
      <c r="AS4441" s="28"/>
      <c r="AT4441" s="28"/>
    </row>
    <row r="4442">
      <c r="A4442" s="14"/>
      <c r="B4442" s="15"/>
      <c r="C4442" s="16"/>
      <c r="D4442" s="15"/>
      <c r="F4442" s="15"/>
      <c r="G4442" s="26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28"/>
      <c r="AS4442" s="28"/>
      <c r="AT4442" s="28"/>
    </row>
    <row r="4443">
      <c r="A4443" s="14"/>
      <c r="B4443" s="15"/>
      <c r="C4443" s="16"/>
      <c r="D4443" s="15"/>
      <c r="F4443" s="15"/>
      <c r="G4443" s="26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28"/>
      <c r="AS4443" s="28"/>
      <c r="AT4443" s="28"/>
    </row>
    <row r="4444">
      <c r="A4444" s="14"/>
      <c r="B4444" s="15"/>
      <c r="C4444" s="16"/>
      <c r="D4444" s="15"/>
      <c r="F4444" s="15"/>
      <c r="G4444" s="26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28"/>
      <c r="AS4444" s="28"/>
      <c r="AT4444" s="28"/>
    </row>
    <row r="4445">
      <c r="A4445" s="14"/>
      <c r="B4445" s="15"/>
      <c r="C4445" s="16"/>
      <c r="D4445" s="15"/>
      <c r="F4445" s="15"/>
      <c r="G4445" s="26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28"/>
      <c r="AS4445" s="28"/>
      <c r="AT4445" s="28"/>
    </row>
    <row r="4446">
      <c r="A4446" s="14"/>
      <c r="B4446" s="15"/>
      <c r="C4446" s="16"/>
      <c r="D4446" s="15"/>
      <c r="F4446" s="15"/>
      <c r="G4446" s="26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28"/>
      <c r="AS4446" s="28"/>
      <c r="AT4446" s="28"/>
    </row>
    <row r="4447">
      <c r="A4447" s="14"/>
      <c r="B4447" s="15"/>
      <c r="C4447" s="16"/>
      <c r="D4447" s="15"/>
      <c r="F4447" s="15"/>
      <c r="G4447" s="26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28"/>
      <c r="AS4447" s="28"/>
      <c r="AT4447" s="28"/>
    </row>
    <row r="4448">
      <c r="A4448" s="14"/>
      <c r="B4448" s="15"/>
      <c r="C4448" s="16"/>
      <c r="D4448" s="15"/>
      <c r="F4448" s="15"/>
      <c r="G4448" s="26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28"/>
      <c r="AS4448" s="28"/>
      <c r="AT4448" s="28"/>
    </row>
    <row r="4449">
      <c r="A4449" s="14"/>
      <c r="B4449" s="15"/>
      <c r="C4449" s="16"/>
      <c r="D4449" s="15"/>
      <c r="F4449" s="15"/>
      <c r="G4449" s="26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28"/>
      <c r="AS4449" s="28"/>
      <c r="AT4449" s="28"/>
    </row>
    <row r="4450">
      <c r="A4450" s="14"/>
      <c r="B4450" s="15"/>
      <c r="C4450" s="16"/>
      <c r="D4450" s="15"/>
      <c r="F4450" s="15"/>
      <c r="G4450" s="26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28"/>
      <c r="AS4450" s="28"/>
      <c r="AT4450" s="28"/>
    </row>
    <row r="4451">
      <c r="A4451" s="14"/>
      <c r="B4451" s="15"/>
      <c r="C4451" s="16"/>
      <c r="D4451" s="15"/>
      <c r="F4451" s="15"/>
      <c r="G4451" s="26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28"/>
      <c r="AS4451" s="28"/>
      <c r="AT4451" s="28"/>
    </row>
    <row r="4452">
      <c r="A4452" s="14"/>
      <c r="B4452" s="15"/>
      <c r="C4452" s="16"/>
      <c r="D4452" s="15"/>
      <c r="F4452" s="15"/>
      <c r="G4452" s="26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28"/>
      <c r="AS4452" s="28"/>
      <c r="AT4452" s="28"/>
    </row>
    <row r="4453">
      <c r="A4453" s="14"/>
      <c r="B4453" s="15"/>
      <c r="C4453" s="16"/>
      <c r="D4453" s="15"/>
      <c r="F4453" s="15"/>
      <c r="G4453" s="26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28"/>
      <c r="AS4453" s="28"/>
      <c r="AT4453" s="28"/>
    </row>
    <row r="4454">
      <c r="A4454" s="14"/>
      <c r="B4454" s="15"/>
      <c r="C4454" s="16"/>
      <c r="D4454" s="15"/>
      <c r="F4454" s="15"/>
      <c r="G4454" s="26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28"/>
      <c r="AS4454" s="28"/>
      <c r="AT4454" s="28"/>
    </row>
    <row r="4455">
      <c r="A4455" s="14"/>
      <c r="B4455" s="15"/>
      <c r="C4455" s="16"/>
      <c r="D4455" s="15"/>
      <c r="F4455" s="15"/>
      <c r="G4455" s="26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28"/>
      <c r="AS4455" s="28"/>
      <c r="AT4455" s="28"/>
    </row>
    <row r="4456">
      <c r="A4456" s="14"/>
      <c r="B4456" s="15"/>
      <c r="C4456" s="16"/>
      <c r="D4456" s="15"/>
      <c r="F4456" s="15"/>
      <c r="G4456" s="26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28"/>
      <c r="AS4456" s="28"/>
      <c r="AT4456" s="28"/>
    </row>
    <row r="4457">
      <c r="A4457" s="14"/>
      <c r="B4457" s="15"/>
      <c r="C4457" s="16"/>
      <c r="D4457" s="15"/>
      <c r="F4457" s="15"/>
      <c r="G4457" s="26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28"/>
      <c r="AS4457" s="28"/>
      <c r="AT4457" s="28"/>
    </row>
    <row r="4458">
      <c r="A4458" s="14"/>
      <c r="B4458" s="15"/>
      <c r="C4458" s="16"/>
      <c r="D4458" s="15"/>
      <c r="F4458" s="15"/>
      <c r="G4458" s="26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28"/>
      <c r="AS4458" s="28"/>
      <c r="AT4458" s="28"/>
    </row>
    <row r="4459">
      <c r="A4459" s="14"/>
      <c r="B4459" s="15"/>
      <c r="C4459" s="16"/>
      <c r="D4459" s="15"/>
      <c r="F4459" s="15"/>
      <c r="G4459" s="26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28"/>
      <c r="AS4459" s="28"/>
      <c r="AT4459" s="28"/>
    </row>
    <row r="4460">
      <c r="A4460" s="14"/>
      <c r="B4460" s="15"/>
      <c r="C4460" s="16"/>
      <c r="D4460" s="15"/>
      <c r="F4460" s="15"/>
      <c r="G4460" s="26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28"/>
      <c r="AS4460" s="28"/>
      <c r="AT4460" s="28"/>
    </row>
    <row r="4461">
      <c r="A4461" s="14"/>
      <c r="B4461" s="15"/>
      <c r="C4461" s="16"/>
      <c r="D4461" s="15"/>
      <c r="F4461" s="15"/>
      <c r="G4461" s="26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28"/>
      <c r="AS4461" s="28"/>
      <c r="AT4461" s="28"/>
    </row>
    <row r="4462">
      <c r="A4462" s="14"/>
      <c r="B4462" s="15"/>
      <c r="C4462" s="16"/>
      <c r="D4462" s="15"/>
      <c r="F4462" s="15"/>
      <c r="G4462" s="26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28"/>
      <c r="AS4462" s="28"/>
      <c r="AT4462" s="28"/>
    </row>
    <row r="4463">
      <c r="A4463" s="14"/>
      <c r="B4463" s="15"/>
      <c r="C4463" s="16"/>
      <c r="D4463" s="15"/>
      <c r="F4463" s="15"/>
      <c r="G4463" s="26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28"/>
      <c r="AS4463" s="28"/>
      <c r="AT4463" s="28"/>
    </row>
    <row r="4464">
      <c r="A4464" s="14"/>
      <c r="B4464" s="15"/>
      <c r="C4464" s="16"/>
      <c r="D4464" s="15"/>
      <c r="F4464" s="15"/>
      <c r="G4464" s="26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28"/>
      <c r="AS4464" s="28"/>
      <c r="AT4464" s="28"/>
    </row>
    <row r="4465">
      <c r="A4465" s="14"/>
      <c r="B4465" s="15"/>
      <c r="C4465" s="16"/>
      <c r="D4465" s="15"/>
      <c r="F4465" s="15"/>
      <c r="G4465" s="26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28"/>
      <c r="AS4465" s="28"/>
      <c r="AT4465" s="28"/>
    </row>
    <row r="4466">
      <c r="A4466" s="14"/>
      <c r="B4466" s="15"/>
      <c r="C4466" s="16"/>
      <c r="D4466" s="15"/>
      <c r="F4466" s="15"/>
      <c r="G4466" s="26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28"/>
      <c r="AS4466" s="28"/>
      <c r="AT4466" s="28"/>
    </row>
    <row r="4467">
      <c r="A4467" s="14"/>
      <c r="B4467" s="15"/>
      <c r="C4467" s="16"/>
      <c r="D4467" s="15"/>
      <c r="F4467" s="15"/>
      <c r="G4467" s="26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28"/>
      <c r="AS4467" s="28"/>
      <c r="AT4467" s="28"/>
    </row>
    <row r="4468">
      <c r="A4468" s="14"/>
      <c r="B4468" s="15"/>
      <c r="C4468" s="16"/>
      <c r="D4468" s="15"/>
      <c r="F4468" s="15"/>
      <c r="G4468" s="26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28"/>
      <c r="AS4468" s="28"/>
      <c r="AT4468" s="28"/>
    </row>
    <row r="4469">
      <c r="A4469" s="14"/>
      <c r="B4469" s="15"/>
      <c r="C4469" s="16"/>
      <c r="D4469" s="15"/>
      <c r="F4469" s="15"/>
      <c r="G4469" s="26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28"/>
      <c r="AS4469" s="28"/>
      <c r="AT4469" s="28"/>
    </row>
    <row r="4470">
      <c r="A4470" s="14"/>
      <c r="B4470" s="15"/>
      <c r="C4470" s="16"/>
      <c r="D4470" s="15"/>
      <c r="F4470" s="15"/>
      <c r="G4470" s="26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28"/>
      <c r="AS4470" s="28"/>
      <c r="AT4470" s="28"/>
    </row>
    <row r="4471">
      <c r="A4471" s="14"/>
      <c r="B4471" s="15"/>
      <c r="C4471" s="16"/>
      <c r="D4471" s="15"/>
      <c r="F4471" s="15"/>
      <c r="G4471" s="26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28"/>
      <c r="AS4471" s="28"/>
      <c r="AT4471" s="28"/>
    </row>
    <row r="4472">
      <c r="A4472" s="14"/>
      <c r="B4472" s="15"/>
      <c r="C4472" s="16"/>
      <c r="D4472" s="15"/>
      <c r="F4472" s="15"/>
      <c r="G4472" s="26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28"/>
      <c r="AS4472" s="28"/>
      <c r="AT4472" s="28"/>
    </row>
    <row r="4473">
      <c r="A4473" s="14"/>
      <c r="B4473" s="15"/>
      <c r="C4473" s="16"/>
      <c r="D4473" s="15"/>
      <c r="F4473" s="15"/>
      <c r="G4473" s="26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28"/>
      <c r="AS4473" s="28"/>
      <c r="AT4473" s="28"/>
    </row>
    <row r="4474">
      <c r="A4474" s="14"/>
      <c r="B4474" s="15"/>
      <c r="C4474" s="16"/>
      <c r="D4474" s="15"/>
      <c r="F4474" s="15"/>
      <c r="G4474" s="26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28"/>
      <c r="AS4474" s="28"/>
      <c r="AT4474" s="28"/>
    </row>
    <row r="4475">
      <c r="A4475" s="14"/>
      <c r="B4475" s="15"/>
      <c r="C4475" s="16"/>
      <c r="D4475" s="15"/>
      <c r="F4475" s="15"/>
      <c r="G4475" s="26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28"/>
      <c r="AS4475" s="28"/>
      <c r="AT4475" s="28"/>
    </row>
    <row r="4476">
      <c r="A4476" s="14"/>
      <c r="B4476" s="15"/>
      <c r="C4476" s="16"/>
      <c r="D4476" s="15"/>
      <c r="F4476" s="15"/>
      <c r="G4476" s="26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28"/>
      <c r="AS4476" s="28"/>
      <c r="AT4476" s="28"/>
    </row>
    <row r="4477">
      <c r="A4477" s="14"/>
      <c r="B4477" s="15"/>
      <c r="C4477" s="16"/>
      <c r="D4477" s="15"/>
      <c r="F4477" s="15"/>
      <c r="G4477" s="26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28"/>
      <c r="AS4477" s="28"/>
      <c r="AT4477" s="28"/>
    </row>
    <row r="4478">
      <c r="A4478" s="14"/>
      <c r="B4478" s="15"/>
      <c r="C4478" s="16"/>
      <c r="D4478" s="15"/>
      <c r="F4478" s="15"/>
      <c r="G4478" s="26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28"/>
      <c r="AS4478" s="28"/>
      <c r="AT4478" s="28"/>
    </row>
    <row r="4479">
      <c r="A4479" s="14"/>
      <c r="B4479" s="15"/>
      <c r="C4479" s="16"/>
      <c r="D4479" s="15"/>
      <c r="F4479" s="15"/>
      <c r="G4479" s="26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28"/>
      <c r="AS4479" s="28"/>
      <c r="AT4479" s="28"/>
    </row>
    <row r="4480">
      <c r="A4480" s="14"/>
      <c r="B4480" s="15"/>
      <c r="C4480" s="16"/>
      <c r="D4480" s="15"/>
      <c r="F4480" s="15"/>
      <c r="G4480" s="26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28"/>
      <c r="AS4480" s="28"/>
      <c r="AT4480" s="28"/>
    </row>
    <row r="4481">
      <c r="A4481" s="14"/>
      <c r="B4481" s="15"/>
      <c r="C4481" s="16"/>
      <c r="D4481" s="15"/>
      <c r="F4481" s="15"/>
      <c r="G4481" s="26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28"/>
      <c r="AS4481" s="28"/>
      <c r="AT4481" s="28"/>
    </row>
    <row r="4482">
      <c r="A4482" s="14"/>
      <c r="B4482" s="15"/>
      <c r="C4482" s="16"/>
      <c r="D4482" s="15"/>
      <c r="F4482" s="15"/>
      <c r="G4482" s="26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28"/>
      <c r="AS4482" s="28"/>
      <c r="AT4482" s="28"/>
    </row>
    <row r="4483">
      <c r="A4483" s="14"/>
      <c r="B4483" s="15"/>
      <c r="C4483" s="16"/>
      <c r="D4483" s="15"/>
      <c r="F4483" s="15"/>
      <c r="G4483" s="26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28"/>
      <c r="AS4483" s="28"/>
      <c r="AT4483" s="28"/>
    </row>
    <row r="4484">
      <c r="A4484" s="14"/>
      <c r="B4484" s="15"/>
      <c r="C4484" s="16"/>
      <c r="D4484" s="15"/>
      <c r="F4484" s="15"/>
      <c r="G4484" s="26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28"/>
      <c r="AS4484" s="28"/>
      <c r="AT4484" s="28"/>
    </row>
    <row r="4485">
      <c r="A4485" s="14"/>
      <c r="B4485" s="15"/>
      <c r="C4485" s="16"/>
      <c r="D4485" s="15"/>
      <c r="F4485" s="15"/>
      <c r="G4485" s="26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28"/>
      <c r="AS4485" s="28"/>
      <c r="AT4485" s="28"/>
    </row>
    <row r="4486">
      <c r="A4486" s="14"/>
      <c r="B4486" s="15"/>
      <c r="C4486" s="16"/>
      <c r="D4486" s="15"/>
      <c r="F4486" s="15"/>
      <c r="G4486" s="26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28"/>
      <c r="AS4486" s="28"/>
      <c r="AT4486" s="28"/>
    </row>
    <row r="4487">
      <c r="A4487" s="14"/>
      <c r="B4487" s="15"/>
      <c r="C4487" s="16"/>
      <c r="D4487" s="15"/>
      <c r="F4487" s="15"/>
      <c r="G4487" s="26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28"/>
      <c r="AS4487" s="28"/>
      <c r="AT4487" s="28"/>
    </row>
    <row r="4488">
      <c r="A4488" s="14"/>
      <c r="B4488" s="15"/>
      <c r="C4488" s="16"/>
      <c r="D4488" s="15"/>
      <c r="F4488" s="15"/>
      <c r="G4488" s="26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28"/>
      <c r="AS4488" s="28"/>
      <c r="AT4488" s="28"/>
    </row>
    <row r="4489">
      <c r="A4489" s="14"/>
      <c r="B4489" s="15"/>
      <c r="C4489" s="16"/>
      <c r="D4489" s="15"/>
      <c r="F4489" s="15"/>
      <c r="G4489" s="26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28"/>
      <c r="AS4489" s="28"/>
      <c r="AT4489" s="28"/>
    </row>
    <row r="4490">
      <c r="A4490" s="14"/>
      <c r="B4490" s="15"/>
      <c r="C4490" s="16"/>
      <c r="D4490" s="15"/>
      <c r="F4490" s="15"/>
      <c r="G4490" s="26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28"/>
      <c r="AS4490" s="28"/>
      <c r="AT4490" s="28"/>
    </row>
    <row r="4491">
      <c r="A4491" s="14"/>
      <c r="B4491" s="15"/>
      <c r="C4491" s="16"/>
      <c r="D4491" s="15"/>
      <c r="F4491" s="15"/>
      <c r="G4491" s="26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28"/>
      <c r="AS4491" s="28"/>
      <c r="AT4491" s="28"/>
    </row>
    <row r="4492">
      <c r="A4492" s="14"/>
      <c r="B4492" s="15"/>
      <c r="C4492" s="16"/>
      <c r="D4492" s="15"/>
      <c r="F4492" s="15"/>
      <c r="G4492" s="26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28"/>
      <c r="AS4492" s="28"/>
      <c r="AT4492" s="28"/>
    </row>
    <row r="4493">
      <c r="A4493" s="14"/>
      <c r="B4493" s="15"/>
      <c r="C4493" s="16"/>
      <c r="D4493" s="15"/>
      <c r="F4493" s="15"/>
      <c r="G4493" s="26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28"/>
      <c r="AS4493" s="28"/>
      <c r="AT4493" s="28"/>
    </row>
    <row r="4494">
      <c r="A4494" s="14"/>
      <c r="B4494" s="15"/>
      <c r="C4494" s="16"/>
      <c r="D4494" s="15"/>
      <c r="F4494" s="15"/>
      <c r="G4494" s="26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28"/>
      <c r="AS4494" s="28"/>
      <c r="AT4494" s="28"/>
    </row>
    <row r="4495">
      <c r="A4495" s="14"/>
      <c r="B4495" s="15"/>
      <c r="C4495" s="16"/>
      <c r="D4495" s="15"/>
      <c r="F4495" s="15"/>
      <c r="G4495" s="26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28"/>
      <c r="AS4495" s="28"/>
      <c r="AT4495" s="28"/>
    </row>
    <row r="4496">
      <c r="A4496" s="14"/>
      <c r="B4496" s="15"/>
      <c r="C4496" s="16"/>
      <c r="D4496" s="15"/>
      <c r="F4496" s="15"/>
      <c r="G4496" s="26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28"/>
      <c r="AS4496" s="28"/>
      <c r="AT4496" s="28"/>
    </row>
    <row r="4497">
      <c r="A4497" s="14"/>
      <c r="B4497" s="15"/>
      <c r="C4497" s="16"/>
      <c r="D4497" s="15"/>
      <c r="F4497" s="15"/>
      <c r="G4497" s="26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28"/>
      <c r="AS4497" s="28"/>
      <c r="AT4497" s="28"/>
    </row>
    <row r="4498">
      <c r="A4498" s="14"/>
      <c r="B4498" s="15"/>
      <c r="C4498" s="16"/>
      <c r="D4498" s="15"/>
      <c r="F4498" s="15"/>
      <c r="G4498" s="26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28"/>
      <c r="AS4498" s="28"/>
      <c r="AT4498" s="28"/>
    </row>
    <row r="4499">
      <c r="A4499" s="14"/>
      <c r="B4499" s="15"/>
      <c r="C4499" s="16"/>
      <c r="D4499" s="15"/>
      <c r="F4499" s="15"/>
      <c r="G4499" s="26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28"/>
      <c r="AS4499" s="28"/>
      <c r="AT4499" s="28"/>
    </row>
    <row r="4500">
      <c r="A4500" s="14"/>
      <c r="B4500" s="15"/>
      <c r="C4500" s="16"/>
      <c r="D4500" s="15"/>
      <c r="F4500" s="15"/>
      <c r="G4500" s="26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</row>
    <row r="4501">
      <c r="A4501" s="14"/>
      <c r="B4501" s="15"/>
      <c r="C4501" s="16"/>
      <c r="D4501" s="15"/>
      <c r="F4501" s="15"/>
      <c r="G4501" s="26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28"/>
      <c r="AS4501" s="28"/>
      <c r="AT4501" s="28"/>
    </row>
    <row r="4502">
      <c r="A4502" s="14"/>
      <c r="B4502" s="15"/>
      <c r="C4502" s="16"/>
      <c r="D4502" s="15"/>
      <c r="F4502" s="15"/>
      <c r="G4502" s="26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28"/>
      <c r="AS4502" s="28"/>
      <c r="AT4502" s="28"/>
    </row>
    <row r="4503">
      <c r="A4503" s="14"/>
      <c r="B4503" s="15"/>
      <c r="C4503" s="16"/>
      <c r="D4503" s="15"/>
      <c r="F4503" s="15"/>
      <c r="G4503" s="26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28"/>
      <c r="AS4503" s="28"/>
      <c r="AT4503" s="28"/>
    </row>
    <row r="4504">
      <c r="A4504" s="14"/>
      <c r="B4504" s="15"/>
      <c r="C4504" s="16"/>
      <c r="D4504" s="15"/>
      <c r="F4504" s="15"/>
      <c r="G4504" s="26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28"/>
      <c r="AS4504" s="28"/>
      <c r="AT4504" s="28"/>
    </row>
    <row r="4505">
      <c r="A4505" s="14"/>
      <c r="B4505" s="15"/>
      <c r="C4505" s="16"/>
      <c r="D4505" s="15"/>
      <c r="F4505" s="15"/>
      <c r="G4505" s="26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28"/>
      <c r="AS4505" s="28"/>
      <c r="AT4505" s="28"/>
    </row>
    <row r="4506">
      <c r="A4506" s="14"/>
      <c r="B4506" s="15"/>
      <c r="C4506" s="16"/>
      <c r="D4506" s="15"/>
      <c r="F4506" s="15"/>
      <c r="G4506" s="26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28"/>
      <c r="AS4506" s="28"/>
      <c r="AT4506" s="28"/>
    </row>
    <row r="4507">
      <c r="A4507" s="14"/>
      <c r="B4507" s="15"/>
      <c r="C4507" s="16"/>
      <c r="D4507" s="15"/>
      <c r="F4507" s="15"/>
      <c r="G4507" s="26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28"/>
      <c r="AS4507" s="28"/>
      <c r="AT4507" s="28"/>
    </row>
    <row r="4508">
      <c r="A4508" s="14"/>
      <c r="B4508" s="15"/>
      <c r="C4508" s="16"/>
      <c r="D4508" s="15"/>
      <c r="F4508" s="15"/>
      <c r="G4508" s="26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28"/>
      <c r="AS4508" s="28"/>
      <c r="AT4508" s="28"/>
    </row>
    <row r="4509">
      <c r="A4509" s="14"/>
      <c r="B4509" s="15"/>
      <c r="C4509" s="16"/>
      <c r="D4509" s="15"/>
      <c r="F4509" s="15"/>
      <c r="G4509" s="26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28"/>
      <c r="AS4509" s="28"/>
      <c r="AT4509" s="28"/>
    </row>
    <row r="4510">
      <c r="A4510" s="14"/>
      <c r="B4510" s="15"/>
      <c r="C4510" s="16"/>
      <c r="D4510" s="15"/>
      <c r="F4510" s="15"/>
      <c r="G4510" s="26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28"/>
      <c r="AS4510" s="28"/>
      <c r="AT4510" s="28"/>
    </row>
    <row r="4511">
      <c r="A4511" s="14"/>
      <c r="B4511" s="15"/>
      <c r="C4511" s="16"/>
      <c r="D4511" s="15"/>
      <c r="F4511" s="15"/>
      <c r="G4511" s="26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28"/>
      <c r="AS4511" s="28"/>
      <c r="AT4511" s="28"/>
    </row>
    <row r="4512">
      <c r="A4512" s="14"/>
      <c r="B4512" s="15"/>
      <c r="C4512" s="16"/>
      <c r="D4512" s="15"/>
      <c r="F4512" s="15"/>
      <c r="G4512" s="26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28"/>
      <c r="AS4512" s="28"/>
      <c r="AT4512" s="28"/>
    </row>
    <row r="4513">
      <c r="A4513" s="14"/>
      <c r="B4513" s="15"/>
      <c r="C4513" s="16"/>
      <c r="D4513" s="15"/>
      <c r="F4513" s="15"/>
      <c r="G4513" s="26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28"/>
      <c r="AS4513" s="28"/>
      <c r="AT4513" s="28"/>
    </row>
    <row r="4514">
      <c r="A4514" s="14"/>
      <c r="B4514" s="15"/>
      <c r="C4514" s="16"/>
      <c r="D4514" s="15"/>
      <c r="F4514" s="15"/>
      <c r="G4514" s="26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28"/>
      <c r="AS4514" s="28"/>
      <c r="AT4514" s="28"/>
    </row>
    <row r="4515">
      <c r="A4515" s="14"/>
      <c r="B4515" s="15"/>
      <c r="C4515" s="16"/>
      <c r="D4515" s="15"/>
      <c r="F4515" s="15"/>
      <c r="G4515" s="26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28"/>
      <c r="AS4515" s="28"/>
      <c r="AT4515" s="28"/>
    </row>
    <row r="4516">
      <c r="A4516" s="14"/>
      <c r="B4516" s="15"/>
      <c r="C4516" s="16"/>
      <c r="D4516" s="15"/>
      <c r="F4516" s="15"/>
      <c r="G4516" s="26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28"/>
      <c r="AS4516" s="28"/>
      <c r="AT4516" s="28"/>
    </row>
    <row r="4517">
      <c r="A4517" s="14"/>
      <c r="B4517" s="15"/>
      <c r="C4517" s="16"/>
      <c r="D4517" s="15"/>
      <c r="F4517" s="15"/>
      <c r="G4517" s="26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28"/>
      <c r="AS4517" s="28"/>
      <c r="AT4517" s="28"/>
    </row>
    <row r="4518">
      <c r="A4518" s="14"/>
      <c r="B4518" s="15"/>
      <c r="C4518" s="16"/>
      <c r="D4518" s="15"/>
      <c r="F4518" s="15"/>
      <c r="G4518" s="26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28"/>
      <c r="AS4518" s="28"/>
      <c r="AT4518" s="28"/>
    </row>
    <row r="4519">
      <c r="A4519" s="14"/>
      <c r="B4519" s="15"/>
      <c r="C4519" s="16"/>
      <c r="D4519" s="15"/>
      <c r="F4519" s="15"/>
      <c r="G4519" s="26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28"/>
      <c r="AS4519" s="28"/>
      <c r="AT4519" s="28"/>
    </row>
    <row r="4520">
      <c r="A4520" s="14"/>
      <c r="B4520" s="15"/>
      <c r="C4520" s="16"/>
      <c r="D4520" s="15"/>
      <c r="F4520" s="15"/>
      <c r="G4520" s="26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28"/>
      <c r="AS4520" s="28"/>
      <c r="AT4520" s="28"/>
    </row>
    <row r="4521">
      <c r="A4521" s="14"/>
      <c r="B4521" s="15"/>
      <c r="C4521" s="16"/>
      <c r="D4521" s="15"/>
      <c r="F4521" s="15"/>
      <c r="G4521" s="26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28"/>
      <c r="AS4521" s="28"/>
      <c r="AT4521" s="28"/>
    </row>
    <row r="4522">
      <c r="A4522" s="14"/>
      <c r="B4522" s="15"/>
      <c r="C4522" s="16"/>
      <c r="D4522" s="15"/>
      <c r="F4522" s="15"/>
      <c r="G4522" s="26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28"/>
      <c r="AS4522" s="28"/>
      <c r="AT4522" s="28"/>
    </row>
    <row r="4523">
      <c r="A4523" s="14"/>
      <c r="B4523" s="15"/>
      <c r="C4523" s="16"/>
      <c r="D4523" s="15"/>
      <c r="F4523" s="15"/>
      <c r="G4523" s="26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28"/>
      <c r="AS4523" s="28"/>
      <c r="AT4523" s="28"/>
    </row>
    <row r="4524">
      <c r="A4524" s="14"/>
      <c r="B4524" s="15"/>
      <c r="C4524" s="16"/>
      <c r="D4524" s="15"/>
      <c r="F4524" s="15"/>
      <c r="G4524" s="26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28"/>
      <c r="AS4524" s="28"/>
      <c r="AT4524" s="28"/>
    </row>
    <row r="4525">
      <c r="A4525" s="14"/>
      <c r="B4525" s="15"/>
      <c r="C4525" s="16"/>
      <c r="D4525" s="15"/>
      <c r="F4525" s="15"/>
      <c r="G4525" s="26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28"/>
      <c r="AS4525" s="28"/>
      <c r="AT4525" s="28"/>
    </row>
    <row r="4526">
      <c r="A4526" s="14"/>
      <c r="B4526" s="15"/>
      <c r="C4526" s="16"/>
      <c r="D4526" s="15"/>
      <c r="F4526" s="15"/>
      <c r="G4526" s="26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28"/>
      <c r="AS4526" s="28"/>
      <c r="AT4526" s="28"/>
    </row>
    <row r="4527">
      <c r="A4527" s="14"/>
      <c r="B4527" s="15"/>
      <c r="C4527" s="16"/>
      <c r="D4527" s="15"/>
      <c r="F4527" s="15"/>
      <c r="G4527" s="26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28"/>
      <c r="AS4527" s="28"/>
      <c r="AT4527" s="28"/>
    </row>
    <row r="4528">
      <c r="A4528" s="14"/>
      <c r="B4528" s="15"/>
      <c r="C4528" s="16"/>
      <c r="D4528" s="15"/>
      <c r="F4528" s="15"/>
      <c r="G4528" s="26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28"/>
      <c r="AS4528" s="28"/>
      <c r="AT4528" s="28"/>
    </row>
    <row r="4529">
      <c r="A4529" s="14"/>
      <c r="B4529" s="15"/>
      <c r="C4529" s="16"/>
      <c r="D4529" s="15"/>
      <c r="F4529" s="15"/>
      <c r="G4529" s="26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28"/>
      <c r="AS4529" s="28"/>
      <c r="AT4529" s="28"/>
    </row>
    <row r="4530">
      <c r="A4530" s="14"/>
      <c r="B4530" s="15"/>
      <c r="C4530" s="16"/>
      <c r="D4530" s="15"/>
      <c r="F4530" s="15"/>
      <c r="G4530" s="26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28"/>
      <c r="AS4530" s="28"/>
      <c r="AT4530" s="28"/>
    </row>
    <row r="4531">
      <c r="A4531" s="14"/>
      <c r="B4531" s="15"/>
      <c r="C4531" s="16"/>
      <c r="D4531" s="15"/>
      <c r="F4531" s="15"/>
      <c r="G4531" s="26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28"/>
      <c r="AS4531" s="28"/>
      <c r="AT4531" s="28"/>
    </row>
    <row r="4532">
      <c r="A4532" s="14"/>
      <c r="B4532" s="15"/>
      <c r="C4532" s="16"/>
      <c r="D4532" s="15"/>
      <c r="F4532" s="15"/>
      <c r="G4532" s="26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28"/>
      <c r="AS4532" s="28"/>
      <c r="AT4532" s="28"/>
    </row>
    <row r="4533">
      <c r="A4533" s="14"/>
      <c r="B4533" s="15"/>
      <c r="C4533" s="16"/>
      <c r="D4533" s="15"/>
      <c r="F4533" s="15"/>
      <c r="G4533" s="26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28"/>
      <c r="AS4533" s="28"/>
      <c r="AT4533" s="28"/>
    </row>
    <row r="4534">
      <c r="A4534" s="14"/>
      <c r="B4534" s="15"/>
      <c r="C4534" s="16"/>
      <c r="D4534" s="15"/>
      <c r="F4534" s="15"/>
      <c r="G4534" s="26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28"/>
      <c r="AS4534" s="28"/>
      <c r="AT4534" s="28"/>
    </row>
    <row r="4535">
      <c r="A4535" s="14"/>
      <c r="B4535" s="15"/>
      <c r="C4535" s="16"/>
      <c r="D4535" s="15"/>
      <c r="F4535" s="15"/>
      <c r="G4535" s="26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28"/>
      <c r="AS4535" s="28"/>
      <c r="AT4535" s="28"/>
    </row>
    <row r="4536">
      <c r="A4536" s="14"/>
      <c r="B4536" s="15"/>
      <c r="C4536" s="16"/>
      <c r="D4536" s="15"/>
      <c r="F4536" s="15"/>
      <c r="G4536" s="26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28"/>
      <c r="AS4536" s="28"/>
      <c r="AT4536" s="28"/>
    </row>
    <row r="4537">
      <c r="A4537" s="14"/>
      <c r="B4537" s="15"/>
      <c r="C4537" s="16"/>
      <c r="D4537" s="15"/>
      <c r="F4537" s="15"/>
      <c r="G4537" s="26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28"/>
      <c r="AS4537" s="28"/>
      <c r="AT4537" s="28"/>
    </row>
    <row r="4538">
      <c r="A4538" s="14"/>
      <c r="B4538" s="15"/>
      <c r="C4538" s="16"/>
      <c r="D4538" s="15"/>
      <c r="F4538" s="15"/>
      <c r="G4538" s="26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28"/>
      <c r="AS4538" s="28"/>
      <c r="AT4538" s="28"/>
    </row>
    <row r="4539">
      <c r="A4539" s="14"/>
      <c r="B4539" s="15"/>
      <c r="C4539" s="16"/>
      <c r="D4539" s="15"/>
      <c r="F4539" s="15"/>
      <c r="G4539" s="26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28"/>
      <c r="AS4539" s="28"/>
      <c r="AT4539" s="28"/>
    </row>
    <row r="4540">
      <c r="A4540" s="14"/>
      <c r="B4540" s="15"/>
      <c r="C4540" s="16"/>
      <c r="D4540" s="15"/>
      <c r="F4540" s="15"/>
      <c r="G4540" s="26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28"/>
      <c r="AS4540" s="28"/>
      <c r="AT4540" s="28"/>
    </row>
    <row r="4541">
      <c r="A4541" s="14"/>
      <c r="B4541" s="15"/>
      <c r="C4541" s="16"/>
      <c r="D4541" s="15"/>
      <c r="F4541" s="15"/>
      <c r="G4541" s="26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28"/>
      <c r="AS4541" s="28"/>
      <c r="AT4541" s="28"/>
    </row>
    <row r="4542">
      <c r="A4542" s="14"/>
      <c r="B4542" s="15"/>
      <c r="C4542" s="16"/>
      <c r="D4542" s="15"/>
      <c r="F4542" s="15"/>
      <c r="G4542" s="26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28"/>
      <c r="AS4542" s="28"/>
      <c r="AT4542" s="28"/>
    </row>
    <row r="4543">
      <c r="A4543" s="14"/>
      <c r="B4543" s="15"/>
      <c r="C4543" s="16"/>
      <c r="D4543" s="15"/>
      <c r="F4543" s="15"/>
      <c r="G4543" s="26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28"/>
      <c r="AS4543" s="28"/>
      <c r="AT4543" s="28"/>
    </row>
    <row r="4544">
      <c r="A4544" s="14"/>
      <c r="B4544" s="15"/>
      <c r="C4544" s="16"/>
      <c r="D4544" s="15"/>
      <c r="F4544" s="15"/>
      <c r="G4544" s="26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28"/>
      <c r="AS4544" s="28"/>
      <c r="AT4544" s="28"/>
    </row>
    <row r="4545">
      <c r="A4545" s="14"/>
      <c r="B4545" s="15"/>
      <c r="C4545" s="16"/>
      <c r="D4545" s="15"/>
      <c r="F4545" s="15"/>
      <c r="G4545" s="26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28"/>
      <c r="AS4545" s="28"/>
      <c r="AT4545" s="28"/>
    </row>
    <row r="4546">
      <c r="A4546" s="14"/>
      <c r="B4546" s="15"/>
      <c r="C4546" s="16"/>
      <c r="D4546" s="15"/>
      <c r="F4546" s="15"/>
      <c r="G4546" s="26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28"/>
      <c r="AS4546" s="28"/>
      <c r="AT4546" s="28"/>
    </row>
    <row r="4547">
      <c r="A4547" s="14"/>
      <c r="B4547" s="15"/>
      <c r="C4547" s="16"/>
      <c r="D4547" s="15"/>
      <c r="F4547" s="15"/>
      <c r="G4547" s="26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28"/>
      <c r="AS4547" s="28"/>
      <c r="AT4547" s="28"/>
    </row>
    <row r="4548">
      <c r="A4548" s="14"/>
      <c r="B4548" s="15"/>
      <c r="C4548" s="16"/>
      <c r="D4548" s="15"/>
      <c r="F4548" s="15"/>
      <c r="G4548" s="26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28"/>
      <c r="AS4548" s="28"/>
      <c r="AT4548" s="28"/>
    </row>
    <row r="4549">
      <c r="A4549" s="14"/>
      <c r="B4549" s="15"/>
      <c r="C4549" s="16"/>
      <c r="D4549" s="15"/>
      <c r="F4549" s="15"/>
      <c r="G4549" s="26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28"/>
      <c r="AS4549" s="28"/>
      <c r="AT4549" s="28"/>
    </row>
    <row r="4550">
      <c r="A4550" s="14"/>
      <c r="B4550" s="15"/>
      <c r="C4550" s="16"/>
      <c r="D4550" s="15"/>
      <c r="F4550" s="15"/>
      <c r="G4550" s="26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28"/>
      <c r="AS4550" s="28"/>
      <c r="AT4550" s="28"/>
    </row>
    <row r="4551">
      <c r="A4551" s="14"/>
      <c r="B4551" s="15"/>
      <c r="C4551" s="16"/>
      <c r="D4551" s="15"/>
      <c r="F4551" s="15"/>
      <c r="G4551" s="26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28"/>
      <c r="AS4551" s="28"/>
      <c r="AT4551" s="28"/>
    </row>
    <row r="4552">
      <c r="A4552" s="14"/>
      <c r="B4552" s="15"/>
      <c r="C4552" s="16"/>
      <c r="D4552" s="15"/>
      <c r="F4552" s="15"/>
      <c r="G4552" s="26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28"/>
      <c r="AS4552" s="28"/>
      <c r="AT4552" s="28"/>
    </row>
    <row r="4553">
      <c r="A4553" s="14"/>
      <c r="B4553" s="15"/>
      <c r="C4553" s="16"/>
      <c r="D4553" s="15"/>
      <c r="F4553" s="15"/>
      <c r="G4553" s="26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28"/>
      <c r="AS4553" s="28"/>
      <c r="AT4553" s="28"/>
    </row>
    <row r="4554">
      <c r="A4554" s="14"/>
      <c r="B4554" s="15"/>
      <c r="C4554" s="16"/>
      <c r="D4554" s="15"/>
      <c r="F4554" s="15"/>
      <c r="G4554" s="26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28"/>
      <c r="AS4554" s="28"/>
      <c r="AT4554" s="28"/>
    </row>
    <row r="4555">
      <c r="A4555" s="14"/>
      <c r="B4555" s="15"/>
      <c r="C4555" s="16"/>
      <c r="D4555" s="15"/>
      <c r="F4555" s="15"/>
      <c r="G4555" s="26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28"/>
      <c r="AS4555" s="28"/>
      <c r="AT4555" s="28"/>
    </row>
    <row r="4556">
      <c r="A4556" s="14"/>
      <c r="B4556" s="15"/>
      <c r="C4556" s="16"/>
      <c r="D4556" s="15"/>
      <c r="F4556" s="15"/>
      <c r="G4556" s="26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28"/>
      <c r="AS4556" s="28"/>
      <c r="AT4556" s="28"/>
    </row>
    <row r="4557">
      <c r="A4557" s="14"/>
      <c r="B4557" s="15"/>
      <c r="C4557" s="16"/>
      <c r="D4557" s="15"/>
      <c r="F4557" s="15"/>
      <c r="G4557" s="26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28"/>
      <c r="AS4557" s="28"/>
      <c r="AT4557" s="28"/>
    </row>
    <row r="4558">
      <c r="A4558" s="14"/>
      <c r="B4558" s="15"/>
      <c r="C4558" s="16"/>
      <c r="D4558" s="15"/>
      <c r="F4558" s="15"/>
      <c r="G4558" s="26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28"/>
      <c r="AS4558" s="28"/>
      <c r="AT4558" s="28"/>
    </row>
    <row r="4559">
      <c r="A4559" s="14"/>
      <c r="B4559" s="15"/>
      <c r="C4559" s="16"/>
      <c r="D4559" s="15"/>
      <c r="F4559" s="15"/>
      <c r="G4559" s="26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28"/>
      <c r="AS4559" s="28"/>
      <c r="AT4559" s="28"/>
    </row>
    <row r="4560">
      <c r="A4560" s="14"/>
      <c r="B4560" s="15"/>
      <c r="C4560" s="16"/>
      <c r="D4560" s="15"/>
      <c r="F4560" s="15"/>
      <c r="G4560" s="26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28"/>
      <c r="AS4560" s="28"/>
      <c r="AT4560" s="28"/>
    </row>
    <row r="4561">
      <c r="A4561" s="14"/>
      <c r="B4561" s="15"/>
      <c r="C4561" s="16"/>
      <c r="D4561" s="15"/>
      <c r="F4561" s="15"/>
      <c r="G4561" s="26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28"/>
      <c r="AS4561" s="28"/>
      <c r="AT4561" s="28"/>
    </row>
    <row r="4562">
      <c r="A4562" s="14"/>
      <c r="B4562" s="15"/>
      <c r="C4562" s="16"/>
      <c r="D4562" s="15"/>
      <c r="F4562" s="15"/>
      <c r="G4562" s="26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28"/>
      <c r="AS4562" s="28"/>
      <c r="AT4562" s="28"/>
    </row>
    <row r="4563">
      <c r="A4563" s="14"/>
      <c r="B4563" s="15"/>
      <c r="C4563" s="16"/>
      <c r="D4563" s="15"/>
      <c r="F4563" s="15"/>
      <c r="G4563" s="26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28"/>
      <c r="AS4563" s="28"/>
      <c r="AT4563" s="28"/>
    </row>
    <row r="4564">
      <c r="A4564" s="14"/>
      <c r="B4564" s="15"/>
      <c r="C4564" s="16"/>
      <c r="D4564" s="15"/>
      <c r="F4564" s="15"/>
      <c r="G4564" s="26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28"/>
      <c r="AS4564" s="28"/>
      <c r="AT4564" s="28"/>
    </row>
    <row r="4565">
      <c r="A4565" s="14"/>
      <c r="B4565" s="15"/>
      <c r="C4565" s="16"/>
      <c r="D4565" s="15"/>
      <c r="F4565" s="15"/>
      <c r="G4565" s="26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28"/>
      <c r="AS4565" s="28"/>
      <c r="AT4565" s="28"/>
    </row>
    <row r="4566">
      <c r="A4566" s="14"/>
      <c r="B4566" s="15"/>
      <c r="C4566" s="16"/>
      <c r="D4566" s="15"/>
      <c r="F4566" s="15"/>
      <c r="G4566" s="26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28"/>
      <c r="AS4566" s="28"/>
      <c r="AT4566" s="28"/>
    </row>
    <row r="4567">
      <c r="A4567" s="14"/>
      <c r="B4567" s="15"/>
      <c r="C4567" s="16"/>
      <c r="D4567" s="15"/>
      <c r="F4567" s="15"/>
      <c r="G4567" s="26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28"/>
      <c r="AS4567" s="28"/>
      <c r="AT4567" s="28"/>
    </row>
    <row r="4568">
      <c r="A4568" s="14"/>
      <c r="B4568" s="15"/>
      <c r="C4568" s="16"/>
      <c r="D4568" s="15"/>
      <c r="F4568" s="15"/>
      <c r="G4568" s="26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28"/>
      <c r="AS4568" s="28"/>
      <c r="AT4568" s="28"/>
    </row>
    <row r="4569">
      <c r="A4569" s="14"/>
      <c r="B4569" s="15"/>
      <c r="C4569" s="16"/>
      <c r="D4569" s="15"/>
      <c r="F4569" s="15"/>
      <c r="G4569" s="26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28"/>
      <c r="AS4569" s="28"/>
      <c r="AT4569" s="28"/>
    </row>
    <row r="4570">
      <c r="A4570" s="14"/>
      <c r="B4570" s="15"/>
      <c r="C4570" s="16"/>
      <c r="D4570" s="15"/>
      <c r="F4570" s="15"/>
      <c r="G4570" s="26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28"/>
      <c r="AS4570" s="28"/>
      <c r="AT4570" s="28"/>
    </row>
    <row r="4571">
      <c r="A4571" s="14"/>
      <c r="B4571" s="15"/>
      <c r="C4571" s="16"/>
      <c r="D4571" s="15"/>
      <c r="F4571" s="15"/>
      <c r="G4571" s="26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28"/>
      <c r="AS4571" s="28"/>
      <c r="AT4571" s="28"/>
    </row>
    <row r="4572">
      <c r="A4572" s="14"/>
      <c r="B4572" s="15"/>
      <c r="C4572" s="16"/>
      <c r="D4572" s="15"/>
      <c r="F4572" s="15"/>
      <c r="G4572" s="26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28"/>
      <c r="AS4572" s="28"/>
      <c r="AT4572" s="28"/>
    </row>
    <row r="4573">
      <c r="A4573" s="14"/>
      <c r="B4573" s="15"/>
      <c r="C4573" s="16"/>
      <c r="D4573" s="15"/>
      <c r="F4573" s="15"/>
      <c r="G4573" s="26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28"/>
      <c r="AS4573" s="28"/>
      <c r="AT4573" s="28"/>
    </row>
    <row r="4574">
      <c r="A4574" s="14"/>
      <c r="B4574" s="15"/>
      <c r="C4574" s="16"/>
      <c r="D4574" s="15"/>
      <c r="F4574" s="15"/>
      <c r="G4574" s="26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28"/>
      <c r="AS4574" s="28"/>
      <c r="AT4574" s="28"/>
    </row>
    <row r="4575">
      <c r="A4575" s="14"/>
      <c r="B4575" s="15"/>
      <c r="C4575" s="16"/>
      <c r="D4575" s="15"/>
      <c r="F4575" s="15"/>
      <c r="G4575" s="26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28"/>
      <c r="AS4575" s="28"/>
      <c r="AT4575" s="28"/>
    </row>
    <row r="4576">
      <c r="A4576" s="14"/>
      <c r="B4576" s="15"/>
      <c r="C4576" s="16"/>
      <c r="D4576" s="15"/>
      <c r="F4576" s="15"/>
      <c r="G4576" s="26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28"/>
      <c r="AS4576" s="28"/>
      <c r="AT4576" s="28"/>
    </row>
    <row r="4577">
      <c r="A4577" s="14"/>
      <c r="B4577" s="15"/>
      <c r="C4577" s="16"/>
      <c r="D4577" s="15"/>
      <c r="F4577" s="15"/>
      <c r="G4577" s="26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28"/>
      <c r="AS4577" s="28"/>
      <c r="AT4577" s="28"/>
    </row>
    <row r="4578">
      <c r="A4578" s="14"/>
      <c r="B4578" s="15"/>
      <c r="C4578" s="16"/>
      <c r="D4578" s="15"/>
      <c r="F4578" s="15"/>
      <c r="G4578" s="26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28"/>
      <c r="AS4578" s="28"/>
      <c r="AT4578" s="28"/>
    </row>
    <row r="4579">
      <c r="A4579" s="14"/>
      <c r="B4579" s="15"/>
      <c r="C4579" s="16"/>
      <c r="D4579" s="15"/>
      <c r="F4579" s="15"/>
      <c r="G4579" s="26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28"/>
      <c r="AS4579" s="28"/>
      <c r="AT4579" s="28"/>
    </row>
    <row r="4580">
      <c r="A4580" s="14"/>
      <c r="B4580" s="15"/>
      <c r="C4580" s="16"/>
      <c r="D4580" s="15"/>
      <c r="F4580" s="15"/>
      <c r="G4580" s="26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28"/>
      <c r="AS4580" s="28"/>
      <c r="AT4580" s="28"/>
    </row>
    <row r="4581">
      <c r="A4581" s="14"/>
      <c r="B4581" s="15"/>
      <c r="C4581" s="16"/>
      <c r="D4581" s="15"/>
      <c r="F4581" s="15"/>
      <c r="G4581" s="26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28"/>
      <c r="AS4581" s="28"/>
      <c r="AT4581" s="28"/>
    </row>
    <row r="4582">
      <c r="A4582" s="14"/>
      <c r="B4582" s="15"/>
      <c r="C4582" s="16"/>
      <c r="D4582" s="15"/>
      <c r="F4582" s="15"/>
      <c r="G4582" s="26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28"/>
      <c r="AS4582" s="28"/>
      <c r="AT4582" s="28"/>
    </row>
    <row r="4583">
      <c r="A4583" s="14"/>
      <c r="B4583" s="15"/>
      <c r="C4583" s="16"/>
      <c r="D4583" s="15"/>
      <c r="F4583" s="15"/>
      <c r="G4583" s="26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28"/>
      <c r="AS4583" s="28"/>
      <c r="AT4583" s="28"/>
    </row>
    <row r="4584">
      <c r="A4584" s="14"/>
      <c r="B4584" s="15"/>
      <c r="C4584" s="16"/>
      <c r="D4584" s="15"/>
      <c r="F4584" s="15"/>
      <c r="G4584" s="26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28"/>
      <c r="AS4584" s="28"/>
      <c r="AT4584" s="28"/>
    </row>
    <row r="4585">
      <c r="A4585" s="14"/>
      <c r="B4585" s="15"/>
      <c r="C4585" s="16"/>
      <c r="D4585" s="15"/>
      <c r="F4585" s="15"/>
      <c r="G4585" s="26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28"/>
      <c r="AS4585" s="28"/>
      <c r="AT4585" s="28"/>
    </row>
    <row r="4586">
      <c r="A4586" s="14"/>
      <c r="B4586" s="15"/>
      <c r="C4586" s="16"/>
      <c r="D4586" s="15"/>
      <c r="F4586" s="15"/>
      <c r="G4586" s="26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28"/>
      <c r="AS4586" s="28"/>
      <c r="AT4586" s="28"/>
    </row>
    <row r="4587">
      <c r="A4587" s="14"/>
      <c r="B4587" s="15"/>
      <c r="C4587" s="16"/>
      <c r="D4587" s="15"/>
      <c r="F4587" s="15"/>
      <c r="G4587" s="26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28"/>
      <c r="AS4587" s="28"/>
      <c r="AT4587" s="28"/>
    </row>
    <row r="4588">
      <c r="A4588" s="14"/>
      <c r="B4588" s="15"/>
      <c r="C4588" s="16"/>
      <c r="D4588" s="15"/>
      <c r="F4588" s="15"/>
      <c r="G4588" s="26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28"/>
      <c r="AS4588" s="28"/>
      <c r="AT4588" s="28"/>
    </row>
    <row r="4589">
      <c r="A4589" s="14"/>
      <c r="B4589" s="15"/>
      <c r="C4589" s="16"/>
      <c r="D4589" s="15"/>
      <c r="F4589" s="15"/>
      <c r="G4589" s="26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28"/>
      <c r="AS4589" s="28"/>
      <c r="AT4589" s="28"/>
    </row>
    <row r="4590">
      <c r="A4590" s="14"/>
      <c r="B4590" s="15"/>
      <c r="C4590" s="16"/>
      <c r="D4590" s="15"/>
      <c r="F4590" s="15"/>
      <c r="G4590" s="26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28"/>
      <c r="AS4590" s="28"/>
      <c r="AT4590" s="28"/>
    </row>
    <row r="4591">
      <c r="A4591" s="14"/>
      <c r="B4591" s="15"/>
      <c r="C4591" s="16"/>
      <c r="D4591" s="15"/>
      <c r="F4591" s="15"/>
      <c r="G4591" s="26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28"/>
      <c r="AS4591" s="28"/>
      <c r="AT4591" s="28"/>
    </row>
    <row r="4592">
      <c r="A4592" s="14"/>
      <c r="B4592" s="15"/>
      <c r="C4592" s="16"/>
      <c r="D4592" s="15"/>
      <c r="F4592" s="15"/>
      <c r="G4592" s="26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28"/>
      <c r="AS4592" s="28"/>
      <c r="AT4592" s="28"/>
    </row>
    <row r="4593">
      <c r="A4593" s="14"/>
      <c r="B4593" s="15"/>
      <c r="C4593" s="16"/>
      <c r="D4593" s="15"/>
      <c r="F4593" s="15"/>
      <c r="G4593" s="26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28"/>
      <c r="AS4593" s="28"/>
      <c r="AT4593" s="28"/>
    </row>
    <row r="4594">
      <c r="A4594" s="14"/>
      <c r="B4594" s="15"/>
      <c r="C4594" s="16"/>
      <c r="D4594" s="15"/>
      <c r="F4594" s="15"/>
      <c r="G4594" s="26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28"/>
      <c r="AS4594" s="28"/>
      <c r="AT4594" s="28"/>
    </row>
    <row r="4595">
      <c r="A4595" s="14"/>
      <c r="B4595" s="15"/>
      <c r="C4595" s="16"/>
      <c r="D4595" s="15"/>
      <c r="F4595" s="15"/>
      <c r="G4595" s="26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28"/>
      <c r="AS4595" s="28"/>
      <c r="AT4595" s="28"/>
    </row>
    <row r="4596">
      <c r="A4596" s="14"/>
      <c r="B4596" s="15"/>
      <c r="C4596" s="16"/>
      <c r="D4596" s="15"/>
      <c r="F4596" s="15"/>
      <c r="G4596" s="26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28"/>
      <c r="AS4596" s="28"/>
      <c r="AT4596" s="28"/>
    </row>
    <row r="4597">
      <c r="A4597" s="14"/>
      <c r="B4597" s="15"/>
      <c r="C4597" s="16"/>
      <c r="D4597" s="15"/>
      <c r="F4597" s="15"/>
      <c r="G4597" s="26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28"/>
      <c r="AS4597" s="28"/>
      <c r="AT4597" s="28"/>
    </row>
    <row r="4598">
      <c r="A4598" s="14"/>
      <c r="B4598" s="15"/>
      <c r="C4598" s="16"/>
      <c r="D4598" s="15"/>
      <c r="F4598" s="15"/>
      <c r="G4598" s="26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28"/>
      <c r="AS4598" s="28"/>
      <c r="AT4598" s="28"/>
    </row>
    <row r="4599">
      <c r="A4599" s="14"/>
      <c r="B4599" s="15"/>
      <c r="C4599" s="16"/>
      <c r="D4599" s="15"/>
      <c r="F4599" s="15"/>
      <c r="G4599" s="26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28"/>
      <c r="AS4599" s="28"/>
      <c r="AT4599" s="28"/>
    </row>
    <row r="4600">
      <c r="A4600" s="14"/>
      <c r="B4600" s="15"/>
      <c r="C4600" s="16"/>
      <c r="D4600" s="15"/>
      <c r="F4600" s="15"/>
      <c r="G4600" s="26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28"/>
      <c r="AS4600" s="28"/>
      <c r="AT4600" s="28"/>
    </row>
    <row r="4601">
      <c r="A4601" s="14"/>
      <c r="B4601" s="15"/>
      <c r="C4601" s="16"/>
      <c r="D4601" s="15"/>
      <c r="F4601" s="15"/>
      <c r="G4601" s="26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28"/>
      <c r="AS4601" s="28"/>
      <c r="AT4601" s="28"/>
    </row>
    <row r="4602">
      <c r="A4602" s="14"/>
      <c r="B4602" s="15"/>
      <c r="C4602" s="16"/>
      <c r="D4602" s="15"/>
      <c r="F4602" s="15"/>
      <c r="G4602" s="26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28"/>
      <c r="AS4602" s="28"/>
      <c r="AT4602" s="28"/>
    </row>
    <row r="4603">
      <c r="A4603" s="14"/>
      <c r="B4603" s="15"/>
      <c r="C4603" s="16"/>
      <c r="D4603" s="15"/>
      <c r="F4603" s="15"/>
      <c r="G4603" s="26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28"/>
      <c r="AS4603" s="28"/>
      <c r="AT4603" s="28"/>
    </row>
    <row r="4604">
      <c r="A4604" s="14"/>
      <c r="B4604" s="15"/>
      <c r="C4604" s="16"/>
      <c r="D4604" s="15"/>
      <c r="F4604" s="15"/>
      <c r="G4604" s="26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28"/>
      <c r="AS4604" s="28"/>
      <c r="AT4604" s="28"/>
    </row>
    <row r="4605">
      <c r="A4605" s="14"/>
      <c r="B4605" s="15"/>
      <c r="C4605" s="16"/>
      <c r="D4605" s="15"/>
      <c r="F4605" s="15"/>
      <c r="G4605" s="26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28"/>
      <c r="AS4605" s="28"/>
      <c r="AT4605" s="28"/>
    </row>
    <row r="4606">
      <c r="A4606" s="14"/>
      <c r="B4606" s="15"/>
      <c r="C4606" s="16"/>
      <c r="D4606" s="15"/>
      <c r="F4606" s="15"/>
      <c r="G4606" s="26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28"/>
      <c r="AS4606" s="28"/>
      <c r="AT4606" s="28"/>
    </row>
    <row r="4607">
      <c r="A4607" s="14"/>
      <c r="B4607" s="15"/>
      <c r="C4607" s="16"/>
      <c r="D4607" s="15"/>
      <c r="F4607" s="15"/>
      <c r="G4607" s="26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28"/>
      <c r="AS4607" s="28"/>
      <c r="AT4607" s="28"/>
    </row>
    <row r="4608">
      <c r="A4608" s="14"/>
      <c r="B4608" s="15"/>
      <c r="C4608" s="16"/>
      <c r="D4608" s="15"/>
      <c r="F4608" s="15"/>
      <c r="G4608" s="26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28"/>
      <c r="AS4608" s="28"/>
      <c r="AT4608" s="28"/>
    </row>
    <row r="4609">
      <c r="A4609" s="14"/>
      <c r="B4609" s="15"/>
      <c r="C4609" s="16"/>
      <c r="D4609" s="15"/>
      <c r="F4609" s="15"/>
      <c r="G4609" s="26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28"/>
      <c r="AS4609" s="28"/>
      <c r="AT4609" s="28"/>
    </row>
    <row r="4610">
      <c r="A4610" s="14"/>
      <c r="B4610" s="15"/>
      <c r="C4610" s="16"/>
      <c r="D4610" s="15"/>
      <c r="F4610" s="15"/>
      <c r="G4610" s="26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28"/>
      <c r="AS4610" s="28"/>
      <c r="AT4610" s="28"/>
    </row>
    <row r="4611">
      <c r="A4611" s="14"/>
      <c r="B4611" s="15"/>
      <c r="C4611" s="16"/>
      <c r="D4611" s="15"/>
      <c r="F4611" s="15"/>
      <c r="G4611" s="26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28"/>
      <c r="AS4611" s="28"/>
      <c r="AT4611" s="28"/>
    </row>
    <row r="4612">
      <c r="A4612" s="14"/>
      <c r="B4612" s="15"/>
      <c r="C4612" s="16"/>
      <c r="D4612" s="15"/>
      <c r="F4612" s="15"/>
      <c r="G4612" s="26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28"/>
      <c r="AS4612" s="28"/>
      <c r="AT4612" s="28"/>
    </row>
    <row r="4613">
      <c r="A4613" s="14"/>
      <c r="B4613" s="15"/>
      <c r="C4613" s="16"/>
      <c r="D4613" s="15"/>
      <c r="F4613" s="15"/>
      <c r="G4613" s="26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28"/>
      <c r="AS4613" s="28"/>
      <c r="AT4613" s="28"/>
    </row>
    <row r="4614">
      <c r="A4614" s="14"/>
      <c r="B4614" s="15"/>
      <c r="C4614" s="16"/>
      <c r="D4614" s="15"/>
      <c r="F4614" s="15"/>
      <c r="G4614" s="26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8"/>
      <c r="AH4614" s="28"/>
      <c r="AI4614" s="28"/>
      <c r="AJ4614" s="28"/>
      <c r="AK4614" s="28"/>
      <c r="AL4614" s="28"/>
      <c r="AM4614" s="28"/>
      <c r="AN4614" s="28"/>
      <c r="AO4614" s="28"/>
      <c r="AP4614" s="28"/>
      <c r="AQ4614" s="28"/>
      <c r="AR4614" s="28"/>
      <c r="AS4614" s="28"/>
      <c r="AT4614" s="28"/>
    </row>
    <row r="4615">
      <c r="A4615" s="14"/>
      <c r="B4615" s="15"/>
      <c r="C4615" s="16"/>
      <c r="D4615" s="15"/>
      <c r="F4615" s="15"/>
      <c r="G4615" s="26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O4615" s="28"/>
      <c r="AP4615" s="28"/>
      <c r="AQ4615" s="28"/>
      <c r="AR4615" s="28"/>
      <c r="AS4615" s="28"/>
      <c r="AT4615" s="28"/>
    </row>
    <row r="4616">
      <c r="A4616" s="14"/>
      <c r="B4616" s="15"/>
      <c r="C4616" s="16"/>
      <c r="D4616" s="15"/>
      <c r="F4616" s="15"/>
      <c r="G4616" s="26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28"/>
      <c r="AR4616" s="28"/>
      <c r="AS4616" s="28"/>
      <c r="AT4616" s="28"/>
    </row>
    <row r="4617">
      <c r="A4617" s="14"/>
      <c r="B4617" s="15"/>
      <c r="C4617" s="16"/>
      <c r="D4617" s="15"/>
      <c r="F4617" s="15"/>
      <c r="G4617" s="26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R4617" s="28"/>
      <c r="AS4617" s="28"/>
      <c r="AT4617" s="28"/>
    </row>
    <row r="4618">
      <c r="A4618" s="14"/>
      <c r="B4618" s="15"/>
      <c r="C4618" s="16"/>
      <c r="D4618" s="15"/>
      <c r="F4618" s="15"/>
      <c r="G4618" s="26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28"/>
      <c r="AS4618" s="28"/>
      <c r="AT4618" s="28"/>
    </row>
    <row r="4619">
      <c r="A4619" s="14"/>
      <c r="B4619" s="15"/>
      <c r="C4619" s="16"/>
      <c r="D4619" s="15"/>
      <c r="F4619" s="15"/>
      <c r="G4619" s="26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28"/>
      <c r="AS4619" s="28"/>
      <c r="AT4619" s="28"/>
    </row>
    <row r="4620">
      <c r="A4620" s="14"/>
      <c r="B4620" s="15"/>
      <c r="C4620" s="16"/>
      <c r="D4620" s="15"/>
      <c r="F4620" s="15"/>
      <c r="G4620" s="26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28"/>
      <c r="AN4620" s="28"/>
      <c r="AO4620" s="28"/>
      <c r="AP4620" s="28"/>
      <c r="AQ4620" s="28"/>
      <c r="AR4620" s="28"/>
      <c r="AS4620" s="28"/>
      <c r="AT4620" s="28"/>
    </row>
    <row r="4621">
      <c r="A4621" s="14"/>
      <c r="B4621" s="15"/>
      <c r="C4621" s="16"/>
      <c r="D4621" s="15"/>
      <c r="F4621" s="15"/>
      <c r="G4621" s="26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28"/>
      <c r="AR4621" s="28"/>
      <c r="AS4621" s="28"/>
      <c r="AT4621" s="28"/>
    </row>
    <row r="4622">
      <c r="A4622" s="14"/>
      <c r="B4622" s="15"/>
      <c r="C4622" s="16"/>
      <c r="D4622" s="15"/>
      <c r="F4622" s="15"/>
      <c r="G4622" s="26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28"/>
      <c r="AS4622" s="28"/>
      <c r="AT4622" s="28"/>
    </row>
    <row r="4623">
      <c r="A4623" s="14"/>
      <c r="B4623" s="15"/>
      <c r="C4623" s="16"/>
      <c r="D4623" s="15"/>
      <c r="F4623" s="15"/>
      <c r="G4623" s="26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28"/>
      <c r="AS4623" s="28"/>
      <c r="AT4623" s="28"/>
    </row>
    <row r="4624">
      <c r="A4624" s="14"/>
      <c r="B4624" s="15"/>
      <c r="C4624" s="16"/>
      <c r="D4624" s="15"/>
      <c r="F4624" s="15"/>
      <c r="G4624" s="26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28"/>
      <c r="AS4624" s="28"/>
      <c r="AT4624" s="28"/>
    </row>
    <row r="4625">
      <c r="A4625" s="14"/>
      <c r="B4625" s="15"/>
      <c r="C4625" s="16"/>
      <c r="D4625" s="15"/>
      <c r="F4625" s="15"/>
      <c r="G4625" s="26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28"/>
      <c r="AS4625" s="28"/>
      <c r="AT4625" s="28"/>
    </row>
    <row r="4626">
      <c r="A4626" s="14"/>
      <c r="B4626" s="15"/>
      <c r="C4626" s="16"/>
      <c r="D4626" s="15"/>
      <c r="F4626" s="15"/>
      <c r="G4626" s="26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28"/>
      <c r="AS4626" s="28"/>
      <c r="AT4626" s="28"/>
    </row>
    <row r="4627">
      <c r="A4627" s="14"/>
      <c r="B4627" s="15"/>
      <c r="C4627" s="16"/>
      <c r="D4627" s="15"/>
      <c r="F4627" s="15"/>
      <c r="G4627" s="26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28"/>
      <c r="AS4627" s="28"/>
      <c r="AT4627" s="28"/>
    </row>
    <row r="4628">
      <c r="A4628" s="14"/>
      <c r="B4628" s="15"/>
      <c r="C4628" s="16"/>
      <c r="D4628" s="15"/>
      <c r="F4628" s="15"/>
      <c r="G4628" s="26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28"/>
      <c r="AS4628" s="28"/>
      <c r="AT4628" s="28"/>
    </row>
    <row r="4629">
      <c r="A4629" s="14"/>
      <c r="B4629" s="15"/>
      <c r="C4629" s="16"/>
      <c r="D4629" s="15"/>
      <c r="F4629" s="15"/>
      <c r="G4629" s="26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28"/>
      <c r="AS4629" s="28"/>
      <c r="AT4629" s="28"/>
    </row>
    <row r="4630">
      <c r="A4630" s="14"/>
      <c r="B4630" s="15"/>
      <c r="C4630" s="16"/>
      <c r="D4630" s="15"/>
      <c r="F4630" s="15"/>
      <c r="G4630" s="26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28"/>
      <c r="AS4630" s="28"/>
      <c r="AT4630" s="28"/>
    </row>
    <row r="4631">
      <c r="A4631" s="14"/>
      <c r="B4631" s="15"/>
      <c r="C4631" s="16"/>
      <c r="D4631" s="15"/>
      <c r="F4631" s="15"/>
      <c r="G4631" s="26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28"/>
      <c r="AS4631" s="28"/>
      <c r="AT4631" s="28"/>
    </row>
    <row r="4632">
      <c r="A4632" s="14"/>
      <c r="B4632" s="15"/>
      <c r="C4632" s="16"/>
      <c r="D4632" s="15"/>
      <c r="F4632" s="15"/>
      <c r="G4632" s="26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28"/>
      <c r="AS4632" s="28"/>
      <c r="AT4632" s="28"/>
    </row>
    <row r="4633">
      <c r="A4633" s="14"/>
      <c r="B4633" s="15"/>
      <c r="C4633" s="16"/>
      <c r="D4633" s="15"/>
      <c r="F4633" s="15"/>
      <c r="G4633" s="26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28"/>
      <c r="AS4633" s="28"/>
      <c r="AT4633" s="28"/>
    </row>
    <row r="4634">
      <c r="A4634" s="14"/>
      <c r="B4634" s="15"/>
      <c r="C4634" s="16"/>
      <c r="D4634" s="15"/>
      <c r="F4634" s="15"/>
      <c r="G4634" s="26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28"/>
      <c r="AS4634" s="28"/>
      <c r="AT4634" s="28"/>
    </row>
    <row r="4635">
      <c r="A4635" s="14"/>
      <c r="B4635" s="15"/>
      <c r="C4635" s="16"/>
      <c r="D4635" s="15"/>
      <c r="F4635" s="15"/>
      <c r="G4635" s="26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28"/>
      <c r="AS4635" s="28"/>
      <c r="AT4635" s="28"/>
    </row>
    <row r="4636">
      <c r="A4636" s="14"/>
      <c r="B4636" s="15"/>
      <c r="C4636" s="16"/>
      <c r="D4636" s="15"/>
      <c r="F4636" s="15"/>
      <c r="G4636" s="26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28"/>
      <c r="AS4636" s="28"/>
      <c r="AT4636" s="28"/>
    </row>
    <row r="4637">
      <c r="A4637" s="14"/>
      <c r="B4637" s="15"/>
      <c r="C4637" s="16"/>
      <c r="D4637" s="15"/>
      <c r="F4637" s="15"/>
      <c r="G4637" s="26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28"/>
      <c r="AS4637" s="28"/>
      <c r="AT4637" s="28"/>
    </row>
    <row r="4638">
      <c r="A4638" s="14"/>
      <c r="B4638" s="15"/>
      <c r="C4638" s="16"/>
      <c r="D4638" s="15"/>
      <c r="F4638" s="15"/>
      <c r="G4638" s="26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28"/>
      <c r="AS4638" s="28"/>
      <c r="AT4638" s="28"/>
    </row>
    <row r="4639">
      <c r="A4639" s="14"/>
      <c r="B4639" s="15"/>
      <c r="C4639" s="16"/>
      <c r="D4639" s="15"/>
      <c r="F4639" s="15"/>
      <c r="G4639" s="26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28"/>
      <c r="AS4639" s="28"/>
      <c r="AT4639" s="28"/>
    </row>
    <row r="4640">
      <c r="A4640" s="14"/>
      <c r="B4640" s="15"/>
      <c r="C4640" s="16"/>
      <c r="D4640" s="15"/>
      <c r="F4640" s="15"/>
      <c r="G4640" s="26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28"/>
      <c r="AS4640" s="28"/>
      <c r="AT4640" s="28"/>
    </row>
    <row r="4641">
      <c r="A4641" s="14"/>
      <c r="B4641" s="15"/>
      <c r="C4641" s="16"/>
      <c r="D4641" s="15"/>
      <c r="F4641" s="15"/>
      <c r="G4641" s="26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28"/>
      <c r="AS4641" s="28"/>
      <c r="AT4641" s="28"/>
    </row>
    <row r="4642">
      <c r="A4642" s="14"/>
      <c r="B4642" s="15"/>
      <c r="C4642" s="16"/>
      <c r="D4642" s="15"/>
      <c r="F4642" s="15"/>
      <c r="G4642" s="26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28"/>
      <c r="AS4642" s="28"/>
      <c r="AT4642" s="28"/>
    </row>
    <row r="4643">
      <c r="A4643" s="14"/>
      <c r="B4643" s="15"/>
      <c r="C4643" s="16"/>
      <c r="D4643" s="15"/>
      <c r="F4643" s="15"/>
      <c r="G4643" s="26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28"/>
      <c r="AS4643" s="28"/>
      <c r="AT4643" s="28"/>
    </row>
    <row r="4644">
      <c r="A4644" s="14"/>
      <c r="B4644" s="15"/>
      <c r="C4644" s="16"/>
      <c r="D4644" s="15"/>
      <c r="F4644" s="15"/>
      <c r="G4644" s="26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28"/>
      <c r="AS4644" s="28"/>
      <c r="AT4644" s="28"/>
    </row>
    <row r="4645">
      <c r="A4645" s="14"/>
      <c r="B4645" s="15"/>
      <c r="C4645" s="16"/>
      <c r="D4645" s="15"/>
      <c r="F4645" s="15"/>
      <c r="G4645" s="26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28"/>
      <c r="AS4645" s="28"/>
      <c r="AT4645" s="28"/>
    </row>
    <row r="4646">
      <c r="A4646" s="14"/>
      <c r="B4646" s="15"/>
      <c r="C4646" s="16"/>
      <c r="D4646" s="15"/>
      <c r="F4646" s="15"/>
      <c r="G4646" s="26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28"/>
      <c r="AS4646" s="28"/>
      <c r="AT4646" s="28"/>
    </row>
    <row r="4647">
      <c r="A4647" s="14"/>
      <c r="B4647" s="15"/>
      <c r="C4647" s="16"/>
      <c r="D4647" s="15"/>
      <c r="F4647" s="15"/>
      <c r="G4647" s="26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28"/>
      <c r="AS4647" s="28"/>
      <c r="AT4647" s="28"/>
    </row>
    <row r="4648">
      <c r="A4648" s="14"/>
      <c r="B4648" s="15"/>
      <c r="C4648" s="16"/>
      <c r="D4648" s="15"/>
      <c r="F4648" s="15"/>
      <c r="G4648" s="26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28"/>
      <c r="AS4648" s="28"/>
      <c r="AT4648" s="28"/>
    </row>
    <row r="4649">
      <c r="A4649" s="14"/>
      <c r="B4649" s="15"/>
      <c r="C4649" s="16"/>
      <c r="D4649" s="15"/>
      <c r="F4649" s="15"/>
      <c r="G4649" s="26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28"/>
      <c r="AS4649" s="28"/>
      <c r="AT4649" s="28"/>
    </row>
    <row r="4650">
      <c r="A4650" s="14"/>
      <c r="B4650" s="15"/>
      <c r="C4650" s="16"/>
      <c r="D4650" s="15"/>
      <c r="F4650" s="15"/>
      <c r="G4650" s="26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28"/>
      <c r="AS4650" s="28"/>
      <c r="AT4650" s="28"/>
    </row>
    <row r="4651">
      <c r="A4651" s="14"/>
      <c r="B4651" s="15"/>
      <c r="C4651" s="16"/>
      <c r="D4651" s="15"/>
      <c r="F4651" s="15"/>
      <c r="G4651" s="26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28"/>
      <c r="AS4651" s="28"/>
      <c r="AT4651" s="28"/>
    </row>
    <row r="4652">
      <c r="A4652" s="14"/>
      <c r="B4652" s="15"/>
      <c r="C4652" s="16"/>
      <c r="D4652" s="15"/>
      <c r="F4652" s="15"/>
      <c r="G4652" s="26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28"/>
      <c r="AS4652" s="28"/>
      <c r="AT4652" s="28"/>
    </row>
    <row r="4653">
      <c r="A4653" s="14"/>
      <c r="B4653" s="15"/>
      <c r="C4653" s="16"/>
      <c r="D4653" s="15"/>
      <c r="F4653" s="15"/>
      <c r="G4653" s="26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28"/>
      <c r="AS4653" s="28"/>
      <c r="AT4653" s="28"/>
    </row>
    <row r="4654">
      <c r="A4654" s="14"/>
      <c r="B4654" s="15"/>
      <c r="C4654" s="16"/>
      <c r="D4654" s="15"/>
      <c r="F4654" s="15"/>
      <c r="G4654" s="26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28"/>
      <c r="AS4654" s="28"/>
      <c r="AT4654" s="28"/>
    </row>
    <row r="4655">
      <c r="A4655" s="14"/>
      <c r="B4655" s="15"/>
      <c r="C4655" s="16"/>
      <c r="D4655" s="15"/>
      <c r="F4655" s="15"/>
      <c r="G4655" s="26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28"/>
      <c r="AS4655" s="28"/>
      <c r="AT4655" s="28"/>
    </row>
    <row r="4656">
      <c r="A4656" s="14"/>
      <c r="B4656" s="15"/>
      <c r="C4656" s="16"/>
      <c r="D4656" s="15"/>
      <c r="F4656" s="15"/>
      <c r="G4656" s="26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28"/>
      <c r="AS4656" s="28"/>
      <c r="AT4656" s="28"/>
    </row>
    <row r="4657">
      <c r="A4657" s="14"/>
      <c r="B4657" s="15"/>
      <c r="C4657" s="16"/>
      <c r="D4657" s="15"/>
      <c r="F4657" s="15"/>
      <c r="G4657" s="26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28"/>
      <c r="AS4657" s="28"/>
      <c r="AT4657" s="28"/>
    </row>
    <row r="4658">
      <c r="A4658" s="14"/>
      <c r="B4658" s="15"/>
      <c r="C4658" s="16"/>
      <c r="D4658" s="15"/>
      <c r="F4658" s="15"/>
      <c r="G4658" s="26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28"/>
      <c r="AS4658" s="28"/>
      <c r="AT4658" s="28"/>
    </row>
    <row r="4659">
      <c r="A4659" s="14"/>
      <c r="B4659" s="15"/>
      <c r="C4659" s="16"/>
      <c r="D4659" s="15"/>
      <c r="F4659" s="15"/>
      <c r="G4659" s="26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28"/>
      <c r="AS4659" s="28"/>
      <c r="AT4659" s="28"/>
    </row>
    <row r="4660">
      <c r="A4660" s="14"/>
      <c r="B4660" s="15"/>
      <c r="C4660" s="16"/>
      <c r="D4660" s="15"/>
      <c r="F4660" s="15"/>
      <c r="G4660" s="26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28"/>
      <c r="AS4660" s="28"/>
      <c r="AT4660" s="28"/>
    </row>
    <row r="4661">
      <c r="A4661" s="14"/>
      <c r="B4661" s="15"/>
      <c r="C4661" s="16"/>
      <c r="D4661" s="15"/>
      <c r="F4661" s="15"/>
      <c r="G4661" s="26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28"/>
      <c r="AS4661" s="28"/>
      <c r="AT4661" s="28"/>
    </row>
    <row r="4662">
      <c r="A4662" s="14"/>
      <c r="B4662" s="15"/>
      <c r="C4662" s="16"/>
      <c r="D4662" s="15"/>
      <c r="F4662" s="15"/>
      <c r="G4662" s="26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28"/>
      <c r="AS4662" s="28"/>
      <c r="AT4662" s="28"/>
    </row>
    <row r="4663">
      <c r="A4663" s="14"/>
      <c r="B4663" s="15"/>
      <c r="C4663" s="16"/>
      <c r="D4663" s="15"/>
      <c r="F4663" s="15"/>
      <c r="G4663" s="26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28"/>
      <c r="AS4663" s="28"/>
      <c r="AT4663" s="28"/>
    </row>
    <row r="4664">
      <c r="A4664" s="14"/>
      <c r="B4664" s="15"/>
      <c r="C4664" s="16"/>
      <c r="D4664" s="15"/>
      <c r="F4664" s="15"/>
      <c r="G4664" s="26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28"/>
      <c r="AS4664" s="28"/>
      <c r="AT4664" s="28"/>
    </row>
    <row r="4665">
      <c r="A4665" s="14"/>
      <c r="B4665" s="15"/>
      <c r="C4665" s="16"/>
      <c r="D4665" s="15"/>
      <c r="F4665" s="15"/>
      <c r="G4665" s="26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28"/>
      <c r="AS4665" s="28"/>
      <c r="AT4665" s="28"/>
    </row>
    <row r="4666">
      <c r="A4666" s="14"/>
      <c r="B4666" s="15"/>
      <c r="C4666" s="16"/>
      <c r="D4666" s="15"/>
      <c r="F4666" s="15"/>
      <c r="G4666" s="26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28"/>
      <c r="AS4666" s="28"/>
      <c r="AT4666" s="28"/>
    </row>
    <row r="4667">
      <c r="A4667" s="14"/>
      <c r="B4667" s="15"/>
      <c r="C4667" s="16"/>
      <c r="D4667" s="15"/>
      <c r="F4667" s="15"/>
      <c r="G4667" s="26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28"/>
      <c r="AS4667" s="28"/>
      <c r="AT4667" s="28"/>
    </row>
    <row r="4668">
      <c r="A4668" s="14"/>
      <c r="B4668" s="15"/>
      <c r="C4668" s="16"/>
      <c r="D4668" s="15"/>
      <c r="F4668" s="15"/>
      <c r="G4668" s="26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28"/>
      <c r="AS4668" s="28"/>
      <c r="AT4668" s="28"/>
    </row>
    <row r="4669">
      <c r="A4669" s="14"/>
      <c r="B4669" s="15"/>
      <c r="C4669" s="16"/>
      <c r="D4669" s="15"/>
      <c r="F4669" s="15"/>
      <c r="G4669" s="26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28"/>
      <c r="AS4669" s="28"/>
      <c r="AT4669" s="28"/>
    </row>
    <row r="4670">
      <c r="A4670" s="14"/>
      <c r="B4670" s="15"/>
      <c r="C4670" s="16"/>
      <c r="D4670" s="15"/>
      <c r="F4670" s="15"/>
      <c r="G4670" s="26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28"/>
      <c r="AS4670" s="28"/>
      <c r="AT4670" s="28"/>
    </row>
    <row r="4671">
      <c r="A4671" s="14"/>
      <c r="B4671" s="15"/>
      <c r="C4671" s="16"/>
      <c r="D4671" s="15"/>
      <c r="F4671" s="15"/>
      <c r="G4671" s="26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28"/>
      <c r="AS4671" s="28"/>
      <c r="AT4671" s="28"/>
    </row>
    <row r="4672">
      <c r="A4672" s="14"/>
      <c r="B4672" s="15"/>
      <c r="C4672" s="16"/>
      <c r="D4672" s="15"/>
      <c r="F4672" s="15"/>
      <c r="G4672" s="26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28"/>
      <c r="AS4672" s="28"/>
      <c r="AT4672" s="28"/>
    </row>
    <row r="4673">
      <c r="A4673" s="14"/>
      <c r="B4673" s="15"/>
      <c r="C4673" s="16"/>
      <c r="D4673" s="15"/>
      <c r="F4673" s="15"/>
      <c r="G4673" s="26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28"/>
      <c r="AS4673" s="28"/>
      <c r="AT4673" s="28"/>
    </row>
    <row r="4674">
      <c r="A4674" s="14"/>
      <c r="B4674" s="15"/>
      <c r="C4674" s="16"/>
      <c r="D4674" s="15"/>
      <c r="F4674" s="15"/>
      <c r="G4674" s="26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28"/>
      <c r="AS4674" s="28"/>
      <c r="AT4674" s="28"/>
    </row>
    <row r="4675">
      <c r="A4675" s="14"/>
      <c r="B4675" s="15"/>
      <c r="C4675" s="16"/>
      <c r="D4675" s="15"/>
      <c r="F4675" s="15"/>
      <c r="G4675" s="26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28"/>
      <c r="AS4675" s="28"/>
      <c r="AT4675" s="28"/>
    </row>
    <row r="4676">
      <c r="A4676" s="14"/>
      <c r="B4676" s="15"/>
      <c r="C4676" s="16"/>
      <c r="D4676" s="15"/>
      <c r="F4676" s="15"/>
      <c r="G4676" s="26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28"/>
      <c r="AS4676" s="28"/>
      <c r="AT4676" s="28"/>
    </row>
    <row r="4677">
      <c r="A4677" s="14"/>
      <c r="B4677" s="15"/>
      <c r="C4677" s="16"/>
      <c r="D4677" s="15"/>
      <c r="F4677" s="15"/>
      <c r="G4677" s="26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28"/>
      <c r="AS4677" s="28"/>
      <c r="AT4677" s="28"/>
    </row>
    <row r="4678">
      <c r="A4678" s="14"/>
      <c r="B4678" s="15"/>
      <c r="C4678" s="16"/>
      <c r="D4678" s="15"/>
      <c r="F4678" s="15"/>
      <c r="G4678" s="26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28"/>
      <c r="AS4678" s="28"/>
      <c r="AT4678" s="28"/>
    </row>
    <row r="4679">
      <c r="A4679" s="14"/>
      <c r="B4679" s="15"/>
      <c r="C4679" s="16"/>
      <c r="D4679" s="15"/>
      <c r="F4679" s="15"/>
      <c r="G4679" s="26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28"/>
      <c r="AS4679" s="28"/>
      <c r="AT4679" s="28"/>
    </row>
    <row r="4680">
      <c r="A4680" s="14"/>
      <c r="B4680" s="15"/>
      <c r="C4680" s="16"/>
      <c r="D4680" s="15"/>
      <c r="F4680" s="15"/>
      <c r="G4680" s="26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28"/>
      <c r="AS4680" s="28"/>
      <c r="AT4680" s="28"/>
    </row>
    <row r="4681">
      <c r="A4681" s="14"/>
      <c r="B4681" s="15"/>
      <c r="C4681" s="16"/>
      <c r="D4681" s="15"/>
      <c r="F4681" s="15"/>
      <c r="G4681" s="26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28"/>
      <c r="AS4681" s="28"/>
      <c r="AT4681" s="28"/>
    </row>
    <row r="4682">
      <c r="A4682" s="14"/>
      <c r="B4682" s="15"/>
      <c r="C4682" s="16"/>
      <c r="D4682" s="15"/>
      <c r="F4682" s="15"/>
      <c r="G4682" s="26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28"/>
      <c r="AS4682" s="28"/>
      <c r="AT4682" s="28"/>
    </row>
    <row r="4683">
      <c r="A4683" s="14"/>
      <c r="B4683" s="15"/>
      <c r="C4683" s="16"/>
      <c r="D4683" s="15"/>
      <c r="F4683" s="15"/>
      <c r="G4683" s="26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28"/>
      <c r="AS4683" s="28"/>
      <c r="AT4683" s="28"/>
    </row>
    <row r="4684">
      <c r="A4684" s="14"/>
      <c r="B4684" s="15"/>
      <c r="C4684" s="16"/>
      <c r="D4684" s="15"/>
      <c r="F4684" s="15"/>
      <c r="G4684" s="26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28"/>
      <c r="AS4684" s="28"/>
      <c r="AT4684" s="28"/>
    </row>
    <row r="4685">
      <c r="A4685" s="14"/>
      <c r="B4685" s="15"/>
      <c r="C4685" s="16"/>
      <c r="D4685" s="15"/>
      <c r="F4685" s="15"/>
      <c r="G4685" s="26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28"/>
      <c r="AS4685" s="28"/>
      <c r="AT4685" s="28"/>
    </row>
    <row r="4686">
      <c r="A4686" s="14"/>
      <c r="B4686" s="15"/>
      <c r="C4686" s="16"/>
      <c r="D4686" s="15"/>
      <c r="F4686" s="15"/>
      <c r="G4686" s="26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28"/>
      <c r="AS4686" s="28"/>
      <c r="AT4686" s="28"/>
    </row>
    <row r="4687">
      <c r="A4687" s="14"/>
      <c r="B4687" s="15"/>
      <c r="C4687" s="16"/>
      <c r="D4687" s="15"/>
      <c r="F4687" s="15"/>
      <c r="G4687" s="26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28"/>
      <c r="AS4687" s="28"/>
      <c r="AT4687" s="28"/>
    </row>
    <row r="4688">
      <c r="A4688" s="14"/>
      <c r="B4688" s="15"/>
      <c r="C4688" s="16"/>
      <c r="D4688" s="15"/>
      <c r="F4688" s="15"/>
      <c r="G4688" s="26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28"/>
      <c r="AS4688" s="28"/>
      <c r="AT4688" s="28"/>
    </row>
    <row r="4689">
      <c r="A4689" s="14"/>
      <c r="B4689" s="15"/>
      <c r="C4689" s="16"/>
      <c r="D4689" s="15"/>
      <c r="F4689" s="15"/>
      <c r="G4689" s="26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28"/>
      <c r="AS4689" s="28"/>
      <c r="AT4689" s="28"/>
    </row>
    <row r="4690">
      <c r="A4690" s="14"/>
      <c r="B4690" s="15"/>
      <c r="C4690" s="16"/>
      <c r="D4690" s="15"/>
      <c r="F4690" s="15"/>
      <c r="G4690" s="26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28"/>
      <c r="AS4690" s="28"/>
      <c r="AT4690" s="28"/>
    </row>
    <row r="4691">
      <c r="A4691" s="14"/>
      <c r="B4691" s="15"/>
      <c r="C4691" s="16"/>
      <c r="D4691" s="15"/>
      <c r="F4691" s="15"/>
      <c r="G4691" s="26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28"/>
      <c r="AS4691" s="28"/>
      <c r="AT4691" s="28"/>
    </row>
    <row r="4692">
      <c r="A4692" s="14"/>
      <c r="B4692" s="15"/>
      <c r="C4692" s="16"/>
      <c r="D4692" s="15"/>
      <c r="F4692" s="15"/>
      <c r="G4692" s="26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28"/>
      <c r="AS4692" s="28"/>
      <c r="AT4692" s="28"/>
    </row>
    <row r="4693">
      <c r="A4693" s="14"/>
      <c r="B4693" s="15"/>
      <c r="C4693" s="16"/>
      <c r="D4693" s="15"/>
      <c r="F4693" s="15"/>
      <c r="G4693" s="26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28"/>
      <c r="AS4693" s="28"/>
      <c r="AT4693" s="28"/>
    </row>
    <row r="4694">
      <c r="A4694" s="14"/>
      <c r="B4694" s="15"/>
      <c r="C4694" s="16"/>
      <c r="D4694" s="15"/>
      <c r="F4694" s="15"/>
      <c r="G4694" s="26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28"/>
      <c r="AS4694" s="28"/>
      <c r="AT4694" s="28"/>
    </row>
    <row r="4695">
      <c r="A4695" s="14"/>
      <c r="B4695" s="15"/>
      <c r="C4695" s="16"/>
      <c r="D4695" s="15"/>
      <c r="F4695" s="15"/>
      <c r="G4695" s="26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28"/>
      <c r="AS4695" s="28"/>
      <c r="AT4695" s="28"/>
    </row>
    <row r="4696">
      <c r="A4696" s="14"/>
      <c r="B4696" s="15"/>
      <c r="C4696" s="16"/>
      <c r="D4696" s="15"/>
      <c r="F4696" s="15"/>
      <c r="G4696" s="26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28"/>
      <c r="AS4696" s="28"/>
      <c r="AT4696" s="28"/>
    </row>
    <row r="4697">
      <c r="A4697" s="14"/>
      <c r="B4697" s="15"/>
      <c r="C4697" s="16"/>
      <c r="D4697" s="15"/>
      <c r="F4697" s="15"/>
      <c r="G4697" s="26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28"/>
      <c r="AS4697" s="28"/>
      <c r="AT4697" s="28"/>
    </row>
    <row r="4698">
      <c r="A4698" s="14"/>
      <c r="B4698" s="15"/>
      <c r="C4698" s="16"/>
      <c r="D4698" s="15"/>
      <c r="F4698" s="15"/>
      <c r="G4698" s="26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28"/>
      <c r="AS4698" s="28"/>
      <c r="AT4698" s="28"/>
    </row>
    <row r="4699">
      <c r="A4699" s="14"/>
      <c r="B4699" s="15"/>
      <c r="C4699" s="16"/>
      <c r="D4699" s="15"/>
      <c r="F4699" s="15"/>
      <c r="G4699" s="26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28"/>
      <c r="AS4699" s="28"/>
      <c r="AT4699" s="28"/>
    </row>
    <row r="4700">
      <c r="A4700" s="14"/>
      <c r="B4700" s="15"/>
      <c r="C4700" s="16"/>
      <c r="D4700" s="15"/>
      <c r="F4700" s="15"/>
      <c r="G4700" s="26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28"/>
      <c r="AS4700" s="28"/>
      <c r="AT4700" s="28"/>
    </row>
    <row r="4701">
      <c r="A4701" s="14"/>
      <c r="B4701" s="15"/>
      <c r="C4701" s="16"/>
      <c r="D4701" s="15"/>
      <c r="F4701" s="15"/>
      <c r="G4701" s="26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28"/>
      <c r="AS4701" s="28"/>
      <c r="AT4701" s="28"/>
    </row>
    <row r="4702">
      <c r="A4702" s="14"/>
      <c r="B4702" s="15"/>
      <c r="C4702" s="16"/>
      <c r="D4702" s="15"/>
      <c r="F4702" s="15"/>
      <c r="G4702" s="26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28"/>
      <c r="AS4702" s="28"/>
      <c r="AT4702" s="28"/>
    </row>
    <row r="4703">
      <c r="A4703" s="14"/>
      <c r="B4703" s="15"/>
      <c r="C4703" s="16"/>
      <c r="D4703" s="15"/>
      <c r="F4703" s="15"/>
      <c r="G4703" s="26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28"/>
      <c r="AS4703" s="28"/>
      <c r="AT4703" s="28"/>
    </row>
    <row r="4704">
      <c r="A4704" s="14"/>
      <c r="B4704" s="15"/>
      <c r="C4704" s="16"/>
      <c r="D4704" s="15"/>
      <c r="F4704" s="15"/>
      <c r="G4704" s="26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28"/>
      <c r="AS4704" s="28"/>
      <c r="AT4704" s="28"/>
    </row>
    <row r="4705">
      <c r="A4705" s="14"/>
      <c r="B4705" s="15"/>
      <c r="C4705" s="16"/>
      <c r="D4705" s="15"/>
      <c r="F4705" s="15"/>
      <c r="G4705" s="26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28"/>
      <c r="AS4705" s="28"/>
      <c r="AT4705" s="28"/>
    </row>
    <row r="4706">
      <c r="A4706" s="14"/>
      <c r="B4706" s="15"/>
      <c r="C4706" s="16"/>
      <c r="D4706" s="15"/>
      <c r="F4706" s="15"/>
      <c r="G4706" s="26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28"/>
      <c r="AS4706" s="28"/>
      <c r="AT4706" s="28"/>
    </row>
    <row r="4707">
      <c r="A4707" s="14"/>
      <c r="B4707" s="15"/>
      <c r="C4707" s="16"/>
      <c r="D4707" s="15"/>
      <c r="F4707" s="15"/>
      <c r="G4707" s="26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28"/>
      <c r="AS4707" s="28"/>
      <c r="AT4707" s="28"/>
    </row>
    <row r="4708">
      <c r="A4708" s="14"/>
      <c r="B4708" s="15"/>
      <c r="C4708" s="16"/>
      <c r="D4708" s="15"/>
      <c r="F4708" s="15"/>
      <c r="G4708" s="26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28"/>
      <c r="AS4708" s="28"/>
      <c r="AT4708" s="28"/>
    </row>
    <row r="4709">
      <c r="A4709" s="14"/>
      <c r="B4709" s="15"/>
      <c r="C4709" s="16"/>
      <c r="D4709" s="15"/>
      <c r="F4709" s="15"/>
      <c r="G4709" s="26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28"/>
      <c r="AS4709" s="28"/>
      <c r="AT4709" s="28"/>
    </row>
    <row r="4710">
      <c r="A4710" s="14"/>
      <c r="B4710" s="15"/>
      <c r="C4710" s="16"/>
      <c r="D4710" s="15"/>
      <c r="F4710" s="15"/>
      <c r="G4710" s="26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28"/>
      <c r="AS4710" s="28"/>
      <c r="AT4710" s="28"/>
    </row>
    <row r="4711">
      <c r="A4711" s="14"/>
      <c r="B4711" s="15"/>
      <c r="C4711" s="16"/>
      <c r="D4711" s="15"/>
      <c r="F4711" s="15"/>
      <c r="G4711" s="26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28"/>
      <c r="AS4711" s="28"/>
      <c r="AT4711" s="28"/>
    </row>
    <row r="4712">
      <c r="A4712" s="14"/>
      <c r="B4712" s="15"/>
      <c r="C4712" s="16"/>
      <c r="D4712" s="15"/>
      <c r="F4712" s="15"/>
      <c r="G4712" s="26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28"/>
      <c r="AS4712" s="28"/>
      <c r="AT4712" s="28"/>
    </row>
    <row r="4713">
      <c r="A4713" s="14"/>
      <c r="B4713" s="15"/>
      <c r="C4713" s="16"/>
      <c r="D4713" s="15"/>
      <c r="F4713" s="15"/>
      <c r="G4713" s="26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28"/>
      <c r="AS4713" s="28"/>
      <c r="AT4713" s="28"/>
    </row>
    <row r="4714">
      <c r="A4714" s="14"/>
      <c r="B4714" s="15"/>
      <c r="C4714" s="16"/>
      <c r="D4714" s="15"/>
      <c r="F4714" s="15"/>
      <c r="G4714" s="26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28"/>
      <c r="AS4714" s="28"/>
      <c r="AT4714" s="28"/>
    </row>
    <row r="4715">
      <c r="A4715" s="14"/>
      <c r="B4715" s="15"/>
      <c r="C4715" s="16"/>
      <c r="D4715" s="15"/>
      <c r="F4715" s="15"/>
      <c r="G4715" s="26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28"/>
      <c r="AS4715" s="28"/>
      <c r="AT4715" s="28"/>
    </row>
    <row r="4716">
      <c r="A4716" s="14"/>
      <c r="B4716" s="15"/>
      <c r="C4716" s="16"/>
      <c r="D4716" s="15"/>
      <c r="F4716" s="15"/>
      <c r="G4716" s="26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28"/>
      <c r="AS4716" s="28"/>
      <c r="AT4716" s="28"/>
    </row>
    <row r="4717">
      <c r="A4717" s="14"/>
      <c r="B4717" s="15"/>
      <c r="C4717" s="16"/>
      <c r="D4717" s="15"/>
      <c r="F4717" s="15"/>
      <c r="G4717" s="26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28"/>
      <c r="AS4717" s="28"/>
      <c r="AT4717" s="28"/>
    </row>
    <row r="4718">
      <c r="A4718" s="14"/>
      <c r="B4718" s="15"/>
      <c r="C4718" s="16"/>
      <c r="D4718" s="15"/>
      <c r="F4718" s="15"/>
      <c r="G4718" s="26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28"/>
      <c r="AS4718" s="28"/>
      <c r="AT4718" s="28"/>
    </row>
    <row r="4719">
      <c r="A4719" s="14"/>
      <c r="B4719" s="15"/>
      <c r="C4719" s="16"/>
      <c r="D4719" s="15"/>
      <c r="F4719" s="15"/>
      <c r="G4719" s="26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28"/>
      <c r="AS4719" s="28"/>
      <c r="AT4719" s="28"/>
    </row>
    <row r="4720">
      <c r="A4720" s="14"/>
      <c r="B4720" s="15"/>
      <c r="C4720" s="16"/>
      <c r="D4720" s="15"/>
      <c r="F4720" s="15"/>
      <c r="G4720" s="26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28"/>
      <c r="AS4720" s="28"/>
      <c r="AT4720" s="28"/>
    </row>
    <row r="4721">
      <c r="A4721" s="14"/>
      <c r="B4721" s="15"/>
      <c r="C4721" s="16"/>
      <c r="D4721" s="15"/>
      <c r="F4721" s="15"/>
      <c r="G4721" s="26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28"/>
      <c r="AS4721" s="28"/>
      <c r="AT4721" s="28"/>
    </row>
    <row r="4722">
      <c r="A4722" s="14"/>
      <c r="B4722" s="15"/>
      <c r="C4722" s="16"/>
      <c r="D4722" s="15"/>
      <c r="F4722" s="15"/>
      <c r="G4722" s="26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28"/>
      <c r="AS4722" s="28"/>
      <c r="AT4722" s="28"/>
    </row>
    <row r="4723">
      <c r="A4723" s="14"/>
      <c r="B4723" s="15"/>
      <c r="C4723" s="16"/>
      <c r="D4723" s="15"/>
      <c r="F4723" s="15"/>
      <c r="G4723" s="26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28"/>
      <c r="AS4723" s="28"/>
      <c r="AT4723" s="28"/>
    </row>
    <row r="4724">
      <c r="A4724" s="14"/>
      <c r="B4724" s="15"/>
      <c r="C4724" s="16"/>
      <c r="D4724" s="15"/>
      <c r="F4724" s="15"/>
      <c r="G4724" s="26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28"/>
      <c r="AS4724" s="28"/>
      <c r="AT4724" s="28"/>
    </row>
    <row r="4725">
      <c r="A4725" s="14"/>
      <c r="B4725" s="15"/>
      <c r="C4725" s="16"/>
      <c r="D4725" s="15"/>
      <c r="F4725" s="15"/>
      <c r="G4725" s="26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28"/>
      <c r="AS4725" s="28"/>
      <c r="AT4725" s="28"/>
    </row>
    <row r="4726">
      <c r="A4726" s="14"/>
      <c r="B4726" s="15"/>
      <c r="C4726" s="16"/>
      <c r="D4726" s="15"/>
      <c r="F4726" s="15"/>
      <c r="G4726" s="26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28"/>
      <c r="AS4726" s="28"/>
      <c r="AT4726" s="28"/>
    </row>
    <row r="4727">
      <c r="A4727" s="14"/>
      <c r="B4727" s="15"/>
      <c r="C4727" s="16"/>
      <c r="D4727" s="15"/>
      <c r="F4727" s="15"/>
      <c r="G4727" s="26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28"/>
      <c r="AS4727" s="28"/>
      <c r="AT4727" s="28"/>
    </row>
    <row r="4728">
      <c r="A4728" s="14"/>
      <c r="B4728" s="15"/>
      <c r="C4728" s="16"/>
      <c r="D4728" s="15"/>
      <c r="F4728" s="15"/>
      <c r="G4728" s="26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28"/>
      <c r="AS4728" s="28"/>
      <c r="AT4728" s="28"/>
    </row>
    <row r="4729">
      <c r="A4729" s="14"/>
      <c r="B4729" s="15"/>
      <c r="C4729" s="16"/>
      <c r="D4729" s="15"/>
      <c r="F4729" s="15"/>
      <c r="G4729" s="26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28"/>
      <c r="AS4729" s="28"/>
      <c r="AT4729" s="28"/>
    </row>
    <row r="4730">
      <c r="A4730" s="14"/>
      <c r="B4730" s="15"/>
      <c r="C4730" s="16"/>
      <c r="D4730" s="15"/>
      <c r="F4730" s="15"/>
      <c r="G4730" s="26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28"/>
      <c r="AS4730" s="28"/>
      <c r="AT4730" s="28"/>
    </row>
    <row r="4731">
      <c r="A4731" s="14"/>
      <c r="B4731" s="15"/>
      <c r="C4731" s="16"/>
      <c r="D4731" s="15"/>
      <c r="F4731" s="15"/>
      <c r="G4731" s="26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28"/>
      <c r="AS4731" s="28"/>
      <c r="AT4731" s="28"/>
    </row>
    <row r="4732">
      <c r="A4732" s="14"/>
      <c r="B4732" s="15"/>
      <c r="C4732" s="16"/>
      <c r="D4732" s="15"/>
      <c r="F4732" s="15"/>
      <c r="G4732" s="26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28"/>
      <c r="AS4732" s="28"/>
      <c r="AT4732" s="28"/>
    </row>
    <row r="4733">
      <c r="A4733" s="14"/>
      <c r="B4733" s="15"/>
      <c r="C4733" s="16"/>
      <c r="D4733" s="15"/>
      <c r="F4733" s="15"/>
      <c r="G4733" s="26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28"/>
      <c r="AS4733" s="28"/>
      <c r="AT4733" s="28"/>
    </row>
    <row r="4734">
      <c r="A4734" s="14"/>
      <c r="B4734" s="15"/>
      <c r="C4734" s="16"/>
      <c r="D4734" s="15"/>
      <c r="F4734" s="15"/>
      <c r="G4734" s="26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28"/>
      <c r="AS4734" s="28"/>
      <c r="AT4734" s="28"/>
    </row>
    <row r="4735">
      <c r="A4735" s="14"/>
      <c r="B4735" s="15"/>
      <c r="C4735" s="16"/>
      <c r="D4735" s="15"/>
      <c r="F4735" s="15"/>
      <c r="G4735" s="26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28"/>
      <c r="AS4735" s="28"/>
      <c r="AT4735" s="28"/>
    </row>
    <row r="4736">
      <c r="A4736" s="14"/>
      <c r="B4736" s="15"/>
      <c r="C4736" s="16"/>
      <c r="D4736" s="15"/>
      <c r="F4736" s="15"/>
      <c r="G4736" s="26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28"/>
      <c r="AS4736" s="28"/>
      <c r="AT4736" s="28"/>
    </row>
    <row r="4737">
      <c r="A4737" s="14"/>
      <c r="B4737" s="15"/>
      <c r="C4737" s="16"/>
      <c r="D4737" s="15"/>
      <c r="F4737" s="15"/>
      <c r="G4737" s="26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28"/>
      <c r="AS4737" s="28"/>
      <c r="AT4737" s="28"/>
    </row>
    <row r="4738">
      <c r="A4738" s="14"/>
      <c r="B4738" s="15"/>
      <c r="C4738" s="16"/>
      <c r="D4738" s="15"/>
      <c r="F4738" s="15"/>
      <c r="G4738" s="26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28"/>
      <c r="AS4738" s="28"/>
      <c r="AT4738" s="28"/>
    </row>
    <row r="4739">
      <c r="A4739" s="14"/>
      <c r="B4739" s="15"/>
      <c r="C4739" s="16"/>
      <c r="D4739" s="15"/>
      <c r="F4739" s="15"/>
      <c r="G4739" s="26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28"/>
      <c r="AS4739" s="28"/>
      <c r="AT4739" s="28"/>
    </row>
    <row r="4740">
      <c r="A4740" s="14"/>
      <c r="B4740" s="15"/>
      <c r="C4740" s="16"/>
      <c r="D4740" s="15"/>
      <c r="F4740" s="15"/>
      <c r="G4740" s="26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28"/>
      <c r="AS4740" s="28"/>
      <c r="AT4740" s="28"/>
    </row>
    <row r="4741">
      <c r="A4741" s="14"/>
      <c r="B4741" s="15"/>
      <c r="C4741" s="16"/>
      <c r="D4741" s="15"/>
      <c r="F4741" s="15"/>
      <c r="G4741" s="26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28"/>
      <c r="AS4741" s="28"/>
      <c r="AT4741" s="28"/>
    </row>
    <row r="4742">
      <c r="A4742" s="14"/>
      <c r="B4742" s="15"/>
      <c r="C4742" s="16"/>
      <c r="D4742" s="15"/>
      <c r="F4742" s="15"/>
      <c r="G4742" s="26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28"/>
      <c r="AS4742" s="28"/>
      <c r="AT4742" s="28"/>
    </row>
    <row r="4743">
      <c r="A4743" s="14"/>
      <c r="B4743" s="15"/>
      <c r="C4743" s="16"/>
      <c r="D4743" s="15"/>
      <c r="F4743" s="15"/>
      <c r="G4743" s="26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28"/>
      <c r="AS4743" s="28"/>
      <c r="AT4743" s="28"/>
    </row>
    <row r="4744">
      <c r="A4744" s="14"/>
      <c r="B4744" s="15"/>
      <c r="C4744" s="16"/>
      <c r="D4744" s="15"/>
      <c r="F4744" s="15"/>
      <c r="G4744" s="26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28"/>
      <c r="AS4744" s="28"/>
      <c r="AT4744" s="28"/>
    </row>
    <row r="4745">
      <c r="A4745" s="14"/>
      <c r="B4745" s="15"/>
      <c r="C4745" s="16"/>
      <c r="D4745" s="15"/>
      <c r="F4745" s="15"/>
      <c r="G4745" s="26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28"/>
      <c r="AS4745" s="28"/>
      <c r="AT4745" s="28"/>
    </row>
    <row r="4746">
      <c r="A4746" s="14"/>
      <c r="B4746" s="15"/>
      <c r="C4746" s="16"/>
      <c r="D4746" s="15"/>
      <c r="F4746" s="15"/>
      <c r="G4746" s="26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28"/>
      <c r="AS4746" s="28"/>
      <c r="AT4746" s="28"/>
    </row>
    <row r="4747">
      <c r="A4747" s="14"/>
      <c r="B4747" s="15"/>
      <c r="C4747" s="16"/>
      <c r="D4747" s="15"/>
      <c r="F4747" s="15"/>
      <c r="G4747" s="26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28"/>
      <c r="AS4747" s="28"/>
      <c r="AT4747" s="28"/>
    </row>
    <row r="4748">
      <c r="A4748" s="14"/>
      <c r="B4748" s="15"/>
      <c r="C4748" s="16"/>
      <c r="D4748" s="15"/>
      <c r="F4748" s="15"/>
      <c r="G4748" s="26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28"/>
      <c r="AS4748" s="28"/>
      <c r="AT4748" s="28"/>
    </row>
    <row r="4749">
      <c r="A4749" s="14"/>
      <c r="B4749" s="15"/>
      <c r="C4749" s="16"/>
      <c r="D4749" s="15"/>
      <c r="F4749" s="15"/>
      <c r="G4749" s="26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28"/>
      <c r="AS4749" s="28"/>
      <c r="AT4749" s="28"/>
    </row>
    <row r="4750">
      <c r="A4750" s="14"/>
      <c r="B4750" s="15"/>
      <c r="C4750" s="16"/>
      <c r="D4750" s="15"/>
      <c r="F4750" s="15"/>
      <c r="G4750" s="26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28"/>
      <c r="AS4750" s="28"/>
      <c r="AT4750" s="28"/>
    </row>
    <row r="4751">
      <c r="A4751" s="14"/>
      <c r="B4751" s="15"/>
      <c r="C4751" s="16"/>
      <c r="D4751" s="15"/>
      <c r="F4751" s="15"/>
      <c r="G4751" s="26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28"/>
      <c r="AS4751" s="28"/>
      <c r="AT4751" s="28"/>
    </row>
    <row r="4752">
      <c r="A4752" s="14"/>
      <c r="B4752" s="15"/>
      <c r="C4752" s="16"/>
      <c r="D4752" s="15"/>
      <c r="F4752" s="15"/>
      <c r="G4752" s="26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28"/>
      <c r="AS4752" s="28"/>
      <c r="AT4752" s="28"/>
    </row>
    <row r="4753">
      <c r="A4753" s="14"/>
      <c r="B4753" s="15"/>
      <c r="C4753" s="16"/>
      <c r="D4753" s="15"/>
      <c r="F4753" s="15"/>
      <c r="G4753" s="26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28"/>
      <c r="AS4753" s="28"/>
      <c r="AT4753" s="28"/>
    </row>
    <row r="4754">
      <c r="A4754" s="14"/>
      <c r="B4754" s="15"/>
      <c r="C4754" s="16"/>
      <c r="D4754" s="15"/>
      <c r="F4754" s="15"/>
      <c r="G4754" s="26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28"/>
      <c r="AS4754" s="28"/>
      <c r="AT4754" s="28"/>
    </row>
    <row r="4755">
      <c r="A4755" s="14"/>
      <c r="B4755" s="15"/>
      <c r="C4755" s="16"/>
      <c r="D4755" s="15"/>
      <c r="F4755" s="15"/>
      <c r="G4755" s="26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28"/>
      <c r="AS4755" s="28"/>
      <c r="AT4755" s="28"/>
    </row>
    <row r="4756">
      <c r="A4756" s="14"/>
      <c r="B4756" s="15"/>
      <c r="C4756" s="16"/>
      <c r="D4756" s="15"/>
      <c r="F4756" s="15"/>
      <c r="G4756" s="26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28"/>
      <c r="AS4756" s="28"/>
      <c r="AT4756" s="28"/>
    </row>
    <row r="4757">
      <c r="A4757" s="14"/>
      <c r="B4757" s="15"/>
      <c r="C4757" s="16"/>
      <c r="D4757" s="15"/>
      <c r="F4757" s="15"/>
      <c r="G4757" s="26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28"/>
      <c r="AS4757" s="28"/>
      <c r="AT4757" s="28"/>
    </row>
    <row r="4758">
      <c r="A4758" s="14"/>
      <c r="B4758" s="15"/>
      <c r="C4758" s="16"/>
      <c r="D4758" s="15"/>
      <c r="F4758" s="15"/>
      <c r="G4758" s="26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28"/>
      <c r="AS4758" s="28"/>
      <c r="AT4758" s="28"/>
    </row>
    <row r="4759">
      <c r="A4759" s="14"/>
      <c r="B4759" s="15"/>
      <c r="C4759" s="16"/>
      <c r="D4759" s="15"/>
      <c r="F4759" s="15"/>
      <c r="G4759" s="26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28"/>
      <c r="AS4759" s="28"/>
      <c r="AT4759" s="28"/>
    </row>
    <row r="4760">
      <c r="A4760" s="14"/>
      <c r="B4760" s="15"/>
      <c r="C4760" s="16"/>
      <c r="D4760" s="15"/>
      <c r="F4760" s="15"/>
      <c r="G4760" s="26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28"/>
      <c r="AS4760" s="28"/>
      <c r="AT4760" s="28"/>
    </row>
    <row r="4761">
      <c r="A4761" s="14"/>
      <c r="B4761" s="15"/>
      <c r="C4761" s="16"/>
      <c r="D4761" s="15"/>
      <c r="F4761" s="15"/>
      <c r="G4761" s="26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28"/>
      <c r="AS4761" s="28"/>
      <c r="AT4761" s="28"/>
    </row>
    <row r="4762">
      <c r="A4762" s="14"/>
      <c r="B4762" s="15"/>
      <c r="C4762" s="16"/>
      <c r="D4762" s="15"/>
      <c r="F4762" s="15"/>
      <c r="G4762" s="26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28"/>
      <c r="AS4762" s="28"/>
      <c r="AT4762" s="28"/>
    </row>
    <row r="4763">
      <c r="A4763" s="14"/>
      <c r="B4763" s="15"/>
      <c r="C4763" s="16"/>
      <c r="D4763" s="15"/>
      <c r="F4763" s="15"/>
      <c r="G4763" s="26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28"/>
      <c r="AS4763" s="28"/>
      <c r="AT4763" s="28"/>
    </row>
    <row r="4764">
      <c r="A4764" s="14"/>
      <c r="B4764" s="15"/>
      <c r="C4764" s="16"/>
      <c r="D4764" s="15"/>
      <c r="F4764" s="15"/>
      <c r="G4764" s="26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28"/>
      <c r="AS4764" s="28"/>
      <c r="AT4764" s="28"/>
    </row>
    <row r="4765">
      <c r="A4765" s="14"/>
      <c r="B4765" s="15"/>
      <c r="C4765" s="16"/>
      <c r="D4765" s="15"/>
      <c r="F4765" s="15"/>
      <c r="G4765" s="26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28"/>
      <c r="AS4765" s="28"/>
      <c r="AT4765" s="28"/>
    </row>
    <row r="4766">
      <c r="A4766" s="14"/>
      <c r="B4766" s="15"/>
      <c r="C4766" s="16"/>
      <c r="D4766" s="15"/>
      <c r="F4766" s="15"/>
      <c r="G4766" s="26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28"/>
      <c r="AS4766" s="28"/>
      <c r="AT4766" s="28"/>
    </row>
    <row r="4767">
      <c r="A4767" s="14"/>
      <c r="B4767" s="15"/>
      <c r="C4767" s="16"/>
      <c r="D4767" s="15"/>
      <c r="F4767" s="15"/>
      <c r="G4767" s="26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28"/>
      <c r="AS4767" s="28"/>
      <c r="AT4767" s="28"/>
    </row>
    <row r="4768">
      <c r="A4768" s="14"/>
      <c r="B4768" s="15"/>
      <c r="C4768" s="16"/>
      <c r="D4768" s="15"/>
      <c r="F4768" s="15"/>
      <c r="G4768" s="26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28"/>
      <c r="AS4768" s="28"/>
      <c r="AT4768" s="28"/>
    </row>
    <row r="4769">
      <c r="A4769" s="14"/>
      <c r="B4769" s="15"/>
      <c r="C4769" s="16"/>
      <c r="D4769" s="15"/>
      <c r="F4769" s="15"/>
      <c r="G4769" s="26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28"/>
      <c r="AS4769" s="28"/>
      <c r="AT4769" s="28"/>
    </row>
    <row r="4770">
      <c r="A4770" s="14"/>
      <c r="B4770" s="15"/>
      <c r="C4770" s="16"/>
      <c r="D4770" s="15"/>
      <c r="F4770" s="15"/>
      <c r="G4770" s="26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28"/>
      <c r="AS4770" s="28"/>
      <c r="AT4770" s="28"/>
    </row>
    <row r="4771">
      <c r="A4771" s="14"/>
      <c r="B4771" s="15"/>
      <c r="C4771" s="16"/>
      <c r="D4771" s="15"/>
      <c r="F4771" s="15"/>
      <c r="G4771" s="26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28"/>
      <c r="AS4771" s="28"/>
      <c r="AT4771" s="28"/>
    </row>
    <row r="4772">
      <c r="A4772" s="14"/>
      <c r="B4772" s="15"/>
      <c r="C4772" s="16"/>
      <c r="D4772" s="15"/>
      <c r="F4772" s="15"/>
      <c r="G4772" s="26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28"/>
      <c r="AS4772" s="28"/>
      <c r="AT4772" s="28"/>
    </row>
    <row r="4773">
      <c r="A4773" s="14"/>
      <c r="B4773" s="15"/>
      <c r="C4773" s="16"/>
      <c r="D4773" s="15"/>
      <c r="F4773" s="15"/>
      <c r="G4773" s="26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28"/>
      <c r="AS4773" s="28"/>
      <c r="AT4773" s="28"/>
    </row>
    <row r="4774">
      <c r="A4774" s="14"/>
      <c r="B4774" s="15"/>
      <c r="C4774" s="16"/>
      <c r="D4774" s="15"/>
      <c r="F4774" s="15"/>
      <c r="G4774" s="26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28"/>
      <c r="AS4774" s="28"/>
      <c r="AT4774" s="28"/>
    </row>
    <row r="4775">
      <c r="A4775" s="14"/>
      <c r="B4775" s="15"/>
      <c r="C4775" s="16"/>
      <c r="D4775" s="15"/>
      <c r="F4775" s="15"/>
      <c r="G4775" s="26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28"/>
      <c r="AS4775" s="28"/>
      <c r="AT4775" s="28"/>
    </row>
    <row r="4776">
      <c r="A4776" s="14"/>
      <c r="B4776" s="15"/>
      <c r="C4776" s="16"/>
      <c r="D4776" s="15"/>
      <c r="F4776" s="15"/>
      <c r="G4776" s="26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28"/>
      <c r="AS4776" s="28"/>
      <c r="AT4776" s="28"/>
    </row>
    <row r="4777">
      <c r="A4777" s="14"/>
      <c r="B4777" s="15"/>
      <c r="C4777" s="16"/>
      <c r="D4777" s="15"/>
      <c r="F4777" s="15"/>
      <c r="G4777" s="26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28"/>
      <c r="AS4777" s="28"/>
      <c r="AT4777" s="28"/>
    </row>
    <row r="4778">
      <c r="A4778" s="14"/>
      <c r="B4778" s="15"/>
      <c r="C4778" s="16"/>
      <c r="D4778" s="15"/>
      <c r="F4778" s="15"/>
      <c r="G4778" s="26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28"/>
      <c r="AS4778" s="28"/>
      <c r="AT4778" s="28"/>
    </row>
    <row r="4779">
      <c r="A4779" s="14"/>
      <c r="B4779" s="15"/>
      <c r="C4779" s="16"/>
      <c r="D4779" s="15"/>
      <c r="F4779" s="15"/>
      <c r="G4779" s="26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28"/>
      <c r="AS4779" s="28"/>
      <c r="AT4779" s="28"/>
    </row>
    <row r="4780">
      <c r="A4780" s="14"/>
      <c r="B4780" s="15"/>
      <c r="C4780" s="16"/>
      <c r="D4780" s="15"/>
      <c r="F4780" s="15"/>
      <c r="G4780" s="26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28"/>
      <c r="AS4780" s="28"/>
      <c r="AT4780" s="28"/>
    </row>
    <row r="4781">
      <c r="A4781" s="14"/>
      <c r="B4781" s="15"/>
      <c r="C4781" s="16"/>
      <c r="D4781" s="15"/>
      <c r="F4781" s="15"/>
      <c r="G4781" s="26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28"/>
      <c r="AS4781" s="28"/>
      <c r="AT4781" s="28"/>
    </row>
    <row r="4782">
      <c r="A4782" s="14"/>
      <c r="B4782" s="15"/>
      <c r="C4782" s="16"/>
      <c r="D4782" s="15"/>
      <c r="F4782" s="15"/>
      <c r="G4782" s="26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28"/>
      <c r="AS4782" s="28"/>
      <c r="AT4782" s="28"/>
    </row>
    <row r="4783">
      <c r="A4783" s="14"/>
      <c r="B4783" s="15"/>
      <c r="C4783" s="16"/>
      <c r="D4783" s="15"/>
      <c r="F4783" s="15"/>
      <c r="G4783" s="26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28"/>
      <c r="AS4783" s="28"/>
      <c r="AT4783" s="28"/>
    </row>
    <row r="4784">
      <c r="A4784" s="14"/>
      <c r="B4784" s="15"/>
      <c r="C4784" s="16"/>
      <c r="D4784" s="15"/>
      <c r="F4784" s="15"/>
      <c r="G4784" s="26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28"/>
      <c r="AS4784" s="28"/>
      <c r="AT4784" s="28"/>
    </row>
    <row r="4785">
      <c r="A4785" s="14"/>
      <c r="B4785" s="15"/>
      <c r="C4785" s="16"/>
      <c r="D4785" s="15"/>
      <c r="F4785" s="15"/>
      <c r="G4785" s="26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28"/>
      <c r="AS4785" s="28"/>
      <c r="AT4785" s="28"/>
    </row>
    <row r="4786">
      <c r="A4786" s="14"/>
      <c r="B4786" s="15"/>
      <c r="C4786" s="16"/>
      <c r="D4786" s="15"/>
      <c r="F4786" s="15"/>
      <c r="G4786" s="26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28"/>
      <c r="AS4786" s="28"/>
      <c r="AT4786" s="28"/>
    </row>
    <row r="4787">
      <c r="A4787" s="14"/>
      <c r="B4787" s="15"/>
      <c r="C4787" s="16"/>
      <c r="D4787" s="15"/>
      <c r="F4787" s="15"/>
      <c r="G4787" s="26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28"/>
      <c r="AS4787" s="28"/>
      <c r="AT4787" s="28"/>
    </row>
    <row r="4788">
      <c r="A4788" s="14"/>
      <c r="B4788" s="15"/>
      <c r="C4788" s="16"/>
      <c r="D4788" s="15"/>
      <c r="F4788" s="15"/>
      <c r="G4788" s="26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28"/>
      <c r="AS4788" s="28"/>
      <c r="AT4788" s="28"/>
    </row>
    <row r="4789">
      <c r="A4789" s="14"/>
      <c r="B4789" s="15"/>
      <c r="C4789" s="16"/>
      <c r="D4789" s="15"/>
      <c r="F4789" s="15"/>
      <c r="G4789" s="26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28"/>
      <c r="AS4789" s="28"/>
      <c r="AT4789" s="28"/>
    </row>
    <row r="4790">
      <c r="A4790" s="14"/>
      <c r="B4790" s="15"/>
      <c r="C4790" s="16"/>
      <c r="D4790" s="15"/>
      <c r="F4790" s="15"/>
      <c r="G4790" s="26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28"/>
      <c r="AS4790" s="28"/>
      <c r="AT4790" s="28"/>
    </row>
    <row r="4791">
      <c r="A4791" s="14"/>
      <c r="B4791" s="15"/>
      <c r="C4791" s="16"/>
      <c r="D4791" s="15"/>
      <c r="F4791" s="15"/>
      <c r="G4791" s="26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28"/>
      <c r="AS4791" s="28"/>
      <c r="AT4791" s="28"/>
    </row>
    <row r="4792">
      <c r="A4792" s="14"/>
      <c r="B4792" s="15"/>
      <c r="C4792" s="16"/>
      <c r="D4792" s="15"/>
      <c r="F4792" s="15"/>
      <c r="G4792" s="26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28"/>
      <c r="AS4792" s="28"/>
      <c r="AT4792" s="28"/>
    </row>
    <row r="4793">
      <c r="A4793" s="14"/>
      <c r="B4793" s="15"/>
      <c r="C4793" s="16"/>
      <c r="D4793" s="15"/>
      <c r="F4793" s="15"/>
      <c r="G4793" s="26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28"/>
      <c r="AS4793" s="28"/>
      <c r="AT4793" s="28"/>
    </row>
    <row r="4794">
      <c r="A4794" s="14"/>
      <c r="B4794" s="15"/>
      <c r="C4794" s="16"/>
      <c r="D4794" s="15"/>
      <c r="F4794" s="15"/>
      <c r="G4794" s="26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28"/>
      <c r="AS4794" s="28"/>
      <c r="AT4794" s="28"/>
    </row>
    <row r="4795">
      <c r="A4795" s="14"/>
      <c r="B4795" s="15"/>
      <c r="C4795" s="16"/>
      <c r="D4795" s="15"/>
      <c r="F4795" s="15"/>
      <c r="G4795" s="26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28"/>
      <c r="AS4795" s="28"/>
      <c r="AT4795" s="28"/>
    </row>
    <row r="4796">
      <c r="A4796" s="14"/>
      <c r="B4796" s="15"/>
      <c r="C4796" s="16"/>
      <c r="D4796" s="15"/>
      <c r="F4796" s="15"/>
      <c r="G4796" s="26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28"/>
      <c r="AS4796" s="28"/>
      <c r="AT4796" s="28"/>
    </row>
    <row r="4797">
      <c r="A4797" s="14"/>
      <c r="B4797" s="15"/>
      <c r="C4797" s="16"/>
      <c r="D4797" s="15"/>
      <c r="F4797" s="15"/>
      <c r="G4797" s="26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28"/>
      <c r="AS4797" s="28"/>
      <c r="AT4797" s="28"/>
    </row>
    <row r="4798">
      <c r="A4798" s="14"/>
      <c r="B4798" s="15"/>
      <c r="C4798" s="16"/>
      <c r="D4798" s="15"/>
      <c r="F4798" s="15"/>
      <c r="G4798" s="26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28"/>
      <c r="AS4798" s="28"/>
      <c r="AT4798" s="28"/>
    </row>
    <row r="4799">
      <c r="A4799" s="14"/>
      <c r="B4799" s="15"/>
      <c r="C4799" s="16"/>
      <c r="D4799" s="15"/>
      <c r="F4799" s="15"/>
      <c r="G4799" s="26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28"/>
      <c r="AS4799" s="28"/>
      <c r="AT4799" s="28"/>
    </row>
    <row r="4800">
      <c r="A4800" s="14"/>
      <c r="B4800" s="15"/>
      <c r="C4800" s="16"/>
      <c r="D4800" s="15"/>
      <c r="F4800" s="15"/>
      <c r="G4800" s="26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28"/>
      <c r="AS4800" s="28"/>
      <c r="AT4800" s="28"/>
    </row>
    <row r="4801">
      <c r="A4801" s="14"/>
      <c r="B4801" s="15"/>
      <c r="C4801" s="16"/>
      <c r="D4801" s="15"/>
      <c r="F4801" s="15"/>
      <c r="G4801" s="26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28"/>
      <c r="AS4801" s="28"/>
      <c r="AT4801" s="28"/>
    </row>
    <row r="4802">
      <c r="A4802" s="14"/>
      <c r="B4802" s="15"/>
      <c r="C4802" s="16"/>
      <c r="D4802" s="15"/>
      <c r="F4802" s="15"/>
      <c r="G4802" s="26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28"/>
      <c r="AS4802" s="28"/>
      <c r="AT4802" s="28"/>
    </row>
    <row r="4803">
      <c r="A4803" s="14"/>
      <c r="B4803" s="15"/>
      <c r="C4803" s="16"/>
      <c r="D4803" s="15"/>
      <c r="F4803" s="15"/>
      <c r="G4803" s="26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28"/>
      <c r="AS4803" s="28"/>
      <c r="AT4803" s="28"/>
    </row>
    <row r="4804">
      <c r="A4804" s="14"/>
      <c r="B4804" s="15"/>
      <c r="C4804" s="16"/>
      <c r="D4804" s="15"/>
      <c r="F4804" s="15"/>
      <c r="G4804" s="26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28"/>
      <c r="AS4804" s="28"/>
      <c r="AT4804" s="28"/>
    </row>
    <row r="4805">
      <c r="A4805" s="14"/>
      <c r="B4805" s="15"/>
      <c r="C4805" s="16"/>
      <c r="D4805" s="15"/>
      <c r="F4805" s="15"/>
      <c r="G4805" s="26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28"/>
      <c r="AS4805" s="28"/>
      <c r="AT4805" s="28"/>
    </row>
    <row r="4806">
      <c r="A4806" s="14"/>
      <c r="B4806" s="15"/>
      <c r="C4806" s="16"/>
      <c r="D4806" s="15"/>
      <c r="F4806" s="15"/>
      <c r="G4806" s="26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28"/>
      <c r="AS4806" s="28"/>
      <c r="AT4806" s="28"/>
    </row>
    <row r="4807">
      <c r="A4807" s="14"/>
      <c r="B4807" s="15"/>
      <c r="C4807" s="16"/>
      <c r="D4807" s="15"/>
      <c r="F4807" s="15"/>
      <c r="G4807" s="26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28"/>
      <c r="AS4807" s="28"/>
      <c r="AT4807" s="28"/>
    </row>
    <row r="4808">
      <c r="A4808" s="14"/>
      <c r="B4808" s="15"/>
      <c r="C4808" s="16"/>
      <c r="D4808" s="15"/>
      <c r="F4808" s="15"/>
      <c r="G4808" s="26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28"/>
      <c r="AS4808" s="28"/>
      <c r="AT4808" s="28"/>
    </row>
    <row r="4809">
      <c r="A4809" s="14"/>
      <c r="B4809" s="15"/>
      <c r="C4809" s="16"/>
      <c r="D4809" s="15"/>
      <c r="F4809" s="15"/>
      <c r="G4809" s="26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28"/>
      <c r="AS4809" s="28"/>
      <c r="AT4809" s="28"/>
    </row>
    <row r="4810">
      <c r="A4810" s="14"/>
      <c r="B4810" s="15"/>
      <c r="C4810" s="16"/>
      <c r="D4810" s="15"/>
      <c r="F4810" s="15"/>
      <c r="G4810" s="26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28"/>
      <c r="AS4810" s="28"/>
      <c r="AT4810" s="28"/>
    </row>
    <row r="4811">
      <c r="A4811" s="14"/>
      <c r="B4811" s="15"/>
      <c r="C4811" s="16"/>
      <c r="D4811" s="15"/>
      <c r="F4811" s="15"/>
      <c r="G4811" s="26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28"/>
      <c r="AS4811" s="28"/>
      <c r="AT4811" s="28"/>
    </row>
    <row r="4812">
      <c r="A4812" s="14"/>
      <c r="B4812" s="15"/>
      <c r="C4812" s="16"/>
      <c r="D4812" s="15"/>
      <c r="F4812" s="15"/>
      <c r="G4812" s="26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28"/>
      <c r="AS4812" s="28"/>
      <c r="AT4812" s="28"/>
    </row>
    <row r="4813">
      <c r="A4813" s="14"/>
      <c r="B4813" s="15"/>
      <c r="C4813" s="16"/>
      <c r="D4813" s="15"/>
      <c r="F4813" s="15"/>
      <c r="G4813" s="26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28"/>
      <c r="AS4813" s="28"/>
      <c r="AT4813" s="28"/>
    </row>
    <row r="4814">
      <c r="A4814" s="14"/>
      <c r="B4814" s="15"/>
      <c r="C4814" s="16"/>
      <c r="D4814" s="15"/>
      <c r="F4814" s="15"/>
      <c r="G4814" s="26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28"/>
      <c r="AS4814" s="28"/>
      <c r="AT4814" s="28"/>
    </row>
    <row r="4815">
      <c r="A4815" s="14"/>
      <c r="B4815" s="15"/>
      <c r="C4815" s="16"/>
      <c r="D4815" s="15"/>
      <c r="F4815" s="15"/>
      <c r="G4815" s="26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28"/>
      <c r="AS4815" s="28"/>
      <c r="AT4815" s="28"/>
    </row>
    <row r="4816">
      <c r="A4816" s="14"/>
      <c r="B4816" s="15"/>
      <c r="C4816" s="16"/>
      <c r="D4816" s="15"/>
      <c r="F4816" s="15"/>
      <c r="G4816" s="26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28"/>
      <c r="AS4816" s="28"/>
      <c r="AT4816" s="28"/>
    </row>
    <row r="4817">
      <c r="A4817" s="14"/>
      <c r="B4817" s="15"/>
      <c r="C4817" s="16"/>
      <c r="D4817" s="15"/>
      <c r="F4817" s="15"/>
      <c r="G4817" s="26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28"/>
      <c r="AS4817" s="28"/>
      <c r="AT4817" s="28"/>
    </row>
    <row r="4818">
      <c r="A4818" s="14"/>
      <c r="B4818" s="15"/>
      <c r="C4818" s="16"/>
      <c r="D4818" s="15"/>
      <c r="F4818" s="15"/>
      <c r="G4818" s="26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28"/>
      <c r="AS4818" s="28"/>
      <c r="AT4818" s="28"/>
    </row>
    <row r="4819">
      <c r="A4819" s="14"/>
      <c r="B4819" s="15"/>
      <c r="C4819" s="16"/>
      <c r="D4819" s="15"/>
      <c r="F4819" s="15"/>
      <c r="G4819" s="26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28"/>
      <c r="AS4819" s="28"/>
      <c r="AT4819" s="28"/>
    </row>
    <row r="4820">
      <c r="A4820" s="14"/>
      <c r="B4820" s="15"/>
      <c r="C4820" s="16"/>
      <c r="D4820" s="15"/>
      <c r="F4820" s="15"/>
      <c r="G4820" s="26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28"/>
      <c r="AS4820" s="28"/>
      <c r="AT4820" s="28"/>
    </row>
    <row r="4821">
      <c r="A4821" s="14"/>
      <c r="B4821" s="15"/>
      <c r="C4821" s="16"/>
      <c r="D4821" s="15"/>
      <c r="F4821" s="15"/>
      <c r="G4821" s="26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28"/>
      <c r="AS4821" s="28"/>
      <c r="AT4821" s="28"/>
    </row>
    <row r="4822">
      <c r="A4822" s="14"/>
      <c r="B4822" s="15"/>
      <c r="C4822" s="16"/>
      <c r="D4822" s="15"/>
      <c r="F4822" s="15"/>
      <c r="G4822" s="26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28"/>
      <c r="AS4822" s="28"/>
      <c r="AT4822" s="28"/>
    </row>
    <row r="4823">
      <c r="A4823" s="14"/>
      <c r="B4823" s="15"/>
      <c r="C4823" s="16"/>
      <c r="D4823" s="15"/>
      <c r="F4823" s="15"/>
      <c r="G4823" s="26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28"/>
      <c r="AS4823" s="28"/>
      <c r="AT4823" s="28"/>
    </row>
    <row r="4824">
      <c r="A4824" s="14"/>
      <c r="B4824" s="15"/>
      <c r="C4824" s="16"/>
      <c r="D4824" s="15"/>
      <c r="F4824" s="15"/>
      <c r="G4824" s="26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28"/>
      <c r="AS4824" s="28"/>
      <c r="AT4824" s="28"/>
    </row>
    <row r="4825">
      <c r="A4825" s="14"/>
      <c r="B4825" s="15"/>
      <c r="C4825" s="16"/>
      <c r="D4825" s="15"/>
      <c r="F4825" s="15"/>
      <c r="G4825" s="26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28"/>
      <c r="AS4825" s="28"/>
      <c r="AT4825" s="28"/>
    </row>
    <row r="4826">
      <c r="A4826" s="14"/>
      <c r="B4826" s="15"/>
      <c r="C4826" s="16"/>
      <c r="D4826" s="15"/>
      <c r="F4826" s="15"/>
      <c r="G4826" s="26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28"/>
      <c r="AS4826" s="28"/>
      <c r="AT4826" s="28"/>
    </row>
    <row r="4827">
      <c r="A4827" s="14"/>
      <c r="B4827" s="15"/>
      <c r="C4827" s="16"/>
      <c r="D4827" s="15"/>
      <c r="F4827" s="15"/>
      <c r="G4827" s="26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28"/>
      <c r="AS4827" s="28"/>
      <c r="AT4827" s="28"/>
    </row>
    <row r="4828">
      <c r="A4828" s="14"/>
      <c r="B4828" s="15"/>
      <c r="C4828" s="16"/>
      <c r="D4828" s="15"/>
      <c r="F4828" s="15"/>
      <c r="G4828" s="26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28"/>
      <c r="AS4828" s="28"/>
      <c r="AT4828" s="28"/>
    </row>
    <row r="4829">
      <c r="A4829" s="14"/>
      <c r="B4829" s="15"/>
      <c r="C4829" s="16"/>
      <c r="D4829" s="15"/>
      <c r="F4829" s="15"/>
      <c r="G4829" s="26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28"/>
      <c r="AS4829" s="28"/>
      <c r="AT4829" s="28"/>
    </row>
    <row r="4830">
      <c r="A4830" s="14"/>
      <c r="B4830" s="15"/>
      <c r="C4830" s="16"/>
      <c r="D4830" s="15"/>
      <c r="F4830" s="15"/>
      <c r="G4830" s="26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28"/>
      <c r="AS4830" s="28"/>
      <c r="AT4830" s="28"/>
    </row>
    <row r="4831">
      <c r="A4831" s="14"/>
      <c r="B4831" s="15"/>
      <c r="C4831" s="16"/>
      <c r="D4831" s="15"/>
      <c r="F4831" s="15"/>
      <c r="G4831" s="26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28"/>
      <c r="AS4831" s="28"/>
      <c r="AT4831" s="28"/>
    </row>
    <row r="4832">
      <c r="A4832" s="14"/>
      <c r="B4832" s="15"/>
      <c r="C4832" s="16"/>
      <c r="D4832" s="15"/>
      <c r="F4832" s="15"/>
      <c r="G4832" s="26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28"/>
      <c r="AS4832" s="28"/>
      <c r="AT4832" s="28"/>
    </row>
    <row r="4833">
      <c r="A4833" s="14"/>
      <c r="B4833" s="15"/>
      <c r="C4833" s="16"/>
      <c r="D4833" s="15"/>
      <c r="F4833" s="15"/>
      <c r="G4833" s="26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28"/>
      <c r="AS4833" s="28"/>
      <c r="AT4833" s="28"/>
    </row>
    <row r="4834">
      <c r="A4834" s="14"/>
      <c r="B4834" s="15"/>
      <c r="C4834" s="16"/>
      <c r="D4834" s="15"/>
      <c r="F4834" s="15"/>
      <c r="G4834" s="26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28"/>
      <c r="AS4834" s="28"/>
      <c r="AT4834" s="28"/>
    </row>
    <row r="4835">
      <c r="A4835" s="14"/>
      <c r="B4835" s="15"/>
      <c r="C4835" s="16"/>
      <c r="D4835" s="15"/>
      <c r="F4835" s="15"/>
      <c r="G4835" s="26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28"/>
      <c r="AS4835" s="28"/>
      <c r="AT4835" s="28"/>
    </row>
    <row r="4836">
      <c r="A4836" s="14"/>
      <c r="B4836" s="15"/>
      <c r="C4836" s="16"/>
      <c r="D4836" s="15"/>
      <c r="F4836" s="15"/>
      <c r="G4836" s="26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28"/>
      <c r="AS4836" s="28"/>
      <c r="AT4836" s="28"/>
    </row>
    <row r="4837">
      <c r="A4837" s="14"/>
      <c r="B4837" s="15"/>
      <c r="C4837" s="16"/>
      <c r="D4837" s="15"/>
      <c r="F4837" s="15"/>
      <c r="G4837" s="26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28"/>
      <c r="AS4837" s="28"/>
      <c r="AT4837" s="28"/>
    </row>
    <row r="4838">
      <c r="A4838" s="14"/>
      <c r="B4838" s="15"/>
      <c r="C4838" s="16"/>
      <c r="D4838" s="15"/>
      <c r="F4838" s="15"/>
      <c r="G4838" s="26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28"/>
      <c r="AS4838" s="28"/>
      <c r="AT4838" s="28"/>
    </row>
    <row r="4839">
      <c r="A4839" s="14"/>
      <c r="B4839" s="15"/>
      <c r="C4839" s="16"/>
      <c r="D4839" s="15"/>
      <c r="F4839" s="15"/>
      <c r="G4839" s="26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28"/>
      <c r="AS4839" s="28"/>
      <c r="AT4839" s="28"/>
    </row>
    <row r="4840">
      <c r="A4840" s="14"/>
      <c r="B4840" s="15"/>
      <c r="C4840" s="16"/>
      <c r="D4840" s="15"/>
      <c r="F4840" s="15"/>
      <c r="G4840" s="26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28"/>
      <c r="AS4840" s="28"/>
      <c r="AT4840" s="28"/>
    </row>
    <row r="4841">
      <c r="A4841" s="14"/>
      <c r="B4841" s="15"/>
      <c r="C4841" s="16"/>
      <c r="D4841" s="15"/>
      <c r="F4841" s="15"/>
      <c r="G4841" s="26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28"/>
      <c r="AS4841" s="28"/>
      <c r="AT4841" s="28"/>
    </row>
    <row r="4842">
      <c r="A4842" s="14"/>
      <c r="B4842" s="15"/>
      <c r="C4842" s="16"/>
      <c r="D4842" s="15"/>
      <c r="F4842" s="15"/>
      <c r="G4842" s="26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28"/>
      <c r="AS4842" s="28"/>
      <c r="AT4842" s="28"/>
    </row>
    <row r="4843">
      <c r="A4843" s="14"/>
      <c r="B4843" s="15"/>
      <c r="C4843" s="16"/>
      <c r="D4843" s="15"/>
      <c r="F4843" s="15"/>
      <c r="G4843" s="26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28"/>
      <c r="AS4843" s="28"/>
      <c r="AT4843" s="28"/>
    </row>
    <row r="4844">
      <c r="A4844" s="14"/>
      <c r="B4844" s="15"/>
      <c r="C4844" s="16"/>
      <c r="D4844" s="15"/>
      <c r="F4844" s="15"/>
      <c r="G4844" s="26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28"/>
      <c r="AS4844" s="28"/>
      <c r="AT4844" s="28"/>
    </row>
    <row r="4845">
      <c r="A4845" s="14"/>
      <c r="B4845" s="15"/>
      <c r="C4845" s="16"/>
      <c r="D4845" s="15"/>
      <c r="F4845" s="15"/>
      <c r="G4845" s="26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28"/>
      <c r="AS4845" s="28"/>
      <c r="AT4845" s="28"/>
    </row>
    <row r="4846">
      <c r="A4846" s="14"/>
      <c r="B4846" s="15"/>
      <c r="C4846" s="16"/>
      <c r="D4846" s="15"/>
      <c r="F4846" s="15"/>
      <c r="G4846" s="26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28"/>
      <c r="AS4846" s="28"/>
      <c r="AT4846" s="28"/>
    </row>
    <row r="4847">
      <c r="A4847" s="14"/>
      <c r="B4847" s="15"/>
      <c r="C4847" s="16"/>
      <c r="D4847" s="15"/>
      <c r="F4847" s="15"/>
      <c r="G4847" s="26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28"/>
      <c r="AS4847" s="28"/>
      <c r="AT4847" s="28"/>
    </row>
    <row r="4848">
      <c r="A4848" s="14"/>
      <c r="B4848" s="15"/>
      <c r="C4848" s="16"/>
      <c r="D4848" s="15"/>
      <c r="F4848" s="15"/>
      <c r="G4848" s="26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28"/>
      <c r="AS4848" s="28"/>
      <c r="AT4848" s="28"/>
    </row>
    <row r="4849">
      <c r="A4849" s="14"/>
      <c r="B4849" s="15"/>
      <c r="C4849" s="16"/>
      <c r="D4849" s="15"/>
      <c r="F4849" s="15"/>
      <c r="G4849" s="26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28"/>
      <c r="AS4849" s="28"/>
      <c r="AT4849" s="28"/>
    </row>
    <row r="4850">
      <c r="A4850" s="14"/>
      <c r="B4850" s="15"/>
      <c r="C4850" s="16"/>
      <c r="D4850" s="15"/>
      <c r="F4850" s="15"/>
      <c r="G4850" s="26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28"/>
      <c r="AS4850" s="28"/>
      <c r="AT4850" s="28"/>
    </row>
    <row r="4851">
      <c r="A4851" s="14"/>
      <c r="B4851" s="15"/>
      <c r="C4851" s="16"/>
      <c r="D4851" s="15"/>
      <c r="F4851" s="15"/>
      <c r="G4851" s="26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28"/>
      <c r="AS4851" s="28"/>
      <c r="AT4851" s="28"/>
    </row>
    <row r="4852">
      <c r="A4852" s="14"/>
      <c r="B4852" s="15"/>
      <c r="C4852" s="16"/>
      <c r="D4852" s="15"/>
      <c r="F4852" s="15"/>
      <c r="G4852" s="26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28"/>
      <c r="AS4852" s="28"/>
      <c r="AT4852" s="28"/>
    </row>
    <row r="4853">
      <c r="A4853" s="14"/>
      <c r="B4853" s="15"/>
      <c r="C4853" s="16"/>
      <c r="D4853" s="15"/>
      <c r="F4853" s="15"/>
      <c r="G4853" s="26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28"/>
      <c r="AS4853" s="28"/>
      <c r="AT4853" s="28"/>
    </row>
    <row r="4854">
      <c r="A4854" s="14"/>
      <c r="B4854" s="15"/>
      <c r="C4854" s="16"/>
      <c r="D4854" s="15"/>
      <c r="F4854" s="15"/>
      <c r="G4854" s="26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28"/>
      <c r="AS4854" s="28"/>
      <c r="AT4854" s="28"/>
    </row>
    <row r="4855">
      <c r="A4855" s="14"/>
      <c r="B4855" s="15"/>
      <c r="C4855" s="16"/>
      <c r="D4855" s="15"/>
      <c r="F4855" s="15"/>
      <c r="G4855" s="26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28"/>
      <c r="AS4855" s="28"/>
      <c r="AT4855" s="28"/>
    </row>
    <row r="4856">
      <c r="A4856" s="14"/>
      <c r="B4856" s="15"/>
      <c r="C4856" s="16"/>
      <c r="D4856" s="15"/>
      <c r="F4856" s="15"/>
      <c r="G4856" s="26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28"/>
      <c r="AS4856" s="28"/>
      <c r="AT4856" s="28"/>
    </row>
    <row r="4857">
      <c r="A4857" s="14"/>
      <c r="B4857" s="15"/>
      <c r="C4857" s="16"/>
      <c r="D4857" s="15"/>
      <c r="F4857" s="15"/>
      <c r="G4857" s="26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28"/>
      <c r="AS4857" s="28"/>
      <c r="AT4857" s="28"/>
    </row>
    <row r="4858">
      <c r="A4858" s="14"/>
      <c r="B4858" s="15"/>
      <c r="C4858" s="16"/>
      <c r="D4858" s="15"/>
      <c r="F4858" s="15"/>
      <c r="G4858" s="26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28"/>
      <c r="AS4858" s="28"/>
      <c r="AT4858" s="28"/>
    </row>
    <row r="4859">
      <c r="A4859" s="14"/>
      <c r="B4859" s="15"/>
      <c r="C4859" s="16"/>
      <c r="D4859" s="15"/>
      <c r="F4859" s="15"/>
      <c r="G4859" s="26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28"/>
      <c r="AS4859" s="28"/>
      <c r="AT4859" s="28"/>
    </row>
    <row r="4860">
      <c r="A4860" s="14"/>
      <c r="B4860" s="15"/>
      <c r="C4860" s="16"/>
      <c r="D4860" s="15"/>
      <c r="F4860" s="15"/>
      <c r="G4860" s="26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28"/>
      <c r="AS4860" s="28"/>
      <c r="AT4860" s="28"/>
    </row>
    <row r="4861">
      <c r="A4861" s="14"/>
      <c r="B4861" s="15"/>
      <c r="C4861" s="16"/>
      <c r="D4861" s="15"/>
      <c r="F4861" s="15"/>
      <c r="G4861" s="26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28"/>
      <c r="AS4861" s="28"/>
      <c r="AT4861" s="28"/>
    </row>
    <row r="4862">
      <c r="A4862" s="14"/>
      <c r="B4862" s="15"/>
      <c r="C4862" s="16"/>
      <c r="D4862" s="15"/>
      <c r="F4862" s="15"/>
      <c r="G4862" s="26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28"/>
      <c r="AS4862" s="28"/>
      <c r="AT4862" s="28"/>
    </row>
    <row r="4863">
      <c r="A4863" s="14"/>
      <c r="B4863" s="15"/>
      <c r="C4863" s="16"/>
      <c r="D4863" s="15"/>
      <c r="F4863" s="15"/>
      <c r="G4863" s="26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28"/>
      <c r="AS4863" s="28"/>
      <c r="AT4863" s="28"/>
    </row>
    <row r="4864">
      <c r="A4864" s="14"/>
      <c r="B4864" s="15"/>
      <c r="C4864" s="16"/>
      <c r="D4864" s="15"/>
      <c r="F4864" s="15"/>
      <c r="G4864" s="26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28"/>
      <c r="AS4864" s="28"/>
      <c r="AT4864" s="28"/>
    </row>
    <row r="4865">
      <c r="A4865" s="14"/>
      <c r="B4865" s="15"/>
      <c r="C4865" s="16"/>
      <c r="D4865" s="15"/>
      <c r="F4865" s="15"/>
      <c r="G4865" s="26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28"/>
      <c r="AS4865" s="28"/>
      <c r="AT4865" s="28"/>
    </row>
    <row r="4866">
      <c r="A4866" s="14"/>
      <c r="B4866" s="15"/>
      <c r="C4866" s="16"/>
      <c r="D4866" s="15"/>
      <c r="F4866" s="15"/>
      <c r="G4866" s="26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28"/>
      <c r="AS4866" s="28"/>
      <c r="AT4866" s="28"/>
    </row>
    <row r="4867">
      <c r="A4867" s="14"/>
      <c r="B4867" s="15"/>
      <c r="C4867" s="16"/>
      <c r="D4867" s="15"/>
      <c r="F4867" s="15"/>
      <c r="G4867" s="26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28"/>
      <c r="AS4867" s="28"/>
      <c r="AT4867" s="28"/>
    </row>
    <row r="4868">
      <c r="A4868" s="14"/>
      <c r="B4868" s="15"/>
      <c r="C4868" s="16"/>
      <c r="D4868" s="15"/>
      <c r="F4868" s="15"/>
      <c r="G4868" s="26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28"/>
      <c r="AS4868" s="28"/>
      <c r="AT4868" s="28"/>
    </row>
    <row r="4869">
      <c r="A4869" s="14"/>
      <c r="B4869" s="15"/>
      <c r="C4869" s="16"/>
      <c r="D4869" s="15"/>
      <c r="F4869" s="15"/>
      <c r="G4869" s="26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28"/>
      <c r="AS4869" s="28"/>
      <c r="AT4869" s="28"/>
    </row>
    <row r="4870">
      <c r="A4870" s="14"/>
      <c r="B4870" s="15"/>
      <c r="C4870" s="16"/>
      <c r="D4870" s="15"/>
      <c r="F4870" s="15"/>
      <c r="G4870" s="26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28"/>
      <c r="AS4870" s="28"/>
      <c r="AT4870" s="28"/>
    </row>
    <row r="4871">
      <c r="A4871" s="14"/>
      <c r="B4871" s="15"/>
      <c r="C4871" s="16"/>
      <c r="D4871" s="15"/>
      <c r="F4871" s="15"/>
      <c r="G4871" s="26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28"/>
      <c r="AS4871" s="28"/>
      <c r="AT4871" s="28"/>
    </row>
    <row r="4872">
      <c r="A4872" s="14"/>
      <c r="B4872" s="15"/>
      <c r="C4872" s="16"/>
      <c r="D4872" s="15"/>
      <c r="F4872" s="15"/>
      <c r="G4872" s="26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28"/>
      <c r="AS4872" s="28"/>
      <c r="AT4872" s="28"/>
    </row>
    <row r="4873">
      <c r="A4873" s="14"/>
      <c r="B4873" s="15"/>
      <c r="C4873" s="16"/>
      <c r="D4873" s="15"/>
      <c r="F4873" s="15"/>
      <c r="G4873" s="26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28"/>
      <c r="AS4873" s="28"/>
      <c r="AT4873" s="28"/>
    </row>
    <row r="4874">
      <c r="A4874" s="14"/>
      <c r="B4874" s="15"/>
      <c r="C4874" s="16"/>
      <c r="D4874" s="15"/>
      <c r="F4874" s="15"/>
      <c r="G4874" s="26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28"/>
      <c r="AS4874" s="28"/>
      <c r="AT4874" s="28"/>
    </row>
    <row r="4875">
      <c r="A4875" s="14"/>
      <c r="B4875" s="15"/>
      <c r="C4875" s="16"/>
      <c r="D4875" s="15"/>
      <c r="F4875" s="15"/>
      <c r="G4875" s="26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28"/>
      <c r="AS4875" s="28"/>
      <c r="AT4875" s="28"/>
    </row>
    <row r="4876">
      <c r="A4876" s="14"/>
      <c r="B4876" s="15"/>
      <c r="C4876" s="16"/>
      <c r="D4876" s="15"/>
      <c r="F4876" s="15"/>
      <c r="G4876" s="26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28"/>
      <c r="AS4876" s="28"/>
      <c r="AT4876" s="28"/>
    </row>
    <row r="4877">
      <c r="A4877" s="14"/>
      <c r="B4877" s="15"/>
      <c r="C4877" s="16"/>
      <c r="D4877" s="15"/>
      <c r="F4877" s="15"/>
      <c r="G4877" s="26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28"/>
      <c r="AS4877" s="28"/>
      <c r="AT4877" s="28"/>
    </row>
    <row r="4878">
      <c r="A4878" s="14"/>
      <c r="B4878" s="15"/>
      <c r="C4878" s="16"/>
      <c r="D4878" s="15"/>
      <c r="F4878" s="15"/>
      <c r="G4878" s="26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28"/>
      <c r="AS4878" s="28"/>
      <c r="AT4878" s="28"/>
    </row>
    <row r="4879">
      <c r="A4879" s="14"/>
      <c r="B4879" s="15"/>
      <c r="C4879" s="16"/>
      <c r="D4879" s="15"/>
      <c r="F4879" s="15"/>
      <c r="G4879" s="26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28"/>
      <c r="AS4879" s="28"/>
      <c r="AT4879" s="28"/>
    </row>
    <row r="4880">
      <c r="A4880" s="14"/>
      <c r="B4880" s="15"/>
      <c r="C4880" s="16"/>
      <c r="D4880" s="15"/>
      <c r="F4880" s="15"/>
      <c r="G4880" s="26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28"/>
      <c r="AS4880" s="28"/>
      <c r="AT4880" s="28"/>
    </row>
    <row r="4881">
      <c r="A4881" s="14"/>
      <c r="B4881" s="15"/>
      <c r="C4881" s="16"/>
      <c r="D4881" s="15"/>
      <c r="F4881" s="15"/>
      <c r="G4881" s="26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28"/>
      <c r="AS4881" s="28"/>
      <c r="AT4881" s="28"/>
    </row>
    <row r="4882">
      <c r="A4882" s="14"/>
      <c r="B4882" s="15"/>
      <c r="C4882" s="16"/>
      <c r="D4882" s="15"/>
      <c r="F4882" s="15"/>
      <c r="G4882" s="26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28"/>
      <c r="AS4882" s="28"/>
      <c r="AT4882" s="28"/>
    </row>
    <row r="4883">
      <c r="A4883" s="14"/>
      <c r="B4883" s="15"/>
      <c r="C4883" s="16"/>
      <c r="D4883" s="15"/>
      <c r="F4883" s="15"/>
      <c r="G4883" s="26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28"/>
      <c r="AS4883" s="28"/>
      <c r="AT4883" s="28"/>
    </row>
    <row r="4884">
      <c r="A4884" s="14"/>
      <c r="B4884" s="15"/>
      <c r="C4884" s="16"/>
      <c r="D4884" s="15"/>
      <c r="F4884" s="15"/>
      <c r="G4884" s="26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28"/>
      <c r="AS4884" s="28"/>
      <c r="AT4884" s="28"/>
    </row>
    <row r="4885">
      <c r="A4885" s="14"/>
      <c r="B4885" s="15"/>
      <c r="C4885" s="16"/>
      <c r="D4885" s="15"/>
      <c r="F4885" s="15"/>
      <c r="G4885" s="26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28"/>
      <c r="AS4885" s="28"/>
      <c r="AT4885" s="28"/>
    </row>
    <row r="4886">
      <c r="A4886" s="14"/>
      <c r="B4886" s="15"/>
      <c r="C4886" s="16"/>
      <c r="D4886" s="15"/>
      <c r="F4886" s="15"/>
      <c r="G4886" s="26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28"/>
      <c r="AS4886" s="28"/>
      <c r="AT4886" s="28"/>
    </row>
    <row r="4887">
      <c r="A4887" s="14"/>
      <c r="B4887" s="15"/>
      <c r="C4887" s="16"/>
      <c r="D4887" s="15"/>
      <c r="F4887" s="15"/>
      <c r="G4887" s="26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28"/>
      <c r="AS4887" s="28"/>
      <c r="AT4887" s="28"/>
    </row>
    <row r="4888">
      <c r="A4888" s="14"/>
      <c r="B4888" s="15"/>
      <c r="C4888" s="16"/>
      <c r="D4888" s="15"/>
      <c r="F4888" s="15"/>
      <c r="G4888" s="26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28"/>
      <c r="AS4888" s="28"/>
      <c r="AT4888" s="28"/>
    </row>
    <row r="4889">
      <c r="A4889" s="14"/>
      <c r="B4889" s="15"/>
      <c r="C4889" s="16"/>
      <c r="D4889" s="15"/>
      <c r="F4889" s="15"/>
      <c r="G4889" s="26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28"/>
      <c r="AS4889" s="28"/>
      <c r="AT4889" s="28"/>
    </row>
    <row r="4890">
      <c r="A4890" s="14"/>
      <c r="B4890" s="15"/>
      <c r="C4890" s="16"/>
      <c r="D4890" s="15"/>
      <c r="F4890" s="15"/>
      <c r="G4890" s="26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28"/>
      <c r="AS4890" s="28"/>
      <c r="AT4890" s="28"/>
    </row>
    <row r="4891">
      <c r="A4891" s="14"/>
      <c r="B4891" s="15"/>
      <c r="C4891" s="16"/>
      <c r="D4891" s="15"/>
      <c r="F4891" s="15"/>
      <c r="G4891" s="26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28"/>
      <c r="AS4891" s="28"/>
      <c r="AT4891" s="28"/>
    </row>
    <row r="4892">
      <c r="A4892" s="14"/>
      <c r="B4892" s="15"/>
      <c r="C4892" s="16"/>
      <c r="D4892" s="15"/>
      <c r="F4892" s="15"/>
      <c r="G4892" s="26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28"/>
      <c r="AS4892" s="28"/>
      <c r="AT4892" s="28"/>
    </row>
    <row r="4893">
      <c r="A4893" s="14"/>
      <c r="B4893" s="15"/>
      <c r="C4893" s="16"/>
      <c r="D4893" s="15"/>
      <c r="F4893" s="15"/>
      <c r="G4893" s="26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28"/>
      <c r="AS4893" s="28"/>
      <c r="AT4893" s="28"/>
    </row>
    <row r="4894">
      <c r="A4894" s="14"/>
      <c r="B4894" s="15"/>
      <c r="C4894" s="16"/>
      <c r="D4894" s="15"/>
      <c r="F4894" s="15"/>
      <c r="G4894" s="26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28"/>
      <c r="AS4894" s="28"/>
      <c r="AT4894" s="28"/>
    </row>
    <row r="4895">
      <c r="A4895" s="14"/>
      <c r="B4895" s="15"/>
      <c r="C4895" s="16"/>
      <c r="D4895" s="15"/>
      <c r="F4895" s="15"/>
      <c r="G4895" s="26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28"/>
      <c r="AS4895" s="28"/>
      <c r="AT4895" s="28"/>
    </row>
    <row r="4896">
      <c r="A4896" s="14"/>
      <c r="B4896" s="15"/>
      <c r="C4896" s="16"/>
      <c r="D4896" s="15"/>
      <c r="F4896" s="15"/>
      <c r="G4896" s="26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28"/>
      <c r="AS4896" s="28"/>
      <c r="AT4896" s="28"/>
    </row>
    <row r="4897">
      <c r="A4897" s="14"/>
      <c r="B4897" s="15"/>
      <c r="C4897" s="16"/>
      <c r="D4897" s="15"/>
      <c r="F4897" s="15"/>
      <c r="G4897" s="26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28"/>
      <c r="AS4897" s="28"/>
      <c r="AT4897" s="28"/>
    </row>
    <row r="4898">
      <c r="A4898" s="14"/>
      <c r="B4898" s="15"/>
      <c r="C4898" s="16"/>
      <c r="D4898" s="15"/>
      <c r="F4898" s="15"/>
      <c r="G4898" s="26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28"/>
      <c r="AS4898" s="28"/>
      <c r="AT4898" s="28"/>
    </row>
    <row r="4899">
      <c r="A4899" s="14"/>
      <c r="B4899" s="15"/>
      <c r="C4899" s="16"/>
      <c r="D4899" s="15"/>
      <c r="F4899" s="15"/>
      <c r="G4899" s="26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28"/>
      <c r="AS4899" s="28"/>
      <c r="AT4899" s="28"/>
    </row>
    <row r="4900">
      <c r="A4900" s="14"/>
      <c r="B4900" s="15"/>
      <c r="C4900" s="16"/>
      <c r="D4900" s="15"/>
      <c r="F4900" s="15"/>
      <c r="G4900" s="26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28"/>
      <c r="AS4900" s="28"/>
      <c r="AT4900" s="28"/>
    </row>
    <row r="4901">
      <c r="A4901" s="14"/>
      <c r="B4901" s="15"/>
      <c r="C4901" s="16"/>
      <c r="D4901" s="15"/>
      <c r="F4901" s="15"/>
      <c r="G4901" s="26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28"/>
      <c r="AS4901" s="28"/>
      <c r="AT4901" s="28"/>
    </row>
    <row r="4902">
      <c r="A4902" s="14"/>
      <c r="B4902" s="15"/>
      <c r="C4902" s="16"/>
      <c r="D4902" s="15"/>
      <c r="F4902" s="15"/>
      <c r="G4902" s="26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28"/>
      <c r="AS4902" s="28"/>
      <c r="AT4902" s="28"/>
    </row>
    <row r="4903">
      <c r="A4903" s="14"/>
      <c r="B4903" s="15"/>
      <c r="C4903" s="16"/>
      <c r="D4903" s="15"/>
      <c r="F4903" s="15"/>
      <c r="G4903" s="26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28"/>
      <c r="AS4903" s="28"/>
      <c r="AT4903" s="28"/>
    </row>
    <row r="4904">
      <c r="A4904" s="14"/>
      <c r="B4904" s="15"/>
      <c r="C4904" s="16"/>
      <c r="D4904" s="15"/>
      <c r="F4904" s="15"/>
      <c r="G4904" s="26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28"/>
      <c r="AS4904" s="28"/>
      <c r="AT4904" s="28"/>
    </row>
    <row r="4905">
      <c r="A4905" s="14"/>
      <c r="B4905" s="15"/>
      <c r="C4905" s="16"/>
      <c r="D4905" s="15"/>
      <c r="F4905" s="15"/>
      <c r="G4905" s="26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28"/>
      <c r="AS4905" s="28"/>
      <c r="AT4905" s="28"/>
    </row>
    <row r="4906">
      <c r="A4906" s="14"/>
      <c r="B4906" s="15"/>
      <c r="C4906" s="16"/>
      <c r="D4906" s="15"/>
      <c r="F4906" s="15"/>
      <c r="G4906" s="26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28"/>
      <c r="AS4906" s="28"/>
      <c r="AT4906" s="28"/>
    </row>
    <row r="4907">
      <c r="A4907" s="14"/>
      <c r="B4907" s="15"/>
      <c r="C4907" s="16"/>
      <c r="D4907" s="15"/>
      <c r="F4907" s="15"/>
      <c r="G4907" s="26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28"/>
      <c r="AS4907" s="28"/>
      <c r="AT4907" s="28"/>
    </row>
    <row r="4908">
      <c r="A4908" s="14"/>
      <c r="B4908" s="15"/>
      <c r="C4908" s="16"/>
      <c r="D4908" s="15"/>
      <c r="F4908" s="15"/>
      <c r="G4908" s="26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28"/>
      <c r="AS4908" s="28"/>
      <c r="AT4908" s="28"/>
    </row>
    <row r="4909">
      <c r="A4909" s="14"/>
      <c r="B4909" s="15"/>
      <c r="C4909" s="16"/>
      <c r="D4909" s="15"/>
      <c r="F4909" s="15"/>
      <c r="G4909" s="26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28"/>
      <c r="AS4909" s="28"/>
      <c r="AT4909" s="28"/>
    </row>
    <row r="4910">
      <c r="A4910" s="14"/>
      <c r="B4910" s="15"/>
      <c r="C4910" s="16"/>
      <c r="D4910" s="15"/>
      <c r="F4910" s="15"/>
      <c r="G4910" s="26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28"/>
      <c r="AS4910" s="28"/>
      <c r="AT4910" s="28"/>
    </row>
    <row r="4911">
      <c r="A4911" s="14"/>
      <c r="B4911" s="15"/>
      <c r="C4911" s="16"/>
      <c r="D4911" s="15"/>
      <c r="F4911" s="15"/>
      <c r="G4911" s="26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28"/>
      <c r="AS4911" s="28"/>
      <c r="AT4911" s="28"/>
    </row>
    <row r="4912">
      <c r="A4912" s="14"/>
      <c r="B4912" s="15"/>
      <c r="C4912" s="16"/>
      <c r="D4912" s="15"/>
      <c r="F4912" s="15"/>
      <c r="G4912" s="26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28"/>
      <c r="AS4912" s="28"/>
      <c r="AT4912" s="28"/>
    </row>
    <row r="4913">
      <c r="A4913" s="14"/>
      <c r="B4913" s="15"/>
      <c r="C4913" s="16"/>
      <c r="D4913" s="15"/>
      <c r="F4913" s="15"/>
      <c r="G4913" s="26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28"/>
      <c r="AS4913" s="28"/>
      <c r="AT4913" s="28"/>
    </row>
    <row r="4914">
      <c r="A4914" s="14"/>
      <c r="B4914" s="15"/>
      <c r="C4914" s="16"/>
      <c r="D4914" s="15"/>
      <c r="F4914" s="15"/>
      <c r="G4914" s="26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28"/>
      <c r="AS4914" s="28"/>
      <c r="AT4914" s="28"/>
    </row>
    <row r="4915">
      <c r="A4915" s="14"/>
      <c r="B4915" s="15"/>
      <c r="C4915" s="16"/>
      <c r="D4915" s="15"/>
      <c r="F4915" s="15"/>
      <c r="G4915" s="26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28"/>
      <c r="AS4915" s="28"/>
      <c r="AT4915" s="28"/>
    </row>
    <row r="4916">
      <c r="A4916" s="14"/>
      <c r="B4916" s="15"/>
      <c r="C4916" s="16"/>
      <c r="D4916" s="15"/>
      <c r="F4916" s="15"/>
      <c r="G4916" s="26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28"/>
      <c r="AS4916" s="28"/>
      <c r="AT4916" s="28"/>
    </row>
    <row r="4917">
      <c r="A4917" s="14"/>
      <c r="B4917" s="15"/>
      <c r="C4917" s="16"/>
      <c r="D4917" s="15"/>
      <c r="F4917" s="15"/>
      <c r="G4917" s="26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28"/>
      <c r="AS4917" s="28"/>
      <c r="AT4917" s="28"/>
    </row>
    <row r="4918">
      <c r="A4918" s="14"/>
      <c r="B4918" s="15"/>
      <c r="C4918" s="16"/>
      <c r="D4918" s="15"/>
      <c r="F4918" s="15"/>
      <c r="G4918" s="26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28"/>
      <c r="AS4918" s="28"/>
      <c r="AT4918" s="28"/>
    </row>
    <row r="4919">
      <c r="A4919" s="14"/>
      <c r="B4919" s="15"/>
      <c r="C4919" s="16"/>
      <c r="D4919" s="15"/>
      <c r="F4919" s="15"/>
      <c r="G4919" s="26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28"/>
      <c r="AS4919" s="28"/>
      <c r="AT4919" s="28"/>
    </row>
    <row r="4920">
      <c r="A4920" s="14"/>
      <c r="B4920" s="15"/>
      <c r="C4920" s="16"/>
      <c r="D4920" s="15"/>
      <c r="F4920" s="15"/>
      <c r="G4920" s="26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28"/>
      <c r="AS4920" s="28"/>
      <c r="AT4920" s="28"/>
    </row>
    <row r="4921">
      <c r="A4921" s="14"/>
      <c r="B4921" s="15"/>
      <c r="C4921" s="16"/>
      <c r="D4921" s="15"/>
      <c r="F4921" s="15"/>
      <c r="G4921" s="26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28"/>
      <c r="AS4921" s="28"/>
      <c r="AT4921" s="28"/>
    </row>
    <row r="4922">
      <c r="A4922" s="14"/>
      <c r="B4922" s="15"/>
      <c r="C4922" s="16"/>
      <c r="D4922" s="15"/>
      <c r="F4922" s="15"/>
      <c r="G4922" s="26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28"/>
      <c r="AS4922" s="28"/>
      <c r="AT4922" s="28"/>
    </row>
    <row r="4923">
      <c r="A4923" s="14"/>
      <c r="B4923" s="15"/>
      <c r="C4923" s="16"/>
      <c r="D4923" s="15"/>
      <c r="F4923" s="15"/>
      <c r="G4923" s="26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28"/>
      <c r="AS4923" s="28"/>
      <c r="AT4923" s="28"/>
    </row>
    <row r="4924">
      <c r="A4924" s="14"/>
      <c r="B4924" s="15"/>
      <c r="C4924" s="16"/>
      <c r="D4924" s="15"/>
      <c r="F4924" s="15"/>
      <c r="G4924" s="26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28"/>
      <c r="AS4924" s="28"/>
      <c r="AT4924" s="28"/>
    </row>
    <row r="4925">
      <c r="A4925" s="14"/>
      <c r="B4925" s="15"/>
      <c r="C4925" s="16"/>
      <c r="D4925" s="15"/>
      <c r="F4925" s="15"/>
      <c r="G4925" s="26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28"/>
      <c r="AS4925" s="28"/>
      <c r="AT4925" s="28"/>
    </row>
    <row r="4926">
      <c r="A4926" s="14"/>
      <c r="B4926" s="15"/>
      <c r="C4926" s="16"/>
      <c r="D4926" s="15"/>
      <c r="F4926" s="15"/>
      <c r="G4926" s="26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28"/>
      <c r="AS4926" s="28"/>
      <c r="AT4926" s="28"/>
    </row>
    <row r="4927">
      <c r="A4927" s="14"/>
      <c r="B4927" s="15"/>
      <c r="C4927" s="16"/>
      <c r="D4927" s="15"/>
      <c r="F4927" s="15"/>
      <c r="G4927" s="26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28"/>
      <c r="AS4927" s="28"/>
      <c r="AT4927" s="28"/>
    </row>
    <row r="4928">
      <c r="A4928" s="14"/>
      <c r="B4928" s="15"/>
      <c r="C4928" s="16"/>
      <c r="D4928" s="15"/>
      <c r="F4928" s="15"/>
      <c r="G4928" s="26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28"/>
      <c r="AS4928" s="28"/>
      <c r="AT4928" s="28"/>
    </row>
    <row r="4929">
      <c r="A4929" s="14"/>
      <c r="B4929" s="15"/>
      <c r="C4929" s="16"/>
      <c r="D4929" s="15"/>
      <c r="F4929" s="15"/>
      <c r="G4929" s="26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28"/>
      <c r="AS4929" s="28"/>
      <c r="AT4929" s="28"/>
    </row>
    <row r="4930">
      <c r="A4930" s="14"/>
      <c r="B4930" s="15"/>
      <c r="C4930" s="16"/>
      <c r="D4930" s="15"/>
      <c r="F4930" s="15"/>
      <c r="G4930" s="26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28"/>
      <c r="AS4930" s="28"/>
      <c r="AT4930" s="28"/>
    </row>
    <row r="4931">
      <c r="A4931" s="14"/>
      <c r="B4931" s="15"/>
      <c r="C4931" s="16"/>
      <c r="D4931" s="15"/>
      <c r="F4931" s="15"/>
      <c r="G4931" s="26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28"/>
      <c r="AS4931" s="28"/>
      <c r="AT4931" s="28"/>
    </row>
    <row r="4932">
      <c r="A4932" s="14"/>
      <c r="B4932" s="15"/>
      <c r="C4932" s="16"/>
      <c r="D4932" s="15"/>
      <c r="F4932" s="15"/>
      <c r="G4932" s="26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28"/>
      <c r="AS4932" s="28"/>
      <c r="AT4932" s="28"/>
    </row>
    <row r="4933">
      <c r="A4933" s="14"/>
      <c r="B4933" s="15"/>
      <c r="C4933" s="16"/>
      <c r="D4933" s="15"/>
      <c r="F4933" s="15"/>
      <c r="G4933" s="26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28"/>
      <c r="AS4933" s="28"/>
      <c r="AT4933" s="28"/>
    </row>
    <row r="4934">
      <c r="A4934" s="14"/>
      <c r="B4934" s="15"/>
      <c r="C4934" s="16"/>
      <c r="D4934" s="15"/>
      <c r="F4934" s="15"/>
      <c r="G4934" s="26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28"/>
      <c r="AS4934" s="28"/>
      <c r="AT4934" s="28"/>
    </row>
    <row r="4935">
      <c r="A4935" s="14"/>
      <c r="B4935" s="15"/>
      <c r="C4935" s="16"/>
      <c r="D4935" s="15"/>
      <c r="F4935" s="15"/>
      <c r="G4935" s="26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28"/>
      <c r="AS4935" s="28"/>
      <c r="AT4935" s="28"/>
    </row>
    <row r="4936">
      <c r="A4936" s="14"/>
      <c r="B4936" s="15"/>
      <c r="C4936" s="16"/>
      <c r="D4936" s="15"/>
      <c r="F4936" s="15"/>
      <c r="G4936" s="26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28"/>
      <c r="AS4936" s="28"/>
      <c r="AT4936" s="28"/>
    </row>
    <row r="4937">
      <c r="A4937" s="14"/>
      <c r="B4937" s="15"/>
      <c r="C4937" s="16"/>
      <c r="D4937" s="15"/>
      <c r="F4937" s="15"/>
      <c r="G4937" s="26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28"/>
      <c r="AS4937" s="28"/>
      <c r="AT4937" s="28"/>
    </row>
    <row r="4938">
      <c r="A4938" s="14"/>
      <c r="B4938" s="15"/>
      <c r="C4938" s="16"/>
      <c r="D4938" s="15"/>
      <c r="F4938" s="15"/>
      <c r="G4938" s="26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28"/>
      <c r="AS4938" s="28"/>
      <c r="AT4938" s="28"/>
    </row>
    <row r="4939">
      <c r="A4939" s="14"/>
      <c r="B4939" s="15"/>
      <c r="C4939" s="16"/>
      <c r="D4939" s="15"/>
      <c r="F4939" s="15"/>
      <c r="G4939" s="26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28"/>
      <c r="AS4939" s="28"/>
      <c r="AT4939" s="28"/>
    </row>
    <row r="4940">
      <c r="A4940" s="14"/>
      <c r="B4940" s="15"/>
      <c r="C4940" s="16"/>
      <c r="D4940" s="15"/>
      <c r="F4940" s="15"/>
      <c r="G4940" s="26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28"/>
      <c r="AS4940" s="28"/>
      <c r="AT4940" s="28"/>
    </row>
    <row r="4941">
      <c r="A4941" s="14"/>
      <c r="B4941" s="15"/>
      <c r="C4941" s="16"/>
      <c r="D4941" s="15"/>
      <c r="F4941" s="15"/>
      <c r="G4941" s="26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28"/>
      <c r="AS4941" s="28"/>
      <c r="AT4941" s="28"/>
    </row>
    <row r="4942">
      <c r="A4942" s="14"/>
      <c r="B4942" s="15"/>
      <c r="C4942" s="16"/>
      <c r="D4942" s="15"/>
      <c r="F4942" s="15"/>
      <c r="G4942" s="26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28"/>
      <c r="AS4942" s="28"/>
      <c r="AT4942" s="28"/>
    </row>
    <row r="4943">
      <c r="A4943" s="14"/>
      <c r="B4943" s="15"/>
      <c r="C4943" s="16"/>
      <c r="D4943" s="15"/>
      <c r="F4943" s="15"/>
      <c r="G4943" s="26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28"/>
      <c r="AS4943" s="28"/>
      <c r="AT4943" s="28"/>
    </row>
    <row r="4944">
      <c r="A4944" s="14"/>
      <c r="B4944" s="15"/>
      <c r="C4944" s="16"/>
      <c r="D4944" s="15"/>
      <c r="F4944" s="15"/>
      <c r="G4944" s="26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28"/>
      <c r="AS4944" s="28"/>
      <c r="AT4944" s="28"/>
    </row>
    <row r="4945">
      <c r="A4945" s="14"/>
      <c r="B4945" s="15"/>
      <c r="C4945" s="16"/>
      <c r="D4945" s="15"/>
      <c r="F4945" s="15"/>
      <c r="G4945" s="26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28"/>
      <c r="AS4945" s="28"/>
      <c r="AT4945" s="28"/>
    </row>
    <row r="4946">
      <c r="A4946" s="14"/>
      <c r="B4946" s="15"/>
      <c r="C4946" s="16"/>
      <c r="D4946" s="15"/>
      <c r="F4946" s="15"/>
      <c r="G4946" s="26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28"/>
      <c r="AS4946" s="28"/>
      <c r="AT4946" s="28"/>
    </row>
    <row r="4947">
      <c r="A4947" s="14"/>
      <c r="B4947" s="15"/>
      <c r="C4947" s="16"/>
      <c r="D4947" s="15"/>
      <c r="F4947" s="15"/>
      <c r="G4947" s="26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28"/>
      <c r="AS4947" s="28"/>
      <c r="AT4947" s="28"/>
    </row>
    <row r="4948">
      <c r="A4948" s="14"/>
      <c r="B4948" s="15"/>
      <c r="C4948" s="16"/>
      <c r="D4948" s="15"/>
      <c r="F4948" s="15"/>
      <c r="G4948" s="26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28"/>
      <c r="AS4948" s="28"/>
      <c r="AT4948" s="28"/>
    </row>
    <row r="4949">
      <c r="A4949" s="14"/>
      <c r="B4949" s="15"/>
      <c r="C4949" s="16"/>
      <c r="D4949" s="15"/>
      <c r="F4949" s="15"/>
      <c r="G4949" s="26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28"/>
      <c r="AS4949" s="28"/>
      <c r="AT4949" s="28"/>
    </row>
    <row r="4950">
      <c r="A4950" s="14"/>
      <c r="B4950" s="15"/>
      <c r="C4950" s="16"/>
      <c r="D4950" s="15"/>
      <c r="F4950" s="15"/>
      <c r="G4950" s="26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28"/>
      <c r="AS4950" s="28"/>
      <c r="AT4950" s="28"/>
    </row>
    <row r="4951">
      <c r="A4951" s="14"/>
      <c r="B4951" s="15"/>
      <c r="C4951" s="16"/>
      <c r="D4951" s="15"/>
      <c r="F4951" s="15"/>
      <c r="G4951" s="26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28"/>
      <c r="AS4951" s="28"/>
      <c r="AT4951" s="28"/>
    </row>
    <row r="4952">
      <c r="A4952" s="14"/>
      <c r="B4952" s="15"/>
      <c r="C4952" s="16"/>
      <c r="D4952" s="15"/>
      <c r="F4952" s="15"/>
      <c r="G4952" s="26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28"/>
      <c r="AS4952" s="28"/>
      <c r="AT4952" s="28"/>
    </row>
    <row r="4953">
      <c r="A4953" s="14"/>
      <c r="B4953" s="15"/>
      <c r="C4953" s="16"/>
      <c r="D4953" s="15"/>
      <c r="F4953" s="15"/>
      <c r="G4953" s="26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28"/>
      <c r="AS4953" s="28"/>
      <c r="AT4953" s="28"/>
    </row>
    <row r="4954">
      <c r="A4954" s="14"/>
      <c r="B4954" s="15"/>
      <c r="C4954" s="16"/>
      <c r="D4954" s="15"/>
      <c r="F4954" s="15"/>
      <c r="G4954" s="26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28"/>
      <c r="AS4954" s="28"/>
      <c r="AT4954" s="28"/>
    </row>
    <row r="4955">
      <c r="A4955" s="14"/>
      <c r="B4955" s="15"/>
      <c r="C4955" s="16"/>
      <c r="D4955" s="15"/>
      <c r="F4955" s="15"/>
      <c r="G4955" s="26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28"/>
      <c r="AS4955" s="28"/>
      <c r="AT4955" s="28"/>
    </row>
    <row r="4956">
      <c r="A4956" s="14"/>
      <c r="B4956" s="15"/>
      <c r="C4956" s="16"/>
      <c r="D4956" s="15"/>
      <c r="F4956" s="15"/>
      <c r="G4956" s="26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28"/>
      <c r="AS4956" s="28"/>
      <c r="AT4956" s="28"/>
    </row>
    <row r="4957">
      <c r="A4957" s="14"/>
      <c r="B4957" s="15"/>
      <c r="C4957" s="16"/>
      <c r="D4957" s="15"/>
      <c r="F4957" s="15"/>
      <c r="G4957" s="26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28"/>
      <c r="AS4957" s="28"/>
      <c r="AT4957" s="28"/>
    </row>
    <row r="4958">
      <c r="A4958" s="14"/>
      <c r="B4958" s="15"/>
      <c r="C4958" s="16"/>
      <c r="D4958" s="15"/>
      <c r="F4958" s="15"/>
      <c r="G4958" s="26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28"/>
      <c r="AS4958" s="28"/>
      <c r="AT4958" s="28"/>
    </row>
    <row r="4959">
      <c r="A4959" s="14"/>
      <c r="B4959" s="15"/>
      <c r="C4959" s="16"/>
      <c r="D4959" s="15"/>
      <c r="F4959" s="15"/>
      <c r="G4959" s="26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28"/>
      <c r="AS4959" s="28"/>
      <c r="AT4959" s="28"/>
    </row>
    <row r="4960">
      <c r="A4960" s="14"/>
      <c r="B4960" s="15"/>
      <c r="C4960" s="16"/>
      <c r="D4960" s="15"/>
      <c r="F4960" s="15"/>
      <c r="G4960" s="26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28"/>
      <c r="AS4960" s="28"/>
      <c r="AT4960" s="28"/>
    </row>
    <row r="4961">
      <c r="A4961" s="14"/>
      <c r="B4961" s="15"/>
      <c r="C4961" s="16"/>
      <c r="D4961" s="15"/>
      <c r="F4961" s="15"/>
      <c r="G4961" s="26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28"/>
      <c r="AS4961" s="28"/>
      <c r="AT4961" s="28"/>
    </row>
    <row r="4962">
      <c r="A4962" s="14"/>
      <c r="B4962" s="15"/>
      <c r="C4962" s="16"/>
      <c r="D4962" s="15"/>
      <c r="F4962" s="15"/>
      <c r="G4962" s="26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28"/>
      <c r="AS4962" s="28"/>
      <c r="AT4962" s="28"/>
    </row>
    <row r="4963">
      <c r="A4963" s="14"/>
      <c r="B4963" s="15"/>
      <c r="C4963" s="16"/>
      <c r="D4963" s="15"/>
      <c r="F4963" s="15"/>
      <c r="G4963" s="26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28"/>
      <c r="AS4963" s="28"/>
      <c r="AT4963" s="28"/>
    </row>
    <row r="4964">
      <c r="A4964" s="14"/>
      <c r="B4964" s="15"/>
      <c r="C4964" s="16"/>
      <c r="D4964" s="15"/>
      <c r="F4964" s="15"/>
      <c r="G4964" s="26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28"/>
      <c r="AS4964" s="28"/>
      <c r="AT4964" s="28"/>
    </row>
    <row r="4965">
      <c r="A4965" s="14"/>
      <c r="B4965" s="15"/>
      <c r="C4965" s="16"/>
      <c r="D4965" s="15"/>
      <c r="F4965" s="15"/>
      <c r="G4965" s="26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28"/>
      <c r="AS4965" s="28"/>
      <c r="AT4965" s="28"/>
    </row>
    <row r="4966">
      <c r="A4966" s="14"/>
      <c r="B4966" s="15"/>
      <c r="C4966" s="16"/>
      <c r="D4966" s="15"/>
      <c r="F4966" s="15"/>
      <c r="G4966" s="26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28"/>
      <c r="AS4966" s="28"/>
      <c r="AT4966" s="28"/>
    </row>
    <row r="4967">
      <c r="A4967" s="14"/>
      <c r="B4967" s="15"/>
      <c r="C4967" s="16"/>
      <c r="D4967" s="15"/>
      <c r="F4967" s="15"/>
      <c r="G4967" s="26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28"/>
      <c r="AS4967" s="28"/>
      <c r="AT4967" s="28"/>
    </row>
    <row r="4968">
      <c r="A4968" s="14"/>
      <c r="B4968" s="15"/>
      <c r="C4968" s="16"/>
      <c r="D4968" s="15"/>
      <c r="F4968" s="15"/>
      <c r="G4968" s="26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28"/>
      <c r="AS4968" s="28"/>
      <c r="AT4968" s="28"/>
    </row>
    <row r="4969">
      <c r="A4969" s="14"/>
      <c r="B4969" s="15"/>
      <c r="C4969" s="16"/>
      <c r="D4969" s="15"/>
      <c r="F4969" s="15"/>
      <c r="G4969" s="26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28"/>
      <c r="AS4969" s="28"/>
      <c r="AT4969" s="28"/>
    </row>
    <row r="4970">
      <c r="A4970" s="14"/>
      <c r="B4970" s="15"/>
      <c r="C4970" s="16"/>
      <c r="D4970" s="15"/>
      <c r="F4970" s="15"/>
      <c r="G4970" s="26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28"/>
      <c r="AS4970" s="28"/>
      <c r="AT4970" s="28"/>
    </row>
    <row r="4971">
      <c r="A4971" s="14"/>
      <c r="B4971" s="15"/>
      <c r="C4971" s="16"/>
      <c r="D4971" s="15"/>
      <c r="F4971" s="15"/>
      <c r="G4971" s="26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28"/>
      <c r="AS4971" s="28"/>
      <c r="AT4971" s="28"/>
    </row>
    <row r="4972">
      <c r="A4972" s="14"/>
      <c r="B4972" s="15"/>
      <c r="C4972" s="16"/>
      <c r="D4972" s="15"/>
      <c r="F4972" s="15"/>
      <c r="G4972" s="26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28"/>
      <c r="AS4972" s="28"/>
      <c r="AT4972" s="28"/>
    </row>
    <row r="4973">
      <c r="A4973" s="14"/>
      <c r="B4973" s="15"/>
      <c r="C4973" s="16"/>
      <c r="D4973" s="15"/>
      <c r="F4973" s="15"/>
      <c r="G4973" s="26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28"/>
      <c r="AS4973" s="28"/>
      <c r="AT4973" s="28"/>
    </row>
    <row r="4974">
      <c r="A4974" s="14"/>
      <c r="B4974" s="15"/>
      <c r="C4974" s="16"/>
      <c r="D4974" s="15"/>
      <c r="F4974" s="15"/>
      <c r="G4974" s="26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28"/>
      <c r="AS4974" s="28"/>
      <c r="AT4974" s="28"/>
    </row>
    <row r="4975">
      <c r="A4975" s="14"/>
      <c r="B4975" s="15"/>
      <c r="C4975" s="16"/>
      <c r="D4975" s="15"/>
      <c r="F4975" s="15"/>
      <c r="G4975" s="26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28"/>
      <c r="AS4975" s="28"/>
      <c r="AT4975" s="28"/>
    </row>
    <row r="4976">
      <c r="A4976" s="14"/>
      <c r="B4976" s="15"/>
      <c r="C4976" s="16"/>
      <c r="D4976" s="15"/>
      <c r="F4976" s="15"/>
      <c r="G4976" s="26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28"/>
      <c r="AS4976" s="28"/>
      <c r="AT4976" s="28"/>
    </row>
    <row r="4977">
      <c r="A4977" s="14"/>
      <c r="B4977" s="15"/>
      <c r="C4977" s="16"/>
      <c r="D4977" s="15"/>
      <c r="F4977" s="15"/>
      <c r="G4977" s="26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28"/>
      <c r="AS4977" s="28"/>
      <c r="AT4977" s="28"/>
    </row>
    <row r="4978">
      <c r="A4978" s="14"/>
      <c r="B4978" s="15"/>
      <c r="C4978" s="16"/>
      <c r="D4978" s="15"/>
      <c r="F4978" s="15"/>
      <c r="G4978" s="26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28"/>
      <c r="AS4978" s="28"/>
      <c r="AT4978" s="28"/>
    </row>
    <row r="4979">
      <c r="A4979" s="14"/>
      <c r="B4979" s="15"/>
      <c r="C4979" s="16"/>
      <c r="D4979" s="15"/>
      <c r="F4979" s="15"/>
      <c r="G4979" s="26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28"/>
      <c r="AS4979" s="28"/>
      <c r="AT4979" s="28"/>
    </row>
    <row r="4980">
      <c r="A4980" s="14"/>
      <c r="B4980" s="15"/>
      <c r="C4980" s="16"/>
      <c r="D4980" s="15"/>
      <c r="F4980" s="15"/>
      <c r="G4980" s="26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28"/>
      <c r="AS4980" s="28"/>
      <c r="AT4980" s="28"/>
    </row>
    <row r="4981">
      <c r="A4981" s="14"/>
      <c r="B4981" s="15"/>
      <c r="C4981" s="16"/>
      <c r="D4981" s="15"/>
      <c r="F4981" s="15"/>
      <c r="G4981" s="26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28"/>
      <c r="AS4981" s="28"/>
      <c r="AT4981" s="28"/>
    </row>
    <row r="4982">
      <c r="A4982" s="14"/>
      <c r="B4982" s="15"/>
      <c r="C4982" s="16"/>
      <c r="D4982" s="15"/>
      <c r="F4982" s="15"/>
      <c r="G4982" s="26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28"/>
      <c r="AS4982" s="28"/>
      <c r="AT4982" s="28"/>
    </row>
    <row r="4983">
      <c r="A4983" s="14"/>
      <c r="B4983" s="15"/>
      <c r="C4983" s="16"/>
      <c r="D4983" s="15"/>
      <c r="F4983" s="15"/>
      <c r="G4983" s="26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28"/>
      <c r="AS4983" s="28"/>
      <c r="AT4983" s="28"/>
    </row>
    <row r="4984">
      <c r="A4984" s="14"/>
      <c r="B4984" s="15"/>
      <c r="C4984" s="16"/>
      <c r="D4984" s="15"/>
      <c r="F4984" s="15"/>
      <c r="G4984" s="26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28"/>
      <c r="AS4984" s="28"/>
      <c r="AT4984" s="28"/>
    </row>
    <row r="4985">
      <c r="A4985" s="14"/>
      <c r="B4985" s="15"/>
      <c r="C4985" s="16"/>
      <c r="D4985" s="15"/>
      <c r="F4985" s="15"/>
      <c r="G4985" s="26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28"/>
      <c r="AS4985" s="28"/>
      <c r="AT4985" s="28"/>
    </row>
    <row r="4986">
      <c r="A4986" s="14"/>
      <c r="B4986" s="15"/>
      <c r="C4986" s="16"/>
      <c r="D4986" s="15"/>
      <c r="F4986" s="15"/>
      <c r="G4986" s="26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28"/>
      <c r="AS4986" s="28"/>
      <c r="AT4986" s="28"/>
    </row>
    <row r="4987">
      <c r="A4987" s="14"/>
      <c r="B4987" s="15"/>
      <c r="C4987" s="16"/>
      <c r="D4987" s="15"/>
      <c r="F4987" s="15"/>
      <c r="G4987" s="26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28"/>
      <c r="AS4987" s="28"/>
      <c r="AT4987" s="28"/>
    </row>
    <row r="4988">
      <c r="A4988" s="14"/>
      <c r="B4988" s="15"/>
      <c r="C4988" s="16"/>
      <c r="D4988" s="15"/>
      <c r="F4988" s="15"/>
      <c r="G4988" s="26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28"/>
      <c r="AS4988" s="28"/>
      <c r="AT4988" s="28"/>
    </row>
    <row r="4989">
      <c r="A4989" s="14"/>
      <c r="B4989" s="15"/>
      <c r="C4989" s="16"/>
      <c r="D4989" s="15"/>
      <c r="F4989" s="15"/>
      <c r="G4989" s="26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28"/>
      <c r="AS4989" s="28"/>
      <c r="AT4989" s="28"/>
    </row>
    <row r="4990">
      <c r="A4990" s="14"/>
      <c r="B4990" s="15"/>
      <c r="C4990" s="16"/>
      <c r="D4990" s="15"/>
      <c r="F4990" s="15"/>
      <c r="G4990" s="26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28"/>
      <c r="AS4990" s="28"/>
      <c r="AT4990" s="28"/>
    </row>
    <row r="4991">
      <c r="A4991" s="14"/>
      <c r="B4991" s="15"/>
      <c r="C4991" s="16"/>
      <c r="D4991" s="15"/>
      <c r="F4991" s="15"/>
      <c r="G4991" s="26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28"/>
      <c r="AS4991" s="28"/>
      <c r="AT4991" s="28"/>
    </row>
    <row r="4992">
      <c r="A4992" s="14"/>
      <c r="B4992" s="15"/>
      <c r="C4992" s="16"/>
      <c r="D4992" s="15"/>
      <c r="F4992" s="15"/>
      <c r="G4992" s="26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28"/>
      <c r="AS4992" s="28"/>
      <c r="AT4992" s="28"/>
    </row>
    <row r="4993">
      <c r="A4993" s="14"/>
      <c r="B4993" s="15"/>
      <c r="C4993" s="16"/>
      <c r="D4993" s="15"/>
      <c r="F4993" s="15"/>
      <c r="G4993" s="26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28"/>
      <c r="AS4993" s="28"/>
      <c r="AT4993" s="28"/>
    </row>
    <row r="4994">
      <c r="A4994" s="14"/>
      <c r="B4994" s="15"/>
      <c r="C4994" s="16"/>
      <c r="D4994" s="15"/>
      <c r="F4994" s="15"/>
      <c r="G4994" s="26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28"/>
      <c r="AS4994" s="28"/>
      <c r="AT4994" s="28"/>
    </row>
    <row r="4995">
      <c r="A4995" s="14"/>
      <c r="B4995" s="15"/>
      <c r="C4995" s="16"/>
      <c r="D4995" s="15"/>
      <c r="F4995" s="15"/>
      <c r="G4995" s="26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28"/>
      <c r="AS4995" s="28"/>
      <c r="AT4995" s="28"/>
    </row>
    <row r="4996">
      <c r="A4996" s="14"/>
      <c r="B4996" s="15"/>
      <c r="C4996" s="16"/>
      <c r="D4996" s="15"/>
      <c r="F4996" s="15"/>
      <c r="G4996" s="26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8"/>
      <c r="AH4996" s="28"/>
      <c r="AI4996" s="28"/>
      <c r="AJ4996" s="28"/>
      <c r="AK4996" s="28"/>
      <c r="AL4996" s="28"/>
      <c r="AM4996" s="28"/>
      <c r="AN4996" s="28"/>
      <c r="AO4996" s="28"/>
      <c r="AP4996" s="28"/>
      <c r="AQ4996" s="28"/>
      <c r="AR4996" s="28"/>
      <c r="AS4996" s="28"/>
      <c r="AT4996" s="28"/>
    </row>
    <row r="4997">
      <c r="A4997" s="14"/>
      <c r="B4997" s="15"/>
      <c r="C4997" s="16"/>
      <c r="D4997" s="15"/>
      <c r="F4997" s="15"/>
      <c r="G4997" s="26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8"/>
      <c r="AH4997" s="28"/>
      <c r="AI4997" s="28"/>
      <c r="AJ4997" s="28"/>
      <c r="AK4997" s="28"/>
      <c r="AL4997" s="28"/>
      <c r="AM4997" s="28"/>
      <c r="AN4997" s="28"/>
      <c r="AO4997" s="28"/>
      <c r="AP4997" s="28"/>
      <c r="AQ4997" s="28"/>
      <c r="AR4997" s="28"/>
      <c r="AS4997" s="28"/>
      <c r="AT4997" s="28"/>
    </row>
    <row r="4998">
      <c r="A4998" s="14"/>
      <c r="B4998" s="15"/>
      <c r="C4998" s="16"/>
      <c r="D4998" s="15"/>
      <c r="F4998" s="15"/>
      <c r="G4998" s="26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8"/>
      <c r="AH4998" s="28"/>
      <c r="AI4998" s="28"/>
      <c r="AJ4998" s="28"/>
      <c r="AK4998" s="28"/>
      <c r="AL4998" s="28"/>
      <c r="AM4998" s="28"/>
      <c r="AN4998" s="28"/>
      <c r="AO4998" s="28"/>
      <c r="AP4998" s="28"/>
      <c r="AQ4998" s="28"/>
      <c r="AR4998" s="28"/>
      <c r="AS4998" s="28"/>
      <c r="AT4998" s="28"/>
    </row>
    <row r="4999">
      <c r="A4999" s="14"/>
      <c r="B4999" s="15"/>
      <c r="C4999" s="16"/>
      <c r="D4999" s="15"/>
      <c r="F4999" s="15"/>
      <c r="G4999" s="26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8"/>
      <c r="AH4999" s="28"/>
      <c r="AI4999" s="28"/>
      <c r="AJ4999" s="28"/>
      <c r="AK4999" s="28"/>
      <c r="AL4999" s="28"/>
      <c r="AM4999" s="28"/>
      <c r="AN4999" s="28"/>
      <c r="AO4999" s="28"/>
      <c r="AP4999" s="28"/>
      <c r="AQ4999" s="28"/>
      <c r="AR4999" s="28"/>
      <c r="AS4999" s="28"/>
      <c r="AT4999" s="28"/>
    </row>
    <row r="5000">
      <c r="A5000" s="14"/>
      <c r="B5000" s="15"/>
      <c r="C5000" s="16"/>
      <c r="D5000" s="15"/>
      <c r="F5000" s="15"/>
      <c r="G5000" s="26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8"/>
      <c r="AH5000" s="28"/>
      <c r="AI5000" s="28"/>
      <c r="AJ5000" s="28"/>
      <c r="AK5000" s="28"/>
      <c r="AL5000" s="28"/>
      <c r="AM5000" s="28"/>
      <c r="AN5000" s="28"/>
      <c r="AO5000" s="28"/>
      <c r="AP5000" s="28"/>
      <c r="AQ5000" s="28"/>
      <c r="AR5000" s="28"/>
      <c r="AS5000" s="28"/>
      <c r="AT5000" s="28"/>
    </row>
    <row r="5001">
      <c r="A5001" s="14"/>
      <c r="B5001" s="15"/>
      <c r="C5001" s="16"/>
      <c r="D5001" s="15"/>
      <c r="F5001" s="15"/>
      <c r="G5001" s="26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8"/>
      <c r="AH5001" s="28"/>
      <c r="AI5001" s="28"/>
      <c r="AJ5001" s="28"/>
      <c r="AK5001" s="28"/>
      <c r="AL5001" s="28"/>
      <c r="AM5001" s="28"/>
      <c r="AN5001" s="28"/>
      <c r="AO5001" s="28"/>
      <c r="AP5001" s="28"/>
      <c r="AQ5001" s="28"/>
      <c r="AR5001" s="28"/>
      <c r="AS5001" s="28"/>
      <c r="AT5001" s="28"/>
    </row>
    <row r="5002">
      <c r="A5002" s="14"/>
      <c r="B5002" s="15"/>
      <c r="C5002" s="16"/>
      <c r="D5002" s="15"/>
      <c r="F5002" s="15"/>
      <c r="G5002" s="26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8"/>
      <c r="AH5002" s="28"/>
      <c r="AI5002" s="28"/>
      <c r="AJ5002" s="28"/>
      <c r="AK5002" s="28"/>
      <c r="AL5002" s="28"/>
      <c r="AM5002" s="28"/>
      <c r="AN5002" s="28"/>
      <c r="AO5002" s="28"/>
      <c r="AP5002" s="28"/>
      <c r="AQ5002" s="28"/>
      <c r="AR5002" s="28"/>
      <c r="AS5002" s="28"/>
      <c r="AT5002" s="28"/>
    </row>
    <row r="5003">
      <c r="A5003" s="14"/>
      <c r="B5003" s="15"/>
      <c r="C5003" s="16"/>
      <c r="D5003" s="15"/>
      <c r="F5003" s="15"/>
      <c r="G5003" s="26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8"/>
      <c r="AH5003" s="28"/>
      <c r="AI5003" s="28"/>
      <c r="AJ5003" s="28"/>
      <c r="AK5003" s="28"/>
      <c r="AL5003" s="28"/>
      <c r="AM5003" s="28"/>
      <c r="AN5003" s="28"/>
      <c r="AO5003" s="28"/>
      <c r="AP5003" s="28"/>
      <c r="AQ5003" s="28"/>
      <c r="AR5003" s="28"/>
      <c r="AS5003" s="28"/>
      <c r="AT5003" s="28"/>
    </row>
    <row r="5004">
      <c r="A5004" s="14"/>
      <c r="B5004" s="15"/>
      <c r="C5004" s="16"/>
      <c r="D5004" s="15"/>
      <c r="F5004" s="15"/>
      <c r="G5004" s="26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8"/>
      <c r="AH5004" s="28"/>
      <c r="AI5004" s="28"/>
      <c r="AJ5004" s="28"/>
      <c r="AK5004" s="28"/>
      <c r="AL5004" s="28"/>
      <c r="AM5004" s="28"/>
      <c r="AN5004" s="28"/>
      <c r="AO5004" s="28"/>
      <c r="AP5004" s="28"/>
      <c r="AQ5004" s="28"/>
      <c r="AR5004" s="28"/>
      <c r="AS5004" s="28"/>
      <c r="AT5004" s="28"/>
    </row>
    <row r="5005">
      <c r="A5005" s="14"/>
      <c r="B5005" s="15"/>
      <c r="C5005" s="16"/>
      <c r="D5005" s="15"/>
      <c r="F5005" s="15"/>
      <c r="G5005" s="26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8"/>
      <c r="AH5005" s="28"/>
      <c r="AI5005" s="28"/>
      <c r="AJ5005" s="28"/>
      <c r="AK5005" s="28"/>
      <c r="AL5005" s="28"/>
      <c r="AM5005" s="28"/>
      <c r="AN5005" s="28"/>
      <c r="AO5005" s="28"/>
      <c r="AP5005" s="28"/>
      <c r="AQ5005" s="28"/>
      <c r="AR5005" s="28"/>
      <c r="AS5005" s="28"/>
      <c r="AT5005" s="28"/>
    </row>
    <row r="5006">
      <c r="A5006" s="14"/>
      <c r="B5006" s="15"/>
      <c r="C5006" s="16"/>
      <c r="D5006" s="15"/>
      <c r="F5006" s="15"/>
      <c r="G5006" s="26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8"/>
      <c r="AH5006" s="28"/>
      <c r="AI5006" s="28"/>
      <c r="AJ5006" s="28"/>
      <c r="AK5006" s="28"/>
      <c r="AL5006" s="28"/>
      <c r="AM5006" s="28"/>
      <c r="AN5006" s="28"/>
      <c r="AO5006" s="28"/>
      <c r="AP5006" s="28"/>
      <c r="AQ5006" s="28"/>
      <c r="AR5006" s="28"/>
      <c r="AS5006" s="28"/>
      <c r="AT5006" s="28"/>
    </row>
    <row r="5007">
      <c r="A5007" s="14"/>
      <c r="B5007" s="15"/>
      <c r="C5007" s="16"/>
      <c r="D5007" s="15"/>
      <c r="F5007" s="15"/>
      <c r="G5007" s="26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8"/>
      <c r="AH5007" s="28"/>
      <c r="AI5007" s="28"/>
      <c r="AJ5007" s="28"/>
      <c r="AK5007" s="28"/>
      <c r="AL5007" s="28"/>
      <c r="AM5007" s="28"/>
      <c r="AN5007" s="28"/>
      <c r="AO5007" s="28"/>
      <c r="AP5007" s="28"/>
      <c r="AQ5007" s="28"/>
      <c r="AR5007" s="28"/>
      <c r="AS5007" s="28"/>
      <c r="AT5007" s="28"/>
    </row>
    <row r="5008">
      <c r="A5008" s="14"/>
      <c r="B5008" s="15"/>
      <c r="C5008" s="16"/>
      <c r="D5008" s="15"/>
      <c r="F5008" s="15"/>
      <c r="G5008" s="26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8"/>
      <c r="AH5008" s="28"/>
      <c r="AI5008" s="28"/>
      <c r="AJ5008" s="28"/>
      <c r="AK5008" s="28"/>
      <c r="AL5008" s="28"/>
      <c r="AM5008" s="28"/>
      <c r="AN5008" s="28"/>
      <c r="AO5008" s="28"/>
      <c r="AP5008" s="28"/>
      <c r="AQ5008" s="28"/>
      <c r="AR5008" s="28"/>
      <c r="AS5008" s="28"/>
      <c r="AT5008" s="28"/>
    </row>
    <row r="5009">
      <c r="A5009" s="14"/>
      <c r="B5009" s="15"/>
      <c r="C5009" s="16"/>
      <c r="D5009" s="15"/>
      <c r="F5009" s="15"/>
      <c r="G5009" s="26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28"/>
      <c r="AR5009" s="28"/>
      <c r="AS5009" s="28"/>
      <c r="AT5009" s="28"/>
    </row>
    <row r="5010">
      <c r="A5010" s="14"/>
      <c r="B5010" s="15"/>
      <c r="C5010" s="16"/>
      <c r="D5010" s="15"/>
      <c r="F5010" s="15"/>
      <c r="G5010" s="26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28"/>
      <c r="AS5010" s="28"/>
      <c r="AT5010" s="28"/>
    </row>
    <row r="5011">
      <c r="A5011" s="14"/>
      <c r="B5011" s="15"/>
      <c r="C5011" s="16"/>
      <c r="D5011" s="15"/>
      <c r="F5011" s="15"/>
      <c r="G5011" s="26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8"/>
      <c r="AH5011" s="28"/>
      <c r="AI5011" s="28"/>
      <c r="AJ5011" s="28"/>
      <c r="AK5011" s="28"/>
      <c r="AL5011" s="28"/>
      <c r="AM5011" s="28"/>
      <c r="AN5011" s="28"/>
      <c r="AO5011" s="28"/>
      <c r="AP5011" s="28"/>
      <c r="AQ5011" s="28"/>
      <c r="AR5011" s="28"/>
      <c r="AS5011" s="28"/>
      <c r="AT5011" s="28"/>
    </row>
    <row r="5012">
      <c r="A5012" s="14"/>
      <c r="B5012" s="15"/>
      <c r="C5012" s="16"/>
      <c r="D5012" s="15"/>
      <c r="F5012" s="15"/>
      <c r="G5012" s="26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8"/>
      <c r="AH5012" s="28"/>
      <c r="AI5012" s="28"/>
      <c r="AJ5012" s="28"/>
      <c r="AK5012" s="28"/>
      <c r="AL5012" s="28"/>
      <c r="AM5012" s="28"/>
      <c r="AN5012" s="28"/>
      <c r="AO5012" s="28"/>
      <c r="AP5012" s="28"/>
      <c r="AQ5012" s="28"/>
      <c r="AR5012" s="28"/>
      <c r="AS5012" s="28"/>
      <c r="AT5012" s="28"/>
    </row>
    <row r="5013">
      <c r="A5013" s="14"/>
      <c r="B5013" s="15"/>
      <c r="C5013" s="16"/>
      <c r="D5013" s="15"/>
      <c r="F5013" s="15"/>
      <c r="G5013" s="26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8"/>
      <c r="AH5013" s="28"/>
      <c r="AI5013" s="28"/>
      <c r="AJ5013" s="28"/>
      <c r="AK5013" s="28"/>
      <c r="AL5013" s="28"/>
      <c r="AM5013" s="28"/>
      <c r="AN5013" s="28"/>
      <c r="AO5013" s="28"/>
      <c r="AP5013" s="28"/>
      <c r="AQ5013" s="28"/>
      <c r="AR5013" s="28"/>
      <c r="AS5013" s="28"/>
      <c r="AT5013" s="28"/>
    </row>
    <row r="5014">
      <c r="A5014" s="14"/>
      <c r="B5014" s="15"/>
      <c r="C5014" s="16"/>
      <c r="D5014" s="15"/>
      <c r="F5014" s="15"/>
      <c r="G5014" s="26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8"/>
      <c r="AH5014" s="28"/>
      <c r="AI5014" s="28"/>
      <c r="AJ5014" s="28"/>
      <c r="AK5014" s="28"/>
      <c r="AL5014" s="28"/>
      <c r="AM5014" s="28"/>
      <c r="AN5014" s="28"/>
      <c r="AO5014" s="28"/>
      <c r="AP5014" s="28"/>
      <c r="AQ5014" s="28"/>
      <c r="AR5014" s="28"/>
      <c r="AS5014" s="28"/>
      <c r="AT5014" s="28"/>
    </row>
    <row r="5015">
      <c r="A5015" s="14"/>
      <c r="B5015" s="15"/>
      <c r="C5015" s="16"/>
      <c r="D5015" s="15"/>
      <c r="F5015" s="15"/>
      <c r="G5015" s="26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8"/>
      <c r="AH5015" s="28"/>
      <c r="AI5015" s="28"/>
      <c r="AJ5015" s="28"/>
      <c r="AK5015" s="28"/>
      <c r="AL5015" s="28"/>
      <c r="AM5015" s="28"/>
      <c r="AN5015" s="28"/>
      <c r="AO5015" s="28"/>
      <c r="AP5015" s="28"/>
      <c r="AQ5015" s="28"/>
      <c r="AR5015" s="28"/>
      <c r="AS5015" s="28"/>
      <c r="AT5015" s="28"/>
    </row>
    <row r="5016">
      <c r="A5016" s="14"/>
      <c r="B5016" s="15"/>
      <c r="C5016" s="16"/>
      <c r="D5016" s="15"/>
      <c r="F5016" s="15"/>
      <c r="G5016" s="26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8"/>
      <c r="AH5016" s="28"/>
      <c r="AI5016" s="28"/>
      <c r="AJ5016" s="28"/>
      <c r="AK5016" s="28"/>
      <c r="AL5016" s="28"/>
      <c r="AM5016" s="28"/>
      <c r="AN5016" s="28"/>
      <c r="AO5016" s="28"/>
      <c r="AP5016" s="28"/>
      <c r="AQ5016" s="28"/>
      <c r="AR5016" s="28"/>
      <c r="AS5016" s="28"/>
      <c r="AT5016" s="28"/>
    </row>
    <row r="5017">
      <c r="A5017" s="14"/>
      <c r="B5017" s="15"/>
      <c r="C5017" s="16"/>
      <c r="D5017" s="15"/>
      <c r="F5017" s="15"/>
      <c r="G5017" s="26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8"/>
      <c r="AH5017" s="28"/>
      <c r="AI5017" s="28"/>
      <c r="AJ5017" s="28"/>
      <c r="AK5017" s="28"/>
      <c r="AL5017" s="28"/>
      <c r="AM5017" s="28"/>
      <c r="AN5017" s="28"/>
      <c r="AO5017" s="28"/>
      <c r="AP5017" s="28"/>
      <c r="AQ5017" s="28"/>
      <c r="AR5017" s="28"/>
      <c r="AS5017" s="28"/>
      <c r="AT5017" s="28"/>
    </row>
    <row r="5018">
      <c r="A5018" s="14"/>
      <c r="B5018" s="15"/>
      <c r="C5018" s="16"/>
      <c r="D5018" s="15"/>
      <c r="F5018" s="15"/>
      <c r="G5018" s="26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8"/>
      <c r="AH5018" s="28"/>
      <c r="AI5018" s="28"/>
      <c r="AJ5018" s="28"/>
      <c r="AK5018" s="28"/>
      <c r="AL5018" s="28"/>
      <c r="AM5018" s="28"/>
      <c r="AN5018" s="28"/>
      <c r="AO5018" s="28"/>
      <c r="AP5018" s="28"/>
      <c r="AQ5018" s="28"/>
      <c r="AR5018" s="28"/>
      <c r="AS5018" s="28"/>
      <c r="AT5018" s="28"/>
    </row>
    <row r="5019">
      <c r="A5019" s="14"/>
      <c r="B5019" s="15"/>
      <c r="C5019" s="16"/>
      <c r="D5019" s="15"/>
      <c r="F5019" s="15"/>
      <c r="G5019" s="26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8"/>
      <c r="AH5019" s="28"/>
      <c r="AI5019" s="28"/>
      <c r="AJ5019" s="28"/>
      <c r="AK5019" s="28"/>
      <c r="AL5019" s="28"/>
      <c r="AM5019" s="28"/>
      <c r="AN5019" s="28"/>
      <c r="AO5019" s="28"/>
      <c r="AP5019" s="28"/>
      <c r="AQ5019" s="28"/>
      <c r="AR5019" s="28"/>
      <c r="AS5019" s="28"/>
      <c r="AT5019" s="28"/>
    </row>
    <row r="5020">
      <c r="A5020" s="14"/>
      <c r="B5020" s="15"/>
      <c r="C5020" s="16"/>
      <c r="D5020" s="15"/>
      <c r="F5020" s="15"/>
      <c r="G5020" s="26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28"/>
      <c r="AN5020" s="28"/>
      <c r="AO5020" s="28"/>
      <c r="AP5020" s="28"/>
      <c r="AQ5020" s="28"/>
      <c r="AR5020" s="28"/>
      <c r="AS5020" s="28"/>
      <c r="AT5020" s="28"/>
    </row>
    <row r="5021">
      <c r="A5021" s="14"/>
      <c r="B5021" s="15"/>
      <c r="C5021" s="16"/>
      <c r="D5021" s="15"/>
      <c r="F5021" s="15"/>
      <c r="G5021" s="26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8"/>
      <c r="AH5021" s="28"/>
      <c r="AI5021" s="28"/>
      <c r="AJ5021" s="28"/>
      <c r="AK5021" s="28"/>
      <c r="AL5021" s="28"/>
      <c r="AM5021" s="28"/>
      <c r="AN5021" s="28"/>
      <c r="AO5021" s="28"/>
      <c r="AP5021" s="28"/>
      <c r="AQ5021" s="28"/>
      <c r="AR5021" s="28"/>
      <c r="AS5021" s="28"/>
      <c r="AT5021" s="28"/>
    </row>
    <row r="5022">
      <c r="A5022" s="14"/>
      <c r="B5022" s="15"/>
      <c r="C5022" s="16"/>
      <c r="D5022" s="15"/>
      <c r="F5022" s="15"/>
      <c r="G5022" s="26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28"/>
      <c r="AR5022" s="28"/>
      <c r="AS5022" s="28"/>
      <c r="AT5022" s="28"/>
    </row>
    <row r="5023">
      <c r="A5023" s="14"/>
      <c r="B5023" s="15"/>
      <c r="C5023" s="16"/>
      <c r="D5023" s="15"/>
      <c r="F5023" s="15"/>
      <c r="G5023" s="26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8"/>
      <c r="AH5023" s="28"/>
      <c r="AI5023" s="28"/>
      <c r="AJ5023" s="28"/>
      <c r="AK5023" s="28"/>
      <c r="AL5023" s="28"/>
      <c r="AM5023" s="28"/>
      <c r="AN5023" s="28"/>
      <c r="AO5023" s="28"/>
      <c r="AP5023" s="28"/>
      <c r="AQ5023" s="28"/>
      <c r="AR5023" s="28"/>
      <c r="AS5023" s="28"/>
      <c r="AT5023" s="28"/>
    </row>
    <row r="5024">
      <c r="A5024" s="14"/>
      <c r="B5024" s="15"/>
      <c r="C5024" s="16"/>
      <c r="D5024" s="15"/>
      <c r="F5024" s="15"/>
      <c r="G5024" s="26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28"/>
      <c r="AR5024" s="28"/>
      <c r="AS5024" s="28"/>
      <c r="AT5024" s="28"/>
    </row>
    <row r="5025">
      <c r="A5025" s="14"/>
      <c r="B5025" s="15"/>
      <c r="C5025" s="16"/>
      <c r="D5025" s="15"/>
      <c r="F5025" s="15"/>
      <c r="G5025" s="26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28"/>
      <c r="AS5025" s="28"/>
      <c r="AT5025" s="28"/>
    </row>
    <row r="5026">
      <c r="A5026" s="14"/>
      <c r="B5026" s="15"/>
      <c r="C5026" s="16"/>
      <c r="D5026" s="15"/>
      <c r="F5026" s="15"/>
      <c r="G5026" s="26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28"/>
      <c r="AS5026" s="28"/>
      <c r="AT5026" s="28"/>
    </row>
    <row r="5027">
      <c r="A5027" s="14"/>
      <c r="B5027" s="15"/>
      <c r="C5027" s="16"/>
      <c r="D5027" s="15"/>
      <c r="F5027" s="15"/>
      <c r="G5027" s="26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28"/>
      <c r="AS5027" s="28"/>
      <c r="AT5027" s="28"/>
    </row>
    <row r="5028">
      <c r="A5028" s="14"/>
      <c r="B5028" s="15"/>
      <c r="C5028" s="16"/>
      <c r="D5028" s="15"/>
      <c r="F5028" s="15"/>
      <c r="G5028" s="26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28"/>
      <c r="AS5028" s="28"/>
      <c r="AT5028" s="28"/>
    </row>
    <row r="5029">
      <c r="A5029" s="14"/>
      <c r="B5029" s="15"/>
      <c r="C5029" s="16"/>
      <c r="D5029" s="15"/>
      <c r="F5029" s="15"/>
      <c r="G5029" s="26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28"/>
      <c r="AS5029" s="28"/>
      <c r="AT5029" s="28"/>
    </row>
    <row r="5030">
      <c r="A5030" s="14"/>
      <c r="B5030" s="15"/>
      <c r="C5030" s="16"/>
      <c r="D5030" s="15"/>
      <c r="F5030" s="15"/>
      <c r="G5030" s="26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28"/>
      <c r="AS5030" s="28"/>
      <c r="AT5030" s="28"/>
    </row>
    <row r="5031">
      <c r="A5031" s="14"/>
      <c r="B5031" s="15"/>
      <c r="C5031" s="16"/>
      <c r="D5031" s="15"/>
      <c r="F5031" s="15"/>
      <c r="G5031" s="26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28"/>
      <c r="AS5031" s="28"/>
      <c r="AT5031" s="28"/>
    </row>
    <row r="5032">
      <c r="A5032" s="14"/>
      <c r="B5032" s="15"/>
      <c r="C5032" s="16"/>
      <c r="D5032" s="15"/>
      <c r="F5032" s="15"/>
      <c r="G5032" s="26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28"/>
      <c r="AS5032" s="28"/>
      <c r="AT5032" s="28"/>
    </row>
    <row r="5033">
      <c r="A5033" s="14"/>
      <c r="B5033" s="15"/>
      <c r="C5033" s="16"/>
      <c r="D5033" s="15"/>
      <c r="F5033" s="15"/>
      <c r="G5033" s="26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28"/>
      <c r="AS5033" s="28"/>
      <c r="AT5033" s="28"/>
    </row>
    <row r="5034">
      <c r="A5034" s="14"/>
      <c r="B5034" s="15"/>
      <c r="C5034" s="16"/>
      <c r="D5034" s="15"/>
      <c r="F5034" s="15"/>
      <c r="G5034" s="26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28"/>
      <c r="AS5034" s="28"/>
      <c r="AT5034" s="28"/>
    </row>
    <row r="5035">
      <c r="A5035" s="14"/>
      <c r="B5035" s="15"/>
      <c r="C5035" s="16"/>
      <c r="D5035" s="15"/>
      <c r="F5035" s="15"/>
      <c r="G5035" s="26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28"/>
      <c r="AS5035" s="28"/>
      <c r="AT5035" s="28"/>
    </row>
    <row r="5036">
      <c r="A5036" s="14"/>
      <c r="B5036" s="15"/>
      <c r="C5036" s="16"/>
      <c r="D5036" s="15"/>
      <c r="F5036" s="15"/>
      <c r="G5036" s="26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28"/>
      <c r="AS5036" s="28"/>
      <c r="AT5036" s="28"/>
    </row>
    <row r="5037">
      <c r="A5037" s="14"/>
      <c r="B5037" s="15"/>
      <c r="C5037" s="16"/>
      <c r="D5037" s="15"/>
      <c r="F5037" s="15"/>
      <c r="G5037" s="26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28"/>
      <c r="AS5037" s="28"/>
      <c r="AT5037" s="28"/>
    </row>
    <row r="5038">
      <c r="A5038" s="14"/>
      <c r="B5038" s="15"/>
      <c r="C5038" s="16"/>
      <c r="D5038" s="15"/>
      <c r="F5038" s="15"/>
      <c r="G5038" s="26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28"/>
      <c r="AS5038" s="28"/>
      <c r="AT5038" s="28"/>
    </row>
    <row r="5039">
      <c r="A5039" s="14"/>
      <c r="B5039" s="15"/>
      <c r="C5039" s="16"/>
      <c r="D5039" s="15"/>
      <c r="F5039" s="15"/>
      <c r="G5039" s="26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28"/>
      <c r="AS5039" s="28"/>
      <c r="AT5039" s="28"/>
    </row>
    <row r="5040">
      <c r="A5040" s="14"/>
      <c r="B5040" s="15"/>
      <c r="C5040" s="16"/>
      <c r="D5040" s="15"/>
      <c r="F5040" s="15"/>
      <c r="G5040" s="26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28"/>
      <c r="AS5040" s="28"/>
      <c r="AT5040" s="28"/>
    </row>
    <row r="5041">
      <c r="A5041" s="14"/>
      <c r="B5041" s="15"/>
      <c r="C5041" s="16"/>
      <c r="D5041" s="15"/>
      <c r="F5041" s="15"/>
      <c r="G5041" s="26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28"/>
      <c r="AS5041" s="28"/>
      <c r="AT5041" s="28"/>
    </row>
    <row r="5042">
      <c r="A5042" s="14"/>
      <c r="B5042" s="15"/>
      <c r="C5042" s="16"/>
      <c r="D5042" s="15"/>
      <c r="F5042" s="15"/>
      <c r="G5042" s="26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28"/>
      <c r="AS5042" s="28"/>
      <c r="AT5042" s="28"/>
    </row>
    <row r="5043">
      <c r="A5043" s="14"/>
      <c r="B5043" s="15"/>
      <c r="C5043" s="16"/>
      <c r="D5043" s="15"/>
      <c r="F5043" s="15"/>
      <c r="G5043" s="26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28"/>
      <c r="AS5043" s="28"/>
      <c r="AT5043" s="28"/>
    </row>
    <row r="5044">
      <c r="A5044" s="14"/>
      <c r="B5044" s="15"/>
      <c r="C5044" s="16"/>
      <c r="D5044" s="15"/>
      <c r="F5044" s="15"/>
      <c r="G5044" s="26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28"/>
      <c r="AS5044" s="28"/>
      <c r="AT5044" s="28"/>
    </row>
    <row r="5045">
      <c r="A5045" s="14"/>
      <c r="B5045" s="15"/>
      <c r="C5045" s="16"/>
      <c r="D5045" s="15"/>
      <c r="F5045" s="15"/>
      <c r="G5045" s="26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28"/>
      <c r="AS5045" s="28"/>
      <c r="AT5045" s="28"/>
    </row>
    <row r="5046">
      <c r="A5046" s="14"/>
      <c r="B5046" s="15"/>
      <c r="C5046" s="16"/>
      <c r="D5046" s="15"/>
      <c r="F5046" s="15"/>
      <c r="G5046" s="26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  <c r="AF5046" s="28"/>
      <c r="AG5046" s="28"/>
      <c r="AH5046" s="28"/>
      <c r="AI5046" s="28"/>
      <c r="AJ5046" s="28"/>
      <c r="AK5046" s="28"/>
      <c r="AL5046" s="28"/>
      <c r="AM5046" s="28"/>
      <c r="AN5046" s="28"/>
      <c r="AO5046" s="28"/>
      <c r="AP5046" s="28"/>
      <c r="AQ5046" s="28"/>
      <c r="AR5046" s="28"/>
      <c r="AS5046" s="28"/>
      <c r="AT5046" s="28"/>
    </row>
    <row r="5047">
      <c r="A5047" s="14"/>
      <c r="B5047" s="15"/>
      <c r="C5047" s="16"/>
      <c r="D5047" s="15"/>
      <c r="F5047" s="15"/>
      <c r="G5047" s="26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  <c r="AF5047" s="28"/>
      <c r="AG5047" s="28"/>
      <c r="AH5047" s="28"/>
      <c r="AI5047" s="28"/>
      <c r="AJ5047" s="28"/>
      <c r="AK5047" s="28"/>
      <c r="AL5047" s="28"/>
      <c r="AM5047" s="28"/>
      <c r="AN5047" s="28"/>
      <c r="AO5047" s="28"/>
      <c r="AP5047" s="28"/>
      <c r="AQ5047" s="28"/>
      <c r="AR5047" s="28"/>
      <c r="AS5047" s="28"/>
      <c r="AT5047" s="28"/>
    </row>
    <row r="5048">
      <c r="A5048" s="14"/>
      <c r="B5048" s="15"/>
      <c r="C5048" s="16"/>
      <c r="D5048" s="15"/>
      <c r="F5048" s="15"/>
      <c r="G5048" s="26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  <c r="AF5048" s="28"/>
      <c r="AG5048" s="28"/>
      <c r="AH5048" s="28"/>
      <c r="AI5048" s="28"/>
      <c r="AJ5048" s="28"/>
      <c r="AK5048" s="28"/>
      <c r="AL5048" s="28"/>
      <c r="AM5048" s="28"/>
      <c r="AN5048" s="28"/>
      <c r="AO5048" s="28"/>
      <c r="AP5048" s="28"/>
      <c r="AQ5048" s="28"/>
      <c r="AR5048" s="28"/>
      <c r="AS5048" s="28"/>
      <c r="AT5048" s="28"/>
    </row>
    <row r="5049">
      <c r="A5049" s="14"/>
      <c r="B5049" s="15"/>
      <c r="C5049" s="16"/>
      <c r="D5049" s="15"/>
      <c r="F5049" s="15"/>
      <c r="G5049" s="26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  <c r="AF5049" s="28"/>
      <c r="AG5049" s="28"/>
      <c r="AH5049" s="28"/>
      <c r="AI5049" s="28"/>
      <c r="AJ5049" s="28"/>
      <c r="AK5049" s="28"/>
      <c r="AL5049" s="28"/>
      <c r="AM5049" s="28"/>
      <c r="AN5049" s="28"/>
      <c r="AO5049" s="28"/>
      <c r="AP5049" s="28"/>
      <c r="AQ5049" s="28"/>
      <c r="AR5049" s="28"/>
      <c r="AS5049" s="28"/>
      <c r="AT5049" s="28"/>
    </row>
    <row r="5050">
      <c r="A5050" s="14"/>
      <c r="B5050" s="15"/>
      <c r="C5050" s="16"/>
      <c r="D5050" s="15"/>
      <c r="F5050" s="15"/>
      <c r="G5050" s="26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  <c r="AF5050" s="28"/>
      <c r="AG5050" s="28"/>
      <c r="AH5050" s="28"/>
      <c r="AI5050" s="28"/>
      <c r="AJ5050" s="28"/>
      <c r="AK5050" s="28"/>
      <c r="AL5050" s="28"/>
      <c r="AM5050" s="28"/>
      <c r="AN5050" s="28"/>
      <c r="AO5050" s="28"/>
      <c r="AP5050" s="28"/>
      <c r="AQ5050" s="28"/>
      <c r="AR5050" s="28"/>
      <c r="AS5050" s="28"/>
      <c r="AT5050" s="28"/>
    </row>
    <row r="5051">
      <c r="A5051" s="14"/>
      <c r="B5051" s="15"/>
      <c r="C5051" s="16"/>
      <c r="D5051" s="15"/>
      <c r="F5051" s="15"/>
      <c r="G5051" s="26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  <c r="AF5051" s="28"/>
      <c r="AG5051" s="28"/>
      <c r="AH5051" s="28"/>
      <c r="AI5051" s="28"/>
      <c r="AJ5051" s="28"/>
      <c r="AK5051" s="28"/>
      <c r="AL5051" s="28"/>
      <c r="AM5051" s="28"/>
      <c r="AN5051" s="28"/>
      <c r="AO5051" s="28"/>
      <c r="AP5051" s="28"/>
      <c r="AQ5051" s="28"/>
      <c r="AR5051" s="28"/>
      <c r="AS5051" s="28"/>
      <c r="AT5051" s="28"/>
    </row>
    <row r="5052">
      <c r="A5052" s="14"/>
      <c r="B5052" s="15"/>
      <c r="C5052" s="16"/>
      <c r="D5052" s="15"/>
      <c r="F5052" s="15"/>
      <c r="G5052" s="26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  <c r="AF5052" s="28"/>
      <c r="AG5052" s="28"/>
      <c r="AH5052" s="28"/>
      <c r="AI5052" s="28"/>
      <c r="AJ5052" s="28"/>
      <c r="AK5052" s="28"/>
      <c r="AL5052" s="28"/>
      <c r="AM5052" s="28"/>
      <c r="AN5052" s="28"/>
      <c r="AO5052" s="28"/>
      <c r="AP5052" s="28"/>
      <c r="AQ5052" s="28"/>
      <c r="AR5052" s="28"/>
      <c r="AS5052" s="28"/>
      <c r="AT5052" s="28"/>
    </row>
    <row r="5053">
      <c r="A5053" s="14"/>
      <c r="B5053" s="15"/>
      <c r="C5053" s="16"/>
      <c r="D5053" s="15"/>
      <c r="F5053" s="15"/>
      <c r="G5053" s="26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  <c r="AF5053" s="28"/>
      <c r="AG5053" s="28"/>
      <c r="AH5053" s="28"/>
      <c r="AI5053" s="28"/>
      <c r="AJ5053" s="28"/>
      <c r="AK5053" s="28"/>
      <c r="AL5053" s="28"/>
      <c r="AM5053" s="28"/>
      <c r="AN5053" s="28"/>
      <c r="AO5053" s="28"/>
      <c r="AP5053" s="28"/>
      <c r="AQ5053" s="28"/>
      <c r="AR5053" s="28"/>
      <c r="AS5053" s="28"/>
      <c r="AT5053" s="28"/>
    </row>
    <row r="5054">
      <c r="A5054" s="14"/>
      <c r="B5054" s="15"/>
      <c r="C5054" s="16"/>
      <c r="D5054" s="15"/>
      <c r="F5054" s="15"/>
      <c r="G5054" s="26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  <c r="AF5054" s="28"/>
      <c r="AG5054" s="28"/>
      <c r="AH5054" s="28"/>
      <c r="AI5054" s="28"/>
      <c r="AJ5054" s="28"/>
      <c r="AK5054" s="28"/>
      <c r="AL5054" s="28"/>
      <c r="AM5054" s="28"/>
      <c r="AN5054" s="28"/>
      <c r="AO5054" s="28"/>
      <c r="AP5054" s="28"/>
      <c r="AQ5054" s="28"/>
      <c r="AR5054" s="28"/>
      <c r="AS5054" s="28"/>
      <c r="AT5054" s="28"/>
    </row>
    <row r="5055">
      <c r="A5055" s="14"/>
      <c r="B5055" s="15"/>
      <c r="C5055" s="16"/>
      <c r="D5055" s="15"/>
      <c r="F5055" s="15"/>
      <c r="G5055" s="26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  <c r="AF5055" s="28"/>
      <c r="AG5055" s="28"/>
      <c r="AH5055" s="28"/>
      <c r="AI5055" s="28"/>
      <c r="AJ5055" s="28"/>
      <c r="AK5055" s="28"/>
      <c r="AL5055" s="28"/>
      <c r="AM5055" s="28"/>
      <c r="AN5055" s="28"/>
      <c r="AO5055" s="28"/>
      <c r="AP5055" s="28"/>
      <c r="AQ5055" s="28"/>
      <c r="AR5055" s="28"/>
      <c r="AS5055" s="28"/>
      <c r="AT5055" s="28"/>
    </row>
    <row r="5056">
      <c r="A5056" s="14"/>
      <c r="B5056" s="15"/>
      <c r="C5056" s="16"/>
      <c r="D5056" s="15"/>
      <c r="F5056" s="15"/>
      <c r="G5056" s="26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  <c r="AF5056" s="28"/>
      <c r="AG5056" s="28"/>
      <c r="AH5056" s="28"/>
      <c r="AI5056" s="28"/>
      <c r="AJ5056" s="28"/>
      <c r="AK5056" s="28"/>
      <c r="AL5056" s="28"/>
      <c r="AM5056" s="28"/>
      <c r="AN5056" s="28"/>
      <c r="AO5056" s="28"/>
      <c r="AP5056" s="28"/>
      <c r="AQ5056" s="28"/>
      <c r="AR5056" s="28"/>
      <c r="AS5056" s="28"/>
      <c r="AT5056" s="28"/>
    </row>
    <row r="5057">
      <c r="A5057" s="14"/>
      <c r="B5057" s="15"/>
      <c r="C5057" s="16"/>
      <c r="D5057" s="15"/>
      <c r="F5057" s="15"/>
      <c r="G5057" s="26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  <c r="AF5057" s="28"/>
      <c r="AG5057" s="28"/>
      <c r="AH5057" s="28"/>
      <c r="AI5057" s="28"/>
      <c r="AJ5057" s="28"/>
      <c r="AK5057" s="28"/>
      <c r="AL5057" s="28"/>
      <c r="AM5057" s="28"/>
      <c r="AN5057" s="28"/>
      <c r="AO5057" s="28"/>
      <c r="AP5057" s="28"/>
      <c r="AQ5057" s="28"/>
      <c r="AR5057" s="28"/>
      <c r="AS5057" s="28"/>
      <c r="AT5057" s="28"/>
    </row>
    <row r="5058">
      <c r="A5058" s="14"/>
      <c r="B5058" s="15"/>
      <c r="C5058" s="16"/>
      <c r="D5058" s="15"/>
      <c r="F5058" s="15"/>
      <c r="G5058" s="26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  <c r="AF5058" s="28"/>
      <c r="AG5058" s="28"/>
      <c r="AH5058" s="28"/>
      <c r="AI5058" s="28"/>
      <c r="AJ5058" s="28"/>
      <c r="AK5058" s="28"/>
      <c r="AL5058" s="28"/>
      <c r="AM5058" s="28"/>
      <c r="AN5058" s="28"/>
      <c r="AO5058" s="28"/>
      <c r="AP5058" s="28"/>
      <c r="AQ5058" s="28"/>
      <c r="AR5058" s="28"/>
      <c r="AS5058" s="28"/>
      <c r="AT5058" s="28"/>
    </row>
    <row r="5059">
      <c r="A5059" s="14"/>
      <c r="B5059" s="15"/>
      <c r="C5059" s="16"/>
      <c r="D5059" s="15"/>
      <c r="F5059" s="15"/>
      <c r="G5059" s="26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  <c r="AF5059" s="28"/>
      <c r="AG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28"/>
      <c r="AR5059" s="28"/>
      <c r="AS5059" s="28"/>
      <c r="AT5059" s="28"/>
    </row>
    <row r="5060">
      <c r="A5060" s="14"/>
      <c r="B5060" s="15"/>
      <c r="C5060" s="16"/>
      <c r="D5060" s="15"/>
      <c r="F5060" s="15"/>
      <c r="G5060" s="26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  <c r="AF5060" s="28"/>
      <c r="AG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28"/>
      <c r="AS5060" s="28"/>
      <c r="AT5060" s="28"/>
    </row>
    <row r="5061">
      <c r="A5061" s="14"/>
      <c r="B5061" s="15"/>
      <c r="C5061" s="16"/>
      <c r="D5061" s="15"/>
      <c r="F5061" s="15"/>
      <c r="G5061" s="26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  <c r="AF5061" s="28"/>
      <c r="AG5061" s="28"/>
      <c r="AH5061" s="28"/>
      <c r="AI5061" s="28"/>
      <c r="AJ5061" s="28"/>
      <c r="AK5061" s="28"/>
      <c r="AL5061" s="28"/>
      <c r="AM5061" s="28"/>
      <c r="AN5061" s="28"/>
      <c r="AO5061" s="28"/>
      <c r="AP5061" s="28"/>
      <c r="AQ5061" s="28"/>
      <c r="AR5061" s="28"/>
      <c r="AS5061" s="28"/>
      <c r="AT5061" s="28"/>
    </row>
    <row r="5062">
      <c r="A5062" s="14"/>
      <c r="B5062" s="15"/>
      <c r="C5062" s="16"/>
      <c r="D5062" s="15"/>
      <c r="F5062" s="15"/>
      <c r="G5062" s="26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  <c r="AF5062" s="28"/>
      <c r="AG5062" s="28"/>
      <c r="AH5062" s="28"/>
      <c r="AI5062" s="28"/>
      <c r="AJ5062" s="28"/>
      <c r="AK5062" s="28"/>
      <c r="AL5062" s="28"/>
      <c r="AM5062" s="28"/>
      <c r="AN5062" s="28"/>
      <c r="AO5062" s="28"/>
      <c r="AP5062" s="28"/>
      <c r="AQ5062" s="28"/>
      <c r="AR5062" s="28"/>
      <c r="AS5062" s="28"/>
      <c r="AT5062" s="28"/>
    </row>
    <row r="5063">
      <c r="A5063" s="14"/>
      <c r="B5063" s="15"/>
      <c r="C5063" s="16"/>
      <c r="D5063" s="15"/>
      <c r="F5063" s="15"/>
      <c r="G5063" s="26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8"/>
      <c r="X5063" s="28"/>
      <c r="Y5063" s="28"/>
      <c r="Z5063" s="28"/>
      <c r="AA5063" s="28"/>
      <c r="AB5063" s="28"/>
      <c r="AC5063" s="28"/>
      <c r="AD5063" s="28"/>
      <c r="AE5063" s="28"/>
      <c r="AF5063" s="28"/>
      <c r="AG5063" s="28"/>
      <c r="AH5063" s="28"/>
      <c r="AI5063" s="28"/>
      <c r="AJ5063" s="28"/>
      <c r="AK5063" s="28"/>
      <c r="AL5063" s="28"/>
      <c r="AM5063" s="28"/>
      <c r="AN5063" s="28"/>
      <c r="AO5063" s="28"/>
      <c r="AP5063" s="28"/>
      <c r="AQ5063" s="28"/>
      <c r="AR5063" s="28"/>
      <c r="AS5063" s="28"/>
      <c r="AT5063" s="28"/>
    </row>
    <row r="5064">
      <c r="A5064" s="14"/>
      <c r="B5064" s="15"/>
      <c r="C5064" s="16"/>
      <c r="D5064" s="15"/>
      <c r="F5064" s="15"/>
      <c r="G5064" s="26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8"/>
      <c r="X5064" s="28"/>
      <c r="Y5064" s="28"/>
      <c r="Z5064" s="28"/>
      <c r="AA5064" s="28"/>
      <c r="AB5064" s="28"/>
      <c r="AC5064" s="28"/>
      <c r="AD5064" s="28"/>
      <c r="AE5064" s="28"/>
      <c r="AF5064" s="28"/>
      <c r="AG5064" s="28"/>
      <c r="AH5064" s="28"/>
      <c r="AI5064" s="28"/>
      <c r="AJ5064" s="28"/>
      <c r="AK5064" s="28"/>
      <c r="AL5064" s="28"/>
      <c r="AM5064" s="28"/>
      <c r="AN5064" s="28"/>
      <c r="AO5064" s="28"/>
      <c r="AP5064" s="28"/>
      <c r="AQ5064" s="28"/>
      <c r="AR5064" s="28"/>
      <c r="AS5064" s="28"/>
      <c r="AT5064" s="28"/>
    </row>
    <row r="5065">
      <c r="A5065" s="14"/>
      <c r="B5065" s="15"/>
      <c r="C5065" s="16"/>
      <c r="D5065" s="15"/>
      <c r="F5065" s="15"/>
      <c r="G5065" s="26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  <c r="AF5065" s="28"/>
      <c r="AG5065" s="28"/>
      <c r="AH5065" s="28"/>
      <c r="AI5065" s="28"/>
      <c r="AJ5065" s="28"/>
      <c r="AK5065" s="28"/>
      <c r="AL5065" s="28"/>
      <c r="AM5065" s="28"/>
      <c r="AN5065" s="28"/>
      <c r="AO5065" s="28"/>
      <c r="AP5065" s="28"/>
      <c r="AQ5065" s="28"/>
      <c r="AR5065" s="28"/>
      <c r="AS5065" s="28"/>
      <c r="AT5065" s="28"/>
    </row>
    <row r="5066">
      <c r="A5066" s="14"/>
      <c r="B5066" s="15"/>
      <c r="C5066" s="16"/>
      <c r="D5066" s="15"/>
      <c r="F5066" s="15"/>
      <c r="G5066" s="26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8"/>
      <c r="X5066" s="28"/>
      <c r="Y5066" s="28"/>
      <c r="Z5066" s="28"/>
      <c r="AA5066" s="28"/>
      <c r="AB5066" s="28"/>
      <c r="AC5066" s="28"/>
      <c r="AD5066" s="28"/>
      <c r="AE5066" s="28"/>
      <c r="AF5066" s="28"/>
      <c r="AG5066" s="28"/>
      <c r="AH5066" s="28"/>
      <c r="AI5066" s="28"/>
      <c r="AJ5066" s="28"/>
      <c r="AK5066" s="28"/>
      <c r="AL5066" s="28"/>
      <c r="AM5066" s="28"/>
      <c r="AN5066" s="28"/>
      <c r="AO5066" s="28"/>
      <c r="AP5066" s="28"/>
      <c r="AQ5066" s="28"/>
      <c r="AR5066" s="28"/>
      <c r="AS5066" s="28"/>
      <c r="AT5066" s="28"/>
    </row>
    <row r="5067">
      <c r="A5067" s="14"/>
      <c r="B5067" s="15"/>
      <c r="C5067" s="16"/>
      <c r="D5067" s="15"/>
      <c r="F5067" s="15"/>
      <c r="G5067" s="26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8"/>
      <c r="X5067" s="28"/>
      <c r="Y5067" s="28"/>
      <c r="Z5067" s="28"/>
      <c r="AA5067" s="28"/>
      <c r="AB5067" s="28"/>
      <c r="AC5067" s="28"/>
      <c r="AD5067" s="28"/>
      <c r="AE5067" s="28"/>
      <c r="AF5067" s="28"/>
      <c r="AG5067" s="28"/>
      <c r="AH5067" s="28"/>
      <c r="AI5067" s="28"/>
      <c r="AJ5067" s="28"/>
      <c r="AK5067" s="28"/>
      <c r="AL5067" s="28"/>
      <c r="AM5067" s="28"/>
      <c r="AN5067" s="28"/>
      <c r="AO5067" s="28"/>
      <c r="AP5067" s="28"/>
      <c r="AQ5067" s="28"/>
      <c r="AR5067" s="28"/>
      <c r="AS5067" s="28"/>
      <c r="AT5067" s="28"/>
    </row>
    <row r="5068">
      <c r="A5068" s="14"/>
      <c r="B5068" s="15"/>
      <c r="C5068" s="16"/>
      <c r="D5068" s="15"/>
      <c r="F5068" s="15"/>
      <c r="G5068" s="26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28"/>
      <c r="AR5068" s="28"/>
      <c r="AS5068" s="28"/>
      <c r="AT5068" s="28"/>
    </row>
    <row r="5069">
      <c r="A5069" s="14"/>
      <c r="B5069" s="15"/>
      <c r="C5069" s="16"/>
      <c r="D5069" s="15"/>
      <c r="F5069" s="15"/>
      <c r="G5069" s="26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  <c r="AF5069" s="28"/>
      <c r="AG5069" s="28"/>
      <c r="AH5069" s="28"/>
      <c r="AI5069" s="28"/>
      <c r="AJ5069" s="28"/>
      <c r="AK5069" s="28"/>
      <c r="AL5069" s="28"/>
      <c r="AM5069" s="28"/>
      <c r="AN5069" s="28"/>
      <c r="AO5069" s="28"/>
      <c r="AP5069" s="28"/>
      <c r="AQ5069" s="28"/>
      <c r="AR5069" s="28"/>
      <c r="AS5069" s="28"/>
      <c r="AT5069" s="28"/>
    </row>
    <row r="5070">
      <c r="A5070" s="14"/>
      <c r="B5070" s="15"/>
      <c r="C5070" s="16"/>
      <c r="D5070" s="15"/>
      <c r="F5070" s="15"/>
      <c r="G5070" s="26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8"/>
      <c r="X5070" s="28"/>
      <c r="Y5070" s="28"/>
      <c r="Z5070" s="28"/>
      <c r="AA5070" s="28"/>
      <c r="AB5070" s="28"/>
      <c r="AC5070" s="28"/>
      <c r="AD5070" s="28"/>
      <c r="AE5070" s="28"/>
      <c r="AF5070" s="28"/>
      <c r="AG5070" s="28"/>
      <c r="AH5070" s="28"/>
      <c r="AI5070" s="28"/>
      <c r="AJ5070" s="28"/>
      <c r="AK5070" s="28"/>
      <c r="AL5070" s="28"/>
      <c r="AM5070" s="28"/>
      <c r="AN5070" s="28"/>
      <c r="AO5070" s="28"/>
      <c r="AP5070" s="28"/>
      <c r="AQ5070" s="28"/>
      <c r="AR5070" s="28"/>
      <c r="AS5070" s="28"/>
      <c r="AT5070" s="28"/>
    </row>
    <row r="5071">
      <c r="A5071" s="14"/>
      <c r="B5071" s="15"/>
      <c r="C5071" s="16"/>
      <c r="D5071" s="15"/>
      <c r="F5071" s="15"/>
      <c r="G5071" s="26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8"/>
      <c r="X5071" s="28"/>
      <c r="Y5071" s="28"/>
      <c r="Z5071" s="28"/>
      <c r="AA5071" s="28"/>
      <c r="AB5071" s="28"/>
      <c r="AC5071" s="28"/>
      <c r="AD5071" s="28"/>
      <c r="AE5071" s="28"/>
      <c r="AF5071" s="28"/>
      <c r="AG5071" s="28"/>
      <c r="AH5071" s="28"/>
      <c r="AI5071" s="28"/>
      <c r="AJ5071" s="28"/>
      <c r="AK5071" s="28"/>
      <c r="AL5071" s="28"/>
      <c r="AM5071" s="28"/>
      <c r="AN5071" s="28"/>
      <c r="AO5071" s="28"/>
      <c r="AP5071" s="28"/>
      <c r="AQ5071" s="28"/>
      <c r="AR5071" s="28"/>
      <c r="AS5071" s="28"/>
      <c r="AT5071" s="28"/>
    </row>
    <row r="5072">
      <c r="A5072" s="14"/>
      <c r="B5072" s="15"/>
      <c r="C5072" s="16"/>
      <c r="D5072" s="15"/>
      <c r="F5072" s="15"/>
      <c r="G5072" s="26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  <c r="AF5072" s="28"/>
      <c r="AG5072" s="28"/>
      <c r="AH5072" s="28"/>
      <c r="AI5072" s="28"/>
      <c r="AJ5072" s="28"/>
      <c r="AK5072" s="28"/>
      <c r="AL5072" s="28"/>
      <c r="AM5072" s="28"/>
      <c r="AN5072" s="28"/>
      <c r="AO5072" s="28"/>
      <c r="AP5072" s="28"/>
      <c r="AQ5072" s="28"/>
      <c r="AR5072" s="28"/>
      <c r="AS5072" s="28"/>
      <c r="AT5072" s="28"/>
    </row>
    <row r="5073">
      <c r="A5073" s="14"/>
      <c r="B5073" s="15"/>
      <c r="C5073" s="16"/>
      <c r="D5073" s="15"/>
      <c r="F5073" s="15"/>
      <c r="G5073" s="26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8"/>
      <c r="X5073" s="28"/>
      <c r="Y5073" s="28"/>
      <c r="Z5073" s="28"/>
      <c r="AA5073" s="28"/>
      <c r="AB5073" s="28"/>
      <c r="AC5073" s="28"/>
      <c r="AD5073" s="28"/>
      <c r="AE5073" s="28"/>
      <c r="AF5073" s="28"/>
      <c r="AG5073" s="28"/>
      <c r="AH5073" s="28"/>
      <c r="AI5073" s="28"/>
      <c r="AJ5073" s="28"/>
      <c r="AK5073" s="28"/>
      <c r="AL5073" s="28"/>
      <c r="AM5073" s="28"/>
      <c r="AN5073" s="28"/>
      <c r="AO5073" s="28"/>
      <c r="AP5073" s="28"/>
      <c r="AQ5073" s="28"/>
      <c r="AR5073" s="28"/>
      <c r="AS5073" s="28"/>
      <c r="AT5073" s="28"/>
    </row>
    <row r="5074">
      <c r="A5074" s="14"/>
      <c r="B5074" s="15"/>
      <c r="C5074" s="16"/>
      <c r="D5074" s="15"/>
      <c r="F5074" s="15"/>
      <c r="G5074" s="26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8"/>
      <c r="X5074" s="28"/>
      <c r="Y5074" s="28"/>
      <c r="Z5074" s="28"/>
      <c r="AA5074" s="28"/>
      <c r="AB5074" s="28"/>
      <c r="AC5074" s="28"/>
      <c r="AD5074" s="28"/>
      <c r="AE5074" s="28"/>
      <c r="AF5074" s="28"/>
      <c r="AG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28"/>
      <c r="AR5074" s="28"/>
      <c r="AS5074" s="28"/>
      <c r="AT5074" s="28"/>
    </row>
    <row r="5075">
      <c r="A5075" s="14"/>
      <c r="B5075" s="15"/>
      <c r="C5075" s="16"/>
      <c r="D5075" s="15"/>
      <c r="F5075" s="15"/>
      <c r="G5075" s="26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8"/>
      <c r="X5075" s="28"/>
      <c r="Y5075" s="28"/>
      <c r="Z5075" s="28"/>
      <c r="AA5075" s="28"/>
      <c r="AB5075" s="28"/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28"/>
      <c r="AS5075" s="28"/>
      <c r="AT5075" s="28"/>
    </row>
    <row r="5076">
      <c r="A5076" s="14"/>
      <c r="B5076" s="15"/>
      <c r="C5076" s="16"/>
      <c r="D5076" s="15"/>
      <c r="F5076" s="15"/>
      <c r="G5076" s="26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28"/>
      <c r="AS5076" s="28"/>
      <c r="AT5076" s="28"/>
    </row>
    <row r="5077">
      <c r="A5077" s="14"/>
      <c r="B5077" s="15"/>
      <c r="C5077" s="16"/>
      <c r="D5077" s="15"/>
      <c r="F5077" s="15"/>
      <c r="G5077" s="26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8"/>
      <c r="X5077" s="28"/>
      <c r="Y5077" s="28"/>
      <c r="Z5077" s="28"/>
      <c r="AA5077" s="28"/>
      <c r="AB5077" s="28"/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O5077" s="28"/>
      <c r="AP5077" s="28"/>
      <c r="AQ5077" s="28"/>
      <c r="AR5077" s="28"/>
      <c r="AS5077" s="28"/>
      <c r="AT5077" s="28"/>
    </row>
    <row r="5078">
      <c r="A5078" s="14"/>
      <c r="B5078" s="15"/>
      <c r="C5078" s="16"/>
      <c r="D5078" s="15"/>
      <c r="F5078" s="15"/>
      <c r="G5078" s="26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8"/>
      <c r="X5078" s="28"/>
      <c r="Y5078" s="28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28"/>
      <c r="AR5078" s="28"/>
      <c r="AS5078" s="28"/>
      <c r="AT5078" s="28"/>
    </row>
    <row r="5079">
      <c r="A5079" s="14"/>
      <c r="B5079" s="15"/>
      <c r="C5079" s="16"/>
      <c r="D5079" s="15"/>
      <c r="F5079" s="15"/>
      <c r="G5079" s="26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8"/>
      <c r="X5079" s="28"/>
      <c r="Y5079" s="28"/>
      <c r="Z5079" s="28"/>
      <c r="AA5079" s="28"/>
      <c r="AB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R5079" s="28"/>
      <c r="AS5079" s="28"/>
      <c r="AT5079" s="28"/>
    </row>
    <row r="5080">
      <c r="A5080" s="14"/>
      <c r="B5080" s="15"/>
      <c r="C5080" s="16"/>
      <c r="D5080" s="15"/>
      <c r="F5080" s="15"/>
      <c r="G5080" s="26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28"/>
      <c r="AS5080" s="28"/>
      <c r="AT5080" s="28"/>
    </row>
    <row r="5081">
      <c r="A5081" s="14"/>
      <c r="B5081" s="15"/>
      <c r="C5081" s="16"/>
      <c r="D5081" s="15"/>
      <c r="F5081" s="15"/>
      <c r="G5081" s="26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8"/>
      <c r="X5081" s="28"/>
      <c r="Y5081" s="28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28"/>
      <c r="AS5081" s="28"/>
      <c r="AT5081" s="28"/>
    </row>
    <row r="5082">
      <c r="A5082" s="14"/>
      <c r="B5082" s="15"/>
      <c r="C5082" s="16"/>
      <c r="D5082" s="15"/>
      <c r="F5082" s="15"/>
      <c r="G5082" s="26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28"/>
      <c r="AS5082" s="28"/>
      <c r="AT5082" s="28"/>
    </row>
    <row r="5083">
      <c r="A5083" s="14"/>
      <c r="B5083" s="15"/>
      <c r="C5083" s="16"/>
      <c r="D5083" s="15"/>
      <c r="F5083" s="15"/>
      <c r="G5083" s="26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8"/>
      <c r="X5083" s="28"/>
      <c r="Y5083" s="28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28"/>
      <c r="AR5083" s="28"/>
      <c r="AS5083" s="28"/>
      <c r="AT5083" s="28"/>
    </row>
    <row r="5084">
      <c r="A5084" s="14"/>
      <c r="B5084" s="15"/>
      <c r="C5084" s="16"/>
      <c r="D5084" s="15"/>
      <c r="F5084" s="15"/>
      <c r="G5084" s="26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8"/>
      <c r="X5084" s="28"/>
      <c r="Y5084" s="28"/>
      <c r="Z5084" s="28"/>
      <c r="AA5084" s="28"/>
      <c r="AB5084" s="28"/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28"/>
      <c r="AS5084" s="28"/>
      <c r="AT5084" s="28"/>
    </row>
    <row r="5085">
      <c r="A5085" s="14"/>
      <c r="B5085" s="15"/>
      <c r="C5085" s="16"/>
      <c r="D5085" s="15"/>
      <c r="F5085" s="15"/>
      <c r="G5085" s="26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8"/>
      <c r="X5085" s="28"/>
      <c r="Y5085" s="28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28"/>
      <c r="AS5085" s="28"/>
      <c r="AT5085" s="28"/>
    </row>
    <row r="5086">
      <c r="A5086" s="14"/>
      <c r="B5086" s="15"/>
      <c r="C5086" s="16"/>
      <c r="D5086" s="15"/>
      <c r="F5086" s="15"/>
      <c r="G5086" s="26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28"/>
      <c r="AS5086" s="28"/>
      <c r="AT5086" s="28"/>
    </row>
    <row r="5087">
      <c r="A5087" s="14"/>
      <c r="B5087" s="15"/>
      <c r="C5087" s="16"/>
      <c r="D5087" s="15"/>
      <c r="F5087" s="15"/>
      <c r="G5087" s="26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8"/>
      <c r="X5087" s="28"/>
      <c r="Y5087" s="28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28"/>
      <c r="AS5087" s="28"/>
      <c r="AT5087" s="28"/>
    </row>
    <row r="5088">
      <c r="A5088" s="14"/>
      <c r="B5088" s="15"/>
      <c r="C5088" s="16"/>
      <c r="D5088" s="15"/>
      <c r="F5088" s="15"/>
      <c r="G5088" s="26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28"/>
      <c r="AS5088" s="28"/>
      <c r="AT5088" s="28"/>
    </row>
    <row r="5089">
      <c r="A5089" s="14"/>
      <c r="B5089" s="15"/>
      <c r="C5089" s="16"/>
      <c r="D5089" s="15"/>
      <c r="F5089" s="15"/>
      <c r="G5089" s="26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8"/>
      <c r="X5089" s="28"/>
      <c r="Y5089" s="28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28"/>
      <c r="AS5089" s="28"/>
      <c r="AT5089" s="28"/>
    </row>
    <row r="5090">
      <c r="A5090" s="14"/>
      <c r="B5090" s="15"/>
      <c r="C5090" s="16"/>
      <c r="D5090" s="15"/>
      <c r="F5090" s="15"/>
      <c r="G5090" s="26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28"/>
      <c r="AS5090" s="28"/>
      <c r="AT5090" s="28"/>
    </row>
    <row r="5091">
      <c r="A5091" s="14"/>
      <c r="B5091" s="15"/>
      <c r="C5091" s="16"/>
      <c r="D5091" s="15"/>
      <c r="F5091" s="15"/>
      <c r="G5091" s="26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8"/>
      <c r="X5091" s="28"/>
      <c r="Y5091" s="28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28"/>
      <c r="AS5091" s="28"/>
      <c r="AT5091" s="28"/>
    </row>
    <row r="5092">
      <c r="A5092" s="14"/>
      <c r="B5092" s="15"/>
      <c r="C5092" s="16"/>
      <c r="D5092" s="15"/>
      <c r="F5092" s="15"/>
      <c r="G5092" s="26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28"/>
      <c r="AS5092" s="28"/>
      <c r="AT5092" s="28"/>
    </row>
    <row r="5093">
      <c r="A5093" s="14"/>
      <c r="B5093" s="15"/>
      <c r="C5093" s="16"/>
      <c r="D5093" s="15"/>
      <c r="F5093" s="15"/>
      <c r="G5093" s="26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8"/>
      <c r="X5093" s="28"/>
      <c r="Y5093" s="28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28"/>
      <c r="AS5093" s="28"/>
      <c r="AT5093" s="28"/>
    </row>
    <row r="5094">
      <c r="A5094" s="14"/>
      <c r="B5094" s="15"/>
      <c r="C5094" s="16"/>
      <c r="D5094" s="15"/>
      <c r="F5094" s="15"/>
      <c r="G5094" s="26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28"/>
      <c r="AS5094" s="28"/>
      <c r="AT5094" s="28"/>
    </row>
    <row r="5095">
      <c r="A5095" s="14"/>
      <c r="B5095" s="15"/>
      <c r="C5095" s="16"/>
      <c r="D5095" s="15"/>
      <c r="F5095" s="15"/>
      <c r="G5095" s="26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28"/>
      <c r="AS5095" s="28"/>
      <c r="AT5095" s="28"/>
    </row>
    <row r="5096">
      <c r="A5096" s="14"/>
      <c r="B5096" s="15"/>
      <c r="C5096" s="16"/>
      <c r="D5096" s="15"/>
      <c r="F5096" s="15"/>
      <c r="G5096" s="26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8"/>
      <c r="X5096" s="28"/>
      <c r="Y5096" s="28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28"/>
      <c r="AS5096" s="28"/>
      <c r="AT5096" s="28"/>
    </row>
    <row r="5097">
      <c r="A5097" s="14"/>
      <c r="B5097" s="15"/>
      <c r="C5097" s="16"/>
      <c r="D5097" s="15"/>
      <c r="F5097" s="15"/>
      <c r="G5097" s="26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28"/>
      <c r="AS5097" s="28"/>
      <c r="AT5097" s="28"/>
    </row>
    <row r="5098">
      <c r="A5098" s="14"/>
      <c r="B5098" s="15"/>
      <c r="C5098" s="16"/>
      <c r="D5098" s="15"/>
      <c r="F5098" s="15"/>
      <c r="G5098" s="26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8"/>
      <c r="X5098" s="28"/>
      <c r="Y5098" s="28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28"/>
      <c r="AS5098" s="28"/>
      <c r="AT5098" s="28"/>
    </row>
    <row r="5099">
      <c r="A5099" s="14"/>
      <c r="B5099" s="15"/>
      <c r="C5099" s="16"/>
      <c r="D5099" s="15"/>
      <c r="F5099" s="15"/>
      <c r="G5099" s="26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8"/>
      <c r="X5099" s="28"/>
      <c r="Y5099" s="28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28"/>
      <c r="AS5099" s="28"/>
      <c r="AT5099" s="28"/>
    </row>
    <row r="5100">
      <c r="A5100" s="14"/>
      <c r="B5100" s="15"/>
      <c r="C5100" s="16"/>
      <c r="D5100" s="15"/>
      <c r="F5100" s="15"/>
      <c r="G5100" s="26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28"/>
      <c r="AS5100" s="28"/>
      <c r="AT5100" s="28"/>
    </row>
    <row r="5101">
      <c r="A5101" s="14"/>
      <c r="B5101" s="15"/>
      <c r="C5101" s="16"/>
      <c r="D5101" s="15"/>
      <c r="F5101" s="15"/>
      <c r="G5101" s="26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8"/>
      <c r="X5101" s="28"/>
      <c r="Y5101" s="28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28"/>
      <c r="AS5101" s="28"/>
      <c r="AT5101" s="28"/>
    </row>
    <row r="5102">
      <c r="A5102" s="14"/>
      <c r="B5102" s="15"/>
      <c r="C5102" s="16"/>
      <c r="D5102" s="15"/>
      <c r="F5102" s="15"/>
      <c r="G5102" s="26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8"/>
      <c r="X5102" s="28"/>
      <c r="Y5102" s="28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28"/>
      <c r="AS5102" s="28"/>
      <c r="AT5102" s="28"/>
    </row>
    <row r="5103">
      <c r="A5103" s="14"/>
      <c r="B5103" s="15"/>
      <c r="C5103" s="16"/>
      <c r="D5103" s="15"/>
      <c r="F5103" s="15"/>
      <c r="G5103" s="26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28"/>
      <c r="AS5103" s="28"/>
      <c r="AT5103" s="28"/>
    </row>
    <row r="5104">
      <c r="A5104" s="14"/>
      <c r="B5104" s="15"/>
      <c r="C5104" s="16"/>
      <c r="D5104" s="15"/>
      <c r="F5104" s="15"/>
      <c r="G5104" s="26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8"/>
      <c r="X5104" s="28"/>
      <c r="Y5104" s="28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28"/>
      <c r="AS5104" s="28"/>
      <c r="AT5104" s="28"/>
    </row>
    <row r="5105">
      <c r="A5105" s="14"/>
      <c r="B5105" s="15"/>
      <c r="C5105" s="16"/>
      <c r="D5105" s="15"/>
      <c r="F5105" s="15"/>
      <c r="G5105" s="26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28"/>
      <c r="AS5105" s="28"/>
      <c r="AT5105" s="28"/>
    </row>
    <row r="5106">
      <c r="A5106" s="14"/>
      <c r="B5106" s="15"/>
      <c r="C5106" s="16"/>
      <c r="D5106" s="15"/>
      <c r="F5106" s="15"/>
      <c r="G5106" s="26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8"/>
      <c r="X5106" s="28"/>
      <c r="Y5106" s="28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28"/>
      <c r="AS5106" s="28"/>
      <c r="AT5106" s="28"/>
    </row>
    <row r="5107">
      <c r="A5107" s="14"/>
      <c r="B5107" s="15"/>
      <c r="C5107" s="16"/>
      <c r="D5107" s="15"/>
      <c r="F5107" s="15"/>
      <c r="G5107" s="26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8"/>
      <c r="X5107" s="28"/>
      <c r="Y5107" s="28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28"/>
      <c r="AS5107" s="28"/>
      <c r="AT5107" s="28"/>
    </row>
    <row r="5108">
      <c r="A5108" s="14"/>
      <c r="B5108" s="15"/>
      <c r="C5108" s="16"/>
      <c r="D5108" s="15"/>
      <c r="F5108" s="15"/>
      <c r="G5108" s="26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8"/>
      <c r="X5108" s="28"/>
      <c r="Y5108" s="28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28"/>
      <c r="AS5108" s="28"/>
      <c r="AT5108" s="28"/>
    </row>
    <row r="5109">
      <c r="A5109" s="14"/>
      <c r="B5109" s="15"/>
      <c r="C5109" s="16"/>
      <c r="D5109" s="15"/>
      <c r="F5109" s="15"/>
      <c r="G5109" s="26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8"/>
      <c r="X5109" s="28"/>
      <c r="Y5109" s="28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28"/>
      <c r="AS5109" s="28"/>
      <c r="AT5109" s="28"/>
    </row>
    <row r="5110">
      <c r="A5110" s="14"/>
      <c r="B5110" s="15"/>
      <c r="C5110" s="16"/>
      <c r="D5110" s="15"/>
      <c r="F5110" s="15"/>
      <c r="G5110" s="26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28"/>
      <c r="AS5110" s="28"/>
      <c r="AT5110" s="28"/>
    </row>
    <row r="5111">
      <c r="A5111" s="14"/>
      <c r="B5111" s="15"/>
      <c r="C5111" s="16"/>
      <c r="D5111" s="15"/>
      <c r="F5111" s="15"/>
      <c r="G5111" s="26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28"/>
      <c r="AS5111" s="28"/>
      <c r="AT5111" s="28"/>
    </row>
    <row r="5112">
      <c r="A5112" s="14"/>
      <c r="B5112" s="15"/>
      <c r="C5112" s="16"/>
      <c r="D5112" s="15"/>
      <c r="F5112" s="15"/>
      <c r="G5112" s="26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8"/>
      <c r="X5112" s="28"/>
      <c r="Y5112" s="28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28"/>
      <c r="AS5112" s="28"/>
      <c r="AT5112" s="28"/>
    </row>
    <row r="5113">
      <c r="A5113" s="14"/>
      <c r="B5113" s="15"/>
      <c r="C5113" s="16"/>
      <c r="D5113" s="15"/>
      <c r="F5113" s="15"/>
      <c r="G5113" s="26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28"/>
      <c r="AS5113" s="28"/>
      <c r="AT5113" s="28"/>
    </row>
    <row r="5114">
      <c r="A5114" s="14"/>
      <c r="B5114" s="15"/>
      <c r="C5114" s="16"/>
      <c r="D5114" s="15"/>
      <c r="F5114" s="15"/>
      <c r="G5114" s="26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8"/>
      <c r="X5114" s="28"/>
      <c r="Y5114" s="28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28"/>
      <c r="AS5114" s="28"/>
      <c r="AT5114" s="28"/>
    </row>
    <row r="5115">
      <c r="A5115" s="14"/>
      <c r="B5115" s="15"/>
      <c r="C5115" s="16"/>
      <c r="D5115" s="15"/>
      <c r="F5115" s="15"/>
      <c r="G5115" s="26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8"/>
      <c r="X5115" s="28"/>
      <c r="Y5115" s="28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28"/>
      <c r="AS5115" s="28"/>
      <c r="AT5115" s="28"/>
    </row>
    <row r="5116">
      <c r="A5116" s="14"/>
      <c r="B5116" s="15"/>
      <c r="C5116" s="16"/>
      <c r="D5116" s="15"/>
      <c r="F5116" s="15"/>
      <c r="G5116" s="26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28"/>
      <c r="AS5116" s="28"/>
      <c r="AT5116" s="28"/>
    </row>
    <row r="5117">
      <c r="A5117" s="14"/>
      <c r="B5117" s="15"/>
      <c r="C5117" s="16"/>
      <c r="D5117" s="15"/>
      <c r="F5117" s="15"/>
      <c r="G5117" s="26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8"/>
      <c r="X5117" s="28"/>
      <c r="Y5117" s="28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28"/>
      <c r="AS5117" s="28"/>
      <c r="AT5117" s="28"/>
    </row>
    <row r="5118">
      <c r="A5118" s="14"/>
      <c r="B5118" s="15"/>
      <c r="C5118" s="16"/>
      <c r="D5118" s="15"/>
      <c r="F5118" s="15"/>
      <c r="G5118" s="26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8"/>
      <c r="X5118" s="28"/>
      <c r="Y5118" s="28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28"/>
      <c r="AS5118" s="28"/>
      <c r="AT5118" s="28"/>
    </row>
    <row r="5119">
      <c r="A5119" s="14"/>
      <c r="B5119" s="15"/>
      <c r="C5119" s="16"/>
      <c r="D5119" s="15"/>
      <c r="F5119" s="15"/>
      <c r="G5119" s="26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28"/>
      <c r="AS5119" s="28"/>
      <c r="AT5119" s="28"/>
    </row>
    <row r="5120">
      <c r="A5120" s="14"/>
      <c r="B5120" s="15"/>
      <c r="C5120" s="16"/>
      <c r="D5120" s="15"/>
      <c r="F5120" s="15"/>
      <c r="G5120" s="26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8"/>
      <c r="X5120" s="28"/>
      <c r="Y5120" s="28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28"/>
      <c r="AS5120" s="28"/>
      <c r="AT5120" s="28"/>
    </row>
    <row r="5121">
      <c r="A5121" s="14"/>
      <c r="B5121" s="15"/>
      <c r="C5121" s="16"/>
      <c r="D5121" s="15"/>
      <c r="F5121" s="15"/>
      <c r="G5121" s="26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28"/>
      <c r="AS5121" s="28"/>
      <c r="AT5121" s="28"/>
    </row>
    <row r="5122">
      <c r="A5122" s="14"/>
      <c r="B5122" s="15"/>
      <c r="C5122" s="16"/>
      <c r="D5122" s="15"/>
      <c r="F5122" s="15"/>
      <c r="G5122" s="26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28"/>
      <c r="AS5122" s="28"/>
      <c r="AT5122" s="28"/>
    </row>
    <row r="5123">
      <c r="A5123" s="14"/>
      <c r="B5123" s="15"/>
      <c r="C5123" s="16"/>
      <c r="D5123" s="15"/>
      <c r="F5123" s="15"/>
      <c r="G5123" s="26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8"/>
      <c r="X5123" s="28"/>
      <c r="Y5123" s="28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28"/>
      <c r="AS5123" s="28"/>
      <c r="AT5123" s="28"/>
    </row>
    <row r="5124">
      <c r="A5124" s="14"/>
      <c r="B5124" s="15"/>
      <c r="C5124" s="16"/>
      <c r="D5124" s="15"/>
      <c r="F5124" s="15"/>
      <c r="G5124" s="26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28"/>
      <c r="AS5124" s="28"/>
      <c r="AT5124" s="28"/>
    </row>
    <row r="5125">
      <c r="A5125" s="14"/>
      <c r="B5125" s="15"/>
      <c r="C5125" s="16"/>
      <c r="D5125" s="15"/>
      <c r="F5125" s="15"/>
      <c r="G5125" s="26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8"/>
      <c r="X5125" s="28"/>
      <c r="Y5125" s="28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28"/>
      <c r="AS5125" s="28"/>
      <c r="AT5125" s="28"/>
    </row>
    <row r="5126">
      <c r="A5126" s="14"/>
      <c r="B5126" s="15"/>
      <c r="C5126" s="16"/>
      <c r="D5126" s="15"/>
      <c r="F5126" s="15"/>
      <c r="G5126" s="26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28"/>
      <c r="AS5126" s="28"/>
      <c r="AT5126" s="28"/>
    </row>
    <row r="5127">
      <c r="A5127" s="14"/>
      <c r="B5127" s="15"/>
      <c r="C5127" s="16"/>
      <c r="D5127" s="15"/>
      <c r="F5127" s="15"/>
      <c r="G5127" s="26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28"/>
      <c r="AS5127" s="28"/>
      <c r="AT5127" s="28"/>
    </row>
    <row r="5128">
      <c r="A5128" s="14"/>
      <c r="B5128" s="15"/>
      <c r="C5128" s="16"/>
      <c r="D5128" s="15"/>
      <c r="F5128" s="15"/>
      <c r="G5128" s="26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28"/>
      <c r="AS5128" s="28"/>
      <c r="AT5128" s="28"/>
    </row>
    <row r="5129">
      <c r="A5129" s="14"/>
      <c r="B5129" s="15"/>
      <c r="C5129" s="16"/>
      <c r="D5129" s="15"/>
      <c r="F5129" s="15"/>
      <c r="G5129" s="26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28"/>
      <c r="AS5129" s="28"/>
      <c r="AT5129" s="28"/>
    </row>
    <row r="5130">
      <c r="A5130" s="14"/>
      <c r="B5130" s="15"/>
      <c r="C5130" s="16"/>
      <c r="D5130" s="15"/>
      <c r="F5130" s="15"/>
      <c r="G5130" s="26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28"/>
      <c r="AS5130" s="28"/>
      <c r="AT5130" s="28"/>
    </row>
    <row r="5131">
      <c r="A5131" s="14"/>
      <c r="B5131" s="15"/>
      <c r="C5131" s="16"/>
      <c r="D5131" s="15"/>
      <c r="F5131" s="15"/>
      <c r="G5131" s="26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28"/>
      <c r="AS5131" s="28"/>
      <c r="AT5131" s="28"/>
    </row>
    <row r="5132">
      <c r="A5132" s="14"/>
      <c r="B5132" s="15"/>
      <c r="C5132" s="16"/>
      <c r="D5132" s="15"/>
      <c r="F5132" s="15"/>
      <c r="G5132" s="26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28"/>
      <c r="AS5132" s="28"/>
      <c r="AT5132" s="28"/>
    </row>
    <row r="5133">
      <c r="A5133" s="14"/>
      <c r="B5133" s="15"/>
      <c r="C5133" s="16"/>
      <c r="D5133" s="15"/>
      <c r="F5133" s="15"/>
      <c r="G5133" s="26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28"/>
      <c r="AS5133" s="28"/>
      <c r="AT5133" s="28"/>
    </row>
    <row r="5134">
      <c r="A5134" s="14"/>
      <c r="B5134" s="15"/>
      <c r="C5134" s="16"/>
      <c r="D5134" s="15"/>
      <c r="F5134" s="15"/>
      <c r="G5134" s="26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8"/>
      <c r="X5134" s="28"/>
      <c r="Y5134" s="28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28"/>
      <c r="AS5134" s="28"/>
      <c r="AT5134" s="28"/>
    </row>
    <row r="5135">
      <c r="A5135" s="14"/>
      <c r="B5135" s="15"/>
      <c r="C5135" s="16"/>
      <c r="D5135" s="15"/>
      <c r="F5135" s="15"/>
      <c r="G5135" s="26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8"/>
      <c r="X5135" s="28"/>
      <c r="Y5135" s="28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28"/>
      <c r="AS5135" s="28"/>
      <c r="AT5135" s="28"/>
    </row>
    <row r="5136">
      <c r="A5136" s="14"/>
      <c r="B5136" s="15"/>
      <c r="C5136" s="16"/>
      <c r="D5136" s="15"/>
      <c r="F5136" s="15"/>
      <c r="G5136" s="26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28"/>
      <c r="AS5136" s="28"/>
      <c r="AT5136" s="28"/>
    </row>
    <row r="5137">
      <c r="A5137" s="14"/>
      <c r="B5137" s="15"/>
      <c r="C5137" s="16"/>
      <c r="D5137" s="15"/>
      <c r="F5137" s="15"/>
      <c r="G5137" s="26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8"/>
      <c r="X5137" s="28"/>
      <c r="Y5137" s="28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28"/>
      <c r="AS5137" s="28"/>
      <c r="AT5137" s="28"/>
    </row>
    <row r="5138">
      <c r="A5138" s="14"/>
      <c r="B5138" s="15"/>
      <c r="C5138" s="16"/>
      <c r="D5138" s="15"/>
      <c r="F5138" s="15"/>
      <c r="G5138" s="26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28"/>
      <c r="AS5138" s="28"/>
      <c r="AT5138" s="28"/>
    </row>
    <row r="5139">
      <c r="A5139" s="14"/>
      <c r="B5139" s="15"/>
      <c r="C5139" s="16"/>
      <c r="D5139" s="15"/>
      <c r="F5139" s="15"/>
      <c r="G5139" s="26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28"/>
      <c r="AS5139" s="28"/>
      <c r="AT5139" s="28"/>
    </row>
    <row r="5140">
      <c r="A5140" s="14"/>
      <c r="B5140" s="15"/>
      <c r="C5140" s="16"/>
      <c r="D5140" s="15"/>
      <c r="F5140" s="15"/>
      <c r="G5140" s="26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8"/>
      <c r="X5140" s="28"/>
      <c r="Y5140" s="28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28"/>
      <c r="AS5140" s="28"/>
      <c r="AT5140" s="28"/>
    </row>
    <row r="5141">
      <c r="A5141" s="14"/>
      <c r="B5141" s="15"/>
      <c r="C5141" s="16"/>
      <c r="D5141" s="15"/>
      <c r="F5141" s="15"/>
      <c r="G5141" s="26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28"/>
      <c r="AS5141" s="28"/>
      <c r="AT5141" s="28"/>
    </row>
    <row r="5142">
      <c r="A5142" s="14"/>
      <c r="B5142" s="15"/>
      <c r="C5142" s="16"/>
      <c r="D5142" s="15"/>
      <c r="F5142" s="15"/>
      <c r="G5142" s="26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8"/>
      <c r="X5142" s="28"/>
      <c r="Y5142" s="28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28"/>
      <c r="AS5142" s="28"/>
      <c r="AT5142" s="28"/>
    </row>
    <row r="5143">
      <c r="A5143" s="14"/>
      <c r="B5143" s="15"/>
      <c r="C5143" s="16"/>
      <c r="D5143" s="15"/>
      <c r="F5143" s="15"/>
      <c r="G5143" s="26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8"/>
      <c r="X5143" s="28"/>
      <c r="Y5143" s="28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28"/>
      <c r="AS5143" s="28"/>
      <c r="AT5143" s="28"/>
    </row>
    <row r="5144">
      <c r="A5144" s="14"/>
      <c r="B5144" s="15"/>
      <c r="C5144" s="16"/>
      <c r="D5144" s="15"/>
      <c r="F5144" s="15"/>
      <c r="G5144" s="26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8"/>
      <c r="X5144" s="28"/>
      <c r="Y5144" s="28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28"/>
      <c r="AS5144" s="28"/>
      <c r="AT5144" s="28"/>
    </row>
    <row r="5145">
      <c r="A5145" s="14"/>
      <c r="B5145" s="15"/>
      <c r="C5145" s="16"/>
      <c r="D5145" s="15"/>
      <c r="F5145" s="15"/>
      <c r="G5145" s="26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28"/>
      <c r="AS5145" s="28"/>
      <c r="AT5145" s="28"/>
    </row>
    <row r="5146">
      <c r="A5146" s="14"/>
      <c r="B5146" s="15"/>
      <c r="C5146" s="16"/>
      <c r="D5146" s="15"/>
      <c r="F5146" s="15"/>
      <c r="G5146" s="26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28"/>
      <c r="AS5146" s="28"/>
      <c r="AT5146" s="28"/>
    </row>
    <row r="5147">
      <c r="A5147" s="14"/>
      <c r="B5147" s="15"/>
      <c r="C5147" s="16"/>
      <c r="D5147" s="15"/>
      <c r="F5147" s="15"/>
      <c r="G5147" s="26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28"/>
      <c r="AS5147" s="28"/>
      <c r="AT5147" s="28"/>
    </row>
    <row r="5148">
      <c r="A5148" s="14"/>
      <c r="B5148" s="15"/>
      <c r="C5148" s="16"/>
      <c r="D5148" s="15"/>
      <c r="F5148" s="15"/>
      <c r="G5148" s="26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8"/>
      <c r="X5148" s="28"/>
      <c r="Y5148" s="28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28"/>
      <c r="AS5148" s="28"/>
      <c r="AT5148" s="28"/>
    </row>
    <row r="5149">
      <c r="A5149" s="14"/>
      <c r="B5149" s="15"/>
      <c r="C5149" s="16"/>
      <c r="D5149" s="15"/>
      <c r="F5149" s="15"/>
      <c r="G5149" s="26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8"/>
      <c r="X5149" s="28"/>
      <c r="Y5149" s="28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28"/>
      <c r="AS5149" s="28"/>
      <c r="AT5149" s="28"/>
    </row>
    <row r="5150">
      <c r="A5150" s="14"/>
      <c r="B5150" s="15"/>
      <c r="C5150" s="16"/>
      <c r="D5150" s="15"/>
      <c r="F5150" s="15"/>
      <c r="G5150" s="26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28"/>
      <c r="AS5150" s="28"/>
      <c r="AT5150" s="28"/>
    </row>
    <row r="5151">
      <c r="A5151" s="14"/>
      <c r="B5151" s="15"/>
      <c r="C5151" s="16"/>
      <c r="D5151" s="15"/>
      <c r="F5151" s="15"/>
      <c r="G5151" s="26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28"/>
      <c r="AS5151" s="28"/>
      <c r="AT5151" s="28"/>
    </row>
    <row r="5152">
      <c r="A5152" s="14"/>
      <c r="B5152" s="15"/>
      <c r="C5152" s="16"/>
      <c r="D5152" s="15"/>
      <c r="F5152" s="15"/>
      <c r="G5152" s="26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28"/>
      <c r="AS5152" s="28"/>
      <c r="AT5152" s="28"/>
    </row>
    <row r="5153">
      <c r="A5153" s="14"/>
      <c r="B5153" s="15"/>
      <c r="C5153" s="16"/>
      <c r="D5153" s="15"/>
      <c r="F5153" s="15"/>
      <c r="G5153" s="26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  <c r="AF5153" s="28"/>
      <c r="AG5153" s="28"/>
      <c r="AH5153" s="28"/>
      <c r="AI5153" s="28"/>
      <c r="AJ5153" s="28"/>
      <c r="AK5153" s="28"/>
      <c r="AL5153" s="28"/>
      <c r="AM5153" s="28"/>
      <c r="AN5153" s="28"/>
      <c r="AO5153" s="28"/>
      <c r="AP5153" s="28"/>
      <c r="AQ5153" s="28"/>
      <c r="AR5153" s="28"/>
      <c r="AS5153" s="28"/>
      <c r="AT5153" s="28"/>
    </row>
    <row r="5154">
      <c r="A5154" s="14"/>
      <c r="B5154" s="15"/>
      <c r="C5154" s="16"/>
      <c r="D5154" s="15"/>
      <c r="F5154" s="15"/>
      <c r="G5154" s="26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8"/>
      <c r="X5154" s="28"/>
      <c r="Y5154" s="28"/>
      <c r="Z5154" s="28"/>
      <c r="AA5154" s="28"/>
      <c r="AB5154" s="28"/>
      <c r="AC5154" s="28"/>
      <c r="AD5154" s="28"/>
      <c r="AE5154" s="28"/>
      <c r="AF5154" s="28"/>
      <c r="AG5154" s="28"/>
      <c r="AH5154" s="28"/>
      <c r="AI5154" s="28"/>
      <c r="AJ5154" s="28"/>
      <c r="AK5154" s="28"/>
      <c r="AL5154" s="28"/>
      <c r="AM5154" s="28"/>
      <c r="AN5154" s="28"/>
      <c r="AO5154" s="28"/>
      <c r="AP5154" s="28"/>
      <c r="AQ5154" s="28"/>
      <c r="AR5154" s="28"/>
      <c r="AS5154" s="28"/>
      <c r="AT5154" s="28"/>
    </row>
    <row r="5155">
      <c r="A5155" s="14"/>
      <c r="B5155" s="15"/>
      <c r="C5155" s="16"/>
      <c r="D5155" s="15"/>
      <c r="F5155" s="15"/>
      <c r="G5155" s="26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  <c r="AF5155" s="28"/>
      <c r="AG5155" s="28"/>
      <c r="AH5155" s="28"/>
      <c r="AI5155" s="28"/>
      <c r="AJ5155" s="28"/>
      <c r="AK5155" s="28"/>
      <c r="AL5155" s="28"/>
      <c r="AM5155" s="28"/>
      <c r="AN5155" s="28"/>
      <c r="AO5155" s="28"/>
      <c r="AP5155" s="28"/>
      <c r="AQ5155" s="28"/>
      <c r="AR5155" s="28"/>
      <c r="AS5155" s="28"/>
      <c r="AT5155" s="28"/>
    </row>
    <row r="5156">
      <c r="A5156" s="14"/>
      <c r="B5156" s="15"/>
      <c r="C5156" s="16"/>
      <c r="D5156" s="15"/>
      <c r="F5156" s="15"/>
      <c r="G5156" s="26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8"/>
      <c r="X5156" s="28"/>
      <c r="Y5156" s="28"/>
      <c r="Z5156" s="28"/>
      <c r="AA5156" s="28"/>
      <c r="AB5156" s="28"/>
      <c r="AC5156" s="28"/>
      <c r="AD5156" s="28"/>
      <c r="AE5156" s="28"/>
      <c r="AF5156" s="28"/>
      <c r="AG5156" s="28"/>
      <c r="AH5156" s="28"/>
      <c r="AI5156" s="28"/>
      <c r="AJ5156" s="28"/>
      <c r="AK5156" s="28"/>
      <c r="AL5156" s="28"/>
      <c r="AM5156" s="28"/>
      <c r="AN5156" s="28"/>
      <c r="AO5156" s="28"/>
      <c r="AP5156" s="28"/>
      <c r="AQ5156" s="28"/>
      <c r="AR5156" s="28"/>
      <c r="AS5156" s="28"/>
      <c r="AT5156" s="28"/>
    </row>
    <row r="5157">
      <c r="A5157" s="14"/>
      <c r="B5157" s="15"/>
      <c r="C5157" s="16"/>
      <c r="D5157" s="15"/>
      <c r="F5157" s="15"/>
      <c r="G5157" s="26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  <c r="AF5157" s="28"/>
      <c r="AG5157" s="28"/>
      <c r="AH5157" s="28"/>
      <c r="AI5157" s="28"/>
      <c r="AJ5157" s="28"/>
      <c r="AK5157" s="28"/>
      <c r="AL5157" s="28"/>
      <c r="AM5157" s="28"/>
      <c r="AN5157" s="28"/>
      <c r="AO5157" s="28"/>
      <c r="AP5157" s="28"/>
      <c r="AQ5157" s="28"/>
      <c r="AR5157" s="28"/>
      <c r="AS5157" s="28"/>
      <c r="AT5157" s="28"/>
    </row>
    <row r="5158">
      <c r="A5158" s="14"/>
      <c r="B5158" s="15"/>
      <c r="C5158" s="16"/>
      <c r="D5158" s="15"/>
      <c r="F5158" s="15"/>
      <c r="G5158" s="26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8"/>
      <c r="X5158" s="28"/>
      <c r="Y5158" s="28"/>
      <c r="Z5158" s="28"/>
      <c r="AA5158" s="28"/>
      <c r="AB5158" s="28"/>
      <c r="AC5158" s="28"/>
      <c r="AD5158" s="28"/>
      <c r="AE5158" s="28"/>
      <c r="AF5158" s="28"/>
      <c r="AG5158" s="28"/>
      <c r="AH5158" s="28"/>
      <c r="AI5158" s="28"/>
      <c r="AJ5158" s="28"/>
      <c r="AK5158" s="28"/>
      <c r="AL5158" s="28"/>
      <c r="AM5158" s="28"/>
      <c r="AN5158" s="28"/>
      <c r="AO5158" s="28"/>
      <c r="AP5158" s="28"/>
      <c r="AQ5158" s="28"/>
      <c r="AR5158" s="28"/>
      <c r="AS5158" s="28"/>
      <c r="AT5158" s="28"/>
    </row>
    <row r="5159">
      <c r="A5159" s="14"/>
      <c r="B5159" s="15"/>
      <c r="C5159" s="16"/>
      <c r="D5159" s="15"/>
      <c r="F5159" s="15"/>
      <c r="G5159" s="26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8"/>
      <c r="X5159" s="28"/>
      <c r="Y5159" s="28"/>
      <c r="Z5159" s="28"/>
      <c r="AA5159" s="28"/>
      <c r="AB5159" s="28"/>
      <c r="AC5159" s="28"/>
      <c r="AD5159" s="28"/>
      <c r="AE5159" s="28"/>
      <c r="AF5159" s="28"/>
      <c r="AG5159" s="28"/>
      <c r="AH5159" s="28"/>
      <c r="AI5159" s="28"/>
      <c r="AJ5159" s="28"/>
      <c r="AK5159" s="28"/>
      <c r="AL5159" s="28"/>
      <c r="AM5159" s="28"/>
      <c r="AN5159" s="28"/>
      <c r="AO5159" s="28"/>
      <c r="AP5159" s="28"/>
      <c r="AQ5159" s="28"/>
      <c r="AR5159" s="28"/>
      <c r="AS5159" s="28"/>
      <c r="AT5159" s="28"/>
    </row>
    <row r="5160">
      <c r="A5160" s="14"/>
      <c r="B5160" s="15"/>
      <c r="C5160" s="16"/>
      <c r="D5160" s="15"/>
      <c r="F5160" s="15"/>
      <c r="G5160" s="26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  <c r="AF5160" s="28"/>
      <c r="AG5160" s="28"/>
      <c r="AH5160" s="28"/>
      <c r="AI5160" s="28"/>
      <c r="AJ5160" s="28"/>
      <c r="AK5160" s="28"/>
      <c r="AL5160" s="28"/>
      <c r="AM5160" s="28"/>
      <c r="AN5160" s="28"/>
      <c r="AO5160" s="28"/>
      <c r="AP5160" s="28"/>
      <c r="AQ5160" s="28"/>
      <c r="AR5160" s="28"/>
      <c r="AS5160" s="28"/>
      <c r="AT5160" s="28"/>
    </row>
    <row r="5161">
      <c r="A5161" s="14"/>
      <c r="B5161" s="15"/>
      <c r="C5161" s="16"/>
      <c r="D5161" s="15"/>
      <c r="F5161" s="15"/>
      <c r="G5161" s="26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8"/>
      <c r="X5161" s="28"/>
      <c r="Y5161" s="28"/>
      <c r="Z5161" s="28"/>
      <c r="AA5161" s="28"/>
      <c r="AB5161" s="28"/>
      <c r="AC5161" s="28"/>
      <c r="AD5161" s="28"/>
      <c r="AE5161" s="28"/>
      <c r="AF5161" s="28"/>
      <c r="AG5161" s="28"/>
      <c r="AH5161" s="28"/>
      <c r="AI5161" s="28"/>
      <c r="AJ5161" s="28"/>
      <c r="AK5161" s="28"/>
      <c r="AL5161" s="28"/>
      <c r="AM5161" s="28"/>
      <c r="AN5161" s="28"/>
      <c r="AO5161" s="28"/>
      <c r="AP5161" s="28"/>
      <c r="AQ5161" s="28"/>
      <c r="AR5161" s="28"/>
      <c r="AS5161" s="28"/>
      <c r="AT5161" s="28"/>
    </row>
    <row r="5162">
      <c r="A5162" s="14"/>
      <c r="B5162" s="15"/>
      <c r="C5162" s="16"/>
      <c r="D5162" s="15"/>
      <c r="F5162" s="15"/>
      <c r="G5162" s="26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8"/>
      <c r="X5162" s="28"/>
      <c r="Y5162" s="28"/>
      <c r="Z5162" s="28"/>
      <c r="AA5162" s="28"/>
      <c r="AB5162" s="28"/>
      <c r="AC5162" s="28"/>
      <c r="AD5162" s="28"/>
      <c r="AE5162" s="28"/>
      <c r="AF5162" s="28"/>
      <c r="AG5162" s="28"/>
      <c r="AH5162" s="28"/>
      <c r="AI5162" s="28"/>
      <c r="AJ5162" s="28"/>
      <c r="AK5162" s="28"/>
      <c r="AL5162" s="28"/>
      <c r="AM5162" s="28"/>
      <c r="AN5162" s="28"/>
      <c r="AO5162" s="28"/>
      <c r="AP5162" s="28"/>
      <c r="AQ5162" s="28"/>
      <c r="AR5162" s="28"/>
      <c r="AS5162" s="28"/>
      <c r="AT5162" s="28"/>
    </row>
    <row r="5163">
      <c r="A5163" s="14"/>
      <c r="B5163" s="15"/>
      <c r="C5163" s="16"/>
      <c r="D5163" s="15"/>
      <c r="F5163" s="15"/>
      <c r="G5163" s="26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8"/>
      <c r="X5163" s="28"/>
      <c r="Y5163" s="28"/>
      <c r="Z5163" s="28"/>
      <c r="AA5163" s="28"/>
      <c r="AB5163" s="28"/>
      <c r="AC5163" s="28"/>
      <c r="AD5163" s="28"/>
      <c r="AE5163" s="28"/>
      <c r="AF5163" s="28"/>
      <c r="AG5163" s="28"/>
      <c r="AH5163" s="28"/>
      <c r="AI5163" s="28"/>
      <c r="AJ5163" s="28"/>
      <c r="AK5163" s="28"/>
      <c r="AL5163" s="28"/>
      <c r="AM5163" s="28"/>
      <c r="AN5163" s="28"/>
      <c r="AO5163" s="28"/>
      <c r="AP5163" s="28"/>
      <c r="AQ5163" s="28"/>
      <c r="AR5163" s="28"/>
      <c r="AS5163" s="28"/>
      <c r="AT5163" s="28"/>
    </row>
    <row r="5164">
      <c r="A5164" s="14"/>
      <c r="B5164" s="15"/>
      <c r="C5164" s="16"/>
      <c r="D5164" s="15"/>
      <c r="F5164" s="15"/>
      <c r="G5164" s="26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8"/>
      <c r="X5164" s="28"/>
      <c r="Y5164" s="28"/>
      <c r="Z5164" s="28"/>
      <c r="AA5164" s="28"/>
      <c r="AB5164" s="28"/>
      <c r="AC5164" s="28"/>
      <c r="AD5164" s="28"/>
      <c r="AE5164" s="28"/>
      <c r="AF5164" s="28"/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28"/>
      <c r="AR5164" s="28"/>
      <c r="AS5164" s="28"/>
      <c r="AT5164" s="28"/>
    </row>
    <row r="5165">
      <c r="A5165" s="14"/>
      <c r="B5165" s="15"/>
      <c r="C5165" s="16"/>
      <c r="D5165" s="15"/>
      <c r="F5165" s="15"/>
      <c r="G5165" s="26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8"/>
      <c r="X5165" s="28"/>
      <c r="Y5165" s="28"/>
      <c r="Z5165" s="28"/>
      <c r="AA5165" s="28"/>
      <c r="AB5165" s="28"/>
      <c r="AC5165" s="28"/>
      <c r="AD5165" s="28"/>
      <c r="AE5165" s="28"/>
      <c r="AF5165" s="28"/>
      <c r="AG5165" s="28"/>
      <c r="AH5165" s="28"/>
      <c r="AI5165" s="28"/>
      <c r="AJ5165" s="28"/>
      <c r="AK5165" s="28"/>
      <c r="AL5165" s="28"/>
      <c r="AM5165" s="28"/>
      <c r="AN5165" s="28"/>
      <c r="AO5165" s="28"/>
      <c r="AP5165" s="28"/>
      <c r="AQ5165" s="28"/>
      <c r="AR5165" s="28"/>
      <c r="AS5165" s="28"/>
      <c r="AT5165" s="28"/>
    </row>
    <row r="5166">
      <c r="A5166" s="14"/>
      <c r="B5166" s="15"/>
      <c r="C5166" s="16"/>
      <c r="D5166" s="15"/>
      <c r="F5166" s="15"/>
      <c r="G5166" s="26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8"/>
      <c r="X5166" s="28"/>
      <c r="Y5166" s="28"/>
      <c r="Z5166" s="28"/>
      <c r="AA5166" s="28"/>
      <c r="AB5166" s="28"/>
      <c r="AC5166" s="28"/>
      <c r="AD5166" s="28"/>
      <c r="AE5166" s="28"/>
      <c r="AF5166" s="28"/>
      <c r="AG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28"/>
      <c r="AR5166" s="28"/>
      <c r="AS5166" s="28"/>
      <c r="AT5166" s="28"/>
    </row>
    <row r="5167">
      <c r="A5167" s="14"/>
      <c r="B5167" s="15"/>
      <c r="C5167" s="16"/>
      <c r="D5167" s="15"/>
      <c r="F5167" s="15"/>
      <c r="G5167" s="26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28"/>
      <c r="AS5167" s="28"/>
      <c r="AT5167" s="28"/>
    </row>
    <row r="5168">
      <c r="A5168" s="14"/>
      <c r="B5168" s="15"/>
      <c r="C5168" s="16"/>
      <c r="D5168" s="15"/>
      <c r="F5168" s="15"/>
      <c r="G5168" s="26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8"/>
      <c r="X5168" s="28"/>
      <c r="Y5168" s="28"/>
      <c r="Z5168" s="28"/>
      <c r="AA5168" s="28"/>
      <c r="AB5168" s="28"/>
      <c r="AC5168" s="28"/>
      <c r="AD5168" s="28"/>
      <c r="AE5168" s="28"/>
      <c r="AF5168" s="28"/>
      <c r="AG5168" s="28"/>
      <c r="AH5168" s="28"/>
      <c r="AI5168" s="28"/>
      <c r="AJ5168" s="28"/>
      <c r="AK5168" s="28"/>
      <c r="AL5168" s="28"/>
      <c r="AM5168" s="28"/>
      <c r="AN5168" s="28"/>
      <c r="AO5168" s="28"/>
      <c r="AP5168" s="28"/>
      <c r="AQ5168" s="28"/>
      <c r="AR5168" s="28"/>
      <c r="AS5168" s="28"/>
      <c r="AT5168" s="28"/>
    </row>
    <row r="5169">
      <c r="A5169" s="14"/>
      <c r="B5169" s="15"/>
      <c r="C5169" s="16"/>
      <c r="D5169" s="15"/>
      <c r="F5169" s="15"/>
      <c r="G5169" s="26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8"/>
      <c r="X5169" s="28"/>
      <c r="Y5169" s="28"/>
      <c r="Z5169" s="28"/>
      <c r="AA5169" s="28"/>
      <c r="AB5169" s="28"/>
      <c r="AC5169" s="28"/>
      <c r="AD5169" s="28"/>
      <c r="AE5169" s="28"/>
      <c r="AF5169" s="28"/>
      <c r="AG5169" s="28"/>
      <c r="AH5169" s="28"/>
      <c r="AI5169" s="28"/>
      <c r="AJ5169" s="28"/>
      <c r="AK5169" s="28"/>
      <c r="AL5169" s="28"/>
      <c r="AM5169" s="28"/>
      <c r="AN5169" s="28"/>
      <c r="AO5169" s="28"/>
      <c r="AP5169" s="28"/>
      <c r="AQ5169" s="28"/>
      <c r="AR5169" s="28"/>
      <c r="AS5169" s="28"/>
      <c r="AT5169" s="28"/>
    </row>
    <row r="5170">
      <c r="A5170" s="14"/>
      <c r="B5170" s="15"/>
      <c r="C5170" s="16"/>
      <c r="D5170" s="15"/>
      <c r="F5170" s="15"/>
      <c r="G5170" s="26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8"/>
      <c r="X5170" s="28"/>
      <c r="Y5170" s="28"/>
      <c r="Z5170" s="28"/>
      <c r="AA5170" s="28"/>
      <c r="AB5170" s="28"/>
      <c r="AC5170" s="28"/>
      <c r="AD5170" s="28"/>
      <c r="AE5170" s="28"/>
      <c r="AF5170" s="28"/>
      <c r="AG5170" s="28"/>
      <c r="AH5170" s="28"/>
      <c r="AI5170" s="28"/>
      <c r="AJ5170" s="28"/>
      <c r="AK5170" s="28"/>
      <c r="AL5170" s="28"/>
      <c r="AM5170" s="28"/>
      <c r="AN5170" s="28"/>
      <c r="AO5170" s="28"/>
      <c r="AP5170" s="28"/>
      <c r="AQ5170" s="28"/>
      <c r="AR5170" s="28"/>
      <c r="AS5170" s="28"/>
      <c r="AT5170" s="28"/>
    </row>
    <row r="5171">
      <c r="A5171" s="14"/>
      <c r="B5171" s="15"/>
      <c r="C5171" s="16"/>
      <c r="D5171" s="15"/>
      <c r="F5171" s="15"/>
      <c r="G5171" s="26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8"/>
      <c r="X5171" s="28"/>
      <c r="Y5171" s="28"/>
      <c r="Z5171" s="28"/>
      <c r="AA5171" s="28"/>
      <c r="AB5171" s="28"/>
      <c r="AC5171" s="28"/>
      <c r="AD5171" s="28"/>
      <c r="AE5171" s="28"/>
      <c r="AF5171" s="28"/>
      <c r="AG5171" s="28"/>
      <c r="AH5171" s="28"/>
      <c r="AI5171" s="28"/>
      <c r="AJ5171" s="28"/>
      <c r="AK5171" s="28"/>
      <c r="AL5171" s="28"/>
      <c r="AM5171" s="28"/>
      <c r="AN5171" s="28"/>
      <c r="AO5171" s="28"/>
      <c r="AP5171" s="28"/>
      <c r="AQ5171" s="28"/>
      <c r="AR5171" s="28"/>
      <c r="AS5171" s="28"/>
      <c r="AT5171" s="28"/>
    </row>
    <row r="5172">
      <c r="A5172" s="14"/>
      <c r="B5172" s="15"/>
      <c r="C5172" s="16"/>
      <c r="D5172" s="15"/>
      <c r="F5172" s="15"/>
      <c r="G5172" s="26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  <c r="AF5172" s="28"/>
      <c r="AG5172" s="28"/>
      <c r="AH5172" s="28"/>
      <c r="AI5172" s="28"/>
      <c r="AJ5172" s="28"/>
      <c r="AK5172" s="28"/>
      <c r="AL5172" s="28"/>
      <c r="AM5172" s="28"/>
      <c r="AN5172" s="28"/>
      <c r="AO5172" s="28"/>
      <c r="AP5172" s="28"/>
      <c r="AQ5172" s="28"/>
      <c r="AR5172" s="28"/>
      <c r="AS5172" s="28"/>
      <c r="AT5172" s="28"/>
    </row>
    <row r="5173">
      <c r="A5173" s="14"/>
      <c r="B5173" s="15"/>
      <c r="C5173" s="16"/>
      <c r="D5173" s="15"/>
      <c r="F5173" s="15"/>
      <c r="G5173" s="26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8"/>
      <c r="X5173" s="28"/>
      <c r="Y5173" s="28"/>
      <c r="Z5173" s="28"/>
      <c r="AA5173" s="28"/>
      <c r="AB5173" s="28"/>
      <c r="AC5173" s="28"/>
      <c r="AD5173" s="28"/>
      <c r="AE5173" s="28"/>
      <c r="AF5173" s="28"/>
      <c r="AG5173" s="28"/>
      <c r="AH5173" s="28"/>
      <c r="AI5173" s="28"/>
      <c r="AJ5173" s="28"/>
      <c r="AK5173" s="28"/>
      <c r="AL5173" s="28"/>
      <c r="AM5173" s="28"/>
      <c r="AN5173" s="28"/>
      <c r="AO5173" s="28"/>
      <c r="AP5173" s="28"/>
      <c r="AQ5173" s="28"/>
      <c r="AR5173" s="28"/>
      <c r="AS5173" s="28"/>
      <c r="AT5173" s="28"/>
    </row>
    <row r="5174">
      <c r="A5174" s="14"/>
      <c r="B5174" s="15"/>
      <c r="C5174" s="16"/>
      <c r="D5174" s="15"/>
      <c r="F5174" s="15"/>
      <c r="G5174" s="26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  <c r="AF5174" s="28"/>
      <c r="AG5174" s="28"/>
      <c r="AH5174" s="28"/>
      <c r="AI5174" s="28"/>
      <c r="AJ5174" s="28"/>
      <c r="AK5174" s="28"/>
      <c r="AL5174" s="28"/>
      <c r="AM5174" s="28"/>
      <c r="AN5174" s="28"/>
      <c r="AO5174" s="28"/>
      <c r="AP5174" s="28"/>
      <c r="AQ5174" s="28"/>
      <c r="AR5174" s="28"/>
      <c r="AS5174" s="28"/>
      <c r="AT5174" s="28"/>
    </row>
    <row r="5175">
      <c r="A5175" s="14"/>
      <c r="B5175" s="15"/>
      <c r="C5175" s="16"/>
      <c r="D5175" s="15"/>
      <c r="F5175" s="15"/>
      <c r="G5175" s="26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8"/>
      <c r="X5175" s="28"/>
      <c r="Y5175" s="28"/>
      <c r="Z5175" s="28"/>
      <c r="AA5175" s="28"/>
      <c r="AB5175" s="28"/>
      <c r="AC5175" s="28"/>
      <c r="AD5175" s="28"/>
      <c r="AE5175" s="28"/>
      <c r="AF5175" s="28"/>
      <c r="AG5175" s="28"/>
      <c r="AH5175" s="28"/>
      <c r="AI5175" s="28"/>
      <c r="AJ5175" s="28"/>
      <c r="AK5175" s="28"/>
      <c r="AL5175" s="28"/>
      <c r="AM5175" s="28"/>
      <c r="AN5175" s="28"/>
      <c r="AO5175" s="28"/>
      <c r="AP5175" s="28"/>
      <c r="AQ5175" s="28"/>
      <c r="AR5175" s="28"/>
      <c r="AS5175" s="28"/>
      <c r="AT5175" s="28"/>
    </row>
    <row r="5176">
      <c r="A5176" s="14"/>
      <c r="B5176" s="15"/>
      <c r="C5176" s="16"/>
      <c r="D5176" s="15"/>
      <c r="F5176" s="15"/>
      <c r="G5176" s="26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8"/>
      <c r="X5176" s="28"/>
      <c r="Y5176" s="28"/>
      <c r="Z5176" s="28"/>
      <c r="AA5176" s="28"/>
      <c r="AB5176" s="28"/>
      <c r="AC5176" s="28"/>
      <c r="AD5176" s="28"/>
      <c r="AE5176" s="28"/>
      <c r="AF5176" s="28"/>
      <c r="AG5176" s="28"/>
      <c r="AH5176" s="28"/>
      <c r="AI5176" s="28"/>
      <c r="AJ5176" s="28"/>
      <c r="AK5176" s="28"/>
      <c r="AL5176" s="28"/>
      <c r="AM5176" s="28"/>
      <c r="AN5176" s="28"/>
      <c r="AO5176" s="28"/>
      <c r="AP5176" s="28"/>
      <c r="AQ5176" s="28"/>
      <c r="AR5176" s="28"/>
      <c r="AS5176" s="28"/>
      <c r="AT5176" s="28"/>
    </row>
    <row r="5177">
      <c r="A5177" s="14"/>
      <c r="B5177" s="15"/>
      <c r="C5177" s="16"/>
      <c r="D5177" s="15"/>
      <c r="F5177" s="15"/>
      <c r="G5177" s="26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  <c r="AF5177" s="28"/>
      <c r="AG5177" s="28"/>
      <c r="AH5177" s="28"/>
      <c r="AI5177" s="28"/>
      <c r="AJ5177" s="28"/>
      <c r="AK5177" s="28"/>
      <c r="AL5177" s="28"/>
      <c r="AM5177" s="28"/>
      <c r="AN5177" s="28"/>
      <c r="AO5177" s="28"/>
      <c r="AP5177" s="28"/>
      <c r="AQ5177" s="28"/>
      <c r="AR5177" s="28"/>
      <c r="AS5177" s="28"/>
      <c r="AT5177" s="28"/>
    </row>
    <row r="5178">
      <c r="A5178" s="14"/>
      <c r="B5178" s="15"/>
      <c r="C5178" s="16"/>
      <c r="D5178" s="15"/>
      <c r="F5178" s="15"/>
      <c r="G5178" s="26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8"/>
      <c r="X5178" s="28"/>
      <c r="Y5178" s="28"/>
      <c r="Z5178" s="28"/>
      <c r="AA5178" s="28"/>
      <c r="AB5178" s="28"/>
      <c r="AC5178" s="28"/>
      <c r="AD5178" s="28"/>
      <c r="AE5178" s="28"/>
      <c r="AF5178" s="28"/>
      <c r="AG5178" s="28"/>
      <c r="AH5178" s="28"/>
      <c r="AI5178" s="28"/>
      <c r="AJ5178" s="28"/>
      <c r="AK5178" s="28"/>
      <c r="AL5178" s="28"/>
      <c r="AM5178" s="28"/>
      <c r="AN5178" s="28"/>
      <c r="AO5178" s="28"/>
      <c r="AP5178" s="28"/>
      <c r="AQ5178" s="28"/>
      <c r="AR5178" s="28"/>
      <c r="AS5178" s="28"/>
      <c r="AT5178" s="28"/>
    </row>
    <row r="5179">
      <c r="A5179" s="14"/>
      <c r="B5179" s="15"/>
      <c r="C5179" s="16"/>
      <c r="D5179" s="15"/>
      <c r="F5179" s="15"/>
      <c r="G5179" s="26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8"/>
      <c r="X5179" s="28"/>
      <c r="Y5179" s="28"/>
      <c r="Z5179" s="28"/>
      <c r="AA5179" s="28"/>
      <c r="AB5179" s="28"/>
      <c r="AC5179" s="28"/>
      <c r="AD5179" s="28"/>
      <c r="AE5179" s="28"/>
      <c r="AF5179" s="28"/>
      <c r="AG5179" s="28"/>
      <c r="AH5179" s="28"/>
      <c r="AI5179" s="28"/>
      <c r="AJ5179" s="28"/>
      <c r="AK5179" s="28"/>
      <c r="AL5179" s="28"/>
      <c r="AM5179" s="28"/>
      <c r="AN5179" s="28"/>
      <c r="AO5179" s="28"/>
      <c r="AP5179" s="28"/>
      <c r="AQ5179" s="28"/>
      <c r="AR5179" s="28"/>
      <c r="AS5179" s="28"/>
      <c r="AT5179" s="28"/>
    </row>
    <row r="5180">
      <c r="A5180" s="14"/>
      <c r="B5180" s="15"/>
      <c r="C5180" s="16"/>
      <c r="D5180" s="15"/>
      <c r="F5180" s="15"/>
      <c r="G5180" s="26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8"/>
      <c r="X5180" s="28"/>
      <c r="Y5180" s="28"/>
      <c r="Z5180" s="28"/>
      <c r="AA5180" s="28"/>
      <c r="AB5180" s="28"/>
      <c r="AC5180" s="28"/>
      <c r="AD5180" s="28"/>
      <c r="AE5180" s="28"/>
      <c r="AF5180" s="28"/>
      <c r="AG5180" s="28"/>
      <c r="AH5180" s="28"/>
      <c r="AI5180" s="28"/>
      <c r="AJ5180" s="28"/>
      <c r="AK5180" s="28"/>
      <c r="AL5180" s="28"/>
      <c r="AM5180" s="28"/>
      <c r="AN5180" s="28"/>
      <c r="AO5180" s="28"/>
      <c r="AP5180" s="28"/>
      <c r="AQ5180" s="28"/>
      <c r="AR5180" s="28"/>
      <c r="AS5180" s="28"/>
      <c r="AT5180" s="28"/>
    </row>
    <row r="5181">
      <c r="A5181" s="14"/>
      <c r="B5181" s="15"/>
      <c r="C5181" s="16"/>
      <c r="D5181" s="15"/>
      <c r="F5181" s="15"/>
      <c r="G5181" s="26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  <c r="AF5181" s="28"/>
      <c r="AG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28"/>
      <c r="AR5181" s="28"/>
      <c r="AS5181" s="28"/>
      <c r="AT5181" s="28"/>
    </row>
    <row r="5182">
      <c r="A5182" s="14"/>
      <c r="B5182" s="15"/>
      <c r="C5182" s="16"/>
      <c r="D5182" s="15"/>
      <c r="F5182" s="15"/>
      <c r="G5182" s="26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28"/>
      <c r="AS5182" s="28"/>
      <c r="AT5182" s="28"/>
    </row>
    <row r="5183">
      <c r="A5183" s="14"/>
      <c r="B5183" s="15"/>
      <c r="C5183" s="16"/>
      <c r="D5183" s="15"/>
      <c r="F5183" s="15"/>
      <c r="G5183" s="26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8"/>
      <c r="X5183" s="28"/>
      <c r="Y5183" s="28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28"/>
      <c r="AS5183" s="28"/>
      <c r="AT5183" s="28"/>
    </row>
    <row r="5184">
      <c r="A5184" s="14"/>
      <c r="B5184" s="15"/>
      <c r="C5184" s="16"/>
      <c r="D5184" s="15"/>
      <c r="F5184" s="15"/>
      <c r="G5184" s="26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O5184" s="28"/>
      <c r="AP5184" s="28"/>
      <c r="AQ5184" s="28"/>
      <c r="AR5184" s="28"/>
      <c r="AS5184" s="28"/>
      <c r="AT5184" s="28"/>
    </row>
    <row r="5185">
      <c r="A5185" s="14"/>
      <c r="B5185" s="15"/>
      <c r="C5185" s="16"/>
      <c r="D5185" s="15"/>
      <c r="F5185" s="15"/>
      <c r="G5185" s="26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8"/>
      <c r="X5185" s="28"/>
      <c r="Y5185" s="28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28"/>
      <c r="AR5185" s="28"/>
      <c r="AS5185" s="28"/>
      <c r="AT5185" s="28"/>
    </row>
    <row r="5186">
      <c r="A5186" s="14"/>
      <c r="B5186" s="15"/>
      <c r="C5186" s="16"/>
      <c r="D5186" s="15"/>
      <c r="F5186" s="15"/>
      <c r="G5186" s="26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8"/>
      <c r="X5186" s="28"/>
      <c r="Y5186" s="28"/>
      <c r="Z5186" s="28"/>
      <c r="AA5186" s="28"/>
      <c r="AB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R5186" s="28"/>
      <c r="AS5186" s="28"/>
      <c r="AT5186" s="28"/>
    </row>
    <row r="5187">
      <c r="A5187" s="14"/>
      <c r="B5187" s="15"/>
      <c r="C5187" s="16"/>
      <c r="D5187" s="15"/>
      <c r="F5187" s="15"/>
      <c r="G5187" s="26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8"/>
      <c r="X5187" s="28"/>
      <c r="Y5187" s="28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28"/>
      <c r="AS5187" s="28"/>
      <c r="AT5187" s="28"/>
    </row>
    <row r="5188">
      <c r="A5188" s="14"/>
      <c r="B5188" s="15"/>
      <c r="C5188" s="16"/>
      <c r="D5188" s="15"/>
      <c r="F5188" s="15"/>
      <c r="G5188" s="26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8"/>
      <c r="X5188" s="28"/>
      <c r="Y5188" s="28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28"/>
      <c r="AS5188" s="28"/>
      <c r="AT5188" s="28"/>
    </row>
    <row r="5189">
      <c r="A5189" s="14"/>
      <c r="B5189" s="15"/>
      <c r="C5189" s="16"/>
      <c r="D5189" s="15"/>
      <c r="F5189" s="15"/>
      <c r="G5189" s="26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8"/>
      <c r="X5189" s="28"/>
      <c r="Y5189" s="28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28"/>
      <c r="AS5189" s="28"/>
      <c r="AT5189" s="28"/>
    </row>
    <row r="5190">
      <c r="A5190" s="14"/>
      <c r="B5190" s="15"/>
      <c r="C5190" s="16"/>
      <c r="D5190" s="15"/>
      <c r="F5190" s="15"/>
      <c r="G5190" s="26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8"/>
      <c r="X5190" s="28"/>
      <c r="Y5190" s="28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28"/>
      <c r="AR5190" s="28"/>
      <c r="AS5190" s="28"/>
      <c r="AT5190" s="28"/>
    </row>
    <row r="5191">
      <c r="A5191" s="14"/>
      <c r="B5191" s="15"/>
      <c r="C5191" s="16"/>
      <c r="D5191" s="15"/>
      <c r="F5191" s="15"/>
      <c r="G5191" s="26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28"/>
      <c r="AS5191" s="28"/>
      <c r="AT5191" s="28"/>
    </row>
    <row r="5192">
      <c r="A5192" s="14"/>
      <c r="B5192" s="15"/>
      <c r="C5192" s="16"/>
      <c r="D5192" s="15"/>
      <c r="F5192" s="15"/>
      <c r="G5192" s="26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28"/>
      <c r="AS5192" s="28"/>
      <c r="AT5192" s="28"/>
    </row>
    <row r="5193">
      <c r="A5193" s="14"/>
      <c r="B5193" s="15"/>
      <c r="C5193" s="16"/>
      <c r="D5193" s="15"/>
      <c r="F5193" s="15"/>
      <c r="G5193" s="26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8"/>
      <c r="X5193" s="28"/>
      <c r="Y5193" s="28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28"/>
      <c r="AS5193" s="28"/>
      <c r="AT5193" s="28"/>
    </row>
    <row r="5194">
      <c r="A5194" s="14"/>
      <c r="B5194" s="15"/>
      <c r="C5194" s="16"/>
      <c r="D5194" s="15"/>
      <c r="F5194" s="15"/>
      <c r="G5194" s="26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8"/>
      <c r="X5194" s="28"/>
      <c r="Y5194" s="28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28"/>
      <c r="AS5194" s="28"/>
      <c r="AT5194" s="28"/>
    </row>
    <row r="5195">
      <c r="A5195" s="14"/>
      <c r="B5195" s="15"/>
      <c r="C5195" s="16"/>
      <c r="D5195" s="15"/>
      <c r="F5195" s="15"/>
      <c r="G5195" s="26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8"/>
      <c r="X5195" s="28"/>
      <c r="Y5195" s="28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28"/>
      <c r="AS5195" s="28"/>
      <c r="AT5195" s="28"/>
    </row>
    <row r="5196">
      <c r="A5196" s="14"/>
      <c r="B5196" s="15"/>
      <c r="C5196" s="16"/>
      <c r="D5196" s="15"/>
      <c r="F5196" s="15"/>
      <c r="G5196" s="26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8"/>
      <c r="X5196" s="28"/>
      <c r="Y5196" s="28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28"/>
      <c r="AS5196" s="28"/>
      <c r="AT5196" s="28"/>
    </row>
    <row r="5197">
      <c r="A5197" s="14"/>
      <c r="B5197" s="15"/>
      <c r="C5197" s="16"/>
      <c r="D5197" s="15"/>
      <c r="F5197" s="15"/>
      <c r="G5197" s="26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28"/>
      <c r="AS5197" s="28"/>
      <c r="AT5197" s="28"/>
    </row>
    <row r="5198">
      <c r="A5198" s="14"/>
      <c r="B5198" s="15"/>
      <c r="C5198" s="16"/>
      <c r="D5198" s="15"/>
      <c r="F5198" s="15"/>
      <c r="G5198" s="26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28"/>
      <c r="AS5198" s="28"/>
      <c r="AT5198" s="28"/>
    </row>
    <row r="5199">
      <c r="A5199" s="14"/>
      <c r="B5199" s="15"/>
      <c r="C5199" s="16"/>
      <c r="D5199" s="15"/>
      <c r="F5199" s="15"/>
      <c r="G5199" s="26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8"/>
      <c r="X5199" s="28"/>
      <c r="Y5199" s="28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28"/>
      <c r="AS5199" s="28"/>
      <c r="AT5199" s="28"/>
    </row>
    <row r="5200">
      <c r="A5200" s="14"/>
      <c r="B5200" s="15"/>
      <c r="C5200" s="16"/>
      <c r="D5200" s="15"/>
      <c r="F5200" s="15"/>
      <c r="G5200" s="26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28"/>
      <c r="AS5200" s="28"/>
      <c r="AT5200" s="28"/>
    </row>
    <row r="5201">
      <c r="A5201" s="14"/>
      <c r="B5201" s="15"/>
      <c r="C5201" s="16"/>
      <c r="D5201" s="15"/>
      <c r="F5201" s="15"/>
      <c r="G5201" s="26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8"/>
      <c r="X5201" s="28"/>
      <c r="Y5201" s="28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28"/>
      <c r="AS5201" s="28"/>
      <c r="AT5201" s="28"/>
    </row>
    <row r="5202">
      <c r="A5202" s="14"/>
      <c r="B5202" s="15"/>
      <c r="C5202" s="16"/>
      <c r="D5202" s="15"/>
      <c r="F5202" s="15"/>
      <c r="G5202" s="26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28"/>
      <c r="AS5202" s="28"/>
      <c r="AT5202" s="28"/>
    </row>
    <row r="5203">
      <c r="A5203" s="14"/>
      <c r="B5203" s="15"/>
      <c r="C5203" s="16"/>
      <c r="D5203" s="15"/>
      <c r="F5203" s="15"/>
      <c r="G5203" s="26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8"/>
      <c r="X5203" s="28"/>
      <c r="Y5203" s="28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28"/>
      <c r="AS5203" s="28"/>
      <c r="AT5203" s="28"/>
    </row>
    <row r="5204">
      <c r="A5204" s="14"/>
      <c r="B5204" s="15"/>
      <c r="C5204" s="16"/>
      <c r="D5204" s="15"/>
      <c r="F5204" s="15"/>
      <c r="G5204" s="26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28"/>
      <c r="AS5204" s="28"/>
      <c r="AT5204" s="28"/>
    </row>
    <row r="5205">
      <c r="A5205" s="14"/>
      <c r="B5205" s="15"/>
      <c r="C5205" s="16"/>
      <c r="D5205" s="15"/>
      <c r="F5205" s="15"/>
      <c r="G5205" s="26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8"/>
      <c r="X5205" s="28"/>
      <c r="Y5205" s="28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28"/>
      <c r="AS5205" s="28"/>
      <c r="AT5205" s="28"/>
    </row>
    <row r="5206">
      <c r="A5206" s="14"/>
      <c r="B5206" s="15"/>
      <c r="C5206" s="16"/>
      <c r="D5206" s="15"/>
      <c r="F5206" s="15"/>
      <c r="G5206" s="26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28"/>
      <c r="AS5206" s="28"/>
      <c r="AT5206" s="28"/>
    </row>
    <row r="5207">
      <c r="A5207" s="14"/>
      <c r="B5207" s="15"/>
      <c r="C5207" s="16"/>
      <c r="D5207" s="15"/>
      <c r="F5207" s="15"/>
      <c r="G5207" s="26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8"/>
      <c r="X5207" s="28"/>
      <c r="Y5207" s="28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28"/>
      <c r="AS5207" s="28"/>
      <c r="AT5207" s="28"/>
    </row>
    <row r="5208">
      <c r="A5208" s="14"/>
      <c r="B5208" s="15"/>
      <c r="C5208" s="16"/>
      <c r="D5208" s="15"/>
      <c r="F5208" s="15"/>
      <c r="G5208" s="26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28"/>
      <c r="AS5208" s="28"/>
      <c r="AT5208" s="28"/>
    </row>
    <row r="5209">
      <c r="A5209" s="14"/>
      <c r="B5209" s="15"/>
      <c r="C5209" s="16"/>
      <c r="D5209" s="15"/>
      <c r="F5209" s="15"/>
      <c r="G5209" s="26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8"/>
      <c r="X5209" s="28"/>
      <c r="Y5209" s="28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28"/>
      <c r="AS5209" s="28"/>
      <c r="AT5209" s="28"/>
    </row>
    <row r="5210">
      <c r="A5210" s="14"/>
      <c r="B5210" s="15"/>
      <c r="C5210" s="16"/>
      <c r="D5210" s="15"/>
      <c r="F5210" s="15"/>
      <c r="G5210" s="26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28"/>
      <c r="AS5210" s="28"/>
      <c r="AT5210" s="28"/>
    </row>
    <row r="5211">
      <c r="A5211" s="14"/>
      <c r="B5211" s="15"/>
      <c r="C5211" s="16"/>
      <c r="D5211" s="15"/>
      <c r="F5211" s="15"/>
      <c r="G5211" s="26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8"/>
      <c r="X5211" s="28"/>
      <c r="Y5211" s="28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28"/>
      <c r="AS5211" s="28"/>
      <c r="AT5211" s="28"/>
    </row>
    <row r="5212">
      <c r="A5212" s="14"/>
      <c r="B5212" s="15"/>
      <c r="C5212" s="16"/>
      <c r="D5212" s="15"/>
      <c r="F5212" s="15"/>
      <c r="G5212" s="26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28"/>
      <c r="AS5212" s="28"/>
      <c r="AT5212" s="28"/>
    </row>
    <row r="5213">
      <c r="A5213" s="14"/>
      <c r="B5213" s="15"/>
      <c r="C5213" s="16"/>
      <c r="D5213" s="15"/>
      <c r="F5213" s="15"/>
      <c r="G5213" s="26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8"/>
      <c r="X5213" s="28"/>
      <c r="Y5213" s="28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28"/>
      <c r="AS5213" s="28"/>
      <c r="AT5213" s="28"/>
    </row>
    <row r="5214">
      <c r="A5214" s="14"/>
      <c r="B5214" s="15"/>
      <c r="C5214" s="16"/>
      <c r="D5214" s="15"/>
      <c r="F5214" s="15"/>
      <c r="G5214" s="26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28"/>
      <c r="AS5214" s="28"/>
      <c r="AT5214" s="28"/>
    </row>
    <row r="5215">
      <c r="A5215" s="14"/>
      <c r="B5215" s="15"/>
      <c r="C5215" s="16"/>
      <c r="D5215" s="15"/>
      <c r="F5215" s="15"/>
      <c r="G5215" s="26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8"/>
      <c r="X5215" s="28"/>
      <c r="Y5215" s="28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28"/>
      <c r="AS5215" s="28"/>
      <c r="AT5215" s="28"/>
    </row>
    <row r="5216">
      <c r="A5216" s="14"/>
      <c r="B5216" s="15"/>
      <c r="C5216" s="16"/>
      <c r="D5216" s="15"/>
      <c r="F5216" s="15"/>
      <c r="G5216" s="26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8"/>
      <c r="X5216" s="28"/>
      <c r="Y5216" s="28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28"/>
      <c r="AS5216" s="28"/>
      <c r="AT5216" s="28"/>
    </row>
    <row r="5217">
      <c r="A5217" s="14"/>
      <c r="B5217" s="15"/>
      <c r="C5217" s="16"/>
      <c r="D5217" s="15"/>
      <c r="F5217" s="15"/>
      <c r="G5217" s="26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8"/>
      <c r="X5217" s="28"/>
      <c r="Y5217" s="28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28"/>
      <c r="AS5217" s="28"/>
      <c r="AT5217" s="28"/>
    </row>
    <row r="5218">
      <c r="A5218" s="14"/>
      <c r="B5218" s="15"/>
      <c r="C5218" s="16"/>
      <c r="D5218" s="15"/>
      <c r="F5218" s="15"/>
      <c r="G5218" s="26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28"/>
      <c r="AS5218" s="28"/>
      <c r="AT5218" s="28"/>
    </row>
    <row r="5219">
      <c r="A5219" s="14"/>
      <c r="B5219" s="15"/>
      <c r="C5219" s="16"/>
      <c r="D5219" s="15"/>
      <c r="F5219" s="15"/>
      <c r="G5219" s="26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8"/>
      <c r="X5219" s="28"/>
      <c r="Y5219" s="28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28"/>
      <c r="AS5219" s="28"/>
      <c r="AT5219" s="28"/>
    </row>
    <row r="5220">
      <c r="A5220" s="14"/>
      <c r="B5220" s="15"/>
      <c r="C5220" s="16"/>
      <c r="D5220" s="15"/>
      <c r="F5220" s="15"/>
      <c r="G5220" s="26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8"/>
      <c r="X5220" s="28"/>
      <c r="Y5220" s="28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28"/>
      <c r="AS5220" s="28"/>
      <c r="AT5220" s="28"/>
    </row>
    <row r="5221">
      <c r="A5221" s="14"/>
      <c r="B5221" s="15"/>
      <c r="C5221" s="16"/>
      <c r="D5221" s="15"/>
      <c r="F5221" s="15"/>
      <c r="G5221" s="26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28"/>
      <c r="AS5221" s="28"/>
      <c r="AT5221" s="28"/>
    </row>
    <row r="5222">
      <c r="A5222" s="14"/>
      <c r="B5222" s="15"/>
      <c r="C5222" s="16"/>
      <c r="D5222" s="15"/>
      <c r="F5222" s="15"/>
      <c r="G5222" s="26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8"/>
      <c r="X5222" s="28"/>
      <c r="Y5222" s="28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28"/>
      <c r="AS5222" s="28"/>
      <c r="AT5222" s="28"/>
    </row>
    <row r="5223">
      <c r="A5223" s="14"/>
      <c r="B5223" s="15"/>
      <c r="C5223" s="16"/>
      <c r="D5223" s="15"/>
      <c r="F5223" s="15"/>
      <c r="G5223" s="26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8"/>
      <c r="X5223" s="28"/>
      <c r="Y5223" s="28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28"/>
      <c r="AS5223" s="28"/>
      <c r="AT5223" s="28"/>
    </row>
    <row r="5224">
      <c r="A5224" s="14"/>
      <c r="B5224" s="15"/>
      <c r="C5224" s="16"/>
      <c r="D5224" s="15"/>
      <c r="F5224" s="15"/>
      <c r="G5224" s="26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8"/>
      <c r="X5224" s="28"/>
      <c r="Y5224" s="28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28"/>
      <c r="AS5224" s="28"/>
      <c r="AT5224" s="28"/>
    </row>
    <row r="5225">
      <c r="A5225" s="14"/>
      <c r="B5225" s="15"/>
      <c r="C5225" s="16"/>
      <c r="D5225" s="15"/>
      <c r="F5225" s="15"/>
      <c r="G5225" s="26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28"/>
      <c r="AS5225" s="28"/>
      <c r="AT5225" s="28"/>
    </row>
    <row r="5226">
      <c r="A5226" s="14"/>
      <c r="B5226" s="15"/>
      <c r="C5226" s="16"/>
      <c r="D5226" s="15"/>
      <c r="F5226" s="15"/>
      <c r="G5226" s="26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8"/>
      <c r="X5226" s="28"/>
      <c r="Y5226" s="28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28"/>
      <c r="AS5226" s="28"/>
      <c r="AT5226" s="28"/>
    </row>
    <row r="5227">
      <c r="A5227" s="14"/>
      <c r="B5227" s="15"/>
      <c r="C5227" s="16"/>
      <c r="D5227" s="15"/>
      <c r="F5227" s="15"/>
      <c r="G5227" s="26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28"/>
      <c r="AS5227" s="28"/>
      <c r="AT5227" s="28"/>
    </row>
    <row r="5228">
      <c r="A5228" s="14"/>
      <c r="B5228" s="15"/>
      <c r="C5228" s="16"/>
      <c r="D5228" s="15"/>
      <c r="F5228" s="15"/>
      <c r="G5228" s="26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8"/>
      <c r="X5228" s="28"/>
      <c r="Y5228" s="28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28"/>
      <c r="AS5228" s="28"/>
      <c r="AT5228" s="28"/>
    </row>
    <row r="5229">
      <c r="A5229" s="14"/>
      <c r="B5229" s="15"/>
      <c r="C5229" s="16"/>
      <c r="D5229" s="15"/>
      <c r="F5229" s="15"/>
      <c r="G5229" s="26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28"/>
      <c r="AS5229" s="28"/>
      <c r="AT5229" s="28"/>
    </row>
    <row r="5230">
      <c r="A5230" s="14"/>
      <c r="B5230" s="15"/>
      <c r="C5230" s="16"/>
      <c r="D5230" s="15"/>
      <c r="F5230" s="15"/>
      <c r="G5230" s="26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28"/>
      <c r="AS5230" s="28"/>
      <c r="AT5230" s="28"/>
    </row>
    <row r="5231">
      <c r="A5231" s="14"/>
      <c r="B5231" s="15"/>
      <c r="C5231" s="16"/>
      <c r="D5231" s="15"/>
      <c r="F5231" s="15"/>
      <c r="G5231" s="26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28"/>
      <c r="AS5231" s="28"/>
      <c r="AT5231" s="28"/>
    </row>
    <row r="5232">
      <c r="A5232" s="14"/>
      <c r="B5232" s="15"/>
      <c r="C5232" s="16"/>
      <c r="D5232" s="15"/>
      <c r="F5232" s="15"/>
      <c r="G5232" s="26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8"/>
      <c r="X5232" s="28"/>
      <c r="Y5232" s="28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28"/>
      <c r="AS5232" s="28"/>
      <c r="AT5232" s="28"/>
    </row>
    <row r="5233">
      <c r="A5233" s="14"/>
      <c r="B5233" s="15"/>
      <c r="C5233" s="16"/>
      <c r="D5233" s="15"/>
      <c r="F5233" s="15"/>
      <c r="G5233" s="26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28"/>
      <c r="AS5233" s="28"/>
      <c r="AT5233" s="28"/>
    </row>
    <row r="5234">
      <c r="A5234" s="14"/>
      <c r="B5234" s="15"/>
      <c r="C5234" s="16"/>
      <c r="D5234" s="15"/>
      <c r="F5234" s="15"/>
      <c r="G5234" s="26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8"/>
      <c r="X5234" s="28"/>
      <c r="Y5234" s="28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28"/>
      <c r="AS5234" s="28"/>
      <c r="AT5234" s="28"/>
    </row>
    <row r="5235">
      <c r="A5235" s="14"/>
      <c r="B5235" s="15"/>
      <c r="C5235" s="16"/>
      <c r="D5235" s="15"/>
      <c r="F5235" s="15"/>
      <c r="G5235" s="26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28"/>
      <c r="AS5235" s="28"/>
      <c r="AT5235" s="28"/>
    </row>
    <row r="5236">
      <c r="A5236" s="14"/>
      <c r="B5236" s="15"/>
      <c r="C5236" s="16"/>
      <c r="D5236" s="15"/>
      <c r="F5236" s="15"/>
      <c r="G5236" s="26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28"/>
      <c r="AS5236" s="28"/>
      <c r="AT5236" s="28"/>
    </row>
    <row r="5237">
      <c r="A5237" s="14"/>
      <c r="B5237" s="15"/>
      <c r="C5237" s="16"/>
      <c r="D5237" s="15"/>
      <c r="F5237" s="15"/>
      <c r="G5237" s="26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8"/>
      <c r="X5237" s="28"/>
      <c r="Y5237" s="28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28"/>
      <c r="AS5237" s="28"/>
      <c r="AT5237" s="28"/>
    </row>
    <row r="5238">
      <c r="A5238" s="14"/>
      <c r="B5238" s="15"/>
      <c r="C5238" s="16"/>
      <c r="D5238" s="15"/>
      <c r="F5238" s="15"/>
      <c r="G5238" s="26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28"/>
      <c r="AS5238" s="28"/>
      <c r="AT5238" s="28"/>
    </row>
    <row r="5239">
      <c r="A5239" s="14"/>
      <c r="B5239" s="15"/>
      <c r="C5239" s="16"/>
      <c r="D5239" s="15"/>
      <c r="F5239" s="15"/>
      <c r="G5239" s="26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8"/>
      <c r="X5239" s="28"/>
      <c r="Y5239" s="28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28"/>
      <c r="AS5239" s="28"/>
      <c r="AT5239" s="28"/>
    </row>
    <row r="5240">
      <c r="A5240" s="14"/>
      <c r="B5240" s="15"/>
      <c r="C5240" s="16"/>
      <c r="D5240" s="15"/>
      <c r="F5240" s="15"/>
      <c r="G5240" s="26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28"/>
      <c r="AS5240" s="28"/>
      <c r="AT5240" s="28"/>
    </row>
    <row r="5241">
      <c r="A5241" s="14"/>
      <c r="B5241" s="15"/>
      <c r="C5241" s="16"/>
      <c r="D5241" s="15"/>
      <c r="F5241" s="15"/>
      <c r="G5241" s="26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8"/>
      <c r="X5241" s="28"/>
      <c r="Y5241" s="28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28"/>
      <c r="AS5241" s="28"/>
      <c r="AT5241" s="28"/>
    </row>
    <row r="5242">
      <c r="A5242" s="14"/>
      <c r="B5242" s="15"/>
      <c r="C5242" s="16"/>
      <c r="D5242" s="15"/>
      <c r="F5242" s="15"/>
      <c r="G5242" s="26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28"/>
      <c r="AS5242" s="28"/>
      <c r="AT5242" s="28"/>
    </row>
    <row r="5243">
      <c r="A5243" s="14"/>
      <c r="B5243" s="15"/>
      <c r="C5243" s="16"/>
      <c r="D5243" s="15"/>
      <c r="F5243" s="15"/>
      <c r="G5243" s="26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8"/>
      <c r="X5243" s="28"/>
      <c r="Y5243" s="28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28"/>
      <c r="AS5243" s="28"/>
      <c r="AT5243" s="28"/>
    </row>
    <row r="5244">
      <c r="A5244" s="14"/>
      <c r="B5244" s="15"/>
      <c r="C5244" s="16"/>
      <c r="D5244" s="15"/>
      <c r="F5244" s="15"/>
      <c r="G5244" s="26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8"/>
      <c r="X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28"/>
      <c r="AS5244" s="28"/>
      <c r="AT5244" s="28"/>
    </row>
    <row r="5245">
      <c r="A5245" s="14"/>
      <c r="B5245" s="15"/>
      <c r="C5245" s="16"/>
      <c r="D5245" s="15"/>
      <c r="F5245" s="15"/>
      <c r="G5245" s="26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8"/>
      <c r="X5245" s="28"/>
      <c r="Y5245" s="28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28"/>
      <c r="AS5245" s="28"/>
      <c r="AT5245" s="28"/>
    </row>
    <row r="5246">
      <c r="A5246" s="14"/>
      <c r="B5246" s="15"/>
      <c r="C5246" s="16"/>
      <c r="D5246" s="15"/>
      <c r="F5246" s="15"/>
      <c r="G5246" s="26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28"/>
      <c r="AS5246" s="28"/>
      <c r="AT5246" s="28"/>
    </row>
    <row r="5247">
      <c r="A5247" s="14"/>
      <c r="B5247" s="15"/>
      <c r="C5247" s="16"/>
      <c r="D5247" s="15"/>
      <c r="F5247" s="15"/>
      <c r="G5247" s="26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8"/>
      <c r="X5247" s="28"/>
      <c r="Y5247" s="28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28"/>
      <c r="AS5247" s="28"/>
      <c r="AT5247" s="28"/>
    </row>
    <row r="5248">
      <c r="A5248" s="14"/>
      <c r="B5248" s="15"/>
      <c r="C5248" s="16"/>
      <c r="D5248" s="15"/>
      <c r="F5248" s="15"/>
      <c r="G5248" s="26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28"/>
      <c r="AS5248" s="28"/>
      <c r="AT5248" s="28"/>
    </row>
    <row r="5249">
      <c r="A5249" s="14"/>
      <c r="B5249" s="15"/>
      <c r="C5249" s="16"/>
      <c r="D5249" s="15"/>
      <c r="F5249" s="15"/>
      <c r="G5249" s="26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28"/>
      <c r="AS5249" s="28"/>
      <c r="AT5249" s="28"/>
    </row>
    <row r="5250">
      <c r="A5250" s="14"/>
      <c r="B5250" s="15"/>
      <c r="C5250" s="16"/>
      <c r="D5250" s="15"/>
      <c r="F5250" s="15"/>
      <c r="G5250" s="26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8"/>
      <c r="X5250" s="28"/>
      <c r="Y5250" s="28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28"/>
      <c r="AS5250" s="28"/>
      <c r="AT5250" s="28"/>
    </row>
    <row r="5251">
      <c r="A5251" s="14"/>
      <c r="B5251" s="15"/>
      <c r="C5251" s="16"/>
      <c r="D5251" s="15"/>
      <c r="F5251" s="15"/>
      <c r="G5251" s="26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28"/>
      <c r="AS5251" s="28"/>
      <c r="AT5251" s="28"/>
    </row>
    <row r="5252">
      <c r="A5252" s="14"/>
      <c r="B5252" s="15"/>
      <c r="C5252" s="16"/>
      <c r="D5252" s="15"/>
      <c r="F5252" s="15"/>
      <c r="G5252" s="26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8"/>
      <c r="X5252" s="28"/>
      <c r="Y5252" s="28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28"/>
      <c r="AS5252" s="28"/>
      <c r="AT5252" s="28"/>
    </row>
    <row r="5253">
      <c r="A5253" s="14"/>
      <c r="B5253" s="15"/>
      <c r="C5253" s="16"/>
      <c r="D5253" s="15"/>
      <c r="F5253" s="15"/>
      <c r="G5253" s="26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28"/>
      <c r="AS5253" s="28"/>
      <c r="AT5253" s="28"/>
    </row>
    <row r="5254">
      <c r="A5254" s="14"/>
      <c r="B5254" s="15"/>
      <c r="C5254" s="16"/>
      <c r="D5254" s="15"/>
      <c r="F5254" s="15"/>
      <c r="G5254" s="26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8"/>
      <c r="X5254" s="28"/>
      <c r="Y5254" s="28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28"/>
      <c r="AS5254" s="28"/>
      <c r="AT5254" s="28"/>
    </row>
    <row r="5255">
      <c r="A5255" s="14"/>
      <c r="B5255" s="15"/>
      <c r="C5255" s="16"/>
      <c r="D5255" s="15"/>
      <c r="F5255" s="15"/>
      <c r="G5255" s="26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8"/>
      <c r="X5255" s="28"/>
      <c r="Y5255" s="28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28"/>
      <c r="AS5255" s="28"/>
      <c r="AT5255" s="28"/>
    </row>
    <row r="5256">
      <c r="A5256" s="14"/>
      <c r="B5256" s="15"/>
      <c r="C5256" s="16"/>
      <c r="D5256" s="15"/>
      <c r="F5256" s="15"/>
      <c r="G5256" s="26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8"/>
      <c r="X5256" s="28"/>
      <c r="Y5256" s="28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28"/>
      <c r="AS5256" s="28"/>
      <c r="AT5256" s="28"/>
    </row>
    <row r="5257">
      <c r="A5257" s="14"/>
      <c r="B5257" s="15"/>
      <c r="C5257" s="16"/>
      <c r="D5257" s="15"/>
      <c r="F5257" s="15"/>
      <c r="G5257" s="26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28"/>
      <c r="AS5257" s="28"/>
      <c r="AT5257" s="28"/>
    </row>
    <row r="5258">
      <c r="A5258" s="14"/>
      <c r="B5258" s="15"/>
      <c r="C5258" s="16"/>
      <c r="D5258" s="15"/>
      <c r="F5258" s="15"/>
      <c r="G5258" s="26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8"/>
      <c r="X5258" s="28"/>
      <c r="Y5258" s="28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28"/>
      <c r="AS5258" s="28"/>
      <c r="AT5258" s="28"/>
    </row>
    <row r="5259">
      <c r="A5259" s="14"/>
      <c r="B5259" s="15"/>
      <c r="C5259" s="16"/>
      <c r="D5259" s="15"/>
      <c r="F5259" s="15"/>
      <c r="G5259" s="26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28"/>
      <c r="AS5259" s="28"/>
      <c r="AT5259" s="28"/>
    </row>
    <row r="5260">
      <c r="A5260" s="14"/>
      <c r="B5260" s="15"/>
      <c r="C5260" s="16"/>
      <c r="D5260" s="15"/>
      <c r="F5260" s="15"/>
      <c r="G5260" s="26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28"/>
      <c r="AS5260" s="28"/>
      <c r="AT5260" s="28"/>
    </row>
    <row r="5261">
      <c r="A5261" s="14"/>
      <c r="B5261" s="15"/>
      <c r="C5261" s="16"/>
      <c r="D5261" s="15"/>
      <c r="F5261" s="15"/>
      <c r="G5261" s="26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28"/>
      <c r="AS5261" s="28"/>
      <c r="AT5261" s="28"/>
    </row>
    <row r="5262">
      <c r="A5262" s="14"/>
      <c r="B5262" s="15"/>
      <c r="C5262" s="16"/>
      <c r="D5262" s="15"/>
      <c r="F5262" s="15"/>
      <c r="G5262" s="26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8"/>
      <c r="X5262" s="28"/>
      <c r="Y5262" s="28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28"/>
      <c r="AS5262" s="28"/>
      <c r="AT5262" s="28"/>
    </row>
    <row r="5263">
      <c r="A5263" s="14"/>
      <c r="B5263" s="15"/>
      <c r="C5263" s="16"/>
      <c r="D5263" s="15"/>
      <c r="F5263" s="15"/>
      <c r="G5263" s="26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8"/>
      <c r="X5263" s="28"/>
      <c r="Y5263" s="28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28"/>
      <c r="AS5263" s="28"/>
      <c r="AT5263" s="28"/>
    </row>
    <row r="5264">
      <c r="A5264" s="14"/>
      <c r="B5264" s="15"/>
      <c r="C5264" s="16"/>
      <c r="D5264" s="15"/>
      <c r="F5264" s="15"/>
      <c r="G5264" s="26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28"/>
      <c r="AS5264" s="28"/>
      <c r="AT5264" s="28"/>
    </row>
    <row r="5265">
      <c r="A5265" s="14"/>
      <c r="B5265" s="15"/>
      <c r="C5265" s="16"/>
      <c r="D5265" s="15"/>
      <c r="F5265" s="15"/>
      <c r="G5265" s="26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8"/>
      <c r="X5265" s="28"/>
      <c r="Y5265" s="28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28"/>
      <c r="AS5265" s="28"/>
      <c r="AT5265" s="28"/>
    </row>
    <row r="5266">
      <c r="A5266" s="14"/>
      <c r="B5266" s="15"/>
      <c r="C5266" s="16"/>
      <c r="D5266" s="15"/>
      <c r="F5266" s="15"/>
      <c r="G5266" s="26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8"/>
      <c r="X5266" s="28"/>
      <c r="Y5266" s="28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28"/>
      <c r="AS5266" s="28"/>
      <c r="AT5266" s="28"/>
    </row>
    <row r="5267">
      <c r="A5267" s="14"/>
      <c r="B5267" s="15"/>
      <c r="C5267" s="16"/>
      <c r="D5267" s="15"/>
      <c r="F5267" s="15"/>
      <c r="G5267" s="26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8"/>
      <c r="X5267" s="28"/>
      <c r="Y5267" s="28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28"/>
      <c r="AS5267" s="28"/>
      <c r="AT5267" s="28"/>
    </row>
    <row r="5268">
      <c r="A5268" s="14"/>
      <c r="B5268" s="15"/>
      <c r="C5268" s="16"/>
      <c r="D5268" s="15"/>
      <c r="F5268" s="15"/>
      <c r="G5268" s="26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28"/>
      <c r="AS5268" s="28"/>
      <c r="AT5268" s="28"/>
    </row>
    <row r="5269">
      <c r="A5269" s="14"/>
      <c r="B5269" s="15"/>
      <c r="C5269" s="16"/>
      <c r="D5269" s="15"/>
      <c r="F5269" s="15"/>
      <c r="G5269" s="26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8"/>
      <c r="X5269" s="28"/>
      <c r="Y5269" s="28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28"/>
      <c r="AS5269" s="28"/>
      <c r="AT5269" s="28"/>
    </row>
    <row r="5270">
      <c r="A5270" s="14"/>
      <c r="B5270" s="15"/>
      <c r="C5270" s="16"/>
      <c r="D5270" s="15"/>
      <c r="F5270" s="15"/>
      <c r="G5270" s="26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8"/>
      <c r="X5270" s="28"/>
      <c r="Y5270" s="28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28"/>
      <c r="AS5270" s="28"/>
      <c r="AT5270" s="28"/>
    </row>
    <row r="5271">
      <c r="A5271" s="14"/>
      <c r="B5271" s="15"/>
      <c r="C5271" s="16"/>
      <c r="D5271" s="15"/>
      <c r="F5271" s="15"/>
      <c r="G5271" s="26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28"/>
      <c r="AS5271" s="28"/>
      <c r="AT5271" s="28"/>
    </row>
    <row r="5272">
      <c r="A5272" s="14"/>
      <c r="B5272" s="15"/>
      <c r="C5272" s="16"/>
      <c r="D5272" s="15"/>
      <c r="F5272" s="15"/>
      <c r="G5272" s="26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28"/>
      <c r="AS5272" s="28"/>
      <c r="AT5272" s="28"/>
    </row>
    <row r="5273">
      <c r="A5273" s="14"/>
      <c r="B5273" s="15"/>
      <c r="C5273" s="16"/>
      <c r="D5273" s="15"/>
      <c r="F5273" s="15"/>
      <c r="G5273" s="26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8"/>
      <c r="X5273" s="28"/>
      <c r="Y5273" s="28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28"/>
      <c r="AS5273" s="28"/>
      <c r="AT5273" s="28"/>
    </row>
    <row r="5274">
      <c r="A5274" s="14"/>
      <c r="B5274" s="15"/>
      <c r="C5274" s="16"/>
      <c r="D5274" s="15"/>
      <c r="F5274" s="15"/>
      <c r="G5274" s="26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8"/>
      <c r="X5274" s="28"/>
      <c r="Y5274" s="28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28"/>
      <c r="AS5274" s="28"/>
      <c r="AT5274" s="28"/>
    </row>
    <row r="5275">
      <c r="A5275" s="14"/>
      <c r="B5275" s="15"/>
      <c r="C5275" s="16"/>
      <c r="D5275" s="15"/>
      <c r="F5275" s="15"/>
      <c r="G5275" s="26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8"/>
      <c r="X5275" s="28"/>
      <c r="Y5275" s="28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28"/>
      <c r="AS5275" s="28"/>
      <c r="AT5275" s="28"/>
    </row>
    <row r="5276">
      <c r="A5276" s="14"/>
      <c r="B5276" s="15"/>
      <c r="C5276" s="16"/>
      <c r="D5276" s="15"/>
      <c r="F5276" s="15"/>
      <c r="G5276" s="26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28"/>
      <c r="AS5276" s="28"/>
      <c r="AT5276" s="28"/>
    </row>
    <row r="5277">
      <c r="A5277" s="14"/>
      <c r="B5277" s="15"/>
      <c r="C5277" s="16"/>
      <c r="D5277" s="15"/>
      <c r="F5277" s="15"/>
      <c r="G5277" s="26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28"/>
      <c r="AS5277" s="28"/>
      <c r="AT5277" s="28"/>
    </row>
    <row r="5278">
      <c r="A5278" s="14"/>
      <c r="B5278" s="15"/>
      <c r="C5278" s="16"/>
      <c r="D5278" s="15"/>
      <c r="F5278" s="15"/>
      <c r="G5278" s="26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8"/>
      <c r="X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28"/>
      <c r="AS5278" s="28"/>
      <c r="AT5278" s="28"/>
    </row>
    <row r="5279">
      <c r="A5279" s="14"/>
      <c r="B5279" s="15"/>
      <c r="C5279" s="16"/>
      <c r="D5279" s="15"/>
      <c r="F5279" s="15"/>
      <c r="G5279" s="26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28"/>
      <c r="AS5279" s="28"/>
      <c r="AT5279" s="28"/>
    </row>
    <row r="5280">
      <c r="A5280" s="14"/>
      <c r="B5280" s="15"/>
      <c r="C5280" s="16"/>
      <c r="D5280" s="15"/>
      <c r="F5280" s="15"/>
      <c r="G5280" s="26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8"/>
      <c r="X5280" s="28"/>
      <c r="Y5280" s="28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28"/>
      <c r="AS5280" s="28"/>
      <c r="AT5280" s="28"/>
    </row>
    <row r="5281">
      <c r="A5281" s="14"/>
      <c r="B5281" s="15"/>
      <c r="C5281" s="16"/>
      <c r="D5281" s="15"/>
      <c r="F5281" s="15"/>
      <c r="G5281" s="26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8"/>
      <c r="X5281" s="28"/>
      <c r="Y5281" s="28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28"/>
      <c r="AS5281" s="28"/>
      <c r="AT5281" s="28"/>
    </row>
    <row r="5282">
      <c r="A5282" s="14"/>
      <c r="B5282" s="15"/>
      <c r="C5282" s="16"/>
      <c r="D5282" s="15"/>
      <c r="F5282" s="15"/>
      <c r="G5282" s="26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8"/>
      <c r="X5282" s="28"/>
      <c r="Y5282" s="28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28"/>
      <c r="AS5282" s="28"/>
      <c r="AT5282" s="28"/>
    </row>
    <row r="5283">
      <c r="A5283" s="14"/>
      <c r="B5283" s="15"/>
      <c r="C5283" s="16"/>
      <c r="D5283" s="15"/>
      <c r="F5283" s="15"/>
      <c r="G5283" s="26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28"/>
      <c r="AS5283" s="28"/>
      <c r="AT5283" s="28"/>
    </row>
    <row r="5284">
      <c r="A5284" s="14"/>
      <c r="B5284" s="15"/>
      <c r="C5284" s="16"/>
      <c r="D5284" s="15"/>
      <c r="F5284" s="15"/>
      <c r="G5284" s="26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8"/>
      <c r="X5284" s="28"/>
      <c r="Y5284" s="28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28"/>
      <c r="AS5284" s="28"/>
      <c r="AT5284" s="28"/>
    </row>
    <row r="5285">
      <c r="A5285" s="14"/>
      <c r="B5285" s="15"/>
      <c r="C5285" s="16"/>
      <c r="D5285" s="15"/>
      <c r="F5285" s="15"/>
      <c r="G5285" s="26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28"/>
      <c r="AS5285" s="28"/>
      <c r="AT5285" s="28"/>
    </row>
    <row r="5286">
      <c r="A5286" s="14"/>
      <c r="B5286" s="15"/>
      <c r="C5286" s="16"/>
      <c r="D5286" s="15"/>
      <c r="F5286" s="15"/>
      <c r="G5286" s="26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28"/>
      <c r="AS5286" s="28"/>
      <c r="AT5286" s="28"/>
    </row>
    <row r="5287">
      <c r="A5287" s="14"/>
      <c r="B5287" s="15"/>
      <c r="C5287" s="16"/>
      <c r="D5287" s="15"/>
      <c r="F5287" s="15"/>
      <c r="G5287" s="26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28"/>
      <c r="AR5287" s="28"/>
      <c r="AS5287" s="28"/>
      <c r="AT5287" s="28"/>
    </row>
    <row r="5288">
      <c r="A5288" s="14"/>
      <c r="B5288" s="15"/>
      <c r="C5288" s="16"/>
      <c r="D5288" s="15"/>
      <c r="F5288" s="15"/>
      <c r="G5288" s="26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28"/>
      <c r="AM5288" s="28"/>
      <c r="AN5288" s="28"/>
      <c r="AO5288" s="28"/>
      <c r="AP5288" s="28"/>
      <c r="AQ5288" s="28"/>
      <c r="AR5288" s="28"/>
      <c r="AS5288" s="28"/>
      <c r="AT5288" s="28"/>
    </row>
    <row r="5289">
      <c r="A5289" s="14"/>
      <c r="B5289" s="15"/>
      <c r="C5289" s="16"/>
      <c r="D5289" s="15"/>
      <c r="F5289" s="15"/>
      <c r="G5289" s="26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  <c r="AF5289" s="28"/>
      <c r="AG5289" s="28"/>
      <c r="AH5289" s="28"/>
      <c r="AI5289" s="28"/>
      <c r="AJ5289" s="28"/>
      <c r="AK5289" s="28"/>
      <c r="AL5289" s="28"/>
      <c r="AM5289" s="28"/>
      <c r="AN5289" s="28"/>
      <c r="AO5289" s="28"/>
      <c r="AP5289" s="28"/>
      <c r="AQ5289" s="28"/>
      <c r="AR5289" s="28"/>
      <c r="AS5289" s="28"/>
      <c r="AT5289" s="28"/>
    </row>
    <row r="5290">
      <c r="A5290" s="14"/>
      <c r="B5290" s="15"/>
      <c r="C5290" s="16"/>
      <c r="D5290" s="15"/>
      <c r="F5290" s="15"/>
      <c r="G5290" s="26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8"/>
      <c r="X5290" s="28"/>
      <c r="Y5290" s="28"/>
      <c r="Z5290" s="28"/>
      <c r="AA5290" s="28"/>
      <c r="AB5290" s="28"/>
      <c r="AC5290" s="28"/>
      <c r="AD5290" s="28"/>
      <c r="AE5290" s="28"/>
      <c r="AF5290" s="28"/>
      <c r="AG5290" s="28"/>
      <c r="AH5290" s="28"/>
      <c r="AI5290" s="28"/>
      <c r="AJ5290" s="28"/>
      <c r="AK5290" s="28"/>
      <c r="AL5290" s="28"/>
      <c r="AM5290" s="28"/>
      <c r="AN5290" s="28"/>
      <c r="AO5290" s="28"/>
      <c r="AP5290" s="28"/>
      <c r="AQ5290" s="28"/>
      <c r="AR5290" s="28"/>
      <c r="AS5290" s="28"/>
      <c r="AT5290" s="28"/>
    </row>
    <row r="5291">
      <c r="A5291" s="14"/>
      <c r="B5291" s="15"/>
      <c r="C5291" s="16"/>
      <c r="D5291" s="15"/>
      <c r="F5291" s="15"/>
      <c r="G5291" s="26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8"/>
      <c r="X5291" s="28"/>
      <c r="Y5291" s="28"/>
      <c r="Z5291" s="28"/>
      <c r="AA5291" s="28"/>
      <c r="AB5291" s="28"/>
      <c r="AC5291" s="28"/>
      <c r="AD5291" s="28"/>
      <c r="AE5291" s="28"/>
      <c r="AF5291" s="28"/>
      <c r="AG5291" s="28"/>
      <c r="AH5291" s="28"/>
      <c r="AI5291" s="28"/>
      <c r="AJ5291" s="28"/>
      <c r="AK5291" s="28"/>
      <c r="AL5291" s="28"/>
      <c r="AM5291" s="28"/>
      <c r="AN5291" s="28"/>
      <c r="AO5291" s="28"/>
      <c r="AP5291" s="28"/>
      <c r="AQ5291" s="28"/>
      <c r="AR5291" s="28"/>
      <c r="AS5291" s="28"/>
      <c r="AT5291" s="28"/>
    </row>
    <row r="5292">
      <c r="A5292" s="14"/>
      <c r="B5292" s="15"/>
      <c r="C5292" s="16"/>
      <c r="D5292" s="15"/>
      <c r="F5292" s="15"/>
      <c r="G5292" s="26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8"/>
      <c r="X5292" s="28"/>
      <c r="Y5292" s="28"/>
      <c r="Z5292" s="28"/>
      <c r="AA5292" s="28"/>
      <c r="AB5292" s="28"/>
      <c r="AC5292" s="28"/>
      <c r="AD5292" s="28"/>
      <c r="AE5292" s="28"/>
      <c r="AF5292" s="28"/>
      <c r="AG5292" s="28"/>
      <c r="AH5292" s="28"/>
      <c r="AI5292" s="28"/>
      <c r="AJ5292" s="28"/>
      <c r="AK5292" s="28"/>
      <c r="AL5292" s="28"/>
      <c r="AM5292" s="28"/>
      <c r="AN5292" s="28"/>
      <c r="AO5292" s="28"/>
      <c r="AP5292" s="28"/>
      <c r="AQ5292" s="28"/>
      <c r="AR5292" s="28"/>
      <c r="AS5292" s="28"/>
      <c r="AT5292" s="28"/>
    </row>
    <row r="5293">
      <c r="A5293" s="14"/>
      <c r="B5293" s="15"/>
      <c r="C5293" s="16"/>
      <c r="D5293" s="15"/>
      <c r="F5293" s="15"/>
      <c r="G5293" s="26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8"/>
      <c r="X5293" s="28"/>
      <c r="Y5293" s="28"/>
      <c r="Z5293" s="28"/>
      <c r="AA5293" s="28"/>
      <c r="AB5293" s="28"/>
      <c r="AC5293" s="28"/>
      <c r="AD5293" s="28"/>
      <c r="AE5293" s="28"/>
      <c r="AF5293" s="28"/>
      <c r="AG5293" s="28"/>
      <c r="AH5293" s="28"/>
      <c r="AI5293" s="28"/>
      <c r="AJ5293" s="28"/>
      <c r="AK5293" s="28"/>
      <c r="AL5293" s="28"/>
      <c r="AM5293" s="28"/>
      <c r="AN5293" s="28"/>
      <c r="AO5293" s="28"/>
      <c r="AP5293" s="28"/>
      <c r="AQ5293" s="28"/>
      <c r="AR5293" s="28"/>
      <c r="AS5293" s="28"/>
      <c r="AT5293" s="28"/>
    </row>
    <row r="5294">
      <c r="A5294" s="14"/>
      <c r="B5294" s="15"/>
      <c r="C5294" s="16"/>
      <c r="D5294" s="15"/>
      <c r="F5294" s="15"/>
      <c r="G5294" s="26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8"/>
      <c r="X5294" s="28"/>
      <c r="Y5294" s="28"/>
      <c r="Z5294" s="28"/>
      <c r="AA5294" s="28"/>
      <c r="AB5294" s="28"/>
      <c r="AC5294" s="28"/>
      <c r="AD5294" s="28"/>
      <c r="AE5294" s="28"/>
      <c r="AF5294" s="28"/>
      <c r="AG5294" s="28"/>
      <c r="AH5294" s="28"/>
      <c r="AI5294" s="28"/>
      <c r="AJ5294" s="28"/>
      <c r="AK5294" s="28"/>
      <c r="AL5294" s="28"/>
      <c r="AM5294" s="28"/>
      <c r="AN5294" s="28"/>
      <c r="AO5294" s="28"/>
      <c r="AP5294" s="28"/>
      <c r="AQ5294" s="28"/>
      <c r="AR5294" s="28"/>
      <c r="AS5294" s="28"/>
      <c r="AT5294" s="28"/>
    </row>
    <row r="5295">
      <c r="A5295" s="14"/>
      <c r="B5295" s="15"/>
      <c r="C5295" s="16"/>
      <c r="D5295" s="15"/>
      <c r="F5295" s="15"/>
      <c r="G5295" s="26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8"/>
      <c r="X5295" s="28"/>
      <c r="Y5295" s="28"/>
      <c r="Z5295" s="28"/>
      <c r="AA5295" s="28"/>
      <c r="AB5295" s="28"/>
      <c r="AC5295" s="28"/>
      <c r="AD5295" s="28"/>
      <c r="AE5295" s="28"/>
      <c r="AF5295" s="28"/>
      <c r="AG5295" s="28"/>
      <c r="AH5295" s="28"/>
      <c r="AI5295" s="28"/>
      <c r="AJ5295" s="28"/>
      <c r="AK5295" s="28"/>
      <c r="AL5295" s="28"/>
      <c r="AM5295" s="28"/>
      <c r="AN5295" s="28"/>
      <c r="AO5295" s="28"/>
      <c r="AP5295" s="28"/>
      <c r="AQ5295" s="28"/>
      <c r="AR5295" s="28"/>
      <c r="AS5295" s="28"/>
      <c r="AT5295" s="28"/>
    </row>
    <row r="5296">
      <c r="A5296" s="14"/>
      <c r="B5296" s="15"/>
      <c r="C5296" s="16"/>
      <c r="D5296" s="15"/>
      <c r="F5296" s="15"/>
      <c r="G5296" s="26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8"/>
      <c r="X5296" s="28"/>
      <c r="Y5296" s="28"/>
      <c r="Z5296" s="28"/>
      <c r="AA5296" s="28"/>
      <c r="AB5296" s="28"/>
      <c r="AC5296" s="28"/>
      <c r="AD5296" s="28"/>
      <c r="AE5296" s="28"/>
      <c r="AF5296" s="28"/>
      <c r="AG5296" s="28"/>
      <c r="AH5296" s="28"/>
      <c r="AI5296" s="28"/>
      <c r="AJ5296" s="28"/>
      <c r="AK5296" s="28"/>
      <c r="AL5296" s="28"/>
      <c r="AM5296" s="28"/>
      <c r="AN5296" s="28"/>
      <c r="AO5296" s="28"/>
      <c r="AP5296" s="28"/>
      <c r="AQ5296" s="28"/>
      <c r="AR5296" s="28"/>
      <c r="AS5296" s="28"/>
      <c r="AT5296" s="28"/>
    </row>
    <row r="5297">
      <c r="A5297" s="14"/>
      <c r="B5297" s="15"/>
      <c r="C5297" s="16"/>
      <c r="D5297" s="15"/>
      <c r="F5297" s="15"/>
      <c r="G5297" s="26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8"/>
      <c r="X5297" s="28"/>
      <c r="Y5297" s="28"/>
      <c r="Z5297" s="28"/>
      <c r="AA5297" s="28"/>
      <c r="AB5297" s="28"/>
      <c r="AC5297" s="28"/>
      <c r="AD5297" s="28"/>
      <c r="AE5297" s="28"/>
      <c r="AF5297" s="28"/>
      <c r="AG5297" s="28"/>
      <c r="AH5297" s="28"/>
      <c r="AI5297" s="28"/>
      <c r="AJ5297" s="28"/>
      <c r="AK5297" s="28"/>
      <c r="AL5297" s="28"/>
      <c r="AM5297" s="28"/>
      <c r="AN5297" s="28"/>
      <c r="AO5297" s="28"/>
      <c r="AP5297" s="28"/>
      <c r="AQ5297" s="28"/>
      <c r="AR5297" s="28"/>
      <c r="AS5297" s="28"/>
      <c r="AT5297" s="28"/>
    </row>
    <row r="5298">
      <c r="A5298" s="14"/>
      <c r="B5298" s="15"/>
      <c r="C5298" s="16"/>
      <c r="D5298" s="15"/>
      <c r="F5298" s="15"/>
      <c r="G5298" s="26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8"/>
      <c r="X5298" s="28"/>
      <c r="Y5298" s="28"/>
      <c r="Z5298" s="28"/>
      <c r="AA5298" s="28"/>
      <c r="AB5298" s="28"/>
      <c r="AC5298" s="28"/>
      <c r="AD5298" s="28"/>
      <c r="AE5298" s="28"/>
      <c r="AF5298" s="28"/>
      <c r="AG5298" s="28"/>
      <c r="AH5298" s="28"/>
      <c r="AI5298" s="28"/>
      <c r="AJ5298" s="28"/>
      <c r="AK5298" s="28"/>
      <c r="AL5298" s="28"/>
      <c r="AM5298" s="28"/>
      <c r="AN5298" s="28"/>
      <c r="AO5298" s="28"/>
      <c r="AP5298" s="28"/>
      <c r="AQ5298" s="28"/>
      <c r="AR5298" s="28"/>
      <c r="AS5298" s="28"/>
      <c r="AT5298" s="28"/>
    </row>
    <row r="5299">
      <c r="A5299" s="14"/>
      <c r="B5299" s="15"/>
      <c r="C5299" s="16"/>
      <c r="D5299" s="15"/>
      <c r="F5299" s="15"/>
      <c r="G5299" s="26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8"/>
      <c r="X5299" s="28"/>
      <c r="Y5299" s="28"/>
      <c r="Z5299" s="28"/>
      <c r="AA5299" s="28"/>
      <c r="AB5299" s="28"/>
      <c r="AC5299" s="28"/>
      <c r="AD5299" s="28"/>
      <c r="AE5299" s="28"/>
      <c r="AF5299" s="28"/>
      <c r="AG5299" s="28"/>
      <c r="AH5299" s="28"/>
      <c r="AI5299" s="28"/>
      <c r="AJ5299" s="28"/>
      <c r="AK5299" s="28"/>
      <c r="AL5299" s="28"/>
      <c r="AM5299" s="28"/>
      <c r="AN5299" s="28"/>
      <c r="AO5299" s="28"/>
      <c r="AP5299" s="28"/>
      <c r="AQ5299" s="28"/>
      <c r="AR5299" s="28"/>
      <c r="AS5299" s="28"/>
      <c r="AT5299" s="28"/>
    </row>
    <row r="5300">
      <c r="A5300" s="14"/>
      <c r="B5300" s="15"/>
      <c r="C5300" s="16"/>
      <c r="D5300" s="15"/>
      <c r="F5300" s="15"/>
      <c r="G5300" s="26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8"/>
      <c r="X5300" s="28"/>
      <c r="Y5300" s="28"/>
      <c r="Z5300" s="28"/>
      <c r="AA5300" s="28"/>
      <c r="AB5300" s="28"/>
      <c r="AC5300" s="28"/>
      <c r="AD5300" s="28"/>
      <c r="AE5300" s="28"/>
      <c r="AF5300" s="28"/>
      <c r="AG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28"/>
      <c r="AR5300" s="28"/>
      <c r="AS5300" s="28"/>
      <c r="AT5300" s="28"/>
    </row>
    <row r="5301">
      <c r="A5301" s="14"/>
      <c r="B5301" s="15"/>
      <c r="C5301" s="16"/>
      <c r="D5301" s="15"/>
      <c r="F5301" s="15"/>
      <c r="G5301" s="26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8"/>
      <c r="X5301" s="28"/>
      <c r="Y5301" s="28"/>
      <c r="Z5301" s="28"/>
      <c r="AA5301" s="28"/>
      <c r="AB5301" s="28"/>
      <c r="AC5301" s="28"/>
      <c r="AD5301" s="28"/>
      <c r="AE5301" s="28"/>
      <c r="AF5301" s="28"/>
      <c r="AG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28"/>
      <c r="AS5301" s="28"/>
      <c r="AT5301" s="28"/>
    </row>
    <row r="5302">
      <c r="A5302" s="14"/>
      <c r="B5302" s="15"/>
      <c r="C5302" s="16"/>
      <c r="D5302" s="15"/>
      <c r="F5302" s="15"/>
      <c r="G5302" s="26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28"/>
      <c r="AR5302" s="28"/>
      <c r="AS5302" s="28"/>
      <c r="AT5302" s="28"/>
    </row>
    <row r="5303">
      <c r="A5303" s="14"/>
      <c r="B5303" s="15"/>
      <c r="C5303" s="16"/>
      <c r="D5303" s="15"/>
      <c r="F5303" s="15"/>
      <c r="G5303" s="26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8"/>
      <c r="X5303" s="28"/>
      <c r="Y5303" s="28"/>
      <c r="Z5303" s="28"/>
      <c r="AA5303" s="28"/>
      <c r="AB5303" s="28"/>
      <c r="AC5303" s="28"/>
      <c r="AD5303" s="28"/>
      <c r="AE5303" s="28"/>
      <c r="AF5303" s="28"/>
      <c r="AG5303" s="28"/>
      <c r="AH5303" s="28"/>
      <c r="AI5303" s="28"/>
      <c r="AJ5303" s="28"/>
      <c r="AK5303" s="28"/>
      <c r="AL5303" s="28"/>
      <c r="AM5303" s="28"/>
      <c r="AN5303" s="28"/>
      <c r="AO5303" s="28"/>
      <c r="AP5303" s="28"/>
      <c r="AQ5303" s="28"/>
      <c r="AR5303" s="28"/>
      <c r="AS5303" s="28"/>
      <c r="AT5303" s="28"/>
    </row>
    <row r="5304">
      <c r="A5304" s="14"/>
      <c r="B5304" s="15"/>
      <c r="C5304" s="16"/>
      <c r="D5304" s="15"/>
      <c r="F5304" s="15"/>
      <c r="G5304" s="26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8"/>
      <c r="X5304" s="28"/>
      <c r="Y5304" s="28"/>
      <c r="Z5304" s="28"/>
      <c r="AA5304" s="28"/>
      <c r="AB5304" s="28"/>
      <c r="AC5304" s="28"/>
      <c r="AD5304" s="28"/>
      <c r="AE5304" s="28"/>
      <c r="AF5304" s="28"/>
      <c r="AG5304" s="28"/>
      <c r="AH5304" s="28"/>
      <c r="AI5304" s="28"/>
      <c r="AJ5304" s="28"/>
      <c r="AK5304" s="28"/>
      <c r="AL5304" s="28"/>
      <c r="AM5304" s="28"/>
      <c r="AN5304" s="28"/>
      <c r="AO5304" s="28"/>
      <c r="AP5304" s="28"/>
      <c r="AQ5304" s="28"/>
      <c r="AR5304" s="28"/>
      <c r="AS5304" s="28"/>
      <c r="AT5304" s="28"/>
    </row>
    <row r="5305">
      <c r="A5305" s="14"/>
      <c r="B5305" s="15"/>
      <c r="C5305" s="16"/>
      <c r="D5305" s="15"/>
      <c r="F5305" s="15"/>
      <c r="G5305" s="26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8"/>
      <c r="X5305" s="28"/>
      <c r="Y5305" s="28"/>
      <c r="Z5305" s="28"/>
      <c r="AA5305" s="28"/>
      <c r="AB5305" s="28"/>
      <c r="AC5305" s="28"/>
      <c r="AD5305" s="28"/>
      <c r="AE5305" s="28"/>
      <c r="AF5305" s="28"/>
      <c r="AG5305" s="28"/>
      <c r="AH5305" s="28"/>
      <c r="AI5305" s="28"/>
      <c r="AJ5305" s="28"/>
      <c r="AK5305" s="28"/>
      <c r="AL5305" s="28"/>
      <c r="AM5305" s="28"/>
      <c r="AN5305" s="28"/>
      <c r="AO5305" s="28"/>
      <c r="AP5305" s="28"/>
      <c r="AQ5305" s="28"/>
      <c r="AR5305" s="28"/>
      <c r="AS5305" s="28"/>
      <c r="AT5305" s="28"/>
    </row>
    <row r="5306">
      <c r="A5306" s="14"/>
      <c r="B5306" s="15"/>
      <c r="C5306" s="16"/>
      <c r="D5306" s="15"/>
      <c r="F5306" s="15"/>
      <c r="G5306" s="26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8"/>
      <c r="X5306" s="28"/>
      <c r="Y5306" s="28"/>
      <c r="Z5306" s="28"/>
      <c r="AA5306" s="28"/>
      <c r="AB5306" s="28"/>
      <c r="AC5306" s="28"/>
      <c r="AD5306" s="28"/>
      <c r="AE5306" s="28"/>
      <c r="AF5306" s="28"/>
      <c r="AG5306" s="28"/>
      <c r="AH5306" s="28"/>
      <c r="AI5306" s="28"/>
      <c r="AJ5306" s="28"/>
      <c r="AK5306" s="28"/>
      <c r="AL5306" s="28"/>
      <c r="AM5306" s="28"/>
      <c r="AN5306" s="28"/>
      <c r="AO5306" s="28"/>
      <c r="AP5306" s="28"/>
      <c r="AQ5306" s="28"/>
      <c r="AR5306" s="28"/>
      <c r="AS5306" s="28"/>
      <c r="AT5306" s="28"/>
    </row>
    <row r="5307">
      <c r="A5307" s="14"/>
      <c r="B5307" s="15"/>
      <c r="C5307" s="16"/>
      <c r="D5307" s="15"/>
      <c r="F5307" s="15"/>
      <c r="G5307" s="26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8"/>
      <c r="X5307" s="28"/>
      <c r="Y5307" s="28"/>
      <c r="Z5307" s="28"/>
      <c r="AA5307" s="28"/>
      <c r="AB5307" s="28"/>
      <c r="AC5307" s="28"/>
      <c r="AD5307" s="28"/>
      <c r="AE5307" s="28"/>
      <c r="AF5307" s="28"/>
      <c r="AG5307" s="28"/>
      <c r="AH5307" s="28"/>
      <c r="AI5307" s="28"/>
      <c r="AJ5307" s="28"/>
      <c r="AK5307" s="28"/>
      <c r="AL5307" s="28"/>
      <c r="AM5307" s="28"/>
      <c r="AN5307" s="28"/>
      <c r="AO5307" s="28"/>
      <c r="AP5307" s="28"/>
      <c r="AQ5307" s="28"/>
      <c r="AR5307" s="28"/>
      <c r="AS5307" s="28"/>
      <c r="AT5307" s="28"/>
    </row>
    <row r="5308">
      <c r="A5308" s="14"/>
      <c r="B5308" s="15"/>
      <c r="C5308" s="16"/>
      <c r="D5308" s="15"/>
      <c r="F5308" s="15"/>
      <c r="G5308" s="26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8"/>
      <c r="X5308" s="28"/>
      <c r="Y5308" s="28"/>
      <c r="Z5308" s="28"/>
      <c r="AA5308" s="28"/>
      <c r="AB5308" s="28"/>
      <c r="AC5308" s="28"/>
      <c r="AD5308" s="28"/>
      <c r="AE5308" s="28"/>
      <c r="AF5308" s="28"/>
      <c r="AG5308" s="28"/>
      <c r="AH5308" s="28"/>
      <c r="AI5308" s="28"/>
      <c r="AJ5308" s="28"/>
      <c r="AK5308" s="28"/>
      <c r="AL5308" s="28"/>
      <c r="AM5308" s="28"/>
      <c r="AN5308" s="28"/>
      <c r="AO5308" s="28"/>
      <c r="AP5308" s="28"/>
      <c r="AQ5308" s="28"/>
      <c r="AR5308" s="28"/>
      <c r="AS5308" s="28"/>
      <c r="AT5308" s="28"/>
    </row>
    <row r="5309">
      <c r="A5309" s="14"/>
      <c r="B5309" s="15"/>
      <c r="C5309" s="16"/>
      <c r="D5309" s="15"/>
      <c r="F5309" s="15"/>
      <c r="G5309" s="26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8"/>
      <c r="X5309" s="28"/>
      <c r="Y5309" s="28"/>
      <c r="Z5309" s="28"/>
      <c r="AA5309" s="28"/>
      <c r="AB5309" s="28"/>
      <c r="AC5309" s="28"/>
      <c r="AD5309" s="28"/>
      <c r="AE5309" s="28"/>
      <c r="AF5309" s="28"/>
      <c r="AG5309" s="28"/>
      <c r="AH5309" s="28"/>
      <c r="AI5309" s="28"/>
      <c r="AJ5309" s="28"/>
      <c r="AK5309" s="28"/>
      <c r="AL5309" s="28"/>
      <c r="AM5309" s="28"/>
      <c r="AN5309" s="28"/>
      <c r="AO5309" s="28"/>
      <c r="AP5309" s="28"/>
      <c r="AQ5309" s="28"/>
      <c r="AR5309" s="28"/>
      <c r="AS5309" s="28"/>
      <c r="AT5309" s="28"/>
    </row>
    <row r="5310">
      <c r="A5310" s="14"/>
      <c r="B5310" s="15"/>
      <c r="C5310" s="16"/>
      <c r="D5310" s="15"/>
      <c r="F5310" s="15"/>
      <c r="G5310" s="26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28"/>
      <c r="AO5310" s="28"/>
      <c r="AP5310" s="28"/>
      <c r="AQ5310" s="28"/>
      <c r="AR5310" s="28"/>
      <c r="AS5310" s="28"/>
      <c r="AT5310" s="28"/>
    </row>
    <row r="5311">
      <c r="A5311" s="14"/>
      <c r="B5311" s="15"/>
      <c r="C5311" s="16"/>
      <c r="D5311" s="15"/>
      <c r="F5311" s="15"/>
      <c r="G5311" s="26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  <c r="Z5311" s="28"/>
      <c r="AA5311" s="28"/>
      <c r="AB5311" s="28"/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28"/>
      <c r="AO5311" s="28"/>
      <c r="AP5311" s="28"/>
      <c r="AQ5311" s="28"/>
      <c r="AR5311" s="28"/>
      <c r="AS5311" s="28"/>
      <c r="AT5311" s="28"/>
    </row>
    <row r="5312">
      <c r="A5312" s="14"/>
      <c r="B5312" s="15"/>
      <c r="C5312" s="16"/>
      <c r="D5312" s="15"/>
      <c r="F5312" s="15"/>
      <c r="G5312" s="26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  <c r="Z5312" s="28"/>
      <c r="AA5312" s="28"/>
      <c r="AB5312" s="28"/>
      <c r="AC5312" s="28"/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28"/>
      <c r="AN5312" s="28"/>
      <c r="AO5312" s="28"/>
      <c r="AP5312" s="28"/>
      <c r="AQ5312" s="28"/>
      <c r="AR5312" s="28"/>
      <c r="AS5312" s="28"/>
      <c r="AT5312" s="28"/>
    </row>
    <row r="5313">
      <c r="A5313" s="14"/>
      <c r="B5313" s="15"/>
      <c r="C5313" s="16"/>
      <c r="D5313" s="15"/>
      <c r="F5313" s="15"/>
      <c r="G5313" s="26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8"/>
      <c r="X5313" s="28"/>
      <c r="Y5313" s="28"/>
      <c r="Z5313" s="28"/>
      <c r="AA5313" s="28"/>
      <c r="AB5313" s="28"/>
      <c r="AC5313" s="28"/>
      <c r="AD5313" s="28"/>
      <c r="AE5313" s="28"/>
      <c r="AF5313" s="28"/>
      <c r="AG5313" s="28"/>
      <c r="AH5313" s="28"/>
      <c r="AI5313" s="28"/>
      <c r="AJ5313" s="28"/>
      <c r="AK5313" s="28"/>
      <c r="AL5313" s="28"/>
      <c r="AM5313" s="28"/>
      <c r="AN5313" s="28"/>
      <c r="AO5313" s="28"/>
      <c r="AP5313" s="28"/>
      <c r="AQ5313" s="28"/>
      <c r="AR5313" s="28"/>
      <c r="AS5313" s="28"/>
      <c r="AT5313" s="28"/>
    </row>
    <row r="5314">
      <c r="A5314" s="14"/>
      <c r="B5314" s="15"/>
      <c r="C5314" s="16"/>
      <c r="D5314" s="15"/>
      <c r="F5314" s="15"/>
      <c r="G5314" s="26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8"/>
      <c r="X5314" s="28"/>
      <c r="Y5314" s="28"/>
      <c r="Z5314" s="28"/>
      <c r="AA5314" s="28"/>
      <c r="AB5314" s="28"/>
      <c r="AC5314" s="28"/>
      <c r="AD5314" s="28"/>
      <c r="AE5314" s="28"/>
      <c r="AF5314" s="28"/>
      <c r="AG5314" s="28"/>
      <c r="AH5314" s="28"/>
      <c r="AI5314" s="28"/>
      <c r="AJ5314" s="28"/>
      <c r="AK5314" s="28"/>
      <c r="AL5314" s="28"/>
      <c r="AM5314" s="28"/>
      <c r="AN5314" s="28"/>
      <c r="AO5314" s="28"/>
      <c r="AP5314" s="28"/>
      <c r="AQ5314" s="28"/>
      <c r="AR5314" s="28"/>
      <c r="AS5314" s="28"/>
      <c r="AT5314" s="28"/>
    </row>
    <row r="5315">
      <c r="A5315" s="14"/>
      <c r="B5315" s="15"/>
      <c r="C5315" s="16"/>
      <c r="D5315" s="15"/>
      <c r="F5315" s="15"/>
      <c r="G5315" s="26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8"/>
      <c r="X5315" s="28"/>
      <c r="Y5315" s="28"/>
      <c r="Z5315" s="28"/>
      <c r="AA5315" s="28"/>
      <c r="AB5315" s="28"/>
      <c r="AC5315" s="28"/>
      <c r="AD5315" s="28"/>
      <c r="AE5315" s="28"/>
      <c r="AF5315" s="28"/>
      <c r="AG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28"/>
      <c r="AR5315" s="28"/>
      <c r="AS5315" s="28"/>
      <c r="AT5315" s="28"/>
    </row>
    <row r="5316">
      <c r="A5316" s="14"/>
      <c r="B5316" s="15"/>
      <c r="C5316" s="16"/>
      <c r="D5316" s="15"/>
      <c r="F5316" s="15"/>
      <c r="G5316" s="26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8"/>
      <c r="X5316" s="28"/>
      <c r="Y5316" s="28"/>
      <c r="Z5316" s="28"/>
      <c r="AA5316" s="28"/>
      <c r="AB5316" s="28"/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28"/>
      <c r="AS5316" s="28"/>
      <c r="AT5316" s="28"/>
    </row>
    <row r="5317">
      <c r="A5317" s="14"/>
      <c r="B5317" s="15"/>
      <c r="C5317" s="16"/>
      <c r="D5317" s="15"/>
      <c r="F5317" s="15"/>
      <c r="G5317" s="26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28"/>
      <c r="AS5317" s="28"/>
      <c r="AT5317" s="28"/>
    </row>
    <row r="5318">
      <c r="A5318" s="14"/>
      <c r="B5318" s="15"/>
      <c r="C5318" s="16"/>
      <c r="D5318" s="15"/>
      <c r="F5318" s="15"/>
      <c r="G5318" s="26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8"/>
      <c r="X5318" s="28"/>
      <c r="Y5318" s="28"/>
      <c r="Z5318" s="28"/>
      <c r="AA5318" s="28"/>
      <c r="AB5318" s="28"/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O5318" s="28"/>
      <c r="AP5318" s="28"/>
      <c r="AQ5318" s="28"/>
      <c r="AR5318" s="28"/>
      <c r="AS5318" s="28"/>
      <c r="AT5318" s="28"/>
    </row>
    <row r="5319">
      <c r="A5319" s="14"/>
      <c r="B5319" s="15"/>
      <c r="C5319" s="16"/>
      <c r="D5319" s="15"/>
      <c r="F5319" s="15"/>
      <c r="G5319" s="26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8"/>
      <c r="X5319" s="28"/>
      <c r="Y5319" s="28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28"/>
      <c r="AR5319" s="28"/>
      <c r="AS5319" s="28"/>
      <c r="AT5319" s="28"/>
    </row>
    <row r="5320">
      <c r="A5320" s="14"/>
      <c r="B5320" s="15"/>
      <c r="C5320" s="16"/>
      <c r="D5320" s="15"/>
      <c r="F5320" s="15"/>
      <c r="G5320" s="26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8"/>
      <c r="X5320" s="28"/>
      <c r="Y5320" s="28"/>
      <c r="Z5320" s="28"/>
      <c r="AA5320" s="28"/>
      <c r="AB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R5320" s="28"/>
      <c r="AS5320" s="28"/>
      <c r="AT5320" s="28"/>
    </row>
    <row r="5321">
      <c r="A5321" s="14"/>
      <c r="B5321" s="15"/>
      <c r="C5321" s="16"/>
      <c r="D5321" s="15"/>
      <c r="F5321" s="15"/>
      <c r="G5321" s="26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8"/>
      <c r="X5321" s="28"/>
      <c r="Y5321" s="28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28"/>
      <c r="AS5321" s="28"/>
      <c r="AT5321" s="28"/>
    </row>
    <row r="5322">
      <c r="A5322" s="14"/>
      <c r="B5322" s="15"/>
      <c r="C5322" s="16"/>
      <c r="D5322" s="15"/>
      <c r="F5322" s="15"/>
      <c r="G5322" s="26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8"/>
      <c r="X5322" s="28"/>
      <c r="Y5322" s="28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28"/>
      <c r="AS5322" s="28"/>
      <c r="AT5322" s="28"/>
    </row>
    <row r="5323">
      <c r="A5323" s="14"/>
      <c r="B5323" s="15"/>
      <c r="C5323" s="16"/>
      <c r="D5323" s="15"/>
      <c r="F5323" s="15"/>
      <c r="G5323" s="26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8"/>
      <c r="X5323" s="28"/>
      <c r="Y5323" s="28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28"/>
      <c r="AS5323" s="28"/>
      <c r="AT5323" s="28"/>
    </row>
    <row r="5324">
      <c r="A5324" s="14"/>
      <c r="B5324" s="15"/>
      <c r="C5324" s="16"/>
      <c r="D5324" s="15"/>
      <c r="F5324" s="15"/>
      <c r="G5324" s="26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8"/>
      <c r="X5324" s="28"/>
      <c r="Y5324" s="28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28"/>
      <c r="AR5324" s="28"/>
      <c r="AS5324" s="28"/>
      <c r="AT5324" s="28"/>
    </row>
    <row r="5325">
      <c r="A5325" s="14"/>
      <c r="B5325" s="15"/>
      <c r="C5325" s="16"/>
      <c r="D5325" s="15"/>
      <c r="F5325" s="15"/>
      <c r="G5325" s="26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8"/>
      <c r="X5325" s="28"/>
      <c r="Y5325" s="28"/>
      <c r="Z5325" s="28"/>
      <c r="AA5325" s="28"/>
      <c r="AB5325" s="28"/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28"/>
      <c r="AS5325" s="28"/>
      <c r="AT5325" s="28"/>
    </row>
    <row r="5326">
      <c r="A5326" s="14"/>
      <c r="B5326" s="15"/>
      <c r="C5326" s="16"/>
      <c r="D5326" s="15"/>
      <c r="F5326" s="15"/>
      <c r="G5326" s="26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8"/>
      <c r="X5326" s="28"/>
      <c r="Y5326" s="28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28"/>
      <c r="AS5326" s="28"/>
      <c r="AT5326" s="28"/>
    </row>
    <row r="5327">
      <c r="A5327" s="14"/>
      <c r="B5327" s="15"/>
      <c r="C5327" s="16"/>
      <c r="D5327" s="15"/>
      <c r="F5327" s="15"/>
      <c r="G5327" s="26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8"/>
      <c r="X5327" s="28"/>
      <c r="Y5327" s="28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28"/>
      <c r="AS5327" s="28"/>
      <c r="AT5327" s="28"/>
    </row>
    <row r="5328">
      <c r="A5328" s="14"/>
      <c r="B5328" s="15"/>
      <c r="C5328" s="16"/>
      <c r="D5328" s="15"/>
      <c r="F5328" s="15"/>
      <c r="G5328" s="26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28"/>
      <c r="AS5328" s="28"/>
      <c r="AT5328" s="28"/>
    </row>
    <row r="5329">
      <c r="A5329" s="14"/>
      <c r="B5329" s="15"/>
      <c r="C5329" s="16"/>
      <c r="D5329" s="15"/>
      <c r="F5329" s="15"/>
      <c r="G5329" s="26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8"/>
      <c r="X5329" s="28"/>
      <c r="Y5329" s="28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28"/>
      <c r="AS5329" s="28"/>
      <c r="AT5329" s="28"/>
    </row>
    <row r="5330">
      <c r="A5330" s="14"/>
      <c r="B5330" s="15"/>
      <c r="C5330" s="16"/>
      <c r="D5330" s="15"/>
      <c r="F5330" s="15"/>
      <c r="G5330" s="26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28"/>
      <c r="AS5330" s="28"/>
      <c r="AT5330" s="28"/>
    </row>
    <row r="5331">
      <c r="A5331" s="14"/>
      <c r="B5331" s="15"/>
      <c r="C5331" s="16"/>
      <c r="D5331" s="15"/>
      <c r="F5331" s="15"/>
      <c r="G5331" s="26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8"/>
      <c r="X5331" s="28"/>
      <c r="Y5331" s="28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28"/>
      <c r="AS5331" s="28"/>
      <c r="AT5331" s="28"/>
    </row>
    <row r="5332">
      <c r="A5332" s="14"/>
      <c r="B5332" s="15"/>
      <c r="C5332" s="16"/>
      <c r="D5332" s="15"/>
      <c r="F5332" s="15"/>
      <c r="G5332" s="26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28"/>
      <c r="AS5332" s="28"/>
      <c r="AT5332" s="28"/>
    </row>
    <row r="5333">
      <c r="A5333" s="14"/>
      <c r="B5333" s="15"/>
      <c r="C5333" s="16"/>
      <c r="D5333" s="15"/>
      <c r="F5333" s="15"/>
      <c r="G5333" s="26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8"/>
      <c r="X5333" s="28"/>
      <c r="Y5333" s="28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28"/>
      <c r="AS5333" s="28"/>
      <c r="AT5333" s="28"/>
    </row>
    <row r="5334">
      <c r="A5334" s="14"/>
      <c r="B5334" s="15"/>
      <c r="C5334" s="16"/>
      <c r="D5334" s="15"/>
      <c r="F5334" s="15"/>
      <c r="G5334" s="26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8"/>
      <c r="X5334" s="28"/>
      <c r="Y5334" s="28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28"/>
      <c r="AS5334" s="28"/>
      <c r="AT5334" s="28"/>
    </row>
    <row r="5335">
      <c r="A5335" s="14"/>
      <c r="B5335" s="15"/>
      <c r="C5335" s="16"/>
      <c r="D5335" s="15"/>
      <c r="F5335" s="15"/>
      <c r="G5335" s="26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8"/>
      <c r="X5335" s="28"/>
      <c r="Y5335" s="28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28"/>
      <c r="AS5335" s="28"/>
      <c r="AT5335" s="28"/>
    </row>
    <row r="5336">
      <c r="A5336" s="14"/>
      <c r="B5336" s="15"/>
      <c r="C5336" s="16"/>
      <c r="D5336" s="15"/>
      <c r="F5336" s="15"/>
      <c r="G5336" s="26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8"/>
      <c r="X5336" s="28"/>
      <c r="Y5336" s="28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28"/>
      <c r="AS5336" s="28"/>
      <c r="AT5336" s="28"/>
    </row>
    <row r="5337">
      <c r="A5337" s="14"/>
      <c r="B5337" s="15"/>
      <c r="C5337" s="16"/>
      <c r="D5337" s="15"/>
      <c r="F5337" s="15"/>
      <c r="G5337" s="26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8"/>
      <c r="X5337" s="28"/>
      <c r="Y5337" s="28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28"/>
      <c r="AS5337" s="28"/>
      <c r="AT5337" s="28"/>
    </row>
    <row r="5338">
      <c r="A5338" s="14"/>
      <c r="B5338" s="15"/>
      <c r="C5338" s="16"/>
      <c r="D5338" s="15"/>
      <c r="F5338" s="15"/>
      <c r="G5338" s="26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8"/>
      <c r="X5338" s="28"/>
      <c r="Y5338" s="28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28"/>
      <c r="AS5338" s="28"/>
      <c r="AT5338" s="28"/>
    </row>
    <row r="5339">
      <c r="A5339" s="14"/>
      <c r="B5339" s="15"/>
      <c r="C5339" s="16"/>
      <c r="D5339" s="15"/>
      <c r="F5339" s="15"/>
      <c r="G5339" s="26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8"/>
      <c r="X5339" s="28"/>
      <c r="Y5339" s="28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28"/>
      <c r="AS5339" s="28"/>
      <c r="AT5339" s="28"/>
    </row>
    <row r="5340">
      <c r="A5340" s="14"/>
      <c r="B5340" s="15"/>
      <c r="C5340" s="16"/>
      <c r="D5340" s="15"/>
      <c r="F5340" s="15"/>
      <c r="G5340" s="26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8"/>
      <c r="X5340" s="28"/>
      <c r="Y5340" s="28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28"/>
      <c r="AS5340" s="28"/>
      <c r="AT5340" s="28"/>
    </row>
    <row r="5341">
      <c r="A5341" s="14"/>
      <c r="B5341" s="15"/>
      <c r="C5341" s="16"/>
      <c r="D5341" s="15"/>
      <c r="F5341" s="15"/>
      <c r="G5341" s="26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8"/>
      <c r="X5341" s="28"/>
      <c r="Y5341" s="28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28"/>
      <c r="AS5341" s="28"/>
      <c r="AT5341" s="28"/>
    </row>
    <row r="5342">
      <c r="A5342" s="14"/>
      <c r="B5342" s="15"/>
      <c r="C5342" s="16"/>
      <c r="D5342" s="15"/>
      <c r="F5342" s="15"/>
      <c r="G5342" s="26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8"/>
      <c r="X5342" s="28"/>
      <c r="Y5342" s="28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28"/>
      <c r="AS5342" s="28"/>
      <c r="AT5342" s="28"/>
    </row>
    <row r="5343">
      <c r="A5343" s="14"/>
      <c r="B5343" s="15"/>
      <c r="C5343" s="16"/>
      <c r="D5343" s="15"/>
      <c r="F5343" s="15"/>
      <c r="G5343" s="26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8"/>
      <c r="X5343" s="28"/>
      <c r="Y5343" s="28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28"/>
      <c r="AS5343" s="28"/>
      <c r="AT5343" s="28"/>
    </row>
    <row r="5344">
      <c r="A5344" s="14"/>
      <c r="B5344" s="15"/>
      <c r="C5344" s="16"/>
      <c r="D5344" s="15"/>
      <c r="F5344" s="15"/>
      <c r="G5344" s="26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28"/>
      <c r="AS5344" s="28"/>
      <c r="AT5344" s="28"/>
    </row>
    <row r="5345">
      <c r="A5345" s="14"/>
      <c r="B5345" s="15"/>
      <c r="C5345" s="16"/>
      <c r="D5345" s="15"/>
      <c r="F5345" s="15"/>
      <c r="G5345" s="26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8"/>
      <c r="X5345" s="28"/>
      <c r="Y5345" s="28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28"/>
      <c r="AS5345" s="28"/>
      <c r="AT5345" s="28"/>
    </row>
    <row r="5346">
      <c r="A5346" s="14"/>
      <c r="B5346" s="15"/>
      <c r="C5346" s="16"/>
      <c r="D5346" s="15"/>
      <c r="F5346" s="15"/>
      <c r="G5346" s="26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8"/>
      <c r="X5346" s="28"/>
      <c r="Y5346" s="28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28"/>
      <c r="AS5346" s="28"/>
      <c r="AT5346" s="28"/>
    </row>
    <row r="5347">
      <c r="A5347" s="14"/>
      <c r="B5347" s="15"/>
      <c r="C5347" s="16"/>
      <c r="D5347" s="15"/>
      <c r="F5347" s="15"/>
      <c r="G5347" s="26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28"/>
      <c r="AS5347" s="28"/>
      <c r="AT5347" s="28"/>
    </row>
    <row r="5348">
      <c r="A5348" s="14"/>
      <c r="B5348" s="15"/>
      <c r="C5348" s="16"/>
      <c r="D5348" s="15"/>
      <c r="F5348" s="15"/>
      <c r="G5348" s="26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8"/>
      <c r="X5348" s="28"/>
      <c r="Y5348" s="28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28"/>
      <c r="AS5348" s="28"/>
      <c r="AT5348" s="28"/>
    </row>
    <row r="5349">
      <c r="A5349" s="14"/>
      <c r="B5349" s="15"/>
      <c r="C5349" s="16"/>
      <c r="D5349" s="15"/>
      <c r="F5349" s="15"/>
      <c r="G5349" s="26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8"/>
      <c r="X5349" s="28"/>
      <c r="Y5349" s="28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28"/>
      <c r="AS5349" s="28"/>
      <c r="AT5349" s="28"/>
    </row>
    <row r="5350">
      <c r="A5350" s="14"/>
      <c r="B5350" s="15"/>
      <c r="C5350" s="16"/>
      <c r="D5350" s="15"/>
      <c r="F5350" s="15"/>
      <c r="G5350" s="26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8"/>
      <c r="X5350" s="28"/>
      <c r="Y5350" s="28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28"/>
      <c r="AS5350" s="28"/>
      <c r="AT5350" s="28"/>
    </row>
    <row r="5351">
      <c r="A5351" s="14"/>
      <c r="B5351" s="15"/>
      <c r="C5351" s="16"/>
      <c r="D5351" s="15"/>
      <c r="F5351" s="15"/>
      <c r="G5351" s="26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8"/>
      <c r="X5351" s="28"/>
      <c r="Y5351" s="28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28"/>
      <c r="AS5351" s="28"/>
      <c r="AT5351" s="28"/>
    </row>
    <row r="5352">
      <c r="A5352" s="14"/>
      <c r="B5352" s="15"/>
      <c r="C5352" s="16"/>
      <c r="D5352" s="15"/>
      <c r="F5352" s="15"/>
      <c r="G5352" s="26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8"/>
      <c r="X5352" s="28"/>
      <c r="Y5352" s="28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28"/>
      <c r="AS5352" s="28"/>
      <c r="AT5352" s="28"/>
    </row>
    <row r="5353">
      <c r="A5353" s="14"/>
      <c r="B5353" s="15"/>
      <c r="C5353" s="16"/>
      <c r="D5353" s="15"/>
      <c r="F5353" s="15"/>
      <c r="G5353" s="26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8"/>
      <c r="X5353" s="28"/>
      <c r="Y5353" s="28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28"/>
      <c r="AS5353" s="28"/>
      <c r="AT5353" s="28"/>
    </row>
    <row r="5354">
      <c r="A5354" s="14"/>
      <c r="B5354" s="15"/>
      <c r="C5354" s="16"/>
      <c r="D5354" s="15"/>
      <c r="F5354" s="15"/>
      <c r="G5354" s="26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8"/>
      <c r="X5354" s="28"/>
      <c r="Y5354" s="28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28"/>
      <c r="AS5354" s="28"/>
      <c r="AT5354" s="28"/>
    </row>
    <row r="5355">
      <c r="A5355" s="14"/>
      <c r="B5355" s="15"/>
      <c r="C5355" s="16"/>
      <c r="D5355" s="15"/>
      <c r="F5355" s="15"/>
      <c r="G5355" s="26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8"/>
      <c r="X5355" s="28"/>
      <c r="Y5355" s="28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28"/>
      <c r="AS5355" s="28"/>
      <c r="AT5355" s="28"/>
    </row>
    <row r="5356">
      <c r="A5356" s="14"/>
      <c r="B5356" s="15"/>
      <c r="C5356" s="16"/>
      <c r="D5356" s="15"/>
      <c r="F5356" s="15"/>
      <c r="G5356" s="26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8"/>
      <c r="X5356" s="28"/>
      <c r="Y5356" s="28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28"/>
      <c r="AS5356" s="28"/>
      <c r="AT5356" s="28"/>
    </row>
    <row r="5357">
      <c r="A5357" s="14"/>
      <c r="B5357" s="15"/>
      <c r="C5357" s="16"/>
      <c r="D5357" s="15"/>
      <c r="F5357" s="15"/>
      <c r="G5357" s="26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8"/>
      <c r="X5357" s="28"/>
      <c r="Y5357" s="28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28"/>
      <c r="AS5357" s="28"/>
      <c r="AT5357" s="28"/>
    </row>
    <row r="5358">
      <c r="A5358" s="14"/>
      <c r="B5358" s="15"/>
      <c r="C5358" s="16"/>
      <c r="D5358" s="15"/>
      <c r="F5358" s="15"/>
      <c r="G5358" s="26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28"/>
      <c r="AS5358" s="28"/>
      <c r="AT5358" s="28"/>
    </row>
    <row r="5359">
      <c r="A5359" s="14"/>
      <c r="B5359" s="15"/>
      <c r="C5359" s="16"/>
      <c r="D5359" s="15"/>
      <c r="F5359" s="15"/>
      <c r="G5359" s="26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28"/>
      <c r="AS5359" s="28"/>
      <c r="AT5359" s="28"/>
    </row>
    <row r="5360">
      <c r="A5360" s="14"/>
      <c r="B5360" s="15"/>
      <c r="C5360" s="16"/>
      <c r="D5360" s="15"/>
      <c r="F5360" s="15"/>
      <c r="G5360" s="26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28"/>
      <c r="AS5360" s="28"/>
      <c r="AT5360" s="28"/>
    </row>
    <row r="5361">
      <c r="A5361" s="14"/>
      <c r="B5361" s="15"/>
      <c r="C5361" s="16"/>
      <c r="D5361" s="15"/>
      <c r="F5361" s="15"/>
      <c r="G5361" s="26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8"/>
      <c r="X5361" s="28"/>
      <c r="Y5361" s="28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28"/>
      <c r="AS5361" s="28"/>
      <c r="AT5361" s="28"/>
    </row>
    <row r="5362">
      <c r="A5362" s="14"/>
      <c r="B5362" s="15"/>
      <c r="C5362" s="16"/>
      <c r="D5362" s="15"/>
      <c r="F5362" s="15"/>
      <c r="G5362" s="26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28"/>
      <c r="AS5362" s="28"/>
      <c r="AT5362" s="28"/>
    </row>
    <row r="5363">
      <c r="A5363" s="14"/>
      <c r="B5363" s="15"/>
      <c r="C5363" s="16"/>
      <c r="D5363" s="15"/>
      <c r="F5363" s="15"/>
      <c r="G5363" s="26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8"/>
      <c r="X5363" s="28"/>
      <c r="Y5363" s="28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28"/>
      <c r="AS5363" s="28"/>
      <c r="AT5363" s="28"/>
    </row>
    <row r="5364">
      <c r="A5364" s="14"/>
      <c r="B5364" s="15"/>
      <c r="C5364" s="16"/>
      <c r="D5364" s="15"/>
      <c r="F5364" s="15"/>
      <c r="G5364" s="26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8"/>
      <c r="X5364" s="28"/>
      <c r="Y5364" s="28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28"/>
      <c r="AS5364" s="28"/>
      <c r="AT5364" s="28"/>
    </row>
    <row r="5365">
      <c r="A5365" s="14"/>
      <c r="B5365" s="15"/>
      <c r="C5365" s="16"/>
      <c r="D5365" s="15"/>
      <c r="F5365" s="15"/>
      <c r="G5365" s="26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8"/>
      <c r="X5365" s="28"/>
      <c r="Y5365" s="28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28"/>
      <c r="AS5365" s="28"/>
      <c r="AT5365" s="28"/>
    </row>
    <row r="5366">
      <c r="A5366" s="14"/>
      <c r="B5366" s="15"/>
      <c r="C5366" s="16"/>
      <c r="D5366" s="15"/>
      <c r="F5366" s="15"/>
      <c r="G5366" s="26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8"/>
      <c r="X5366" s="28"/>
      <c r="Y5366" s="28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28"/>
      <c r="AS5366" s="28"/>
      <c r="AT5366" s="28"/>
    </row>
    <row r="5367">
      <c r="A5367" s="14"/>
      <c r="B5367" s="15"/>
      <c r="C5367" s="16"/>
      <c r="D5367" s="15"/>
      <c r="F5367" s="15"/>
      <c r="G5367" s="26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8"/>
      <c r="X5367" s="28"/>
      <c r="Y5367" s="28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28"/>
      <c r="AS5367" s="28"/>
      <c r="AT5367" s="28"/>
    </row>
    <row r="5368">
      <c r="A5368" s="14"/>
      <c r="B5368" s="15"/>
      <c r="C5368" s="16"/>
      <c r="D5368" s="15"/>
      <c r="F5368" s="15"/>
      <c r="G5368" s="26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8"/>
      <c r="X5368" s="28"/>
      <c r="Y5368" s="28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28"/>
      <c r="AS5368" s="28"/>
      <c r="AT5368" s="28"/>
    </row>
    <row r="5369">
      <c r="A5369" s="14"/>
      <c r="B5369" s="15"/>
      <c r="C5369" s="16"/>
      <c r="D5369" s="15"/>
      <c r="F5369" s="15"/>
      <c r="G5369" s="26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8"/>
      <c r="X5369" s="28"/>
      <c r="Y5369" s="28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28"/>
      <c r="AS5369" s="28"/>
      <c r="AT5369" s="28"/>
    </row>
    <row r="5370">
      <c r="A5370" s="14"/>
      <c r="B5370" s="15"/>
      <c r="C5370" s="16"/>
      <c r="D5370" s="15"/>
      <c r="F5370" s="15"/>
      <c r="G5370" s="26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8"/>
      <c r="X5370" s="28"/>
      <c r="Y5370" s="28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28"/>
      <c r="AS5370" s="28"/>
      <c r="AT5370" s="28"/>
    </row>
    <row r="5371">
      <c r="A5371" s="14"/>
      <c r="B5371" s="15"/>
      <c r="C5371" s="16"/>
      <c r="D5371" s="15"/>
      <c r="F5371" s="15"/>
      <c r="G5371" s="26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8"/>
      <c r="X5371" s="28"/>
      <c r="Y5371" s="28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28"/>
      <c r="AS5371" s="28"/>
      <c r="AT5371" s="28"/>
    </row>
    <row r="5372">
      <c r="A5372" s="14"/>
      <c r="B5372" s="15"/>
      <c r="C5372" s="16"/>
      <c r="D5372" s="15"/>
      <c r="F5372" s="15"/>
      <c r="G5372" s="26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28"/>
      <c r="AS5372" s="28"/>
      <c r="AT5372" s="28"/>
    </row>
    <row r="5373">
      <c r="A5373" s="14"/>
      <c r="B5373" s="15"/>
      <c r="C5373" s="16"/>
      <c r="D5373" s="15"/>
      <c r="F5373" s="15"/>
      <c r="G5373" s="26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8"/>
      <c r="X5373" s="28"/>
      <c r="Y5373" s="28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28"/>
      <c r="AS5373" s="28"/>
      <c r="AT5373" s="28"/>
    </row>
    <row r="5374">
      <c r="A5374" s="14"/>
      <c r="B5374" s="15"/>
      <c r="C5374" s="16"/>
      <c r="D5374" s="15"/>
      <c r="F5374" s="15"/>
      <c r="G5374" s="26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8"/>
      <c r="X5374" s="28"/>
      <c r="Y5374" s="28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28"/>
      <c r="AS5374" s="28"/>
      <c r="AT5374" s="28"/>
    </row>
    <row r="5375">
      <c r="A5375" s="14"/>
      <c r="B5375" s="15"/>
      <c r="C5375" s="16"/>
      <c r="D5375" s="15"/>
      <c r="F5375" s="15"/>
      <c r="G5375" s="26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8"/>
      <c r="X5375" s="28"/>
      <c r="Y5375" s="28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28"/>
      <c r="AS5375" s="28"/>
      <c r="AT5375" s="28"/>
    </row>
    <row r="5376">
      <c r="A5376" s="14"/>
      <c r="B5376" s="15"/>
      <c r="C5376" s="16"/>
      <c r="D5376" s="15"/>
      <c r="F5376" s="15"/>
      <c r="G5376" s="26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8"/>
      <c r="X5376" s="28"/>
      <c r="Y5376" s="28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28"/>
      <c r="AS5376" s="28"/>
      <c r="AT5376" s="28"/>
    </row>
    <row r="5377">
      <c r="A5377" s="14"/>
      <c r="B5377" s="15"/>
      <c r="C5377" s="16"/>
      <c r="D5377" s="15"/>
      <c r="F5377" s="15"/>
      <c r="G5377" s="26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28"/>
      <c r="AS5377" s="28"/>
      <c r="AT5377" s="28"/>
    </row>
    <row r="5378">
      <c r="A5378" s="14"/>
      <c r="B5378" s="15"/>
      <c r="C5378" s="16"/>
      <c r="D5378" s="15"/>
      <c r="F5378" s="15"/>
      <c r="G5378" s="26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8"/>
      <c r="X5378" s="28"/>
      <c r="Y5378" s="28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28"/>
      <c r="AS5378" s="28"/>
      <c r="AT5378" s="28"/>
    </row>
    <row r="5379">
      <c r="A5379" s="14"/>
      <c r="B5379" s="15"/>
      <c r="C5379" s="16"/>
      <c r="D5379" s="15"/>
      <c r="F5379" s="15"/>
      <c r="G5379" s="26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8"/>
      <c r="X5379" s="28"/>
      <c r="Y5379" s="28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28"/>
      <c r="AS5379" s="28"/>
      <c r="AT5379" s="28"/>
    </row>
    <row r="5380">
      <c r="A5380" s="14"/>
      <c r="B5380" s="15"/>
      <c r="C5380" s="16"/>
      <c r="D5380" s="15"/>
      <c r="F5380" s="15"/>
      <c r="G5380" s="26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8"/>
      <c r="X5380" s="28"/>
      <c r="Y5380" s="28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28"/>
      <c r="AS5380" s="28"/>
      <c r="AT5380" s="28"/>
    </row>
    <row r="5381">
      <c r="A5381" s="14"/>
      <c r="B5381" s="15"/>
      <c r="C5381" s="16"/>
      <c r="D5381" s="15"/>
      <c r="F5381" s="15"/>
      <c r="G5381" s="26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8"/>
      <c r="X5381" s="28"/>
      <c r="Y5381" s="28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28"/>
      <c r="AS5381" s="28"/>
      <c r="AT5381" s="28"/>
    </row>
    <row r="5382">
      <c r="A5382" s="14"/>
      <c r="B5382" s="15"/>
      <c r="C5382" s="16"/>
      <c r="D5382" s="15"/>
      <c r="F5382" s="15"/>
      <c r="G5382" s="26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8"/>
      <c r="X5382" s="28"/>
      <c r="Y5382" s="28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28"/>
      <c r="AS5382" s="28"/>
      <c r="AT5382" s="28"/>
    </row>
    <row r="5383">
      <c r="A5383" s="14"/>
      <c r="B5383" s="15"/>
      <c r="C5383" s="16"/>
      <c r="D5383" s="15"/>
      <c r="F5383" s="15"/>
      <c r="G5383" s="26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8"/>
      <c r="X5383" s="28"/>
      <c r="Y5383" s="28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28"/>
      <c r="AS5383" s="28"/>
      <c r="AT5383" s="28"/>
    </row>
    <row r="5384">
      <c r="A5384" s="14"/>
      <c r="B5384" s="15"/>
      <c r="C5384" s="16"/>
      <c r="D5384" s="15"/>
      <c r="F5384" s="15"/>
      <c r="G5384" s="26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8"/>
      <c r="X5384" s="28"/>
      <c r="Y5384" s="28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28"/>
      <c r="AS5384" s="28"/>
      <c r="AT5384" s="28"/>
    </row>
    <row r="5385">
      <c r="A5385" s="14"/>
      <c r="B5385" s="15"/>
      <c r="C5385" s="16"/>
      <c r="D5385" s="15"/>
      <c r="F5385" s="15"/>
      <c r="G5385" s="26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8"/>
      <c r="X5385" s="28"/>
      <c r="Y5385" s="28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28"/>
      <c r="AS5385" s="28"/>
      <c r="AT5385" s="28"/>
    </row>
    <row r="5386">
      <c r="A5386" s="14"/>
      <c r="B5386" s="15"/>
      <c r="C5386" s="16"/>
      <c r="D5386" s="15"/>
      <c r="F5386" s="15"/>
      <c r="G5386" s="26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8"/>
      <c r="X5386" s="28"/>
      <c r="Y5386" s="28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28"/>
      <c r="AS5386" s="28"/>
      <c r="AT5386" s="28"/>
    </row>
    <row r="5387">
      <c r="A5387" s="14"/>
      <c r="B5387" s="15"/>
      <c r="C5387" s="16"/>
      <c r="D5387" s="15"/>
      <c r="F5387" s="15"/>
      <c r="G5387" s="26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8"/>
      <c r="X5387" s="28"/>
      <c r="Y5387" s="28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28"/>
      <c r="AS5387" s="28"/>
      <c r="AT5387" s="28"/>
    </row>
    <row r="5388">
      <c r="A5388" s="14"/>
      <c r="B5388" s="15"/>
      <c r="C5388" s="16"/>
      <c r="D5388" s="15"/>
      <c r="F5388" s="15"/>
      <c r="G5388" s="26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8"/>
      <c r="X5388" s="28"/>
      <c r="Y5388" s="28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28"/>
      <c r="AS5388" s="28"/>
      <c r="AT5388" s="28"/>
    </row>
    <row r="5389">
      <c r="A5389" s="14"/>
      <c r="B5389" s="15"/>
      <c r="C5389" s="16"/>
      <c r="D5389" s="15"/>
      <c r="F5389" s="15"/>
      <c r="G5389" s="26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8"/>
      <c r="X5389" s="28"/>
      <c r="Y5389" s="28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28"/>
      <c r="AS5389" s="28"/>
      <c r="AT5389" s="28"/>
    </row>
    <row r="5390">
      <c r="A5390" s="14"/>
      <c r="B5390" s="15"/>
      <c r="C5390" s="16"/>
      <c r="D5390" s="15"/>
      <c r="F5390" s="15"/>
      <c r="G5390" s="26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8"/>
      <c r="X5390" s="28"/>
      <c r="Y5390" s="28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28"/>
      <c r="AS5390" s="28"/>
      <c r="AT5390" s="28"/>
    </row>
    <row r="5391">
      <c r="A5391" s="14"/>
      <c r="B5391" s="15"/>
      <c r="C5391" s="16"/>
      <c r="D5391" s="15"/>
      <c r="F5391" s="15"/>
      <c r="G5391" s="26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8"/>
      <c r="X5391" s="28"/>
      <c r="Y5391" s="28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28"/>
      <c r="AS5391" s="28"/>
      <c r="AT5391" s="28"/>
    </row>
    <row r="5392">
      <c r="A5392" s="14"/>
      <c r="B5392" s="15"/>
      <c r="C5392" s="16"/>
      <c r="D5392" s="15"/>
      <c r="F5392" s="15"/>
      <c r="G5392" s="26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28"/>
      <c r="AS5392" s="28"/>
      <c r="AT5392" s="28"/>
    </row>
    <row r="5393">
      <c r="A5393" s="14"/>
      <c r="B5393" s="15"/>
      <c r="C5393" s="16"/>
      <c r="D5393" s="15"/>
      <c r="F5393" s="15"/>
      <c r="G5393" s="26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8"/>
      <c r="X5393" s="28"/>
      <c r="Y5393" s="28"/>
      <c r="Z5393" s="28"/>
      <c r="AA5393" s="28"/>
      <c r="AB5393" s="28"/>
      <c r="AC5393" s="28"/>
      <c r="AD5393" s="28"/>
      <c r="AE5393" s="28"/>
      <c r="AF5393" s="28"/>
      <c r="AG5393" s="28"/>
      <c r="AH5393" s="28"/>
      <c r="AI5393" s="28"/>
      <c r="AJ5393" s="28"/>
      <c r="AK5393" s="28"/>
      <c r="AL5393" s="28"/>
      <c r="AM5393" s="28"/>
      <c r="AN5393" s="28"/>
      <c r="AO5393" s="28"/>
      <c r="AP5393" s="28"/>
      <c r="AQ5393" s="28"/>
      <c r="AR5393" s="28"/>
      <c r="AS5393" s="28"/>
      <c r="AT5393" s="28"/>
    </row>
    <row r="5394">
      <c r="A5394" s="14"/>
      <c r="B5394" s="15"/>
      <c r="C5394" s="16"/>
      <c r="D5394" s="15"/>
      <c r="F5394" s="15"/>
      <c r="G5394" s="26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8"/>
      <c r="X5394" s="28"/>
      <c r="Y5394" s="28"/>
      <c r="Z5394" s="28"/>
      <c r="AA5394" s="28"/>
      <c r="AB5394" s="28"/>
      <c r="AC5394" s="28"/>
      <c r="AD5394" s="28"/>
      <c r="AE5394" s="28"/>
      <c r="AF5394" s="28"/>
      <c r="AG5394" s="28"/>
      <c r="AH5394" s="28"/>
      <c r="AI5394" s="28"/>
      <c r="AJ5394" s="28"/>
      <c r="AK5394" s="28"/>
      <c r="AL5394" s="28"/>
      <c r="AM5394" s="28"/>
      <c r="AN5394" s="28"/>
      <c r="AO5394" s="28"/>
      <c r="AP5394" s="28"/>
      <c r="AQ5394" s="28"/>
      <c r="AR5394" s="28"/>
      <c r="AS5394" s="28"/>
      <c r="AT5394" s="28"/>
    </row>
    <row r="5395">
      <c r="A5395" s="14"/>
      <c r="B5395" s="15"/>
      <c r="C5395" s="16"/>
      <c r="D5395" s="15"/>
      <c r="F5395" s="15"/>
      <c r="G5395" s="26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8"/>
      <c r="X5395" s="28"/>
      <c r="Y5395" s="28"/>
      <c r="Z5395" s="28"/>
      <c r="AA5395" s="28"/>
      <c r="AB5395" s="28"/>
      <c r="AC5395" s="28"/>
      <c r="AD5395" s="28"/>
      <c r="AE5395" s="28"/>
      <c r="AF5395" s="28"/>
      <c r="AG5395" s="28"/>
      <c r="AH5395" s="28"/>
      <c r="AI5395" s="28"/>
      <c r="AJ5395" s="28"/>
      <c r="AK5395" s="28"/>
      <c r="AL5395" s="28"/>
      <c r="AM5395" s="28"/>
      <c r="AN5395" s="28"/>
      <c r="AO5395" s="28"/>
      <c r="AP5395" s="28"/>
      <c r="AQ5395" s="28"/>
      <c r="AR5395" s="28"/>
      <c r="AS5395" s="28"/>
      <c r="AT5395" s="28"/>
    </row>
    <row r="5396">
      <c r="A5396" s="14"/>
      <c r="B5396" s="15"/>
      <c r="C5396" s="16"/>
      <c r="D5396" s="15"/>
      <c r="F5396" s="15"/>
      <c r="G5396" s="26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8"/>
      <c r="X5396" s="28"/>
      <c r="Y5396" s="28"/>
      <c r="Z5396" s="28"/>
      <c r="AA5396" s="28"/>
      <c r="AB5396" s="28"/>
      <c r="AC5396" s="28"/>
      <c r="AD5396" s="28"/>
      <c r="AE5396" s="28"/>
      <c r="AF5396" s="28"/>
      <c r="AG5396" s="28"/>
      <c r="AH5396" s="28"/>
      <c r="AI5396" s="28"/>
      <c r="AJ5396" s="28"/>
      <c r="AK5396" s="28"/>
      <c r="AL5396" s="28"/>
      <c r="AM5396" s="28"/>
      <c r="AN5396" s="28"/>
      <c r="AO5396" s="28"/>
      <c r="AP5396" s="28"/>
      <c r="AQ5396" s="28"/>
      <c r="AR5396" s="28"/>
      <c r="AS5396" s="28"/>
      <c r="AT5396" s="28"/>
    </row>
    <row r="5397">
      <c r="A5397" s="14"/>
      <c r="B5397" s="15"/>
      <c r="C5397" s="16"/>
      <c r="D5397" s="15"/>
      <c r="F5397" s="15"/>
      <c r="G5397" s="26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8"/>
      <c r="X5397" s="28"/>
      <c r="Y5397" s="28"/>
      <c r="Z5397" s="28"/>
      <c r="AA5397" s="28"/>
      <c r="AB5397" s="28"/>
      <c r="AC5397" s="28"/>
      <c r="AD5397" s="28"/>
      <c r="AE5397" s="28"/>
      <c r="AF5397" s="28"/>
      <c r="AG5397" s="28"/>
      <c r="AH5397" s="28"/>
      <c r="AI5397" s="28"/>
      <c r="AJ5397" s="28"/>
      <c r="AK5397" s="28"/>
      <c r="AL5397" s="28"/>
      <c r="AM5397" s="28"/>
      <c r="AN5397" s="28"/>
      <c r="AO5397" s="28"/>
      <c r="AP5397" s="28"/>
      <c r="AQ5397" s="28"/>
      <c r="AR5397" s="28"/>
      <c r="AS5397" s="28"/>
      <c r="AT5397" s="28"/>
    </row>
    <row r="5398">
      <c r="A5398" s="14"/>
      <c r="B5398" s="15"/>
      <c r="C5398" s="16"/>
      <c r="D5398" s="15"/>
      <c r="F5398" s="15"/>
      <c r="G5398" s="26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8"/>
      <c r="X5398" s="28"/>
      <c r="Y5398" s="28"/>
      <c r="Z5398" s="28"/>
      <c r="AA5398" s="28"/>
      <c r="AB5398" s="28"/>
      <c r="AC5398" s="28"/>
      <c r="AD5398" s="28"/>
      <c r="AE5398" s="28"/>
      <c r="AF5398" s="28"/>
      <c r="AG5398" s="28"/>
      <c r="AH5398" s="28"/>
      <c r="AI5398" s="28"/>
      <c r="AJ5398" s="28"/>
      <c r="AK5398" s="28"/>
      <c r="AL5398" s="28"/>
      <c r="AM5398" s="28"/>
      <c r="AN5398" s="28"/>
      <c r="AO5398" s="28"/>
      <c r="AP5398" s="28"/>
      <c r="AQ5398" s="28"/>
      <c r="AR5398" s="28"/>
      <c r="AS5398" s="28"/>
      <c r="AT5398" s="28"/>
    </row>
    <row r="5399">
      <c r="A5399" s="14"/>
      <c r="B5399" s="15"/>
      <c r="C5399" s="16"/>
      <c r="D5399" s="15"/>
      <c r="F5399" s="15"/>
      <c r="G5399" s="26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8"/>
      <c r="X5399" s="28"/>
      <c r="Y5399" s="28"/>
      <c r="Z5399" s="28"/>
      <c r="AA5399" s="28"/>
      <c r="AB5399" s="28"/>
      <c r="AC5399" s="28"/>
      <c r="AD5399" s="28"/>
      <c r="AE5399" s="28"/>
      <c r="AF5399" s="28"/>
      <c r="AG5399" s="28"/>
      <c r="AH5399" s="28"/>
      <c r="AI5399" s="28"/>
      <c r="AJ5399" s="28"/>
      <c r="AK5399" s="28"/>
      <c r="AL5399" s="28"/>
      <c r="AM5399" s="28"/>
      <c r="AN5399" s="28"/>
      <c r="AO5399" s="28"/>
      <c r="AP5399" s="28"/>
      <c r="AQ5399" s="28"/>
      <c r="AR5399" s="28"/>
      <c r="AS5399" s="28"/>
      <c r="AT5399" s="28"/>
    </row>
    <row r="5400">
      <c r="A5400" s="14"/>
      <c r="B5400" s="15"/>
      <c r="C5400" s="16"/>
      <c r="D5400" s="15"/>
      <c r="F5400" s="15"/>
      <c r="G5400" s="26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28"/>
      <c r="AR5400" s="28"/>
      <c r="AS5400" s="28"/>
      <c r="AT5400" s="28"/>
    </row>
    <row r="5401">
      <c r="A5401" s="14"/>
      <c r="B5401" s="15"/>
      <c r="C5401" s="16"/>
      <c r="D5401" s="15"/>
      <c r="F5401" s="15"/>
      <c r="G5401" s="26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8"/>
      <c r="X5401" s="28"/>
      <c r="Y5401" s="28"/>
      <c r="Z5401" s="28"/>
      <c r="AA5401" s="28"/>
      <c r="AB5401" s="28"/>
      <c r="AC5401" s="28"/>
      <c r="AD5401" s="28"/>
      <c r="AE5401" s="28"/>
      <c r="AF5401" s="28"/>
      <c r="AG5401" s="28"/>
      <c r="AH5401" s="28"/>
      <c r="AI5401" s="28"/>
      <c r="AJ5401" s="28"/>
      <c r="AK5401" s="28"/>
      <c r="AL5401" s="28"/>
      <c r="AM5401" s="28"/>
      <c r="AN5401" s="28"/>
      <c r="AO5401" s="28"/>
      <c r="AP5401" s="28"/>
      <c r="AQ5401" s="28"/>
      <c r="AR5401" s="28"/>
      <c r="AS5401" s="28"/>
      <c r="AT5401" s="28"/>
    </row>
    <row r="5402">
      <c r="A5402" s="14"/>
      <c r="B5402" s="15"/>
      <c r="C5402" s="16"/>
      <c r="D5402" s="15"/>
      <c r="F5402" s="15"/>
      <c r="G5402" s="26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8"/>
      <c r="X5402" s="28"/>
      <c r="Y5402" s="28"/>
      <c r="Z5402" s="28"/>
      <c r="AA5402" s="28"/>
      <c r="AB5402" s="28"/>
      <c r="AC5402" s="28"/>
      <c r="AD5402" s="28"/>
      <c r="AE5402" s="28"/>
      <c r="AF5402" s="28"/>
      <c r="AG5402" s="28"/>
      <c r="AH5402" s="28"/>
      <c r="AI5402" s="28"/>
      <c r="AJ5402" s="28"/>
      <c r="AK5402" s="28"/>
      <c r="AL5402" s="28"/>
      <c r="AM5402" s="28"/>
      <c r="AN5402" s="28"/>
      <c r="AO5402" s="28"/>
      <c r="AP5402" s="28"/>
      <c r="AQ5402" s="28"/>
      <c r="AR5402" s="28"/>
      <c r="AS5402" s="28"/>
      <c r="AT5402" s="28"/>
    </row>
    <row r="5403">
      <c r="A5403" s="14"/>
      <c r="B5403" s="15"/>
      <c r="C5403" s="16"/>
      <c r="D5403" s="15"/>
      <c r="F5403" s="15"/>
      <c r="G5403" s="26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8"/>
      <c r="X5403" s="28"/>
      <c r="Y5403" s="28"/>
      <c r="Z5403" s="28"/>
      <c r="AA5403" s="28"/>
      <c r="AB5403" s="28"/>
      <c r="AC5403" s="28"/>
      <c r="AD5403" s="28"/>
      <c r="AE5403" s="28"/>
      <c r="AF5403" s="28"/>
      <c r="AG5403" s="28"/>
      <c r="AH5403" s="28"/>
      <c r="AI5403" s="28"/>
      <c r="AJ5403" s="28"/>
      <c r="AK5403" s="28"/>
      <c r="AL5403" s="28"/>
      <c r="AM5403" s="28"/>
      <c r="AN5403" s="28"/>
      <c r="AO5403" s="28"/>
      <c r="AP5403" s="28"/>
      <c r="AQ5403" s="28"/>
      <c r="AR5403" s="28"/>
      <c r="AS5403" s="28"/>
      <c r="AT5403" s="28"/>
    </row>
    <row r="5404">
      <c r="A5404" s="14"/>
      <c r="B5404" s="15"/>
      <c r="C5404" s="16"/>
      <c r="D5404" s="15"/>
      <c r="F5404" s="15"/>
      <c r="G5404" s="26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8"/>
      <c r="X5404" s="28"/>
      <c r="Y5404" s="28"/>
      <c r="Z5404" s="28"/>
      <c r="AA5404" s="28"/>
      <c r="AB5404" s="28"/>
      <c r="AC5404" s="28"/>
      <c r="AD5404" s="28"/>
      <c r="AE5404" s="28"/>
      <c r="AF5404" s="28"/>
      <c r="AG5404" s="28"/>
      <c r="AH5404" s="28"/>
      <c r="AI5404" s="28"/>
      <c r="AJ5404" s="28"/>
      <c r="AK5404" s="28"/>
      <c r="AL5404" s="28"/>
      <c r="AM5404" s="28"/>
      <c r="AN5404" s="28"/>
      <c r="AO5404" s="28"/>
      <c r="AP5404" s="28"/>
      <c r="AQ5404" s="28"/>
      <c r="AR5404" s="28"/>
      <c r="AS5404" s="28"/>
      <c r="AT5404" s="28"/>
    </row>
    <row r="5405">
      <c r="A5405" s="14"/>
      <c r="B5405" s="15"/>
      <c r="C5405" s="16"/>
      <c r="D5405" s="15"/>
      <c r="F5405" s="15"/>
      <c r="G5405" s="26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8"/>
      <c r="X5405" s="28"/>
      <c r="Y5405" s="28"/>
      <c r="Z5405" s="28"/>
      <c r="AA5405" s="28"/>
      <c r="AB5405" s="28"/>
      <c r="AC5405" s="28"/>
      <c r="AD5405" s="28"/>
      <c r="AE5405" s="28"/>
      <c r="AF5405" s="28"/>
      <c r="AG5405" s="28"/>
      <c r="AH5405" s="28"/>
      <c r="AI5405" s="28"/>
      <c r="AJ5405" s="28"/>
      <c r="AK5405" s="28"/>
      <c r="AL5405" s="28"/>
      <c r="AM5405" s="28"/>
      <c r="AN5405" s="28"/>
      <c r="AO5405" s="28"/>
      <c r="AP5405" s="28"/>
      <c r="AQ5405" s="28"/>
      <c r="AR5405" s="28"/>
      <c r="AS5405" s="28"/>
      <c r="AT5405" s="28"/>
    </row>
    <row r="5406">
      <c r="A5406" s="14"/>
      <c r="B5406" s="15"/>
      <c r="C5406" s="16"/>
      <c r="D5406" s="15"/>
      <c r="F5406" s="15"/>
      <c r="G5406" s="26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8"/>
      <c r="X5406" s="28"/>
      <c r="Y5406" s="28"/>
      <c r="Z5406" s="28"/>
      <c r="AA5406" s="28"/>
      <c r="AB5406" s="28"/>
      <c r="AC5406" s="28"/>
      <c r="AD5406" s="28"/>
      <c r="AE5406" s="28"/>
      <c r="AF5406" s="28"/>
      <c r="AG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28"/>
      <c r="AR5406" s="28"/>
      <c r="AS5406" s="28"/>
      <c r="AT5406" s="28"/>
    </row>
    <row r="5407">
      <c r="A5407" s="14"/>
      <c r="B5407" s="15"/>
      <c r="C5407" s="16"/>
      <c r="D5407" s="15"/>
      <c r="F5407" s="15"/>
      <c r="G5407" s="26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28"/>
      <c r="AT5407" s="28"/>
    </row>
    <row r="5408">
      <c r="A5408" s="14"/>
      <c r="B5408" s="15"/>
      <c r="C5408" s="16"/>
      <c r="D5408" s="15"/>
      <c r="F5408" s="15"/>
      <c r="G5408" s="26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  <c r="Z5408" s="28"/>
      <c r="AA5408" s="28"/>
      <c r="AB5408" s="28"/>
      <c r="AC5408" s="28"/>
      <c r="AD5408" s="28"/>
      <c r="AE5408" s="28"/>
      <c r="AF5408" s="28"/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28"/>
      <c r="AR5408" s="28"/>
      <c r="AS5408" s="28"/>
      <c r="AT5408" s="28"/>
    </row>
    <row r="5409">
      <c r="A5409" s="14"/>
      <c r="B5409" s="15"/>
      <c r="C5409" s="16"/>
      <c r="D5409" s="15"/>
      <c r="F5409" s="15"/>
      <c r="G5409" s="26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8"/>
      <c r="X5409" s="28"/>
      <c r="Y5409" s="28"/>
      <c r="Z5409" s="28"/>
      <c r="AA5409" s="28"/>
      <c r="AB5409" s="28"/>
      <c r="AC5409" s="28"/>
      <c r="AD5409" s="28"/>
      <c r="AE5409" s="28"/>
      <c r="AF5409" s="28"/>
      <c r="AG5409" s="28"/>
      <c r="AH5409" s="28"/>
      <c r="AI5409" s="28"/>
      <c r="AJ5409" s="28"/>
      <c r="AK5409" s="28"/>
      <c r="AL5409" s="28"/>
      <c r="AM5409" s="28"/>
      <c r="AN5409" s="28"/>
      <c r="AO5409" s="28"/>
      <c r="AP5409" s="28"/>
      <c r="AQ5409" s="28"/>
      <c r="AR5409" s="28"/>
      <c r="AS5409" s="28"/>
      <c r="AT5409" s="28"/>
    </row>
    <row r="5410">
      <c r="A5410" s="14"/>
      <c r="B5410" s="15"/>
      <c r="C5410" s="16"/>
      <c r="D5410" s="15"/>
      <c r="F5410" s="15"/>
      <c r="G5410" s="26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8"/>
      <c r="X5410" s="28"/>
      <c r="Y5410" s="28"/>
      <c r="Z5410" s="28"/>
      <c r="AA5410" s="28"/>
      <c r="AB5410" s="28"/>
      <c r="AC5410" s="28"/>
      <c r="AD5410" s="28"/>
      <c r="AE5410" s="28"/>
      <c r="AF5410" s="28"/>
      <c r="AG5410" s="28"/>
      <c r="AH5410" s="28"/>
      <c r="AI5410" s="28"/>
      <c r="AJ5410" s="28"/>
      <c r="AK5410" s="28"/>
      <c r="AL5410" s="28"/>
      <c r="AM5410" s="28"/>
      <c r="AN5410" s="28"/>
      <c r="AO5410" s="28"/>
      <c r="AP5410" s="28"/>
      <c r="AQ5410" s="28"/>
      <c r="AR5410" s="28"/>
      <c r="AS5410" s="28"/>
      <c r="AT5410" s="28"/>
    </row>
    <row r="5411">
      <c r="A5411" s="14"/>
      <c r="B5411" s="15"/>
      <c r="C5411" s="16"/>
      <c r="D5411" s="15"/>
      <c r="F5411" s="15"/>
      <c r="G5411" s="26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8"/>
      <c r="X5411" s="28"/>
      <c r="Y5411" s="28"/>
      <c r="Z5411" s="28"/>
      <c r="AA5411" s="28"/>
      <c r="AB5411" s="28"/>
      <c r="AC5411" s="28"/>
      <c r="AD5411" s="28"/>
      <c r="AE5411" s="28"/>
      <c r="AF5411" s="28"/>
      <c r="AG5411" s="28"/>
      <c r="AH5411" s="28"/>
      <c r="AI5411" s="28"/>
      <c r="AJ5411" s="28"/>
      <c r="AK5411" s="28"/>
      <c r="AL5411" s="28"/>
      <c r="AM5411" s="28"/>
      <c r="AN5411" s="28"/>
      <c r="AO5411" s="28"/>
      <c r="AP5411" s="28"/>
      <c r="AQ5411" s="28"/>
      <c r="AR5411" s="28"/>
      <c r="AS5411" s="28"/>
      <c r="AT5411" s="28"/>
    </row>
    <row r="5412">
      <c r="A5412" s="14"/>
      <c r="B5412" s="15"/>
      <c r="C5412" s="16"/>
      <c r="D5412" s="15"/>
      <c r="F5412" s="15"/>
      <c r="G5412" s="26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8"/>
      <c r="X5412" s="28"/>
      <c r="Y5412" s="28"/>
      <c r="Z5412" s="28"/>
      <c r="AA5412" s="28"/>
      <c r="AB5412" s="28"/>
      <c r="AC5412" s="28"/>
      <c r="AD5412" s="28"/>
      <c r="AE5412" s="28"/>
      <c r="AF5412" s="28"/>
      <c r="AG5412" s="28"/>
      <c r="AH5412" s="28"/>
      <c r="AI5412" s="28"/>
      <c r="AJ5412" s="28"/>
      <c r="AK5412" s="28"/>
      <c r="AL5412" s="28"/>
      <c r="AM5412" s="28"/>
      <c r="AN5412" s="28"/>
      <c r="AO5412" s="28"/>
      <c r="AP5412" s="28"/>
      <c r="AQ5412" s="28"/>
      <c r="AR5412" s="28"/>
      <c r="AS5412" s="28"/>
      <c r="AT5412" s="28"/>
    </row>
    <row r="5413">
      <c r="A5413" s="14"/>
      <c r="B5413" s="15"/>
      <c r="C5413" s="16"/>
      <c r="D5413" s="15"/>
      <c r="F5413" s="15"/>
      <c r="G5413" s="26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8"/>
      <c r="X5413" s="28"/>
      <c r="Y5413" s="28"/>
      <c r="Z5413" s="28"/>
      <c r="AA5413" s="28"/>
      <c r="AB5413" s="28"/>
      <c r="AC5413" s="28"/>
      <c r="AD5413" s="28"/>
      <c r="AE5413" s="28"/>
      <c r="AF5413" s="28"/>
      <c r="AG5413" s="28"/>
      <c r="AH5413" s="28"/>
      <c r="AI5413" s="28"/>
      <c r="AJ5413" s="28"/>
      <c r="AK5413" s="28"/>
      <c r="AL5413" s="28"/>
      <c r="AM5413" s="28"/>
      <c r="AN5413" s="28"/>
      <c r="AO5413" s="28"/>
      <c r="AP5413" s="28"/>
      <c r="AQ5413" s="28"/>
      <c r="AR5413" s="28"/>
      <c r="AS5413" s="28"/>
      <c r="AT5413" s="28"/>
    </row>
    <row r="5414">
      <c r="A5414" s="14"/>
      <c r="B5414" s="15"/>
      <c r="C5414" s="16"/>
      <c r="D5414" s="15"/>
      <c r="F5414" s="15"/>
      <c r="G5414" s="26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28"/>
      <c r="AD5414" s="28"/>
      <c r="AE5414" s="28"/>
      <c r="AF5414" s="28"/>
      <c r="AG5414" s="28"/>
      <c r="AH5414" s="28"/>
      <c r="AI5414" s="28"/>
      <c r="AJ5414" s="28"/>
      <c r="AK5414" s="28"/>
      <c r="AL5414" s="28"/>
      <c r="AM5414" s="28"/>
      <c r="AN5414" s="28"/>
      <c r="AO5414" s="28"/>
      <c r="AP5414" s="28"/>
      <c r="AQ5414" s="28"/>
      <c r="AR5414" s="28"/>
      <c r="AS5414" s="28"/>
      <c r="AT5414" s="28"/>
    </row>
    <row r="5415">
      <c r="A5415" s="14"/>
      <c r="B5415" s="15"/>
      <c r="C5415" s="16"/>
      <c r="D5415" s="15"/>
      <c r="F5415" s="15"/>
      <c r="G5415" s="26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8"/>
      <c r="X5415" s="28"/>
      <c r="Y5415" s="28"/>
      <c r="Z5415" s="28"/>
      <c r="AA5415" s="28"/>
      <c r="AB5415" s="28"/>
      <c r="AC5415" s="28"/>
      <c r="AD5415" s="28"/>
      <c r="AE5415" s="28"/>
      <c r="AF5415" s="28"/>
      <c r="AG5415" s="28"/>
      <c r="AH5415" s="28"/>
      <c r="AI5415" s="28"/>
      <c r="AJ5415" s="28"/>
      <c r="AK5415" s="28"/>
      <c r="AL5415" s="28"/>
      <c r="AM5415" s="28"/>
      <c r="AN5415" s="28"/>
      <c r="AO5415" s="28"/>
      <c r="AP5415" s="28"/>
      <c r="AQ5415" s="28"/>
      <c r="AR5415" s="28"/>
      <c r="AS5415" s="28"/>
      <c r="AT5415" s="28"/>
    </row>
    <row r="5416">
      <c r="A5416" s="14"/>
      <c r="B5416" s="15"/>
      <c r="C5416" s="16"/>
      <c r="D5416" s="15"/>
      <c r="F5416" s="15"/>
      <c r="G5416" s="26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8"/>
      <c r="X5416" s="28"/>
      <c r="Y5416" s="28"/>
      <c r="Z5416" s="28"/>
      <c r="AA5416" s="28"/>
      <c r="AB5416" s="28"/>
      <c r="AC5416" s="28"/>
      <c r="AD5416" s="28"/>
      <c r="AE5416" s="28"/>
      <c r="AF5416" s="28"/>
      <c r="AG5416" s="28"/>
      <c r="AH5416" s="28"/>
      <c r="AI5416" s="28"/>
      <c r="AJ5416" s="28"/>
      <c r="AK5416" s="28"/>
      <c r="AL5416" s="28"/>
      <c r="AM5416" s="28"/>
      <c r="AN5416" s="28"/>
      <c r="AO5416" s="28"/>
      <c r="AP5416" s="28"/>
      <c r="AQ5416" s="28"/>
      <c r="AR5416" s="28"/>
      <c r="AS5416" s="28"/>
      <c r="AT5416" s="28"/>
    </row>
    <row r="5417">
      <c r="A5417" s="14"/>
      <c r="B5417" s="15"/>
      <c r="C5417" s="16"/>
      <c r="D5417" s="15"/>
      <c r="F5417" s="15"/>
      <c r="G5417" s="26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8"/>
      <c r="X5417" s="28"/>
      <c r="Y5417" s="28"/>
      <c r="Z5417" s="28"/>
      <c r="AA5417" s="28"/>
      <c r="AB5417" s="28"/>
      <c r="AC5417" s="28"/>
      <c r="AD5417" s="28"/>
      <c r="AE5417" s="28"/>
      <c r="AF5417" s="28"/>
      <c r="AG5417" s="28"/>
      <c r="AH5417" s="28"/>
      <c r="AI5417" s="28"/>
      <c r="AJ5417" s="28"/>
      <c r="AK5417" s="28"/>
      <c r="AL5417" s="28"/>
      <c r="AM5417" s="28"/>
      <c r="AN5417" s="28"/>
      <c r="AO5417" s="28"/>
      <c r="AP5417" s="28"/>
      <c r="AQ5417" s="28"/>
      <c r="AR5417" s="28"/>
      <c r="AS5417" s="28"/>
      <c r="AT5417" s="28"/>
    </row>
    <row r="5418">
      <c r="A5418" s="14"/>
      <c r="B5418" s="15"/>
      <c r="C5418" s="16"/>
      <c r="D5418" s="15"/>
      <c r="F5418" s="15"/>
      <c r="G5418" s="26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8"/>
      <c r="X5418" s="28"/>
      <c r="Y5418" s="28"/>
      <c r="Z5418" s="28"/>
      <c r="AA5418" s="28"/>
      <c r="AB5418" s="28"/>
      <c r="AC5418" s="28"/>
      <c r="AD5418" s="28"/>
      <c r="AE5418" s="28"/>
      <c r="AF5418" s="28"/>
      <c r="AG5418" s="28"/>
      <c r="AH5418" s="28"/>
      <c r="AI5418" s="28"/>
      <c r="AJ5418" s="28"/>
      <c r="AK5418" s="28"/>
      <c r="AL5418" s="28"/>
      <c r="AM5418" s="28"/>
      <c r="AN5418" s="28"/>
      <c r="AO5418" s="28"/>
      <c r="AP5418" s="28"/>
      <c r="AQ5418" s="28"/>
      <c r="AR5418" s="28"/>
      <c r="AS5418" s="28"/>
      <c r="AT5418" s="28"/>
    </row>
    <row r="5419">
      <c r="A5419" s="14"/>
      <c r="B5419" s="15"/>
      <c r="C5419" s="16"/>
      <c r="D5419" s="15"/>
      <c r="F5419" s="15"/>
      <c r="G5419" s="26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8"/>
      <c r="X5419" s="28"/>
      <c r="Y5419" s="28"/>
      <c r="Z5419" s="28"/>
      <c r="AA5419" s="28"/>
      <c r="AB5419" s="28"/>
      <c r="AC5419" s="28"/>
      <c r="AD5419" s="28"/>
      <c r="AE5419" s="28"/>
      <c r="AF5419" s="28"/>
      <c r="AG5419" s="28"/>
      <c r="AH5419" s="28"/>
      <c r="AI5419" s="28"/>
      <c r="AJ5419" s="28"/>
      <c r="AK5419" s="28"/>
      <c r="AL5419" s="28"/>
      <c r="AM5419" s="28"/>
      <c r="AN5419" s="28"/>
      <c r="AO5419" s="28"/>
      <c r="AP5419" s="28"/>
      <c r="AQ5419" s="28"/>
      <c r="AR5419" s="28"/>
      <c r="AS5419" s="28"/>
      <c r="AT5419" s="28"/>
    </row>
    <row r="5420">
      <c r="A5420" s="14"/>
      <c r="B5420" s="15"/>
      <c r="C5420" s="16"/>
      <c r="D5420" s="15"/>
      <c r="F5420" s="15"/>
      <c r="G5420" s="26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8"/>
      <c r="X5420" s="28"/>
      <c r="Y5420" s="28"/>
      <c r="Z5420" s="28"/>
      <c r="AA5420" s="28"/>
      <c r="AB5420" s="28"/>
      <c r="AC5420" s="28"/>
      <c r="AD5420" s="28"/>
      <c r="AE5420" s="28"/>
      <c r="AF5420" s="28"/>
      <c r="AG5420" s="28"/>
      <c r="AH5420" s="28"/>
      <c r="AI5420" s="28"/>
      <c r="AJ5420" s="28"/>
      <c r="AK5420" s="28"/>
      <c r="AL5420" s="28"/>
      <c r="AM5420" s="28"/>
      <c r="AN5420" s="28"/>
      <c r="AO5420" s="28"/>
      <c r="AP5420" s="28"/>
      <c r="AQ5420" s="28"/>
      <c r="AR5420" s="28"/>
      <c r="AS5420" s="28"/>
      <c r="AT5420" s="28"/>
    </row>
    <row r="5421">
      <c r="A5421" s="14"/>
      <c r="B5421" s="15"/>
      <c r="C5421" s="16"/>
      <c r="D5421" s="15"/>
      <c r="F5421" s="15"/>
      <c r="G5421" s="26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8"/>
      <c r="X5421" s="28"/>
      <c r="Y5421" s="28"/>
      <c r="Z5421" s="28"/>
      <c r="AA5421" s="28"/>
      <c r="AB5421" s="28"/>
      <c r="AC5421" s="28"/>
      <c r="AD5421" s="28"/>
      <c r="AE5421" s="28"/>
      <c r="AF5421" s="28"/>
      <c r="AG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28"/>
      <c r="AR5421" s="28"/>
      <c r="AS5421" s="28"/>
      <c r="AT5421" s="28"/>
    </row>
    <row r="5422">
      <c r="A5422" s="14"/>
      <c r="B5422" s="15"/>
      <c r="C5422" s="16"/>
      <c r="D5422" s="15"/>
      <c r="F5422" s="15"/>
      <c r="G5422" s="26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8"/>
      <c r="X5422" s="28"/>
      <c r="Y5422" s="28"/>
      <c r="Z5422" s="28"/>
      <c r="AA5422" s="28"/>
      <c r="AB5422" s="28"/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28"/>
      <c r="AS5422" s="28"/>
      <c r="AT5422" s="28"/>
    </row>
    <row r="5423">
      <c r="A5423" s="14"/>
      <c r="B5423" s="15"/>
      <c r="C5423" s="16"/>
      <c r="D5423" s="15"/>
      <c r="F5423" s="15"/>
      <c r="G5423" s="26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28"/>
      <c r="AS5423" s="28"/>
      <c r="AT5423" s="28"/>
    </row>
    <row r="5424">
      <c r="A5424" s="14"/>
      <c r="B5424" s="15"/>
      <c r="C5424" s="16"/>
      <c r="D5424" s="15"/>
      <c r="F5424" s="15"/>
      <c r="G5424" s="26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  <c r="Z5424" s="28"/>
      <c r="AA5424" s="28"/>
      <c r="AB5424" s="28"/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O5424" s="28"/>
      <c r="AP5424" s="28"/>
      <c r="AQ5424" s="28"/>
      <c r="AR5424" s="28"/>
      <c r="AS5424" s="28"/>
      <c r="AT5424" s="28"/>
    </row>
    <row r="5425">
      <c r="A5425" s="14"/>
      <c r="B5425" s="15"/>
      <c r="C5425" s="16"/>
      <c r="D5425" s="15"/>
      <c r="F5425" s="15"/>
      <c r="G5425" s="26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8"/>
      <c r="X5425" s="28"/>
      <c r="Y5425" s="28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28"/>
      <c r="AR5425" s="28"/>
      <c r="AS5425" s="28"/>
      <c r="AT5425" s="28"/>
    </row>
    <row r="5426">
      <c r="A5426" s="14"/>
      <c r="B5426" s="15"/>
      <c r="C5426" s="16"/>
      <c r="D5426" s="15"/>
      <c r="F5426" s="15"/>
      <c r="G5426" s="26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R5426" s="28"/>
      <c r="AS5426" s="28"/>
      <c r="AT5426" s="28"/>
    </row>
    <row r="5427">
      <c r="A5427" s="14"/>
      <c r="B5427" s="15"/>
      <c r="C5427" s="16"/>
      <c r="D5427" s="15"/>
      <c r="F5427" s="15"/>
      <c r="G5427" s="26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8"/>
      <c r="X5427" s="28"/>
      <c r="Y5427" s="28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28"/>
      <c r="AS5427" s="28"/>
      <c r="AT5427" s="28"/>
    </row>
    <row r="5428">
      <c r="A5428" s="14"/>
      <c r="B5428" s="15"/>
      <c r="C5428" s="16"/>
      <c r="D5428" s="15"/>
      <c r="F5428" s="15"/>
      <c r="G5428" s="26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8"/>
      <c r="X5428" s="28"/>
      <c r="Y5428" s="28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28"/>
      <c r="AS5428" s="28"/>
      <c r="AT5428" s="28"/>
    </row>
    <row r="5429">
      <c r="A5429" s="14"/>
      <c r="B5429" s="15"/>
      <c r="C5429" s="16"/>
      <c r="D5429" s="15"/>
      <c r="F5429" s="15"/>
      <c r="G5429" s="26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8"/>
      <c r="X5429" s="28"/>
      <c r="Y5429" s="28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28"/>
      <c r="AS5429" s="28"/>
      <c r="AT5429" s="28"/>
    </row>
    <row r="5430">
      <c r="A5430" s="14"/>
      <c r="B5430" s="15"/>
      <c r="C5430" s="16"/>
      <c r="D5430" s="15"/>
      <c r="F5430" s="15"/>
      <c r="G5430" s="26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8"/>
      <c r="X5430" s="28"/>
      <c r="Y5430" s="28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28"/>
      <c r="AR5430" s="28"/>
      <c r="AS5430" s="28"/>
      <c r="AT5430" s="28"/>
    </row>
    <row r="5431">
      <c r="A5431" s="14"/>
      <c r="B5431" s="15"/>
      <c r="C5431" s="16"/>
      <c r="D5431" s="15"/>
      <c r="F5431" s="15"/>
      <c r="G5431" s="26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8"/>
      <c r="X5431" s="28"/>
      <c r="Y5431" s="28"/>
      <c r="Z5431" s="28"/>
      <c r="AA5431" s="28"/>
      <c r="AB5431" s="28"/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28"/>
      <c r="AS5431" s="28"/>
      <c r="AT5431" s="28"/>
    </row>
    <row r="5432">
      <c r="A5432" s="14"/>
      <c r="B5432" s="15"/>
      <c r="C5432" s="16"/>
      <c r="D5432" s="15"/>
      <c r="F5432" s="15"/>
      <c r="G5432" s="26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8"/>
      <c r="X5432" s="28"/>
      <c r="Y5432" s="28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28"/>
      <c r="AS5432" s="28"/>
      <c r="AT5432" s="28"/>
    </row>
    <row r="5433">
      <c r="A5433" s="14"/>
      <c r="B5433" s="15"/>
      <c r="C5433" s="16"/>
      <c r="D5433" s="15"/>
      <c r="F5433" s="15"/>
      <c r="G5433" s="26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8"/>
      <c r="X5433" s="28"/>
      <c r="Y5433" s="28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28"/>
      <c r="AS5433" s="28"/>
      <c r="AT5433" s="28"/>
    </row>
    <row r="5434">
      <c r="A5434" s="14"/>
      <c r="B5434" s="15"/>
      <c r="C5434" s="16"/>
      <c r="D5434" s="15"/>
      <c r="F5434" s="15"/>
      <c r="G5434" s="26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8"/>
      <c r="X5434" s="28"/>
      <c r="Y5434" s="28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28"/>
      <c r="AS5434" s="28"/>
      <c r="AT5434" s="28"/>
    </row>
    <row r="5435">
      <c r="A5435" s="14"/>
      <c r="B5435" s="15"/>
      <c r="C5435" s="16"/>
      <c r="D5435" s="15"/>
      <c r="F5435" s="15"/>
      <c r="G5435" s="26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28"/>
      <c r="AS5435" s="28"/>
      <c r="AT5435" s="28"/>
    </row>
    <row r="5436">
      <c r="A5436" s="14"/>
      <c r="B5436" s="15"/>
      <c r="C5436" s="16"/>
      <c r="D5436" s="15"/>
      <c r="F5436" s="15"/>
      <c r="G5436" s="26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28"/>
      <c r="AS5436" s="28"/>
      <c r="AT5436" s="28"/>
    </row>
    <row r="5437">
      <c r="A5437" s="14"/>
      <c r="B5437" s="15"/>
      <c r="C5437" s="16"/>
      <c r="D5437" s="15"/>
      <c r="F5437" s="15"/>
      <c r="G5437" s="26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28"/>
      <c r="AS5437" s="28"/>
      <c r="AT5437" s="28"/>
    </row>
    <row r="5438">
      <c r="A5438" s="14"/>
      <c r="B5438" s="15"/>
      <c r="C5438" s="16"/>
      <c r="D5438" s="15"/>
      <c r="F5438" s="15"/>
      <c r="G5438" s="26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28"/>
      <c r="AS5438" s="28"/>
      <c r="AT5438" s="28"/>
    </row>
    <row r="5439">
      <c r="A5439" s="14"/>
      <c r="B5439" s="15"/>
      <c r="C5439" s="16"/>
      <c r="D5439" s="15"/>
      <c r="F5439" s="15"/>
      <c r="G5439" s="26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28"/>
      <c r="AS5439" s="28"/>
      <c r="AT5439" s="28"/>
    </row>
    <row r="5440">
      <c r="A5440" s="14"/>
      <c r="B5440" s="15"/>
      <c r="C5440" s="16"/>
      <c r="D5440" s="15"/>
      <c r="F5440" s="15"/>
      <c r="G5440" s="26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8"/>
      <c r="X5440" s="28"/>
      <c r="Y5440" s="28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28"/>
      <c r="AS5440" s="28"/>
      <c r="AT5440" s="28"/>
    </row>
    <row r="5441">
      <c r="A5441" s="14"/>
      <c r="B5441" s="15"/>
      <c r="C5441" s="16"/>
      <c r="D5441" s="15"/>
      <c r="F5441" s="15"/>
      <c r="G5441" s="26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8"/>
      <c r="X5441" s="28"/>
      <c r="Y5441" s="28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28"/>
      <c r="AS5441" s="28"/>
      <c r="AT5441" s="28"/>
    </row>
    <row r="5442">
      <c r="A5442" s="14"/>
      <c r="B5442" s="15"/>
      <c r="C5442" s="16"/>
      <c r="D5442" s="15"/>
      <c r="F5442" s="15"/>
      <c r="G5442" s="26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8"/>
      <c r="X5442" s="28"/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28"/>
      <c r="AS5442" s="28"/>
      <c r="AT5442" s="28"/>
    </row>
    <row r="5443">
      <c r="A5443" s="14"/>
      <c r="B5443" s="15"/>
      <c r="C5443" s="16"/>
      <c r="D5443" s="15"/>
      <c r="F5443" s="15"/>
      <c r="G5443" s="26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8"/>
      <c r="X5443" s="28"/>
      <c r="Y5443" s="28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28"/>
      <c r="AS5443" s="28"/>
      <c r="AT5443" s="28"/>
    </row>
    <row r="5444">
      <c r="A5444" s="14"/>
      <c r="B5444" s="15"/>
      <c r="C5444" s="16"/>
      <c r="D5444" s="15"/>
      <c r="F5444" s="15"/>
      <c r="G5444" s="26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8"/>
      <c r="X5444" s="28"/>
      <c r="Y5444" s="28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28"/>
      <c r="AS5444" s="28"/>
      <c r="AT5444" s="28"/>
    </row>
    <row r="5445">
      <c r="A5445" s="14"/>
      <c r="B5445" s="15"/>
      <c r="C5445" s="16"/>
      <c r="D5445" s="15"/>
      <c r="F5445" s="15"/>
      <c r="G5445" s="26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8"/>
      <c r="X5445" s="28"/>
      <c r="Y5445" s="28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28"/>
      <c r="AS5445" s="28"/>
      <c r="AT5445" s="28"/>
    </row>
    <row r="5446">
      <c r="A5446" s="14"/>
      <c r="B5446" s="15"/>
      <c r="C5446" s="16"/>
      <c r="D5446" s="15"/>
      <c r="F5446" s="15"/>
      <c r="G5446" s="26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8"/>
      <c r="X5446" s="28"/>
      <c r="Y5446" s="28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28"/>
      <c r="AS5446" s="28"/>
      <c r="AT5446" s="28"/>
    </row>
    <row r="5447">
      <c r="A5447" s="14"/>
      <c r="B5447" s="15"/>
      <c r="C5447" s="16"/>
      <c r="D5447" s="15"/>
      <c r="F5447" s="15"/>
      <c r="G5447" s="26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8"/>
      <c r="X5447" s="28"/>
      <c r="Y5447" s="28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28"/>
      <c r="AS5447" s="28"/>
      <c r="AT5447" s="28"/>
    </row>
    <row r="5448">
      <c r="A5448" s="14"/>
      <c r="B5448" s="15"/>
      <c r="C5448" s="16"/>
      <c r="D5448" s="15"/>
      <c r="F5448" s="15"/>
      <c r="G5448" s="26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8"/>
      <c r="X5448" s="28"/>
      <c r="Y5448" s="28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28"/>
      <c r="AS5448" s="28"/>
      <c r="AT5448" s="28"/>
    </row>
    <row r="5449">
      <c r="A5449" s="14"/>
      <c r="B5449" s="15"/>
      <c r="C5449" s="16"/>
      <c r="D5449" s="15"/>
      <c r="F5449" s="15"/>
      <c r="G5449" s="26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8"/>
      <c r="X5449" s="28"/>
      <c r="Y5449" s="28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28"/>
      <c r="AS5449" s="28"/>
      <c r="AT5449" s="28"/>
    </row>
    <row r="5450">
      <c r="A5450" s="14"/>
      <c r="B5450" s="15"/>
      <c r="C5450" s="16"/>
      <c r="D5450" s="15"/>
      <c r="F5450" s="15"/>
      <c r="G5450" s="26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8"/>
      <c r="X5450" s="28"/>
      <c r="Y5450" s="28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28"/>
      <c r="AS5450" s="28"/>
      <c r="AT5450" s="28"/>
    </row>
    <row r="5451">
      <c r="A5451" s="14"/>
      <c r="B5451" s="15"/>
      <c r="C5451" s="16"/>
      <c r="D5451" s="15"/>
      <c r="F5451" s="15"/>
      <c r="G5451" s="26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8"/>
      <c r="X5451" s="28"/>
      <c r="Y5451" s="28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28"/>
      <c r="AS5451" s="28"/>
      <c r="AT5451" s="28"/>
    </row>
    <row r="5452">
      <c r="A5452" s="14"/>
      <c r="B5452" s="15"/>
      <c r="C5452" s="16"/>
      <c r="D5452" s="15"/>
      <c r="F5452" s="15"/>
      <c r="G5452" s="26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8"/>
      <c r="X5452" s="28"/>
      <c r="Y5452" s="28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28"/>
      <c r="AS5452" s="28"/>
      <c r="AT5452" s="28"/>
    </row>
    <row r="5453">
      <c r="A5453" s="14"/>
      <c r="B5453" s="15"/>
      <c r="C5453" s="16"/>
      <c r="D5453" s="15"/>
      <c r="F5453" s="15"/>
      <c r="G5453" s="26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8"/>
      <c r="X5453" s="28"/>
      <c r="Y5453" s="28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28"/>
      <c r="AS5453" s="28"/>
      <c r="AT5453" s="28"/>
    </row>
    <row r="5454">
      <c r="A5454" s="14"/>
      <c r="B5454" s="15"/>
      <c r="C5454" s="16"/>
      <c r="D5454" s="15"/>
      <c r="F5454" s="15"/>
      <c r="G5454" s="26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8"/>
      <c r="X5454" s="28"/>
      <c r="Y5454" s="28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28"/>
      <c r="AS5454" s="28"/>
      <c r="AT5454" s="28"/>
    </row>
    <row r="5455">
      <c r="A5455" s="14"/>
      <c r="B5455" s="15"/>
      <c r="C5455" s="16"/>
      <c r="D5455" s="15"/>
      <c r="F5455" s="15"/>
      <c r="G5455" s="26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28"/>
      <c r="AS5455" s="28"/>
      <c r="AT5455" s="28"/>
    </row>
    <row r="5456">
      <c r="A5456" s="14"/>
      <c r="B5456" s="15"/>
      <c r="C5456" s="16"/>
      <c r="D5456" s="15"/>
      <c r="F5456" s="15"/>
      <c r="G5456" s="26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8"/>
      <c r="X5456" s="28"/>
      <c r="Y5456" s="28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28"/>
      <c r="AS5456" s="28"/>
      <c r="AT5456" s="28"/>
    </row>
    <row r="5457">
      <c r="A5457" s="14"/>
      <c r="B5457" s="15"/>
      <c r="C5457" s="16"/>
      <c r="D5457" s="15"/>
      <c r="F5457" s="15"/>
      <c r="G5457" s="26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8"/>
      <c r="X5457" s="28"/>
      <c r="Y5457" s="28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28"/>
      <c r="AS5457" s="28"/>
      <c r="AT5457" s="28"/>
    </row>
    <row r="5458">
      <c r="A5458" s="14"/>
      <c r="B5458" s="15"/>
      <c r="C5458" s="16"/>
      <c r="D5458" s="15"/>
      <c r="F5458" s="15"/>
      <c r="G5458" s="26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8"/>
      <c r="X5458" s="28"/>
      <c r="Y5458" s="28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28"/>
      <c r="AS5458" s="28"/>
      <c r="AT5458" s="28"/>
    </row>
    <row r="5459">
      <c r="A5459" s="14"/>
      <c r="B5459" s="15"/>
      <c r="C5459" s="16"/>
      <c r="D5459" s="15"/>
      <c r="F5459" s="15"/>
      <c r="G5459" s="26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8"/>
      <c r="X5459" s="28"/>
      <c r="Y5459" s="28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28"/>
      <c r="AS5459" s="28"/>
      <c r="AT5459" s="28"/>
    </row>
    <row r="5460">
      <c r="A5460" s="14"/>
      <c r="B5460" s="15"/>
      <c r="C5460" s="16"/>
      <c r="D5460" s="15"/>
      <c r="F5460" s="15"/>
      <c r="G5460" s="26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8"/>
      <c r="X5460" s="28"/>
      <c r="Y5460" s="28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28"/>
      <c r="AS5460" s="28"/>
      <c r="AT5460" s="28"/>
    </row>
    <row r="5461">
      <c r="A5461" s="14"/>
      <c r="B5461" s="15"/>
      <c r="C5461" s="16"/>
      <c r="D5461" s="15"/>
      <c r="F5461" s="15"/>
      <c r="G5461" s="26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8"/>
      <c r="X5461" s="28"/>
      <c r="Y5461" s="28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28"/>
      <c r="AS5461" s="28"/>
      <c r="AT5461" s="28"/>
    </row>
    <row r="5462">
      <c r="A5462" s="14"/>
      <c r="B5462" s="15"/>
      <c r="C5462" s="16"/>
      <c r="D5462" s="15"/>
      <c r="F5462" s="15"/>
      <c r="G5462" s="26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28"/>
      <c r="AS5462" s="28"/>
      <c r="AT5462" s="28"/>
    </row>
    <row r="5463">
      <c r="A5463" s="14"/>
      <c r="B5463" s="15"/>
      <c r="C5463" s="16"/>
      <c r="D5463" s="15"/>
      <c r="F5463" s="15"/>
      <c r="G5463" s="26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28"/>
      <c r="AS5463" s="28"/>
      <c r="AT5463" s="28"/>
    </row>
    <row r="5464">
      <c r="A5464" s="14"/>
      <c r="B5464" s="15"/>
      <c r="C5464" s="16"/>
      <c r="D5464" s="15"/>
      <c r="F5464" s="15"/>
      <c r="G5464" s="26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28"/>
      <c r="AS5464" s="28"/>
      <c r="AT5464" s="28"/>
    </row>
    <row r="5465">
      <c r="A5465" s="14"/>
      <c r="B5465" s="15"/>
      <c r="C5465" s="16"/>
      <c r="D5465" s="15"/>
      <c r="F5465" s="15"/>
      <c r="G5465" s="26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28"/>
      <c r="AS5465" s="28"/>
      <c r="AT5465" s="28"/>
    </row>
    <row r="5466">
      <c r="A5466" s="14"/>
      <c r="B5466" s="15"/>
      <c r="C5466" s="16"/>
      <c r="D5466" s="15"/>
      <c r="F5466" s="15"/>
      <c r="G5466" s="26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28"/>
      <c r="AS5466" s="28"/>
      <c r="AT5466" s="28"/>
    </row>
    <row r="5467">
      <c r="A5467" s="14"/>
      <c r="B5467" s="15"/>
      <c r="C5467" s="16"/>
      <c r="D5467" s="15"/>
      <c r="F5467" s="15"/>
      <c r="G5467" s="26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8"/>
      <c r="X5467" s="28"/>
      <c r="Y5467" s="28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28"/>
      <c r="AS5467" s="28"/>
      <c r="AT5467" s="28"/>
    </row>
    <row r="5468">
      <c r="A5468" s="14"/>
      <c r="B5468" s="15"/>
      <c r="C5468" s="16"/>
      <c r="D5468" s="15"/>
      <c r="F5468" s="15"/>
      <c r="G5468" s="26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8"/>
      <c r="X5468" s="28"/>
      <c r="Y5468" s="28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28"/>
      <c r="AS5468" s="28"/>
      <c r="AT5468" s="28"/>
    </row>
    <row r="5469">
      <c r="A5469" s="14"/>
      <c r="B5469" s="15"/>
      <c r="C5469" s="16"/>
      <c r="D5469" s="15"/>
      <c r="F5469" s="15"/>
      <c r="G5469" s="26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8"/>
      <c r="X5469" s="28"/>
      <c r="Y5469" s="28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28"/>
      <c r="AS5469" s="28"/>
      <c r="AT5469" s="28"/>
    </row>
    <row r="5470">
      <c r="A5470" s="14"/>
      <c r="B5470" s="15"/>
      <c r="C5470" s="16"/>
      <c r="D5470" s="15"/>
      <c r="F5470" s="15"/>
      <c r="G5470" s="26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28"/>
      <c r="AS5470" s="28"/>
      <c r="AT5470" s="28"/>
    </row>
    <row r="5471">
      <c r="A5471" s="14"/>
      <c r="B5471" s="15"/>
      <c r="C5471" s="16"/>
      <c r="D5471" s="15"/>
      <c r="F5471" s="15"/>
      <c r="G5471" s="26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28"/>
      <c r="AS5471" s="28"/>
      <c r="AT5471" s="28"/>
    </row>
    <row r="5472">
      <c r="A5472" s="14"/>
      <c r="B5472" s="15"/>
      <c r="C5472" s="16"/>
      <c r="D5472" s="15"/>
      <c r="F5472" s="15"/>
      <c r="G5472" s="26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8"/>
      <c r="X5472" s="28"/>
      <c r="Y5472" s="28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28"/>
      <c r="AS5472" s="28"/>
      <c r="AT5472" s="28"/>
    </row>
    <row r="5473">
      <c r="A5473" s="14"/>
      <c r="B5473" s="15"/>
      <c r="C5473" s="16"/>
      <c r="D5473" s="15"/>
      <c r="F5473" s="15"/>
      <c r="G5473" s="26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8"/>
      <c r="X5473" s="28"/>
      <c r="Y5473" s="28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28"/>
      <c r="AS5473" s="28"/>
      <c r="AT5473" s="28"/>
    </row>
    <row r="5474">
      <c r="A5474" s="14"/>
      <c r="B5474" s="15"/>
      <c r="C5474" s="16"/>
      <c r="D5474" s="15"/>
      <c r="F5474" s="15"/>
      <c r="G5474" s="26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8"/>
      <c r="X5474" s="28"/>
      <c r="Y5474" s="28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28"/>
      <c r="AS5474" s="28"/>
      <c r="AT5474" s="28"/>
    </row>
    <row r="5475">
      <c r="A5475" s="14"/>
      <c r="B5475" s="15"/>
      <c r="C5475" s="16"/>
      <c r="D5475" s="15"/>
      <c r="F5475" s="15"/>
      <c r="G5475" s="26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8"/>
      <c r="X5475" s="28"/>
      <c r="Y5475" s="28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28"/>
      <c r="AS5475" s="28"/>
      <c r="AT5475" s="28"/>
    </row>
    <row r="5476">
      <c r="A5476" s="14"/>
      <c r="B5476" s="15"/>
      <c r="C5476" s="16"/>
      <c r="D5476" s="15"/>
      <c r="F5476" s="15"/>
      <c r="G5476" s="26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8"/>
      <c r="X5476" s="28"/>
      <c r="Y5476" s="28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28"/>
      <c r="AS5476" s="28"/>
      <c r="AT5476" s="28"/>
    </row>
    <row r="5477">
      <c r="A5477" s="14"/>
      <c r="B5477" s="15"/>
      <c r="C5477" s="16"/>
      <c r="D5477" s="15"/>
      <c r="F5477" s="15"/>
      <c r="G5477" s="26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8"/>
      <c r="X5477" s="28"/>
      <c r="Y5477" s="28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28"/>
      <c r="AS5477" s="28"/>
      <c r="AT5477" s="28"/>
    </row>
    <row r="5478">
      <c r="A5478" s="14"/>
      <c r="B5478" s="15"/>
      <c r="C5478" s="16"/>
      <c r="D5478" s="15"/>
      <c r="F5478" s="15"/>
      <c r="G5478" s="26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8"/>
      <c r="X5478" s="28"/>
      <c r="Y5478" s="28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28"/>
      <c r="AS5478" s="28"/>
      <c r="AT5478" s="28"/>
    </row>
    <row r="5479">
      <c r="A5479" s="14"/>
      <c r="B5479" s="15"/>
      <c r="C5479" s="16"/>
      <c r="D5479" s="15"/>
      <c r="F5479" s="15"/>
      <c r="G5479" s="26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8"/>
      <c r="X5479" s="28"/>
      <c r="Y5479" s="28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28"/>
      <c r="AS5479" s="28"/>
      <c r="AT5479" s="28"/>
    </row>
    <row r="5480">
      <c r="A5480" s="14"/>
      <c r="B5480" s="15"/>
      <c r="C5480" s="16"/>
      <c r="D5480" s="15"/>
      <c r="F5480" s="15"/>
      <c r="G5480" s="26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8"/>
      <c r="X5480" s="28"/>
      <c r="Y5480" s="28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28"/>
      <c r="AS5480" s="28"/>
      <c r="AT5480" s="28"/>
    </row>
    <row r="5481">
      <c r="A5481" s="14"/>
      <c r="B5481" s="15"/>
      <c r="C5481" s="16"/>
      <c r="D5481" s="15"/>
      <c r="F5481" s="15"/>
      <c r="G5481" s="26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8"/>
      <c r="X5481" s="28"/>
      <c r="Y5481" s="28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28"/>
      <c r="AS5481" s="28"/>
      <c r="AT5481" s="28"/>
    </row>
    <row r="5482">
      <c r="A5482" s="14"/>
      <c r="B5482" s="15"/>
      <c r="C5482" s="16"/>
      <c r="D5482" s="15"/>
      <c r="F5482" s="15"/>
      <c r="G5482" s="26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8"/>
      <c r="X5482" s="28"/>
      <c r="Y5482" s="28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28"/>
      <c r="AS5482" s="28"/>
      <c r="AT5482" s="28"/>
    </row>
    <row r="5483">
      <c r="A5483" s="14"/>
      <c r="B5483" s="15"/>
      <c r="C5483" s="16"/>
      <c r="D5483" s="15"/>
      <c r="F5483" s="15"/>
      <c r="G5483" s="26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8"/>
      <c r="X5483" s="28"/>
      <c r="Y5483" s="28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28"/>
      <c r="AS5483" s="28"/>
      <c r="AT5483" s="28"/>
    </row>
    <row r="5484">
      <c r="A5484" s="14"/>
      <c r="B5484" s="15"/>
      <c r="C5484" s="16"/>
      <c r="D5484" s="15"/>
      <c r="F5484" s="15"/>
      <c r="G5484" s="26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8"/>
      <c r="X5484" s="28"/>
      <c r="Y5484" s="28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28"/>
      <c r="AS5484" s="28"/>
      <c r="AT5484" s="28"/>
    </row>
    <row r="5485">
      <c r="A5485" s="14"/>
      <c r="B5485" s="15"/>
      <c r="C5485" s="16"/>
      <c r="D5485" s="15"/>
      <c r="F5485" s="15"/>
      <c r="G5485" s="26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8"/>
      <c r="X5485" s="28"/>
      <c r="Y5485" s="28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28"/>
      <c r="AS5485" s="28"/>
      <c r="AT5485" s="28"/>
    </row>
    <row r="5486">
      <c r="A5486" s="14"/>
      <c r="B5486" s="15"/>
      <c r="C5486" s="16"/>
      <c r="D5486" s="15"/>
      <c r="F5486" s="15"/>
      <c r="G5486" s="26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8"/>
      <c r="X5486" s="28"/>
      <c r="Y5486" s="28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28"/>
      <c r="AS5486" s="28"/>
      <c r="AT5486" s="28"/>
    </row>
    <row r="5487">
      <c r="A5487" s="14"/>
      <c r="B5487" s="15"/>
      <c r="C5487" s="16"/>
      <c r="D5487" s="15"/>
      <c r="F5487" s="15"/>
      <c r="G5487" s="26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28"/>
      <c r="AS5487" s="28"/>
      <c r="AT5487" s="28"/>
    </row>
    <row r="5488">
      <c r="A5488" s="14"/>
      <c r="B5488" s="15"/>
      <c r="C5488" s="16"/>
      <c r="D5488" s="15"/>
      <c r="F5488" s="15"/>
      <c r="G5488" s="26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8"/>
      <c r="X5488" s="28"/>
      <c r="Y5488" s="28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28"/>
      <c r="AS5488" s="28"/>
      <c r="AT5488" s="28"/>
    </row>
    <row r="5489">
      <c r="A5489" s="14"/>
      <c r="B5489" s="15"/>
      <c r="C5489" s="16"/>
      <c r="D5489" s="15"/>
      <c r="F5489" s="15"/>
      <c r="G5489" s="26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8"/>
      <c r="X5489" s="28"/>
      <c r="Y5489" s="28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28"/>
      <c r="AS5489" s="28"/>
      <c r="AT5489" s="28"/>
    </row>
    <row r="5490">
      <c r="A5490" s="14"/>
      <c r="B5490" s="15"/>
      <c r="C5490" s="16"/>
      <c r="D5490" s="15"/>
      <c r="F5490" s="15"/>
      <c r="G5490" s="26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28"/>
      <c r="AS5490" s="28"/>
      <c r="AT5490" s="28"/>
    </row>
    <row r="5491">
      <c r="A5491" s="14"/>
      <c r="B5491" s="15"/>
      <c r="C5491" s="16"/>
      <c r="D5491" s="15"/>
      <c r="F5491" s="15"/>
      <c r="G5491" s="26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28"/>
      <c r="AS5491" s="28"/>
      <c r="AT5491" s="28"/>
    </row>
    <row r="5492">
      <c r="A5492" s="14"/>
      <c r="B5492" s="15"/>
      <c r="C5492" s="16"/>
      <c r="D5492" s="15"/>
      <c r="F5492" s="15"/>
      <c r="G5492" s="26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28"/>
      <c r="AS5492" s="28"/>
      <c r="AT5492" s="28"/>
    </row>
    <row r="5493">
      <c r="A5493" s="14"/>
      <c r="B5493" s="15"/>
      <c r="C5493" s="16"/>
      <c r="D5493" s="15"/>
      <c r="F5493" s="15"/>
      <c r="G5493" s="26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28"/>
      <c r="AS5493" s="28"/>
      <c r="AT5493" s="28"/>
    </row>
    <row r="5494">
      <c r="A5494" s="14"/>
      <c r="B5494" s="15"/>
      <c r="C5494" s="16"/>
      <c r="D5494" s="15"/>
      <c r="F5494" s="15"/>
      <c r="G5494" s="26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28"/>
      <c r="AS5494" s="28"/>
      <c r="AT5494" s="28"/>
    </row>
    <row r="5495">
      <c r="A5495" s="14"/>
      <c r="B5495" s="15"/>
      <c r="C5495" s="16"/>
      <c r="D5495" s="15"/>
      <c r="F5495" s="15"/>
      <c r="G5495" s="26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28"/>
      <c r="AS5495" s="28"/>
      <c r="AT5495" s="28"/>
    </row>
    <row r="5496">
      <c r="A5496" s="14"/>
      <c r="B5496" s="15"/>
      <c r="C5496" s="16"/>
      <c r="D5496" s="15"/>
      <c r="F5496" s="15"/>
      <c r="G5496" s="26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28"/>
      <c r="AS5496" s="28"/>
      <c r="AT5496" s="28"/>
    </row>
    <row r="5497">
      <c r="A5497" s="14"/>
      <c r="B5497" s="15"/>
      <c r="C5497" s="16"/>
      <c r="D5497" s="15"/>
      <c r="F5497" s="15"/>
      <c r="G5497" s="26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28"/>
      <c r="AS5497" s="28"/>
      <c r="AT5497" s="28"/>
    </row>
    <row r="5498">
      <c r="A5498" s="14"/>
      <c r="B5498" s="15"/>
      <c r="C5498" s="16"/>
      <c r="D5498" s="15"/>
      <c r="F5498" s="15"/>
      <c r="G5498" s="26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28"/>
      <c r="AS5498" s="28"/>
      <c r="AT5498" s="28"/>
    </row>
    <row r="5499">
      <c r="A5499" s="14"/>
      <c r="B5499" s="15"/>
      <c r="C5499" s="16"/>
      <c r="D5499" s="15"/>
      <c r="F5499" s="15"/>
      <c r="G5499" s="26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28"/>
      <c r="AS5499" s="28"/>
      <c r="AT5499" s="28"/>
    </row>
    <row r="5500">
      <c r="A5500" s="14"/>
      <c r="B5500" s="15"/>
      <c r="C5500" s="16"/>
      <c r="D5500" s="15"/>
      <c r="F5500" s="15"/>
      <c r="G5500" s="26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28"/>
      <c r="AS5500" s="28"/>
      <c r="AT5500" s="28"/>
    </row>
    <row r="5501">
      <c r="A5501" s="14"/>
      <c r="B5501" s="15"/>
      <c r="C5501" s="16"/>
      <c r="D5501" s="15"/>
      <c r="F5501" s="15"/>
      <c r="G5501" s="26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28"/>
      <c r="AS5501" s="28"/>
      <c r="AT5501" s="28"/>
    </row>
    <row r="5502">
      <c r="A5502" s="14"/>
      <c r="B5502" s="15"/>
      <c r="C5502" s="16"/>
      <c r="D5502" s="15"/>
      <c r="F5502" s="15"/>
      <c r="G5502" s="26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28"/>
      <c r="AS5502" s="28"/>
      <c r="AT5502" s="28"/>
    </row>
    <row r="5503">
      <c r="A5503" s="14"/>
      <c r="B5503" s="15"/>
      <c r="C5503" s="16"/>
      <c r="D5503" s="15"/>
      <c r="F5503" s="15"/>
      <c r="G5503" s="26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28"/>
      <c r="AS5503" s="28"/>
      <c r="AT5503" s="28"/>
    </row>
    <row r="5504">
      <c r="A5504" s="14"/>
      <c r="B5504" s="15"/>
      <c r="C5504" s="16"/>
      <c r="D5504" s="15"/>
      <c r="F5504" s="15"/>
      <c r="G5504" s="26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28"/>
      <c r="AS5504" s="28"/>
      <c r="AT5504" s="28"/>
    </row>
    <row r="5505">
      <c r="A5505" s="14"/>
      <c r="B5505" s="15"/>
      <c r="C5505" s="16"/>
      <c r="D5505" s="15"/>
      <c r="F5505" s="15"/>
      <c r="G5505" s="26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28"/>
      <c r="AS5505" s="28"/>
      <c r="AT5505" s="28"/>
    </row>
    <row r="5506">
      <c r="A5506" s="14"/>
      <c r="B5506" s="15"/>
      <c r="C5506" s="16"/>
      <c r="D5506" s="15"/>
      <c r="F5506" s="15"/>
      <c r="G5506" s="26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28"/>
      <c r="AS5506" s="28"/>
      <c r="AT5506" s="28"/>
    </row>
    <row r="5507">
      <c r="A5507" s="14"/>
      <c r="B5507" s="15"/>
      <c r="C5507" s="16"/>
      <c r="D5507" s="15"/>
      <c r="F5507" s="15"/>
      <c r="G5507" s="26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28"/>
      <c r="AS5507" s="28"/>
      <c r="AT5507" s="28"/>
    </row>
    <row r="5508">
      <c r="A5508" s="14"/>
      <c r="B5508" s="15"/>
      <c r="C5508" s="16"/>
      <c r="D5508" s="15"/>
      <c r="F5508" s="15"/>
      <c r="G5508" s="26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28"/>
      <c r="AS5508" s="28"/>
      <c r="AT5508" s="28"/>
    </row>
    <row r="5509">
      <c r="A5509" s="14"/>
      <c r="B5509" s="15"/>
      <c r="C5509" s="16"/>
      <c r="D5509" s="15"/>
      <c r="F5509" s="15"/>
      <c r="G5509" s="26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28"/>
      <c r="AS5509" s="28"/>
      <c r="AT5509" s="28"/>
    </row>
    <row r="5510">
      <c r="A5510" s="14"/>
      <c r="B5510" s="15"/>
      <c r="C5510" s="16"/>
      <c r="D5510" s="15"/>
      <c r="F5510" s="15"/>
      <c r="G5510" s="26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28"/>
      <c r="AS5510" s="28"/>
      <c r="AT5510" s="28"/>
    </row>
    <row r="5511">
      <c r="A5511" s="14"/>
      <c r="B5511" s="15"/>
      <c r="C5511" s="16"/>
      <c r="D5511" s="15"/>
      <c r="F5511" s="15"/>
      <c r="G5511" s="26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28"/>
      <c r="AS5511" s="28"/>
      <c r="AT5511" s="28"/>
    </row>
    <row r="5512">
      <c r="A5512" s="14"/>
      <c r="B5512" s="15"/>
      <c r="C5512" s="16"/>
      <c r="D5512" s="15"/>
      <c r="F5512" s="15"/>
      <c r="G5512" s="26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28"/>
      <c r="AS5512" s="28"/>
      <c r="AT5512" s="28"/>
    </row>
    <row r="5513">
      <c r="A5513" s="14"/>
      <c r="B5513" s="15"/>
      <c r="C5513" s="16"/>
      <c r="D5513" s="15"/>
      <c r="F5513" s="15"/>
      <c r="G5513" s="26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28"/>
      <c r="AS5513" s="28"/>
      <c r="AT5513" s="28"/>
    </row>
    <row r="5514">
      <c r="A5514" s="14"/>
      <c r="B5514" s="15"/>
      <c r="C5514" s="16"/>
      <c r="D5514" s="15"/>
      <c r="F5514" s="15"/>
      <c r="G5514" s="26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28"/>
      <c r="AS5514" s="28"/>
      <c r="AT5514" s="28"/>
    </row>
    <row r="5515">
      <c r="A5515" s="14"/>
      <c r="B5515" s="15"/>
      <c r="C5515" s="16"/>
      <c r="D5515" s="15"/>
      <c r="F5515" s="15"/>
      <c r="G5515" s="26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28"/>
      <c r="AS5515" s="28"/>
      <c r="AT5515" s="28"/>
    </row>
    <row r="5516">
      <c r="A5516" s="14"/>
      <c r="B5516" s="15"/>
      <c r="C5516" s="16"/>
      <c r="D5516" s="15"/>
      <c r="F5516" s="15"/>
      <c r="G5516" s="26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28"/>
      <c r="AS5516" s="28"/>
      <c r="AT5516" s="28"/>
    </row>
    <row r="5517">
      <c r="A5517" s="14"/>
      <c r="B5517" s="15"/>
      <c r="C5517" s="16"/>
      <c r="D5517" s="15"/>
      <c r="F5517" s="15"/>
      <c r="G5517" s="26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28"/>
      <c r="AS5517" s="28"/>
      <c r="AT5517" s="28"/>
    </row>
    <row r="5518">
      <c r="A5518" s="14"/>
      <c r="B5518" s="15"/>
      <c r="C5518" s="16"/>
      <c r="D5518" s="15"/>
      <c r="F5518" s="15"/>
      <c r="G5518" s="26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28"/>
      <c r="AS5518" s="28"/>
      <c r="AT5518" s="28"/>
    </row>
    <row r="5519">
      <c r="A5519" s="14"/>
      <c r="B5519" s="15"/>
      <c r="C5519" s="16"/>
      <c r="D5519" s="15"/>
      <c r="F5519" s="15"/>
      <c r="G5519" s="26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28"/>
      <c r="AS5519" s="28"/>
      <c r="AT5519" s="28"/>
    </row>
    <row r="5520">
      <c r="A5520" s="14"/>
      <c r="B5520" s="15"/>
      <c r="C5520" s="16"/>
      <c r="D5520" s="15"/>
      <c r="F5520" s="15"/>
      <c r="G5520" s="26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28"/>
      <c r="AS5520" s="28"/>
      <c r="AT5520" s="28"/>
    </row>
    <row r="5521">
      <c r="A5521" s="14"/>
      <c r="B5521" s="15"/>
      <c r="C5521" s="16"/>
      <c r="D5521" s="15"/>
      <c r="F5521" s="15"/>
      <c r="G5521" s="26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28"/>
      <c r="AS5521" s="28"/>
      <c r="AT5521" s="28"/>
    </row>
    <row r="5522">
      <c r="A5522" s="14"/>
      <c r="B5522" s="15"/>
      <c r="C5522" s="16"/>
      <c r="D5522" s="15"/>
      <c r="F5522" s="15"/>
      <c r="G5522" s="26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28"/>
      <c r="AS5522" s="28"/>
      <c r="AT5522" s="28"/>
    </row>
    <row r="5523">
      <c r="A5523" s="14"/>
      <c r="B5523" s="15"/>
      <c r="C5523" s="16"/>
      <c r="D5523" s="15"/>
      <c r="F5523" s="15"/>
      <c r="G5523" s="26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28"/>
      <c r="AS5523" s="28"/>
      <c r="AT5523" s="28"/>
    </row>
    <row r="5524">
      <c r="A5524" s="14"/>
      <c r="B5524" s="15"/>
      <c r="C5524" s="16"/>
      <c r="D5524" s="15"/>
      <c r="F5524" s="15"/>
      <c r="G5524" s="26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28"/>
      <c r="AS5524" s="28"/>
      <c r="AT5524" s="28"/>
    </row>
    <row r="5525">
      <c r="A5525" s="14"/>
      <c r="B5525" s="15"/>
      <c r="C5525" s="16"/>
      <c r="D5525" s="15"/>
      <c r="F5525" s="15"/>
      <c r="G5525" s="26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28"/>
      <c r="AS5525" s="28"/>
      <c r="AT5525" s="28"/>
    </row>
    <row r="5526">
      <c r="A5526" s="14"/>
      <c r="B5526" s="15"/>
      <c r="C5526" s="16"/>
      <c r="D5526" s="15"/>
      <c r="F5526" s="15"/>
      <c r="G5526" s="26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  <c r="AE5526" s="28"/>
      <c r="AF5526" s="28"/>
      <c r="AG5526" s="28"/>
      <c r="AH5526" s="28"/>
      <c r="AI5526" s="28"/>
      <c r="AJ5526" s="28"/>
      <c r="AK5526" s="28"/>
      <c r="AL5526" s="28"/>
      <c r="AM5526" s="28"/>
      <c r="AN5526" s="28"/>
      <c r="AO5526" s="28"/>
      <c r="AP5526" s="28"/>
      <c r="AQ5526" s="28"/>
      <c r="AR5526" s="28"/>
      <c r="AS5526" s="28"/>
      <c r="AT5526" s="28"/>
    </row>
    <row r="5527">
      <c r="A5527" s="14"/>
      <c r="B5527" s="15"/>
      <c r="C5527" s="16"/>
      <c r="D5527" s="15"/>
      <c r="F5527" s="15"/>
      <c r="G5527" s="26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  <c r="AE5527" s="28"/>
      <c r="AF5527" s="28"/>
      <c r="AG5527" s="28"/>
      <c r="AH5527" s="28"/>
      <c r="AI5527" s="28"/>
      <c r="AJ5527" s="28"/>
      <c r="AK5527" s="28"/>
      <c r="AL5527" s="28"/>
      <c r="AM5527" s="28"/>
      <c r="AN5527" s="28"/>
      <c r="AO5527" s="28"/>
      <c r="AP5527" s="28"/>
      <c r="AQ5527" s="28"/>
      <c r="AR5527" s="28"/>
      <c r="AS5527" s="28"/>
      <c r="AT5527" s="28"/>
    </row>
    <row r="5528">
      <c r="A5528" s="14"/>
      <c r="B5528" s="15"/>
      <c r="C5528" s="16"/>
      <c r="D5528" s="15"/>
      <c r="F5528" s="15"/>
      <c r="G5528" s="26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  <c r="AE5528" s="28"/>
      <c r="AF5528" s="28"/>
      <c r="AG5528" s="28"/>
      <c r="AH5528" s="28"/>
      <c r="AI5528" s="28"/>
      <c r="AJ5528" s="28"/>
      <c r="AK5528" s="28"/>
      <c r="AL5528" s="28"/>
      <c r="AM5528" s="28"/>
      <c r="AN5528" s="28"/>
      <c r="AO5528" s="28"/>
      <c r="AP5528" s="28"/>
      <c r="AQ5528" s="28"/>
      <c r="AR5528" s="28"/>
      <c r="AS5528" s="28"/>
      <c r="AT5528" s="28"/>
    </row>
    <row r="5529">
      <c r="A5529" s="14"/>
      <c r="B5529" s="15"/>
      <c r="C5529" s="16"/>
      <c r="D5529" s="15"/>
      <c r="F5529" s="15"/>
      <c r="G5529" s="26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  <c r="AE5529" s="28"/>
      <c r="AF5529" s="28"/>
      <c r="AG5529" s="28"/>
      <c r="AH5529" s="28"/>
      <c r="AI5529" s="28"/>
      <c r="AJ5529" s="28"/>
      <c r="AK5529" s="28"/>
      <c r="AL5529" s="28"/>
      <c r="AM5529" s="28"/>
      <c r="AN5529" s="28"/>
      <c r="AO5529" s="28"/>
      <c r="AP5529" s="28"/>
      <c r="AQ5529" s="28"/>
      <c r="AR5529" s="28"/>
      <c r="AS5529" s="28"/>
      <c r="AT5529" s="28"/>
    </row>
    <row r="5530">
      <c r="A5530" s="14"/>
      <c r="B5530" s="15"/>
      <c r="C5530" s="16"/>
      <c r="D5530" s="15"/>
      <c r="F5530" s="15"/>
      <c r="G5530" s="26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28"/>
      <c r="AF5530" s="28"/>
      <c r="AG5530" s="28"/>
      <c r="AH5530" s="28"/>
      <c r="AI5530" s="28"/>
      <c r="AJ5530" s="28"/>
      <c r="AK5530" s="28"/>
      <c r="AL5530" s="28"/>
      <c r="AM5530" s="28"/>
      <c r="AN5530" s="28"/>
      <c r="AO5530" s="28"/>
      <c r="AP5530" s="28"/>
      <c r="AQ5530" s="28"/>
      <c r="AR5530" s="28"/>
      <c r="AS5530" s="28"/>
      <c r="AT5530" s="28"/>
    </row>
    <row r="5531">
      <c r="A5531" s="14"/>
      <c r="B5531" s="15"/>
      <c r="C5531" s="16"/>
      <c r="D5531" s="15"/>
      <c r="F5531" s="15"/>
      <c r="G5531" s="26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  <c r="AE5531" s="28"/>
      <c r="AF5531" s="28"/>
      <c r="AG5531" s="28"/>
      <c r="AH5531" s="28"/>
      <c r="AI5531" s="28"/>
      <c r="AJ5531" s="28"/>
      <c r="AK5531" s="28"/>
      <c r="AL5531" s="28"/>
      <c r="AM5531" s="28"/>
      <c r="AN5531" s="28"/>
      <c r="AO5531" s="28"/>
      <c r="AP5531" s="28"/>
      <c r="AQ5531" s="28"/>
      <c r="AR5531" s="28"/>
      <c r="AS5531" s="28"/>
      <c r="AT5531" s="28"/>
    </row>
    <row r="5532">
      <c r="A5532" s="14"/>
      <c r="B5532" s="15"/>
      <c r="C5532" s="16"/>
      <c r="D5532" s="15"/>
      <c r="F5532" s="15"/>
      <c r="G5532" s="26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  <c r="AE5532" s="28"/>
      <c r="AF5532" s="28"/>
      <c r="AG5532" s="28"/>
      <c r="AH5532" s="28"/>
      <c r="AI5532" s="28"/>
      <c r="AJ5532" s="28"/>
      <c r="AK5532" s="28"/>
      <c r="AL5532" s="28"/>
      <c r="AM5532" s="28"/>
      <c r="AN5532" s="28"/>
      <c r="AO5532" s="28"/>
      <c r="AP5532" s="28"/>
      <c r="AQ5532" s="28"/>
      <c r="AR5532" s="28"/>
      <c r="AS5532" s="28"/>
      <c r="AT5532" s="28"/>
    </row>
    <row r="5533">
      <c r="A5533" s="14"/>
      <c r="B5533" s="15"/>
      <c r="C5533" s="16"/>
      <c r="D5533" s="15"/>
      <c r="F5533" s="15"/>
      <c r="G5533" s="26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  <c r="AE5533" s="28"/>
      <c r="AF5533" s="28"/>
      <c r="AG5533" s="28"/>
      <c r="AH5533" s="28"/>
      <c r="AI5533" s="28"/>
      <c r="AJ5533" s="28"/>
      <c r="AK5533" s="28"/>
      <c r="AL5533" s="28"/>
      <c r="AM5533" s="28"/>
      <c r="AN5533" s="28"/>
      <c r="AO5533" s="28"/>
      <c r="AP5533" s="28"/>
      <c r="AQ5533" s="28"/>
      <c r="AR5533" s="28"/>
      <c r="AS5533" s="28"/>
      <c r="AT5533" s="28"/>
    </row>
    <row r="5534">
      <c r="A5534" s="14"/>
      <c r="B5534" s="15"/>
      <c r="C5534" s="16"/>
      <c r="D5534" s="15"/>
      <c r="F5534" s="15"/>
      <c r="G5534" s="26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  <c r="AE5534" s="28"/>
      <c r="AF5534" s="28"/>
      <c r="AG5534" s="28"/>
      <c r="AH5534" s="28"/>
      <c r="AI5534" s="28"/>
      <c r="AJ5534" s="28"/>
      <c r="AK5534" s="28"/>
      <c r="AL5534" s="28"/>
      <c r="AM5534" s="28"/>
      <c r="AN5534" s="28"/>
      <c r="AO5534" s="28"/>
      <c r="AP5534" s="28"/>
      <c r="AQ5534" s="28"/>
      <c r="AR5534" s="28"/>
      <c r="AS5534" s="28"/>
      <c r="AT5534" s="28"/>
    </row>
    <row r="5535">
      <c r="A5535" s="14"/>
      <c r="B5535" s="15"/>
      <c r="C5535" s="16"/>
      <c r="D5535" s="15"/>
      <c r="F5535" s="15"/>
      <c r="G5535" s="26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28"/>
      <c r="AF5535" s="28"/>
      <c r="AG5535" s="28"/>
      <c r="AH5535" s="28"/>
      <c r="AI5535" s="28"/>
      <c r="AJ5535" s="28"/>
      <c r="AK5535" s="28"/>
      <c r="AL5535" s="28"/>
      <c r="AM5535" s="28"/>
      <c r="AN5535" s="28"/>
      <c r="AO5535" s="28"/>
      <c r="AP5535" s="28"/>
      <c r="AQ5535" s="28"/>
      <c r="AR5535" s="28"/>
      <c r="AS5535" s="28"/>
      <c r="AT5535" s="28"/>
    </row>
    <row r="5536">
      <c r="A5536" s="14"/>
      <c r="B5536" s="15"/>
      <c r="C5536" s="16"/>
      <c r="D5536" s="15"/>
      <c r="F5536" s="15"/>
      <c r="G5536" s="26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  <c r="AE5536" s="28"/>
      <c r="AF5536" s="28"/>
      <c r="AG5536" s="28"/>
      <c r="AH5536" s="28"/>
      <c r="AI5536" s="28"/>
      <c r="AJ5536" s="28"/>
      <c r="AK5536" s="28"/>
      <c r="AL5536" s="28"/>
      <c r="AM5536" s="28"/>
      <c r="AN5536" s="28"/>
      <c r="AO5536" s="28"/>
      <c r="AP5536" s="28"/>
      <c r="AQ5536" s="28"/>
      <c r="AR5536" s="28"/>
      <c r="AS5536" s="28"/>
      <c r="AT5536" s="28"/>
    </row>
    <row r="5537">
      <c r="A5537" s="14"/>
      <c r="B5537" s="15"/>
      <c r="C5537" s="16"/>
      <c r="D5537" s="15"/>
      <c r="F5537" s="15"/>
      <c r="G5537" s="26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  <c r="AE5537" s="28"/>
      <c r="AF5537" s="28"/>
      <c r="AG5537" s="28"/>
      <c r="AH5537" s="28"/>
      <c r="AI5537" s="28"/>
      <c r="AJ5537" s="28"/>
      <c r="AK5537" s="28"/>
      <c r="AL5537" s="28"/>
      <c r="AM5537" s="28"/>
      <c r="AN5537" s="28"/>
      <c r="AO5537" s="28"/>
      <c r="AP5537" s="28"/>
      <c r="AQ5537" s="28"/>
      <c r="AR5537" s="28"/>
      <c r="AS5537" s="28"/>
      <c r="AT5537" s="28"/>
    </row>
    <row r="5538">
      <c r="A5538" s="14"/>
      <c r="B5538" s="15"/>
      <c r="C5538" s="16"/>
      <c r="D5538" s="15"/>
      <c r="F5538" s="15"/>
      <c r="G5538" s="26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28"/>
      <c r="AF5538" s="28"/>
      <c r="AG5538" s="28"/>
      <c r="AH5538" s="28"/>
      <c r="AI5538" s="28"/>
      <c r="AJ5538" s="28"/>
      <c r="AK5538" s="28"/>
      <c r="AL5538" s="28"/>
      <c r="AM5538" s="28"/>
      <c r="AN5538" s="28"/>
      <c r="AO5538" s="28"/>
      <c r="AP5538" s="28"/>
      <c r="AQ5538" s="28"/>
      <c r="AR5538" s="28"/>
      <c r="AS5538" s="28"/>
      <c r="AT5538" s="28"/>
    </row>
    <row r="5539">
      <c r="A5539" s="14"/>
      <c r="B5539" s="15"/>
      <c r="C5539" s="16"/>
      <c r="D5539" s="15"/>
      <c r="F5539" s="15"/>
      <c r="G5539" s="26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28"/>
      <c r="AF5539" s="28"/>
      <c r="AG5539" s="28"/>
      <c r="AH5539" s="28"/>
      <c r="AI5539" s="28"/>
      <c r="AJ5539" s="28"/>
      <c r="AK5539" s="28"/>
      <c r="AL5539" s="28"/>
      <c r="AM5539" s="28"/>
      <c r="AN5539" s="28"/>
      <c r="AO5539" s="28"/>
      <c r="AP5539" s="28"/>
      <c r="AQ5539" s="28"/>
      <c r="AR5539" s="28"/>
      <c r="AS5539" s="28"/>
      <c r="AT5539" s="28"/>
    </row>
    <row r="5540">
      <c r="A5540" s="14"/>
      <c r="B5540" s="15"/>
      <c r="C5540" s="16"/>
      <c r="D5540" s="15"/>
      <c r="F5540" s="15"/>
      <c r="G5540" s="26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28"/>
      <c r="AF5540" s="28"/>
      <c r="AG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28"/>
      <c r="AS5540" s="28"/>
      <c r="AT5540" s="28"/>
    </row>
    <row r="5541">
      <c r="A5541" s="14"/>
      <c r="B5541" s="15"/>
      <c r="C5541" s="16"/>
      <c r="D5541" s="15"/>
      <c r="F5541" s="15"/>
      <c r="G5541" s="26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28"/>
      <c r="AF5541" s="28"/>
      <c r="AG5541" s="28"/>
      <c r="AH5541" s="28"/>
      <c r="AI5541" s="28"/>
      <c r="AJ5541" s="28"/>
      <c r="AK5541" s="28"/>
      <c r="AL5541" s="28"/>
      <c r="AM5541" s="28"/>
      <c r="AN5541" s="28"/>
      <c r="AO5541" s="28"/>
      <c r="AP5541" s="28"/>
      <c r="AQ5541" s="28"/>
      <c r="AR5541" s="28"/>
      <c r="AS5541" s="28"/>
      <c r="AT5541" s="28"/>
    </row>
    <row r="5542">
      <c r="A5542" s="14"/>
      <c r="B5542" s="15"/>
      <c r="C5542" s="16"/>
      <c r="D5542" s="15"/>
      <c r="F5542" s="15"/>
      <c r="G5542" s="26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28"/>
      <c r="AF5542" s="28"/>
      <c r="AG5542" s="28"/>
      <c r="AH5542" s="28"/>
      <c r="AI5542" s="28"/>
      <c r="AJ5542" s="28"/>
      <c r="AK5542" s="28"/>
      <c r="AL5542" s="28"/>
      <c r="AM5542" s="28"/>
      <c r="AN5542" s="28"/>
      <c r="AO5542" s="28"/>
      <c r="AP5542" s="28"/>
      <c r="AQ5542" s="28"/>
      <c r="AR5542" s="28"/>
      <c r="AS5542" s="28"/>
      <c r="AT5542" s="28"/>
    </row>
    <row r="5543">
      <c r="A5543" s="14"/>
      <c r="B5543" s="15"/>
      <c r="C5543" s="16"/>
      <c r="D5543" s="15"/>
      <c r="F5543" s="15"/>
      <c r="G5543" s="26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28"/>
      <c r="AF5543" s="28"/>
      <c r="AG5543" s="28"/>
      <c r="AH5543" s="28"/>
      <c r="AI5543" s="28"/>
      <c r="AJ5543" s="28"/>
      <c r="AK5543" s="28"/>
      <c r="AL5543" s="28"/>
      <c r="AM5543" s="28"/>
      <c r="AN5543" s="28"/>
      <c r="AO5543" s="28"/>
      <c r="AP5543" s="28"/>
      <c r="AQ5543" s="28"/>
      <c r="AR5543" s="28"/>
      <c r="AS5543" s="28"/>
      <c r="AT5543" s="28"/>
    </row>
    <row r="5544">
      <c r="A5544" s="14"/>
      <c r="B5544" s="15"/>
      <c r="C5544" s="16"/>
      <c r="D5544" s="15"/>
      <c r="F5544" s="15"/>
      <c r="G5544" s="26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  <c r="AF5544" s="28"/>
      <c r="AG5544" s="28"/>
      <c r="AH5544" s="28"/>
      <c r="AI5544" s="28"/>
      <c r="AJ5544" s="28"/>
      <c r="AK5544" s="28"/>
      <c r="AL5544" s="28"/>
      <c r="AM5544" s="28"/>
      <c r="AN5544" s="28"/>
      <c r="AO5544" s="28"/>
      <c r="AP5544" s="28"/>
      <c r="AQ5544" s="28"/>
      <c r="AR5544" s="28"/>
      <c r="AS5544" s="28"/>
      <c r="AT5544" s="28"/>
    </row>
    <row r="5545">
      <c r="A5545" s="14"/>
      <c r="B5545" s="15"/>
      <c r="C5545" s="16"/>
      <c r="D5545" s="15"/>
      <c r="F5545" s="15"/>
      <c r="G5545" s="26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28"/>
      <c r="AF5545" s="28"/>
      <c r="AG5545" s="28"/>
      <c r="AH5545" s="28"/>
      <c r="AI5545" s="28"/>
      <c r="AJ5545" s="28"/>
      <c r="AK5545" s="28"/>
      <c r="AL5545" s="28"/>
      <c r="AM5545" s="28"/>
      <c r="AN5545" s="28"/>
      <c r="AO5545" s="28"/>
      <c r="AP5545" s="28"/>
      <c r="AQ5545" s="28"/>
      <c r="AR5545" s="28"/>
      <c r="AS5545" s="28"/>
      <c r="AT5545" s="28"/>
    </row>
    <row r="5546">
      <c r="A5546" s="14"/>
      <c r="B5546" s="15"/>
      <c r="C5546" s="16"/>
      <c r="D5546" s="15"/>
      <c r="F5546" s="15"/>
      <c r="G5546" s="26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8"/>
      <c r="X5546" s="28"/>
      <c r="Y5546" s="28"/>
      <c r="Z5546" s="28"/>
      <c r="AA5546" s="28"/>
      <c r="AB5546" s="28"/>
      <c r="AC5546" s="28"/>
      <c r="AD5546" s="28"/>
      <c r="AE5546" s="28"/>
      <c r="AF5546" s="28"/>
      <c r="AG5546" s="28"/>
      <c r="AH5546" s="28"/>
      <c r="AI5546" s="28"/>
      <c r="AJ5546" s="28"/>
      <c r="AK5546" s="28"/>
      <c r="AL5546" s="28"/>
      <c r="AM5546" s="28"/>
      <c r="AN5546" s="28"/>
      <c r="AO5546" s="28"/>
      <c r="AP5546" s="28"/>
      <c r="AQ5546" s="28"/>
      <c r="AR5546" s="28"/>
      <c r="AS5546" s="28"/>
      <c r="AT5546" s="28"/>
    </row>
    <row r="5547">
      <c r="A5547" s="14"/>
      <c r="B5547" s="15"/>
      <c r="C5547" s="16"/>
      <c r="D5547" s="15"/>
      <c r="F5547" s="15"/>
      <c r="G5547" s="26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8"/>
      <c r="X5547" s="28"/>
      <c r="Y5547" s="28"/>
      <c r="Z5547" s="28"/>
      <c r="AA5547" s="28"/>
      <c r="AB5547" s="28"/>
      <c r="AC5547" s="28"/>
      <c r="AD5547" s="28"/>
      <c r="AE5547" s="28"/>
      <c r="AF5547" s="28"/>
      <c r="AG5547" s="28"/>
      <c r="AH5547" s="28"/>
      <c r="AI5547" s="28"/>
      <c r="AJ5547" s="28"/>
      <c r="AK5547" s="28"/>
      <c r="AL5547" s="28"/>
      <c r="AM5547" s="28"/>
      <c r="AN5547" s="28"/>
      <c r="AO5547" s="28"/>
      <c r="AP5547" s="28"/>
      <c r="AQ5547" s="28"/>
      <c r="AR5547" s="28"/>
      <c r="AS5547" s="28"/>
      <c r="AT5547" s="28"/>
    </row>
    <row r="5548">
      <c r="A5548" s="14"/>
      <c r="B5548" s="15"/>
      <c r="C5548" s="16"/>
      <c r="D5548" s="15"/>
      <c r="F5548" s="15"/>
      <c r="G5548" s="26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8"/>
      <c r="X5548" s="28"/>
      <c r="Y5548" s="28"/>
      <c r="Z5548" s="28"/>
      <c r="AA5548" s="28"/>
      <c r="AB5548" s="28"/>
      <c r="AC5548" s="28"/>
      <c r="AD5548" s="28"/>
      <c r="AE5548" s="28"/>
      <c r="AF5548" s="28"/>
      <c r="AG5548" s="28"/>
      <c r="AH5548" s="28"/>
      <c r="AI5548" s="28"/>
      <c r="AJ5548" s="28"/>
      <c r="AK5548" s="28"/>
      <c r="AL5548" s="28"/>
      <c r="AM5548" s="28"/>
      <c r="AN5548" s="28"/>
      <c r="AO5548" s="28"/>
      <c r="AP5548" s="28"/>
      <c r="AQ5548" s="28"/>
      <c r="AR5548" s="28"/>
      <c r="AS5548" s="28"/>
      <c r="AT5548" s="28"/>
    </row>
    <row r="5549">
      <c r="A5549" s="14"/>
      <c r="B5549" s="15"/>
      <c r="C5549" s="16"/>
      <c r="D5549" s="15"/>
      <c r="F5549" s="15"/>
      <c r="G5549" s="26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8"/>
      <c r="X5549" s="28"/>
      <c r="Y5549" s="28"/>
      <c r="Z5549" s="28"/>
      <c r="AA5549" s="28"/>
      <c r="AB5549" s="28"/>
      <c r="AC5549" s="28"/>
      <c r="AD5549" s="28"/>
      <c r="AE5549" s="28"/>
      <c r="AF5549" s="28"/>
      <c r="AG5549" s="28"/>
      <c r="AH5549" s="28"/>
      <c r="AI5549" s="28"/>
      <c r="AJ5549" s="28"/>
      <c r="AK5549" s="28"/>
      <c r="AL5549" s="28"/>
      <c r="AM5549" s="28"/>
      <c r="AN5549" s="28"/>
      <c r="AO5549" s="28"/>
      <c r="AP5549" s="28"/>
      <c r="AQ5549" s="28"/>
      <c r="AR5549" s="28"/>
      <c r="AS5549" s="28"/>
      <c r="AT5549" s="28"/>
    </row>
    <row r="5550">
      <c r="A5550" s="14"/>
      <c r="B5550" s="15"/>
      <c r="C5550" s="16"/>
      <c r="D5550" s="15"/>
      <c r="F5550" s="15"/>
      <c r="G5550" s="26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8"/>
      <c r="X5550" s="28"/>
      <c r="Y5550" s="28"/>
      <c r="Z5550" s="28"/>
      <c r="AA5550" s="28"/>
      <c r="AB5550" s="28"/>
      <c r="AC5550" s="28"/>
      <c r="AD5550" s="28"/>
      <c r="AE5550" s="28"/>
      <c r="AF5550" s="28"/>
      <c r="AG5550" s="28"/>
      <c r="AH5550" s="28"/>
      <c r="AI5550" s="28"/>
      <c r="AJ5550" s="28"/>
      <c r="AK5550" s="28"/>
      <c r="AL5550" s="28"/>
      <c r="AM5550" s="28"/>
      <c r="AN5550" s="28"/>
      <c r="AO5550" s="28"/>
      <c r="AP5550" s="28"/>
      <c r="AQ5550" s="28"/>
      <c r="AR5550" s="28"/>
      <c r="AS5550" s="28"/>
      <c r="AT5550" s="28"/>
    </row>
    <row r="5551">
      <c r="A5551" s="14"/>
      <c r="B5551" s="15"/>
      <c r="C5551" s="16"/>
      <c r="D5551" s="15"/>
      <c r="F5551" s="15"/>
      <c r="G5551" s="26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  <c r="AF5551" s="28"/>
      <c r="AG5551" s="28"/>
      <c r="AH5551" s="28"/>
      <c r="AI5551" s="28"/>
      <c r="AJ5551" s="28"/>
      <c r="AK5551" s="28"/>
      <c r="AL5551" s="28"/>
      <c r="AM5551" s="28"/>
      <c r="AN5551" s="28"/>
      <c r="AO5551" s="28"/>
      <c r="AP5551" s="28"/>
      <c r="AQ5551" s="28"/>
      <c r="AR5551" s="28"/>
      <c r="AS5551" s="28"/>
      <c r="AT5551" s="28"/>
    </row>
    <row r="5552">
      <c r="A5552" s="14"/>
      <c r="B5552" s="15"/>
      <c r="C5552" s="16"/>
      <c r="D5552" s="15"/>
      <c r="F5552" s="15"/>
      <c r="G5552" s="26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8"/>
      <c r="X5552" s="28"/>
      <c r="Y5552" s="28"/>
      <c r="Z5552" s="28"/>
      <c r="AA5552" s="28"/>
      <c r="AB5552" s="28"/>
      <c r="AC5552" s="28"/>
      <c r="AD5552" s="28"/>
      <c r="AE5552" s="28"/>
      <c r="AF5552" s="28"/>
      <c r="AG5552" s="28"/>
      <c r="AH5552" s="28"/>
      <c r="AI5552" s="28"/>
      <c r="AJ5552" s="28"/>
      <c r="AK5552" s="28"/>
      <c r="AL5552" s="28"/>
      <c r="AM5552" s="28"/>
      <c r="AN5552" s="28"/>
      <c r="AO5552" s="28"/>
      <c r="AP5552" s="28"/>
      <c r="AQ5552" s="28"/>
      <c r="AR5552" s="28"/>
      <c r="AS5552" s="28"/>
      <c r="AT5552" s="28"/>
    </row>
    <row r="5553">
      <c r="A5553" s="14"/>
      <c r="B5553" s="15"/>
      <c r="C5553" s="16"/>
      <c r="D5553" s="15"/>
      <c r="F5553" s="15"/>
      <c r="G5553" s="26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8"/>
      <c r="X5553" s="28"/>
      <c r="Y5553" s="28"/>
      <c r="Z5553" s="28"/>
      <c r="AA5553" s="28"/>
      <c r="AB5553" s="28"/>
      <c r="AC5553" s="28"/>
      <c r="AD5553" s="28"/>
      <c r="AE5553" s="28"/>
      <c r="AF5553" s="28"/>
      <c r="AG5553" s="28"/>
      <c r="AH5553" s="28"/>
      <c r="AI5553" s="28"/>
      <c r="AJ5553" s="28"/>
      <c r="AK5553" s="28"/>
      <c r="AL5553" s="28"/>
      <c r="AM5553" s="28"/>
      <c r="AN5553" s="28"/>
      <c r="AO5553" s="28"/>
      <c r="AP5553" s="28"/>
      <c r="AQ5553" s="28"/>
      <c r="AR5553" s="28"/>
      <c r="AS5553" s="28"/>
      <c r="AT5553" s="28"/>
    </row>
    <row r="5554">
      <c r="A5554" s="14"/>
      <c r="B5554" s="15"/>
      <c r="C5554" s="16"/>
      <c r="D5554" s="15"/>
      <c r="F5554" s="15"/>
      <c r="G5554" s="26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8"/>
      <c r="X5554" s="28"/>
      <c r="Y5554" s="28"/>
      <c r="Z5554" s="28"/>
      <c r="AA5554" s="28"/>
      <c r="AB5554" s="28"/>
      <c r="AC5554" s="28"/>
      <c r="AD5554" s="28"/>
      <c r="AE5554" s="28"/>
      <c r="AF5554" s="28"/>
      <c r="AG5554" s="28"/>
      <c r="AH5554" s="28"/>
      <c r="AI5554" s="28"/>
      <c r="AJ5554" s="28"/>
      <c r="AK5554" s="28"/>
      <c r="AL5554" s="28"/>
      <c r="AM5554" s="28"/>
      <c r="AN5554" s="28"/>
      <c r="AO5554" s="28"/>
      <c r="AP5554" s="28"/>
      <c r="AQ5554" s="28"/>
      <c r="AR5554" s="28"/>
      <c r="AS5554" s="28"/>
      <c r="AT5554" s="28"/>
    </row>
    <row r="5555">
      <c r="A5555" s="14"/>
      <c r="B5555" s="15"/>
      <c r="C5555" s="16"/>
      <c r="D5555" s="15"/>
      <c r="F5555" s="15"/>
      <c r="G5555" s="26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28"/>
      <c r="AS5555" s="28"/>
      <c r="AT5555" s="28"/>
    </row>
    <row r="5556">
      <c r="A5556" s="14"/>
      <c r="B5556" s="15"/>
      <c r="C5556" s="16"/>
      <c r="D5556" s="15"/>
      <c r="F5556" s="15"/>
      <c r="G5556" s="26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28"/>
      <c r="AS5556" s="28"/>
      <c r="AT5556" s="28"/>
    </row>
    <row r="5557">
      <c r="A5557" s="14"/>
      <c r="B5557" s="15"/>
      <c r="C5557" s="16"/>
      <c r="D5557" s="15"/>
      <c r="F5557" s="15"/>
      <c r="G5557" s="26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8"/>
      <c r="X5557" s="28"/>
      <c r="Y5557" s="28"/>
      <c r="Z5557" s="28"/>
      <c r="AA5557" s="28"/>
      <c r="AB5557" s="28"/>
      <c r="AC5557" s="28"/>
      <c r="AD5557" s="28"/>
      <c r="AE5557" s="28"/>
      <c r="AF5557" s="28"/>
      <c r="AG5557" s="28"/>
      <c r="AH5557" s="28"/>
      <c r="AI5557" s="28"/>
      <c r="AJ5557" s="28"/>
      <c r="AK5557" s="28"/>
      <c r="AL5557" s="28"/>
      <c r="AM5557" s="28"/>
      <c r="AN5557" s="28"/>
      <c r="AO5557" s="28"/>
      <c r="AP5557" s="28"/>
      <c r="AQ5557" s="28"/>
      <c r="AR5557" s="28"/>
      <c r="AS5557" s="28"/>
      <c r="AT5557" s="28"/>
    </row>
    <row r="5558">
      <c r="A5558" s="14"/>
      <c r="B5558" s="15"/>
      <c r="C5558" s="16"/>
      <c r="D5558" s="15"/>
      <c r="F5558" s="15"/>
      <c r="G5558" s="26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8"/>
      <c r="X5558" s="28"/>
      <c r="Y5558" s="28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O5558" s="28"/>
      <c r="AP5558" s="28"/>
      <c r="AQ5558" s="28"/>
      <c r="AR5558" s="28"/>
      <c r="AS5558" s="28"/>
      <c r="AT5558" s="28"/>
    </row>
    <row r="5559">
      <c r="A5559" s="14"/>
      <c r="B5559" s="15"/>
      <c r="C5559" s="16"/>
      <c r="D5559" s="15"/>
      <c r="F5559" s="15"/>
      <c r="G5559" s="26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8"/>
      <c r="X5559" s="28"/>
      <c r="Y5559" s="28"/>
      <c r="Z5559" s="28"/>
      <c r="AA5559" s="28"/>
      <c r="AB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R5559" s="28"/>
      <c r="AS5559" s="28"/>
      <c r="AT5559" s="28"/>
    </row>
    <row r="5560">
      <c r="A5560" s="14"/>
      <c r="B5560" s="15"/>
      <c r="C5560" s="16"/>
      <c r="D5560" s="15"/>
      <c r="F5560" s="15"/>
      <c r="G5560" s="26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8"/>
      <c r="X5560" s="28"/>
      <c r="Y5560" s="28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28"/>
      <c r="AS5560" s="28"/>
      <c r="AT5560" s="28"/>
    </row>
    <row r="5561">
      <c r="A5561" s="14"/>
      <c r="B5561" s="15"/>
      <c r="C5561" s="16"/>
      <c r="D5561" s="15"/>
      <c r="F5561" s="15"/>
      <c r="G5561" s="26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8"/>
      <c r="X5561" s="28"/>
      <c r="Y5561" s="28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28"/>
      <c r="AS5561" s="28"/>
      <c r="AT5561" s="28"/>
    </row>
    <row r="5562">
      <c r="A5562" s="14"/>
      <c r="B5562" s="15"/>
      <c r="C5562" s="16"/>
      <c r="D5562" s="15"/>
      <c r="F5562" s="15"/>
      <c r="G5562" s="26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8"/>
      <c r="X5562" s="28"/>
      <c r="Y5562" s="28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28"/>
      <c r="AS5562" s="28"/>
      <c r="AT5562" s="28"/>
    </row>
    <row r="5563">
      <c r="A5563" s="14"/>
      <c r="B5563" s="15"/>
      <c r="C5563" s="16"/>
      <c r="D5563" s="15"/>
      <c r="F5563" s="15"/>
      <c r="G5563" s="26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8"/>
      <c r="X5563" s="28"/>
      <c r="Y5563" s="28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J5563" s="28"/>
      <c r="AK5563" s="28"/>
      <c r="AL5563" s="28"/>
      <c r="AM5563" s="28"/>
      <c r="AN5563" s="28"/>
      <c r="AO5563" s="28"/>
      <c r="AP5563" s="28"/>
      <c r="AQ5563" s="28"/>
      <c r="AR5563" s="28"/>
      <c r="AS5563" s="28"/>
      <c r="AT5563" s="28"/>
    </row>
    <row r="5564">
      <c r="A5564" s="14"/>
      <c r="B5564" s="15"/>
      <c r="C5564" s="16"/>
      <c r="D5564" s="15"/>
      <c r="F5564" s="15"/>
      <c r="G5564" s="26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8"/>
      <c r="X5564" s="28"/>
      <c r="Y5564" s="28"/>
      <c r="Z5564" s="28"/>
      <c r="AA5564" s="28"/>
      <c r="AB5564" s="28"/>
      <c r="AC5564" s="28"/>
      <c r="AD5564" s="28"/>
      <c r="AE5564" s="28"/>
      <c r="AF5564" s="28"/>
      <c r="AG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28"/>
      <c r="AS5564" s="28"/>
      <c r="AT5564" s="28"/>
    </row>
    <row r="5565">
      <c r="A5565" s="14"/>
      <c r="B5565" s="15"/>
      <c r="C5565" s="16"/>
      <c r="D5565" s="15"/>
      <c r="F5565" s="15"/>
      <c r="G5565" s="26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8"/>
      <c r="X5565" s="28"/>
      <c r="Y5565" s="28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28"/>
      <c r="AS5565" s="28"/>
      <c r="AT5565" s="28"/>
    </row>
    <row r="5566">
      <c r="A5566" s="14"/>
      <c r="B5566" s="15"/>
      <c r="C5566" s="16"/>
      <c r="D5566" s="15"/>
      <c r="F5566" s="15"/>
      <c r="G5566" s="26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8"/>
      <c r="X5566" s="28"/>
      <c r="Y5566" s="28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28"/>
      <c r="AS5566" s="28"/>
      <c r="AT5566" s="28"/>
    </row>
    <row r="5567">
      <c r="A5567" s="14"/>
      <c r="B5567" s="15"/>
      <c r="C5567" s="16"/>
      <c r="D5567" s="15"/>
      <c r="F5567" s="15"/>
      <c r="G5567" s="26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28"/>
      <c r="AS5567" s="28"/>
      <c r="AT5567" s="28"/>
    </row>
    <row r="5568">
      <c r="A5568" s="14"/>
      <c r="B5568" s="15"/>
      <c r="C5568" s="16"/>
      <c r="D5568" s="15"/>
      <c r="F5568" s="15"/>
      <c r="G5568" s="26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8"/>
      <c r="X5568" s="28"/>
      <c r="Y5568" s="28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28"/>
      <c r="AS5568" s="28"/>
      <c r="AT5568" s="28"/>
    </row>
    <row r="5569">
      <c r="A5569" s="14"/>
      <c r="B5569" s="15"/>
      <c r="C5569" s="16"/>
      <c r="D5569" s="15"/>
      <c r="F5569" s="15"/>
      <c r="G5569" s="26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8"/>
      <c r="X5569" s="28"/>
      <c r="Y5569" s="28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28"/>
      <c r="AS5569" s="28"/>
      <c r="AT5569" s="28"/>
    </row>
    <row r="5570">
      <c r="A5570" s="14"/>
      <c r="B5570" s="15"/>
      <c r="C5570" s="16"/>
      <c r="D5570" s="15"/>
      <c r="F5570" s="15"/>
      <c r="G5570" s="26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28"/>
      <c r="AS5570" s="28"/>
      <c r="AT5570" s="28"/>
    </row>
    <row r="5571">
      <c r="A5571" s="14"/>
      <c r="B5571" s="15"/>
      <c r="C5571" s="16"/>
      <c r="D5571" s="15"/>
      <c r="F5571" s="15"/>
      <c r="G5571" s="26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8"/>
      <c r="X5571" s="28"/>
      <c r="Y5571" s="28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28"/>
      <c r="AS5571" s="28"/>
      <c r="AT5571" s="28"/>
    </row>
    <row r="5572">
      <c r="A5572" s="14"/>
      <c r="B5572" s="15"/>
      <c r="C5572" s="16"/>
      <c r="D5572" s="15"/>
      <c r="F5572" s="15"/>
      <c r="G5572" s="26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8"/>
      <c r="X5572" s="28"/>
      <c r="Y5572" s="28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28"/>
      <c r="AS5572" s="28"/>
      <c r="AT5572" s="28"/>
    </row>
    <row r="5573">
      <c r="A5573" s="14"/>
      <c r="B5573" s="15"/>
      <c r="C5573" s="16"/>
      <c r="D5573" s="15"/>
      <c r="F5573" s="15"/>
      <c r="G5573" s="26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8"/>
      <c r="X5573" s="28"/>
      <c r="Y5573" s="28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28"/>
      <c r="AS5573" s="28"/>
      <c r="AT5573" s="28"/>
    </row>
    <row r="5574">
      <c r="A5574" s="14"/>
      <c r="B5574" s="15"/>
      <c r="C5574" s="16"/>
      <c r="D5574" s="15"/>
      <c r="F5574" s="15"/>
      <c r="G5574" s="26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8"/>
      <c r="X5574" s="28"/>
      <c r="Y5574" s="28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28"/>
      <c r="AS5574" s="28"/>
      <c r="AT5574" s="28"/>
    </row>
    <row r="5575">
      <c r="A5575" s="14"/>
      <c r="B5575" s="15"/>
      <c r="C5575" s="16"/>
      <c r="D5575" s="15"/>
      <c r="F5575" s="15"/>
      <c r="G5575" s="26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8"/>
      <c r="X5575" s="28"/>
      <c r="Y5575" s="28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28"/>
      <c r="AS5575" s="28"/>
      <c r="AT5575" s="28"/>
    </row>
    <row r="5576">
      <c r="A5576" s="14"/>
      <c r="B5576" s="15"/>
      <c r="C5576" s="16"/>
      <c r="D5576" s="15"/>
      <c r="F5576" s="15"/>
      <c r="G5576" s="26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8"/>
      <c r="X5576" s="28"/>
      <c r="Y5576" s="28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28"/>
      <c r="AS5576" s="28"/>
      <c r="AT5576" s="28"/>
    </row>
    <row r="5577">
      <c r="A5577" s="14"/>
      <c r="B5577" s="15"/>
      <c r="C5577" s="16"/>
      <c r="D5577" s="15"/>
      <c r="F5577" s="15"/>
      <c r="G5577" s="26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8"/>
      <c r="X5577" s="28"/>
      <c r="Y5577" s="28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28"/>
      <c r="AS5577" s="28"/>
      <c r="AT5577" s="28"/>
    </row>
    <row r="5578">
      <c r="A5578" s="14"/>
      <c r="B5578" s="15"/>
      <c r="C5578" s="16"/>
      <c r="D5578" s="15"/>
      <c r="F5578" s="15"/>
      <c r="G5578" s="26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8"/>
      <c r="X5578" s="28"/>
      <c r="Y5578" s="28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28"/>
      <c r="AS5578" s="28"/>
      <c r="AT5578" s="28"/>
    </row>
    <row r="5579">
      <c r="A5579" s="14"/>
      <c r="B5579" s="15"/>
      <c r="C5579" s="16"/>
      <c r="D5579" s="15"/>
      <c r="F5579" s="15"/>
      <c r="G5579" s="26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8"/>
      <c r="X5579" s="28"/>
      <c r="Y5579" s="28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28"/>
      <c r="AS5579" s="28"/>
      <c r="AT5579" s="28"/>
    </row>
    <row r="5580">
      <c r="A5580" s="14"/>
      <c r="B5580" s="15"/>
      <c r="C5580" s="16"/>
      <c r="D5580" s="15"/>
      <c r="F5580" s="15"/>
      <c r="G5580" s="26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8"/>
      <c r="X5580" s="28"/>
      <c r="Y5580" s="28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28"/>
      <c r="AS5580" s="28"/>
      <c r="AT5580" s="28"/>
    </row>
    <row r="5581">
      <c r="A5581" s="14"/>
      <c r="B5581" s="15"/>
      <c r="C5581" s="16"/>
      <c r="D5581" s="15"/>
      <c r="F5581" s="15"/>
      <c r="G5581" s="26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8"/>
      <c r="X5581" s="28"/>
      <c r="Y5581" s="28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28"/>
      <c r="AS5581" s="28"/>
      <c r="AT5581" s="28"/>
    </row>
    <row r="5582">
      <c r="A5582" s="14"/>
      <c r="B5582" s="15"/>
      <c r="C5582" s="16"/>
      <c r="D5582" s="15"/>
      <c r="F5582" s="15"/>
      <c r="G5582" s="26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8"/>
      <c r="X5582" s="28"/>
      <c r="Y5582" s="28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28"/>
      <c r="AS5582" s="28"/>
      <c r="AT5582" s="28"/>
    </row>
    <row r="5583">
      <c r="A5583" s="14"/>
      <c r="B5583" s="15"/>
      <c r="C5583" s="16"/>
      <c r="D5583" s="15"/>
      <c r="F5583" s="15"/>
      <c r="G5583" s="26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28"/>
      <c r="AS5583" s="28"/>
      <c r="AT5583" s="28"/>
    </row>
    <row r="5584">
      <c r="A5584" s="14"/>
      <c r="B5584" s="15"/>
      <c r="C5584" s="16"/>
      <c r="D5584" s="15"/>
      <c r="F5584" s="15"/>
      <c r="G5584" s="26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28"/>
      <c r="AS5584" s="28"/>
      <c r="AT5584" s="28"/>
    </row>
    <row r="5585">
      <c r="A5585" s="14"/>
      <c r="B5585" s="15"/>
      <c r="C5585" s="16"/>
      <c r="D5585" s="15"/>
      <c r="F5585" s="15"/>
      <c r="G5585" s="26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8"/>
      <c r="X5585" s="28"/>
      <c r="Y5585" s="28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28"/>
      <c r="AS5585" s="28"/>
      <c r="AT5585" s="28"/>
    </row>
    <row r="5586">
      <c r="A5586" s="14"/>
      <c r="B5586" s="15"/>
      <c r="C5586" s="16"/>
      <c r="D5586" s="15"/>
      <c r="F5586" s="15"/>
      <c r="G5586" s="26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8"/>
      <c r="X5586" s="28"/>
      <c r="Y5586" s="28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28"/>
      <c r="AS5586" s="28"/>
      <c r="AT5586" s="28"/>
    </row>
    <row r="5587">
      <c r="A5587" s="14"/>
      <c r="B5587" s="15"/>
      <c r="C5587" s="16"/>
      <c r="D5587" s="15"/>
      <c r="F5587" s="15"/>
      <c r="G5587" s="26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8"/>
      <c r="X5587" s="28"/>
      <c r="Y5587" s="28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28"/>
      <c r="AS5587" s="28"/>
      <c r="AT5587" s="28"/>
    </row>
    <row r="5588">
      <c r="A5588" s="14"/>
      <c r="B5588" s="15"/>
      <c r="C5588" s="16"/>
      <c r="D5588" s="15"/>
      <c r="F5588" s="15"/>
      <c r="G5588" s="26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8"/>
      <c r="X5588" s="28"/>
      <c r="Y5588" s="28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28"/>
      <c r="AS5588" s="28"/>
      <c r="AT5588" s="28"/>
    </row>
    <row r="5589">
      <c r="A5589" s="14"/>
      <c r="B5589" s="15"/>
      <c r="C5589" s="16"/>
      <c r="D5589" s="15"/>
      <c r="F5589" s="15"/>
      <c r="G5589" s="26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8"/>
      <c r="X5589" s="28"/>
      <c r="Y5589" s="28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28"/>
      <c r="AS5589" s="28"/>
      <c r="AT5589" s="28"/>
    </row>
    <row r="5590">
      <c r="A5590" s="14"/>
      <c r="B5590" s="15"/>
      <c r="C5590" s="16"/>
      <c r="D5590" s="15"/>
      <c r="F5590" s="15"/>
      <c r="G5590" s="26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8"/>
      <c r="X5590" s="28"/>
      <c r="Y5590" s="28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28"/>
      <c r="AS5590" s="28"/>
      <c r="AT5590" s="28"/>
    </row>
    <row r="5591">
      <c r="A5591" s="14"/>
      <c r="B5591" s="15"/>
      <c r="C5591" s="16"/>
      <c r="D5591" s="15"/>
      <c r="F5591" s="15"/>
      <c r="G5591" s="26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8"/>
      <c r="X5591" s="28"/>
      <c r="Y5591" s="28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28"/>
      <c r="AS5591" s="28"/>
      <c r="AT5591" s="28"/>
    </row>
    <row r="5592">
      <c r="A5592" s="14"/>
      <c r="B5592" s="15"/>
      <c r="C5592" s="16"/>
      <c r="D5592" s="15"/>
      <c r="F5592" s="15"/>
      <c r="G5592" s="26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8"/>
      <c r="X5592" s="28"/>
      <c r="Y5592" s="28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28"/>
      <c r="AS5592" s="28"/>
      <c r="AT5592" s="28"/>
    </row>
    <row r="5593">
      <c r="A5593" s="14"/>
      <c r="B5593" s="15"/>
      <c r="C5593" s="16"/>
      <c r="D5593" s="15"/>
      <c r="F5593" s="15"/>
      <c r="G5593" s="26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8"/>
      <c r="X5593" s="28"/>
      <c r="Y5593" s="28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28"/>
      <c r="AS5593" s="28"/>
      <c r="AT5593" s="28"/>
    </row>
    <row r="5594">
      <c r="A5594" s="14"/>
      <c r="B5594" s="15"/>
      <c r="C5594" s="16"/>
      <c r="D5594" s="15"/>
      <c r="F5594" s="15"/>
      <c r="G5594" s="26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8"/>
      <c r="X5594" s="28"/>
      <c r="Y5594" s="28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28"/>
      <c r="AS5594" s="28"/>
      <c r="AT5594" s="28"/>
    </row>
    <row r="5595">
      <c r="A5595" s="14"/>
      <c r="B5595" s="15"/>
      <c r="C5595" s="16"/>
      <c r="D5595" s="15"/>
      <c r="F5595" s="15"/>
      <c r="G5595" s="26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8"/>
      <c r="X5595" s="28"/>
      <c r="Y5595" s="28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28"/>
      <c r="AS5595" s="28"/>
      <c r="AT5595" s="28"/>
    </row>
    <row r="5596">
      <c r="A5596" s="14"/>
      <c r="B5596" s="15"/>
      <c r="C5596" s="16"/>
      <c r="D5596" s="15"/>
      <c r="F5596" s="15"/>
      <c r="G5596" s="26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28"/>
      <c r="AS5596" s="28"/>
      <c r="AT5596" s="28"/>
    </row>
    <row r="5597">
      <c r="A5597" s="14"/>
      <c r="B5597" s="15"/>
      <c r="C5597" s="16"/>
      <c r="D5597" s="15"/>
      <c r="F5597" s="15"/>
      <c r="G5597" s="26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8"/>
      <c r="X5597" s="28"/>
      <c r="Y5597" s="28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28"/>
      <c r="AS5597" s="28"/>
      <c r="AT5597" s="28"/>
    </row>
    <row r="5598">
      <c r="A5598" s="14"/>
      <c r="B5598" s="15"/>
      <c r="C5598" s="16"/>
      <c r="D5598" s="15"/>
      <c r="F5598" s="15"/>
      <c r="G5598" s="26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28"/>
      <c r="AS5598" s="28"/>
      <c r="AT5598" s="28"/>
    </row>
    <row r="5599">
      <c r="A5599" s="14"/>
      <c r="B5599" s="15"/>
      <c r="C5599" s="16"/>
      <c r="D5599" s="15"/>
      <c r="F5599" s="15"/>
      <c r="G5599" s="26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28"/>
      <c r="AS5599" s="28"/>
      <c r="AT5599" s="28"/>
    </row>
    <row r="5600">
      <c r="A5600" s="14"/>
      <c r="B5600" s="15"/>
      <c r="C5600" s="16"/>
      <c r="D5600" s="15"/>
      <c r="F5600" s="15"/>
      <c r="G5600" s="26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28"/>
      <c r="AS5600" s="28"/>
      <c r="AT5600" s="28"/>
    </row>
    <row r="5601">
      <c r="A5601" s="14"/>
      <c r="B5601" s="15"/>
      <c r="C5601" s="16"/>
      <c r="D5601" s="15"/>
      <c r="F5601" s="15"/>
      <c r="G5601" s="26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8"/>
      <c r="X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28"/>
      <c r="AS5601" s="28"/>
      <c r="AT5601" s="28"/>
    </row>
    <row r="5602">
      <c r="A5602" s="14"/>
      <c r="B5602" s="15"/>
      <c r="C5602" s="16"/>
      <c r="D5602" s="15"/>
      <c r="F5602" s="15"/>
      <c r="G5602" s="26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28"/>
      <c r="AS5602" s="28"/>
      <c r="AT5602" s="28"/>
    </row>
    <row r="5603">
      <c r="A5603" s="14"/>
      <c r="B5603" s="15"/>
      <c r="C5603" s="16"/>
      <c r="D5603" s="15"/>
      <c r="F5603" s="15"/>
      <c r="G5603" s="26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8"/>
      <c r="X5603" s="28"/>
      <c r="Y5603" s="28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28"/>
      <c r="AS5603" s="28"/>
      <c r="AT5603" s="28"/>
    </row>
    <row r="5604">
      <c r="A5604" s="14"/>
      <c r="B5604" s="15"/>
      <c r="C5604" s="16"/>
      <c r="D5604" s="15"/>
      <c r="F5604" s="15"/>
      <c r="G5604" s="26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28"/>
      <c r="AS5604" s="28"/>
      <c r="AT5604" s="28"/>
    </row>
    <row r="5605">
      <c r="A5605" s="14"/>
      <c r="B5605" s="15"/>
      <c r="C5605" s="16"/>
      <c r="D5605" s="15"/>
      <c r="F5605" s="15"/>
      <c r="G5605" s="26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8"/>
      <c r="X5605" s="28"/>
      <c r="Y5605" s="28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28"/>
      <c r="AS5605" s="28"/>
      <c r="AT5605" s="28"/>
    </row>
    <row r="5606">
      <c r="A5606" s="14"/>
      <c r="B5606" s="15"/>
      <c r="C5606" s="16"/>
      <c r="D5606" s="15"/>
      <c r="F5606" s="15"/>
      <c r="G5606" s="26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28"/>
      <c r="AS5606" s="28"/>
      <c r="AT5606" s="28"/>
    </row>
    <row r="5607">
      <c r="A5607" s="14"/>
      <c r="B5607" s="15"/>
      <c r="C5607" s="16"/>
      <c r="D5607" s="15"/>
      <c r="F5607" s="15"/>
      <c r="G5607" s="26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8"/>
      <c r="X5607" s="28"/>
      <c r="Y5607" s="28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28"/>
      <c r="AS5607" s="28"/>
      <c r="AT5607" s="28"/>
    </row>
    <row r="5608">
      <c r="A5608" s="14"/>
      <c r="B5608" s="15"/>
      <c r="C5608" s="16"/>
      <c r="D5608" s="15"/>
      <c r="F5608" s="15"/>
      <c r="G5608" s="26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8"/>
      <c r="X5608" s="28"/>
      <c r="Y5608" s="28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28"/>
      <c r="AS5608" s="28"/>
      <c r="AT5608" s="28"/>
    </row>
    <row r="5609">
      <c r="A5609" s="14"/>
      <c r="B5609" s="15"/>
      <c r="C5609" s="16"/>
      <c r="D5609" s="15"/>
      <c r="F5609" s="15"/>
      <c r="G5609" s="26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28"/>
      <c r="AS5609" s="28"/>
      <c r="AT5609" s="28"/>
    </row>
    <row r="5610">
      <c r="A5610" s="14"/>
      <c r="B5610" s="15"/>
      <c r="C5610" s="16"/>
      <c r="D5610" s="15"/>
      <c r="F5610" s="15"/>
      <c r="G5610" s="26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8"/>
      <c r="X5610" s="28"/>
      <c r="Y5610" s="28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28"/>
      <c r="AS5610" s="28"/>
      <c r="AT5610" s="28"/>
    </row>
    <row r="5611">
      <c r="A5611" s="14"/>
      <c r="B5611" s="15"/>
      <c r="C5611" s="16"/>
      <c r="D5611" s="15"/>
      <c r="F5611" s="15"/>
      <c r="G5611" s="26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28"/>
      <c r="AS5611" s="28"/>
      <c r="AT5611" s="28"/>
    </row>
    <row r="5612">
      <c r="A5612" s="14"/>
      <c r="B5612" s="15"/>
      <c r="C5612" s="16"/>
      <c r="D5612" s="15"/>
      <c r="F5612" s="15"/>
      <c r="G5612" s="26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8"/>
      <c r="X5612" s="28"/>
      <c r="Y5612" s="28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28"/>
      <c r="AS5612" s="28"/>
      <c r="AT5612" s="28"/>
    </row>
    <row r="5613">
      <c r="A5613" s="14"/>
      <c r="B5613" s="15"/>
      <c r="C5613" s="16"/>
      <c r="D5613" s="15"/>
      <c r="F5613" s="15"/>
      <c r="G5613" s="26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8"/>
      <c r="X5613" s="28"/>
      <c r="Y5613" s="28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28"/>
      <c r="AS5613" s="28"/>
      <c r="AT5613" s="28"/>
    </row>
    <row r="5614">
      <c r="A5614" s="14"/>
      <c r="B5614" s="15"/>
      <c r="C5614" s="16"/>
      <c r="D5614" s="15"/>
      <c r="F5614" s="15"/>
      <c r="G5614" s="26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28"/>
      <c r="AS5614" s="28"/>
      <c r="AT5614" s="28"/>
    </row>
    <row r="5615">
      <c r="A5615" s="14"/>
      <c r="B5615" s="15"/>
      <c r="C5615" s="16"/>
      <c r="D5615" s="15"/>
      <c r="F5615" s="15"/>
      <c r="G5615" s="26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28"/>
      <c r="AS5615" s="28"/>
      <c r="AT5615" s="28"/>
    </row>
    <row r="5616">
      <c r="A5616" s="14"/>
      <c r="B5616" s="15"/>
      <c r="C5616" s="16"/>
      <c r="D5616" s="15"/>
      <c r="F5616" s="15"/>
      <c r="G5616" s="26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28"/>
      <c r="AS5616" s="28"/>
      <c r="AT5616" s="28"/>
    </row>
    <row r="5617">
      <c r="A5617" s="14"/>
      <c r="B5617" s="15"/>
      <c r="C5617" s="16"/>
      <c r="D5617" s="15"/>
      <c r="F5617" s="15"/>
      <c r="G5617" s="26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8"/>
      <c r="X5617" s="28"/>
      <c r="Y5617" s="28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28"/>
      <c r="AS5617" s="28"/>
      <c r="AT5617" s="28"/>
    </row>
    <row r="5618">
      <c r="A5618" s="14"/>
      <c r="B5618" s="15"/>
      <c r="C5618" s="16"/>
      <c r="D5618" s="15"/>
      <c r="F5618" s="15"/>
      <c r="G5618" s="26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28"/>
      <c r="AS5618" s="28"/>
      <c r="AT5618" s="28"/>
    </row>
    <row r="5619">
      <c r="A5619" s="14"/>
      <c r="B5619" s="15"/>
      <c r="C5619" s="16"/>
      <c r="D5619" s="15"/>
      <c r="F5619" s="15"/>
      <c r="G5619" s="26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8"/>
      <c r="X5619" s="28"/>
      <c r="Y5619" s="28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28"/>
      <c r="AS5619" s="28"/>
      <c r="AT5619" s="28"/>
    </row>
    <row r="5620">
      <c r="A5620" s="14"/>
      <c r="B5620" s="15"/>
      <c r="C5620" s="16"/>
      <c r="D5620" s="15"/>
      <c r="F5620" s="15"/>
      <c r="G5620" s="26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8"/>
      <c r="X5620" s="28"/>
      <c r="Y5620" s="28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28"/>
      <c r="AS5620" s="28"/>
      <c r="AT5620" s="28"/>
    </row>
    <row r="5621">
      <c r="A5621" s="14"/>
      <c r="B5621" s="15"/>
      <c r="C5621" s="16"/>
      <c r="D5621" s="15"/>
      <c r="F5621" s="15"/>
      <c r="G5621" s="26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28"/>
      <c r="AS5621" s="28"/>
      <c r="AT5621" s="28"/>
    </row>
    <row r="5622">
      <c r="A5622" s="14"/>
      <c r="B5622" s="15"/>
      <c r="C5622" s="16"/>
      <c r="D5622" s="15"/>
      <c r="F5622" s="15"/>
      <c r="G5622" s="26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8"/>
      <c r="X5622" s="28"/>
      <c r="Y5622" s="28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28"/>
      <c r="AS5622" s="28"/>
      <c r="AT5622" s="28"/>
    </row>
    <row r="5623">
      <c r="A5623" s="14"/>
      <c r="B5623" s="15"/>
      <c r="C5623" s="16"/>
      <c r="D5623" s="15"/>
      <c r="F5623" s="15"/>
      <c r="G5623" s="26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28"/>
      <c r="AS5623" s="28"/>
      <c r="AT5623" s="28"/>
    </row>
    <row r="5624">
      <c r="A5624" s="14"/>
      <c r="B5624" s="15"/>
      <c r="C5624" s="16"/>
      <c r="D5624" s="15"/>
      <c r="F5624" s="15"/>
      <c r="G5624" s="26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8"/>
      <c r="X5624" s="28"/>
      <c r="Y5624" s="28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28"/>
      <c r="AS5624" s="28"/>
      <c r="AT5624" s="28"/>
    </row>
    <row r="5625">
      <c r="A5625" s="14"/>
      <c r="B5625" s="15"/>
      <c r="C5625" s="16"/>
      <c r="D5625" s="15"/>
      <c r="F5625" s="15"/>
      <c r="G5625" s="26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28"/>
      <c r="AS5625" s="28"/>
      <c r="AT5625" s="28"/>
    </row>
    <row r="5626">
      <c r="A5626" s="14"/>
      <c r="B5626" s="15"/>
      <c r="C5626" s="16"/>
      <c r="D5626" s="15"/>
      <c r="F5626" s="15"/>
      <c r="G5626" s="26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8"/>
      <c r="X5626" s="28"/>
      <c r="Y5626" s="28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28"/>
      <c r="AS5626" s="28"/>
      <c r="AT5626" s="28"/>
    </row>
    <row r="5627">
      <c r="A5627" s="14"/>
      <c r="B5627" s="15"/>
      <c r="C5627" s="16"/>
      <c r="D5627" s="15"/>
      <c r="F5627" s="15"/>
      <c r="G5627" s="26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8"/>
      <c r="X5627" s="28"/>
      <c r="Y5627" s="28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28"/>
      <c r="AS5627" s="28"/>
      <c r="AT5627" s="28"/>
    </row>
    <row r="5628">
      <c r="A5628" s="14"/>
      <c r="B5628" s="15"/>
      <c r="C5628" s="16"/>
      <c r="D5628" s="15"/>
      <c r="F5628" s="15"/>
      <c r="G5628" s="26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8"/>
      <c r="X5628" s="28"/>
      <c r="Y5628" s="28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28"/>
      <c r="AS5628" s="28"/>
      <c r="AT5628" s="28"/>
    </row>
    <row r="5629">
      <c r="A5629" s="14"/>
      <c r="B5629" s="15"/>
      <c r="C5629" s="16"/>
      <c r="D5629" s="15"/>
      <c r="F5629" s="15"/>
      <c r="G5629" s="26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8"/>
      <c r="X5629" s="28"/>
      <c r="Y5629" s="28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28"/>
      <c r="AS5629" s="28"/>
      <c r="AT5629" s="28"/>
    </row>
    <row r="5630">
      <c r="A5630" s="14"/>
      <c r="B5630" s="15"/>
      <c r="C5630" s="16"/>
      <c r="D5630" s="15"/>
      <c r="F5630" s="15"/>
      <c r="G5630" s="26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28"/>
      <c r="AS5630" s="28"/>
      <c r="AT5630" s="28"/>
    </row>
    <row r="5631">
      <c r="A5631" s="14"/>
      <c r="B5631" s="15"/>
      <c r="C5631" s="16"/>
      <c r="D5631" s="15"/>
      <c r="F5631" s="15"/>
      <c r="G5631" s="26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28"/>
      <c r="AS5631" s="28"/>
      <c r="AT5631" s="28"/>
    </row>
    <row r="5632">
      <c r="A5632" s="14"/>
      <c r="B5632" s="15"/>
      <c r="C5632" s="16"/>
      <c r="D5632" s="15"/>
      <c r="F5632" s="15"/>
      <c r="G5632" s="26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8"/>
      <c r="X5632" s="28"/>
      <c r="Y5632" s="28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28"/>
      <c r="AS5632" s="28"/>
      <c r="AT5632" s="28"/>
    </row>
    <row r="5633">
      <c r="A5633" s="14"/>
      <c r="B5633" s="15"/>
      <c r="C5633" s="16"/>
      <c r="D5633" s="15"/>
      <c r="F5633" s="15"/>
      <c r="G5633" s="26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28"/>
      <c r="AS5633" s="28"/>
      <c r="AT5633" s="28"/>
    </row>
    <row r="5634">
      <c r="A5634" s="14"/>
      <c r="B5634" s="15"/>
      <c r="C5634" s="16"/>
      <c r="D5634" s="15"/>
      <c r="F5634" s="15"/>
      <c r="G5634" s="26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8"/>
      <c r="X5634" s="28"/>
      <c r="Y5634" s="28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28"/>
      <c r="AS5634" s="28"/>
      <c r="AT5634" s="28"/>
    </row>
    <row r="5635">
      <c r="A5635" s="14"/>
      <c r="B5635" s="15"/>
      <c r="C5635" s="16"/>
      <c r="D5635" s="15"/>
      <c r="F5635" s="15"/>
      <c r="G5635" s="26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28"/>
      <c r="AS5635" s="28"/>
      <c r="AT5635" s="28"/>
    </row>
    <row r="5636">
      <c r="A5636" s="14"/>
      <c r="B5636" s="15"/>
      <c r="C5636" s="16"/>
      <c r="D5636" s="15"/>
      <c r="F5636" s="15"/>
      <c r="G5636" s="26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28"/>
      <c r="AS5636" s="28"/>
      <c r="AT5636" s="28"/>
    </row>
    <row r="5637">
      <c r="A5637" s="14"/>
      <c r="B5637" s="15"/>
      <c r="C5637" s="16"/>
      <c r="D5637" s="15"/>
      <c r="F5637" s="15"/>
      <c r="G5637" s="26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8"/>
      <c r="X5637" s="28"/>
      <c r="Y5637" s="28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28"/>
      <c r="AS5637" s="28"/>
      <c r="AT5637" s="28"/>
    </row>
    <row r="5638">
      <c r="A5638" s="14"/>
      <c r="B5638" s="15"/>
      <c r="C5638" s="16"/>
      <c r="D5638" s="15"/>
      <c r="F5638" s="15"/>
      <c r="G5638" s="26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8"/>
      <c r="X5638" s="28"/>
      <c r="Y5638" s="28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28"/>
      <c r="AS5638" s="28"/>
      <c r="AT5638" s="28"/>
    </row>
    <row r="5639">
      <c r="A5639" s="14"/>
      <c r="B5639" s="15"/>
      <c r="C5639" s="16"/>
      <c r="D5639" s="15"/>
      <c r="F5639" s="15"/>
      <c r="G5639" s="26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8"/>
      <c r="X5639" s="28"/>
      <c r="Y5639" s="28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28"/>
      <c r="AS5639" s="28"/>
      <c r="AT5639" s="28"/>
    </row>
    <row r="5640">
      <c r="A5640" s="14"/>
      <c r="B5640" s="15"/>
      <c r="C5640" s="16"/>
      <c r="D5640" s="15"/>
      <c r="F5640" s="15"/>
      <c r="G5640" s="26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28"/>
      <c r="AS5640" s="28"/>
      <c r="AT5640" s="28"/>
    </row>
    <row r="5641">
      <c r="A5641" s="14"/>
      <c r="B5641" s="15"/>
      <c r="C5641" s="16"/>
      <c r="D5641" s="15"/>
      <c r="F5641" s="15"/>
      <c r="G5641" s="26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8"/>
      <c r="X5641" s="28"/>
      <c r="Y5641" s="28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28"/>
      <c r="AS5641" s="28"/>
      <c r="AT5641" s="28"/>
    </row>
    <row r="5642">
      <c r="A5642" s="14"/>
      <c r="B5642" s="15"/>
      <c r="C5642" s="16"/>
      <c r="D5642" s="15"/>
      <c r="F5642" s="15"/>
      <c r="G5642" s="26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28"/>
      <c r="AS5642" s="28"/>
      <c r="AT5642" s="28"/>
    </row>
    <row r="5643">
      <c r="A5643" s="14"/>
      <c r="B5643" s="15"/>
      <c r="C5643" s="16"/>
      <c r="D5643" s="15"/>
      <c r="F5643" s="15"/>
      <c r="G5643" s="26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28"/>
      <c r="AS5643" s="28"/>
      <c r="AT5643" s="28"/>
    </row>
    <row r="5644">
      <c r="A5644" s="14"/>
      <c r="B5644" s="15"/>
      <c r="C5644" s="16"/>
      <c r="D5644" s="15"/>
      <c r="F5644" s="15"/>
      <c r="G5644" s="26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28"/>
      <c r="AS5644" s="28"/>
      <c r="AT5644" s="28"/>
    </row>
    <row r="5645">
      <c r="A5645" s="14"/>
      <c r="B5645" s="15"/>
      <c r="C5645" s="16"/>
      <c r="D5645" s="15"/>
      <c r="F5645" s="15"/>
      <c r="G5645" s="26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8"/>
      <c r="X5645" s="28"/>
      <c r="Y5645" s="28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28"/>
      <c r="AS5645" s="28"/>
      <c r="AT5645" s="28"/>
    </row>
    <row r="5646">
      <c r="A5646" s="14"/>
      <c r="B5646" s="15"/>
      <c r="C5646" s="16"/>
      <c r="D5646" s="15"/>
      <c r="F5646" s="15"/>
      <c r="G5646" s="26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8"/>
      <c r="X5646" s="28"/>
      <c r="Y5646" s="28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28"/>
      <c r="AS5646" s="28"/>
      <c r="AT5646" s="28"/>
    </row>
    <row r="5647">
      <c r="A5647" s="14"/>
      <c r="B5647" s="15"/>
      <c r="C5647" s="16"/>
      <c r="D5647" s="15"/>
      <c r="F5647" s="15"/>
      <c r="G5647" s="26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28"/>
      <c r="AS5647" s="28"/>
      <c r="AT5647" s="28"/>
    </row>
    <row r="5648">
      <c r="A5648" s="14"/>
      <c r="B5648" s="15"/>
      <c r="C5648" s="16"/>
      <c r="D5648" s="15"/>
      <c r="F5648" s="15"/>
      <c r="G5648" s="26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8"/>
      <c r="X5648" s="28"/>
      <c r="Y5648" s="28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28"/>
      <c r="AS5648" s="28"/>
      <c r="AT5648" s="28"/>
    </row>
    <row r="5649">
      <c r="A5649" s="14"/>
      <c r="B5649" s="15"/>
      <c r="C5649" s="16"/>
      <c r="D5649" s="15"/>
      <c r="F5649" s="15"/>
      <c r="G5649" s="26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8"/>
      <c r="X5649" s="28"/>
      <c r="Y5649" s="28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28"/>
      <c r="AS5649" s="28"/>
      <c r="AT5649" s="28"/>
    </row>
    <row r="5650">
      <c r="A5650" s="14"/>
      <c r="B5650" s="15"/>
      <c r="C5650" s="16"/>
      <c r="D5650" s="15"/>
      <c r="F5650" s="15"/>
      <c r="G5650" s="26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8"/>
      <c r="X5650" s="28"/>
      <c r="Y5650" s="28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28"/>
      <c r="AS5650" s="28"/>
      <c r="AT5650" s="28"/>
    </row>
    <row r="5651">
      <c r="A5651" s="14"/>
      <c r="B5651" s="15"/>
      <c r="C5651" s="16"/>
      <c r="D5651" s="15"/>
      <c r="F5651" s="15"/>
      <c r="G5651" s="26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8"/>
      <c r="X5651" s="28"/>
      <c r="Y5651" s="28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28"/>
      <c r="AS5651" s="28"/>
      <c r="AT5651" s="28"/>
    </row>
    <row r="5652">
      <c r="A5652" s="14"/>
      <c r="B5652" s="15"/>
      <c r="C5652" s="16"/>
      <c r="D5652" s="15"/>
      <c r="F5652" s="15"/>
      <c r="G5652" s="26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8"/>
      <c r="X5652" s="28"/>
      <c r="Y5652" s="28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28"/>
      <c r="AS5652" s="28"/>
      <c r="AT5652" s="28"/>
    </row>
    <row r="5653">
      <c r="A5653" s="14"/>
      <c r="B5653" s="15"/>
      <c r="C5653" s="16"/>
      <c r="D5653" s="15"/>
      <c r="F5653" s="15"/>
      <c r="G5653" s="26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8"/>
      <c r="X5653" s="28"/>
      <c r="Y5653" s="28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28"/>
      <c r="AS5653" s="28"/>
      <c r="AT5653" s="28"/>
    </row>
    <row r="5654">
      <c r="A5654" s="14"/>
      <c r="B5654" s="15"/>
      <c r="C5654" s="16"/>
      <c r="D5654" s="15"/>
      <c r="F5654" s="15"/>
      <c r="G5654" s="26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28"/>
      <c r="AS5654" s="28"/>
      <c r="AT5654" s="28"/>
    </row>
    <row r="5655">
      <c r="A5655" s="14"/>
      <c r="B5655" s="15"/>
      <c r="C5655" s="16"/>
      <c r="D5655" s="15"/>
      <c r="F5655" s="15"/>
      <c r="G5655" s="26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8"/>
      <c r="X5655" s="28"/>
      <c r="Y5655" s="28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28"/>
      <c r="AS5655" s="28"/>
      <c r="AT5655" s="28"/>
    </row>
    <row r="5656">
      <c r="A5656" s="14"/>
      <c r="B5656" s="15"/>
      <c r="C5656" s="16"/>
      <c r="D5656" s="15"/>
      <c r="F5656" s="15"/>
      <c r="G5656" s="26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8"/>
      <c r="X5656" s="28"/>
      <c r="Y5656" s="28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28"/>
      <c r="AS5656" s="28"/>
      <c r="AT5656" s="28"/>
    </row>
    <row r="5657">
      <c r="A5657" s="14"/>
      <c r="B5657" s="15"/>
      <c r="C5657" s="16"/>
      <c r="D5657" s="15"/>
      <c r="F5657" s="15"/>
      <c r="G5657" s="26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8"/>
      <c r="X5657" s="28"/>
      <c r="Y5657" s="28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28"/>
      <c r="AS5657" s="28"/>
      <c r="AT5657" s="28"/>
    </row>
    <row r="5658">
      <c r="A5658" s="14"/>
      <c r="B5658" s="15"/>
      <c r="C5658" s="16"/>
      <c r="D5658" s="15"/>
      <c r="F5658" s="15"/>
      <c r="G5658" s="26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28"/>
      <c r="AS5658" s="28"/>
      <c r="AT5658" s="28"/>
    </row>
    <row r="5659">
      <c r="A5659" s="14"/>
      <c r="B5659" s="15"/>
      <c r="C5659" s="16"/>
      <c r="D5659" s="15"/>
      <c r="F5659" s="15"/>
      <c r="G5659" s="26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  <c r="AF5659" s="28"/>
      <c r="AG5659" s="28"/>
      <c r="AH5659" s="28"/>
      <c r="AI5659" s="28"/>
      <c r="AJ5659" s="28"/>
      <c r="AK5659" s="28"/>
      <c r="AL5659" s="28"/>
      <c r="AM5659" s="28"/>
      <c r="AN5659" s="28"/>
      <c r="AO5659" s="28"/>
      <c r="AP5659" s="28"/>
      <c r="AQ5659" s="28"/>
      <c r="AR5659" s="28"/>
      <c r="AS5659" s="28"/>
      <c r="AT5659" s="28"/>
    </row>
    <row r="5660">
      <c r="A5660" s="14"/>
      <c r="B5660" s="15"/>
      <c r="C5660" s="16"/>
      <c r="D5660" s="15"/>
      <c r="F5660" s="15"/>
      <c r="G5660" s="26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8"/>
      <c r="X5660" s="28"/>
      <c r="Y5660" s="28"/>
      <c r="Z5660" s="28"/>
      <c r="AA5660" s="28"/>
      <c r="AB5660" s="28"/>
      <c r="AC5660" s="28"/>
      <c r="AD5660" s="28"/>
      <c r="AE5660" s="28"/>
      <c r="AF5660" s="28"/>
      <c r="AG5660" s="28"/>
      <c r="AH5660" s="28"/>
      <c r="AI5660" s="28"/>
      <c r="AJ5660" s="28"/>
      <c r="AK5660" s="28"/>
      <c r="AL5660" s="28"/>
      <c r="AM5660" s="28"/>
      <c r="AN5660" s="28"/>
      <c r="AO5660" s="28"/>
      <c r="AP5660" s="28"/>
      <c r="AQ5660" s="28"/>
      <c r="AR5660" s="28"/>
      <c r="AS5660" s="28"/>
      <c r="AT5660" s="28"/>
    </row>
    <row r="5661">
      <c r="A5661" s="14"/>
      <c r="B5661" s="15"/>
      <c r="C5661" s="16"/>
      <c r="D5661" s="15"/>
      <c r="F5661" s="15"/>
      <c r="G5661" s="26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8"/>
      <c r="X5661" s="28"/>
      <c r="Y5661" s="28"/>
      <c r="Z5661" s="28"/>
      <c r="AA5661" s="28"/>
      <c r="AB5661" s="28"/>
      <c r="AC5661" s="28"/>
      <c r="AD5661" s="28"/>
      <c r="AE5661" s="28"/>
      <c r="AF5661" s="28"/>
      <c r="AG5661" s="28"/>
      <c r="AH5661" s="28"/>
      <c r="AI5661" s="28"/>
      <c r="AJ5661" s="28"/>
      <c r="AK5661" s="28"/>
      <c r="AL5661" s="28"/>
      <c r="AM5661" s="28"/>
      <c r="AN5661" s="28"/>
      <c r="AO5661" s="28"/>
      <c r="AP5661" s="28"/>
      <c r="AQ5661" s="28"/>
      <c r="AR5661" s="28"/>
      <c r="AS5661" s="28"/>
      <c r="AT5661" s="28"/>
    </row>
    <row r="5662">
      <c r="A5662" s="14"/>
      <c r="B5662" s="15"/>
      <c r="C5662" s="16"/>
      <c r="D5662" s="15"/>
      <c r="F5662" s="15"/>
      <c r="G5662" s="26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8"/>
      <c r="X5662" s="28"/>
      <c r="Y5662" s="28"/>
      <c r="Z5662" s="28"/>
      <c r="AA5662" s="28"/>
      <c r="AB5662" s="28"/>
      <c r="AC5662" s="28"/>
      <c r="AD5662" s="28"/>
      <c r="AE5662" s="28"/>
      <c r="AF5662" s="28"/>
      <c r="AG5662" s="28"/>
      <c r="AH5662" s="28"/>
      <c r="AI5662" s="28"/>
      <c r="AJ5662" s="28"/>
      <c r="AK5662" s="28"/>
      <c r="AL5662" s="28"/>
      <c r="AM5662" s="28"/>
      <c r="AN5662" s="28"/>
      <c r="AO5662" s="28"/>
      <c r="AP5662" s="28"/>
      <c r="AQ5662" s="28"/>
      <c r="AR5662" s="28"/>
      <c r="AS5662" s="28"/>
      <c r="AT5662" s="28"/>
    </row>
    <row r="5663">
      <c r="A5663" s="14"/>
      <c r="B5663" s="15"/>
      <c r="C5663" s="16"/>
      <c r="D5663" s="15"/>
      <c r="F5663" s="15"/>
      <c r="G5663" s="26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  <c r="AF5663" s="28"/>
      <c r="AG5663" s="28"/>
      <c r="AH5663" s="28"/>
      <c r="AI5663" s="28"/>
      <c r="AJ5663" s="28"/>
      <c r="AK5663" s="28"/>
      <c r="AL5663" s="28"/>
      <c r="AM5663" s="28"/>
      <c r="AN5663" s="28"/>
      <c r="AO5663" s="28"/>
      <c r="AP5663" s="28"/>
      <c r="AQ5663" s="28"/>
      <c r="AR5663" s="28"/>
      <c r="AS5663" s="28"/>
      <c r="AT5663" s="28"/>
    </row>
    <row r="5664">
      <c r="A5664" s="14"/>
      <c r="B5664" s="15"/>
      <c r="C5664" s="16"/>
      <c r="D5664" s="15"/>
      <c r="F5664" s="15"/>
      <c r="G5664" s="26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8"/>
      <c r="X5664" s="28"/>
      <c r="Y5664" s="28"/>
      <c r="Z5664" s="28"/>
      <c r="AA5664" s="28"/>
      <c r="AB5664" s="28"/>
      <c r="AC5664" s="28"/>
      <c r="AD5664" s="28"/>
      <c r="AE5664" s="28"/>
      <c r="AF5664" s="28"/>
      <c r="AG5664" s="28"/>
      <c r="AH5664" s="28"/>
      <c r="AI5664" s="28"/>
      <c r="AJ5664" s="28"/>
      <c r="AK5664" s="28"/>
      <c r="AL5664" s="28"/>
      <c r="AM5664" s="28"/>
      <c r="AN5664" s="28"/>
      <c r="AO5664" s="28"/>
      <c r="AP5664" s="28"/>
      <c r="AQ5664" s="28"/>
      <c r="AR5664" s="28"/>
      <c r="AS5664" s="28"/>
      <c r="AT5664" s="28"/>
    </row>
    <row r="5665">
      <c r="A5665" s="14"/>
      <c r="B5665" s="15"/>
      <c r="C5665" s="16"/>
      <c r="D5665" s="15"/>
      <c r="F5665" s="15"/>
      <c r="G5665" s="26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8"/>
      <c r="X5665" s="28"/>
      <c r="Y5665" s="28"/>
      <c r="Z5665" s="28"/>
      <c r="AA5665" s="28"/>
      <c r="AB5665" s="28"/>
      <c r="AC5665" s="28"/>
      <c r="AD5665" s="28"/>
      <c r="AE5665" s="28"/>
      <c r="AF5665" s="28"/>
      <c r="AG5665" s="28"/>
      <c r="AH5665" s="28"/>
      <c r="AI5665" s="28"/>
      <c r="AJ5665" s="28"/>
      <c r="AK5665" s="28"/>
      <c r="AL5665" s="28"/>
      <c r="AM5665" s="28"/>
      <c r="AN5665" s="28"/>
      <c r="AO5665" s="28"/>
      <c r="AP5665" s="28"/>
      <c r="AQ5665" s="28"/>
      <c r="AR5665" s="28"/>
      <c r="AS5665" s="28"/>
      <c r="AT5665" s="28"/>
    </row>
    <row r="5666">
      <c r="A5666" s="14"/>
      <c r="B5666" s="15"/>
      <c r="C5666" s="16"/>
      <c r="D5666" s="15"/>
      <c r="F5666" s="15"/>
      <c r="G5666" s="26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8"/>
      <c r="X5666" s="28"/>
      <c r="Y5666" s="28"/>
      <c r="Z5666" s="28"/>
      <c r="AA5666" s="28"/>
      <c r="AB5666" s="28"/>
      <c r="AC5666" s="28"/>
      <c r="AD5666" s="28"/>
      <c r="AE5666" s="28"/>
      <c r="AF5666" s="28"/>
      <c r="AG5666" s="28"/>
      <c r="AH5666" s="28"/>
      <c r="AI5666" s="28"/>
      <c r="AJ5666" s="28"/>
      <c r="AK5666" s="28"/>
      <c r="AL5666" s="28"/>
      <c r="AM5666" s="28"/>
      <c r="AN5666" s="28"/>
      <c r="AO5666" s="28"/>
      <c r="AP5666" s="28"/>
      <c r="AQ5666" s="28"/>
      <c r="AR5666" s="28"/>
      <c r="AS5666" s="28"/>
      <c r="AT5666" s="28"/>
    </row>
    <row r="5667">
      <c r="A5667" s="14"/>
      <c r="B5667" s="15"/>
      <c r="C5667" s="16"/>
      <c r="D5667" s="15"/>
      <c r="F5667" s="15"/>
      <c r="G5667" s="26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8"/>
      <c r="X5667" s="28"/>
      <c r="Y5667" s="28"/>
      <c r="Z5667" s="28"/>
      <c r="AA5667" s="28"/>
      <c r="AB5667" s="28"/>
      <c r="AC5667" s="28"/>
      <c r="AD5667" s="28"/>
      <c r="AE5667" s="28"/>
      <c r="AF5667" s="28"/>
      <c r="AG5667" s="28"/>
      <c r="AH5667" s="28"/>
      <c r="AI5667" s="28"/>
      <c r="AJ5667" s="28"/>
      <c r="AK5667" s="28"/>
      <c r="AL5667" s="28"/>
      <c r="AM5667" s="28"/>
      <c r="AN5667" s="28"/>
      <c r="AO5667" s="28"/>
      <c r="AP5667" s="28"/>
      <c r="AQ5667" s="28"/>
      <c r="AR5667" s="28"/>
      <c r="AS5667" s="28"/>
      <c r="AT5667" s="28"/>
    </row>
    <row r="5668">
      <c r="A5668" s="14"/>
      <c r="B5668" s="15"/>
      <c r="C5668" s="16"/>
      <c r="D5668" s="15"/>
      <c r="F5668" s="15"/>
      <c r="G5668" s="26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8"/>
      <c r="X5668" s="28"/>
      <c r="Y5668" s="28"/>
      <c r="Z5668" s="28"/>
      <c r="AA5668" s="28"/>
      <c r="AB5668" s="28"/>
      <c r="AC5668" s="28"/>
      <c r="AD5668" s="28"/>
      <c r="AE5668" s="28"/>
      <c r="AF5668" s="28"/>
      <c r="AG5668" s="28"/>
      <c r="AH5668" s="28"/>
      <c r="AI5668" s="28"/>
      <c r="AJ5668" s="28"/>
      <c r="AK5668" s="28"/>
      <c r="AL5668" s="28"/>
      <c r="AM5668" s="28"/>
      <c r="AN5668" s="28"/>
      <c r="AO5668" s="28"/>
      <c r="AP5668" s="28"/>
      <c r="AQ5668" s="28"/>
      <c r="AR5668" s="28"/>
      <c r="AS5668" s="28"/>
      <c r="AT5668" s="28"/>
    </row>
    <row r="5669">
      <c r="A5669" s="14"/>
      <c r="B5669" s="15"/>
      <c r="C5669" s="16"/>
      <c r="D5669" s="15"/>
      <c r="F5669" s="15"/>
      <c r="G5669" s="26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8"/>
      <c r="X5669" s="28"/>
      <c r="Y5669" s="28"/>
      <c r="Z5669" s="28"/>
      <c r="AA5669" s="28"/>
      <c r="AB5669" s="28"/>
      <c r="AC5669" s="28"/>
      <c r="AD5669" s="28"/>
      <c r="AE5669" s="28"/>
      <c r="AF5669" s="28"/>
      <c r="AG5669" s="28"/>
      <c r="AH5669" s="28"/>
      <c r="AI5669" s="28"/>
      <c r="AJ5669" s="28"/>
      <c r="AK5669" s="28"/>
      <c r="AL5669" s="28"/>
      <c r="AM5669" s="28"/>
      <c r="AN5669" s="28"/>
      <c r="AO5669" s="28"/>
      <c r="AP5669" s="28"/>
      <c r="AQ5669" s="28"/>
      <c r="AR5669" s="28"/>
      <c r="AS5669" s="28"/>
      <c r="AT5669" s="28"/>
    </row>
    <row r="5670">
      <c r="A5670" s="14"/>
      <c r="B5670" s="15"/>
      <c r="C5670" s="16"/>
      <c r="D5670" s="15"/>
      <c r="F5670" s="15"/>
      <c r="G5670" s="26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8"/>
      <c r="X5670" s="28"/>
      <c r="Y5670" s="28"/>
      <c r="Z5670" s="28"/>
      <c r="AA5670" s="28"/>
      <c r="AB5670" s="28"/>
      <c r="AC5670" s="28"/>
      <c r="AD5670" s="28"/>
      <c r="AE5670" s="28"/>
      <c r="AF5670" s="28"/>
      <c r="AG5670" s="28"/>
      <c r="AH5670" s="28"/>
      <c r="AI5670" s="28"/>
      <c r="AJ5670" s="28"/>
      <c r="AK5670" s="28"/>
      <c r="AL5670" s="28"/>
      <c r="AM5670" s="28"/>
      <c r="AN5670" s="28"/>
      <c r="AO5670" s="28"/>
      <c r="AP5670" s="28"/>
      <c r="AQ5670" s="28"/>
      <c r="AR5670" s="28"/>
      <c r="AS5670" s="28"/>
      <c r="AT5670" s="28"/>
    </row>
    <row r="5671">
      <c r="A5671" s="14"/>
      <c r="B5671" s="15"/>
      <c r="C5671" s="16"/>
      <c r="D5671" s="15"/>
      <c r="F5671" s="15"/>
      <c r="G5671" s="26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8"/>
      <c r="X5671" s="28"/>
      <c r="Y5671" s="28"/>
      <c r="Z5671" s="28"/>
      <c r="AA5671" s="28"/>
      <c r="AB5671" s="28"/>
      <c r="AC5671" s="28"/>
      <c r="AD5671" s="28"/>
      <c r="AE5671" s="28"/>
      <c r="AF5671" s="28"/>
      <c r="AG5671" s="28"/>
      <c r="AH5671" s="28"/>
      <c r="AI5671" s="28"/>
      <c r="AJ5671" s="28"/>
      <c r="AK5671" s="28"/>
      <c r="AL5671" s="28"/>
      <c r="AM5671" s="28"/>
      <c r="AN5671" s="28"/>
      <c r="AO5671" s="28"/>
      <c r="AP5671" s="28"/>
      <c r="AQ5671" s="28"/>
      <c r="AR5671" s="28"/>
      <c r="AS5671" s="28"/>
      <c r="AT5671" s="28"/>
    </row>
    <row r="5672">
      <c r="A5672" s="14"/>
      <c r="B5672" s="15"/>
      <c r="C5672" s="16"/>
      <c r="D5672" s="15"/>
      <c r="F5672" s="15"/>
      <c r="G5672" s="26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  <c r="AF5672" s="28"/>
      <c r="AG5672" s="28"/>
      <c r="AH5672" s="28"/>
      <c r="AI5672" s="28"/>
      <c r="AJ5672" s="28"/>
      <c r="AK5672" s="28"/>
      <c r="AL5672" s="28"/>
      <c r="AM5672" s="28"/>
      <c r="AN5672" s="28"/>
      <c r="AO5672" s="28"/>
      <c r="AP5672" s="28"/>
      <c r="AQ5672" s="28"/>
      <c r="AR5672" s="28"/>
      <c r="AS5672" s="28"/>
      <c r="AT5672" s="28"/>
    </row>
    <row r="5673">
      <c r="A5673" s="14"/>
      <c r="B5673" s="15"/>
      <c r="C5673" s="16"/>
      <c r="D5673" s="15"/>
      <c r="F5673" s="15"/>
      <c r="G5673" s="26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8"/>
      <c r="X5673" s="28"/>
      <c r="Y5673" s="28"/>
      <c r="Z5673" s="28"/>
      <c r="AA5673" s="28"/>
      <c r="AB5673" s="28"/>
      <c r="AC5673" s="28"/>
      <c r="AD5673" s="28"/>
      <c r="AE5673" s="28"/>
      <c r="AF5673" s="28"/>
      <c r="AG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28"/>
      <c r="AS5673" s="28"/>
      <c r="AT5673" s="28"/>
    </row>
    <row r="5674">
      <c r="A5674" s="14"/>
      <c r="B5674" s="15"/>
      <c r="C5674" s="16"/>
      <c r="D5674" s="15"/>
      <c r="F5674" s="15"/>
      <c r="G5674" s="26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8"/>
      <c r="X5674" s="28"/>
      <c r="Y5674" s="28"/>
      <c r="Z5674" s="28"/>
      <c r="AA5674" s="28"/>
      <c r="AB5674" s="28"/>
      <c r="AC5674" s="28"/>
      <c r="AD5674" s="28"/>
      <c r="AE5674" s="28"/>
      <c r="AF5674" s="28"/>
      <c r="AG5674" s="28"/>
      <c r="AH5674" s="28"/>
      <c r="AI5674" s="28"/>
      <c r="AJ5674" s="28"/>
      <c r="AK5674" s="28"/>
      <c r="AL5674" s="28"/>
      <c r="AM5674" s="28"/>
      <c r="AN5674" s="28"/>
      <c r="AO5674" s="28"/>
      <c r="AP5674" s="28"/>
      <c r="AQ5674" s="28"/>
      <c r="AR5674" s="28"/>
      <c r="AS5674" s="28"/>
      <c r="AT5674" s="28"/>
    </row>
    <row r="5675">
      <c r="A5675" s="14"/>
      <c r="B5675" s="15"/>
      <c r="C5675" s="16"/>
      <c r="D5675" s="15"/>
      <c r="F5675" s="15"/>
      <c r="G5675" s="26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  <c r="Z5675" s="28"/>
      <c r="AA5675" s="28"/>
      <c r="AB5675" s="28"/>
      <c r="AC5675" s="28"/>
      <c r="AD5675" s="28"/>
      <c r="AE5675" s="28"/>
      <c r="AF5675" s="28"/>
      <c r="AG5675" s="28"/>
      <c r="AH5675" s="28"/>
      <c r="AI5675" s="28"/>
      <c r="AJ5675" s="28"/>
      <c r="AK5675" s="28"/>
      <c r="AL5675" s="28"/>
      <c r="AM5675" s="28"/>
      <c r="AN5675" s="28"/>
      <c r="AO5675" s="28"/>
      <c r="AP5675" s="28"/>
      <c r="AQ5675" s="28"/>
      <c r="AR5675" s="28"/>
      <c r="AS5675" s="28"/>
      <c r="AT5675" s="28"/>
    </row>
    <row r="5676">
      <c r="A5676" s="14"/>
      <c r="B5676" s="15"/>
      <c r="C5676" s="16"/>
      <c r="D5676" s="15"/>
      <c r="F5676" s="15"/>
      <c r="G5676" s="26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8"/>
      <c r="X5676" s="28"/>
      <c r="Y5676" s="28"/>
      <c r="Z5676" s="28"/>
      <c r="AA5676" s="28"/>
      <c r="AB5676" s="28"/>
      <c r="AC5676" s="28"/>
      <c r="AD5676" s="28"/>
      <c r="AE5676" s="28"/>
      <c r="AF5676" s="28"/>
      <c r="AG5676" s="28"/>
      <c r="AH5676" s="28"/>
      <c r="AI5676" s="28"/>
      <c r="AJ5676" s="28"/>
      <c r="AK5676" s="28"/>
      <c r="AL5676" s="28"/>
      <c r="AM5676" s="28"/>
      <c r="AN5676" s="28"/>
      <c r="AO5676" s="28"/>
      <c r="AP5676" s="28"/>
      <c r="AQ5676" s="28"/>
      <c r="AR5676" s="28"/>
      <c r="AS5676" s="28"/>
      <c r="AT5676" s="28"/>
    </row>
    <row r="5677">
      <c r="A5677" s="14"/>
      <c r="B5677" s="15"/>
      <c r="C5677" s="16"/>
      <c r="D5677" s="15"/>
      <c r="F5677" s="15"/>
      <c r="G5677" s="26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8"/>
      <c r="X5677" s="28"/>
      <c r="Y5677" s="28"/>
      <c r="Z5677" s="28"/>
      <c r="AA5677" s="28"/>
      <c r="AB5677" s="28"/>
      <c r="AC5677" s="28"/>
      <c r="AD5677" s="28"/>
      <c r="AE5677" s="28"/>
      <c r="AF5677" s="28"/>
      <c r="AG5677" s="28"/>
      <c r="AH5677" s="28"/>
      <c r="AI5677" s="28"/>
      <c r="AJ5677" s="28"/>
      <c r="AK5677" s="28"/>
      <c r="AL5677" s="28"/>
      <c r="AM5677" s="28"/>
      <c r="AN5677" s="28"/>
      <c r="AO5677" s="28"/>
      <c r="AP5677" s="28"/>
      <c r="AQ5677" s="28"/>
      <c r="AR5677" s="28"/>
      <c r="AS5677" s="28"/>
      <c r="AT5677" s="28"/>
    </row>
    <row r="5678">
      <c r="A5678" s="14"/>
      <c r="B5678" s="15"/>
      <c r="C5678" s="16"/>
      <c r="D5678" s="15"/>
      <c r="F5678" s="15"/>
      <c r="G5678" s="26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  <c r="AF5678" s="28"/>
      <c r="AG5678" s="28"/>
      <c r="AH5678" s="28"/>
      <c r="AI5678" s="28"/>
      <c r="AJ5678" s="28"/>
      <c r="AK5678" s="28"/>
      <c r="AL5678" s="28"/>
      <c r="AM5678" s="28"/>
      <c r="AN5678" s="28"/>
      <c r="AO5678" s="28"/>
      <c r="AP5678" s="28"/>
      <c r="AQ5678" s="28"/>
      <c r="AR5678" s="28"/>
      <c r="AS5678" s="28"/>
      <c r="AT5678" s="28"/>
    </row>
    <row r="5679">
      <c r="A5679" s="14"/>
      <c r="B5679" s="15"/>
      <c r="C5679" s="16"/>
      <c r="D5679" s="15"/>
      <c r="F5679" s="15"/>
      <c r="G5679" s="26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28"/>
      <c r="AO5679" s="28"/>
      <c r="AP5679" s="28"/>
      <c r="AQ5679" s="28"/>
      <c r="AR5679" s="28"/>
      <c r="AS5679" s="28"/>
      <c r="AT5679" s="28"/>
    </row>
    <row r="5680">
      <c r="A5680" s="14"/>
      <c r="B5680" s="15"/>
      <c r="C5680" s="16"/>
      <c r="D5680" s="15"/>
      <c r="F5680" s="15"/>
      <c r="G5680" s="26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8"/>
      <c r="X5680" s="28"/>
      <c r="Y5680" s="28"/>
      <c r="Z5680" s="28"/>
      <c r="AA5680" s="28"/>
      <c r="AB5680" s="28"/>
      <c r="AC5680" s="28"/>
      <c r="AD5680" s="28"/>
      <c r="AE5680" s="28"/>
      <c r="AF5680" s="28"/>
      <c r="AG5680" s="28"/>
      <c r="AH5680" s="28"/>
      <c r="AI5680" s="28"/>
      <c r="AJ5680" s="28"/>
      <c r="AK5680" s="28"/>
      <c r="AL5680" s="28"/>
      <c r="AM5680" s="28"/>
      <c r="AN5680" s="28"/>
      <c r="AO5680" s="28"/>
      <c r="AP5680" s="28"/>
      <c r="AQ5680" s="28"/>
      <c r="AR5680" s="28"/>
      <c r="AS5680" s="28"/>
      <c r="AT5680" s="28"/>
    </row>
    <row r="5681">
      <c r="A5681" s="14"/>
      <c r="B5681" s="15"/>
      <c r="C5681" s="16"/>
      <c r="D5681" s="15"/>
      <c r="F5681" s="15"/>
      <c r="G5681" s="26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8"/>
      <c r="X5681" s="28"/>
      <c r="Y5681" s="28"/>
      <c r="Z5681" s="28"/>
      <c r="AA5681" s="28"/>
      <c r="AB5681" s="28"/>
      <c r="AC5681" s="28"/>
      <c r="AD5681" s="28"/>
      <c r="AE5681" s="28"/>
      <c r="AF5681" s="28"/>
      <c r="AG5681" s="28"/>
      <c r="AH5681" s="28"/>
      <c r="AI5681" s="28"/>
      <c r="AJ5681" s="28"/>
      <c r="AK5681" s="28"/>
      <c r="AL5681" s="28"/>
      <c r="AM5681" s="28"/>
      <c r="AN5681" s="28"/>
      <c r="AO5681" s="28"/>
      <c r="AP5681" s="28"/>
      <c r="AQ5681" s="28"/>
      <c r="AR5681" s="28"/>
      <c r="AS5681" s="28"/>
      <c r="AT5681" s="28"/>
    </row>
    <row r="5682">
      <c r="A5682" s="14"/>
      <c r="B5682" s="15"/>
      <c r="C5682" s="16"/>
      <c r="D5682" s="15"/>
      <c r="F5682" s="15"/>
      <c r="G5682" s="26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8"/>
      <c r="X5682" s="28"/>
      <c r="Y5682" s="28"/>
      <c r="Z5682" s="28"/>
      <c r="AA5682" s="28"/>
      <c r="AB5682" s="28"/>
      <c r="AC5682" s="28"/>
      <c r="AD5682" s="28"/>
      <c r="AE5682" s="28"/>
      <c r="AF5682" s="28"/>
      <c r="AG5682" s="28"/>
      <c r="AH5682" s="28"/>
      <c r="AI5682" s="28"/>
      <c r="AJ5682" s="28"/>
      <c r="AK5682" s="28"/>
      <c r="AL5682" s="28"/>
      <c r="AM5682" s="28"/>
      <c r="AN5682" s="28"/>
      <c r="AO5682" s="28"/>
      <c r="AP5682" s="28"/>
      <c r="AQ5682" s="28"/>
      <c r="AR5682" s="28"/>
      <c r="AS5682" s="28"/>
      <c r="AT5682" s="28"/>
    </row>
    <row r="5683">
      <c r="A5683" s="14"/>
      <c r="B5683" s="15"/>
      <c r="C5683" s="16"/>
      <c r="D5683" s="15"/>
      <c r="F5683" s="15"/>
      <c r="G5683" s="26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8"/>
      <c r="X5683" s="28"/>
      <c r="Y5683" s="28"/>
      <c r="Z5683" s="28"/>
      <c r="AA5683" s="28"/>
      <c r="AB5683" s="28"/>
      <c r="AC5683" s="28"/>
      <c r="AD5683" s="28"/>
      <c r="AE5683" s="28"/>
      <c r="AF5683" s="28"/>
      <c r="AG5683" s="28"/>
      <c r="AH5683" s="28"/>
      <c r="AI5683" s="28"/>
      <c r="AJ5683" s="28"/>
      <c r="AK5683" s="28"/>
      <c r="AL5683" s="28"/>
      <c r="AM5683" s="28"/>
      <c r="AN5683" s="28"/>
      <c r="AO5683" s="28"/>
      <c r="AP5683" s="28"/>
      <c r="AQ5683" s="28"/>
      <c r="AR5683" s="28"/>
      <c r="AS5683" s="28"/>
      <c r="AT5683" s="28"/>
    </row>
    <row r="5684">
      <c r="A5684" s="14"/>
      <c r="B5684" s="15"/>
      <c r="C5684" s="16"/>
      <c r="D5684" s="15"/>
      <c r="F5684" s="15"/>
      <c r="G5684" s="26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8"/>
      <c r="X5684" s="28"/>
      <c r="Y5684" s="28"/>
      <c r="Z5684" s="28"/>
      <c r="AA5684" s="28"/>
      <c r="AB5684" s="28"/>
      <c r="AC5684" s="28"/>
      <c r="AD5684" s="28"/>
      <c r="AE5684" s="28"/>
      <c r="AF5684" s="28"/>
      <c r="AG5684" s="28"/>
      <c r="AH5684" s="28"/>
      <c r="AI5684" s="28"/>
      <c r="AJ5684" s="28"/>
      <c r="AK5684" s="28"/>
      <c r="AL5684" s="28"/>
      <c r="AM5684" s="28"/>
      <c r="AN5684" s="28"/>
      <c r="AO5684" s="28"/>
      <c r="AP5684" s="28"/>
      <c r="AQ5684" s="28"/>
      <c r="AR5684" s="28"/>
      <c r="AS5684" s="28"/>
      <c r="AT5684" s="28"/>
    </row>
    <row r="5685">
      <c r="A5685" s="14"/>
      <c r="B5685" s="15"/>
      <c r="C5685" s="16"/>
      <c r="D5685" s="15"/>
      <c r="F5685" s="15"/>
      <c r="G5685" s="26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8"/>
      <c r="X5685" s="28"/>
      <c r="Y5685" s="28"/>
      <c r="Z5685" s="28"/>
      <c r="AA5685" s="28"/>
      <c r="AB5685" s="28"/>
      <c r="AC5685" s="28"/>
      <c r="AD5685" s="28"/>
      <c r="AE5685" s="28"/>
      <c r="AF5685" s="28"/>
      <c r="AG5685" s="28"/>
      <c r="AH5685" s="28"/>
      <c r="AI5685" s="28"/>
      <c r="AJ5685" s="28"/>
      <c r="AK5685" s="28"/>
      <c r="AL5685" s="28"/>
      <c r="AM5685" s="28"/>
      <c r="AN5685" s="28"/>
      <c r="AO5685" s="28"/>
      <c r="AP5685" s="28"/>
      <c r="AQ5685" s="28"/>
      <c r="AR5685" s="28"/>
      <c r="AS5685" s="28"/>
      <c r="AT5685" s="28"/>
    </row>
    <row r="5686">
      <c r="A5686" s="14"/>
      <c r="B5686" s="15"/>
      <c r="C5686" s="16"/>
      <c r="D5686" s="15"/>
      <c r="F5686" s="15"/>
      <c r="G5686" s="26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8"/>
      <c r="X5686" s="28"/>
      <c r="Y5686" s="28"/>
      <c r="Z5686" s="28"/>
      <c r="AA5686" s="28"/>
      <c r="AB5686" s="28"/>
      <c r="AC5686" s="28"/>
      <c r="AD5686" s="28"/>
      <c r="AE5686" s="28"/>
      <c r="AF5686" s="28"/>
      <c r="AG5686" s="28"/>
      <c r="AH5686" s="28"/>
      <c r="AI5686" s="28"/>
      <c r="AJ5686" s="28"/>
      <c r="AK5686" s="28"/>
      <c r="AL5686" s="28"/>
      <c r="AM5686" s="28"/>
      <c r="AN5686" s="28"/>
      <c r="AO5686" s="28"/>
      <c r="AP5686" s="28"/>
      <c r="AQ5686" s="28"/>
      <c r="AR5686" s="28"/>
      <c r="AS5686" s="28"/>
      <c r="AT5686" s="28"/>
    </row>
    <row r="5687">
      <c r="A5687" s="14"/>
      <c r="B5687" s="15"/>
      <c r="C5687" s="16"/>
      <c r="D5687" s="15"/>
      <c r="F5687" s="15"/>
      <c r="G5687" s="26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8"/>
      <c r="X5687" s="28"/>
      <c r="Y5687" s="28"/>
      <c r="Z5687" s="28"/>
      <c r="AA5687" s="28"/>
      <c r="AB5687" s="28"/>
      <c r="AC5687" s="28"/>
      <c r="AD5687" s="28"/>
      <c r="AE5687" s="28"/>
      <c r="AF5687" s="28"/>
      <c r="AG5687" s="28"/>
      <c r="AH5687" s="28"/>
      <c r="AI5687" s="28"/>
      <c r="AJ5687" s="28"/>
      <c r="AK5687" s="28"/>
      <c r="AL5687" s="28"/>
      <c r="AM5687" s="28"/>
      <c r="AN5687" s="28"/>
      <c r="AO5687" s="28"/>
      <c r="AP5687" s="28"/>
      <c r="AQ5687" s="28"/>
      <c r="AR5687" s="28"/>
      <c r="AS5687" s="28"/>
      <c r="AT5687" s="28"/>
    </row>
    <row r="5688">
      <c r="A5688" s="14"/>
      <c r="B5688" s="15"/>
      <c r="C5688" s="16"/>
      <c r="D5688" s="15"/>
      <c r="F5688" s="15"/>
      <c r="G5688" s="26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8"/>
      <c r="X5688" s="28"/>
      <c r="Y5688" s="28"/>
      <c r="Z5688" s="28"/>
      <c r="AA5688" s="28"/>
      <c r="AB5688" s="28"/>
      <c r="AC5688" s="28"/>
      <c r="AD5688" s="28"/>
      <c r="AE5688" s="28"/>
      <c r="AF5688" s="28"/>
      <c r="AG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28"/>
      <c r="AS5688" s="28"/>
      <c r="AT5688" s="28"/>
    </row>
    <row r="5689">
      <c r="A5689" s="14"/>
      <c r="B5689" s="15"/>
      <c r="C5689" s="16"/>
      <c r="D5689" s="15"/>
      <c r="F5689" s="15"/>
      <c r="G5689" s="26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8"/>
      <c r="X5689" s="28"/>
      <c r="Y5689" s="28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28"/>
      <c r="AS5689" s="28"/>
      <c r="AT5689" s="28"/>
    </row>
    <row r="5690">
      <c r="A5690" s="14"/>
      <c r="B5690" s="15"/>
      <c r="C5690" s="16"/>
      <c r="D5690" s="15"/>
      <c r="F5690" s="15"/>
      <c r="G5690" s="26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8"/>
      <c r="X5690" s="28"/>
      <c r="Y5690" s="28"/>
      <c r="Z5690" s="28"/>
      <c r="AA5690" s="28"/>
      <c r="AB5690" s="28"/>
      <c r="AC5690" s="28"/>
      <c r="AD5690" s="28"/>
      <c r="AE5690" s="28"/>
      <c r="AF5690" s="28"/>
      <c r="AG5690" s="28"/>
      <c r="AH5690" s="28"/>
      <c r="AI5690" s="28"/>
      <c r="AJ5690" s="28"/>
      <c r="AK5690" s="28"/>
      <c r="AL5690" s="28"/>
      <c r="AM5690" s="28"/>
      <c r="AN5690" s="28"/>
      <c r="AO5690" s="28"/>
      <c r="AP5690" s="28"/>
      <c r="AQ5690" s="28"/>
      <c r="AR5690" s="28"/>
      <c r="AS5690" s="28"/>
      <c r="AT5690" s="28"/>
    </row>
    <row r="5691">
      <c r="A5691" s="14"/>
      <c r="B5691" s="15"/>
      <c r="C5691" s="16"/>
      <c r="D5691" s="15"/>
      <c r="F5691" s="15"/>
      <c r="G5691" s="26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8"/>
      <c r="X5691" s="28"/>
      <c r="Y5691" s="28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O5691" s="28"/>
      <c r="AP5691" s="28"/>
      <c r="AQ5691" s="28"/>
      <c r="AR5691" s="28"/>
      <c r="AS5691" s="28"/>
      <c r="AT5691" s="28"/>
    </row>
    <row r="5692">
      <c r="A5692" s="14"/>
      <c r="B5692" s="15"/>
      <c r="C5692" s="16"/>
      <c r="D5692" s="15"/>
      <c r="F5692" s="15"/>
      <c r="G5692" s="26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8"/>
      <c r="X5692" s="28"/>
      <c r="Y5692" s="28"/>
      <c r="Z5692" s="28"/>
      <c r="AA5692" s="28"/>
      <c r="AB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R5692" s="28"/>
      <c r="AS5692" s="28"/>
      <c r="AT5692" s="28"/>
    </row>
    <row r="5693">
      <c r="A5693" s="14"/>
      <c r="B5693" s="15"/>
      <c r="C5693" s="16"/>
      <c r="D5693" s="15"/>
      <c r="F5693" s="15"/>
      <c r="G5693" s="26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8"/>
      <c r="X5693" s="28"/>
      <c r="Y5693" s="28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28"/>
      <c r="AS5693" s="28"/>
      <c r="AT5693" s="28"/>
    </row>
    <row r="5694">
      <c r="A5694" s="14"/>
      <c r="B5694" s="15"/>
      <c r="C5694" s="16"/>
      <c r="D5694" s="15"/>
      <c r="F5694" s="15"/>
      <c r="G5694" s="26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8"/>
      <c r="X5694" s="28"/>
      <c r="Y5694" s="28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28"/>
      <c r="AS5694" s="28"/>
      <c r="AT5694" s="28"/>
    </row>
    <row r="5695">
      <c r="A5695" s="14"/>
      <c r="B5695" s="15"/>
      <c r="C5695" s="16"/>
      <c r="D5695" s="15"/>
      <c r="F5695" s="15"/>
      <c r="G5695" s="26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28"/>
      <c r="AS5695" s="28"/>
      <c r="AT5695" s="28"/>
    </row>
    <row r="5696">
      <c r="A5696" s="14"/>
      <c r="B5696" s="15"/>
      <c r="C5696" s="16"/>
      <c r="D5696" s="15"/>
      <c r="F5696" s="15"/>
      <c r="G5696" s="26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8"/>
      <c r="X5696" s="28"/>
      <c r="Y5696" s="28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J5696" s="28"/>
      <c r="AK5696" s="28"/>
      <c r="AL5696" s="28"/>
      <c r="AM5696" s="28"/>
      <c r="AN5696" s="28"/>
      <c r="AO5696" s="28"/>
      <c r="AP5696" s="28"/>
      <c r="AQ5696" s="28"/>
      <c r="AR5696" s="28"/>
      <c r="AS5696" s="28"/>
      <c r="AT5696" s="28"/>
    </row>
    <row r="5697">
      <c r="A5697" s="14"/>
      <c r="B5697" s="15"/>
      <c r="C5697" s="16"/>
      <c r="D5697" s="15"/>
      <c r="F5697" s="15"/>
      <c r="G5697" s="26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8"/>
      <c r="X5697" s="28"/>
      <c r="Y5697" s="28"/>
      <c r="Z5697" s="28"/>
      <c r="AA5697" s="28"/>
      <c r="AB5697" s="28"/>
      <c r="AC5697" s="28"/>
      <c r="AD5697" s="28"/>
      <c r="AE5697" s="28"/>
      <c r="AF5697" s="28"/>
      <c r="AG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28"/>
      <c r="AS5697" s="28"/>
      <c r="AT5697" s="28"/>
    </row>
    <row r="5698">
      <c r="A5698" s="14"/>
      <c r="B5698" s="15"/>
      <c r="C5698" s="16"/>
      <c r="D5698" s="15"/>
      <c r="F5698" s="15"/>
      <c r="G5698" s="26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8"/>
      <c r="X5698" s="28"/>
      <c r="Y5698" s="28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28"/>
      <c r="AS5698" s="28"/>
      <c r="AT5698" s="28"/>
    </row>
    <row r="5699">
      <c r="A5699" s="14"/>
      <c r="B5699" s="15"/>
      <c r="C5699" s="16"/>
      <c r="D5699" s="15"/>
      <c r="F5699" s="15"/>
      <c r="G5699" s="26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8"/>
      <c r="X5699" s="28"/>
      <c r="Y5699" s="28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28"/>
      <c r="AS5699" s="28"/>
      <c r="AT5699" s="28"/>
    </row>
    <row r="5700">
      <c r="A5700" s="14"/>
      <c r="B5700" s="15"/>
      <c r="C5700" s="16"/>
      <c r="D5700" s="15"/>
      <c r="F5700" s="15"/>
      <c r="G5700" s="26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8"/>
      <c r="X5700" s="28"/>
      <c r="Y5700" s="28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28"/>
      <c r="AS5700" s="28"/>
      <c r="AT5700" s="28"/>
    </row>
    <row r="5701">
      <c r="A5701" s="14"/>
      <c r="B5701" s="15"/>
      <c r="C5701" s="16"/>
      <c r="D5701" s="15"/>
      <c r="F5701" s="15"/>
      <c r="G5701" s="26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8"/>
      <c r="X5701" s="28"/>
      <c r="Y5701" s="28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28"/>
      <c r="AS5701" s="28"/>
      <c r="AT5701" s="28"/>
    </row>
    <row r="5702">
      <c r="A5702" s="14"/>
      <c r="B5702" s="15"/>
      <c r="C5702" s="16"/>
      <c r="D5702" s="15"/>
      <c r="F5702" s="15"/>
      <c r="G5702" s="26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28"/>
      <c r="AS5702" s="28"/>
      <c r="AT5702" s="28"/>
    </row>
    <row r="5703">
      <c r="A5703" s="14"/>
      <c r="B5703" s="15"/>
      <c r="C5703" s="16"/>
      <c r="D5703" s="15"/>
      <c r="F5703" s="15"/>
      <c r="G5703" s="26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28"/>
      <c r="AS5703" s="28"/>
      <c r="AT5703" s="28"/>
    </row>
    <row r="5704">
      <c r="A5704" s="14"/>
      <c r="B5704" s="15"/>
      <c r="C5704" s="16"/>
      <c r="D5704" s="15"/>
      <c r="F5704" s="15"/>
      <c r="G5704" s="26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28"/>
      <c r="AS5704" s="28"/>
      <c r="AT5704" s="28"/>
    </row>
    <row r="5705">
      <c r="A5705" s="14"/>
      <c r="B5705" s="15"/>
      <c r="C5705" s="16"/>
      <c r="D5705" s="15"/>
      <c r="F5705" s="15"/>
      <c r="G5705" s="26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8"/>
      <c r="X5705" s="28"/>
      <c r="Y5705" s="28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28"/>
      <c r="AS5705" s="28"/>
      <c r="AT5705" s="28"/>
    </row>
    <row r="5706">
      <c r="A5706" s="14"/>
      <c r="B5706" s="15"/>
      <c r="C5706" s="16"/>
      <c r="D5706" s="15"/>
      <c r="F5706" s="15"/>
      <c r="G5706" s="26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8"/>
      <c r="X5706" s="28"/>
      <c r="Y5706" s="28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28"/>
      <c r="AS5706" s="28"/>
      <c r="AT5706" s="28"/>
    </row>
    <row r="5707">
      <c r="A5707" s="14"/>
      <c r="B5707" s="15"/>
      <c r="C5707" s="16"/>
      <c r="D5707" s="15"/>
      <c r="F5707" s="15"/>
      <c r="G5707" s="26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28"/>
      <c r="AS5707" s="28"/>
      <c r="AT5707" s="28"/>
    </row>
    <row r="5708">
      <c r="A5708" s="14"/>
      <c r="B5708" s="15"/>
      <c r="C5708" s="16"/>
      <c r="D5708" s="15"/>
      <c r="F5708" s="15"/>
      <c r="G5708" s="26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8"/>
      <c r="X5708" s="28"/>
      <c r="Y5708" s="28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28"/>
      <c r="AS5708" s="28"/>
      <c r="AT5708" s="28"/>
    </row>
    <row r="5709">
      <c r="A5709" s="14"/>
      <c r="B5709" s="15"/>
      <c r="C5709" s="16"/>
      <c r="D5709" s="15"/>
      <c r="F5709" s="15"/>
      <c r="G5709" s="26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28"/>
      <c r="AS5709" s="28"/>
      <c r="AT5709" s="28"/>
    </row>
    <row r="5710">
      <c r="A5710" s="14"/>
      <c r="B5710" s="15"/>
      <c r="C5710" s="16"/>
      <c r="D5710" s="15"/>
      <c r="F5710" s="15"/>
      <c r="G5710" s="26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28"/>
      <c r="AS5710" s="28"/>
      <c r="AT5710" s="28"/>
    </row>
    <row r="5711">
      <c r="A5711" s="14"/>
      <c r="B5711" s="15"/>
      <c r="C5711" s="16"/>
      <c r="D5711" s="15"/>
      <c r="F5711" s="15"/>
      <c r="G5711" s="26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28"/>
      <c r="AS5711" s="28"/>
      <c r="AT5711" s="28"/>
    </row>
    <row r="5712">
      <c r="A5712" s="14"/>
      <c r="B5712" s="15"/>
      <c r="C5712" s="16"/>
      <c r="D5712" s="15"/>
      <c r="F5712" s="15"/>
      <c r="G5712" s="26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28"/>
      <c r="AS5712" s="28"/>
      <c r="AT5712" s="28"/>
    </row>
    <row r="5713">
      <c r="A5713" s="14"/>
      <c r="B5713" s="15"/>
      <c r="C5713" s="16"/>
      <c r="D5713" s="15"/>
      <c r="F5713" s="15"/>
      <c r="G5713" s="26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8"/>
      <c r="X5713" s="28"/>
      <c r="Y5713" s="28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28"/>
      <c r="AS5713" s="28"/>
      <c r="AT5713" s="28"/>
    </row>
    <row r="5714">
      <c r="A5714" s="14"/>
      <c r="B5714" s="15"/>
      <c r="C5714" s="16"/>
      <c r="D5714" s="15"/>
      <c r="F5714" s="15"/>
      <c r="G5714" s="26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28"/>
      <c r="AS5714" s="28"/>
      <c r="AT5714" s="28"/>
    </row>
    <row r="5715">
      <c r="A5715" s="14"/>
      <c r="B5715" s="15"/>
      <c r="C5715" s="16"/>
      <c r="D5715" s="15"/>
      <c r="F5715" s="15"/>
      <c r="G5715" s="26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8"/>
      <c r="X5715" s="28"/>
      <c r="Y5715" s="28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28"/>
      <c r="AS5715" s="28"/>
      <c r="AT5715" s="28"/>
    </row>
    <row r="5716">
      <c r="A5716" s="14"/>
      <c r="B5716" s="15"/>
      <c r="C5716" s="16"/>
      <c r="D5716" s="15"/>
      <c r="F5716" s="15"/>
      <c r="G5716" s="26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28"/>
      <c r="AS5716" s="28"/>
      <c r="AT5716" s="28"/>
    </row>
    <row r="5717">
      <c r="A5717" s="14"/>
      <c r="B5717" s="15"/>
      <c r="C5717" s="16"/>
      <c r="D5717" s="15"/>
      <c r="F5717" s="15"/>
      <c r="G5717" s="26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8"/>
      <c r="X5717" s="28"/>
      <c r="Y5717" s="28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28"/>
      <c r="AS5717" s="28"/>
      <c r="AT5717" s="28"/>
    </row>
    <row r="5718">
      <c r="A5718" s="14"/>
      <c r="B5718" s="15"/>
      <c r="C5718" s="16"/>
      <c r="D5718" s="15"/>
      <c r="F5718" s="15"/>
      <c r="G5718" s="26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8"/>
      <c r="X5718" s="28"/>
      <c r="Y5718" s="28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28"/>
      <c r="AS5718" s="28"/>
      <c r="AT5718" s="28"/>
    </row>
    <row r="5719">
      <c r="A5719" s="14"/>
      <c r="B5719" s="15"/>
      <c r="C5719" s="16"/>
      <c r="D5719" s="15"/>
      <c r="F5719" s="15"/>
      <c r="G5719" s="26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8"/>
      <c r="X5719" s="28"/>
      <c r="Y5719" s="28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28"/>
      <c r="AS5719" s="28"/>
      <c r="AT5719" s="28"/>
    </row>
    <row r="5720">
      <c r="A5720" s="14"/>
      <c r="B5720" s="15"/>
      <c r="C5720" s="16"/>
      <c r="D5720" s="15"/>
      <c r="F5720" s="15"/>
      <c r="G5720" s="26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28"/>
      <c r="AS5720" s="28"/>
      <c r="AT5720" s="28"/>
    </row>
    <row r="5721">
      <c r="A5721" s="14"/>
      <c r="B5721" s="15"/>
      <c r="C5721" s="16"/>
      <c r="D5721" s="15"/>
      <c r="F5721" s="15"/>
      <c r="G5721" s="26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28"/>
      <c r="AS5721" s="28"/>
      <c r="AT5721" s="28"/>
    </row>
    <row r="5722">
      <c r="A5722" s="14"/>
      <c r="B5722" s="15"/>
      <c r="C5722" s="16"/>
      <c r="D5722" s="15"/>
      <c r="F5722" s="15"/>
      <c r="G5722" s="26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28"/>
      <c r="AS5722" s="28"/>
      <c r="AT5722" s="28"/>
    </row>
    <row r="5723">
      <c r="A5723" s="14"/>
      <c r="B5723" s="15"/>
      <c r="C5723" s="16"/>
      <c r="D5723" s="15"/>
      <c r="F5723" s="15"/>
      <c r="G5723" s="26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8"/>
      <c r="X5723" s="28"/>
      <c r="Y5723" s="28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28"/>
      <c r="AS5723" s="28"/>
      <c r="AT5723" s="28"/>
    </row>
    <row r="5724">
      <c r="A5724" s="14"/>
      <c r="B5724" s="15"/>
      <c r="C5724" s="16"/>
      <c r="D5724" s="15"/>
      <c r="F5724" s="15"/>
      <c r="G5724" s="26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28"/>
      <c r="AS5724" s="28"/>
      <c r="AT5724" s="28"/>
    </row>
    <row r="5725">
      <c r="A5725" s="14"/>
      <c r="B5725" s="15"/>
      <c r="C5725" s="16"/>
      <c r="D5725" s="15"/>
      <c r="F5725" s="15"/>
      <c r="G5725" s="26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8"/>
      <c r="X5725" s="28"/>
      <c r="Y5725" s="28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28"/>
      <c r="AS5725" s="28"/>
      <c r="AT5725" s="28"/>
    </row>
    <row r="5726">
      <c r="A5726" s="14"/>
      <c r="B5726" s="15"/>
      <c r="C5726" s="16"/>
      <c r="D5726" s="15"/>
      <c r="F5726" s="15"/>
      <c r="G5726" s="26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8"/>
      <c r="X5726" s="28"/>
      <c r="Y5726" s="28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28"/>
      <c r="AS5726" s="28"/>
      <c r="AT5726" s="28"/>
    </row>
    <row r="5727">
      <c r="A5727" s="14"/>
      <c r="B5727" s="15"/>
      <c r="C5727" s="16"/>
      <c r="D5727" s="15"/>
      <c r="F5727" s="15"/>
      <c r="G5727" s="26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28"/>
      <c r="AS5727" s="28"/>
      <c r="AT5727" s="28"/>
    </row>
    <row r="5728">
      <c r="A5728" s="14"/>
      <c r="B5728" s="15"/>
      <c r="C5728" s="16"/>
      <c r="D5728" s="15"/>
      <c r="F5728" s="15"/>
      <c r="G5728" s="26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28"/>
      <c r="AS5728" s="28"/>
      <c r="AT5728" s="28"/>
    </row>
    <row r="5729">
      <c r="A5729" s="14"/>
      <c r="B5729" s="15"/>
      <c r="C5729" s="16"/>
      <c r="D5729" s="15"/>
      <c r="F5729" s="15"/>
      <c r="G5729" s="26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8"/>
      <c r="X5729" s="28"/>
      <c r="Y5729" s="28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28"/>
      <c r="AS5729" s="28"/>
      <c r="AT5729" s="28"/>
    </row>
    <row r="5730">
      <c r="A5730" s="14"/>
      <c r="B5730" s="15"/>
      <c r="C5730" s="16"/>
      <c r="D5730" s="15"/>
      <c r="F5730" s="15"/>
      <c r="G5730" s="26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28"/>
      <c r="AS5730" s="28"/>
      <c r="AT5730" s="28"/>
    </row>
    <row r="5731">
      <c r="A5731" s="14"/>
      <c r="B5731" s="15"/>
      <c r="C5731" s="16"/>
      <c r="D5731" s="15"/>
      <c r="F5731" s="15"/>
      <c r="G5731" s="26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8"/>
      <c r="X5731" s="28"/>
      <c r="Y5731" s="28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28"/>
      <c r="AS5731" s="28"/>
      <c r="AT5731" s="28"/>
    </row>
    <row r="5732">
      <c r="A5732" s="14"/>
      <c r="B5732" s="15"/>
      <c r="C5732" s="16"/>
      <c r="D5732" s="15"/>
      <c r="F5732" s="15"/>
      <c r="G5732" s="26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28"/>
      <c r="AS5732" s="28"/>
      <c r="AT5732" s="28"/>
    </row>
    <row r="5733">
      <c r="A5733" s="14"/>
      <c r="B5733" s="15"/>
      <c r="C5733" s="16"/>
      <c r="D5733" s="15"/>
      <c r="F5733" s="15"/>
      <c r="G5733" s="26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28"/>
      <c r="AS5733" s="28"/>
      <c r="AT5733" s="28"/>
    </row>
    <row r="5734">
      <c r="A5734" s="14"/>
      <c r="B5734" s="15"/>
      <c r="C5734" s="16"/>
      <c r="D5734" s="15"/>
      <c r="F5734" s="15"/>
      <c r="G5734" s="26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28"/>
      <c r="AS5734" s="28"/>
      <c r="AT5734" s="28"/>
    </row>
    <row r="5735">
      <c r="A5735" s="14"/>
      <c r="B5735" s="15"/>
      <c r="C5735" s="16"/>
      <c r="D5735" s="15"/>
      <c r="F5735" s="15"/>
      <c r="G5735" s="26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28"/>
      <c r="AS5735" s="28"/>
      <c r="AT5735" s="28"/>
    </row>
    <row r="5736">
      <c r="A5736" s="14"/>
      <c r="B5736" s="15"/>
      <c r="C5736" s="16"/>
      <c r="D5736" s="15"/>
      <c r="F5736" s="15"/>
      <c r="G5736" s="26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28"/>
      <c r="AS5736" s="28"/>
      <c r="AT5736" s="28"/>
    </row>
    <row r="5737">
      <c r="A5737" s="14"/>
      <c r="B5737" s="15"/>
      <c r="C5737" s="16"/>
      <c r="D5737" s="15"/>
      <c r="F5737" s="15"/>
      <c r="G5737" s="26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28"/>
      <c r="AS5737" s="28"/>
      <c r="AT5737" s="28"/>
    </row>
    <row r="5738">
      <c r="A5738" s="14"/>
      <c r="B5738" s="15"/>
      <c r="C5738" s="16"/>
      <c r="D5738" s="15"/>
      <c r="F5738" s="15"/>
      <c r="G5738" s="26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28"/>
      <c r="AS5738" s="28"/>
      <c r="AT5738" s="28"/>
    </row>
    <row r="5739">
      <c r="A5739" s="14"/>
      <c r="B5739" s="15"/>
      <c r="C5739" s="16"/>
      <c r="D5739" s="15"/>
      <c r="F5739" s="15"/>
      <c r="G5739" s="26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8"/>
      <c r="X5739" s="28"/>
      <c r="Y5739" s="28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28"/>
      <c r="AS5739" s="28"/>
      <c r="AT5739" s="28"/>
    </row>
    <row r="5740">
      <c r="A5740" s="14"/>
      <c r="B5740" s="15"/>
      <c r="C5740" s="16"/>
      <c r="D5740" s="15"/>
      <c r="F5740" s="15"/>
      <c r="G5740" s="26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8"/>
      <c r="X5740" s="28"/>
      <c r="Y5740" s="28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28"/>
      <c r="AS5740" s="28"/>
      <c r="AT5740" s="28"/>
    </row>
    <row r="5741">
      <c r="A5741" s="14"/>
      <c r="B5741" s="15"/>
      <c r="C5741" s="16"/>
      <c r="D5741" s="15"/>
      <c r="F5741" s="15"/>
      <c r="G5741" s="26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28"/>
      <c r="AS5741" s="28"/>
      <c r="AT5741" s="28"/>
    </row>
    <row r="5742">
      <c r="A5742" s="14"/>
      <c r="B5742" s="15"/>
      <c r="C5742" s="16"/>
      <c r="D5742" s="15"/>
      <c r="F5742" s="15"/>
      <c r="G5742" s="26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28"/>
      <c r="AS5742" s="28"/>
      <c r="AT5742" s="28"/>
    </row>
    <row r="5743">
      <c r="A5743" s="14"/>
      <c r="B5743" s="15"/>
      <c r="C5743" s="16"/>
      <c r="D5743" s="15"/>
      <c r="F5743" s="15"/>
      <c r="G5743" s="26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28"/>
      <c r="AS5743" s="28"/>
      <c r="AT5743" s="28"/>
    </row>
    <row r="5744">
      <c r="A5744" s="14"/>
      <c r="B5744" s="15"/>
      <c r="C5744" s="16"/>
      <c r="D5744" s="15"/>
      <c r="F5744" s="15"/>
      <c r="G5744" s="26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8"/>
      <c r="X5744" s="28"/>
      <c r="Y5744" s="28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28"/>
      <c r="AS5744" s="28"/>
      <c r="AT5744" s="28"/>
    </row>
    <row r="5745">
      <c r="A5745" s="14"/>
      <c r="B5745" s="15"/>
      <c r="C5745" s="16"/>
      <c r="D5745" s="15"/>
      <c r="F5745" s="15"/>
      <c r="G5745" s="26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28"/>
      <c r="AS5745" s="28"/>
      <c r="AT5745" s="28"/>
    </row>
    <row r="5746">
      <c r="A5746" s="14"/>
      <c r="B5746" s="15"/>
      <c r="C5746" s="16"/>
      <c r="D5746" s="15"/>
      <c r="F5746" s="15"/>
      <c r="G5746" s="26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8"/>
      <c r="X5746" s="28"/>
      <c r="Y5746" s="28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28"/>
      <c r="AS5746" s="28"/>
      <c r="AT5746" s="28"/>
    </row>
    <row r="5747">
      <c r="A5747" s="14"/>
      <c r="B5747" s="15"/>
      <c r="C5747" s="16"/>
      <c r="D5747" s="15"/>
      <c r="F5747" s="15"/>
      <c r="G5747" s="26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8"/>
      <c r="X5747" s="28"/>
      <c r="Y5747" s="28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28"/>
      <c r="AS5747" s="28"/>
      <c r="AT5747" s="28"/>
    </row>
    <row r="5748">
      <c r="A5748" s="14"/>
      <c r="B5748" s="15"/>
      <c r="C5748" s="16"/>
      <c r="D5748" s="15"/>
      <c r="F5748" s="15"/>
      <c r="G5748" s="26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8"/>
      <c r="X5748" s="28"/>
      <c r="Y5748" s="28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28"/>
      <c r="AS5748" s="28"/>
      <c r="AT5748" s="28"/>
    </row>
    <row r="5749">
      <c r="A5749" s="14"/>
      <c r="B5749" s="15"/>
      <c r="C5749" s="16"/>
      <c r="D5749" s="15"/>
      <c r="F5749" s="15"/>
      <c r="G5749" s="26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8"/>
      <c r="X5749" s="28"/>
      <c r="Y5749" s="28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28"/>
      <c r="AS5749" s="28"/>
      <c r="AT5749" s="28"/>
    </row>
    <row r="5750">
      <c r="A5750" s="14"/>
      <c r="B5750" s="15"/>
      <c r="C5750" s="16"/>
      <c r="D5750" s="15"/>
      <c r="F5750" s="15"/>
      <c r="G5750" s="26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8"/>
      <c r="X5750" s="28"/>
      <c r="Y5750" s="28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28"/>
      <c r="AS5750" s="28"/>
      <c r="AT5750" s="28"/>
    </row>
    <row r="5751">
      <c r="A5751" s="14"/>
      <c r="B5751" s="15"/>
      <c r="C5751" s="16"/>
      <c r="D5751" s="15"/>
      <c r="F5751" s="15"/>
      <c r="G5751" s="26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8"/>
      <c r="X5751" s="28"/>
      <c r="Y5751" s="28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28"/>
      <c r="AS5751" s="28"/>
      <c r="AT5751" s="28"/>
    </row>
    <row r="5752">
      <c r="A5752" s="14"/>
      <c r="B5752" s="15"/>
      <c r="C5752" s="16"/>
      <c r="D5752" s="15"/>
      <c r="F5752" s="15"/>
      <c r="G5752" s="26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8"/>
      <c r="X5752" s="28"/>
      <c r="Y5752" s="28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28"/>
      <c r="AS5752" s="28"/>
      <c r="AT5752" s="28"/>
    </row>
    <row r="5753">
      <c r="A5753" s="14"/>
      <c r="B5753" s="15"/>
      <c r="C5753" s="16"/>
      <c r="D5753" s="15"/>
      <c r="F5753" s="15"/>
      <c r="G5753" s="26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8"/>
      <c r="X5753" s="28"/>
      <c r="Y5753" s="28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28"/>
      <c r="AS5753" s="28"/>
      <c r="AT5753" s="28"/>
    </row>
    <row r="5754">
      <c r="A5754" s="14"/>
      <c r="B5754" s="15"/>
      <c r="C5754" s="16"/>
      <c r="D5754" s="15"/>
      <c r="F5754" s="15"/>
      <c r="G5754" s="26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8"/>
      <c r="X5754" s="28"/>
      <c r="Y5754" s="28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28"/>
      <c r="AS5754" s="28"/>
      <c r="AT5754" s="28"/>
    </row>
    <row r="5755">
      <c r="A5755" s="14"/>
      <c r="B5755" s="15"/>
      <c r="C5755" s="16"/>
      <c r="D5755" s="15"/>
      <c r="F5755" s="15"/>
      <c r="G5755" s="26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8"/>
      <c r="X5755" s="28"/>
      <c r="Y5755" s="28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28"/>
      <c r="AS5755" s="28"/>
      <c r="AT5755" s="28"/>
    </row>
    <row r="5756">
      <c r="A5756" s="14"/>
      <c r="B5756" s="15"/>
      <c r="C5756" s="16"/>
      <c r="D5756" s="15"/>
      <c r="F5756" s="15"/>
      <c r="G5756" s="26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8"/>
      <c r="X5756" s="28"/>
      <c r="Y5756" s="28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28"/>
      <c r="AS5756" s="28"/>
      <c r="AT5756" s="28"/>
    </row>
    <row r="5757">
      <c r="A5757" s="14"/>
      <c r="B5757" s="15"/>
      <c r="C5757" s="16"/>
      <c r="D5757" s="15"/>
      <c r="F5757" s="15"/>
      <c r="G5757" s="26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8"/>
      <c r="X5757" s="28"/>
      <c r="Y5757" s="28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28"/>
      <c r="AS5757" s="28"/>
      <c r="AT5757" s="28"/>
    </row>
    <row r="5758">
      <c r="A5758" s="14"/>
      <c r="B5758" s="15"/>
      <c r="C5758" s="16"/>
      <c r="D5758" s="15"/>
      <c r="F5758" s="15"/>
      <c r="G5758" s="26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28"/>
      <c r="AS5758" s="28"/>
      <c r="AT5758" s="28"/>
    </row>
    <row r="5759">
      <c r="A5759" s="14"/>
      <c r="B5759" s="15"/>
      <c r="C5759" s="16"/>
      <c r="D5759" s="15"/>
      <c r="F5759" s="15"/>
      <c r="G5759" s="26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28"/>
      <c r="AS5759" s="28"/>
      <c r="AT5759" s="28"/>
    </row>
    <row r="5760">
      <c r="A5760" s="14"/>
      <c r="B5760" s="15"/>
      <c r="C5760" s="16"/>
      <c r="D5760" s="15"/>
      <c r="F5760" s="15"/>
      <c r="G5760" s="26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8"/>
      <c r="X5760" s="28"/>
      <c r="Y5760" s="28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28"/>
      <c r="AS5760" s="28"/>
      <c r="AT5760" s="28"/>
    </row>
    <row r="5761">
      <c r="A5761" s="14"/>
      <c r="B5761" s="15"/>
      <c r="C5761" s="16"/>
      <c r="D5761" s="15"/>
      <c r="F5761" s="15"/>
      <c r="G5761" s="26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8"/>
      <c r="X5761" s="28"/>
      <c r="Y5761" s="28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28"/>
      <c r="AS5761" s="28"/>
      <c r="AT5761" s="28"/>
    </row>
    <row r="5762">
      <c r="A5762" s="14"/>
      <c r="B5762" s="15"/>
      <c r="C5762" s="16"/>
      <c r="D5762" s="15"/>
      <c r="F5762" s="15"/>
      <c r="G5762" s="26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8"/>
      <c r="X5762" s="28"/>
      <c r="Y5762" s="28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28"/>
      <c r="AS5762" s="28"/>
      <c r="AT5762" s="28"/>
    </row>
    <row r="5763">
      <c r="A5763" s="14"/>
      <c r="B5763" s="15"/>
      <c r="C5763" s="16"/>
      <c r="D5763" s="15"/>
      <c r="F5763" s="15"/>
      <c r="G5763" s="26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8"/>
      <c r="X5763" s="28"/>
      <c r="Y5763" s="28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28"/>
      <c r="AS5763" s="28"/>
      <c r="AT5763" s="28"/>
    </row>
    <row r="5764">
      <c r="A5764" s="14"/>
      <c r="B5764" s="15"/>
      <c r="C5764" s="16"/>
      <c r="D5764" s="15"/>
      <c r="F5764" s="15"/>
      <c r="G5764" s="26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8"/>
      <c r="X5764" s="28"/>
      <c r="Y5764" s="28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28"/>
      <c r="AS5764" s="28"/>
      <c r="AT5764" s="28"/>
    </row>
    <row r="5765">
      <c r="A5765" s="14"/>
      <c r="B5765" s="15"/>
      <c r="C5765" s="16"/>
      <c r="D5765" s="15"/>
      <c r="F5765" s="15"/>
      <c r="G5765" s="26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8"/>
      <c r="X5765" s="28"/>
      <c r="Y5765" s="28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28"/>
      <c r="AS5765" s="28"/>
      <c r="AT5765" s="28"/>
    </row>
    <row r="5766">
      <c r="A5766" s="14"/>
      <c r="B5766" s="15"/>
      <c r="C5766" s="16"/>
      <c r="D5766" s="15"/>
      <c r="F5766" s="15"/>
      <c r="G5766" s="26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8"/>
      <c r="X5766" s="28"/>
      <c r="Y5766" s="28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28"/>
      <c r="AS5766" s="28"/>
      <c r="AT5766" s="28"/>
    </row>
    <row r="5767">
      <c r="A5767" s="14"/>
      <c r="B5767" s="15"/>
      <c r="C5767" s="16"/>
      <c r="D5767" s="15"/>
      <c r="F5767" s="15"/>
      <c r="G5767" s="26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8"/>
      <c r="X5767" s="28"/>
      <c r="Y5767" s="28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28"/>
      <c r="AS5767" s="28"/>
      <c r="AT5767" s="28"/>
    </row>
    <row r="5768">
      <c r="A5768" s="14"/>
      <c r="B5768" s="15"/>
      <c r="C5768" s="16"/>
      <c r="D5768" s="15"/>
      <c r="F5768" s="15"/>
      <c r="G5768" s="26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8"/>
      <c r="X5768" s="28"/>
      <c r="Y5768" s="28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28"/>
      <c r="AS5768" s="28"/>
      <c r="AT5768" s="28"/>
    </row>
    <row r="5769">
      <c r="A5769" s="14"/>
      <c r="B5769" s="15"/>
      <c r="C5769" s="16"/>
      <c r="D5769" s="15"/>
      <c r="F5769" s="15"/>
      <c r="G5769" s="26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8"/>
      <c r="X5769" s="28"/>
      <c r="Y5769" s="28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28"/>
      <c r="AS5769" s="28"/>
      <c r="AT5769" s="28"/>
    </row>
    <row r="5770">
      <c r="A5770" s="14"/>
      <c r="B5770" s="15"/>
      <c r="C5770" s="16"/>
      <c r="D5770" s="15"/>
      <c r="F5770" s="15"/>
      <c r="G5770" s="26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8"/>
      <c r="X5770" s="28"/>
      <c r="Y5770" s="28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28"/>
      <c r="AS5770" s="28"/>
      <c r="AT5770" s="28"/>
    </row>
    <row r="5771">
      <c r="A5771" s="14"/>
      <c r="B5771" s="15"/>
      <c r="C5771" s="16"/>
      <c r="D5771" s="15"/>
      <c r="F5771" s="15"/>
      <c r="G5771" s="26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8"/>
      <c r="X5771" s="28"/>
      <c r="Y5771" s="28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28"/>
      <c r="AS5771" s="28"/>
      <c r="AT5771" s="28"/>
    </row>
    <row r="5772">
      <c r="A5772" s="14"/>
      <c r="B5772" s="15"/>
      <c r="C5772" s="16"/>
      <c r="D5772" s="15"/>
      <c r="F5772" s="15"/>
      <c r="G5772" s="26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28"/>
      <c r="AS5772" s="28"/>
      <c r="AT5772" s="28"/>
    </row>
    <row r="5773">
      <c r="A5773" s="14"/>
      <c r="B5773" s="15"/>
      <c r="C5773" s="16"/>
      <c r="D5773" s="15"/>
      <c r="F5773" s="15"/>
      <c r="G5773" s="26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8"/>
      <c r="X5773" s="28"/>
      <c r="Y5773" s="28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28"/>
      <c r="AS5773" s="28"/>
      <c r="AT5773" s="28"/>
    </row>
    <row r="5774">
      <c r="A5774" s="14"/>
      <c r="B5774" s="15"/>
      <c r="C5774" s="16"/>
      <c r="D5774" s="15"/>
      <c r="F5774" s="15"/>
      <c r="G5774" s="26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8"/>
      <c r="X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28"/>
      <c r="AS5774" s="28"/>
      <c r="AT5774" s="28"/>
    </row>
    <row r="5775">
      <c r="A5775" s="14"/>
      <c r="B5775" s="15"/>
      <c r="C5775" s="16"/>
      <c r="D5775" s="15"/>
      <c r="F5775" s="15"/>
      <c r="G5775" s="26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28"/>
      <c r="AS5775" s="28"/>
      <c r="AT5775" s="28"/>
    </row>
    <row r="5776">
      <c r="A5776" s="14"/>
      <c r="B5776" s="15"/>
      <c r="C5776" s="16"/>
      <c r="D5776" s="15"/>
      <c r="F5776" s="15"/>
      <c r="G5776" s="26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8"/>
      <c r="X5776" s="28"/>
      <c r="Y5776" s="28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28"/>
      <c r="AS5776" s="28"/>
      <c r="AT5776" s="28"/>
    </row>
    <row r="5777">
      <c r="A5777" s="14"/>
      <c r="B5777" s="15"/>
      <c r="C5777" s="16"/>
      <c r="D5777" s="15"/>
      <c r="F5777" s="15"/>
      <c r="G5777" s="26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8"/>
      <c r="X5777" s="28"/>
      <c r="Y5777" s="28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28"/>
      <c r="AS5777" s="28"/>
      <c r="AT5777" s="28"/>
    </row>
    <row r="5778">
      <c r="A5778" s="14"/>
      <c r="B5778" s="15"/>
      <c r="C5778" s="16"/>
      <c r="D5778" s="15"/>
      <c r="F5778" s="15"/>
      <c r="G5778" s="26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8"/>
      <c r="X5778" s="28"/>
      <c r="Y5778" s="28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28"/>
      <c r="AS5778" s="28"/>
      <c r="AT5778" s="28"/>
    </row>
    <row r="5779">
      <c r="A5779" s="14"/>
      <c r="B5779" s="15"/>
      <c r="C5779" s="16"/>
      <c r="D5779" s="15"/>
      <c r="F5779" s="15"/>
      <c r="G5779" s="26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28"/>
      <c r="AS5779" s="28"/>
      <c r="AT5779" s="28"/>
    </row>
    <row r="5780">
      <c r="A5780" s="14"/>
      <c r="B5780" s="15"/>
      <c r="C5780" s="16"/>
      <c r="D5780" s="15"/>
      <c r="F5780" s="15"/>
      <c r="G5780" s="26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28"/>
      <c r="AS5780" s="28"/>
      <c r="AT5780" s="28"/>
    </row>
    <row r="5781">
      <c r="A5781" s="14"/>
      <c r="B5781" s="15"/>
      <c r="C5781" s="16"/>
      <c r="D5781" s="15"/>
      <c r="F5781" s="15"/>
      <c r="G5781" s="26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8"/>
      <c r="X5781" s="28"/>
      <c r="Y5781" s="28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28"/>
      <c r="AS5781" s="28"/>
      <c r="AT5781" s="28"/>
    </row>
    <row r="5782">
      <c r="A5782" s="14"/>
      <c r="B5782" s="15"/>
      <c r="C5782" s="16"/>
      <c r="D5782" s="15"/>
      <c r="F5782" s="15"/>
      <c r="G5782" s="26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8"/>
      <c r="X5782" s="28"/>
      <c r="Y5782" s="28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28"/>
      <c r="AS5782" s="28"/>
      <c r="AT5782" s="28"/>
    </row>
    <row r="5783">
      <c r="A5783" s="14"/>
      <c r="B5783" s="15"/>
      <c r="C5783" s="16"/>
      <c r="D5783" s="15"/>
      <c r="F5783" s="15"/>
      <c r="G5783" s="26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8"/>
      <c r="X5783" s="28"/>
      <c r="Y5783" s="28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28"/>
      <c r="AS5783" s="28"/>
      <c r="AT5783" s="28"/>
    </row>
    <row r="5784">
      <c r="A5784" s="14"/>
      <c r="B5784" s="15"/>
      <c r="C5784" s="16"/>
      <c r="D5784" s="15"/>
      <c r="F5784" s="15"/>
      <c r="G5784" s="26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8"/>
      <c r="X5784" s="28"/>
      <c r="Y5784" s="28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28"/>
      <c r="AS5784" s="28"/>
      <c r="AT5784" s="28"/>
    </row>
    <row r="5785">
      <c r="A5785" s="14"/>
      <c r="B5785" s="15"/>
      <c r="C5785" s="16"/>
      <c r="D5785" s="15"/>
      <c r="F5785" s="15"/>
      <c r="G5785" s="26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8"/>
      <c r="X5785" s="28"/>
      <c r="Y5785" s="28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28"/>
      <c r="AS5785" s="28"/>
      <c r="AT5785" s="28"/>
    </row>
    <row r="5786">
      <c r="A5786" s="14"/>
      <c r="B5786" s="15"/>
      <c r="C5786" s="16"/>
      <c r="D5786" s="15"/>
      <c r="F5786" s="15"/>
      <c r="G5786" s="26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28"/>
      <c r="AS5786" s="28"/>
      <c r="AT5786" s="28"/>
    </row>
    <row r="5787">
      <c r="A5787" s="14"/>
      <c r="B5787" s="15"/>
      <c r="C5787" s="16"/>
      <c r="D5787" s="15"/>
      <c r="F5787" s="15"/>
      <c r="G5787" s="26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8"/>
      <c r="X5787" s="28"/>
      <c r="Y5787" s="28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28"/>
      <c r="AS5787" s="28"/>
      <c r="AT5787" s="28"/>
    </row>
    <row r="5788">
      <c r="A5788" s="14"/>
      <c r="B5788" s="15"/>
      <c r="C5788" s="16"/>
      <c r="D5788" s="15"/>
      <c r="F5788" s="15"/>
      <c r="G5788" s="26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8"/>
      <c r="X5788" s="28"/>
      <c r="Y5788" s="28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28"/>
      <c r="AS5788" s="28"/>
      <c r="AT5788" s="28"/>
    </row>
    <row r="5789">
      <c r="A5789" s="14"/>
      <c r="B5789" s="15"/>
      <c r="C5789" s="16"/>
      <c r="D5789" s="15"/>
      <c r="F5789" s="15"/>
      <c r="G5789" s="26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8"/>
      <c r="X5789" s="28"/>
      <c r="Y5789" s="28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28"/>
      <c r="AS5789" s="28"/>
      <c r="AT5789" s="28"/>
    </row>
    <row r="5790">
      <c r="A5790" s="14"/>
      <c r="B5790" s="15"/>
      <c r="C5790" s="16"/>
      <c r="D5790" s="15"/>
      <c r="F5790" s="15"/>
      <c r="G5790" s="26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8"/>
      <c r="X5790" s="28"/>
      <c r="Y5790" s="28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28"/>
      <c r="AS5790" s="28"/>
      <c r="AT5790" s="28"/>
    </row>
    <row r="5791">
      <c r="A5791" s="14"/>
      <c r="B5791" s="15"/>
      <c r="C5791" s="16"/>
      <c r="D5791" s="15"/>
      <c r="F5791" s="15"/>
      <c r="G5791" s="26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28"/>
      <c r="AS5791" s="28"/>
      <c r="AT5791" s="28"/>
    </row>
    <row r="5792">
      <c r="A5792" s="14"/>
      <c r="B5792" s="15"/>
      <c r="C5792" s="16"/>
      <c r="D5792" s="15"/>
      <c r="F5792" s="15"/>
      <c r="G5792" s="26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8"/>
      <c r="X5792" s="28"/>
      <c r="Y5792" s="28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28"/>
      <c r="AS5792" s="28"/>
      <c r="AT5792" s="28"/>
    </row>
    <row r="5793">
      <c r="A5793" s="14"/>
      <c r="B5793" s="15"/>
      <c r="C5793" s="16"/>
      <c r="D5793" s="15"/>
      <c r="F5793" s="15"/>
      <c r="G5793" s="26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8"/>
      <c r="X5793" s="28"/>
      <c r="Y5793" s="28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28"/>
      <c r="AS5793" s="28"/>
      <c r="AT5793" s="28"/>
    </row>
    <row r="5794">
      <c r="A5794" s="14"/>
      <c r="B5794" s="15"/>
      <c r="C5794" s="16"/>
      <c r="D5794" s="15"/>
      <c r="F5794" s="15"/>
      <c r="G5794" s="26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28"/>
      <c r="AS5794" s="28"/>
      <c r="AT5794" s="28"/>
    </row>
    <row r="5795">
      <c r="A5795" s="14"/>
      <c r="B5795" s="15"/>
      <c r="C5795" s="16"/>
      <c r="D5795" s="15"/>
      <c r="F5795" s="15"/>
      <c r="G5795" s="26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28"/>
      <c r="AS5795" s="28"/>
      <c r="AT5795" s="28"/>
    </row>
    <row r="5796">
      <c r="A5796" s="14"/>
      <c r="B5796" s="15"/>
      <c r="C5796" s="16"/>
      <c r="D5796" s="15"/>
      <c r="F5796" s="15"/>
      <c r="G5796" s="26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8"/>
      <c r="X5796" s="28"/>
      <c r="Y5796" s="28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28"/>
      <c r="AS5796" s="28"/>
      <c r="AT5796" s="28"/>
    </row>
    <row r="5797">
      <c r="A5797" s="14"/>
      <c r="B5797" s="15"/>
      <c r="C5797" s="16"/>
      <c r="D5797" s="15"/>
      <c r="F5797" s="15"/>
      <c r="G5797" s="26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8"/>
      <c r="X5797" s="28"/>
      <c r="Y5797" s="28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28"/>
      <c r="AS5797" s="28"/>
      <c r="AT5797" s="28"/>
    </row>
    <row r="5798">
      <c r="A5798" s="14"/>
      <c r="B5798" s="15"/>
      <c r="C5798" s="16"/>
      <c r="D5798" s="15"/>
      <c r="F5798" s="15"/>
      <c r="G5798" s="26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8"/>
      <c r="X5798" s="28"/>
      <c r="Y5798" s="28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28"/>
      <c r="AS5798" s="28"/>
      <c r="AT5798" s="28"/>
    </row>
    <row r="5799">
      <c r="A5799" s="14"/>
      <c r="B5799" s="15"/>
      <c r="C5799" s="16"/>
      <c r="D5799" s="15"/>
      <c r="F5799" s="15"/>
      <c r="G5799" s="26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8"/>
      <c r="X5799" s="28"/>
      <c r="Y5799" s="28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28"/>
      <c r="AS5799" s="28"/>
      <c r="AT5799" s="28"/>
    </row>
    <row r="5800">
      <c r="A5800" s="14"/>
      <c r="B5800" s="15"/>
      <c r="C5800" s="16"/>
      <c r="D5800" s="15"/>
      <c r="F5800" s="15"/>
      <c r="G5800" s="26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28"/>
      <c r="AS5800" s="28"/>
      <c r="AT5800" s="28"/>
    </row>
    <row r="5801">
      <c r="A5801" s="14"/>
      <c r="B5801" s="15"/>
      <c r="C5801" s="16"/>
      <c r="D5801" s="15"/>
      <c r="F5801" s="15"/>
      <c r="G5801" s="26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8"/>
      <c r="X5801" s="28"/>
      <c r="Y5801" s="28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28"/>
      <c r="AS5801" s="28"/>
      <c r="AT5801" s="28"/>
    </row>
    <row r="5802">
      <c r="A5802" s="14"/>
      <c r="B5802" s="15"/>
      <c r="C5802" s="16"/>
      <c r="D5802" s="15"/>
      <c r="F5802" s="15"/>
      <c r="G5802" s="26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8"/>
      <c r="X5802" s="28"/>
      <c r="Y5802" s="28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28"/>
      <c r="AS5802" s="28"/>
      <c r="AT5802" s="28"/>
    </row>
    <row r="5803">
      <c r="A5803" s="14"/>
      <c r="B5803" s="15"/>
      <c r="C5803" s="16"/>
      <c r="D5803" s="15"/>
      <c r="F5803" s="15"/>
      <c r="G5803" s="26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8"/>
      <c r="X5803" s="28"/>
      <c r="Y5803" s="28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28"/>
      <c r="AS5803" s="28"/>
      <c r="AT5803" s="28"/>
    </row>
    <row r="5804">
      <c r="A5804" s="14"/>
      <c r="B5804" s="15"/>
      <c r="C5804" s="16"/>
      <c r="D5804" s="15"/>
      <c r="F5804" s="15"/>
      <c r="G5804" s="26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8"/>
      <c r="X5804" s="28"/>
      <c r="Y5804" s="28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28"/>
      <c r="AS5804" s="28"/>
      <c r="AT5804" s="28"/>
    </row>
    <row r="5805">
      <c r="A5805" s="14"/>
      <c r="B5805" s="15"/>
      <c r="C5805" s="16"/>
      <c r="D5805" s="15"/>
      <c r="F5805" s="15"/>
      <c r="G5805" s="26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8"/>
      <c r="X5805" s="28"/>
      <c r="Y5805" s="28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28"/>
      <c r="AS5805" s="28"/>
      <c r="AT5805" s="28"/>
    </row>
    <row r="5806">
      <c r="A5806" s="14"/>
      <c r="B5806" s="15"/>
      <c r="C5806" s="16"/>
      <c r="D5806" s="15"/>
      <c r="F5806" s="15"/>
      <c r="G5806" s="26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8"/>
      <c r="X5806" s="28"/>
      <c r="Y5806" s="28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28"/>
      <c r="AS5806" s="28"/>
      <c r="AT5806" s="28"/>
    </row>
    <row r="5807">
      <c r="A5807" s="14"/>
      <c r="B5807" s="15"/>
      <c r="C5807" s="16"/>
      <c r="D5807" s="15"/>
      <c r="F5807" s="15"/>
      <c r="G5807" s="26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28"/>
      <c r="AS5807" s="28"/>
      <c r="AT5807" s="28"/>
    </row>
    <row r="5808">
      <c r="A5808" s="14"/>
      <c r="B5808" s="15"/>
      <c r="C5808" s="16"/>
      <c r="D5808" s="15"/>
      <c r="F5808" s="15"/>
      <c r="G5808" s="26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28"/>
      <c r="AS5808" s="28"/>
      <c r="AT5808" s="28"/>
    </row>
    <row r="5809">
      <c r="A5809" s="14"/>
      <c r="B5809" s="15"/>
      <c r="C5809" s="16"/>
      <c r="D5809" s="15"/>
      <c r="F5809" s="15"/>
      <c r="G5809" s="26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8"/>
      <c r="X5809" s="28"/>
      <c r="Y5809" s="28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28"/>
      <c r="AS5809" s="28"/>
      <c r="AT5809" s="28"/>
    </row>
    <row r="5810">
      <c r="A5810" s="14"/>
      <c r="B5810" s="15"/>
      <c r="C5810" s="16"/>
      <c r="D5810" s="15"/>
      <c r="F5810" s="15"/>
      <c r="G5810" s="26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28"/>
      <c r="AS5810" s="28"/>
      <c r="AT5810" s="28"/>
    </row>
    <row r="5811">
      <c r="A5811" s="14"/>
      <c r="B5811" s="15"/>
      <c r="C5811" s="16"/>
      <c r="D5811" s="15"/>
      <c r="F5811" s="15"/>
      <c r="G5811" s="26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8"/>
      <c r="X5811" s="28"/>
      <c r="Y5811" s="28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28"/>
      <c r="AS5811" s="28"/>
      <c r="AT5811" s="28"/>
    </row>
    <row r="5812">
      <c r="A5812" s="14"/>
      <c r="B5812" s="15"/>
      <c r="C5812" s="16"/>
      <c r="D5812" s="15"/>
      <c r="F5812" s="15"/>
      <c r="G5812" s="26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28"/>
      <c r="AS5812" s="28"/>
      <c r="AT5812" s="28"/>
    </row>
    <row r="5813">
      <c r="A5813" s="14"/>
      <c r="B5813" s="15"/>
      <c r="C5813" s="16"/>
      <c r="D5813" s="15"/>
      <c r="F5813" s="15"/>
      <c r="G5813" s="26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8"/>
      <c r="X5813" s="28"/>
      <c r="Y5813" s="28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28"/>
      <c r="AS5813" s="28"/>
      <c r="AT5813" s="28"/>
    </row>
    <row r="5814">
      <c r="A5814" s="14"/>
      <c r="B5814" s="15"/>
      <c r="C5814" s="16"/>
      <c r="D5814" s="15"/>
      <c r="F5814" s="15"/>
      <c r="G5814" s="26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28"/>
      <c r="AS5814" s="28"/>
      <c r="AT5814" s="28"/>
    </row>
    <row r="5815">
      <c r="A5815" s="14"/>
      <c r="B5815" s="15"/>
      <c r="C5815" s="16"/>
      <c r="D5815" s="15"/>
      <c r="F5815" s="15"/>
      <c r="G5815" s="26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8"/>
      <c r="X5815" s="28"/>
      <c r="Y5815" s="28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28"/>
      <c r="AS5815" s="28"/>
      <c r="AT5815" s="28"/>
    </row>
    <row r="5816">
      <c r="A5816" s="14"/>
      <c r="B5816" s="15"/>
      <c r="C5816" s="16"/>
      <c r="D5816" s="15"/>
      <c r="F5816" s="15"/>
      <c r="G5816" s="26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8"/>
      <c r="X5816" s="28"/>
      <c r="Y5816" s="28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28"/>
      <c r="AS5816" s="28"/>
      <c r="AT5816" s="28"/>
    </row>
    <row r="5817">
      <c r="A5817" s="14"/>
      <c r="B5817" s="15"/>
      <c r="C5817" s="16"/>
      <c r="D5817" s="15"/>
      <c r="F5817" s="15"/>
      <c r="G5817" s="26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8"/>
      <c r="X5817" s="28"/>
      <c r="Y5817" s="28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28"/>
      <c r="AS5817" s="28"/>
      <c r="AT5817" s="28"/>
    </row>
    <row r="5818">
      <c r="A5818" s="14"/>
      <c r="B5818" s="15"/>
      <c r="C5818" s="16"/>
      <c r="D5818" s="15"/>
      <c r="F5818" s="15"/>
      <c r="G5818" s="26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8"/>
      <c r="X5818" s="28"/>
      <c r="Y5818" s="28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28"/>
      <c r="AS5818" s="28"/>
      <c r="AT5818" s="28"/>
    </row>
    <row r="5819">
      <c r="A5819" s="14"/>
      <c r="B5819" s="15"/>
      <c r="C5819" s="16"/>
      <c r="D5819" s="15"/>
      <c r="F5819" s="15"/>
      <c r="G5819" s="26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8"/>
      <c r="X5819" s="28"/>
      <c r="Y5819" s="28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28"/>
      <c r="AS5819" s="28"/>
      <c r="AT5819" s="28"/>
    </row>
    <row r="5820">
      <c r="A5820" s="14"/>
      <c r="B5820" s="15"/>
      <c r="C5820" s="16"/>
      <c r="D5820" s="15"/>
      <c r="F5820" s="15"/>
      <c r="G5820" s="26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8"/>
      <c r="X5820" s="28"/>
      <c r="Y5820" s="28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28"/>
      <c r="AS5820" s="28"/>
      <c r="AT5820" s="28"/>
    </row>
    <row r="5821">
      <c r="A5821" s="14"/>
      <c r="B5821" s="15"/>
      <c r="C5821" s="16"/>
      <c r="D5821" s="15"/>
      <c r="F5821" s="15"/>
      <c r="G5821" s="26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28"/>
      <c r="AS5821" s="28"/>
      <c r="AT5821" s="28"/>
    </row>
    <row r="5822">
      <c r="A5822" s="14"/>
      <c r="B5822" s="15"/>
      <c r="C5822" s="16"/>
      <c r="D5822" s="15"/>
      <c r="F5822" s="15"/>
      <c r="G5822" s="26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8"/>
      <c r="X5822" s="28"/>
      <c r="Y5822" s="28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28"/>
      <c r="AS5822" s="28"/>
      <c r="AT5822" s="28"/>
    </row>
    <row r="5823">
      <c r="A5823" s="14"/>
      <c r="B5823" s="15"/>
      <c r="C5823" s="16"/>
      <c r="D5823" s="15"/>
      <c r="F5823" s="15"/>
      <c r="G5823" s="26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28"/>
      <c r="AS5823" s="28"/>
      <c r="AT5823" s="28"/>
    </row>
    <row r="5824">
      <c r="A5824" s="14"/>
      <c r="B5824" s="15"/>
      <c r="C5824" s="16"/>
      <c r="D5824" s="15"/>
      <c r="F5824" s="15"/>
      <c r="G5824" s="26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8"/>
      <c r="X5824" s="28"/>
      <c r="Y5824" s="28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28"/>
      <c r="AS5824" s="28"/>
      <c r="AT5824" s="28"/>
    </row>
    <row r="5825">
      <c r="A5825" s="14"/>
      <c r="B5825" s="15"/>
      <c r="C5825" s="16"/>
      <c r="D5825" s="15"/>
      <c r="F5825" s="15"/>
      <c r="G5825" s="26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8"/>
      <c r="X5825" s="28"/>
      <c r="Y5825" s="28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28"/>
      <c r="AS5825" s="28"/>
      <c r="AT5825" s="28"/>
    </row>
    <row r="5826">
      <c r="A5826" s="14"/>
      <c r="B5826" s="15"/>
      <c r="C5826" s="16"/>
      <c r="D5826" s="15"/>
      <c r="F5826" s="15"/>
      <c r="G5826" s="26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28"/>
      <c r="AS5826" s="28"/>
      <c r="AT5826" s="28"/>
    </row>
    <row r="5827">
      <c r="A5827" s="14"/>
      <c r="B5827" s="15"/>
      <c r="C5827" s="16"/>
      <c r="D5827" s="15"/>
      <c r="F5827" s="15"/>
      <c r="G5827" s="26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8"/>
      <c r="X5827" s="28"/>
      <c r="Y5827" s="28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28"/>
      <c r="AS5827" s="28"/>
      <c r="AT5827" s="28"/>
    </row>
    <row r="5828">
      <c r="A5828" s="14"/>
      <c r="B5828" s="15"/>
      <c r="C5828" s="16"/>
      <c r="D5828" s="15"/>
      <c r="F5828" s="15"/>
      <c r="G5828" s="26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28"/>
      <c r="AS5828" s="28"/>
      <c r="AT5828" s="28"/>
    </row>
    <row r="5829">
      <c r="A5829" s="14"/>
      <c r="B5829" s="15"/>
      <c r="C5829" s="16"/>
      <c r="D5829" s="15"/>
      <c r="F5829" s="15"/>
      <c r="G5829" s="26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8"/>
      <c r="X5829" s="28"/>
      <c r="Y5829" s="28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28"/>
      <c r="AS5829" s="28"/>
      <c r="AT5829" s="28"/>
    </row>
    <row r="5830">
      <c r="A5830" s="14"/>
      <c r="B5830" s="15"/>
      <c r="C5830" s="16"/>
      <c r="D5830" s="15"/>
      <c r="F5830" s="15"/>
      <c r="G5830" s="26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28"/>
      <c r="AS5830" s="28"/>
      <c r="AT5830" s="28"/>
    </row>
    <row r="5831">
      <c r="A5831" s="14"/>
      <c r="B5831" s="15"/>
      <c r="C5831" s="16"/>
      <c r="D5831" s="15"/>
      <c r="F5831" s="15"/>
      <c r="G5831" s="26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8"/>
      <c r="X5831" s="28"/>
      <c r="Y5831" s="28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28"/>
      <c r="AS5831" s="28"/>
      <c r="AT5831" s="28"/>
    </row>
    <row r="5832">
      <c r="A5832" s="14"/>
      <c r="B5832" s="15"/>
      <c r="C5832" s="16"/>
      <c r="D5832" s="15"/>
      <c r="F5832" s="15"/>
      <c r="G5832" s="26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28"/>
      <c r="AS5832" s="28"/>
      <c r="AT5832" s="28"/>
    </row>
    <row r="5833">
      <c r="A5833" s="14"/>
      <c r="B5833" s="15"/>
      <c r="C5833" s="16"/>
      <c r="D5833" s="15"/>
      <c r="F5833" s="15"/>
      <c r="G5833" s="26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8"/>
      <c r="X5833" s="28"/>
      <c r="Y5833" s="28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28"/>
      <c r="AS5833" s="28"/>
      <c r="AT5833" s="28"/>
    </row>
    <row r="5834">
      <c r="A5834" s="14"/>
      <c r="B5834" s="15"/>
      <c r="C5834" s="16"/>
      <c r="D5834" s="15"/>
      <c r="F5834" s="15"/>
      <c r="G5834" s="26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28"/>
      <c r="AS5834" s="28"/>
      <c r="AT5834" s="28"/>
    </row>
    <row r="5835">
      <c r="A5835" s="14"/>
      <c r="B5835" s="15"/>
      <c r="C5835" s="16"/>
      <c r="D5835" s="15"/>
      <c r="F5835" s="15"/>
      <c r="G5835" s="26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28"/>
      <c r="AS5835" s="28"/>
      <c r="AT5835" s="28"/>
    </row>
    <row r="5836">
      <c r="A5836" s="14"/>
      <c r="B5836" s="15"/>
      <c r="C5836" s="16"/>
      <c r="D5836" s="15"/>
      <c r="F5836" s="15"/>
      <c r="G5836" s="26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28"/>
      <c r="AS5836" s="28"/>
      <c r="AT5836" s="28"/>
    </row>
    <row r="5837">
      <c r="A5837" s="14"/>
      <c r="B5837" s="15"/>
      <c r="C5837" s="16"/>
      <c r="D5837" s="15"/>
      <c r="F5837" s="15"/>
      <c r="G5837" s="26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28"/>
      <c r="AS5837" s="28"/>
      <c r="AT5837" s="28"/>
    </row>
    <row r="5838">
      <c r="A5838" s="14"/>
      <c r="B5838" s="15"/>
      <c r="C5838" s="16"/>
      <c r="D5838" s="15"/>
      <c r="F5838" s="15"/>
      <c r="G5838" s="26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8"/>
      <c r="X5838" s="28"/>
      <c r="Y5838" s="28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28"/>
      <c r="AS5838" s="28"/>
      <c r="AT5838" s="28"/>
    </row>
    <row r="5839">
      <c r="A5839" s="14"/>
      <c r="B5839" s="15"/>
      <c r="C5839" s="16"/>
      <c r="D5839" s="15"/>
      <c r="F5839" s="15"/>
      <c r="G5839" s="26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28"/>
      <c r="AS5839" s="28"/>
      <c r="AT5839" s="28"/>
    </row>
    <row r="5840">
      <c r="A5840" s="14"/>
      <c r="B5840" s="15"/>
      <c r="C5840" s="16"/>
      <c r="D5840" s="15"/>
      <c r="F5840" s="15"/>
      <c r="G5840" s="26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8"/>
      <c r="X5840" s="28"/>
      <c r="Y5840" s="28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28"/>
      <c r="AS5840" s="28"/>
      <c r="AT5840" s="28"/>
    </row>
    <row r="5841">
      <c r="A5841" s="14"/>
      <c r="B5841" s="15"/>
      <c r="C5841" s="16"/>
      <c r="D5841" s="15"/>
      <c r="F5841" s="15"/>
      <c r="G5841" s="26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8"/>
      <c r="X5841" s="28"/>
      <c r="Y5841" s="28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28"/>
      <c r="AS5841" s="28"/>
      <c r="AT5841" s="28"/>
    </row>
    <row r="5842">
      <c r="A5842" s="14"/>
      <c r="B5842" s="15"/>
      <c r="C5842" s="16"/>
      <c r="D5842" s="15"/>
      <c r="F5842" s="15"/>
      <c r="G5842" s="26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28"/>
      <c r="AS5842" s="28"/>
      <c r="AT5842" s="28"/>
    </row>
    <row r="5843">
      <c r="A5843" s="14"/>
      <c r="B5843" s="15"/>
      <c r="C5843" s="16"/>
      <c r="D5843" s="15"/>
      <c r="F5843" s="15"/>
      <c r="G5843" s="26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28"/>
      <c r="AS5843" s="28"/>
      <c r="AT5843" s="28"/>
    </row>
    <row r="5844">
      <c r="A5844" s="14"/>
      <c r="B5844" s="15"/>
      <c r="C5844" s="16"/>
      <c r="D5844" s="15"/>
      <c r="F5844" s="15"/>
      <c r="G5844" s="26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8"/>
      <c r="X5844" s="28"/>
      <c r="Y5844" s="28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28"/>
      <c r="AS5844" s="28"/>
      <c r="AT5844" s="28"/>
    </row>
    <row r="5845">
      <c r="A5845" s="14"/>
      <c r="B5845" s="15"/>
      <c r="C5845" s="16"/>
      <c r="D5845" s="15"/>
      <c r="F5845" s="15"/>
      <c r="G5845" s="26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8"/>
      <c r="X5845" s="28"/>
      <c r="Y5845" s="28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28"/>
      <c r="AS5845" s="28"/>
      <c r="AT5845" s="28"/>
    </row>
    <row r="5846">
      <c r="A5846" s="14"/>
      <c r="B5846" s="15"/>
      <c r="C5846" s="16"/>
      <c r="D5846" s="15"/>
      <c r="F5846" s="15"/>
      <c r="G5846" s="26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8"/>
      <c r="X5846" s="28"/>
      <c r="Y5846" s="28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28"/>
      <c r="AS5846" s="28"/>
      <c r="AT5846" s="28"/>
    </row>
    <row r="5847">
      <c r="A5847" s="14"/>
      <c r="B5847" s="15"/>
      <c r="C5847" s="16"/>
      <c r="D5847" s="15"/>
      <c r="F5847" s="15"/>
      <c r="G5847" s="26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8"/>
      <c r="X5847" s="28"/>
      <c r="Y5847" s="28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28"/>
      <c r="AS5847" s="28"/>
      <c r="AT5847" s="28"/>
    </row>
    <row r="5848">
      <c r="A5848" s="14"/>
      <c r="B5848" s="15"/>
      <c r="C5848" s="16"/>
      <c r="D5848" s="15"/>
      <c r="F5848" s="15"/>
      <c r="G5848" s="26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8"/>
      <c r="X5848" s="28"/>
      <c r="Y5848" s="28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28"/>
      <c r="AS5848" s="28"/>
      <c r="AT5848" s="28"/>
    </row>
    <row r="5849">
      <c r="A5849" s="14"/>
      <c r="B5849" s="15"/>
      <c r="C5849" s="16"/>
      <c r="D5849" s="15"/>
      <c r="F5849" s="15"/>
      <c r="G5849" s="26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28"/>
      <c r="AS5849" s="28"/>
      <c r="AT5849" s="28"/>
    </row>
    <row r="5850">
      <c r="A5850" s="14"/>
      <c r="B5850" s="15"/>
      <c r="C5850" s="16"/>
      <c r="D5850" s="15"/>
      <c r="F5850" s="15"/>
      <c r="G5850" s="26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8"/>
      <c r="X5850" s="28"/>
      <c r="Y5850" s="28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28"/>
      <c r="AS5850" s="28"/>
      <c r="AT5850" s="28"/>
    </row>
    <row r="5851">
      <c r="A5851" s="14"/>
      <c r="B5851" s="15"/>
      <c r="C5851" s="16"/>
      <c r="D5851" s="15"/>
      <c r="F5851" s="15"/>
      <c r="G5851" s="26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28"/>
      <c r="AS5851" s="28"/>
      <c r="AT5851" s="28"/>
    </row>
    <row r="5852">
      <c r="A5852" s="14"/>
      <c r="B5852" s="15"/>
      <c r="C5852" s="16"/>
      <c r="D5852" s="15"/>
      <c r="F5852" s="15"/>
      <c r="G5852" s="26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28"/>
      <c r="AS5852" s="28"/>
      <c r="AT5852" s="28"/>
    </row>
    <row r="5853">
      <c r="A5853" s="14"/>
      <c r="B5853" s="15"/>
      <c r="C5853" s="16"/>
      <c r="D5853" s="15"/>
      <c r="F5853" s="15"/>
      <c r="G5853" s="26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28"/>
      <c r="AS5853" s="28"/>
      <c r="AT5853" s="28"/>
    </row>
    <row r="5854">
      <c r="A5854" s="14"/>
      <c r="B5854" s="15"/>
      <c r="C5854" s="16"/>
      <c r="D5854" s="15"/>
      <c r="F5854" s="15"/>
      <c r="G5854" s="26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8"/>
      <c r="X5854" s="28"/>
      <c r="Y5854" s="28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28"/>
      <c r="AS5854" s="28"/>
      <c r="AT5854" s="28"/>
    </row>
    <row r="5855">
      <c r="A5855" s="14"/>
      <c r="B5855" s="15"/>
      <c r="C5855" s="16"/>
      <c r="D5855" s="15"/>
      <c r="F5855" s="15"/>
      <c r="G5855" s="26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28"/>
      <c r="AS5855" s="28"/>
      <c r="AT5855" s="28"/>
    </row>
    <row r="5856">
      <c r="A5856" s="14"/>
      <c r="B5856" s="15"/>
      <c r="C5856" s="16"/>
      <c r="D5856" s="15"/>
      <c r="F5856" s="15"/>
      <c r="G5856" s="26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8"/>
      <c r="X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28"/>
      <c r="AS5856" s="28"/>
      <c r="AT5856" s="28"/>
    </row>
    <row r="5857">
      <c r="A5857" s="14"/>
      <c r="B5857" s="15"/>
      <c r="C5857" s="16"/>
      <c r="D5857" s="15"/>
      <c r="F5857" s="15"/>
      <c r="G5857" s="26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8"/>
      <c r="X5857" s="28"/>
      <c r="Y5857" s="28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28"/>
      <c r="AS5857" s="28"/>
      <c r="AT5857" s="28"/>
    </row>
    <row r="5858">
      <c r="A5858" s="14"/>
      <c r="B5858" s="15"/>
      <c r="C5858" s="16"/>
      <c r="D5858" s="15"/>
      <c r="F5858" s="15"/>
      <c r="G5858" s="26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8"/>
      <c r="X5858" s="28"/>
      <c r="Y5858" s="28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28"/>
      <c r="AS5858" s="28"/>
      <c r="AT5858" s="28"/>
    </row>
    <row r="5859">
      <c r="A5859" s="14"/>
      <c r="B5859" s="15"/>
      <c r="C5859" s="16"/>
      <c r="D5859" s="15"/>
      <c r="F5859" s="15"/>
      <c r="G5859" s="26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28"/>
      <c r="AS5859" s="28"/>
      <c r="AT5859" s="28"/>
    </row>
    <row r="5860">
      <c r="A5860" s="14"/>
      <c r="B5860" s="15"/>
      <c r="C5860" s="16"/>
      <c r="D5860" s="15"/>
      <c r="F5860" s="15"/>
      <c r="G5860" s="26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8"/>
      <c r="X5860" s="28"/>
      <c r="Y5860" s="28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28"/>
      <c r="AS5860" s="28"/>
      <c r="AT5860" s="28"/>
    </row>
    <row r="5861">
      <c r="A5861" s="14"/>
      <c r="B5861" s="15"/>
      <c r="C5861" s="16"/>
      <c r="D5861" s="15"/>
      <c r="F5861" s="15"/>
      <c r="G5861" s="26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8"/>
      <c r="X5861" s="28"/>
      <c r="Y5861" s="28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28"/>
      <c r="AS5861" s="28"/>
      <c r="AT5861" s="28"/>
    </row>
    <row r="5862">
      <c r="A5862" s="14"/>
      <c r="B5862" s="15"/>
      <c r="C5862" s="16"/>
      <c r="D5862" s="15"/>
      <c r="F5862" s="15"/>
      <c r="G5862" s="26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8"/>
      <c r="X5862" s="28"/>
      <c r="Y5862" s="28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28"/>
      <c r="AS5862" s="28"/>
      <c r="AT5862" s="28"/>
    </row>
    <row r="5863">
      <c r="A5863" s="14"/>
      <c r="B5863" s="15"/>
      <c r="C5863" s="16"/>
      <c r="D5863" s="15"/>
      <c r="F5863" s="15"/>
      <c r="G5863" s="26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8"/>
      <c r="X5863" s="28"/>
      <c r="Y5863" s="28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28"/>
      <c r="AS5863" s="28"/>
      <c r="AT5863" s="28"/>
    </row>
    <row r="5864">
      <c r="A5864" s="14"/>
      <c r="B5864" s="15"/>
      <c r="C5864" s="16"/>
      <c r="D5864" s="15"/>
      <c r="F5864" s="15"/>
      <c r="G5864" s="26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8"/>
      <c r="X5864" s="28"/>
      <c r="Y5864" s="28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28"/>
      <c r="AS5864" s="28"/>
      <c r="AT5864" s="28"/>
    </row>
    <row r="5865">
      <c r="A5865" s="14"/>
      <c r="B5865" s="15"/>
      <c r="C5865" s="16"/>
      <c r="D5865" s="15"/>
      <c r="F5865" s="15"/>
      <c r="G5865" s="26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8"/>
      <c r="X5865" s="28"/>
      <c r="Y5865" s="28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28"/>
      <c r="AS5865" s="28"/>
      <c r="AT5865" s="28"/>
    </row>
    <row r="5866">
      <c r="A5866" s="14"/>
      <c r="B5866" s="15"/>
      <c r="C5866" s="16"/>
      <c r="D5866" s="15"/>
      <c r="F5866" s="15"/>
      <c r="G5866" s="26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8"/>
      <c r="X5866" s="28"/>
      <c r="Y5866" s="28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28"/>
      <c r="AS5866" s="28"/>
      <c r="AT5866" s="28"/>
    </row>
    <row r="5867">
      <c r="A5867" s="14"/>
      <c r="B5867" s="15"/>
      <c r="C5867" s="16"/>
      <c r="D5867" s="15"/>
      <c r="F5867" s="15"/>
      <c r="G5867" s="26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8"/>
      <c r="X5867" s="28"/>
      <c r="Y5867" s="28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28"/>
      <c r="AS5867" s="28"/>
      <c r="AT5867" s="28"/>
    </row>
    <row r="5868">
      <c r="A5868" s="14"/>
      <c r="B5868" s="15"/>
      <c r="C5868" s="16"/>
      <c r="D5868" s="15"/>
      <c r="F5868" s="15"/>
      <c r="G5868" s="26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8"/>
      <c r="X5868" s="28"/>
      <c r="Y5868" s="28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28"/>
      <c r="AS5868" s="28"/>
      <c r="AT5868" s="28"/>
    </row>
    <row r="5869">
      <c r="A5869" s="14"/>
      <c r="B5869" s="15"/>
      <c r="C5869" s="16"/>
      <c r="D5869" s="15"/>
      <c r="F5869" s="15"/>
      <c r="G5869" s="26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8"/>
      <c r="X5869" s="28"/>
      <c r="Y5869" s="28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28"/>
      <c r="AS5869" s="28"/>
      <c r="AT5869" s="28"/>
    </row>
    <row r="5870">
      <c r="A5870" s="14"/>
      <c r="B5870" s="15"/>
      <c r="C5870" s="16"/>
      <c r="D5870" s="15"/>
      <c r="F5870" s="15"/>
      <c r="G5870" s="26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28"/>
      <c r="AS5870" s="28"/>
      <c r="AT5870" s="28"/>
    </row>
    <row r="5871">
      <c r="A5871" s="14"/>
      <c r="B5871" s="15"/>
      <c r="C5871" s="16"/>
      <c r="D5871" s="15"/>
      <c r="F5871" s="15"/>
      <c r="G5871" s="26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28"/>
      <c r="AS5871" s="28"/>
      <c r="AT5871" s="28"/>
    </row>
    <row r="5872">
      <c r="A5872" s="14"/>
      <c r="B5872" s="15"/>
      <c r="C5872" s="16"/>
      <c r="D5872" s="15"/>
      <c r="F5872" s="15"/>
      <c r="G5872" s="26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28"/>
      <c r="AS5872" s="28"/>
      <c r="AT5872" s="28"/>
    </row>
    <row r="5873">
      <c r="A5873" s="14"/>
      <c r="B5873" s="15"/>
      <c r="C5873" s="16"/>
      <c r="D5873" s="15"/>
      <c r="F5873" s="15"/>
      <c r="G5873" s="26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8"/>
      <c r="X5873" s="28"/>
      <c r="Y5873" s="28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28"/>
      <c r="AS5873" s="28"/>
      <c r="AT5873" s="28"/>
    </row>
    <row r="5874">
      <c r="A5874" s="14"/>
      <c r="B5874" s="15"/>
      <c r="C5874" s="16"/>
      <c r="D5874" s="15"/>
      <c r="F5874" s="15"/>
      <c r="G5874" s="26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8"/>
      <c r="X5874" s="28"/>
      <c r="Y5874" s="28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28"/>
      <c r="AS5874" s="28"/>
      <c r="AT5874" s="28"/>
    </row>
    <row r="5875">
      <c r="A5875" s="14"/>
      <c r="B5875" s="15"/>
      <c r="C5875" s="16"/>
      <c r="D5875" s="15"/>
      <c r="F5875" s="15"/>
      <c r="G5875" s="26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8"/>
      <c r="X5875" s="28"/>
      <c r="Y5875" s="28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28"/>
      <c r="AS5875" s="28"/>
      <c r="AT5875" s="28"/>
    </row>
    <row r="5876">
      <c r="A5876" s="14"/>
      <c r="B5876" s="15"/>
      <c r="C5876" s="16"/>
      <c r="D5876" s="15"/>
      <c r="F5876" s="15"/>
      <c r="G5876" s="26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8"/>
      <c r="X5876" s="28"/>
      <c r="Y5876" s="28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28"/>
      <c r="AS5876" s="28"/>
      <c r="AT5876" s="28"/>
    </row>
    <row r="5877">
      <c r="A5877" s="14"/>
      <c r="B5877" s="15"/>
      <c r="C5877" s="16"/>
      <c r="D5877" s="15"/>
      <c r="F5877" s="15"/>
      <c r="G5877" s="26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8"/>
      <c r="X5877" s="28"/>
      <c r="Y5877" s="28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28"/>
      <c r="AS5877" s="28"/>
      <c r="AT5877" s="28"/>
    </row>
    <row r="5878">
      <c r="A5878" s="14"/>
      <c r="B5878" s="15"/>
      <c r="C5878" s="16"/>
      <c r="D5878" s="15"/>
      <c r="F5878" s="15"/>
      <c r="G5878" s="26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8"/>
      <c r="X5878" s="28"/>
      <c r="Y5878" s="28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28"/>
      <c r="AS5878" s="28"/>
      <c r="AT5878" s="28"/>
    </row>
    <row r="5879">
      <c r="A5879" s="14"/>
      <c r="B5879" s="15"/>
      <c r="C5879" s="16"/>
      <c r="D5879" s="15"/>
      <c r="F5879" s="15"/>
      <c r="G5879" s="26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8"/>
      <c r="X5879" s="28"/>
      <c r="Y5879" s="28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28"/>
      <c r="AS5879" s="28"/>
      <c r="AT5879" s="28"/>
    </row>
    <row r="5880">
      <c r="A5880" s="14"/>
      <c r="B5880" s="15"/>
      <c r="C5880" s="16"/>
      <c r="D5880" s="15"/>
      <c r="F5880" s="15"/>
      <c r="G5880" s="26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8"/>
      <c r="X5880" s="28"/>
      <c r="Y5880" s="28"/>
      <c r="Z5880" s="28"/>
      <c r="AA5880" s="28"/>
      <c r="AB5880" s="28"/>
      <c r="AC5880" s="28"/>
      <c r="AD5880" s="28"/>
      <c r="AE5880" s="28"/>
      <c r="AF5880" s="28"/>
      <c r="AG5880" s="28"/>
      <c r="AH5880" s="28"/>
      <c r="AI5880" s="28"/>
      <c r="AJ5880" s="28"/>
      <c r="AK5880" s="28"/>
      <c r="AL5880" s="28"/>
      <c r="AM5880" s="28"/>
      <c r="AN5880" s="28"/>
      <c r="AO5880" s="28"/>
      <c r="AP5880" s="28"/>
      <c r="AQ5880" s="28"/>
      <c r="AR5880" s="28"/>
      <c r="AS5880" s="28"/>
      <c r="AT5880" s="28"/>
    </row>
    <row r="5881">
      <c r="A5881" s="14"/>
      <c r="B5881" s="15"/>
      <c r="C5881" s="16"/>
      <c r="D5881" s="15"/>
      <c r="F5881" s="15"/>
      <c r="G5881" s="26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  <c r="AF5881" s="28"/>
      <c r="AG5881" s="28"/>
      <c r="AH5881" s="28"/>
      <c r="AI5881" s="28"/>
      <c r="AJ5881" s="28"/>
      <c r="AK5881" s="28"/>
      <c r="AL5881" s="28"/>
      <c r="AM5881" s="28"/>
      <c r="AN5881" s="28"/>
      <c r="AO5881" s="28"/>
      <c r="AP5881" s="28"/>
      <c r="AQ5881" s="28"/>
      <c r="AR5881" s="28"/>
      <c r="AS5881" s="28"/>
      <c r="AT5881" s="28"/>
    </row>
    <row r="5882">
      <c r="A5882" s="14"/>
      <c r="B5882" s="15"/>
      <c r="C5882" s="16"/>
      <c r="D5882" s="15"/>
      <c r="F5882" s="15"/>
      <c r="G5882" s="26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O5882" s="28"/>
      <c r="AP5882" s="28"/>
      <c r="AQ5882" s="28"/>
      <c r="AR5882" s="28"/>
      <c r="AS5882" s="28"/>
      <c r="AT5882" s="28"/>
    </row>
    <row r="5883">
      <c r="A5883" s="14"/>
      <c r="B5883" s="15"/>
      <c r="C5883" s="16"/>
      <c r="D5883" s="15"/>
      <c r="F5883" s="15"/>
      <c r="G5883" s="26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R5883" s="28"/>
      <c r="AS5883" s="28"/>
      <c r="AT5883" s="28"/>
    </row>
    <row r="5884">
      <c r="A5884" s="14"/>
      <c r="B5884" s="15"/>
      <c r="C5884" s="16"/>
      <c r="D5884" s="15"/>
      <c r="F5884" s="15"/>
      <c r="G5884" s="26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28"/>
      <c r="AS5884" s="28"/>
      <c r="AT5884" s="28"/>
    </row>
    <row r="5885">
      <c r="A5885" s="14"/>
      <c r="B5885" s="15"/>
      <c r="C5885" s="16"/>
      <c r="D5885" s="15"/>
      <c r="F5885" s="15"/>
      <c r="G5885" s="26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28"/>
      <c r="AS5885" s="28"/>
      <c r="AT5885" s="28"/>
    </row>
    <row r="5886">
      <c r="A5886" s="14"/>
      <c r="B5886" s="15"/>
      <c r="C5886" s="16"/>
      <c r="D5886" s="15"/>
      <c r="F5886" s="15"/>
      <c r="G5886" s="26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J5886" s="28"/>
      <c r="AK5886" s="28"/>
      <c r="AL5886" s="28"/>
      <c r="AM5886" s="28"/>
      <c r="AN5886" s="28"/>
      <c r="AO5886" s="28"/>
      <c r="AP5886" s="28"/>
      <c r="AQ5886" s="28"/>
      <c r="AR5886" s="28"/>
      <c r="AS5886" s="28"/>
      <c r="AT5886" s="28"/>
    </row>
    <row r="5887">
      <c r="A5887" s="14"/>
      <c r="B5887" s="15"/>
      <c r="C5887" s="16"/>
      <c r="D5887" s="15"/>
      <c r="F5887" s="15"/>
      <c r="G5887" s="26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  <c r="AF5887" s="28"/>
      <c r="AG5887" s="28"/>
      <c r="AH5887" s="28"/>
      <c r="AI5887" s="28"/>
      <c r="AJ5887" s="28"/>
      <c r="AK5887" s="28"/>
      <c r="AL5887" s="28"/>
      <c r="AM5887" s="28"/>
      <c r="AN5887" s="28"/>
      <c r="AO5887" s="28"/>
      <c r="AP5887" s="28"/>
      <c r="AQ5887" s="28"/>
      <c r="AR5887" s="28"/>
      <c r="AS5887" s="28"/>
      <c r="AT5887" s="28"/>
    </row>
    <row r="5888">
      <c r="A5888" s="14"/>
      <c r="B5888" s="15"/>
      <c r="C5888" s="16"/>
      <c r="D5888" s="15"/>
      <c r="F5888" s="15"/>
      <c r="G5888" s="26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28"/>
      <c r="AF5888" s="28"/>
      <c r="AG5888" s="28"/>
      <c r="AH5888" s="28"/>
      <c r="AI5888" s="28"/>
      <c r="AJ5888" s="28"/>
      <c r="AK5888" s="28"/>
      <c r="AL5888" s="28"/>
      <c r="AM5888" s="28"/>
      <c r="AN5888" s="28"/>
      <c r="AO5888" s="28"/>
      <c r="AP5888" s="28"/>
      <c r="AQ5888" s="28"/>
      <c r="AR5888" s="28"/>
      <c r="AS5888" s="28"/>
      <c r="AT5888" s="28"/>
    </row>
    <row r="5889">
      <c r="A5889" s="14"/>
      <c r="B5889" s="15"/>
      <c r="C5889" s="16"/>
      <c r="D5889" s="15"/>
      <c r="F5889" s="15"/>
      <c r="G5889" s="26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R5889" s="28"/>
      <c r="AS5889" s="28"/>
      <c r="AT5889" s="28"/>
    </row>
    <row r="5890">
      <c r="A5890" s="14"/>
      <c r="B5890" s="15"/>
      <c r="C5890" s="16"/>
      <c r="D5890" s="15"/>
      <c r="F5890" s="15"/>
      <c r="G5890" s="26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28"/>
      <c r="AS5890" s="28"/>
      <c r="AT5890" s="28"/>
    </row>
    <row r="5891">
      <c r="A5891" s="14"/>
      <c r="B5891" s="15"/>
      <c r="C5891" s="16"/>
      <c r="D5891" s="15"/>
      <c r="F5891" s="15"/>
      <c r="G5891" s="26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28"/>
      <c r="AS5891" s="28"/>
      <c r="AT5891" s="28"/>
    </row>
    <row r="5892">
      <c r="A5892" s="14"/>
      <c r="B5892" s="15"/>
      <c r="C5892" s="16"/>
      <c r="D5892" s="15"/>
      <c r="F5892" s="15"/>
      <c r="G5892" s="26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28"/>
      <c r="AS5892" s="28"/>
      <c r="AT5892" s="28"/>
    </row>
    <row r="5893">
      <c r="A5893" s="14"/>
      <c r="B5893" s="15"/>
      <c r="C5893" s="16"/>
      <c r="D5893" s="15"/>
      <c r="F5893" s="15"/>
      <c r="G5893" s="26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J5893" s="28"/>
      <c r="AK5893" s="28"/>
      <c r="AL5893" s="28"/>
      <c r="AM5893" s="28"/>
      <c r="AN5893" s="28"/>
      <c r="AO5893" s="28"/>
      <c r="AP5893" s="28"/>
      <c r="AQ5893" s="28"/>
      <c r="AR5893" s="28"/>
      <c r="AS5893" s="28"/>
      <c r="AT5893" s="28"/>
    </row>
    <row r="5894">
      <c r="A5894" s="14"/>
      <c r="B5894" s="15"/>
      <c r="C5894" s="16"/>
      <c r="D5894" s="15"/>
      <c r="F5894" s="15"/>
      <c r="G5894" s="26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28"/>
      <c r="AF5894" s="28"/>
      <c r="AG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28"/>
      <c r="AS5894" s="28"/>
      <c r="AT5894" s="28"/>
    </row>
    <row r="5895">
      <c r="A5895" s="14"/>
      <c r="B5895" s="15"/>
      <c r="C5895" s="16"/>
      <c r="D5895" s="15"/>
      <c r="F5895" s="15"/>
      <c r="G5895" s="26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28"/>
      <c r="AS5895" s="28"/>
      <c r="AT5895" s="28"/>
    </row>
    <row r="5896">
      <c r="A5896" s="14"/>
      <c r="B5896" s="15"/>
      <c r="C5896" s="16"/>
      <c r="D5896" s="15"/>
      <c r="F5896" s="15"/>
      <c r="G5896" s="26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28"/>
      <c r="AS5896" s="28"/>
      <c r="AT5896" s="28"/>
    </row>
    <row r="5897">
      <c r="A5897" s="14"/>
      <c r="B5897" s="15"/>
      <c r="C5897" s="16"/>
      <c r="D5897" s="15"/>
      <c r="F5897" s="15"/>
      <c r="G5897" s="26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28"/>
      <c r="AS5897" s="28"/>
      <c r="AT5897" s="28"/>
    </row>
    <row r="5898">
      <c r="A5898" s="14"/>
      <c r="B5898" s="15"/>
      <c r="C5898" s="16"/>
      <c r="D5898" s="15"/>
      <c r="F5898" s="15"/>
      <c r="G5898" s="26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28"/>
      <c r="AS5898" s="28"/>
      <c r="AT5898" s="28"/>
    </row>
    <row r="5899">
      <c r="A5899" s="14"/>
      <c r="B5899" s="15"/>
      <c r="C5899" s="16"/>
      <c r="D5899" s="15"/>
      <c r="F5899" s="15"/>
      <c r="G5899" s="26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28"/>
      <c r="AS5899" s="28"/>
      <c r="AT5899" s="28"/>
    </row>
    <row r="5900">
      <c r="A5900" s="14"/>
      <c r="B5900" s="15"/>
      <c r="C5900" s="16"/>
      <c r="D5900" s="15"/>
      <c r="F5900" s="15"/>
      <c r="G5900" s="26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28"/>
      <c r="AS5900" s="28"/>
      <c r="AT5900" s="28"/>
    </row>
    <row r="5901">
      <c r="A5901" s="14"/>
      <c r="B5901" s="15"/>
      <c r="C5901" s="16"/>
      <c r="D5901" s="15"/>
      <c r="F5901" s="15"/>
      <c r="G5901" s="26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28"/>
      <c r="AS5901" s="28"/>
      <c r="AT5901" s="28"/>
    </row>
    <row r="5902">
      <c r="A5902" s="14"/>
      <c r="B5902" s="15"/>
      <c r="C5902" s="16"/>
      <c r="D5902" s="15"/>
      <c r="F5902" s="15"/>
      <c r="G5902" s="26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28"/>
      <c r="AS5902" s="28"/>
      <c r="AT5902" s="28"/>
    </row>
    <row r="5903">
      <c r="A5903" s="14"/>
      <c r="B5903" s="15"/>
      <c r="C5903" s="16"/>
      <c r="D5903" s="15"/>
      <c r="F5903" s="15"/>
      <c r="G5903" s="26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28"/>
      <c r="AS5903" s="28"/>
      <c r="AT5903" s="28"/>
    </row>
    <row r="5904">
      <c r="A5904" s="14"/>
      <c r="B5904" s="15"/>
      <c r="C5904" s="16"/>
      <c r="D5904" s="15"/>
      <c r="F5904" s="15"/>
      <c r="G5904" s="26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28"/>
      <c r="AS5904" s="28"/>
      <c r="AT5904" s="28"/>
    </row>
    <row r="5905">
      <c r="A5905" s="14"/>
      <c r="B5905" s="15"/>
      <c r="C5905" s="16"/>
      <c r="D5905" s="15"/>
      <c r="F5905" s="15"/>
      <c r="G5905" s="26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28"/>
      <c r="AS5905" s="28"/>
      <c r="AT5905" s="28"/>
    </row>
    <row r="5906">
      <c r="A5906" s="14"/>
      <c r="B5906" s="15"/>
      <c r="C5906" s="16"/>
      <c r="D5906" s="15"/>
      <c r="F5906" s="15"/>
      <c r="G5906" s="26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28"/>
      <c r="AS5906" s="28"/>
      <c r="AT5906" s="28"/>
    </row>
    <row r="5907">
      <c r="A5907" s="14"/>
      <c r="B5907" s="15"/>
      <c r="C5907" s="16"/>
      <c r="D5907" s="15"/>
      <c r="F5907" s="15"/>
      <c r="G5907" s="26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28"/>
      <c r="AS5907" s="28"/>
      <c r="AT5907" s="28"/>
    </row>
    <row r="5908">
      <c r="A5908" s="14"/>
      <c r="B5908" s="15"/>
      <c r="C5908" s="16"/>
      <c r="D5908" s="15"/>
      <c r="F5908" s="15"/>
      <c r="G5908" s="26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28"/>
      <c r="AS5908" s="28"/>
      <c r="AT5908" s="28"/>
    </row>
    <row r="5909">
      <c r="A5909" s="14"/>
      <c r="B5909" s="15"/>
      <c r="C5909" s="16"/>
      <c r="D5909" s="15"/>
      <c r="F5909" s="15"/>
      <c r="G5909" s="26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28"/>
      <c r="AS5909" s="28"/>
      <c r="AT5909" s="28"/>
    </row>
    <row r="5910">
      <c r="A5910" s="14"/>
      <c r="B5910" s="15"/>
      <c r="C5910" s="16"/>
      <c r="D5910" s="15"/>
      <c r="F5910" s="15"/>
      <c r="G5910" s="26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28"/>
      <c r="AS5910" s="28"/>
      <c r="AT5910" s="28"/>
    </row>
    <row r="5911">
      <c r="A5911" s="14"/>
      <c r="B5911" s="15"/>
      <c r="C5911" s="16"/>
      <c r="D5911" s="15"/>
      <c r="F5911" s="15"/>
      <c r="G5911" s="26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28"/>
      <c r="AS5911" s="28"/>
      <c r="AT5911" s="28"/>
    </row>
    <row r="5912">
      <c r="A5912" s="14"/>
      <c r="B5912" s="15"/>
      <c r="C5912" s="16"/>
      <c r="D5912" s="15"/>
      <c r="F5912" s="15"/>
      <c r="G5912" s="26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28"/>
      <c r="AS5912" s="28"/>
      <c r="AT5912" s="28"/>
    </row>
    <row r="5913">
      <c r="A5913" s="14"/>
      <c r="B5913" s="15"/>
      <c r="C5913" s="16"/>
      <c r="D5913" s="15"/>
      <c r="F5913" s="15"/>
      <c r="G5913" s="26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28"/>
      <c r="AS5913" s="28"/>
      <c r="AT5913" s="28"/>
    </row>
    <row r="5914">
      <c r="A5914" s="14"/>
      <c r="B5914" s="15"/>
      <c r="C5914" s="16"/>
      <c r="D5914" s="15"/>
      <c r="F5914" s="15"/>
      <c r="G5914" s="26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28"/>
      <c r="AS5914" s="28"/>
      <c r="AT5914" s="28"/>
    </row>
    <row r="5915">
      <c r="A5915" s="14"/>
      <c r="B5915" s="15"/>
      <c r="C5915" s="16"/>
      <c r="D5915" s="15"/>
      <c r="F5915" s="15"/>
      <c r="G5915" s="26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28"/>
      <c r="AS5915" s="28"/>
      <c r="AT5915" s="28"/>
    </row>
    <row r="5916">
      <c r="A5916" s="14"/>
      <c r="B5916" s="15"/>
      <c r="C5916" s="16"/>
      <c r="D5916" s="15"/>
      <c r="F5916" s="15"/>
      <c r="G5916" s="26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28"/>
      <c r="AS5916" s="28"/>
      <c r="AT5916" s="28"/>
    </row>
    <row r="5917">
      <c r="A5917" s="14"/>
      <c r="B5917" s="15"/>
      <c r="C5917" s="16"/>
      <c r="D5917" s="15"/>
      <c r="F5917" s="15"/>
      <c r="G5917" s="26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28"/>
      <c r="AS5917" s="28"/>
      <c r="AT5917" s="28"/>
    </row>
    <row r="5918">
      <c r="A5918" s="14"/>
      <c r="B5918" s="15"/>
      <c r="C5918" s="16"/>
      <c r="D5918" s="15"/>
      <c r="F5918" s="15"/>
      <c r="G5918" s="26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28"/>
      <c r="AS5918" s="28"/>
      <c r="AT5918" s="28"/>
    </row>
    <row r="5919">
      <c r="A5919" s="14"/>
      <c r="B5919" s="15"/>
      <c r="C5919" s="16"/>
      <c r="D5919" s="15"/>
      <c r="F5919" s="15"/>
      <c r="G5919" s="26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28"/>
      <c r="AS5919" s="28"/>
      <c r="AT5919" s="28"/>
    </row>
    <row r="5920">
      <c r="A5920" s="14"/>
      <c r="B5920" s="15"/>
      <c r="C5920" s="16"/>
      <c r="D5920" s="15"/>
      <c r="F5920" s="15"/>
      <c r="G5920" s="26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28"/>
      <c r="AS5920" s="28"/>
      <c r="AT5920" s="28"/>
    </row>
    <row r="5921">
      <c r="A5921" s="14"/>
      <c r="B5921" s="15"/>
      <c r="C5921" s="16"/>
      <c r="D5921" s="15"/>
      <c r="F5921" s="15"/>
      <c r="G5921" s="26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28"/>
      <c r="AS5921" s="28"/>
      <c r="AT5921" s="28"/>
    </row>
    <row r="5922">
      <c r="A5922" s="14"/>
      <c r="B5922" s="15"/>
      <c r="C5922" s="16"/>
      <c r="D5922" s="15"/>
      <c r="F5922" s="15"/>
      <c r="G5922" s="26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28"/>
      <c r="AS5922" s="28"/>
      <c r="AT5922" s="28"/>
    </row>
    <row r="5923">
      <c r="A5923" s="14"/>
      <c r="B5923" s="15"/>
      <c r="C5923" s="16"/>
      <c r="D5923" s="15"/>
      <c r="F5923" s="15"/>
      <c r="G5923" s="26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28"/>
      <c r="AS5923" s="28"/>
      <c r="AT5923" s="28"/>
    </row>
    <row r="5924">
      <c r="A5924" s="14"/>
      <c r="B5924" s="15"/>
      <c r="C5924" s="16"/>
      <c r="D5924" s="15"/>
      <c r="F5924" s="15"/>
      <c r="G5924" s="26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28"/>
      <c r="AS5924" s="28"/>
      <c r="AT5924" s="28"/>
    </row>
    <row r="5925">
      <c r="A5925" s="14"/>
      <c r="B5925" s="15"/>
      <c r="C5925" s="16"/>
      <c r="D5925" s="15"/>
      <c r="F5925" s="15"/>
      <c r="G5925" s="26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28"/>
      <c r="AS5925" s="28"/>
      <c r="AT5925" s="28"/>
    </row>
    <row r="5926">
      <c r="A5926" s="14"/>
      <c r="B5926" s="15"/>
      <c r="C5926" s="16"/>
      <c r="D5926" s="15"/>
      <c r="F5926" s="15"/>
      <c r="G5926" s="26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28"/>
      <c r="AS5926" s="28"/>
      <c r="AT5926" s="28"/>
    </row>
    <row r="5927">
      <c r="A5927" s="14"/>
      <c r="B5927" s="15"/>
      <c r="C5927" s="16"/>
      <c r="D5927" s="15"/>
      <c r="F5927" s="15"/>
      <c r="G5927" s="26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28"/>
      <c r="AS5927" s="28"/>
      <c r="AT5927" s="28"/>
    </row>
    <row r="5928">
      <c r="A5928" s="14"/>
      <c r="B5928" s="15"/>
      <c r="C5928" s="16"/>
      <c r="D5928" s="15"/>
      <c r="F5928" s="15"/>
      <c r="G5928" s="26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28"/>
      <c r="AS5928" s="28"/>
      <c r="AT5928" s="28"/>
    </row>
    <row r="5929">
      <c r="A5929" s="14"/>
      <c r="B5929" s="15"/>
      <c r="C5929" s="16"/>
      <c r="D5929" s="15"/>
      <c r="F5929" s="15"/>
      <c r="G5929" s="26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28"/>
      <c r="AS5929" s="28"/>
      <c r="AT5929" s="28"/>
    </row>
    <row r="5930">
      <c r="A5930" s="14"/>
      <c r="B5930" s="15"/>
      <c r="C5930" s="16"/>
      <c r="D5930" s="15"/>
      <c r="F5930" s="15"/>
      <c r="G5930" s="26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28"/>
      <c r="AS5930" s="28"/>
      <c r="AT5930" s="28"/>
    </row>
    <row r="5931">
      <c r="A5931" s="14"/>
      <c r="B5931" s="15"/>
      <c r="C5931" s="16"/>
      <c r="D5931" s="15"/>
      <c r="F5931" s="15"/>
      <c r="G5931" s="26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28"/>
      <c r="AS5931" s="28"/>
      <c r="AT5931" s="28"/>
    </row>
    <row r="5932">
      <c r="A5932" s="14"/>
      <c r="B5932" s="15"/>
      <c r="C5932" s="16"/>
      <c r="D5932" s="15"/>
      <c r="F5932" s="15"/>
      <c r="G5932" s="26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28"/>
      <c r="AS5932" s="28"/>
      <c r="AT5932" s="28"/>
    </row>
    <row r="5933">
      <c r="A5933" s="14"/>
      <c r="B5933" s="15"/>
      <c r="C5933" s="16"/>
      <c r="D5933" s="15"/>
      <c r="F5933" s="15"/>
      <c r="G5933" s="26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28"/>
      <c r="AS5933" s="28"/>
      <c r="AT5933" s="28"/>
    </row>
    <row r="5934">
      <c r="A5934" s="14"/>
      <c r="B5934" s="15"/>
      <c r="C5934" s="16"/>
      <c r="D5934" s="15"/>
      <c r="F5934" s="15"/>
      <c r="G5934" s="26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28"/>
      <c r="AS5934" s="28"/>
      <c r="AT5934" s="28"/>
    </row>
    <row r="5935">
      <c r="A5935" s="14"/>
      <c r="B5935" s="15"/>
      <c r="C5935" s="16"/>
      <c r="D5935" s="15"/>
      <c r="F5935" s="15"/>
      <c r="G5935" s="26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28"/>
      <c r="AS5935" s="28"/>
      <c r="AT5935" s="28"/>
    </row>
    <row r="5936">
      <c r="A5936" s="14"/>
      <c r="B5936" s="15"/>
      <c r="C5936" s="16"/>
      <c r="D5936" s="15"/>
      <c r="F5936" s="15"/>
      <c r="G5936" s="26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28"/>
      <c r="AS5936" s="28"/>
      <c r="AT5936" s="28"/>
    </row>
    <row r="5937">
      <c r="A5937" s="14"/>
      <c r="B5937" s="15"/>
      <c r="C5937" s="16"/>
      <c r="D5937" s="15"/>
      <c r="F5937" s="15"/>
      <c r="G5937" s="26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28"/>
      <c r="AS5937" s="28"/>
      <c r="AT5937" s="28"/>
    </row>
    <row r="5938">
      <c r="A5938" s="14"/>
      <c r="B5938" s="15"/>
      <c r="C5938" s="16"/>
      <c r="D5938" s="15"/>
      <c r="F5938" s="15"/>
      <c r="G5938" s="26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28"/>
      <c r="AS5938" s="28"/>
      <c r="AT5938" s="28"/>
    </row>
    <row r="5939">
      <c r="A5939" s="14"/>
      <c r="B5939" s="15"/>
      <c r="C5939" s="16"/>
      <c r="D5939" s="15"/>
      <c r="F5939" s="15"/>
      <c r="G5939" s="26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8"/>
      <c r="X5939" s="28"/>
      <c r="Y5939" s="28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28"/>
      <c r="AS5939" s="28"/>
      <c r="AT5939" s="28"/>
    </row>
    <row r="5940">
      <c r="A5940" s="14"/>
      <c r="B5940" s="15"/>
      <c r="C5940" s="16"/>
      <c r="D5940" s="15"/>
      <c r="F5940" s="15"/>
      <c r="G5940" s="26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8"/>
      <c r="X5940" s="28"/>
      <c r="Y5940" s="28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28"/>
      <c r="AS5940" s="28"/>
      <c r="AT5940" s="28"/>
    </row>
    <row r="5941">
      <c r="A5941" s="14"/>
      <c r="B5941" s="15"/>
      <c r="C5941" s="16"/>
      <c r="D5941" s="15"/>
      <c r="F5941" s="15"/>
      <c r="G5941" s="26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8"/>
      <c r="X5941" s="28"/>
      <c r="Y5941" s="28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28"/>
      <c r="AS5941" s="28"/>
      <c r="AT5941" s="28"/>
    </row>
    <row r="5942">
      <c r="A5942" s="14"/>
      <c r="B5942" s="15"/>
      <c r="C5942" s="16"/>
      <c r="D5942" s="15"/>
      <c r="F5942" s="15"/>
      <c r="G5942" s="26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8"/>
      <c r="X5942" s="28"/>
      <c r="Y5942" s="28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28"/>
      <c r="AS5942" s="28"/>
      <c r="AT5942" s="28"/>
    </row>
    <row r="5943">
      <c r="A5943" s="14"/>
      <c r="B5943" s="15"/>
      <c r="C5943" s="16"/>
      <c r="D5943" s="15"/>
      <c r="F5943" s="15"/>
      <c r="G5943" s="26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8"/>
      <c r="X5943" s="28"/>
      <c r="Y5943" s="28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28"/>
      <c r="AS5943" s="28"/>
      <c r="AT5943" s="28"/>
    </row>
    <row r="5944">
      <c r="A5944" s="14"/>
      <c r="B5944" s="15"/>
      <c r="C5944" s="16"/>
      <c r="D5944" s="15"/>
      <c r="F5944" s="15"/>
      <c r="G5944" s="26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8"/>
      <c r="X5944" s="28"/>
      <c r="Y5944" s="28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28"/>
      <c r="AS5944" s="28"/>
      <c r="AT5944" s="28"/>
    </row>
    <row r="5945">
      <c r="A5945" s="14"/>
      <c r="B5945" s="15"/>
      <c r="C5945" s="16"/>
      <c r="D5945" s="15"/>
      <c r="F5945" s="15"/>
      <c r="G5945" s="26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8"/>
      <c r="X5945" s="28"/>
      <c r="Y5945" s="28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28"/>
      <c r="AS5945" s="28"/>
      <c r="AT5945" s="28"/>
    </row>
    <row r="5946">
      <c r="A5946" s="14"/>
      <c r="B5946" s="15"/>
      <c r="C5946" s="16"/>
      <c r="D5946" s="15"/>
      <c r="F5946" s="15"/>
      <c r="G5946" s="26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8"/>
      <c r="X5946" s="28"/>
      <c r="Y5946" s="28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28"/>
      <c r="AS5946" s="28"/>
      <c r="AT5946" s="28"/>
    </row>
    <row r="5947">
      <c r="A5947" s="14"/>
      <c r="B5947" s="15"/>
      <c r="C5947" s="16"/>
      <c r="D5947" s="15"/>
      <c r="F5947" s="15"/>
      <c r="G5947" s="26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8"/>
      <c r="X5947" s="28"/>
      <c r="Y5947" s="28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28"/>
      <c r="AS5947" s="28"/>
      <c r="AT5947" s="28"/>
    </row>
    <row r="5948">
      <c r="A5948" s="14"/>
      <c r="B5948" s="15"/>
      <c r="C5948" s="16"/>
      <c r="D5948" s="15"/>
      <c r="F5948" s="15"/>
      <c r="G5948" s="26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8"/>
      <c r="X5948" s="28"/>
      <c r="Y5948" s="28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28"/>
      <c r="AS5948" s="28"/>
      <c r="AT5948" s="28"/>
    </row>
    <row r="5949">
      <c r="A5949" s="14"/>
      <c r="B5949" s="15"/>
      <c r="C5949" s="16"/>
      <c r="D5949" s="15"/>
      <c r="F5949" s="15"/>
      <c r="G5949" s="26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8"/>
      <c r="X5949" s="28"/>
      <c r="Y5949" s="28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28"/>
      <c r="AS5949" s="28"/>
      <c r="AT5949" s="28"/>
    </row>
    <row r="5950">
      <c r="A5950" s="14"/>
      <c r="B5950" s="15"/>
      <c r="C5950" s="16"/>
      <c r="D5950" s="15"/>
      <c r="F5950" s="15"/>
      <c r="G5950" s="26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8"/>
      <c r="X5950" s="28"/>
      <c r="Y5950" s="28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28"/>
      <c r="AS5950" s="28"/>
      <c r="AT5950" s="28"/>
    </row>
    <row r="5951">
      <c r="A5951" s="14"/>
      <c r="B5951" s="15"/>
      <c r="C5951" s="16"/>
      <c r="D5951" s="15"/>
      <c r="F5951" s="15"/>
      <c r="G5951" s="26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28"/>
      <c r="AS5951" s="28"/>
      <c r="AT5951" s="28"/>
    </row>
    <row r="5952">
      <c r="A5952" s="14"/>
      <c r="B5952" s="15"/>
      <c r="C5952" s="16"/>
      <c r="D5952" s="15"/>
      <c r="F5952" s="15"/>
      <c r="G5952" s="26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8"/>
      <c r="X5952" s="28"/>
      <c r="Y5952" s="28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28"/>
      <c r="AS5952" s="28"/>
      <c r="AT5952" s="28"/>
    </row>
    <row r="5953">
      <c r="A5953" s="14"/>
      <c r="B5953" s="15"/>
      <c r="C5953" s="16"/>
      <c r="D5953" s="15"/>
      <c r="F5953" s="15"/>
      <c r="G5953" s="26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8"/>
      <c r="X5953" s="28"/>
      <c r="Y5953" s="28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28"/>
      <c r="AS5953" s="28"/>
      <c r="AT5953" s="28"/>
    </row>
    <row r="5954">
      <c r="A5954" s="14"/>
      <c r="B5954" s="15"/>
      <c r="C5954" s="16"/>
      <c r="D5954" s="15"/>
      <c r="F5954" s="15"/>
      <c r="G5954" s="26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8"/>
      <c r="X5954" s="28"/>
      <c r="Y5954" s="28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28"/>
      <c r="AS5954" s="28"/>
      <c r="AT5954" s="28"/>
    </row>
    <row r="5955">
      <c r="A5955" s="14"/>
      <c r="B5955" s="15"/>
      <c r="C5955" s="16"/>
      <c r="D5955" s="15"/>
      <c r="F5955" s="15"/>
      <c r="G5955" s="26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8"/>
      <c r="X5955" s="28"/>
      <c r="Y5955" s="28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28"/>
      <c r="AS5955" s="28"/>
      <c r="AT5955" s="28"/>
    </row>
    <row r="5956">
      <c r="A5956" s="14"/>
      <c r="B5956" s="15"/>
      <c r="C5956" s="16"/>
      <c r="D5956" s="15"/>
      <c r="F5956" s="15"/>
      <c r="G5956" s="26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8"/>
      <c r="X5956" s="28"/>
      <c r="Y5956" s="28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28"/>
      <c r="AS5956" s="28"/>
      <c r="AT5956" s="28"/>
    </row>
    <row r="5957">
      <c r="A5957" s="14"/>
      <c r="B5957" s="15"/>
      <c r="C5957" s="16"/>
      <c r="D5957" s="15"/>
      <c r="F5957" s="15"/>
      <c r="G5957" s="26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28"/>
      <c r="AS5957" s="28"/>
      <c r="AT5957" s="28"/>
    </row>
    <row r="5958">
      <c r="A5958" s="14"/>
      <c r="B5958" s="15"/>
      <c r="C5958" s="16"/>
      <c r="D5958" s="15"/>
      <c r="F5958" s="15"/>
      <c r="G5958" s="26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28"/>
      <c r="AS5958" s="28"/>
      <c r="AT5958" s="28"/>
    </row>
    <row r="5959">
      <c r="A5959" s="14"/>
      <c r="B5959" s="15"/>
      <c r="C5959" s="16"/>
      <c r="D5959" s="15"/>
      <c r="F5959" s="15"/>
      <c r="G5959" s="26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8"/>
      <c r="X5959" s="28"/>
      <c r="Y5959" s="28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28"/>
      <c r="AS5959" s="28"/>
      <c r="AT5959" s="28"/>
    </row>
    <row r="5960">
      <c r="A5960" s="14"/>
      <c r="B5960" s="15"/>
      <c r="C5960" s="16"/>
      <c r="D5960" s="15"/>
      <c r="F5960" s="15"/>
      <c r="G5960" s="26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8"/>
      <c r="X5960" s="28"/>
      <c r="Y5960" s="28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28"/>
      <c r="AS5960" s="28"/>
      <c r="AT5960" s="28"/>
    </row>
    <row r="5961">
      <c r="A5961" s="14"/>
      <c r="B5961" s="15"/>
      <c r="C5961" s="16"/>
      <c r="D5961" s="15"/>
      <c r="F5961" s="15"/>
      <c r="G5961" s="26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8"/>
      <c r="X5961" s="28"/>
      <c r="Y5961" s="28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28"/>
      <c r="AS5961" s="28"/>
      <c r="AT5961" s="28"/>
    </row>
    <row r="5962">
      <c r="A5962" s="14"/>
      <c r="B5962" s="15"/>
      <c r="C5962" s="16"/>
      <c r="D5962" s="15"/>
      <c r="F5962" s="15"/>
      <c r="G5962" s="26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8"/>
      <c r="X5962" s="28"/>
      <c r="Y5962" s="28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28"/>
      <c r="AS5962" s="28"/>
      <c r="AT5962" s="28"/>
    </row>
    <row r="5963">
      <c r="A5963" s="14"/>
      <c r="B5963" s="15"/>
      <c r="C5963" s="16"/>
      <c r="D5963" s="15"/>
      <c r="F5963" s="15"/>
      <c r="G5963" s="26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8"/>
      <c r="X5963" s="28"/>
      <c r="Y5963" s="28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28"/>
      <c r="AS5963" s="28"/>
      <c r="AT5963" s="28"/>
    </row>
    <row r="5964">
      <c r="A5964" s="14"/>
      <c r="B5964" s="15"/>
      <c r="C5964" s="16"/>
      <c r="D5964" s="15"/>
      <c r="F5964" s="15"/>
      <c r="G5964" s="26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8"/>
      <c r="X5964" s="28"/>
      <c r="Y5964" s="28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28"/>
      <c r="AS5964" s="28"/>
      <c r="AT5964" s="28"/>
    </row>
    <row r="5965">
      <c r="A5965" s="14"/>
      <c r="B5965" s="15"/>
      <c r="C5965" s="16"/>
      <c r="D5965" s="15"/>
      <c r="F5965" s="15"/>
      <c r="G5965" s="26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8"/>
      <c r="X5965" s="28"/>
      <c r="Y5965" s="28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28"/>
      <c r="AS5965" s="28"/>
      <c r="AT5965" s="28"/>
    </row>
    <row r="5966">
      <c r="A5966" s="14"/>
      <c r="B5966" s="15"/>
      <c r="C5966" s="16"/>
      <c r="D5966" s="15"/>
      <c r="F5966" s="15"/>
      <c r="G5966" s="26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28"/>
      <c r="AS5966" s="28"/>
      <c r="AT5966" s="28"/>
    </row>
    <row r="5967">
      <c r="A5967" s="14"/>
      <c r="B5967" s="15"/>
      <c r="C5967" s="16"/>
      <c r="D5967" s="15"/>
      <c r="F5967" s="15"/>
      <c r="G5967" s="26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28"/>
      <c r="AS5967" s="28"/>
      <c r="AT5967" s="28"/>
    </row>
    <row r="5968">
      <c r="A5968" s="14"/>
      <c r="B5968" s="15"/>
      <c r="C5968" s="16"/>
      <c r="D5968" s="15"/>
      <c r="F5968" s="15"/>
      <c r="G5968" s="26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8"/>
      <c r="X5968" s="28"/>
      <c r="Y5968" s="28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28"/>
      <c r="AS5968" s="28"/>
      <c r="AT5968" s="28"/>
    </row>
    <row r="5969">
      <c r="A5969" s="14"/>
      <c r="B5969" s="15"/>
      <c r="C5969" s="16"/>
      <c r="D5969" s="15"/>
      <c r="F5969" s="15"/>
      <c r="G5969" s="26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8"/>
      <c r="X5969" s="28"/>
      <c r="Y5969" s="28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28"/>
      <c r="AS5969" s="28"/>
      <c r="AT5969" s="28"/>
    </row>
    <row r="5970">
      <c r="A5970" s="14"/>
      <c r="B5970" s="15"/>
      <c r="C5970" s="16"/>
      <c r="D5970" s="15"/>
      <c r="F5970" s="15"/>
      <c r="G5970" s="26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8"/>
      <c r="X5970" s="28"/>
      <c r="Y5970" s="28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28"/>
      <c r="AS5970" s="28"/>
      <c r="AT5970" s="28"/>
    </row>
    <row r="5971">
      <c r="A5971" s="14"/>
      <c r="B5971" s="15"/>
      <c r="C5971" s="16"/>
      <c r="D5971" s="15"/>
      <c r="F5971" s="15"/>
      <c r="G5971" s="26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8"/>
      <c r="X5971" s="28"/>
      <c r="Y5971" s="28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28"/>
      <c r="AS5971" s="28"/>
      <c r="AT5971" s="28"/>
    </row>
    <row r="5972">
      <c r="A5972" s="14"/>
      <c r="B5972" s="15"/>
      <c r="C5972" s="16"/>
      <c r="D5972" s="15"/>
      <c r="F5972" s="15"/>
      <c r="G5972" s="26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8"/>
      <c r="X5972" s="28"/>
      <c r="Y5972" s="28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28"/>
      <c r="AS5972" s="28"/>
      <c r="AT5972" s="28"/>
    </row>
    <row r="5973">
      <c r="A5973" s="14"/>
      <c r="B5973" s="15"/>
      <c r="C5973" s="16"/>
      <c r="D5973" s="15"/>
      <c r="F5973" s="15"/>
      <c r="G5973" s="26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8"/>
      <c r="X5973" s="28"/>
      <c r="Y5973" s="28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28"/>
      <c r="AS5973" s="28"/>
      <c r="AT5973" s="28"/>
    </row>
    <row r="5974">
      <c r="A5974" s="14"/>
      <c r="B5974" s="15"/>
      <c r="C5974" s="16"/>
      <c r="D5974" s="15"/>
      <c r="F5974" s="15"/>
      <c r="G5974" s="26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8"/>
      <c r="X5974" s="28"/>
      <c r="Y5974" s="28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28"/>
      <c r="AS5974" s="28"/>
      <c r="AT5974" s="28"/>
    </row>
    <row r="5975">
      <c r="A5975" s="14"/>
      <c r="B5975" s="15"/>
      <c r="C5975" s="16"/>
      <c r="D5975" s="15"/>
      <c r="F5975" s="15"/>
      <c r="G5975" s="26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8"/>
      <c r="X5975" s="28"/>
      <c r="Y5975" s="28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28"/>
      <c r="AS5975" s="28"/>
      <c r="AT5975" s="28"/>
    </row>
    <row r="5976">
      <c r="A5976" s="14"/>
      <c r="B5976" s="15"/>
      <c r="C5976" s="16"/>
      <c r="D5976" s="15"/>
      <c r="F5976" s="15"/>
      <c r="G5976" s="26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8"/>
      <c r="X5976" s="28"/>
      <c r="Y5976" s="28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28"/>
      <c r="AS5976" s="28"/>
      <c r="AT5976" s="28"/>
    </row>
    <row r="5977">
      <c r="A5977" s="14"/>
      <c r="B5977" s="15"/>
      <c r="C5977" s="16"/>
      <c r="D5977" s="15"/>
      <c r="F5977" s="15"/>
      <c r="G5977" s="26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8"/>
      <c r="X5977" s="28"/>
      <c r="Y5977" s="28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28"/>
      <c r="AS5977" s="28"/>
      <c r="AT5977" s="28"/>
    </row>
    <row r="5978">
      <c r="A5978" s="14"/>
      <c r="B5978" s="15"/>
      <c r="C5978" s="16"/>
      <c r="D5978" s="15"/>
      <c r="F5978" s="15"/>
      <c r="G5978" s="26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28"/>
      <c r="AS5978" s="28"/>
      <c r="AT5978" s="28"/>
    </row>
    <row r="5979">
      <c r="A5979" s="14"/>
      <c r="B5979" s="15"/>
      <c r="C5979" s="16"/>
      <c r="D5979" s="15"/>
      <c r="F5979" s="15"/>
      <c r="G5979" s="26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8"/>
      <c r="X5979" s="28"/>
      <c r="Y5979" s="28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28"/>
      <c r="AS5979" s="28"/>
      <c r="AT5979" s="28"/>
    </row>
    <row r="5980">
      <c r="A5980" s="14"/>
      <c r="B5980" s="15"/>
      <c r="C5980" s="16"/>
      <c r="D5980" s="15"/>
      <c r="F5980" s="15"/>
      <c r="G5980" s="26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8"/>
      <c r="X5980" s="28"/>
      <c r="Y5980" s="28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28"/>
      <c r="AS5980" s="28"/>
      <c r="AT5980" s="28"/>
    </row>
    <row r="5981">
      <c r="A5981" s="14"/>
      <c r="B5981" s="15"/>
      <c r="C5981" s="16"/>
      <c r="D5981" s="15"/>
      <c r="F5981" s="15"/>
      <c r="G5981" s="26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8"/>
      <c r="X5981" s="28"/>
      <c r="Y5981" s="28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28"/>
      <c r="AS5981" s="28"/>
      <c r="AT5981" s="28"/>
    </row>
    <row r="5982">
      <c r="A5982" s="14"/>
      <c r="B5982" s="15"/>
      <c r="C5982" s="16"/>
      <c r="D5982" s="15"/>
      <c r="F5982" s="15"/>
      <c r="G5982" s="26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8"/>
      <c r="X5982" s="28"/>
      <c r="Y5982" s="28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28"/>
      <c r="AS5982" s="28"/>
      <c r="AT5982" s="28"/>
    </row>
    <row r="5983">
      <c r="A5983" s="14"/>
      <c r="B5983" s="15"/>
      <c r="C5983" s="16"/>
      <c r="D5983" s="15"/>
      <c r="F5983" s="15"/>
      <c r="G5983" s="26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28"/>
      <c r="AS5983" s="28"/>
      <c r="AT5983" s="28"/>
    </row>
    <row r="5984">
      <c r="A5984" s="14"/>
      <c r="B5984" s="15"/>
      <c r="C5984" s="16"/>
      <c r="D5984" s="15"/>
      <c r="F5984" s="15"/>
      <c r="G5984" s="26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8"/>
      <c r="X5984" s="28"/>
      <c r="Y5984" s="28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28"/>
      <c r="AS5984" s="28"/>
      <c r="AT5984" s="28"/>
    </row>
    <row r="5985">
      <c r="A5985" s="14"/>
      <c r="B5985" s="15"/>
      <c r="C5985" s="16"/>
      <c r="D5985" s="15"/>
      <c r="F5985" s="15"/>
      <c r="G5985" s="26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8"/>
      <c r="X5985" s="28"/>
      <c r="Y5985" s="28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28"/>
      <c r="AS5985" s="28"/>
      <c r="AT5985" s="28"/>
    </row>
    <row r="5986">
      <c r="A5986" s="14"/>
      <c r="B5986" s="15"/>
      <c r="C5986" s="16"/>
      <c r="D5986" s="15"/>
      <c r="F5986" s="15"/>
      <c r="G5986" s="26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8"/>
      <c r="X5986" s="28"/>
      <c r="Y5986" s="28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28"/>
      <c r="AS5986" s="28"/>
      <c r="AT5986" s="28"/>
    </row>
    <row r="5987">
      <c r="A5987" s="14"/>
      <c r="B5987" s="15"/>
      <c r="C5987" s="16"/>
      <c r="D5987" s="15"/>
      <c r="F5987" s="15"/>
      <c r="G5987" s="26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8"/>
      <c r="X5987" s="28"/>
      <c r="Y5987" s="28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28"/>
      <c r="AS5987" s="28"/>
      <c r="AT5987" s="28"/>
    </row>
    <row r="5988">
      <c r="A5988" s="14"/>
      <c r="B5988" s="15"/>
      <c r="C5988" s="16"/>
      <c r="D5988" s="15"/>
      <c r="F5988" s="15"/>
      <c r="G5988" s="26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8"/>
      <c r="X5988" s="28"/>
      <c r="Y5988" s="28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28"/>
      <c r="AS5988" s="28"/>
      <c r="AT5988" s="28"/>
    </row>
    <row r="5989">
      <c r="A5989" s="14"/>
      <c r="B5989" s="15"/>
      <c r="C5989" s="16"/>
      <c r="D5989" s="15"/>
      <c r="F5989" s="15"/>
      <c r="G5989" s="26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8"/>
      <c r="X5989" s="28"/>
      <c r="Y5989" s="28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28"/>
      <c r="AS5989" s="28"/>
      <c r="AT5989" s="28"/>
    </row>
    <row r="5990">
      <c r="A5990" s="14"/>
      <c r="B5990" s="15"/>
      <c r="C5990" s="16"/>
      <c r="D5990" s="15"/>
      <c r="F5990" s="15"/>
      <c r="G5990" s="26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8"/>
      <c r="X5990" s="28"/>
      <c r="Y5990" s="28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28"/>
      <c r="AS5990" s="28"/>
      <c r="AT5990" s="28"/>
    </row>
    <row r="5991">
      <c r="A5991" s="14"/>
      <c r="B5991" s="15"/>
      <c r="C5991" s="16"/>
      <c r="D5991" s="15"/>
      <c r="F5991" s="15"/>
      <c r="G5991" s="26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8"/>
      <c r="X5991" s="28"/>
      <c r="Y5991" s="28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28"/>
      <c r="AS5991" s="28"/>
      <c r="AT5991" s="28"/>
    </row>
    <row r="5992">
      <c r="A5992" s="14"/>
      <c r="B5992" s="15"/>
      <c r="C5992" s="16"/>
      <c r="D5992" s="15"/>
      <c r="F5992" s="15"/>
      <c r="G5992" s="26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8"/>
      <c r="X5992" s="28"/>
      <c r="Y5992" s="28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28"/>
      <c r="AS5992" s="28"/>
      <c r="AT5992" s="28"/>
    </row>
    <row r="5993">
      <c r="A5993" s="14"/>
      <c r="B5993" s="15"/>
      <c r="C5993" s="16"/>
      <c r="D5993" s="15"/>
      <c r="F5993" s="15"/>
      <c r="G5993" s="26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8"/>
      <c r="X5993" s="28"/>
      <c r="Y5993" s="28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28"/>
      <c r="AS5993" s="28"/>
      <c r="AT5993" s="28"/>
    </row>
    <row r="5994">
      <c r="A5994" s="14"/>
      <c r="B5994" s="15"/>
      <c r="C5994" s="16"/>
      <c r="D5994" s="15"/>
      <c r="F5994" s="15"/>
      <c r="G5994" s="26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28"/>
      <c r="AS5994" s="28"/>
      <c r="AT5994" s="28"/>
    </row>
    <row r="5995">
      <c r="A5995" s="14"/>
      <c r="B5995" s="15"/>
      <c r="C5995" s="16"/>
      <c r="D5995" s="15"/>
      <c r="F5995" s="15"/>
      <c r="G5995" s="26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28"/>
      <c r="AS5995" s="28"/>
      <c r="AT5995" s="28"/>
    </row>
    <row r="5996">
      <c r="A5996" s="14"/>
      <c r="B5996" s="15"/>
      <c r="C5996" s="16"/>
      <c r="D5996" s="15"/>
      <c r="F5996" s="15"/>
      <c r="G5996" s="26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28"/>
      <c r="AS5996" s="28"/>
      <c r="AT5996" s="28"/>
    </row>
    <row r="5997">
      <c r="A5997" s="14"/>
      <c r="B5997" s="15"/>
      <c r="C5997" s="16"/>
      <c r="D5997" s="15"/>
      <c r="F5997" s="15"/>
      <c r="G5997" s="26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28"/>
      <c r="AS5997" s="28"/>
      <c r="AT5997" s="28"/>
    </row>
    <row r="5998">
      <c r="A5998" s="14"/>
      <c r="B5998" s="15"/>
      <c r="C5998" s="16"/>
      <c r="D5998" s="15"/>
      <c r="F5998" s="15"/>
      <c r="G5998" s="26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28"/>
      <c r="AS5998" s="28"/>
      <c r="AT5998" s="28"/>
    </row>
    <row r="5999">
      <c r="A5999" s="14"/>
      <c r="B5999" s="15"/>
      <c r="C5999" s="16"/>
      <c r="D5999" s="15"/>
      <c r="F5999" s="15"/>
      <c r="G5999" s="26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28"/>
      <c r="AS5999" s="28"/>
      <c r="AT5999" s="28"/>
    </row>
    <row r="6000">
      <c r="A6000" s="14"/>
      <c r="B6000" s="15"/>
      <c r="C6000" s="16"/>
      <c r="D6000" s="15"/>
      <c r="F6000" s="15"/>
      <c r="G6000" s="26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28"/>
      <c r="AS6000" s="28"/>
      <c r="AT6000" s="28"/>
    </row>
    <row r="6001">
      <c r="A6001" s="14"/>
      <c r="B6001" s="15"/>
      <c r="C6001" s="16"/>
      <c r="D6001" s="15"/>
      <c r="F6001" s="15"/>
      <c r="G6001" s="26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28"/>
      <c r="AS6001" s="28"/>
      <c r="AT6001" s="28"/>
    </row>
    <row r="6002">
      <c r="A6002" s="14"/>
      <c r="B6002" s="15"/>
      <c r="C6002" s="16"/>
      <c r="D6002" s="15"/>
      <c r="F6002" s="15"/>
      <c r="G6002" s="26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28"/>
      <c r="AS6002" s="28"/>
      <c r="AT6002" s="28"/>
    </row>
    <row r="6003">
      <c r="A6003" s="14"/>
      <c r="B6003" s="15"/>
      <c r="C6003" s="16"/>
      <c r="D6003" s="15"/>
      <c r="F6003" s="15"/>
      <c r="G6003" s="26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28"/>
      <c r="AS6003" s="28"/>
      <c r="AT6003" s="28"/>
    </row>
    <row r="6004">
      <c r="A6004" s="14"/>
      <c r="B6004" s="15"/>
      <c r="C6004" s="16"/>
      <c r="D6004" s="15"/>
      <c r="F6004" s="15"/>
      <c r="G6004" s="26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28"/>
      <c r="AS6004" s="28"/>
      <c r="AT6004" s="28"/>
    </row>
    <row r="6005">
      <c r="A6005" s="14"/>
      <c r="B6005" s="15"/>
      <c r="C6005" s="16"/>
      <c r="D6005" s="15"/>
      <c r="F6005" s="15"/>
      <c r="G6005" s="26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28"/>
      <c r="AS6005" s="28"/>
      <c r="AT6005" s="28"/>
    </row>
    <row r="6006">
      <c r="A6006" s="14"/>
      <c r="B6006" s="15"/>
      <c r="C6006" s="16"/>
      <c r="D6006" s="15"/>
      <c r="F6006" s="15"/>
      <c r="G6006" s="26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28"/>
      <c r="AS6006" s="28"/>
      <c r="AT6006" s="28"/>
    </row>
    <row r="6007">
      <c r="A6007" s="14"/>
      <c r="B6007" s="15"/>
      <c r="C6007" s="16"/>
      <c r="D6007" s="15"/>
      <c r="F6007" s="15"/>
      <c r="G6007" s="26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28"/>
      <c r="AS6007" s="28"/>
      <c r="AT6007" s="28"/>
    </row>
    <row r="6008">
      <c r="A6008" s="14"/>
      <c r="B6008" s="15"/>
      <c r="C6008" s="16"/>
      <c r="D6008" s="15"/>
      <c r="F6008" s="15"/>
      <c r="G6008" s="26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28"/>
      <c r="AS6008" s="28"/>
      <c r="AT6008" s="28"/>
    </row>
    <row r="6009">
      <c r="A6009" s="14"/>
      <c r="B6009" s="15"/>
      <c r="C6009" s="16"/>
      <c r="D6009" s="15"/>
      <c r="F6009" s="15"/>
      <c r="G6009" s="26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28"/>
      <c r="AS6009" s="28"/>
      <c r="AT6009" s="28"/>
    </row>
    <row r="6010">
      <c r="A6010" s="14"/>
      <c r="B6010" s="15"/>
      <c r="C6010" s="16"/>
      <c r="D6010" s="15"/>
      <c r="F6010" s="15"/>
      <c r="G6010" s="26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28"/>
      <c r="AS6010" s="28"/>
      <c r="AT6010" s="28"/>
    </row>
    <row r="6011">
      <c r="A6011" s="14"/>
      <c r="B6011" s="15"/>
      <c r="C6011" s="16"/>
      <c r="D6011" s="15"/>
      <c r="F6011" s="15"/>
      <c r="G6011" s="26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28"/>
      <c r="AS6011" s="28"/>
      <c r="AT6011" s="28"/>
    </row>
    <row r="6012">
      <c r="A6012" s="14"/>
      <c r="B6012" s="15"/>
      <c r="C6012" s="16"/>
      <c r="D6012" s="15"/>
      <c r="F6012" s="15"/>
      <c r="G6012" s="26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28"/>
      <c r="AS6012" s="28"/>
      <c r="AT6012" s="28"/>
    </row>
    <row r="6013">
      <c r="A6013" s="14"/>
      <c r="B6013" s="15"/>
      <c r="C6013" s="16"/>
      <c r="D6013" s="15"/>
      <c r="F6013" s="15"/>
      <c r="G6013" s="26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28"/>
      <c r="AS6013" s="28"/>
      <c r="AT6013" s="28"/>
    </row>
    <row r="6014">
      <c r="A6014" s="14"/>
      <c r="B6014" s="15"/>
      <c r="C6014" s="16"/>
      <c r="D6014" s="15"/>
      <c r="F6014" s="15"/>
      <c r="G6014" s="26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28"/>
      <c r="AS6014" s="28"/>
      <c r="AT6014" s="28"/>
    </row>
    <row r="6015">
      <c r="A6015" s="14"/>
      <c r="B6015" s="15"/>
      <c r="C6015" s="16"/>
      <c r="D6015" s="15"/>
      <c r="F6015" s="15"/>
      <c r="G6015" s="26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28"/>
      <c r="AS6015" s="28"/>
      <c r="AT6015" s="28"/>
    </row>
    <row r="6016">
      <c r="A6016" s="14"/>
      <c r="B6016" s="15"/>
      <c r="C6016" s="16"/>
      <c r="D6016" s="15"/>
      <c r="F6016" s="15"/>
      <c r="G6016" s="26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28"/>
      <c r="AS6016" s="28"/>
      <c r="AT6016" s="28"/>
    </row>
    <row r="6017">
      <c r="A6017" s="14"/>
      <c r="B6017" s="15"/>
      <c r="C6017" s="16"/>
      <c r="D6017" s="15"/>
      <c r="F6017" s="15"/>
      <c r="G6017" s="26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28"/>
      <c r="AS6017" s="28"/>
      <c r="AT6017" s="28"/>
    </row>
    <row r="6018">
      <c r="A6018" s="14"/>
      <c r="B6018" s="15"/>
      <c r="C6018" s="16"/>
      <c r="D6018" s="15"/>
      <c r="F6018" s="15"/>
      <c r="G6018" s="26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28"/>
      <c r="AS6018" s="28"/>
      <c r="AT6018" s="28"/>
    </row>
    <row r="6019">
      <c r="A6019" s="14"/>
      <c r="B6019" s="15"/>
      <c r="C6019" s="16"/>
      <c r="D6019" s="15"/>
      <c r="F6019" s="15"/>
      <c r="G6019" s="26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28"/>
      <c r="AS6019" s="28"/>
      <c r="AT6019" s="28"/>
    </row>
    <row r="6020">
      <c r="A6020" s="14"/>
      <c r="B6020" s="15"/>
      <c r="C6020" s="16"/>
      <c r="D6020" s="15"/>
      <c r="F6020" s="15"/>
      <c r="G6020" s="26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28"/>
      <c r="AS6020" s="28"/>
      <c r="AT6020" s="28"/>
    </row>
    <row r="6021">
      <c r="A6021" s="14"/>
      <c r="B6021" s="15"/>
      <c r="C6021" s="16"/>
      <c r="D6021" s="15"/>
      <c r="F6021" s="15"/>
      <c r="G6021" s="26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28"/>
      <c r="AS6021" s="28"/>
      <c r="AT6021" s="28"/>
    </row>
    <row r="6022">
      <c r="A6022" s="14"/>
      <c r="B6022" s="15"/>
      <c r="C6022" s="16"/>
      <c r="D6022" s="15"/>
      <c r="F6022" s="15"/>
      <c r="G6022" s="26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28"/>
      <c r="AS6022" s="28"/>
      <c r="AT6022" s="28"/>
    </row>
    <row r="6023">
      <c r="A6023" s="14"/>
      <c r="B6023" s="15"/>
      <c r="C6023" s="16"/>
      <c r="D6023" s="15"/>
      <c r="F6023" s="15"/>
      <c r="G6023" s="26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28"/>
      <c r="AS6023" s="28"/>
      <c r="AT6023" s="28"/>
    </row>
    <row r="6024">
      <c r="A6024" s="14"/>
      <c r="B6024" s="15"/>
      <c r="C6024" s="16"/>
      <c r="D6024" s="15"/>
      <c r="F6024" s="15"/>
      <c r="G6024" s="26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28"/>
      <c r="AS6024" s="28"/>
      <c r="AT6024" s="28"/>
    </row>
    <row r="6025">
      <c r="A6025" s="14"/>
      <c r="B6025" s="15"/>
      <c r="C6025" s="16"/>
      <c r="D6025" s="15"/>
      <c r="F6025" s="15"/>
      <c r="G6025" s="26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28"/>
      <c r="AS6025" s="28"/>
      <c r="AT6025" s="28"/>
    </row>
    <row r="6026">
      <c r="A6026" s="14"/>
      <c r="B6026" s="15"/>
      <c r="C6026" s="16"/>
      <c r="D6026" s="15"/>
      <c r="F6026" s="15"/>
      <c r="G6026" s="26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28"/>
      <c r="AS6026" s="28"/>
      <c r="AT6026" s="28"/>
    </row>
    <row r="6027">
      <c r="A6027" s="14"/>
      <c r="B6027" s="15"/>
      <c r="C6027" s="16"/>
      <c r="D6027" s="15"/>
      <c r="F6027" s="15"/>
      <c r="G6027" s="26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28"/>
      <c r="AS6027" s="28"/>
      <c r="AT6027" s="28"/>
    </row>
    <row r="6028">
      <c r="A6028" s="14"/>
      <c r="B6028" s="15"/>
      <c r="C6028" s="16"/>
      <c r="D6028" s="15"/>
      <c r="F6028" s="15"/>
      <c r="G6028" s="26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28"/>
      <c r="AS6028" s="28"/>
      <c r="AT6028" s="28"/>
    </row>
    <row r="6029">
      <c r="A6029" s="14"/>
      <c r="B6029" s="15"/>
      <c r="C6029" s="16"/>
      <c r="D6029" s="15"/>
      <c r="F6029" s="15"/>
      <c r="G6029" s="26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28"/>
      <c r="AS6029" s="28"/>
      <c r="AT6029" s="28"/>
    </row>
    <row r="6030">
      <c r="A6030" s="14"/>
      <c r="B6030" s="15"/>
      <c r="C6030" s="16"/>
      <c r="D6030" s="15"/>
      <c r="F6030" s="15"/>
      <c r="G6030" s="26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28"/>
      <c r="AS6030" s="28"/>
      <c r="AT6030" s="28"/>
    </row>
    <row r="6031">
      <c r="A6031" s="14"/>
      <c r="B6031" s="15"/>
      <c r="C6031" s="16"/>
      <c r="D6031" s="15"/>
      <c r="F6031" s="15"/>
      <c r="G6031" s="26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28"/>
      <c r="AS6031" s="28"/>
      <c r="AT6031" s="28"/>
    </row>
    <row r="6032">
      <c r="A6032" s="14"/>
      <c r="B6032" s="15"/>
      <c r="C6032" s="16"/>
      <c r="D6032" s="15"/>
      <c r="F6032" s="15"/>
      <c r="G6032" s="26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28"/>
      <c r="AS6032" s="28"/>
      <c r="AT6032" s="28"/>
    </row>
    <row r="6033">
      <c r="A6033" s="14"/>
      <c r="B6033" s="15"/>
      <c r="C6033" s="16"/>
      <c r="D6033" s="15"/>
      <c r="F6033" s="15"/>
      <c r="G6033" s="26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28"/>
      <c r="AS6033" s="28"/>
      <c r="AT6033" s="28"/>
    </row>
    <row r="6034">
      <c r="A6034" s="14"/>
      <c r="B6034" s="15"/>
      <c r="C6034" s="16"/>
      <c r="D6034" s="15"/>
      <c r="F6034" s="15"/>
      <c r="G6034" s="26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28"/>
      <c r="AS6034" s="28"/>
      <c r="AT6034" s="28"/>
    </row>
    <row r="6035">
      <c r="A6035" s="14"/>
      <c r="B6035" s="15"/>
      <c r="C6035" s="16"/>
      <c r="D6035" s="15"/>
      <c r="F6035" s="15"/>
      <c r="G6035" s="26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28"/>
      <c r="AS6035" s="28"/>
      <c r="AT6035" s="28"/>
    </row>
    <row r="6036">
      <c r="A6036" s="14"/>
      <c r="B6036" s="15"/>
      <c r="C6036" s="16"/>
      <c r="D6036" s="15"/>
      <c r="F6036" s="15"/>
      <c r="G6036" s="26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28"/>
      <c r="AS6036" s="28"/>
      <c r="AT6036" s="28"/>
    </row>
    <row r="6037">
      <c r="A6037" s="14"/>
      <c r="B6037" s="15"/>
      <c r="C6037" s="16"/>
      <c r="D6037" s="15"/>
      <c r="F6037" s="15"/>
      <c r="G6037" s="26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28"/>
      <c r="AS6037" s="28"/>
      <c r="AT6037" s="28"/>
    </row>
    <row r="6038">
      <c r="A6038" s="14"/>
      <c r="B6038" s="15"/>
      <c r="C6038" s="16"/>
      <c r="D6038" s="15"/>
      <c r="F6038" s="15"/>
      <c r="G6038" s="26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28"/>
      <c r="AS6038" s="28"/>
      <c r="AT6038" s="28"/>
    </row>
    <row r="6039">
      <c r="A6039" s="14"/>
      <c r="B6039" s="15"/>
      <c r="C6039" s="16"/>
      <c r="D6039" s="15"/>
      <c r="F6039" s="15"/>
      <c r="G6039" s="26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28"/>
      <c r="AS6039" s="28"/>
      <c r="AT6039" s="28"/>
    </row>
    <row r="6040">
      <c r="A6040" s="14"/>
      <c r="B6040" s="15"/>
      <c r="C6040" s="16"/>
      <c r="D6040" s="15"/>
      <c r="F6040" s="15"/>
      <c r="G6040" s="26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28"/>
      <c r="AS6040" s="28"/>
      <c r="AT6040" s="28"/>
    </row>
    <row r="6041">
      <c r="A6041" s="14"/>
      <c r="B6041" s="15"/>
      <c r="C6041" s="16"/>
      <c r="D6041" s="15"/>
      <c r="F6041" s="15"/>
      <c r="G6041" s="26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28"/>
      <c r="AS6041" s="28"/>
      <c r="AT6041" s="28"/>
    </row>
    <row r="6042">
      <c r="A6042" s="14"/>
      <c r="B6042" s="15"/>
      <c r="C6042" s="16"/>
      <c r="D6042" s="15"/>
      <c r="F6042" s="15"/>
      <c r="G6042" s="26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28"/>
      <c r="AS6042" s="28"/>
      <c r="AT6042" s="28"/>
    </row>
    <row r="6043">
      <c r="A6043" s="14"/>
      <c r="B6043" s="15"/>
      <c r="C6043" s="16"/>
      <c r="D6043" s="15"/>
      <c r="F6043" s="15"/>
      <c r="G6043" s="26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28"/>
      <c r="AS6043" s="28"/>
      <c r="AT6043" s="28"/>
    </row>
    <row r="6044">
      <c r="A6044" s="14"/>
      <c r="B6044" s="15"/>
      <c r="C6044" s="16"/>
      <c r="D6044" s="15"/>
      <c r="F6044" s="15"/>
      <c r="G6044" s="26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28"/>
      <c r="AS6044" s="28"/>
      <c r="AT6044" s="28"/>
    </row>
    <row r="6045">
      <c r="A6045" s="14"/>
      <c r="B6045" s="15"/>
      <c r="C6045" s="16"/>
      <c r="D6045" s="15"/>
      <c r="F6045" s="15"/>
      <c r="G6045" s="26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28"/>
      <c r="AS6045" s="28"/>
      <c r="AT6045" s="28"/>
    </row>
    <row r="6046">
      <c r="A6046" s="14"/>
      <c r="B6046" s="15"/>
      <c r="C6046" s="16"/>
      <c r="D6046" s="15"/>
      <c r="F6046" s="15"/>
      <c r="G6046" s="26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28"/>
      <c r="AS6046" s="28"/>
      <c r="AT6046" s="28"/>
    </row>
    <row r="6047">
      <c r="A6047" s="14"/>
      <c r="B6047" s="15"/>
      <c r="C6047" s="16"/>
      <c r="D6047" s="15"/>
      <c r="F6047" s="15"/>
      <c r="G6047" s="26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28"/>
      <c r="AS6047" s="28"/>
      <c r="AT6047" s="28"/>
    </row>
    <row r="6048">
      <c r="A6048" s="14"/>
      <c r="B6048" s="15"/>
      <c r="C6048" s="16"/>
      <c r="D6048" s="15"/>
      <c r="F6048" s="15"/>
      <c r="G6048" s="26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28"/>
      <c r="AS6048" s="28"/>
      <c r="AT6048" s="28"/>
    </row>
    <row r="6049">
      <c r="A6049" s="14"/>
      <c r="B6049" s="15"/>
      <c r="C6049" s="16"/>
      <c r="D6049" s="15"/>
      <c r="F6049" s="15"/>
      <c r="G6049" s="26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28"/>
      <c r="AS6049" s="28"/>
      <c r="AT6049" s="28"/>
    </row>
    <row r="6050">
      <c r="A6050" s="14"/>
      <c r="B6050" s="15"/>
      <c r="C6050" s="16"/>
      <c r="D6050" s="15"/>
      <c r="F6050" s="15"/>
      <c r="G6050" s="26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28"/>
      <c r="AS6050" s="28"/>
      <c r="AT6050" s="28"/>
    </row>
    <row r="6051">
      <c r="A6051" s="14"/>
      <c r="B6051" s="15"/>
      <c r="C6051" s="16"/>
      <c r="D6051" s="15"/>
      <c r="F6051" s="15"/>
      <c r="G6051" s="26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28"/>
      <c r="AS6051" s="28"/>
      <c r="AT6051" s="28"/>
    </row>
    <row r="6052">
      <c r="A6052" s="14"/>
      <c r="B6052" s="15"/>
      <c r="C6052" s="16"/>
      <c r="D6052" s="15"/>
      <c r="F6052" s="15"/>
      <c r="G6052" s="26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28"/>
      <c r="AS6052" s="28"/>
      <c r="AT6052" s="28"/>
    </row>
    <row r="6053">
      <c r="A6053" s="14"/>
      <c r="B6053" s="15"/>
      <c r="C6053" s="16"/>
      <c r="D6053" s="15"/>
      <c r="F6053" s="15"/>
      <c r="G6053" s="26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28"/>
      <c r="AS6053" s="28"/>
      <c r="AT6053" s="28"/>
    </row>
    <row r="6054">
      <c r="A6054" s="14"/>
      <c r="B6054" s="15"/>
      <c r="C6054" s="16"/>
      <c r="D6054" s="15"/>
      <c r="F6054" s="15"/>
      <c r="G6054" s="26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28"/>
      <c r="AS6054" s="28"/>
      <c r="AT6054" s="28"/>
    </row>
    <row r="6055">
      <c r="A6055" s="14"/>
      <c r="B6055" s="15"/>
      <c r="C6055" s="16"/>
      <c r="D6055" s="15"/>
      <c r="F6055" s="15"/>
      <c r="G6055" s="26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28"/>
      <c r="AS6055" s="28"/>
      <c r="AT6055" s="28"/>
    </row>
    <row r="6056">
      <c r="A6056" s="14"/>
      <c r="B6056" s="15"/>
      <c r="C6056" s="16"/>
      <c r="D6056" s="15"/>
      <c r="F6056" s="15"/>
      <c r="G6056" s="26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28"/>
      <c r="AS6056" s="28"/>
      <c r="AT6056" s="28"/>
    </row>
    <row r="6057">
      <c r="A6057" s="14"/>
      <c r="B6057" s="15"/>
      <c r="C6057" s="16"/>
      <c r="D6057" s="15"/>
      <c r="F6057" s="15"/>
      <c r="G6057" s="26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28"/>
      <c r="AS6057" s="28"/>
      <c r="AT6057" s="28"/>
    </row>
    <row r="6058">
      <c r="A6058" s="14"/>
      <c r="B6058" s="15"/>
      <c r="C6058" s="16"/>
      <c r="D6058" s="15"/>
      <c r="F6058" s="15"/>
      <c r="G6058" s="26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28"/>
      <c r="AS6058" s="28"/>
      <c r="AT6058" s="28"/>
    </row>
    <row r="6059">
      <c r="A6059" s="14"/>
      <c r="B6059" s="15"/>
      <c r="C6059" s="16"/>
      <c r="D6059" s="15"/>
      <c r="F6059" s="15"/>
      <c r="G6059" s="26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28"/>
      <c r="AS6059" s="28"/>
      <c r="AT6059" s="28"/>
    </row>
    <row r="6060">
      <c r="A6060" s="14"/>
      <c r="B6060" s="15"/>
      <c r="C6060" s="16"/>
      <c r="D6060" s="15"/>
      <c r="F6060" s="15"/>
      <c r="G6060" s="26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28"/>
      <c r="AS6060" s="28"/>
      <c r="AT6060" s="28"/>
    </row>
    <row r="6061">
      <c r="A6061" s="14"/>
      <c r="B6061" s="15"/>
      <c r="C6061" s="16"/>
      <c r="D6061" s="15"/>
      <c r="F6061" s="15"/>
      <c r="G6061" s="26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28"/>
      <c r="AS6061" s="28"/>
      <c r="AT6061" s="28"/>
    </row>
    <row r="6062">
      <c r="A6062" s="14"/>
      <c r="B6062" s="15"/>
      <c r="C6062" s="16"/>
      <c r="D6062" s="15"/>
      <c r="F6062" s="15"/>
      <c r="G6062" s="26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28"/>
      <c r="AS6062" s="28"/>
      <c r="AT6062" s="28"/>
    </row>
    <row r="6063">
      <c r="A6063" s="14"/>
      <c r="B6063" s="15"/>
      <c r="C6063" s="16"/>
      <c r="D6063" s="15"/>
      <c r="F6063" s="15"/>
      <c r="G6063" s="26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28"/>
      <c r="AS6063" s="28"/>
      <c r="AT6063" s="28"/>
    </row>
    <row r="6064">
      <c r="A6064" s="14"/>
      <c r="B6064" s="15"/>
      <c r="C6064" s="16"/>
      <c r="D6064" s="15"/>
      <c r="F6064" s="15"/>
      <c r="G6064" s="26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28"/>
      <c r="AS6064" s="28"/>
      <c r="AT6064" s="28"/>
    </row>
    <row r="6065">
      <c r="A6065" s="14"/>
      <c r="B6065" s="15"/>
      <c r="C6065" s="16"/>
      <c r="D6065" s="15"/>
      <c r="F6065" s="15"/>
      <c r="G6065" s="26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28"/>
      <c r="AS6065" s="28"/>
      <c r="AT6065" s="28"/>
    </row>
    <row r="6066">
      <c r="A6066" s="14"/>
      <c r="B6066" s="15"/>
      <c r="C6066" s="16"/>
      <c r="D6066" s="15"/>
      <c r="F6066" s="15"/>
      <c r="G6066" s="26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28"/>
      <c r="AS6066" s="28"/>
      <c r="AT6066" s="28"/>
    </row>
    <row r="6067">
      <c r="A6067" s="14"/>
      <c r="B6067" s="15"/>
      <c r="C6067" s="16"/>
      <c r="D6067" s="15"/>
      <c r="F6067" s="15"/>
      <c r="G6067" s="26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28"/>
      <c r="AS6067" s="28"/>
      <c r="AT6067" s="28"/>
    </row>
    <row r="6068">
      <c r="A6068" s="14"/>
      <c r="B6068" s="15"/>
      <c r="C6068" s="16"/>
      <c r="D6068" s="15"/>
      <c r="F6068" s="15"/>
      <c r="G6068" s="26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28"/>
      <c r="AS6068" s="28"/>
      <c r="AT6068" s="28"/>
    </row>
    <row r="6069">
      <c r="A6069" s="14"/>
      <c r="B6069" s="15"/>
      <c r="C6069" s="16"/>
      <c r="D6069" s="15"/>
      <c r="F6069" s="15"/>
      <c r="G6069" s="26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28"/>
      <c r="AS6069" s="28"/>
      <c r="AT6069" s="28"/>
    </row>
    <row r="6070">
      <c r="A6070" s="14"/>
      <c r="B6070" s="15"/>
      <c r="C6070" s="16"/>
      <c r="D6070" s="15"/>
      <c r="F6070" s="15"/>
      <c r="G6070" s="26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28"/>
      <c r="AS6070" s="28"/>
      <c r="AT6070" s="28"/>
    </row>
    <row r="6071">
      <c r="A6071" s="14"/>
      <c r="B6071" s="15"/>
      <c r="C6071" s="16"/>
      <c r="D6071" s="15"/>
      <c r="F6071" s="15"/>
      <c r="G6071" s="26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28"/>
      <c r="AS6071" s="28"/>
      <c r="AT6071" s="28"/>
    </row>
    <row r="6072">
      <c r="A6072" s="14"/>
      <c r="B6072" s="15"/>
      <c r="C6072" s="16"/>
      <c r="D6072" s="15"/>
      <c r="F6072" s="15"/>
      <c r="G6072" s="26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28"/>
      <c r="AS6072" s="28"/>
      <c r="AT6072" s="28"/>
    </row>
    <row r="6073">
      <c r="A6073" s="14"/>
      <c r="B6073" s="15"/>
      <c r="C6073" s="16"/>
      <c r="D6073" s="15"/>
      <c r="F6073" s="15"/>
      <c r="G6073" s="26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28"/>
      <c r="AS6073" s="28"/>
      <c r="AT6073" s="28"/>
    </row>
    <row r="6074">
      <c r="A6074" s="14"/>
      <c r="B6074" s="15"/>
      <c r="C6074" s="16"/>
      <c r="D6074" s="15"/>
      <c r="F6074" s="15"/>
      <c r="G6074" s="26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28"/>
      <c r="AS6074" s="28"/>
      <c r="AT6074" s="28"/>
    </row>
    <row r="6075">
      <c r="A6075" s="14"/>
      <c r="B6075" s="15"/>
      <c r="C6075" s="16"/>
      <c r="D6075" s="15"/>
      <c r="F6075" s="15"/>
      <c r="G6075" s="26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28"/>
      <c r="AS6075" s="28"/>
      <c r="AT6075" s="28"/>
    </row>
    <row r="6076">
      <c r="A6076" s="14"/>
      <c r="B6076" s="15"/>
      <c r="C6076" s="16"/>
      <c r="D6076" s="15"/>
      <c r="F6076" s="15"/>
      <c r="G6076" s="26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28"/>
      <c r="AS6076" s="28"/>
      <c r="AT6076" s="28"/>
    </row>
    <row r="6077">
      <c r="A6077" s="14"/>
      <c r="B6077" s="15"/>
      <c r="C6077" s="16"/>
      <c r="D6077" s="15"/>
      <c r="F6077" s="15"/>
      <c r="G6077" s="26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28"/>
      <c r="AS6077" s="28"/>
      <c r="AT6077" s="28"/>
    </row>
    <row r="6078">
      <c r="A6078" s="14"/>
      <c r="B6078" s="15"/>
      <c r="C6078" s="16"/>
      <c r="D6078" s="15"/>
      <c r="F6078" s="15"/>
      <c r="G6078" s="26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28"/>
      <c r="AS6078" s="28"/>
      <c r="AT6078" s="28"/>
    </row>
    <row r="6079">
      <c r="A6079" s="14"/>
      <c r="B6079" s="15"/>
      <c r="C6079" s="16"/>
      <c r="D6079" s="15"/>
      <c r="F6079" s="15"/>
      <c r="G6079" s="26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28"/>
      <c r="AS6079" s="28"/>
      <c r="AT6079" s="28"/>
    </row>
    <row r="6080">
      <c r="A6080" s="14"/>
      <c r="B6080" s="15"/>
      <c r="C6080" s="16"/>
      <c r="D6080" s="15"/>
      <c r="F6080" s="15"/>
      <c r="G6080" s="26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28"/>
      <c r="AS6080" s="28"/>
      <c r="AT6080" s="28"/>
    </row>
    <row r="6081">
      <c r="A6081" s="14"/>
      <c r="B6081" s="15"/>
      <c r="C6081" s="16"/>
      <c r="D6081" s="15"/>
      <c r="F6081" s="15"/>
      <c r="G6081" s="26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28"/>
      <c r="AS6081" s="28"/>
      <c r="AT6081" s="28"/>
    </row>
    <row r="6082">
      <c r="A6082" s="14"/>
      <c r="B6082" s="15"/>
      <c r="C6082" s="16"/>
      <c r="D6082" s="15"/>
      <c r="F6082" s="15"/>
      <c r="G6082" s="26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28"/>
      <c r="AS6082" s="28"/>
      <c r="AT6082" s="28"/>
    </row>
    <row r="6083">
      <c r="A6083" s="14"/>
      <c r="B6083" s="15"/>
      <c r="C6083" s="16"/>
      <c r="D6083" s="15"/>
      <c r="F6083" s="15"/>
      <c r="G6083" s="26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28"/>
      <c r="AS6083" s="28"/>
      <c r="AT6083" s="28"/>
    </row>
    <row r="6084">
      <c r="A6084" s="14"/>
      <c r="B6084" s="15"/>
      <c r="C6084" s="16"/>
      <c r="D6084" s="15"/>
      <c r="F6084" s="15"/>
      <c r="G6084" s="26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28"/>
      <c r="AS6084" s="28"/>
      <c r="AT6084" s="28"/>
    </row>
    <row r="6085">
      <c r="A6085" s="14"/>
      <c r="B6085" s="15"/>
      <c r="C6085" s="16"/>
      <c r="D6085" s="15"/>
      <c r="F6085" s="15"/>
      <c r="G6085" s="26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28"/>
      <c r="AS6085" s="28"/>
      <c r="AT6085" s="28"/>
    </row>
    <row r="6086">
      <c r="A6086" s="14"/>
      <c r="B6086" s="15"/>
      <c r="C6086" s="16"/>
      <c r="D6086" s="15"/>
      <c r="F6086" s="15"/>
      <c r="G6086" s="26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28"/>
      <c r="AS6086" s="28"/>
      <c r="AT6086" s="28"/>
    </row>
    <row r="6087">
      <c r="A6087" s="14"/>
      <c r="B6087" s="15"/>
      <c r="C6087" s="16"/>
      <c r="D6087" s="15"/>
      <c r="F6087" s="15"/>
      <c r="G6087" s="26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28"/>
      <c r="AS6087" s="28"/>
      <c r="AT6087" s="28"/>
    </row>
    <row r="6088">
      <c r="A6088" s="14"/>
      <c r="B6088" s="15"/>
      <c r="C6088" s="16"/>
      <c r="D6088" s="15"/>
      <c r="F6088" s="15"/>
      <c r="G6088" s="26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28"/>
      <c r="AS6088" s="28"/>
      <c r="AT6088" s="28"/>
    </row>
    <row r="6089">
      <c r="A6089" s="14"/>
      <c r="B6089" s="15"/>
      <c r="C6089" s="16"/>
      <c r="D6089" s="15"/>
      <c r="F6089" s="15"/>
      <c r="G6089" s="26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28"/>
      <c r="AS6089" s="28"/>
      <c r="AT6089" s="28"/>
    </row>
    <row r="6090">
      <c r="A6090" s="14"/>
      <c r="B6090" s="15"/>
      <c r="C6090" s="16"/>
      <c r="D6090" s="15"/>
      <c r="F6090" s="15"/>
      <c r="G6090" s="26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28"/>
      <c r="AS6090" s="28"/>
      <c r="AT6090" s="28"/>
    </row>
    <row r="6091">
      <c r="A6091" s="14"/>
      <c r="B6091" s="15"/>
      <c r="C6091" s="16"/>
      <c r="D6091" s="15"/>
      <c r="F6091" s="15"/>
      <c r="G6091" s="26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28"/>
      <c r="AS6091" s="28"/>
      <c r="AT6091" s="28"/>
    </row>
    <row r="6092">
      <c r="A6092" s="14"/>
      <c r="B6092" s="15"/>
      <c r="C6092" s="16"/>
      <c r="D6092" s="15"/>
      <c r="F6092" s="15"/>
      <c r="G6092" s="26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28"/>
      <c r="AS6092" s="28"/>
      <c r="AT6092" s="28"/>
    </row>
    <row r="6093">
      <c r="A6093" s="14"/>
      <c r="B6093" s="15"/>
      <c r="C6093" s="16"/>
      <c r="D6093" s="15"/>
      <c r="F6093" s="15"/>
      <c r="G6093" s="26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28"/>
      <c r="AS6093" s="28"/>
      <c r="AT6093" s="28"/>
    </row>
    <row r="6094">
      <c r="A6094" s="14"/>
      <c r="B6094" s="15"/>
      <c r="C6094" s="16"/>
      <c r="D6094" s="15"/>
      <c r="F6094" s="15"/>
      <c r="G6094" s="26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28"/>
      <c r="AS6094" s="28"/>
      <c r="AT6094" s="28"/>
    </row>
    <row r="6095">
      <c r="A6095" s="14"/>
      <c r="B6095" s="15"/>
      <c r="C6095" s="16"/>
      <c r="D6095" s="15"/>
      <c r="F6095" s="15"/>
      <c r="G6095" s="26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28"/>
      <c r="AS6095" s="28"/>
      <c r="AT6095" s="28"/>
    </row>
    <row r="6096">
      <c r="A6096" s="14"/>
      <c r="B6096" s="15"/>
      <c r="C6096" s="16"/>
      <c r="D6096" s="15"/>
      <c r="F6096" s="15"/>
      <c r="G6096" s="26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28"/>
      <c r="AS6096" s="28"/>
      <c r="AT6096" s="28"/>
    </row>
    <row r="6097">
      <c r="A6097" s="14"/>
      <c r="B6097" s="15"/>
      <c r="C6097" s="16"/>
      <c r="D6097" s="15"/>
      <c r="F6097" s="15"/>
      <c r="G6097" s="26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28"/>
      <c r="AS6097" s="28"/>
      <c r="AT6097" s="28"/>
    </row>
    <row r="6098">
      <c r="A6098" s="14"/>
      <c r="B6098" s="15"/>
      <c r="C6098" s="16"/>
      <c r="D6098" s="15"/>
      <c r="F6098" s="15"/>
      <c r="G6098" s="26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28"/>
      <c r="AS6098" s="28"/>
      <c r="AT6098" s="28"/>
    </row>
    <row r="6099">
      <c r="A6099" s="14"/>
      <c r="B6099" s="15"/>
      <c r="C6099" s="16"/>
      <c r="D6099" s="15"/>
      <c r="F6099" s="15"/>
      <c r="G6099" s="26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28"/>
      <c r="AS6099" s="28"/>
      <c r="AT6099" s="28"/>
    </row>
    <row r="6100">
      <c r="A6100" s="14"/>
      <c r="B6100" s="15"/>
      <c r="C6100" s="16"/>
      <c r="D6100" s="15"/>
      <c r="F6100" s="15"/>
      <c r="G6100" s="26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28"/>
      <c r="AS6100" s="28"/>
      <c r="AT6100" s="28"/>
    </row>
    <row r="6101">
      <c r="A6101" s="14"/>
      <c r="B6101" s="15"/>
      <c r="C6101" s="16"/>
      <c r="D6101" s="15"/>
      <c r="F6101" s="15"/>
      <c r="G6101" s="26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28"/>
      <c r="AS6101" s="28"/>
      <c r="AT6101" s="28"/>
    </row>
    <row r="6102">
      <c r="A6102" s="14"/>
      <c r="B6102" s="15"/>
      <c r="C6102" s="16"/>
      <c r="D6102" s="15"/>
      <c r="F6102" s="15"/>
      <c r="G6102" s="26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28"/>
      <c r="AS6102" s="28"/>
      <c r="AT6102" s="28"/>
    </row>
    <row r="6103">
      <c r="A6103" s="14"/>
      <c r="B6103" s="15"/>
      <c r="C6103" s="16"/>
      <c r="D6103" s="15"/>
      <c r="F6103" s="15"/>
      <c r="G6103" s="26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28"/>
      <c r="AS6103" s="28"/>
      <c r="AT6103" s="28"/>
    </row>
    <row r="6104">
      <c r="A6104" s="14"/>
      <c r="B6104" s="15"/>
      <c r="C6104" s="16"/>
      <c r="D6104" s="15"/>
      <c r="F6104" s="15"/>
      <c r="G6104" s="26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28"/>
      <c r="AS6104" s="28"/>
      <c r="AT6104" s="28"/>
    </row>
    <row r="6105">
      <c r="A6105" s="14"/>
      <c r="B6105" s="15"/>
      <c r="C6105" s="16"/>
      <c r="D6105" s="15"/>
      <c r="F6105" s="15"/>
      <c r="G6105" s="26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28"/>
      <c r="AS6105" s="28"/>
      <c r="AT6105" s="28"/>
    </row>
    <row r="6106">
      <c r="A6106" s="14"/>
      <c r="B6106" s="15"/>
      <c r="C6106" s="16"/>
      <c r="D6106" s="15"/>
      <c r="F6106" s="15"/>
      <c r="G6106" s="26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28"/>
      <c r="AS6106" s="28"/>
      <c r="AT6106" s="28"/>
    </row>
    <row r="6107">
      <c r="A6107" s="14"/>
      <c r="B6107" s="15"/>
      <c r="C6107" s="16"/>
      <c r="D6107" s="15"/>
      <c r="F6107" s="15"/>
      <c r="G6107" s="26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8"/>
      <c r="X6107" s="28"/>
      <c r="Y6107" s="28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28"/>
      <c r="AS6107" s="28"/>
      <c r="AT6107" s="28"/>
    </row>
    <row r="6108">
      <c r="A6108" s="14"/>
      <c r="B6108" s="15"/>
      <c r="C6108" s="16"/>
      <c r="D6108" s="15"/>
      <c r="F6108" s="15"/>
      <c r="G6108" s="26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8"/>
      <c r="X6108" s="28"/>
      <c r="Y6108" s="28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28"/>
      <c r="AS6108" s="28"/>
      <c r="AT6108" s="28"/>
    </row>
    <row r="6109">
      <c r="A6109" s="14"/>
      <c r="B6109" s="15"/>
      <c r="C6109" s="16"/>
      <c r="D6109" s="15"/>
      <c r="F6109" s="15"/>
      <c r="G6109" s="26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8"/>
      <c r="X6109" s="28"/>
      <c r="Y6109" s="28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28"/>
      <c r="AS6109" s="28"/>
      <c r="AT6109" s="28"/>
    </row>
    <row r="6110">
      <c r="A6110" s="14"/>
      <c r="B6110" s="15"/>
      <c r="C6110" s="16"/>
      <c r="D6110" s="15"/>
      <c r="F6110" s="15"/>
      <c r="G6110" s="26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8"/>
      <c r="X6110" s="28"/>
      <c r="Y6110" s="28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28"/>
      <c r="AS6110" s="28"/>
      <c r="AT6110" s="28"/>
    </row>
    <row r="6111">
      <c r="A6111" s="14"/>
      <c r="B6111" s="15"/>
      <c r="C6111" s="16"/>
      <c r="D6111" s="15"/>
      <c r="F6111" s="15"/>
      <c r="G6111" s="26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8"/>
      <c r="X6111" s="28"/>
      <c r="Y6111" s="28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28"/>
      <c r="AS6111" s="28"/>
      <c r="AT6111" s="28"/>
    </row>
    <row r="6112">
      <c r="A6112" s="14"/>
      <c r="B6112" s="15"/>
      <c r="C6112" s="16"/>
      <c r="D6112" s="15"/>
      <c r="F6112" s="15"/>
      <c r="G6112" s="26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28"/>
      <c r="AS6112" s="28"/>
      <c r="AT6112" s="28"/>
    </row>
    <row r="6113">
      <c r="A6113" s="14"/>
      <c r="B6113" s="15"/>
      <c r="C6113" s="16"/>
      <c r="D6113" s="15"/>
      <c r="F6113" s="15"/>
      <c r="G6113" s="26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8"/>
      <c r="X6113" s="28"/>
      <c r="Y6113" s="28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28"/>
      <c r="AS6113" s="28"/>
      <c r="AT6113" s="28"/>
    </row>
    <row r="6114">
      <c r="A6114" s="14"/>
      <c r="B6114" s="15"/>
      <c r="C6114" s="16"/>
      <c r="D6114" s="15"/>
      <c r="F6114" s="15"/>
      <c r="G6114" s="26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28"/>
      <c r="AS6114" s="28"/>
      <c r="AT6114" s="28"/>
    </row>
    <row r="6115">
      <c r="A6115" s="14"/>
      <c r="B6115" s="15"/>
      <c r="C6115" s="16"/>
      <c r="D6115" s="15"/>
      <c r="F6115" s="15"/>
      <c r="G6115" s="26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8"/>
      <c r="X6115" s="28"/>
      <c r="Y6115" s="28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28"/>
      <c r="AS6115" s="28"/>
      <c r="AT6115" s="28"/>
    </row>
    <row r="6116">
      <c r="A6116" s="14"/>
      <c r="B6116" s="15"/>
      <c r="C6116" s="16"/>
      <c r="D6116" s="15"/>
      <c r="F6116" s="15"/>
      <c r="G6116" s="26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28"/>
      <c r="AS6116" s="28"/>
      <c r="AT6116" s="28"/>
    </row>
    <row r="6117">
      <c r="A6117" s="14"/>
      <c r="B6117" s="15"/>
      <c r="C6117" s="16"/>
      <c r="D6117" s="15"/>
      <c r="F6117" s="15"/>
      <c r="G6117" s="26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8"/>
      <c r="X6117" s="28"/>
      <c r="Y6117" s="28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28"/>
      <c r="AS6117" s="28"/>
      <c r="AT6117" s="28"/>
    </row>
    <row r="6118">
      <c r="A6118" s="14"/>
      <c r="B6118" s="15"/>
      <c r="C6118" s="16"/>
      <c r="D6118" s="15"/>
      <c r="F6118" s="15"/>
      <c r="G6118" s="26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8"/>
      <c r="X6118" s="28"/>
      <c r="Y6118" s="28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28"/>
      <c r="AS6118" s="28"/>
      <c r="AT6118" s="28"/>
    </row>
    <row r="6119">
      <c r="A6119" s="14"/>
      <c r="B6119" s="15"/>
      <c r="C6119" s="16"/>
      <c r="D6119" s="15"/>
      <c r="F6119" s="15"/>
      <c r="G6119" s="26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8"/>
      <c r="X6119" s="28"/>
      <c r="Y6119" s="28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28"/>
      <c r="AS6119" s="28"/>
      <c r="AT6119" s="28"/>
    </row>
    <row r="6120">
      <c r="A6120" s="14"/>
      <c r="B6120" s="15"/>
      <c r="C6120" s="16"/>
      <c r="D6120" s="15"/>
      <c r="F6120" s="15"/>
      <c r="G6120" s="26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8"/>
      <c r="X6120" s="28"/>
      <c r="Y6120" s="28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28"/>
      <c r="AS6120" s="28"/>
      <c r="AT6120" s="28"/>
    </row>
    <row r="6121">
      <c r="A6121" s="14"/>
      <c r="B6121" s="15"/>
      <c r="C6121" s="16"/>
      <c r="D6121" s="15"/>
      <c r="F6121" s="15"/>
      <c r="G6121" s="26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8"/>
      <c r="X6121" s="28"/>
      <c r="Y6121" s="28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28"/>
      <c r="AS6121" s="28"/>
      <c r="AT6121" s="28"/>
    </row>
    <row r="6122">
      <c r="A6122" s="14"/>
      <c r="B6122" s="15"/>
      <c r="C6122" s="16"/>
      <c r="D6122" s="15"/>
      <c r="F6122" s="15"/>
      <c r="G6122" s="26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8"/>
      <c r="X6122" s="28"/>
      <c r="Y6122" s="28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28"/>
      <c r="AS6122" s="28"/>
      <c r="AT6122" s="28"/>
    </row>
    <row r="6123">
      <c r="A6123" s="14"/>
      <c r="B6123" s="15"/>
      <c r="C6123" s="16"/>
      <c r="D6123" s="15"/>
      <c r="F6123" s="15"/>
      <c r="G6123" s="26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8"/>
      <c r="X6123" s="28"/>
      <c r="Y6123" s="28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28"/>
      <c r="AS6123" s="28"/>
      <c r="AT6123" s="28"/>
    </row>
    <row r="6124">
      <c r="A6124" s="14"/>
      <c r="B6124" s="15"/>
      <c r="C6124" s="16"/>
      <c r="D6124" s="15"/>
      <c r="F6124" s="15"/>
      <c r="G6124" s="26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8"/>
      <c r="X6124" s="28"/>
      <c r="Y6124" s="28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28"/>
      <c r="AS6124" s="28"/>
      <c r="AT6124" s="28"/>
    </row>
    <row r="6125">
      <c r="A6125" s="14"/>
      <c r="B6125" s="15"/>
      <c r="C6125" s="16"/>
      <c r="D6125" s="15"/>
      <c r="F6125" s="15"/>
      <c r="G6125" s="26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8"/>
      <c r="X6125" s="28"/>
      <c r="Y6125" s="28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28"/>
      <c r="AS6125" s="28"/>
      <c r="AT6125" s="28"/>
    </row>
    <row r="6126">
      <c r="A6126" s="14"/>
      <c r="B6126" s="15"/>
      <c r="C6126" s="16"/>
      <c r="D6126" s="15"/>
      <c r="F6126" s="15"/>
      <c r="G6126" s="26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8"/>
      <c r="X6126" s="28"/>
      <c r="Y6126" s="28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28"/>
      <c r="AS6126" s="28"/>
      <c r="AT6126" s="28"/>
    </row>
    <row r="6127">
      <c r="A6127" s="14"/>
      <c r="B6127" s="15"/>
      <c r="C6127" s="16"/>
      <c r="D6127" s="15"/>
      <c r="F6127" s="15"/>
      <c r="G6127" s="26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8"/>
      <c r="X6127" s="28"/>
      <c r="Y6127" s="28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28"/>
      <c r="AS6127" s="28"/>
      <c r="AT6127" s="28"/>
    </row>
    <row r="6128">
      <c r="A6128" s="14"/>
      <c r="B6128" s="15"/>
      <c r="C6128" s="16"/>
      <c r="D6128" s="15"/>
      <c r="F6128" s="15"/>
      <c r="G6128" s="26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8"/>
      <c r="X6128" s="28"/>
      <c r="Y6128" s="28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28"/>
      <c r="AS6128" s="28"/>
      <c r="AT6128" s="28"/>
    </row>
    <row r="6129">
      <c r="A6129" s="14"/>
      <c r="B6129" s="15"/>
      <c r="C6129" s="16"/>
      <c r="D6129" s="15"/>
      <c r="F6129" s="15"/>
      <c r="G6129" s="26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8"/>
      <c r="X6129" s="28"/>
      <c r="Y6129" s="28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28"/>
      <c r="AS6129" s="28"/>
      <c r="AT6129" s="28"/>
    </row>
    <row r="6130">
      <c r="A6130" s="14"/>
      <c r="B6130" s="15"/>
      <c r="C6130" s="16"/>
      <c r="D6130" s="15"/>
      <c r="F6130" s="15"/>
      <c r="G6130" s="26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28"/>
      <c r="AS6130" s="28"/>
      <c r="AT6130" s="28"/>
    </row>
    <row r="6131">
      <c r="A6131" s="14"/>
      <c r="B6131" s="15"/>
      <c r="C6131" s="16"/>
      <c r="D6131" s="15"/>
      <c r="F6131" s="15"/>
      <c r="G6131" s="26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8"/>
      <c r="X6131" s="28"/>
      <c r="Y6131" s="28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28"/>
      <c r="AS6131" s="28"/>
      <c r="AT6131" s="28"/>
    </row>
    <row r="6132">
      <c r="A6132" s="14"/>
      <c r="B6132" s="15"/>
      <c r="C6132" s="16"/>
      <c r="D6132" s="15"/>
      <c r="F6132" s="15"/>
      <c r="G6132" s="26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8"/>
      <c r="X6132" s="28"/>
      <c r="Y6132" s="28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28"/>
      <c r="AS6132" s="28"/>
      <c r="AT6132" s="28"/>
    </row>
    <row r="6133">
      <c r="A6133" s="14"/>
      <c r="B6133" s="15"/>
      <c r="C6133" s="16"/>
      <c r="D6133" s="15"/>
      <c r="F6133" s="15"/>
      <c r="G6133" s="26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8"/>
      <c r="X6133" s="28"/>
      <c r="Y6133" s="28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28"/>
      <c r="AS6133" s="28"/>
      <c r="AT6133" s="28"/>
    </row>
    <row r="6134">
      <c r="A6134" s="14"/>
      <c r="B6134" s="15"/>
      <c r="C6134" s="16"/>
      <c r="D6134" s="15"/>
      <c r="F6134" s="15"/>
      <c r="G6134" s="26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8"/>
      <c r="X6134" s="28"/>
      <c r="Y6134" s="28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28"/>
      <c r="AS6134" s="28"/>
      <c r="AT6134" s="28"/>
    </row>
    <row r="6135">
      <c r="A6135" s="14"/>
      <c r="B6135" s="15"/>
      <c r="C6135" s="16"/>
      <c r="D6135" s="15"/>
      <c r="F6135" s="15"/>
      <c r="G6135" s="26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8"/>
      <c r="X6135" s="28"/>
      <c r="Y6135" s="28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28"/>
      <c r="AS6135" s="28"/>
      <c r="AT6135" s="28"/>
    </row>
    <row r="6136">
      <c r="A6136" s="14"/>
      <c r="B6136" s="15"/>
      <c r="C6136" s="16"/>
      <c r="D6136" s="15"/>
      <c r="F6136" s="15"/>
      <c r="G6136" s="26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28"/>
      <c r="AS6136" s="28"/>
      <c r="AT6136" s="28"/>
    </row>
    <row r="6137">
      <c r="A6137" s="14"/>
      <c r="B6137" s="15"/>
      <c r="C6137" s="16"/>
      <c r="D6137" s="15"/>
      <c r="F6137" s="15"/>
      <c r="G6137" s="26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8"/>
      <c r="X6137" s="28"/>
      <c r="Y6137" s="28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28"/>
      <c r="AS6137" s="28"/>
      <c r="AT6137" s="28"/>
    </row>
    <row r="6138">
      <c r="A6138" s="14"/>
      <c r="B6138" s="15"/>
      <c r="C6138" s="16"/>
      <c r="D6138" s="15"/>
      <c r="F6138" s="15"/>
      <c r="G6138" s="26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8"/>
      <c r="X6138" s="28"/>
      <c r="Y6138" s="28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28"/>
      <c r="AS6138" s="28"/>
      <c r="AT6138" s="28"/>
    </row>
    <row r="6139">
      <c r="A6139" s="14"/>
      <c r="B6139" s="15"/>
      <c r="C6139" s="16"/>
      <c r="D6139" s="15"/>
      <c r="F6139" s="15"/>
      <c r="G6139" s="26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8"/>
      <c r="X6139" s="28"/>
      <c r="Y6139" s="28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28"/>
      <c r="AS6139" s="28"/>
      <c r="AT6139" s="28"/>
    </row>
    <row r="6140">
      <c r="A6140" s="14"/>
      <c r="B6140" s="15"/>
      <c r="C6140" s="16"/>
      <c r="D6140" s="15"/>
      <c r="F6140" s="15"/>
      <c r="G6140" s="26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8"/>
      <c r="X6140" s="28"/>
      <c r="Y6140" s="28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28"/>
      <c r="AS6140" s="28"/>
      <c r="AT6140" s="28"/>
    </row>
    <row r="6141">
      <c r="A6141" s="14"/>
      <c r="B6141" s="15"/>
      <c r="C6141" s="16"/>
      <c r="D6141" s="15"/>
      <c r="F6141" s="15"/>
      <c r="G6141" s="26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8"/>
      <c r="X6141" s="28"/>
      <c r="Y6141" s="28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28"/>
      <c r="AS6141" s="28"/>
      <c r="AT6141" s="28"/>
    </row>
    <row r="6142">
      <c r="A6142" s="14"/>
      <c r="B6142" s="15"/>
      <c r="C6142" s="16"/>
      <c r="D6142" s="15"/>
      <c r="F6142" s="15"/>
      <c r="G6142" s="26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8"/>
      <c r="X6142" s="28"/>
      <c r="Y6142" s="28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28"/>
      <c r="AS6142" s="28"/>
      <c r="AT6142" s="28"/>
    </row>
    <row r="6143">
      <c r="A6143" s="14"/>
      <c r="B6143" s="15"/>
      <c r="C6143" s="16"/>
      <c r="D6143" s="15"/>
      <c r="F6143" s="15"/>
      <c r="G6143" s="26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8"/>
      <c r="X6143" s="28"/>
      <c r="Y6143" s="28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28"/>
      <c r="AS6143" s="28"/>
      <c r="AT6143" s="28"/>
    </row>
    <row r="6144">
      <c r="A6144" s="14"/>
      <c r="B6144" s="15"/>
      <c r="C6144" s="16"/>
      <c r="D6144" s="15"/>
      <c r="F6144" s="15"/>
      <c r="G6144" s="26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8"/>
      <c r="X6144" s="28"/>
      <c r="Y6144" s="28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28"/>
      <c r="AS6144" s="28"/>
      <c r="AT6144" s="28"/>
    </row>
    <row r="6145">
      <c r="A6145" s="14"/>
      <c r="B6145" s="15"/>
      <c r="C6145" s="16"/>
      <c r="D6145" s="15"/>
      <c r="F6145" s="15"/>
      <c r="G6145" s="26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28"/>
      <c r="AS6145" s="28"/>
      <c r="AT6145" s="28"/>
    </row>
    <row r="6146">
      <c r="A6146" s="14"/>
      <c r="B6146" s="15"/>
      <c r="C6146" s="16"/>
      <c r="D6146" s="15"/>
      <c r="F6146" s="15"/>
      <c r="G6146" s="26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28"/>
      <c r="AS6146" s="28"/>
      <c r="AT6146" s="28"/>
    </row>
    <row r="6147">
      <c r="A6147" s="14"/>
      <c r="B6147" s="15"/>
      <c r="C6147" s="16"/>
      <c r="D6147" s="15"/>
      <c r="F6147" s="15"/>
      <c r="G6147" s="26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28"/>
      <c r="AS6147" s="28"/>
      <c r="AT6147" s="28"/>
    </row>
    <row r="6148">
      <c r="A6148" s="14"/>
      <c r="B6148" s="15"/>
      <c r="C6148" s="16"/>
      <c r="D6148" s="15"/>
      <c r="F6148" s="15"/>
      <c r="G6148" s="26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8"/>
      <c r="X6148" s="28"/>
      <c r="Y6148" s="28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28"/>
      <c r="AS6148" s="28"/>
      <c r="AT6148" s="28"/>
    </row>
    <row r="6149">
      <c r="A6149" s="14"/>
      <c r="B6149" s="15"/>
      <c r="C6149" s="16"/>
      <c r="D6149" s="15"/>
      <c r="F6149" s="15"/>
      <c r="G6149" s="26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8"/>
      <c r="X6149" s="28"/>
      <c r="Y6149" s="28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28"/>
      <c r="AS6149" s="28"/>
      <c r="AT6149" s="28"/>
    </row>
    <row r="6150">
      <c r="A6150" s="14"/>
      <c r="B6150" s="15"/>
      <c r="C6150" s="16"/>
      <c r="D6150" s="15"/>
      <c r="F6150" s="15"/>
      <c r="G6150" s="26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8"/>
      <c r="X6150" s="28"/>
      <c r="Y6150" s="28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28"/>
      <c r="AS6150" s="28"/>
      <c r="AT6150" s="28"/>
    </row>
    <row r="6151">
      <c r="A6151" s="14"/>
      <c r="B6151" s="15"/>
      <c r="C6151" s="16"/>
      <c r="D6151" s="15"/>
      <c r="F6151" s="15"/>
      <c r="G6151" s="26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8"/>
      <c r="X6151" s="28"/>
      <c r="Y6151" s="28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28"/>
      <c r="AS6151" s="28"/>
      <c r="AT6151" s="28"/>
    </row>
    <row r="6152">
      <c r="A6152" s="14"/>
      <c r="B6152" s="15"/>
      <c r="C6152" s="16"/>
      <c r="D6152" s="15"/>
      <c r="F6152" s="15"/>
      <c r="G6152" s="26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8"/>
      <c r="X6152" s="28"/>
      <c r="Y6152" s="28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28"/>
      <c r="AS6152" s="28"/>
      <c r="AT6152" s="28"/>
    </row>
    <row r="6153">
      <c r="A6153" s="14"/>
      <c r="B6153" s="15"/>
      <c r="C6153" s="16"/>
      <c r="D6153" s="15"/>
      <c r="F6153" s="15"/>
      <c r="G6153" s="26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8"/>
      <c r="X6153" s="28"/>
      <c r="Y6153" s="28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28"/>
      <c r="AS6153" s="28"/>
      <c r="AT6153" s="28"/>
    </row>
    <row r="6154">
      <c r="A6154" s="14"/>
      <c r="B6154" s="15"/>
      <c r="C6154" s="16"/>
      <c r="D6154" s="15"/>
      <c r="F6154" s="15"/>
      <c r="G6154" s="26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8"/>
      <c r="X6154" s="28"/>
      <c r="Y6154" s="28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28"/>
      <c r="AS6154" s="28"/>
      <c r="AT6154" s="28"/>
    </row>
    <row r="6155">
      <c r="A6155" s="14"/>
      <c r="B6155" s="15"/>
      <c r="C6155" s="16"/>
      <c r="D6155" s="15"/>
      <c r="F6155" s="15"/>
      <c r="G6155" s="26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8"/>
      <c r="X6155" s="28"/>
      <c r="Y6155" s="28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28"/>
      <c r="AS6155" s="28"/>
      <c r="AT6155" s="28"/>
    </row>
    <row r="6156">
      <c r="A6156" s="14"/>
      <c r="B6156" s="15"/>
      <c r="C6156" s="16"/>
      <c r="D6156" s="15"/>
      <c r="F6156" s="15"/>
      <c r="G6156" s="26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8"/>
      <c r="X6156" s="28"/>
      <c r="Y6156" s="28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28"/>
      <c r="AS6156" s="28"/>
      <c r="AT6156" s="28"/>
    </row>
    <row r="6157">
      <c r="A6157" s="14"/>
      <c r="B6157" s="15"/>
      <c r="C6157" s="16"/>
      <c r="D6157" s="15"/>
      <c r="F6157" s="15"/>
      <c r="G6157" s="26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8"/>
      <c r="X6157" s="28"/>
      <c r="Y6157" s="28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28"/>
      <c r="AS6157" s="28"/>
      <c r="AT6157" s="28"/>
    </row>
    <row r="6158">
      <c r="A6158" s="14"/>
      <c r="B6158" s="15"/>
      <c r="C6158" s="16"/>
      <c r="D6158" s="15"/>
      <c r="F6158" s="15"/>
      <c r="G6158" s="26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8"/>
      <c r="X6158" s="28"/>
      <c r="Y6158" s="28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28"/>
      <c r="AS6158" s="28"/>
      <c r="AT6158" s="28"/>
    </row>
    <row r="6159">
      <c r="A6159" s="14"/>
      <c r="B6159" s="15"/>
      <c r="C6159" s="16"/>
      <c r="D6159" s="15"/>
      <c r="F6159" s="15"/>
      <c r="G6159" s="26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8"/>
      <c r="X6159" s="28"/>
      <c r="Y6159" s="28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28"/>
      <c r="AS6159" s="28"/>
      <c r="AT6159" s="28"/>
    </row>
    <row r="6160">
      <c r="A6160" s="14"/>
      <c r="B6160" s="15"/>
      <c r="C6160" s="16"/>
      <c r="D6160" s="15"/>
      <c r="F6160" s="15"/>
      <c r="G6160" s="26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8"/>
      <c r="X6160" s="28"/>
      <c r="Y6160" s="28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28"/>
      <c r="AS6160" s="28"/>
      <c r="AT6160" s="28"/>
    </row>
    <row r="6161">
      <c r="A6161" s="14"/>
      <c r="B6161" s="15"/>
      <c r="C6161" s="16"/>
      <c r="D6161" s="15"/>
      <c r="F6161" s="15"/>
      <c r="G6161" s="26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8"/>
      <c r="X6161" s="28"/>
      <c r="Y6161" s="28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28"/>
      <c r="AS6161" s="28"/>
      <c r="AT6161" s="28"/>
    </row>
    <row r="6162">
      <c r="A6162" s="14"/>
      <c r="B6162" s="15"/>
      <c r="C6162" s="16"/>
      <c r="D6162" s="15"/>
      <c r="F6162" s="15"/>
      <c r="G6162" s="26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8"/>
      <c r="X6162" s="28"/>
      <c r="Y6162" s="28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28"/>
      <c r="AS6162" s="28"/>
      <c r="AT6162" s="28"/>
    </row>
    <row r="6163">
      <c r="A6163" s="14"/>
      <c r="B6163" s="15"/>
      <c r="C6163" s="16"/>
      <c r="D6163" s="15"/>
      <c r="F6163" s="15"/>
      <c r="G6163" s="26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8"/>
      <c r="X6163" s="28"/>
      <c r="Y6163" s="28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28"/>
      <c r="AS6163" s="28"/>
      <c r="AT6163" s="28"/>
    </row>
    <row r="6164">
      <c r="A6164" s="14"/>
      <c r="B6164" s="15"/>
      <c r="C6164" s="16"/>
      <c r="D6164" s="15"/>
      <c r="F6164" s="15"/>
      <c r="G6164" s="26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28"/>
      <c r="AS6164" s="28"/>
      <c r="AT6164" s="28"/>
    </row>
    <row r="6165">
      <c r="A6165" s="14"/>
      <c r="B6165" s="15"/>
      <c r="C6165" s="16"/>
      <c r="D6165" s="15"/>
      <c r="F6165" s="15"/>
      <c r="G6165" s="26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8"/>
      <c r="X6165" s="28"/>
      <c r="Y6165" s="28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28"/>
      <c r="AS6165" s="28"/>
      <c r="AT6165" s="28"/>
    </row>
    <row r="6166">
      <c r="A6166" s="14"/>
      <c r="B6166" s="15"/>
      <c r="C6166" s="16"/>
      <c r="D6166" s="15"/>
      <c r="F6166" s="15"/>
      <c r="G6166" s="26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8"/>
      <c r="X6166" s="28"/>
      <c r="Y6166" s="28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28"/>
      <c r="AS6166" s="28"/>
      <c r="AT6166" s="28"/>
    </row>
    <row r="6167">
      <c r="A6167" s="14"/>
      <c r="B6167" s="15"/>
      <c r="C6167" s="16"/>
      <c r="D6167" s="15"/>
      <c r="F6167" s="15"/>
      <c r="G6167" s="26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8"/>
      <c r="X6167" s="28"/>
      <c r="Y6167" s="28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28"/>
      <c r="AS6167" s="28"/>
      <c r="AT6167" s="28"/>
    </row>
    <row r="6168">
      <c r="A6168" s="14"/>
      <c r="B6168" s="15"/>
      <c r="C6168" s="16"/>
      <c r="D6168" s="15"/>
      <c r="F6168" s="15"/>
      <c r="G6168" s="26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8"/>
      <c r="X6168" s="28"/>
      <c r="Y6168" s="28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28"/>
      <c r="AS6168" s="28"/>
      <c r="AT6168" s="28"/>
    </row>
    <row r="6169">
      <c r="A6169" s="14"/>
      <c r="B6169" s="15"/>
      <c r="C6169" s="16"/>
      <c r="D6169" s="15"/>
      <c r="F6169" s="15"/>
      <c r="G6169" s="26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8"/>
      <c r="X6169" s="28"/>
      <c r="Y6169" s="28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28"/>
      <c r="AS6169" s="28"/>
      <c r="AT6169" s="28"/>
    </row>
    <row r="6170">
      <c r="A6170" s="14"/>
      <c r="B6170" s="15"/>
      <c r="C6170" s="16"/>
      <c r="D6170" s="15"/>
      <c r="F6170" s="15"/>
      <c r="G6170" s="26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8"/>
      <c r="X6170" s="28"/>
      <c r="Y6170" s="28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28"/>
      <c r="AS6170" s="28"/>
      <c r="AT6170" s="28"/>
    </row>
    <row r="6171">
      <c r="A6171" s="14"/>
      <c r="B6171" s="15"/>
      <c r="C6171" s="16"/>
      <c r="D6171" s="15"/>
      <c r="F6171" s="15"/>
      <c r="G6171" s="26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8"/>
      <c r="X6171" s="28"/>
      <c r="Y6171" s="28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28"/>
      <c r="AS6171" s="28"/>
      <c r="AT6171" s="28"/>
    </row>
    <row r="6172">
      <c r="A6172" s="14"/>
      <c r="B6172" s="15"/>
      <c r="C6172" s="16"/>
      <c r="D6172" s="15"/>
      <c r="F6172" s="15"/>
      <c r="G6172" s="26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8"/>
      <c r="X6172" s="28"/>
      <c r="Y6172" s="28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28"/>
      <c r="AS6172" s="28"/>
      <c r="AT6172" s="28"/>
    </row>
    <row r="6173">
      <c r="A6173" s="14"/>
      <c r="B6173" s="15"/>
      <c r="C6173" s="16"/>
      <c r="D6173" s="15"/>
      <c r="F6173" s="15"/>
      <c r="G6173" s="26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8"/>
      <c r="X6173" s="28"/>
      <c r="Y6173" s="28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28"/>
      <c r="AS6173" s="28"/>
      <c r="AT6173" s="28"/>
    </row>
    <row r="6174">
      <c r="A6174" s="14"/>
      <c r="B6174" s="15"/>
      <c r="C6174" s="16"/>
      <c r="D6174" s="15"/>
      <c r="F6174" s="15"/>
      <c r="G6174" s="26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8"/>
      <c r="X6174" s="28"/>
      <c r="Y6174" s="28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28"/>
      <c r="AS6174" s="28"/>
      <c r="AT6174" s="28"/>
    </row>
    <row r="6175">
      <c r="A6175" s="14"/>
      <c r="B6175" s="15"/>
      <c r="C6175" s="16"/>
      <c r="D6175" s="15"/>
      <c r="F6175" s="15"/>
      <c r="G6175" s="26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8"/>
      <c r="X6175" s="28"/>
      <c r="Y6175" s="28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28"/>
      <c r="AS6175" s="28"/>
      <c r="AT6175" s="28"/>
    </row>
    <row r="6176">
      <c r="A6176" s="14"/>
      <c r="B6176" s="15"/>
      <c r="C6176" s="16"/>
      <c r="D6176" s="15"/>
      <c r="F6176" s="15"/>
      <c r="G6176" s="26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8"/>
      <c r="X6176" s="28"/>
      <c r="Y6176" s="28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28"/>
      <c r="AS6176" s="28"/>
      <c r="AT6176" s="28"/>
    </row>
    <row r="6177">
      <c r="A6177" s="14"/>
      <c r="B6177" s="15"/>
      <c r="C6177" s="16"/>
      <c r="D6177" s="15"/>
      <c r="F6177" s="15"/>
      <c r="G6177" s="26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8"/>
      <c r="X6177" s="28"/>
      <c r="Y6177" s="28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28"/>
      <c r="AS6177" s="28"/>
      <c r="AT6177" s="28"/>
    </row>
    <row r="6178">
      <c r="A6178" s="14"/>
      <c r="B6178" s="15"/>
      <c r="C6178" s="16"/>
      <c r="D6178" s="15"/>
      <c r="F6178" s="15"/>
      <c r="G6178" s="26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28"/>
      <c r="AS6178" s="28"/>
      <c r="AT6178" s="28"/>
    </row>
    <row r="6179">
      <c r="A6179" s="14"/>
      <c r="B6179" s="15"/>
      <c r="C6179" s="16"/>
      <c r="D6179" s="15"/>
      <c r="F6179" s="15"/>
      <c r="G6179" s="26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8"/>
      <c r="X6179" s="28"/>
      <c r="Y6179" s="28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28"/>
      <c r="AS6179" s="28"/>
      <c r="AT6179" s="28"/>
    </row>
    <row r="6180">
      <c r="A6180" s="14"/>
      <c r="B6180" s="15"/>
      <c r="C6180" s="16"/>
      <c r="D6180" s="15"/>
      <c r="F6180" s="15"/>
      <c r="G6180" s="26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8"/>
      <c r="X6180" s="28"/>
      <c r="Y6180" s="28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28"/>
      <c r="AS6180" s="28"/>
      <c r="AT6180" s="28"/>
    </row>
    <row r="6181">
      <c r="A6181" s="14"/>
      <c r="B6181" s="15"/>
      <c r="C6181" s="16"/>
      <c r="D6181" s="15"/>
      <c r="F6181" s="15"/>
      <c r="G6181" s="26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28"/>
      <c r="AS6181" s="28"/>
      <c r="AT6181" s="28"/>
    </row>
    <row r="6182">
      <c r="A6182" s="14"/>
      <c r="B6182" s="15"/>
      <c r="C6182" s="16"/>
      <c r="D6182" s="15"/>
      <c r="F6182" s="15"/>
      <c r="G6182" s="26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8"/>
      <c r="X6182" s="28"/>
      <c r="Y6182" s="28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28"/>
      <c r="AS6182" s="28"/>
      <c r="AT6182" s="28"/>
    </row>
    <row r="6183">
      <c r="A6183" s="14"/>
      <c r="B6183" s="15"/>
      <c r="C6183" s="16"/>
      <c r="D6183" s="15"/>
      <c r="F6183" s="15"/>
      <c r="G6183" s="26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8"/>
      <c r="X6183" s="28"/>
      <c r="Y6183" s="28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28"/>
      <c r="AS6183" s="28"/>
      <c r="AT6183" s="28"/>
    </row>
    <row r="6184">
      <c r="A6184" s="14"/>
      <c r="B6184" s="15"/>
      <c r="C6184" s="16"/>
      <c r="D6184" s="15"/>
      <c r="F6184" s="15"/>
      <c r="G6184" s="26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8"/>
      <c r="X6184" s="28"/>
      <c r="Y6184" s="28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28"/>
      <c r="AS6184" s="28"/>
      <c r="AT6184" s="28"/>
    </row>
    <row r="6185">
      <c r="A6185" s="14"/>
      <c r="B6185" s="15"/>
      <c r="C6185" s="16"/>
      <c r="D6185" s="15"/>
      <c r="F6185" s="15"/>
      <c r="G6185" s="26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8"/>
      <c r="X6185" s="28"/>
      <c r="Y6185" s="28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28"/>
      <c r="AS6185" s="28"/>
      <c r="AT6185" s="28"/>
    </row>
    <row r="6186">
      <c r="A6186" s="14"/>
      <c r="B6186" s="15"/>
      <c r="C6186" s="16"/>
      <c r="D6186" s="15"/>
      <c r="F6186" s="15"/>
      <c r="G6186" s="26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8"/>
      <c r="X6186" s="28"/>
      <c r="Y6186" s="28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28"/>
      <c r="AS6186" s="28"/>
      <c r="AT6186" s="28"/>
    </row>
    <row r="6187">
      <c r="A6187" s="14"/>
      <c r="B6187" s="15"/>
      <c r="C6187" s="16"/>
      <c r="D6187" s="15"/>
      <c r="F6187" s="15"/>
      <c r="G6187" s="26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8"/>
      <c r="X6187" s="28"/>
      <c r="Y6187" s="28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28"/>
      <c r="AS6187" s="28"/>
      <c r="AT6187" s="28"/>
    </row>
    <row r="6188">
      <c r="A6188" s="14"/>
      <c r="B6188" s="15"/>
      <c r="C6188" s="16"/>
      <c r="D6188" s="15"/>
      <c r="F6188" s="15"/>
      <c r="G6188" s="26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8"/>
      <c r="X6188" s="28"/>
      <c r="Y6188" s="28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28"/>
      <c r="AS6188" s="28"/>
      <c r="AT6188" s="28"/>
    </row>
    <row r="6189">
      <c r="A6189" s="14"/>
      <c r="B6189" s="15"/>
      <c r="C6189" s="16"/>
      <c r="D6189" s="15"/>
      <c r="F6189" s="15"/>
      <c r="G6189" s="26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8"/>
      <c r="X6189" s="28"/>
      <c r="Y6189" s="28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28"/>
      <c r="AS6189" s="28"/>
      <c r="AT6189" s="28"/>
    </row>
    <row r="6190">
      <c r="A6190" s="14"/>
      <c r="B6190" s="15"/>
      <c r="C6190" s="16"/>
      <c r="D6190" s="15"/>
      <c r="F6190" s="15"/>
      <c r="G6190" s="26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8"/>
      <c r="X6190" s="28"/>
      <c r="Y6190" s="28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28"/>
      <c r="AS6190" s="28"/>
      <c r="AT6190" s="28"/>
    </row>
    <row r="6191">
      <c r="A6191" s="14"/>
      <c r="B6191" s="15"/>
      <c r="C6191" s="16"/>
      <c r="D6191" s="15"/>
      <c r="F6191" s="15"/>
      <c r="G6191" s="26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8"/>
      <c r="X6191" s="28"/>
      <c r="Y6191" s="28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28"/>
      <c r="AS6191" s="28"/>
      <c r="AT6191" s="28"/>
    </row>
    <row r="6192">
      <c r="A6192" s="14"/>
      <c r="B6192" s="15"/>
      <c r="C6192" s="16"/>
      <c r="D6192" s="15"/>
      <c r="F6192" s="15"/>
      <c r="G6192" s="26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28"/>
      <c r="AS6192" s="28"/>
      <c r="AT6192" s="28"/>
    </row>
    <row r="6193">
      <c r="A6193" s="14"/>
      <c r="B6193" s="15"/>
      <c r="C6193" s="16"/>
      <c r="D6193" s="15"/>
      <c r="F6193" s="15"/>
      <c r="G6193" s="26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8"/>
      <c r="X6193" s="28"/>
      <c r="Y6193" s="28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28"/>
      <c r="AS6193" s="28"/>
      <c r="AT6193" s="28"/>
    </row>
    <row r="6194">
      <c r="A6194" s="14"/>
      <c r="B6194" s="15"/>
      <c r="C6194" s="16"/>
      <c r="D6194" s="15"/>
      <c r="F6194" s="15"/>
      <c r="G6194" s="26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8"/>
      <c r="X6194" s="28"/>
      <c r="Y6194" s="28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28"/>
      <c r="AS6194" s="28"/>
      <c r="AT6194" s="28"/>
    </row>
    <row r="6195">
      <c r="A6195" s="14"/>
      <c r="B6195" s="15"/>
      <c r="C6195" s="16"/>
      <c r="D6195" s="15"/>
      <c r="F6195" s="15"/>
      <c r="G6195" s="26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8"/>
      <c r="X6195" s="28"/>
      <c r="Y6195" s="28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28"/>
      <c r="AS6195" s="28"/>
      <c r="AT6195" s="28"/>
    </row>
    <row r="6196">
      <c r="A6196" s="14"/>
      <c r="B6196" s="15"/>
      <c r="C6196" s="16"/>
      <c r="D6196" s="15"/>
      <c r="F6196" s="15"/>
      <c r="G6196" s="26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8"/>
      <c r="X6196" s="28"/>
      <c r="Y6196" s="28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28"/>
      <c r="AS6196" s="28"/>
      <c r="AT6196" s="28"/>
    </row>
    <row r="6197">
      <c r="A6197" s="14"/>
      <c r="B6197" s="15"/>
      <c r="C6197" s="16"/>
      <c r="D6197" s="15"/>
      <c r="F6197" s="15"/>
      <c r="G6197" s="26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28"/>
      <c r="AS6197" s="28"/>
      <c r="AT6197" s="28"/>
    </row>
    <row r="6198">
      <c r="A6198" s="14"/>
      <c r="B6198" s="15"/>
      <c r="C6198" s="16"/>
      <c r="D6198" s="15"/>
      <c r="F6198" s="15"/>
      <c r="G6198" s="26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8"/>
      <c r="X6198" s="28"/>
      <c r="Y6198" s="28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28"/>
      <c r="AS6198" s="28"/>
      <c r="AT6198" s="28"/>
    </row>
    <row r="6199">
      <c r="A6199" s="14"/>
      <c r="B6199" s="15"/>
      <c r="C6199" s="16"/>
      <c r="D6199" s="15"/>
      <c r="F6199" s="15"/>
      <c r="G6199" s="26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8"/>
      <c r="X6199" s="28"/>
      <c r="Y6199" s="28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28"/>
      <c r="AS6199" s="28"/>
      <c r="AT6199" s="28"/>
    </row>
    <row r="6200">
      <c r="A6200" s="14"/>
      <c r="B6200" s="15"/>
      <c r="C6200" s="16"/>
      <c r="D6200" s="15"/>
      <c r="F6200" s="15"/>
      <c r="G6200" s="26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28"/>
      <c r="AS6200" s="28"/>
      <c r="AT6200" s="28"/>
    </row>
    <row r="6201">
      <c r="A6201" s="14"/>
      <c r="B6201" s="15"/>
      <c r="C6201" s="16"/>
      <c r="D6201" s="15"/>
      <c r="F6201" s="15"/>
      <c r="G6201" s="26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8"/>
      <c r="X6201" s="28"/>
      <c r="Y6201" s="28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28"/>
      <c r="AS6201" s="28"/>
      <c r="AT6201" s="28"/>
    </row>
    <row r="6202">
      <c r="A6202" s="14"/>
      <c r="B6202" s="15"/>
      <c r="C6202" s="16"/>
      <c r="D6202" s="15"/>
      <c r="F6202" s="15"/>
      <c r="G6202" s="26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8"/>
      <c r="X6202" s="28"/>
      <c r="Y6202" s="28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28"/>
      <c r="AS6202" s="28"/>
      <c r="AT6202" s="28"/>
    </row>
    <row r="6203">
      <c r="A6203" s="14"/>
      <c r="B6203" s="15"/>
      <c r="C6203" s="16"/>
      <c r="D6203" s="15"/>
      <c r="F6203" s="15"/>
      <c r="G6203" s="26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8"/>
      <c r="X6203" s="28"/>
      <c r="Y6203" s="28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28"/>
      <c r="AS6203" s="28"/>
      <c r="AT6203" s="28"/>
    </row>
    <row r="6204">
      <c r="A6204" s="14"/>
      <c r="B6204" s="15"/>
      <c r="C6204" s="16"/>
      <c r="D6204" s="15"/>
      <c r="F6204" s="15"/>
      <c r="G6204" s="26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8"/>
      <c r="X6204" s="28"/>
      <c r="Y6204" s="28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28"/>
      <c r="AS6204" s="28"/>
      <c r="AT6204" s="28"/>
    </row>
    <row r="6205">
      <c r="A6205" s="14"/>
      <c r="B6205" s="15"/>
      <c r="C6205" s="16"/>
      <c r="D6205" s="15"/>
      <c r="F6205" s="15"/>
      <c r="G6205" s="26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8"/>
      <c r="X6205" s="28"/>
      <c r="Y6205" s="28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28"/>
      <c r="AS6205" s="28"/>
      <c r="AT6205" s="28"/>
    </row>
    <row r="6206">
      <c r="A6206" s="14"/>
      <c r="B6206" s="15"/>
      <c r="C6206" s="16"/>
      <c r="D6206" s="15"/>
      <c r="F6206" s="15"/>
      <c r="G6206" s="26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8"/>
      <c r="X6206" s="28"/>
      <c r="Y6206" s="28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28"/>
      <c r="AS6206" s="28"/>
      <c r="AT6206" s="28"/>
    </row>
    <row r="6207">
      <c r="A6207" s="14"/>
      <c r="B6207" s="15"/>
      <c r="C6207" s="16"/>
      <c r="D6207" s="15"/>
      <c r="F6207" s="15"/>
      <c r="G6207" s="26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8"/>
      <c r="X6207" s="28"/>
      <c r="Y6207" s="28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28"/>
      <c r="AS6207" s="28"/>
      <c r="AT6207" s="28"/>
    </row>
    <row r="6208">
      <c r="A6208" s="14"/>
      <c r="B6208" s="15"/>
      <c r="C6208" s="16"/>
      <c r="D6208" s="15"/>
      <c r="F6208" s="15"/>
      <c r="G6208" s="26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8"/>
      <c r="X6208" s="28"/>
      <c r="Y6208" s="28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28"/>
      <c r="AS6208" s="28"/>
      <c r="AT6208" s="28"/>
    </row>
    <row r="6209">
      <c r="A6209" s="14"/>
      <c r="B6209" s="15"/>
      <c r="C6209" s="16"/>
      <c r="D6209" s="15"/>
      <c r="F6209" s="15"/>
      <c r="G6209" s="26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8"/>
      <c r="X6209" s="28"/>
      <c r="Y6209" s="28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28"/>
      <c r="AS6209" s="28"/>
      <c r="AT6209" s="28"/>
    </row>
    <row r="6210">
      <c r="A6210" s="14"/>
      <c r="B6210" s="15"/>
      <c r="C6210" s="16"/>
      <c r="D6210" s="15"/>
      <c r="F6210" s="15"/>
      <c r="G6210" s="26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8"/>
      <c r="X6210" s="28"/>
      <c r="Y6210" s="28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28"/>
      <c r="AS6210" s="28"/>
      <c r="AT6210" s="28"/>
    </row>
    <row r="6211">
      <c r="A6211" s="14"/>
      <c r="B6211" s="15"/>
      <c r="C6211" s="16"/>
      <c r="D6211" s="15"/>
      <c r="F6211" s="15"/>
      <c r="G6211" s="26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8"/>
      <c r="X6211" s="28"/>
      <c r="Y6211" s="28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28"/>
      <c r="AS6211" s="28"/>
      <c r="AT6211" s="28"/>
    </row>
    <row r="6212">
      <c r="A6212" s="14"/>
      <c r="B6212" s="15"/>
      <c r="C6212" s="16"/>
      <c r="D6212" s="15"/>
      <c r="F6212" s="15"/>
      <c r="G6212" s="26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8"/>
      <c r="X6212" s="28"/>
      <c r="Y6212" s="28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28"/>
      <c r="AS6212" s="28"/>
      <c r="AT6212" s="28"/>
    </row>
    <row r="6213">
      <c r="A6213" s="14"/>
      <c r="B6213" s="15"/>
      <c r="C6213" s="16"/>
      <c r="D6213" s="15"/>
      <c r="F6213" s="15"/>
      <c r="G6213" s="26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8"/>
      <c r="X6213" s="28"/>
      <c r="Y6213" s="28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28"/>
      <c r="AS6213" s="28"/>
      <c r="AT6213" s="28"/>
    </row>
    <row r="6214">
      <c r="A6214" s="14"/>
      <c r="B6214" s="15"/>
      <c r="C6214" s="16"/>
      <c r="D6214" s="15"/>
      <c r="F6214" s="15"/>
      <c r="G6214" s="26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28"/>
      <c r="AS6214" s="28"/>
      <c r="AT6214" s="28"/>
    </row>
    <row r="6215">
      <c r="A6215" s="14"/>
      <c r="B6215" s="15"/>
      <c r="C6215" s="16"/>
      <c r="D6215" s="15"/>
      <c r="F6215" s="15"/>
      <c r="G6215" s="26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8"/>
      <c r="X6215" s="28"/>
      <c r="Y6215" s="28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28"/>
      <c r="AS6215" s="28"/>
      <c r="AT6215" s="28"/>
    </row>
    <row r="6216">
      <c r="A6216" s="14"/>
      <c r="B6216" s="15"/>
      <c r="C6216" s="16"/>
      <c r="D6216" s="15"/>
      <c r="F6216" s="15"/>
      <c r="G6216" s="26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8"/>
      <c r="X6216" s="28"/>
      <c r="Y6216" s="28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28"/>
      <c r="AS6216" s="28"/>
      <c r="AT6216" s="28"/>
    </row>
    <row r="6217">
      <c r="A6217" s="14"/>
      <c r="B6217" s="15"/>
      <c r="C6217" s="16"/>
      <c r="D6217" s="15"/>
      <c r="F6217" s="15"/>
      <c r="G6217" s="26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8"/>
      <c r="X6217" s="28"/>
      <c r="Y6217" s="28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28"/>
      <c r="AS6217" s="28"/>
      <c r="AT6217" s="28"/>
    </row>
    <row r="6218">
      <c r="A6218" s="14"/>
      <c r="B6218" s="15"/>
      <c r="C6218" s="16"/>
      <c r="D6218" s="15"/>
      <c r="F6218" s="15"/>
      <c r="G6218" s="26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8"/>
      <c r="X6218" s="28"/>
      <c r="Y6218" s="28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28"/>
      <c r="AS6218" s="28"/>
      <c r="AT6218" s="28"/>
    </row>
    <row r="6219">
      <c r="A6219" s="14"/>
      <c r="B6219" s="15"/>
      <c r="C6219" s="16"/>
      <c r="D6219" s="15"/>
      <c r="F6219" s="15"/>
      <c r="G6219" s="26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8"/>
      <c r="X6219" s="28"/>
      <c r="Y6219" s="28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28"/>
      <c r="AS6219" s="28"/>
      <c r="AT6219" s="28"/>
    </row>
    <row r="6220">
      <c r="A6220" s="14"/>
      <c r="B6220" s="15"/>
      <c r="C6220" s="16"/>
      <c r="D6220" s="15"/>
      <c r="F6220" s="15"/>
      <c r="G6220" s="26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8"/>
      <c r="X6220" s="28"/>
      <c r="Y6220" s="28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28"/>
      <c r="AS6220" s="28"/>
      <c r="AT6220" s="28"/>
    </row>
    <row r="6221">
      <c r="A6221" s="14"/>
      <c r="B6221" s="15"/>
      <c r="C6221" s="16"/>
      <c r="D6221" s="15"/>
      <c r="F6221" s="15"/>
      <c r="G6221" s="26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8"/>
      <c r="X6221" s="28"/>
      <c r="Y6221" s="28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28"/>
      <c r="AS6221" s="28"/>
      <c r="AT6221" s="28"/>
    </row>
    <row r="6222">
      <c r="A6222" s="14"/>
      <c r="B6222" s="15"/>
      <c r="C6222" s="16"/>
      <c r="D6222" s="15"/>
      <c r="F6222" s="15"/>
      <c r="G6222" s="26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28"/>
      <c r="AS6222" s="28"/>
      <c r="AT6222" s="28"/>
    </row>
    <row r="6223">
      <c r="A6223" s="14"/>
      <c r="B6223" s="15"/>
      <c r="C6223" s="16"/>
      <c r="D6223" s="15"/>
      <c r="F6223" s="15"/>
      <c r="G6223" s="26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8"/>
      <c r="X6223" s="28"/>
      <c r="Y6223" s="28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28"/>
      <c r="AS6223" s="28"/>
      <c r="AT6223" s="28"/>
    </row>
    <row r="6224">
      <c r="A6224" s="14"/>
      <c r="B6224" s="15"/>
      <c r="C6224" s="16"/>
      <c r="D6224" s="15"/>
      <c r="F6224" s="15"/>
      <c r="G6224" s="26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8"/>
      <c r="X6224" s="28"/>
      <c r="Y6224" s="28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28"/>
      <c r="AS6224" s="28"/>
      <c r="AT6224" s="28"/>
    </row>
    <row r="6225">
      <c r="A6225" s="14"/>
      <c r="B6225" s="15"/>
      <c r="C6225" s="16"/>
      <c r="D6225" s="15"/>
      <c r="F6225" s="15"/>
      <c r="G6225" s="26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8"/>
      <c r="X6225" s="28"/>
      <c r="Y6225" s="28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28"/>
      <c r="AS6225" s="28"/>
      <c r="AT6225" s="28"/>
    </row>
    <row r="6226">
      <c r="A6226" s="14"/>
      <c r="B6226" s="15"/>
      <c r="C6226" s="16"/>
      <c r="D6226" s="15"/>
      <c r="F6226" s="15"/>
      <c r="G6226" s="26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8"/>
      <c r="X6226" s="28"/>
      <c r="Y6226" s="28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28"/>
      <c r="AS6226" s="28"/>
      <c r="AT6226" s="28"/>
    </row>
    <row r="6227">
      <c r="A6227" s="14"/>
      <c r="B6227" s="15"/>
      <c r="C6227" s="16"/>
      <c r="D6227" s="15"/>
      <c r="F6227" s="15"/>
      <c r="G6227" s="26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8"/>
      <c r="X6227" s="28"/>
      <c r="Y6227" s="28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28"/>
      <c r="AS6227" s="28"/>
      <c r="AT6227" s="28"/>
    </row>
    <row r="6228">
      <c r="A6228" s="14"/>
      <c r="B6228" s="15"/>
      <c r="C6228" s="16"/>
      <c r="D6228" s="15"/>
      <c r="F6228" s="15"/>
      <c r="G6228" s="26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8"/>
      <c r="X6228" s="28"/>
      <c r="Y6228" s="28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28"/>
      <c r="AS6228" s="28"/>
      <c r="AT6228" s="28"/>
    </row>
    <row r="6229">
      <c r="A6229" s="14"/>
      <c r="B6229" s="15"/>
      <c r="C6229" s="16"/>
      <c r="D6229" s="15"/>
      <c r="F6229" s="15"/>
      <c r="G6229" s="26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8"/>
      <c r="X6229" s="28"/>
      <c r="Y6229" s="28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28"/>
      <c r="AS6229" s="28"/>
      <c r="AT6229" s="28"/>
    </row>
    <row r="6230">
      <c r="A6230" s="14"/>
      <c r="B6230" s="15"/>
      <c r="C6230" s="16"/>
      <c r="D6230" s="15"/>
      <c r="F6230" s="15"/>
      <c r="G6230" s="26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8"/>
      <c r="X6230" s="28"/>
      <c r="Y6230" s="28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28"/>
      <c r="AS6230" s="28"/>
      <c r="AT6230" s="28"/>
    </row>
    <row r="6231">
      <c r="A6231" s="14"/>
      <c r="B6231" s="15"/>
      <c r="C6231" s="16"/>
      <c r="D6231" s="15"/>
      <c r="F6231" s="15"/>
      <c r="G6231" s="26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28"/>
      <c r="AS6231" s="28"/>
      <c r="AT6231" s="28"/>
    </row>
    <row r="6232">
      <c r="A6232" s="14"/>
      <c r="B6232" s="15"/>
      <c r="C6232" s="16"/>
      <c r="D6232" s="15"/>
      <c r="F6232" s="15"/>
      <c r="G6232" s="26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8"/>
      <c r="X6232" s="28"/>
      <c r="Y6232" s="28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28"/>
      <c r="AS6232" s="28"/>
      <c r="AT6232" s="28"/>
    </row>
    <row r="6233">
      <c r="A6233" s="14"/>
      <c r="B6233" s="15"/>
      <c r="C6233" s="16"/>
      <c r="D6233" s="15"/>
      <c r="F6233" s="15"/>
      <c r="G6233" s="26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8"/>
      <c r="X6233" s="28"/>
      <c r="Y6233" s="28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28"/>
      <c r="AS6233" s="28"/>
      <c r="AT6233" s="28"/>
    </row>
    <row r="6234">
      <c r="A6234" s="14"/>
      <c r="B6234" s="15"/>
      <c r="C6234" s="16"/>
      <c r="D6234" s="15"/>
      <c r="F6234" s="15"/>
      <c r="G6234" s="26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8"/>
      <c r="X6234" s="28"/>
      <c r="Y6234" s="28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28"/>
      <c r="AS6234" s="28"/>
      <c r="AT6234" s="28"/>
    </row>
    <row r="6235">
      <c r="A6235" s="14"/>
      <c r="B6235" s="15"/>
      <c r="C6235" s="16"/>
      <c r="D6235" s="15"/>
      <c r="F6235" s="15"/>
      <c r="G6235" s="26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8"/>
      <c r="X6235" s="28"/>
      <c r="Y6235" s="28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28"/>
      <c r="AS6235" s="28"/>
      <c r="AT6235" s="28"/>
    </row>
    <row r="6236">
      <c r="A6236" s="14"/>
      <c r="B6236" s="15"/>
      <c r="C6236" s="16"/>
      <c r="D6236" s="15"/>
      <c r="F6236" s="15"/>
      <c r="G6236" s="26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8"/>
      <c r="X6236" s="28"/>
      <c r="Y6236" s="28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28"/>
      <c r="AS6236" s="28"/>
      <c r="AT6236" s="28"/>
    </row>
    <row r="6237">
      <c r="A6237" s="14"/>
      <c r="B6237" s="15"/>
      <c r="C6237" s="16"/>
      <c r="D6237" s="15"/>
      <c r="F6237" s="15"/>
      <c r="G6237" s="26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8"/>
      <c r="X6237" s="28"/>
      <c r="Y6237" s="28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28"/>
      <c r="AS6237" s="28"/>
      <c r="AT6237" s="28"/>
    </row>
    <row r="6238">
      <c r="A6238" s="14"/>
      <c r="B6238" s="15"/>
      <c r="C6238" s="16"/>
      <c r="D6238" s="15"/>
      <c r="F6238" s="15"/>
      <c r="G6238" s="26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8"/>
      <c r="X6238" s="28"/>
      <c r="Y6238" s="28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28"/>
      <c r="AS6238" s="28"/>
      <c r="AT6238" s="28"/>
    </row>
    <row r="6239">
      <c r="A6239" s="14"/>
      <c r="B6239" s="15"/>
      <c r="C6239" s="16"/>
      <c r="D6239" s="15"/>
      <c r="F6239" s="15"/>
      <c r="G6239" s="26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8"/>
      <c r="X6239" s="28"/>
      <c r="Y6239" s="28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28"/>
      <c r="AS6239" s="28"/>
      <c r="AT6239" s="28"/>
    </row>
    <row r="6240">
      <c r="A6240" s="14"/>
      <c r="B6240" s="15"/>
      <c r="C6240" s="16"/>
      <c r="D6240" s="15"/>
      <c r="F6240" s="15"/>
      <c r="G6240" s="26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8"/>
      <c r="X6240" s="28"/>
      <c r="Y6240" s="28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28"/>
      <c r="AS6240" s="28"/>
      <c r="AT6240" s="28"/>
    </row>
    <row r="6241">
      <c r="A6241" s="14"/>
      <c r="B6241" s="15"/>
      <c r="C6241" s="16"/>
      <c r="D6241" s="15"/>
      <c r="F6241" s="15"/>
      <c r="G6241" s="26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8"/>
      <c r="X6241" s="28"/>
      <c r="Y6241" s="28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28"/>
      <c r="AS6241" s="28"/>
      <c r="AT6241" s="28"/>
    </row>
    <row r="6242">
      <c r="A6242" s="14"/>
      <c r="B6242" s="15"/>
      <c r="C6242" s="16"/>
      <c r="D6242" s="15"/>
      <c r="F6242" s="15"/>
      <c r="G6242" s="26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8"/>
      <c r="X6242" s="28"/>
      <c r="Y6242" s="28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28"/>
      <c r="AS6242" s="28"/>
      <c r="AT6242" s="28"/>
    </row>
    <row r="6243">
      <c r="A6243" s="14"/>
      <c r="B6243" s="15"/>
      <c r="C6243" s="16"/>
      <c r="D6243" s="15"/>
      <c r="F6243" s="15"/>
      <c r="G6243" s="26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8"/>
      <c r="X6243" s="28"/>
      <c r="Y6243" s="28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28"/>
      <c r="AS6243" s="28"/>
      <c r="AT6243" s="28"/>
    </row>
    <row r="6244">
      <c r="A6244" s="14"/>
      <c r="B6244" s="15"/>
      <c r="C6244" s="16"/>
      <c r="D6244" s="15"/>
      <c r="F6244" s="15"/>
      <c r="G6244" s="26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8"/>
      <c r="X6244" s="28"/>
      <c r="Y6244" s="28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28"/>
      <c r="AS6244" s="28"/>
      <c r="AT6244" s="28"/>
    </row>
    <row r="6245">
      <c r="A6245" s="14"/>
      <c r="B6245" s="15"/>
      <c r="C6245" s="16"/>
      <c r="D6245" s="15"/>
      <c r="F6245" s="15"/>
      <c r="G6245" s="26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8"/>
      <c r="X6245" s="28"/>
      <c r="Y6245" s="28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28"/>
      <c r="AS6245" s="28"/>
      <c r="AT6245" s="28"/>
    </row>
    <row r="6246">
      <c r="A6246" s="14"/>
      <c r="B6246" s="15"/>
      <c r="C6246" s="16"/>
      <c r="D6246" s="15"/>
      <c r="F6246" s="15"/>
      <c r="G6246" s="26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8"/>
      <c r="X6246" s="28"/>
      <c r="Y6246" s="28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28"/>
      <c r="AS6246" s="28"/>
      <c r="AT6246" s="28"/>
    </row>
    <row r="6247">
      <c r="A6247" s="14"/>
      <c r="B6247" s="15"/>
      <c r="C6247" s="16"/>
      <c r="D6247" s="15"/>
      <c r="F6247" s="15"/>
      <c r="G6247" s="26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28"/>
      <c r="AS6247" s="28"/>
      <c r="AT6247" s="28"/>
    </row>
    <row r="6248">
      <c r="A6248" s="14"/>
      <c r="B6248" s="15"/>
      <c r="C6248" s="16"/>
      <c r="D6248" s="15"/>
      <c r="F6248" s="15"/>
      <c r="G6248" s="26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8"/>
      <c r="X6248" s="28"/>
      <c r="Y6248" s="28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28"/>
      <c r="AS6248" s="28"/>
      <c r="AT6248" s="28"/>
    </row>
    <row r="6249">
      <c r="A6249" s="14"/>
      <c r="B6249" s="15"/>
      <c r="C6249" s="16"/>
      <c r="D6249" s="15"/>
      <c r="F6249" s="15"/>
      <c r="G6249" s="26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28"/>
      <c r="AS6249" s="28"/>
      <c r="AT6249" s="28"/>
    </row>
    <row r="6250">
      <c r="A6250" s="14"/>
      <c r="B6250" s="15"/>
      <c r="C6250" s="16"/>
      <c r="D6250" s="15"/>
      <c r="F6250" s="15"/>
      <c r="G6250" s="26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28"/>
      <c r="AS6250" s="28"/>
      <c r="AT6250" s="28"/>
    </row>
    <row r="6251">
      <c r="A6251" s="14"/>
      <c r="B6251" s="15"/>
      <c r="C6251" s="16"/>
      <c r="D6251" s="15"/>
      <c r="F6251" s="15"/>
      <c r="G6251" s="26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8"/>
      <c r="X6251" s="28"/>
      <c r="Y6251" s="28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28"/>
      <c r="AS6251" s="28"/>
      <c r="AT6251" s="28"/>
    </row>
    <row r="6252">
      <c r="A6252" s="14"/>
      <c r="B6252" s="15"/>
      <c r="C6252" s="16"/>
      <c r="D6252" s="15"/>
      <c r="F6252" s="15"/>
      <c r="G6252" s="26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8"/>
      <c r="X6252" s="28"/>
      <c r="Y6252" s="28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28"/>
      <c r="AS6252" s="28"/>
      <c r="AT6252" s="28"/>
    </row>
    <row r="6253">
      <c r="A6253" s="14"/>
      <c r="B6253" s="15"/>
      <c r="C6253" s="16"/>
      <c r="D6253" s="15"/>
      <c r="F6253" s="15"/>
      <c r="G6253" s="26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8"/>
      <c r="X6253" s="28"/>
      <c r="Y6253" s="28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28"/>
      <c r="AS6253" s="28"/>
      <c r="AT6253" s="28"/>
    </row>
    <row r="6254">
      <c r="A6254" s="14"/>
      <c r="B6254" s="15"/>
      <c r="C6254" s="16"/>
      <c r="D6254" s="15"/>
      <c r="F6254" s="15"/>
      <c r="G6254" s="26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8"/>
      <c r="X6254" s="28"/>
      <c r="Y6254" s="28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28"/>
      <c r="AS6254" s="28"/>
      <c r="AT6254" s="28"/>
    </row>
    <row r="6255">
      <c r="A6255" s="14"/>
      <c r="B6255" s="15"/>
      <c r="C6255" s="16"/>
      <c r="D6255" s="15"/>
      <c r="F6255" s="15"/>
      <c r="G6255" s="26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8"/>
      <c r="X6255" s="28"/>
      <c r="Y6255" s="28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28"/>
      <c r="AS6255" s="28"/>
      <c r="AT6255" s="28"/>
    </row>
    <row r="6256">
      <c r="A6256" s="14"/>
      <c r="B6256" s="15"/>
      <c r="C6256" s="16"/>
      <c r="D6256" s="15"/>
      <c r="F6256" s="15"/>
      <c r="G6256" s="26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8"/>
      <c r="X6256" s="28"/>
      <c r="Y6256" s="28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28"/>
      <c r="AS6256" s="28"/>
      <c r="AT6256" s="28"/>
    </row>
    <row r="6257">
      <c r="A6257" s="14"/>
      <c r="B6257" s="15"/>
      <c r="C6257" s="16"/>
      <c r="D6257" s="15"/>
      <c r="F6257" s="15"/>
      <c r="G6257" s="26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8"/>
      <c r="X6257" s="28"/>
      <c r="Y6257" s="28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28"/>
      <c r="AS6257" s="28"/>
      <c r="AT6257" s="28"/>
    </row>
    <row r="6258">
      <c r="A6258" s="14"/>
      <c r="B6258" s="15"/>
      <c r="C6258" s="16"/>
      <c r="D6258" s="15"/>
      <c r="F6258" s="15"/>
      <c r="G6258" s="26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8"/>
      <c r="X6258" s="28"/>
      <c r="Y6258" s="28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28"/>
      <c r="AS6258" s="28"/>
      <c r="AT6258" s="28"/>
    </row>
    <row r="6259">
      <c r="A6259" s="14"/>
      <c r="B6259" s="15"/>
      <c r="C6259" s="16"/>
      <c r="D6259" s="15"/>
      <c r="F6259" s="15"/>
      <c r="G6259" s="26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8"/>
      <c r="X6259" s="28"/>
      <c r="Y6259" s="28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28"/>
      <c r="AS6259" s="28"/>
      <c r="AT6259" s="28"/>
    </row>
    <row r="6260">
      <c r="A6260" s="14"/>
      <c r="B6260" s="15"/>
      <c r="C6260" s="16"/>
      <c r="D6260" s="15"/>
      <c r="F6260" s="15"/>
      <c r="G6260" s="26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8"/>
      <c r="X6260" s="28"/>
      <c r="Y6260" s="28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28"/>
      <c r="AS6260" s="28"/>
      <c r="AT6260" s="28"/>
    </row>
    <row r="6261">
      <c r="A6261" s="14"/>
      <c r="B6261" s="15"/>
      <c r="C6261" s="16"/>
      <c r="D6261" s="15"/>
      <c r="F6261" s="15"/>
      <c r="G6261" s="26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8"/>
      <c r="X6261" s="28"/>
      <c r="Y6261" s="28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28"/>
      <c r="AS6261" s="28"/>
      <c r="AT6261" s="28"/>
    </row>
    <row r="6262">
      <c r="A6262" s="14"/>
      <c r="B6262" s="15"/>
      <c r="C6262" s="16"/>
      <c r="D6262" s="15"/>
      <c r="F6262" s="15"/>
      <c r="G6262" s="26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8"/>
      <c r="X6262" s="28"/>
      <c r="Y6262" s="28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28"/>
      <c r="AS6262" s="28"/>
      <c r="AT6262" s="28"/>
    </row>
    <row r="6263">
      <c r="A6263" s="14"/>
      <c r="B6263" s="15"/>
      <c r="C6263" s="16"/>
      <c r="D6263" s="15"/>
      <c r="F6263" s="15"/>
      <c r="G6263" s="26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8"/>
      <c r="X6263" s="28"/>
      <c r="Y6263" s="28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28"/>
      <c r="AS6263" s="28"/>
      <c r="AT6263" s="28"/>
    </row>
    <row r="6264">
      <c r="A6264" s="14"/>
      <c r="B6264" s="15"/>
      <c r="C6264" s="16"/>
      <c r="D6264" s="15"/>
      <c r="F6264" s="15"/>
      <c r="G6264" s="26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28"/>
      <c r="AS6264" s="28"/>
      <c r="AT6264" s="28"/>
    </row>
    <row r="6265">
      <c r="A6265" s="14"/>
      <c r="B6265" s="15"/>
      <c r="C6265" s="16"/>
      <c r="D6265" s="15"/>
      <c r="F6265" s="15"/>
      <c r="G6265" s="26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8"/>
      <c r="X6265" s="28"/>
      <c r="Y6265" s="28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28"/>
      <c r="AS6265" s="28"/>
      <c r="AT6265" s="28"/>
    </row>
    <row r="6266">
      <c r="A6266" s="14"/>
      <c r="B6266" s="15"/>
      <c r="C6266" s="16"/>
      <c r="D6266" s="15"/>
      <c r="F6266" s="15"/>
      <c r="G6266" s="26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8"/>
      <c r="X6266" s="28"/>
      <c r="Y6266" s="28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28"/>
      <c r="AS6266" s="28"/>
      <c r="AT6266" s="28"/>
    </row>
    <row r="6267">
      <c r="A6267" s="14"/>
      <c r="B6267" s="15"/>
      <c r="C6267" s="16"/>
      <c r="D6267" s="15"/>
      <c r="F6267" s="15"/>
      <c r="G6267" s="26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8"/>
      <c r="X6267" s="28"/>
      <c r="Y6267" s="28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28"/>
      <c r="AS6267" s="28"/>
      <c r="AT6267" s="28"/>
    </row>
    <row r="6268">
      <c r="A6268" s="14"/>
      <c r="B6268" s="15"/>
      <c r="C6268" s="16"/>
      <c r="D6268" s="15"/>
      <c r="F6268" s="15"/>
      <c r="G6268" s="26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8"/>
      <c r="X6268" s="28"/>
      <c r="Y6268" s="28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28"/>
      <c r="AS6268" s="28"/>
      <c r="AT6268" s="28"/>
    </row>
    <row r="6269">
      <c r="A6269" s="14"/>
      <c r="B6269" s="15"/>
      <c r="C6269" s="16"/>
      <c r="D6269" s="15"/>
      <c r="F6269" s="15"/>
      <c r="G6269" s="26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8"/>
      <c r="X6269" s="28"/>
      <c r="Y6269" s="28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28"/>
      <c r="AS6269" s="28"/>
      <c r="AT6269" s="28"/>
    </row>
    <row r="6270">
      <c r="A6270" s="14"/>
      <c r="B6270" s="15"/>
      <c r="C6270" s="16"/>
      <c r="D6270" s="15"/>
      <c r="F6270" s="15"/>
      <c r="G6270" s="26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8"/>
      <c r="X6270" s="28"/>
      <c r="Y6270" s="28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28"/>
      <c r="AS6270" s="28"/>
      <c r="AT6270" s="28"/>
    </row>
    <row r="6271">
      <c r="A6271" s="14"/>
      <c r="B6271" s="15"/>
      <c r="C6271" s="16"/>
      <c r="D6271" s="15"/>
      <c r="F6271" s="15"/>
      <c r="G6271" s="26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8"/>
      <c r="X6271" s="28"/>
      <c r="Y6271" s="28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28"/>
      <c r="AS6271" s="28"/>
      <c r="AT6271" s="28"/>
    </row>
    <row r="6272">
      <c r="A6272" s="14"/>
      <c r="B6272" s="15"/>
      <c r="C6272" s="16"/>
      <c r="D6272" s="15"/>
      <c r="F6272" s="15"/>
      <c r="G6272" s="26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8"/>
      <c r="X6272" s="28"/>
      <c r="Y6272" s="28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28"/>
      <c r="AS6272" s="28"/>
      <c r="AT6272" s="28"/>
    </row>
    <row r="6273">
      <c r="A6273" s="14"/>
      <c r="B6273" s="15"/>
      <c r="C6273" s="16"/>
      <c r="D6273" s="15"/>
      <c r="F6273" s="15"/>
      <c r="G6273" s="26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8"/>
      <c r="X6273" s="28"/>
      <c r="Y6273" s="28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28"/>
      <c r="AS6273" s="28"/>
      <c r="AT6273" s="28"/>
    </row>
    <row r="6274">
      <c r="A6274" s="14"/>
      <c r="B6274" s="15"/>
      <c r="C6274" s="16"/>
      <c r="D6274" s="15"/>
      <c r="F6274" s="15"/>
      <c r="G6274" s="26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8"/>
      <c r="X6274" s="28"/>
      <c r="Y6274" s="28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28"/>
      <c r="AS6274" s="28"/>
      <c r="AT6274" s="28"/>
    </row>
    <row r="6275">
      <c r="A6275" s="14"/>
      <c r="B6275" s="15"/>
      <c r="C6275" s="16"/>
      <c r="D6275" s="15"/>
      <c r="F6275" s="15"/>
      <c r="G6275" s="26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8"/>
      <c r="X6275" s="28"/>
      <c r="Y6275" s="28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28"/>
      <c r="AS6275" s="28"/>
      <c r="AT6275" s="28"/>
    </row>
    <row r="6276">
      <c r="A6276" s="14"/>
      <c r="B6276" s="15"/>
      <c r="C6276" s="16"/>
      <c r="D6276" s="15"/>
      <c r="F6276" s="15"/>
      <c r="G6276" s="26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8"/>
      <c r="X6276" s="28"/>
      <c r="Y6276" s="28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28"/>
      <c r="AS6276" s="28"/>
      <c r="AT6276" s="28"/>
    </row>
    <row r="6277">
      <c r="A6277" s="14"/>
      <c r="B6277" s="15"/>
      <c r="C6277" s="16"/>
      <c r="D6277" s="15"/>
      <c r="F6277" s="15"/>
      <c r="G6277" s="26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8"/>
      <c r="X6277" s="28"/>
      <c r="Y6277" s="28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28"/>
      <c r="AS6277" s="28"/>
      <c r="AT6277" s="28"/>
    </row>
    <row r="6278">
      <c r="A6278" s="14"/>
      <c r="B6278" s="15"/>
      <c r="C6278" s="16"/>
      <c r="D6278" s="15"/>
      <c r="F6278" s="15"/>
      <c r="G6278" s="26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8"/>
      <c r="X6278" s="28"/>
      <c r="Y6278" s="28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28"/>
      <c r="AS6278" s="28"/>
      <c r="AT6278" s="28"/>
    </row>
    <row r="6279">
      <c r="A6279" s="14"/>
      <c r="B6279" s="15"/>
      <c r="C6279" s="16"/>
      <c r="D6279" s="15"/>
      <c r="F6279" s="15"/>
      <c r="G6279" s="26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8"/>
      <c r="X6279" s="28"/>
      <c r="Y6279" s="28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28"/>
      <c r="AS6279" s="28"/>
      <c r="AT6279" s="28"/>
    </row>
    <row r="6280">
      <c r="A6280" s="14"/>
      <c r="B6280" s="15"/>
      <c r="C6280" s="16"/>
      <c r="D6280" s="15"/>
      <c r="F6280" s="15"/>
      <c r="G6280" s="26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8"/>
      <c r="X6280" s="28"/>
      <c r="Y6280" s="28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28"/>
      <c r="AS6280" s="28"/>
      <c r="AT6280" s="28"/>
    </row>
    <row r="6281">
      <c r="A6281" s="14"/>
      <c r="B6281" s="15"/>
      <c r="C6281" s="16"/>
      <c r="D6281" s="15"/>
      <c r="F6281" s="15"/>
      <c r="G6281" s="26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28"/>
      <c r="AS6281" s="28"/>
      <c r="AT6281" s="28"/>
    </row>
    <row r="6282">
      <c r="A6282" s="14"/>
      <c r="B6282" s="15"/>
      <c r="C6282" s="16"/>
      <c r="D6282" s="15"/>
      <c r="F6282" s="15"/>
      <c r="G6282" s="26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8"/>
      <c r="X6282" s="28"/>
      <c r="Y6282" s="28"/>
      <c r="Z6282" s="28"/>
      <c r="AA6282" s="28"/>
      <c r="AB6282" s="28"/>
      <c r="AC6282" s="28"/>
      <c r="AD6282" s="28"/>
      <c r="AE6282" s="28"/>
      <c r="AF6282" s="28"/>
      <c r="AG6282" s="28"/>
      <c r="AH6282" s="28"/>
      <c r="AI6282" s="28"/>
      <c r="AJ6282" s="28"/>
      <c r="AK6282" s="28"/>
      <c r="AL6282" s="28"/>
      <c r="AM6282" s="28"/>
      <c r="AN6282" s="28"/>
      <c r="AO6282" s="28"/>
      <c r="AP6282" s="28"/>
      <c r="AQ6282" s="28"/>
      <c r="AR6282" s="28"/>
      <c r="AS6282" s="28"/>
      <c r="AT6282" s="28"/>
    </row>
    <row r="6283">
      <c r="A6283" s="14"/>
      <c r="B6283" s="15"/>
      <c r="C6283" s="16"/>
      <c r="D6283" s="15"/>
      <c r="F6283" s="15"/>
      <c r="G6283" s="26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8"/>
      <c r="X6283" s="28"/>
      <c r="Y6283" s="28"/>
      <c r="Z6283" s="28"/>
      <c r="AA6283" s="28"/>
      <c r="AB6283" s="28"/>
      <c r="AC6283" s="28"/>
      <c r="AD6283" s="28"/>
      <c r="AE6283" s="28"/>
      <c r="AF6283" s="28"/>
      <c r="AG6283" s="28"/>
      <c r="AH6283" s="28"/>
      <c r="AI6283" s="28"/>
      <c r="AJ6283" s="28"/>
      <c r="AK6283" s="28"/>
      <c r="AL6283" s="28"/>
      <c r="AM6283" s="28"/>
      <c r="AN6283" s="28"/>
      <c r="AO6283" s="28"/>
      <c r="AP6283" s="28"/>
      <c r="AQ6283" s="28"/>
      <c r="AR6283" s="28"/>
      <c r="AS6283" s="28"/>
      <c r="AT6283" s="28"/>
    </row>
    <row r="6284">
      <c r="A6284" s="14"/>
      <c r="B6284" s="15"/>
      <c r="C6284" s="16"/>
      <c r="D6284" s="15"/>
      <c r="F6284" s="15"/>
      <c r="G6284" s="26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8"/>
      <c r="X6284" s="28"/>
      <c r="Y6284" s="28"/>
      <c r="Z6284" s="28"/>
      <c r="AA6284" s="28"/>
      <c r="AB6284" s="28"/>
      <c r="AC6284" s="28"/>
      <c r="AD6284" s="28"/>
      <c r="AE6284" s="28"/>
      <c r="AF6284" s="28"/>
      <c r="AG6284" s="28"/>
      <c r="AH6284" s="28"/>
      <c r="AI6284" s="28"/>
      <c r="AJ6284" s="28"/>
      <c r="AK6284" s="28"/>
      <c r="AL6284" s="28"/>
      <c r="AM6284" s="28"/>
      <c r="AN6284" s="28"/>
      <c r="AO6284" s="28"/>
      <c r="AP6284" s="28"/>
      <c r="AQ6284" s="28"/>
      <c r="AR6284" s="28"/>
      <c r="AS6284" s="28"/>
      <c r="AT6284" s="28"/>
    </row>
    <row r="6285">
      <c r="A6285" s="14"/>
      <c r="B6285" s="15"/>
      <c r="C6285" s="16"/>
      <c r="D6285" s="15"/>
      <c r="F6285" s="15"/>
      <c r="G6285" s="26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8"/>
      <c r="X6285" s="28"/>
      <c r="Y6285" s="28"/>
      <c r="Z6285" s="28"/>
      <c r="AA6285" s="28"/>
      <c r="AB6285" s="28"/>
      <c r="AC6285" s="28"/>
      <c r="AD6285" s="28"/>
      <c r="AE6285" s="28"/>
      <c r="AF6285" s="28"/>
      <c r="AG6285" s="28"/>
      <c r="AH6285" s="28"/>
      <c r="AI6285" s="28"/>
      <c r="AJ6285" s="28"/>
      <c r="AK6285" s="28"/>
      <c r="AL6285" s="28"/>
      <c r="AM6285" s="28"/>
      <c r="AN6285" s="28"/>
      <c r="AO6285" s="28"/>
      <c r="AP6285" s="28"/>
      <c r="AQ6285" s="28"/>
      <c r="AR6285" s="28"/>
      <c r="AS6285" s="28"/>
      <c r="AT6285" s="28"/>
    </row>
    <row r="6286">
      <c r="A6286" s="14"/>
      <c r="B6286" s="15"/>
      <c r="C6286" s="16"/>
      <c r="D6286" s="15"/>
      <c r="F6286" s="15"/>
      <c r="G6286" s="26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8"/>
      <c r="X6286" s="28"/>
      <c r="Y6286" s="28"/>
      <c r="Z6286" s="28"/>
      <c r="AA6286" s="28"/>
      <c r="AB6286" s="28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O6286" s="28"/>
      <c r="AP6286" s="28"/>
      <c r="AQ6286" s="28"/>
      <c r="AR6286" s="28"/>
      <c r="AS6286" s="28"/>
      <c r="AT6286" s="28"/>
    </row>
    <row r="6287">
      <c r="A6287" s="14"/>
      <c r="B6287" s="15"/>
      <c r="C6287" s="16"/>
      <c r="D6287" s="15"/>
      <c r="F6287" s="15"/>
      <c r="G6287" s="26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8"/>
      <c r="X6287" s="28"/>
      <c r="Y6287" s="28"/>
      <c r="Z6287" s="28"/>
      <c r="AA6287" s="28"/>
      <c r="AB6287" s="28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R6287" s="28"/>
      <c r="AS6287" s="28"/>
      <c r="AT6287" s="28"/>
    </row>
    <row r="6288">
      <c r="A6288" s="14"/>
      <c r="B6288" s="15"/>
      <c r="C6288" s="16"/>
      <c r="D6288" s="15"/>
      <c r="F6288" s="15"/>
      <c r="G6288" s="26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8"/>
      <c r="X6288" s="28"/>
      <c r="Y6288" s="28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J6288" s="28"/>
      <c r="AK6288" s="28"/>
      <c r="AL6288" s="28"/>
      <c r="AM6288" s="28"/>
      <c r="AN6288" s="28"/>
      <c r="AO6288" s="28"/>
      <c r="AP6288" s="28"/>
      <c r="AQ6288" s="28"/>
      <c r="AR6288" s="28"/>
      <c r="AS6288" s="28"/>
      <c r="AT6288" s="28"/>
    </row>
    <row r="6289">
      <c r="A6289" s="14"/>
      <c r="B6289" s="15"/>
      <c r="C6289" s="16"/>
      <c r="D6289" s="15"/>
      <c r="F6289" s="15"/>
      <c r="G6289" s="26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8"/>
      <c r="X6289" s="28"/>
      <c r="Y6289" s="28"/>
      <c r="Z6289" s="28"/>
      <c r="AA6289" s="28"/>
      <c r="AB6289" s="28"/>
      <c r="AC6289" s="28"/>
      <c r="AD6289" s="28"/>
      <c r="AE6289" s="28"/>
      <c r="AF6289" s="28"/>
      <c r="AG6289" s="28"/>
      <c r="AH6289" s="28"/>
      <c r="AI6289" s="28"/>
      <c r="AJ6289" s="28"/>
      <c r="AK6289" s="28"/>
      <c r="AL6289" s="28"/>
      <c r="AM6289" s="28"/>
      <c r="AN6289" s="28"/>
      <c r="AO6289" s="28"/>
      <c r="AP6289" s="28"/>
      <c r="AQ6289" s="28"/>
      <c r="AR6289" s="28"/>
      <c r="AS6289" s="28"/>
      <c r="AT6289" s="28"/>
    </row>
    <row r="6290">
      <c r="A6290" s="14"/>
      <c r="B6290" s="15"/>
      <c r="C6290" s="16"/>
      <c r="D6290" s="15"/>
      <c r="F6290" s="15"/>
      <c r="G6290" s="26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8"/>
      <c r="X6290" s="28"/>
      <c r="Y6290" s="28"/>
      <c r="Z6290" s="28"/>
      <c r="AA6290" s="28"/>
      <c r="AB6290" s="28"/>
      <c r="AC6290" s="28"/>
      <c r="AD6290" s="28"/>
      <c r="AE6290" s="28"/>
      <c r="AF6290" s="28"/>
      <c r="AG6290" s="28"/>
      <c r="AH6290" s="28"/>
      <c r="AI6290" s="28"/>
      <c r="AJ6290" s="28"/>
      <c r="AK6290" s="28"/>
      <c r="AL6290" s="28"/>
      <c r="AM6290" s="28"/>
      <c r="AN6290" s="28"/>
      <c r="AO6290" s="28"/>
      <c r="AP6290" s="28"/>
      <c r="AQ6290" s="28"/>
      <c r="AR6290" s="28"/>
      <c r="AS6290" s="28"/>
      <c r="AT6290" s="28"/>
    </row>
    <row r="6291">
      <c r="A6291" s="14"/>
      <c r="B6291" s="15"/>
      <c r="C6291" s="16"/>
      <c r="D6291" s="15"/>
      <c r="F6291" s="15"/>
      <c r="G6291" s="26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8"/>
      <c r="X6291" s="28"/>
      <c r="Y6291" s="28"/>
      <c r="Z6291" s="28"/>
      <c r="AA6291" s="28"/>
      <c r="AB6291" s="28"/>
      <c r="AC6291" s="28"/>
      <c r="AD6291" s="28"/>
      <c r="AE6291" s="28"/>
      <c r="AF6291" s="28"/>
      <c r="AG6291" s="28"/>
      <c r="AH6291" s="28"/>
      <c r="AI6291" s="28"/>
      <c r="AJ6291" s="28"/>
      <c r="AK6291" s="28"/>
      <c r="AL6291" s="28"/>
      <c r="AM6291" s="28"/>
      <c r="AN6291" s="28"/>
      <c r="AO6291" s="28"/>
      <c r="AP6291" s="28"/>
      <c r="AQ6291" s="28"/>
      <c r="AR6291" s="28"/>
      <c r="AS6291" s="28"/>
      <c r="AT6291" s="28"/>
    </row>
    <row r="6292">
      <c r="A6292" s="14"/>
      <c r="B6292" s="15"/>
      <c r="C6292" s="16"/>
      <c r="D6292" s="15"/>
      <c r="F6292" s="15"/>
      <c r="G6292" s="26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  <c r="AF6292" s="28"/>
      <c r="AG6292" s="28"/>
      <c r="AH6292" s="28"/>
      <c r="AI6292" s="28"/>
      <c r="AJ6292" s="28"/>
      <c r="AK6292" s="28"/>
      <c r="AL6292" s="28"/>
      <c r="AM6292" s="28"/>
      <c r="AN6292" s="28"/>
      <c r="AO6292" s="28"/>
      <c r="AP6292" s="28"/>
      <c r="AQ6292" s="28"/>
      <c r="AR6292" s="28"/>
      <c r="AS6292" s="28"/>
      <c r="AT6292" s="28"/>
    </row>
    <row r="6293">
      <c r="A6293" s="14"/>
      <c r="B6293" s="15"/>
      <c r="C6293" s="16"/>
      <c r="D6293" s="15"/>
      <c r="F6293" s="15"/>
      <c r="G6293" s="26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8"/>
      <c r="X6293" s="28"/>
      <c r="Y6293" s="28"/>
      <c r="Z6293" s="28"/>
      <c r="AA6293" s="28"/>
      <c r="AB6293" s="28"/>
      <c r="AC6293" s="28"/>
      <c r="AD6293" s="28"/>
      <c r="AE6293" s="28"/>
      <c r="AF6293" s="28"/>
      <c r="AG6293" s="28"/>
      <c r="AH6293" s="28"/>
      <c r="AI6293" s="28"/>
      <c r="AJ6293" s="28"/>
      <c r="AK6293" s="28"/>
      <c r="AL6293" s="28"/>
      <c r="AM6293" s="28"/>
      <c r="AN6293" s="28"/>
      <c r="AO6293" s="28"/>
      <c r="AP6293" s="28"/>
      <c r="AQ6293" s="28"/>
      <c r="AR6293" s="28"/>
      <c r="AS6293" s="28"/>
      <c r="AT6293" s="28"/>
    </row>
    <row r="6294">
      <c r="A6294" s="14"/>
      <c r="B6294" s="15"/>
      <c r="C6294" s="16"/>
      <c r="D6294" s="15"/>
      <c r="F6294" s="15"/>
      <c r="G6294" s="26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8"/>
      <c r="X6294" s="28"/>
      <c r="Y6294" s="28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O6294" s="28"/>
      <c r="AP6294" s="28"/>
      <c r="AQ6294" s="28"/>
      <c r="AR6294" s="28"/>
      <c r="AS6294" s="28"/>
      <c r="AT6294" s="28"/>
    </row>
    <row r="6295">
      <c r="A6295" s="14"/>
      <c r="B6295" s="15"/>
      <c r="C6295" s="16"/>
      <c r="D6295" s="15"/>
      <c r="F6295" s="15"/>
      <c r="G6295" s="26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8"/>
      <c r="X6295" s="28"/>
      <c r="Y6295" s="28"/>
      <c r="Z6295" s="28"/>
      <c r="AA6295" s="28"/>
      <c r="AB6295" s="28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R6295" s="28"/>
      <c r="AS6295" s="28"/>
      <c r="AT6295" s="28"/>
    </row>
    <row r="6296">
      <c r="A6296" s="14"/>
      <c r="B6296" s="15"/>
      <c r="C6296" s="16"/>
      <c r="D6296" s="15"/>
      <c r="F6296" s="15"/>
      <c r="G6296" s="26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8"/>
      <c r="X6296" s="28"/>
      <c r="Y6296" s="28"/>
      <c r="Z6296" s="28"/>
      <c r="AA6296" s="28"/>
      <c r="AB6296" s="28"/>
      <c r="AC6296" s="28"/>
      <c r="AD6296" s="28"/>
      <c r="AE6296" s="28"/>
      <c r="AF6296" s="28"/>
      <c r="AG6296" s="28"/>
      <c r="AH6296" s="28"/>
      <c r="AI6296" s="28"/>
      <c r="AJ6296" s="28"/>
      <c r="AK6296" s="28"/>
      <c r="AL6296" s="28"/>
      <c r="AM6296" s="28"/>
      <c r="AN6296" s="28"/>
      <c r="AO6296" s="28"/>
      <c r="AP6296" s="28"/>
      <c r="AQ6296" s="28"/>
      <c r="AR6296" s="28"/>
      <c r="AS6296" s="28"/>
      <c r="AT6296" s="28"/>
    </row>
    <row r="6297">
      <c r="A6297" s="14"/>
      <c r="B6297" s="15"/>
      <c r="C6297" s="16"/>
      <c r="D6297" s="15"/>
      <c r="F6297" s="15"/>
      <c r="G6297" s="26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8"/>
      <c r="X6297" s="28"/>
      <c r="Y6297" s="28"/>
      <c r="Z6297" s="28"/>
      <c r="AA6297" s="28"/>
      <c r="AB6297" s="28"/>
      <c r="AC6297" s="28"/>
      <c r="AD6297" s="28"/>
      <c r="AE6297" s="28"/>
      <c r="AF6297" s="28"/>
      <c r="AG6297" s="28"/>
      <c r="AH6297" s="28"/>
      <c r="AI6297" s="28"/>
      <c r="AJ6297" s="28"/>
      <c r="AK6297" s="28"/>
      <c r="AL6297" s="28"/>
      <c r="AM6297" s="28"/>
      <c r="AN6297" s="28"/>
      <c r="AO6297" s="28"/>
      <c r="AP6297" s="28"/>
      <c r="AQ6297" s="28"/>
      <c r="AR6297" s="28"/>
      <c r="AS6297" s="28"/>
      <c r="AT6297" s="28"/>
    </row>
    <row r="6298">
      <c r="A6298" s="14"/>
      <c r="B6298" s="15"/>
      <c r="C6298" s="16"/>
      <c r="D6298" s="15"/>
      <c r="F6298" s="15"/>
      <c r="G6298" s="26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8"/>
      <c r="X6298" s="28"/>
      <c r="Y6298" s="28"/>
      <c r="Z6298" s="28"/>
      <c r="AA6298" s="28"/>
      <c r="AB6298" s="28"/>
      <c r="AC6298" s="28"/>
      <c r="AD6298" s="28"/>
      <c r="AE6298" s="28"/>
      <c r="AF6298" s="28"/>
      <c r="AG6298" s="28"/>
      <c r="AH6298" s="28"/>
      <c r="AI6298" s="28"/>
      <c r="AJ6298" s="28"/>
      <c r="AK6298" s="28"/>
      <c r="AL6298" s="28"/>
      <c r="AM6298" s="28"/>
      <c r="AN6298" s="28"/>
      <c r="AO6298" s="28"/>
      <c r="AP6298" s="28"/>
      <c r="AQ6298" s="28"/>
      <c r="AR6298" s="28"/>
      <c r="AS6298" s="28"/>
      <c r="AT6298" s="28"/>
    </row>
    <row r="6299">
      <c r="A6299" s="14"/>
      <c r="B6299" s="15"/>
      <c r="C6299" s="16"/>
      <c r="D6299" s="15"/>
      <c r="F6299" s="15"/>
      <c r="G6299" s="26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8"/>
      <c r="X6299" s="28"/>
      <c r="Y6299" s="28"/>
      <c r="Z6299" s="28"/>
      <c r="AA6299" s="28"/>
      <c r="AB6299" s="28"/>
      <c r="AC6299" s="28"/>
      <c r="AD6299" s="28"/>
      <c r="AE6299" s="28"/>
      <c r="AF6299" s="28"/>
      <c r="AG6299" s="28"/>
      <c r="AH6299" s="28"/>
      <c r="AI6299" s="28"/>
      <c r="AJ6299" s="28"/>
      <c r="AK6299" s="28"/>
      <c r="AL6299" s="28"/>
      <c r="AM6299" s="28"/>
      <c r="AN6299" s="28"/>
      <c r="AO6299" s="28"/>
      <c r="AP6299" s="28"/>
      <c r="AQ6299" s="28"/>
      <c r="AR6299" s="28"/>
      <c r="AS6299" s="28"/>
      <c r="AT6299" s="28"/>
    </row>
    <row r="6300">
      <c r="A6300" s="14"/>
      <c r="B6300" s="15"/>
      <c r="C6300" s="16"/>
      <c r="D6300" s="15"/>
      <c r="F6300" s="15"/>
      <c r="G6300" s="26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8"/>
      <c r="X6300" s="28"/>
      <c r="Y6300" s="28"/>
      <c r="Z6300" s="28"/>
      <c r="AA6300" s="28"/>
      <c r="AB6300" s="28"/>
      <c r="AC6300" s="28"/>
      <c r="AD6300" s="28"/>
      <c r="AE6300" s="28"/>
      <c r="AF6300" s="28"/>
      <c r="AG6300" s="28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  <c r="AR6300" s="28"/>
      <c r="AS6300" s="28"/>
      <c r="AT6300" s="28"/>
    </row>
    <row r="6301">
      <c r="A6301" s="14"/>
      <c r="B6301" s="15"/>
      <c r="C6301" s="16"/>
      <c r="D6301" s="15"/>
      <c r="F6301" s="15"/>
      <c r="G6301" s="26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8"/>
      <c r="X6301" s="28"/>
      <c r="Y6301" s="28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28"/>
      <c r="AS6301" s="28"/>
      <c r="AT6301" s="28"/>
    </row>
    <row r="6302">
      <c r="A6302" s="14"/>
      <c r="B6302" s="15"/>
      <c r="C6302" s="16"/>
      <c r="D6302" s="15"/>
      <c r="F6302" s="15"/>
      <c r="G6302" s="26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8"/>
      <c r="X6302" s="28"/>
      <c r="Y6302" s="28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J6302" s="28"/>
      <c r="AK6302" s="28"/>
      <c r="AL6302" s="28"/>
      <c r="AM6302" s="28"/>
      <c r="AN6302" s="28"/>
      <c r="AO6302" s="28"/>
      <c r="AP6302" s="28"/>
      <c r="AQ6302" s="28"/>
      <c r="AR6302" s="28"/>
      <c r="AS6302" s="28"/>
      <c r="AT6302" s="28"/>
    </row>
    <row r="6303">
      <c r="A6303" s="14"/>
      <c r="B6303" s="15"/>
      <c r="C6303" s="16"/>
      <c r="D6303" s="15"/>
      <c r="F6303" s="15"/>
      <c r="G6303" s="26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8"/>
      <c r="X6303" s="28"/>
      <c r="Y6303" s="28"/>
      <c r="Z6303" s="28"/>
      <c r="AA6303" s="28"/>
      <c r="AB6303" s="28"/>
      <c r="AC6303" s="28"/>
      <c r="AD6303" s="28"/>
      <c r="AE6303" s="28"/>
      <c r="AF6303" s="28"/>
      <c r="AG6303" s="28"/>
      <c r="AH6303" s="28"/>
      <c r="AI6303" s="28"/>
      <c r="AJ6303" s="28"/>
      <c r="AK6303" s="28"/>
      <c r="AL6303" s="28"/>
      <c r="AM6303" s="28"/>
      <c r="AN6303" s="28"/>
      <c r="AO6303" s="28"/>
      <c r="AP6303" s="28"/>
      <c r="AQ6303" s="28"/>
      <c r="AR6303" s="28"/>
      <c r="AS6303" s="28"/>
      <c r="AT6303" s="28"/>
    </row>
    <row r="6304">
      <c r="A6304" s="14"/>
      <c r="B6304" s="15"/>
      <c r="C6304" s="16"/>
      <c r="D6304" s="15"/>
      <c r="F6304" s="15"/>
      <c r="G6304" s="26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8"/>
      <c r="X6304" s="28"/>
      <c r="Y6304" s="28"/>
      <c r="Z6304" s="28"/>
      <c r="AA6304" s="28"/>
      <c r="AB6304" s="28"/>
      <c r="AC6304" s="28"/>
      <c r="AD6304" s="28"/>
      <c r="AE6304" s="28"/>
      <c r="AF6304" s="28"/>
      <c r="AG6304" s="28"/>
      <c r="AH6304" s="28"/>
      <c r="AI6304" s="28"/>
      <c r="AJ6304" s="28"/>
      <c r="AK6304" s="28"/>
      <c r="AL6304" s="28"/>
      <c r="AM6304" s="28"/>
      <c r="AN6304" s="28"/>
      <c r="AO6304" s="28"/>
      <c r="AP6304" s="28"/>
      <c r="AQ6304" s="28"/>
      <c r="AR6304" s="28"/>
      <c r="AS6304" s="28"/>
      <c r="AT6304" s="28"/>
    </row>
    <row r="6305">
      <c r="A6305" s="14"/>
      <c r="B6305" s="15"/>
      <c r="C6305" s="16"/>
      <c r="D6305" s="15"/>
      <c r="F6305" s="15"/>
      <c r="G6305" s="26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8"/>
      <c r="X6305" s="28"/>
      <c r="Y6305" s="28"/>
      <c r="Z6305" s="28"/>
      <c r="AA6305" s="28"/>
      <c r="AB6305" s="28"/>
      <c r="AC6305" s="28"/>
      <c r="AD6305" s="28"/>
      <c r="AE6305" s="28"/>
      <c r="AF6305" s="28"/>
      <c r="AG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28"/>
      <c r="AS6305" s="28"/>
      <c r="AT6305" s="28"/>
    </row>
    <row r="6306">
      <c r="A6306" s="14"/>
      <c r="B6306" s="15"/>
      <c r="C6306" s="16"/>
      <c r="D6306" s="15"/>
      <c r="F6306" s="15"/>
      <c r="G6306" s="26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8"/>
      <c r="X6306" s="28"/>
      <c r="Y6306" s="28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28"/>
      <c r="AS6306" s="28"/>
      <c r="AT6306" s="28"/>
    </row>
    <row r="6307">
      <c r="A6307" s="14"/>
      <c r="B6307" s="15"/>
      <c r="C6307" s="16"/>
      <c r="D6307" s="15"/>
      <c r="F6307" s="15"/>
      <c r="G6307" s="26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8"/>
      <c r="X6307" s="28"/>
      <c r="Y6307" s="28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28"/>
      <c r="AS6307" s="28"/>
      <c r="AT6307" s="28"/>
    </row>
    <row r="6308">
      <c r="A6308" s="14"/>
      <c r="B6308" s="15"/>
      <c r="C6308" s="16"/>
      <c r="D6308" s="15"/>
      <c r="F6308" s="15"/>
      <c r="G6308" s="26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8"/>
      <c r="X6308" s="28"/>
      <c r="Y6308" s="28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28"/>
      <c r="AS6308" s="28"/>
      <c r="AT6308" s="28"/>
    </row>
    <row r="6309">
      <c r="A6309" s="14"/>
      <c r="B6309" s="15"/>
      <c r="C6309" s="16"/>
      <c r="D6309" s="15"/>
      <c r="F6309" s="15"/>
      <c r="G6309" s="26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8"/>
      <c r="X6309" s="28"/>
      <c r="Y6309" s="28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28"/>
      <c r="AS6309" s="28"/>
      <c r="AT6309" s="28"/>
    </row>
    <row r="6310">
      <c r="A6310" s="14"/>
      <c r="B6310" s="15"/>
      <c r="C6310" s="16"/>
      <c r="D6310" s="15"/>
      <c r="F6310" s="15"/>
      <c r="G6310" s="26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8"/>
      <c r="X6310" s="28"/>
      <c r="Y6310" s="28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28"/>
      <c r="AS6310" s="28"/>
      <c r="AT6310" s="28"/>
    </row>
    <row r="6311">
      <c r="A6311" s="14"/>
      <c r="B6311" s="15"/>
      <c r="C6311" s="16"/>
      <c r="D6311" s="15"/>
      <c r="F6311" s="15"/>
      <c r="G6311" s="26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8"/>
      <c r="X6311" s="28"/>
      <c r="Y6311" s="28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28"/>
      <c r="AS6311" s="28"/>
      <c r="AT6311" s="28"/>
    </row>
    <row r="6312">
      <c r="A6312" s="14"/>
      <c r="B6312" s="15"/>
      <c r="C6312" s="16"/>
      <c r="D6312" s="15"/>
      <c r="F6312" s="15"/>
      <c r="G6312" s="26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8"/>
      <c r="X6312" s="28"/>
      <c r="Y6312" s="28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28"/>
      <c r="AS6312" s="28"/>
      <c r="AT6312" s="28"/>
    </row>
    <row r="6313">
      <c r="A6313" s="14"/>
      <c r="B6313" s="15"/>
      <c r="C6313" s="16"/>
      <c r="D6313" s="15"/>
      <c r="F6313" s="15"/>
      <c r="G6313" s="26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8"/>
      <c r="X6313" s="28"/>
      <c r="Y6313" s="28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28"/>
      <c r="AS6313" s="28"/>
      <c r="AT6313" s="28"/>
    </row>
    <row r="6314">
      <c r="A6314" s="14"/>
      <c r="B6314" s="15"/>
      <c r="C6314" s="16"/>
      <c r="D6314" s="15"/>
      <c r="F6314" s="15"/>
      <c r="G6314" s="26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8"/>
      <c r="X6314" s="28"/>
      <c r="Y6314" s="28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28"/>
      <c r="AS6314" s="28"/>
      <c r="AT6314" s="28"/>
    </row>
    <row r="6315">
      <c r="A6315" s="14"/>
      <c r="B6315" s="15"/>
      <c r="C6315" s="16"/>
      <c r="D6315" s="15"/>
      <c r="F6315" s="15"/>
      <c r="G6315" s="26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8"/>
      <c r="X6315" s="28"/>
      <c r="Y6315" s="28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28"/>
      <c r="AS6315" s="28"/>
      <c r="AT6315" s="28"/>
    </row>
    <row r="6316">
      <c r="A6316" s="14"/>
      <c r="B6316" s="15"/>
      <c r="C6316" s="16"/>
      <c r="D6316" s="15"/>
      <c r="F6316" s="15"/>
      <c r="G6316" s="26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28"/>
      <c r="AS6316" s="28"/>
      <c r="AT6316" s="28"/>
    </row>
    <row r="6317">
      <c r="A6317" s="14"/>
      <c r="B6317" s="15"/>
      <c r="C6317" s="16"/>
      <c r="D6317" s="15"/>
      <c r="F6317" s="15"/>
      <c r="G6317" s="26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8"/>
      <c r="X6317" s="28"/>
      <c r="Y6317" s="28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28"/>
      <c r="AS6317" s="28"/>
      <c r="AT6317" s="28"/>
    </row>
    <row r="6318">
      <c r="A6318" s="14"/>
      <c r="B6318" s="15"/>
      <c r="C6318" s="16"/>
      <c r="D6318" s="15"/>
      <c r="F6318" s="15"/>
      <c r="G6318" s="26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8"/>
      <c r="X6318" s="28"/>
      <c r="Y6318" s="28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28"/>
      <c r="AS6318" s="28"/>
      <c r="AT6318" s="28"/>
    </row>
    <row r="6319">
      <c r="A6319" s="14"/>
      <c r="B6319" s="15"/>
      <c r="C6319" s="16"/>
      <c r="D6319" s="15"/>
      <c r="F6319" s="15"/>
      <c r="G6319" s="26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8"/>
      <c r="X6319" s="28"/>
      <c r="Y6319" s="28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28"/>
      <c r="AS6319" s="28"/>
      <c r="AT6319" s="28"/>
    </row>
    <row r="6320">
      <c r="A6320" s="14"/>
      <c r="B6320" s="15"/>
      <c r="C6320" s="16"/>
      <c r="D6320" s="15"/>
      <c r="F6320" s="15"/>
      <c r="G6320" s="26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8"/>
      <c r="X6320" s="28"/>
      <c r="Y6320" s="28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28"/>
      <c r="AS6320" s="28"/>
      <c r="AT6320" s="28"/>
    </row>
    <row r="6321">
      <c r="A6321" s="14"/>
      <c r="B6321" s="15"/>
      <c r="C6321" s="16"/>
      <c r="D6321" s="15"/>
      <c r="F6321" s="15"/>
      <c r="G6321" s="26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8"/>
      <c r="X6321" s="28"/>
      <c r="Y6321" s="28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28"/>
      <c r="AS6321" s="28"/>
      <c r="AT6321" s="28"/>
    </row>
    <row r="6322">
      <c r="A6322" s="14"/>
      <c r="B6322" s="15"/>
      <c r="C6322" s="16"/>
      <c r="D6322" s="15"/>
      <c r="F6322" s="15"/>
      <c r="G6322" s="26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8"/>
      <c r="X6322" s="28"/>
      <c r="Y6322" s="28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28"/>
      <c r="AS6322" s="28"/>
      <c r="AT6322" s="28"/>
    </row>
    <row r="6323">
      <c r="A6323" s="14"/>
      <c r="B6323" s="15"/>
      <c r="C6323" s="16"/>
      <c r="D6323" s="15"/>
      <c r="F6323" s="15"/>
      <c r="G6323" s="26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8"/>
      <c r="X6323" s="28"/>
      <c r="Y6323" s="28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28"/>
      <c r="AS6323" s="28"/>
      <c r="AT6323" s="28"/>
    </row>
    <row r="6324">
      <c r="A6324" s="14"/>
      <c r="B6324" s="15"/>
      <c r="C6324" s="16"/>
      <c r="D6324" s="15"/>
      <c r="F6324" s="15"/>
      <c r="G6324" s="26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8"/>
      <c r="X6324" s="28"/>
      <c r="Y6324" s="28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28"/>
      <c r="AS6324" s="28"/>
      <c r="AT6324" s="28"/>
    </row>
    <row r="6325">
      <c r="A6325" s="14"/>
      <c r="B6325" s="15"/>
      <c r="C6325" s="16"/>
      <c r="D6325" s="15"/>
      <c r="F6325" s="15"/>
      <c r="G6325" s="26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8"/>
      <c r="X6325" s="28"/>
      <c r="Y6325" s="28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28"/>
      <c r="AS6325" s="28"/>
      <c r="AT6325" s="28"/>
    </row>
    <row r="6326">
      <c r="A6326" s="14"/>
      <c r="B6326" s="15"/>
      <c r="C6326" s="16"/>
      <c r="D6326" s="15"/>
      <c r="F6326" s="15"/>
      <c r="G6326" s="26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8"/>
      <c r="X6326" s="28"/>
      <c r="Y6326" s="28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28"/>
      <c r="AS6326" s="28"/>
      <c r="AT6326" s="28"/>
    </row>
    <row r="6327">
      <c r="A6327" s="14"/>
      <c r="B6327" s="15"/>
      <c r="C6327" s="16"/>
      <c r="D6327" s="15"/>
      <c r="F6327" s="15"/>
      <c r="G6327" s="26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8"/>
      <c r="X6327" s="28"/>
      <c r="Y6327" s="28"/>
      <c r="Z6327" s="28"/>
      <c r="AA6327" s="28"/>
      <c r="AB6327" s="28"/>
      <c r="AC6327" s="28"/>
      <c r="AD6327" s="28"/>
      <c r="AE6327" s="28"/>
      <c r="AF6327" s="28"/>
      <c r="AG6327" s="28"/>
      <c r="AH6327" s="28"/>
      <c r="AI6327" s="28"/>
      <c r="AJ6327" s="28"/>
      <c r="AK6327" s="28"/>
      <c r="AL6327" s="28"/>
      <c r="AM6327" s="28"/>
      <c r="AN6327" s="28"/>
      <c r="AO6327" s="28"/>
      <c r="AP6327" s="28"/>
      <c r="AQ6327" s="28"/>
      <c r="AR6327" s="28"/>
      <c r="AS6327" s="28"/>
      <c r="AT6327" s="28"/>
    </row>
    <row r="6328">
      <c r="A6328" s="14"/>
      <c r="B6328" s="15"/>
      <c r="C6328" s="16"/>
      <c r="D6328" s="15"/>
      <c r="F6328" s="15"/>
      <c r="G6328" s="26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8"/>
      <c r="X6328" s="28"/>
      <c r="Y6328" s="28"/>
      <c r="Z6328" s="28"/>
      <c r="AA6328" s="28"/>
      <c r="AB6328" s="28"/>
      <c r="AC6328" s="28"/>
      <c r="AD6328" s="28"/>
      <c r="AE6328" s="28"/>
      <c r="AF6328" s="28"/>
      <c r="AG6328" s="28"/>
      <c r="AH6328" s="28"/>
      <c r="AI6328" s="28"/>
      <c r="AJ6328" s="28"/>
      <c r="AK6328" s="28"/>
      <c r="AL6328" s="28"/>
      <c r="AM6328" s="28"/>
      <c r="AN6328" s="28"/>
      <c r="AO6328" s="28"/>
      <c r="AP6328" s="28"/>
      <c r="AQ6328" s="28"/>
      <c r="AR6328" s="28"/>
      <c r="AS6328" s="28"/>
      <c r="AT6328" s="28"/>
    </row>
    <row r="6329">
      <c r="A6329" s="14"/>
      <c r="B6329" s="15"/>
      <c r="C6329" s="16"/>
      <c r="D6329" s="15"/>
      <c r="F6329" s="15"/>
      <c r="G6329" s="26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8"/>
      <c r="X6329" s="28"/>
      <c r="Y6329" s="28"/>
      <c r="Z6329" s="28"/>
      <c r="AA6329" s="28"/>
      <c r="AB6329" s="28"/>
      <c r="AC6329" s="28"/>
      <c r="AD6329" s="28"/>
      <c r="AE6329" s="28"/>
      <c r="AF6329" s="28"/>
      <c r="AG6329" s="28"/>
      <c r="AH6329" s="28"/>
      <c r="AI6329" s="28"/>
      <c r="AJ6329" s="28"/>
      <c r="AK6329" s="28"/>
      <c r="AL6329" s="28"/>
      <c r="AM6329" s="28"/>
      <c r="AN6329" s="28"/>
      <c r="AO6329" s="28"/>
      <c r="AP6329" s="28"/>
      <c r="AQ6329" s="28"/>
      <c r="AR6329" s="28"/>
      <c r="AS6329" s="28"/>
      <c r="AT6329" s="28"/>
    </row>
    <row r="6330">
      <c r="A6330" s="14"/>
      <c r="B6330" s="15"/>
      <c r="C6330" s="16"/>
      <c r="D6330" s="15"/>
      <c r="F6330" s="15"/>
      <c r="G6330" s="26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8"/>
      <c r="X6330" s="28"/>
      <c r="Y6330" s="28"/>
      <c r="Z6330" s="28"/>
      <c r="AA6330" s="28"/>
      <c r="AB6330" s="28"/>
      <c r="AC6330" s="28"/>
      <c r="AD6330" s="28"/>
      <c r="AE6330" s="28"/>
      <c r="AF6330" s="28"/>
      <c r="AG6330" s="28"/>
      <c r="AH6330" s="28"/>
      <c r="AI6330" s="28"/>
      <c r="AJ6330" s="28"/>
      <c r="AK6330" s="28"/>
      <c r="AL6330" s="28"/>
      <c r="AM6330" s="28"/>
      <c r="AN6330" s="28"/>
      <c r="AO6330" s="28"/>
      <c r="AP6330" s="28"/>
      <c r="AQ6330" s="28"/>
      <c r="AR6330" s="28"/>
      <c r="AS6330" s="28"/>
      <c r="AT6330" s="28"/>
    </row>
    <row r="6331">
      <c r="A6331" s="14"/>
      <c r="B6331" s="15"/>
      <c r="C6331" s="16"/>
      <c r="D6331" s="15"/>
      <c r="F6331" s="15"/>
      <c r="G6331" s="26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8"/>
      <c r="X6331" s="28"/>
      <c r="Y6331" s="28"/>
      <c r="Z6331" s="28"/>
      <c r="AA6331" s="28"/>
      <c r="AB6331" s="28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O6331" s="28"/>
      <c r="AP6331" s="28"/>
      <c r="AQ6331" s="28"/>
      <c r="AR6331" s="28"/>
      <c r="AS6331" s="28"/>
      <c r="AT6331" s="28"/>
    </row>
    <row r="6332">
      <c r="A6332" s="14"/>
      <c r="B6332" s="15"/>
      <c r="C6332" s="16"/>
      <c r="D6332" s="15"/>
      <c r="F6332" s="15"/>
      <c r="G6332" s="26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8"/>
      <c r="X6332" s="28"/>
      <c r="Y6332" s="28"/>
      <c r="Z6332" s="28"/>
      <c r="AA6332" s="28"/>
      <c r="AB6332" s="28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R6332" s="28"/>
      <c r="AS6332" s="28"/>
      <c r="AT6332" s="28"/>
    </row>
    <row r="6333">
      <c r="A6333" s="14"/>
      <c r="B6333" s="15"/>
      <c r="C6333" s="16"/>
      <c r="D6333" s="15"/>
      <c r="F6333" s="15"/>
      <c r="G6333" s="26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8"/>
      <c r="X6333" s="28"/>
      <c r="Y6333" s="28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J6333" s="28"/>
      <c r="AK6333" s="28"/>
      <c r="AL6333" s="28"/>
      <c r="AM6333" s="28"/>
      <c r="AN6333" s="28"/>
      <c r="AO6333" s="28"/>
      <c r="AP6333" s="28"/>
      <c r="AQ6333" s="28"/>
      <c r="AR6333" s="28"/>
      <c r="AS6333" s="28"/>
      <c r="AT6333" s="28"/>
    </row>
    <row r="6334">
      <c r="A6334" s="14"/>
      <c r="B6334" s="15"/>
      <c r="C6334" s="16"/>
      <c r="D6334" s="15"/>
      <c r="F6334" s="15"/>
      <c r="G6334" s="26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8"/>
      <c r="X6334" s="28"/>
      <c r="Y6334" s="28"/>
      <c r="Z6334" s="28"/>
      <c r="AA6334" s="28"/>
      <c r="AB6334" s="28"/>
      <c r="AC6334" s="28"/>
      <c r="AD6334" s="28"/>
      <c r="AE6334" s="28"/>
      <c r="AF6334" s="28"/>
      <c r="AG6334" s="28"/>
      <c r="AH6334" s="28"/>
      <c r="AI6334" s="28"/>
      <c r="AJ6334" s="28"/>
      <c r="AK6334" s="28"/>
      <c r="AL6334" s="28"/>
      <c r="AM6334" s="28"/>
      <c r="AN6334" s="28"/>
      <c r="AO6334" s="28"/>
      <c r="AP6334" s="28"/>
      <c r="AQ6334" s="28"/>
      <c r="AR6334" s="28"/>
      <c r="AS6334" s="28"/>
      <c r="AT6334" s="28"/>
    </row>
    <row r="6335">
      <c r="A6335" s="14"/>
      <c r="B6335" s="15"/>
      <c r="C6335" s="16"/>
      <c r="D6335" s="15"/>
      <c r="F6335" s="15"/>
      <c r="G6335" s="26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8"/>
      <c r="X6335" s="28"/>
      <c r="Y6335" s="28"/>
      <c r="Z6335" s="28"/>
      <c r="AA6335" s="28"/>
      <c r="AB6335" s="28"/>
      <c r="AC6335" s="28"/>
      <c r="AD6335" s="28"/>
      <c r="AE6335" s="28"/>
      <c r="AF6335" s="28"/>
      <c r="AG6335" s="28"/>
      <c r="AH6335" s="28"/>
      <c r="AI6335" s="28"/>
      <c r="AJ6335" s="28"/>
      <c r="AK6335" s="28"/>
      <c r="AL6335" s="28"/>
      <c r="AM6335" s="28"/>
      <c r="AN6335" s="28"/>
      <c r="AO6335" s="28"/>
      <c r="AP6335" s="28"/>
      <c r="AQ6335" s="28"/>
      <c r="AR6335" s="28"/>
      <c r="AS6335" s="28"/>
      <c r="AT6335" s="28"/>
    </row>
    <row r="6336">
      <c r="A6336" s="14"/>
      <c r="B6336" s="15"/>
      <c r="C6336" s="16"/>
      <c r="D6336" s="15"/>
      <c r="F6336" s="15"/>
      <c r="G6336" s="26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  <c r="AF6336" s="28"/>
      <c r="AG6336" s="28"/>
      <c r="AH6336" s="28"/>
      <c r="AI6336" s="28"/>
      <c r="AJ6336" s="28"/>
      <c r="AK6336" s="28"/>
      <c r="AL6336" s="28"/>
      <c r="AM6336" s="28"/>
      <c r="AN6336" s="28"/>
      <c r="AO6336" s="28"/>
      <c r="AP6336" s="28"/>
      <c r="AQ6336" s="28"/>
      <c r="AR6336" s="28"/>
      <c r="AS6336" s="28"/>
      <c r="AT6336" s="28"/>
    </row>
    <row r="6337">
      <c r="A6337" s="14"/>
      <c r="B6337" s="15"/>
      <c r="C6337" s="16"/>
      <c r="D6337" s="15"/>
      <c r="F6337" s="15"/>
      <c r="G6337" s="26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8"/>
      <c r="X6337" s="28"/>
      <c r="Y6337" s="28"/>
      <c r="Z6337" s="28"/>
      <c r="AA6337" s="28"/>
      <c r="AB6337" s="28"/>
      <c r="AC6337" s="28"/>
      <c r="AD6337" s="28"/>
      <c r="AE6337" s="28"/>
      <c r="AF6337" s="28"/>
      <c r="AG6337" s="28"/>
      <c r="AH6337" s="28"/>
      <c r="AI6337" s="28"/>
      <c r="AJ6337" s="28"/>
      <c r="AK6337" s="28"/>
      <c r="AL6337" s="28"/>
      <c r="AM6337" s="28"/>
      <c r="AN6337" s="28"/>
      <c r="AO6337" s="28"/>
      <c r="AP6337" s="28"/>
      <c r="AQ6337" s="28"/>
      <c r="AR6337" s="28"/>
      <c r="AS6337" s="28"/>
      <c r="AT6337" s="28"/>
    </row>
    <row r="6338">
      <c r="A6338" s="14"/>
      <c r="B6338" s="15"/>
      <c r="C6338" s="16"/>
      <c r="D6338" s="15"/>
      <c r="F6338" s="15"/>
      <c r="G6338" s="26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8"/>
      <c r="X6338" s="28"/>
      <c r="Y6338" s="28"/>
      <c r="Z6338" s="28"/>
      <c r="AA6338" s="28"/>
      <c r="AB6338" s="28"/>
      <c r="AC6338" s="28"/>
      <c r="AD6338" s="28"/>
      <c r="AE6338" s="28"/>
      <c r="AF6338" s="28"/>
      <c r="AG6338" s="28"/>
      <c r="AH6338" s="28"/>
      <c r="AI6338" s="28"/>
      <c r="AJ6338" s="28"/>
      <c r="AK6338" s="28"/>
      <c r="AL6338" s="28"/>
      <c r="AM6338" s="28"/>
      <c r="AN6338" s="28"/>
      <c r="AO6338" s="28"/>
      <c r="AP6338" s="28"/>
      <c r="AQ6338" s="28"/>
      <c r="AR6338" s="28"/>
      <c r="AS6338" s="28"/>
      <c r="AT6338" s="28"/>
    </row>
    <row r="6339">
      <c r="A6339" s="14"/>
      <c r="B6339" s="15"/>
      <c r="C6339" s="16"/>
      <c r="D6339" s="15"/>
      <c r="F6339" s="15"/>
      <c r="G6339" s="26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8"/>
      <c r="X6339" s="28"/>
      <c r="Y6339" s="28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O6339" s="28"/>
      <c r="AP6339" s="28"/>
      <c r="AQ6339" s="28"/>
      <c r="AR6339" s="28"/>
      <c r="AS6339" s="28"/>
      <c r="AT6339" s="28"/>
    </row>
    <row r="6340">
      <c r="A6340" s="14"/>
      <c r="B6340" s="15"/>
      <c r="C6340" s="16"/>
      <c r="D6340" s="15"/>
      <c r="F6340" s="15"/>
      <c r="G6340" s="26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8"/>
      <c r="X6340" s="28"/>
      <c r="Y6340" s="28"/>
      <c r="Z6340" s="28"/>
      <c r="AA6340" s="28"/>
      <c r="AB6340" s="28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R6340" s="28"/>
      <c r="AS6340" s="28"/>
      <c r="AT6340" s="28"/>
    </row>
    <row r="6341">
      <c r="A6341" s="14"/>
      <c r="B6341" s="15"/>
      <c r="C6341" s="16"/>
      <c r="D6341" s="15"/>
      <c r="F6341" s="15"/>
      <c r="G6341" s="26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8"/>
      <c r="X6341" s="28"/>
      <c r="Y6341" s="28"/>
      <c r="Z6341" s="28"/>
      <c r="AA6341" s="28"/>
      <c r="AB6341" s="28"/>
      <c r="AC6341" s="28"/>
      <c r="AD6341" s="28"/>
      <c r="AE6341" s="28"/>
      <c r="AF6341" s="28"/>
      <c r="AG6341" s="28"/>
      <c r="AH6341" s="28"/>
      <c r="AI6341" s="28"/>
      <c r="AJ6341" s="28"/>
      <c r="AK6341" s="28"/>
      <c r="AL6341" s="28"/>
      <c r="AM6341" s="28"/>
      <c r="AN6341" s="28"/>
      <c r="AO6341" s="28"/>
      <c r="AP6341" s="28"/>
      <c r="AQ6341" s="28"/>
      <c r="AR6341" s="28"/>
      <c r="AS6341" s="28"/>
      <c r="AT6341" s="28"/>
    </row>
    <row r="6342">
      <c r="A6342" s="14"/>
      <c r="B6342" s="15"/>
      <c r="C6342" s="16"/>
      <c r="D6342" s="15"/>
      <c r="F6342" s="15"/>
      <c r="G6342" s="26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8"/>
      <c r="X6342" s="28"/>
      <c r="Y6342" s="28"/>
      <c r="Z6342" s="28"/>
      <c r="AA6342" s="28"/>
      <c r="AB6342" s="28"/>
      <c r="AC6342" s="28"/>
      <c r="AD6342" s="28"/>
      <c r="AE6342" s="28"/>
      <c r="AF6342" s="28"/>
      <c r="AG6342" s="28"/>
      <c r="AH6342" s="28"/>
      <c r="AI6342" s="28"/>
      <c r="AJ6342" s="28"/>
      <c r="AK6342" s="28"/>
      <c r="AL6342" s="28"/>
      <c r="AM6342" s="28"/>
      <c r="AN6342" s="28"/>
      <c r="AO6342" s="28"/>
      <c r="AP6342" s="28"/>
      <c r="AQ6342" s="28"/>
      <c r="AR6342" s="28"/>
      <c r="AS6342" s="28"/>
      <c r="AT6342" s="28"/>
    </row>
    <row r="6343">
      <c r="A6343" s="14"/>
      <c r="B6343" s="15"/>
      <c r="C6343" s="16"/>
      <c r="D6343" s="15"/>
      <c r="F6343" s="15"/>
      <c r="G6343" s="26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8"/>
      <c r="X6343" s="28"/>
      <c r="Y6343" s="28"/>
      <c r="Z6343" s="28"/>
      <c r="AA6343" s="28"/>
      <c r="AB6343" s="28"/>
      <c r="AC6343" s="28"/>
      <c r="AD6343" s="28"/>
      <c r="AE6343" s="28"/>
      <c r="AF6343" s="28"/>
      <c r="AG6343" s="28"/>
      <c r="AH6343" s="28"/>
      <c r="AI6343" s="28"/>
      <c r="AJ6343" s="28"/>
      <c r="AK6343" s="28"/>
      <c r="AL6343" s="28"/>
      <c r="AM6343" s="28"/>
      <c r="AN6343" s="28"/>
      <c r="AO6343" s="28"/>
      <c r="AP6343" s="28"/>
      <c r="AQ6343" s="28"/>
      <c r="AR6343" s="28"/>
      <c r="AS6343" s="28"/>
      <c r="AT6343" s="28"/>
    </row>
    <row r="6344">
      <c r="A6344" s="14"/>
      <c r="B6344" s="15"/>
      <c r="C6344" s="16"/>
      <c r="D6344" s="15"/>
      <c r="F6344" s="15"/>
      <c r="G6344" s="26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8"/>
      <c r="X6344" s="28"/>
      <c r="Y6344" s="28"/>
      <c r="Z6344" s="28"/>
      <c r="AA6344" s="28"/>
      <c r="AB6344" s="28"/>
      <c r="AC6344" s="28"/>
      <c r="AD6344" s="28"/>
      <c r="AE6344" s="28"/>
      <c r="AF6344" s="28"/>
      <c r="AG6344" s="28"/>
      <c r="AH6344" s="28"/>
      <c r="AI6344" s="28"/>
      <c r="AJ6344" s="28"/>
      <c r="AK6344" s="28"/>
      <c r="AL6344" s="28"/>
      <c r="AM6344" s="28"/>
      <c r="AN6344" s="28"/>
      <c r="AO6344" s="28"/>
      <c r="AP6344" s="28"/>
      <c r="AQ6344" s="28"/>
      <c r="AR6344" s="28"/>
      <c r="AS6344" s="28"/>
      <c r="AT6344" s="28"/>
    </row>
    <row r="6345">
      <c r="A6345" s="14"/>
      <c r="B6345" s="15"/>
      <c r="C6345" s="16"/>
      <c r="D6345" s="15"/>
      <c r="F6345" s="15"/>
      <c r="G6345" s="26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8"/>
      <c r="X6345" s="28"/>
      <c r="Y6345" s="28"/>
      <c r="Z6345" s="28"/>
      <c r="AA6345" s="28"/>
      <c r="AB6345" s="28"/>
      <c r="AC6345" s="28"/>
      <c r="AD6345" s="28"/>
      <c r="AE6345" s="28"/>
      <c r="AF6345" s="28"/>
      <c r="AG6345" s="28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  <c r="AR6345" s="28"/>
      <c r="AS6345" s="28"/>
      <c r="AT6345" s="28"/>
    </row>
    <row r="6346">
      <c r="A6346" s="14"/>
      <c r="B6346" s="15"/>
      <c r="C6346" s="16"/>
      <c r="D6346" s="15"/>
      <c r="F6346" s="15"/>
      <c r="G6346" s="26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8"/>
      <c r="X6346" s="28"/>
      <c r="Y6346" s="28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28"/>
      <c r="AS6346" s="28"/>
      <c r="AT6346" s="28"/>
    </row>
    <row r="6347">
      <c r="A6347" s="14"/>
      <c r="B6347" s="15"/>
      <c r="C6347" s="16"/>
      <c r="D6347" s="15"/>
      <c r="F6347" s="15"/>
      <c r="G6347" s="26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8"/>
      <c r="X6347" s="28"/>
      <c r="Y6347" s="28"/>
      <c r="Z6347" s="28"/>
      <c r="AA6347" s="28"/>
      <c r="AB6347" s="28"/>
      <c r="AC6347" s="28"/>
      <c r="AD6347" s="28"/>
      <c r="AE6347" s="28"/>
      <c r="AF6347" s="28"/>
      <c r="AG6347" s="28"/>
      <c r="AH6347" s="28"/>
      <c r="AI6347" s="28"/>
      <c r="AJ6347" s="28"/>
      <c r="AK6347" s="28"/>
      <c r="AL6347" s="28"/>
      <c r="AM6347" s="28"/>
      <c r="AN6347" s="28"/>
      <c r="AO6347" s="28"/>
      <c r="AP6347" s="28"/>
      <c r="AQ6347" s="28"/>
      <c r="AR6347" s="28"/>
      <c r="AS6347" s="28"/>
      <c r="AT6347" s="28"/>
    </row>
    <row r="6348">
      <c r="A6348" s="14"/>
      <c r="B6348" s="15"/>
      <c r="C6348" s="16"/>
      <c r="D6348" s="15"/>
      <c r="F6348" s="15"/>
      <c r="G6348" s="26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8"/>
      <c r="X6348" s="28"/>
      <c r="Y6348" s="28"/>
      <c r="Z6348" s="28"/>
      <c r="AA6348" s="28"/>
      <c r="AB6348" s="28"/>
      <c r="AC6348" s="28"/>
      <c r="AD6348" s="28"/>
      <c r="AE6348" s="28"/>
      <c r="AF6348" s="28"/>
      <c r="AG6348" s="28"/>
      <c r="AH6348" s="28"/>
      <c r="AI6348" s="28"/>
      <c r="AJ6348" s="28"/>
      <c r="AK6348" s="28"/>
      <c r="AL6348" s="28"/>
      <c r="AM6348" s="28"/>
      <c r="AN6348" s="28"/>
      <c r="AO6348" s="28"/>
      <c r="AP6348" s="28"/>
      <c r="AQ6348" s="28"/>
      <c r="AR6348" s="28"/>
      <c r="AS6348" s="28"/>
      <c r="AT6348" s="28"/>
    </row>
    <row r="6349">
      <c r="A6349" s="14"/>
      <c r="B6349" s="15"/>
      <c r="C6349" s="16"/>
      <c r="D6349" s="15"/>
      <c r="F6349" s="15"/>
      <c r="G6349" s="26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8"/>
      <c r="X6349" s="28"/>
      <c r="Y6349" s="28"/>
      <c r="Z6349" s="28"/>
      <c r="AA6349" s="28"/>
      <c r="AB6349" s="28"/>
      <c r="AC6349" s="28"/>
      <c r="AD6349" s="28"/>
      <c r="AE6349" s="28"/>
      <c r="AF6349" s="28"/>
      <c r="AG6349" s="28"/>
      <c r="AH6349" s="28"/>
      <c r="AI6349" s="28"/>
      <c r="AJ6349" s="28"/>
      <c r="AK6349" s="28"/>
      <c r="AL6349" s="28"/>
      <c r="AM6349" s="28"/>
      <c r="AN6349" s="28"/>
      <c r="AO6349" s="28"/>
      <c r="AP6349" s="28"/>
      <c r="AQ6349" s="28"/>
      <c r="AR6349" s="28"/>
      <c r="AS6349" s="28"/>
      <c r="AT6349" s="28"/>
    </row>
    <row r="6350">
      <c r="A6350" s="14"/>
      <c r="B6350" s="15"/>
      <c r="C6350" s="16"/>
      <c r="D6350" s="15"/>
      <c r="F6350" s="15"/>
      <c r="G6350" s="26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8"/>
      <c r="X6350" s="28"/>
      <c r="Y6350" s="28"/>
      <c r="Z6350" s="28"/>
      <c r="AA6350" s="28"/>
      <c r="AB6350" s="28"/>
      <c r="AC6350" s="28"/>
      <c r="AD6350" s="28"/>
      <c r="AE6350" s="28"/>
      <c r="AF6350" s="28"/>
      <c r="AG6350" s="28"/>
      <c r="AH6350" s="28"/>
      <c r="AI6350" s="28"/>
      <c r="AJ6350" s="28"/>
      <c r="AK6350" s="28"/>
      <c r="AL6350" s="28"/>
      <c r="AM6350" s="28"/>
      <c r="AN6350" s="28"/>
      <c r="AO6350" s="28"/>
      <c r="AP6350" s="28"/>
      <c r="AQ6350" s="28"/>
      <c r="AR6350" s="28"/>
      <c r="AS6350" s="28"/>
      <c r="AT6350" s="28"/>
    </row>
    <row r="6351">
      <c r="A6351" s="14"/>
      <c r="B6351" s="15"/>
      <c r="C6351" s="16"/>
      <c r="D6351" s="15"/>
      <c r="F6351" s="15"/>
      <c r="G6351" s="26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8"/>
      <c r="X6351" s="28"/>
      <c r="Y6351" s="28"/>
      <c r="Z6351" s="28"/>
      <c r="AA6351" s="28"/>
      <c r="AB6351" s="28"/>
      <c r="AC6351" s="28"/>
      <c r="AD6351" s="28"/>
      <c r="AE6351" s="28"/>
      <c r="AF6351" s="28"/>
      <c r="AG6351" s="28"/>
      <c r="AH6351" s="28"/>
      <c r="AI6351" s="28"/>
      <c r="AJ6351" s="28"/>
      <c r="AK6351" s="28"/>
      <c r="AL6351" s="28"/>
      <c r="AM6351" s="28"/>
      <c r="AN6351" s="28"/>
      <c r="AO6351" s="28"/>
      <c r="AP6351" s="28"/>
      <c r="AQ6351" s="28"/>
      <c r="AR6351" s="28"/>
      <c r="AS6351" s="28"/>
      <c r="AT6351" s="28"/>
    </row>
    <row r="6352">
      <c r="A6352" s="14"/>
      <c r="B6352" s="15"/>
      <c r="C6352" s="16"/>
      <c r="D6352" s="15"/>
      <c r="F6352" s="15"/>
      <c r="G6352" s="26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8"/>
      <c r="X6352" s="28"/>
      <c r="Y6352" s="28"/>
      <c r="Z6352" s="28"/>
      <c r="AA6352" s="28"/>
      <c r="AB6352" s="28"/>
      <c r="AC6352" s="28"/>
      <c r="AD6352" s="28"/>
      <c r="AE6352" s="28"/>
      <c r="AF6352" s="28"/>
      <c r="AG6352" s="28"/>
      <c r="AH6352" s="28"/>
      <c r="AI6352" s="28"/>
      <c r="AJ6352" s="28"/>
      <c r="AK6352" s="28"/>
      <c r="AL6352" s="28"/>
      <c r="AM6352" s="28"/>
      <c r="AN6352" s="28"/>
      <c r="AO6352" s="28"/>
      <c r="AP6352" s="28"/>
      <c r="AQ6352" s="28"/>
      <c r="AR6352" s="28"/>
      <c r="AS6352" s="28"/>
      <c r="AT6352" s="28"/>
    </row>
    <row r="6353">
      <c r="A6353" s="14"/>
      <c r="B6353" s="15"/>
      <c r="C6353" s="16"/>
      <c r="D6353" s="15"/>
      <c r="F6353" s="15"/>
      <c r="G6353" s="26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8"/>
      <c r="X6353" s="28"/>
      <c r="Y6353" s="28"/>
      <c r="Z6353" s="28"/>
      <c r="AA6353" s="28"/>
      <c r="AB6353" s="28"/>
      <c r="AC6353" s="28"/>
      <c r="AD6353" s="28"/>
      <c r="AE6353" s="28"/>
      <c r="AF6353" s="28"/>
      <c r="AG6353" s="28"/>
      <c r="AH6353" s="28"/>
      <c r="AI6353" s="28"/>
      <c r="AJ6353" s="28"/>
      <c r="AK6353" s="28"/>
      <c r="AL6353" s="28"/>
      <c r="AM6353" s="28"/>
      <c r="AN6353" s="28"/>
      <c r="AO6353" s="28"/>
      <c r="AP6353" s="28"/>
      <c r="AQ6353" s="28"/>
      <c r="AR6353" s="28"/>
      <c r="AS6353" s="28"/>
      <c r="AT6353" s="28"/>
    </row>
    <row r="6354">
      <c r="A6354" s="14"/>
      <c r="B6354" s="15"/>
      <c r="C6354" s="16"/>
      <c r="D6354" s="15"/>
      <c r="F6354" s="15"/>
      <c r="G6354" s="26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8"/>
      <c r="X6354" s="28"/>
      <c r="Y6354" s="28"/>
      <c r="Z6354" s="28"/>
      <c r="AA6354" s="28"/>
      <c r="AB6354" s="28"/>
      <c r="AC6354" s="28"/>
      <c r="AD6354" s="28"/>
      <c r="AE6354" s="28"/>
      <c r="AF6354" s="28"/>
      <c r="AG6354" s="28"/>
      <c r="AH6354" s="28"/>
      <c r="AI6354" s="28"/>
      <c r="AJ6354" s="28"/>
      <c r="AK6354" s="28"/>
      <c r="AL6354" s="28"/>
      <c r="AM6354" s="28"/>
      <c r="AN6354" s="28"/>
      <c r="AO6354" s="28"/>
      <c r="AP6354" s="28"/>
      <c r="AQ6354" s="28"/>
      <c r="AR6354" s="28"/>
      <c r="AS6354" s="28"/>
      <c r="AT6354" s="28"/>
    </row>
    <row r="6355">
      <c r="A6355" s="14"/>
      <c r="B6355" s="15"/>
      <c r="C6355" s="16"/>
      <c r="D6355" s="15"/>
      <c r="F6355" s="15"/>
      <c r="G6355" s="26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8"/>
      <c r="X6355" s="28"/>
      <c r="Y6355" s="28"/>
      <c r="Z6355" s="28"/>
      <c r="AA6355" s="28"/>
      <c r="AB6355" s="28"/>
      <c r="AC6355" s="28"/>
      <c r="AD6355" s="28"/>
      <c r="AE6355" s="28"/>
      <c r="AF6355" s="28"/>
      <c r="AG6355" s="28"/>
      <c r="AH6355" s="28"/>
      <c r="AI6355" s="28"/>
      <c r="AJ6355" s="28"/>
      <c r="AK6355" s="28"/>
      <c r="AL6355" s="28"/>
      <c r="AM6355" s="28"/>
      <c r="AN6355" s="28"/>
      <c r="AO6355" s="28"/>
      <c r="AP6355" s="28"/>
      <c r="AQ6355" s="28"/>
      <c r="AR6355" s="28"/>
      <c r="AS6355" s="28"/>
      <c r="AT6355" s="28"/>
    </row>
    <row r="6356">
      <c r="A6356" s="14"/>
      <c r="B6356" s="15"/>
      <c r="C6356" s="16"/>
      <c r="D6356" s="15"/>
      <c r="F6356" s="15"/>
      <c r="G6356" s="26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8"/>
      <c r="X6356" s="28"/>
      <c r="Y6356" s="28"/>
      <c r="Z6356" s="28"/>
      <c r="AA6356" s="28"/>
      <c r="AB6356" s="28"/>
      <c r="AC6356" s="28"/>
      <c r="AD6356" s="28"/>
      <c r="AE6356" s="28"/>
      <c r="AF6356" s="28"/>
      <c r="AG6356" s="28"/>
      <c r="AH6356" s="28"/>
      <c r="AI6356" s="28"/>
      <c r="AJ6356" s="28"/>
      <c r="AK6356" s="28"/>
      <c r="AL6356" s="28"/>
      <c r="AM6356" s="28"/>
      <c r="AN6356" s="28"/>
      <c r="AO6356" s="28"/>
      <c r="AP6356" s="28"/>
      <c r="AQ6356" s="28"/>
      <c r="AR6356" s="28"/>
      <c r="AS6356" s="28"/>
      <c r="AT6356" s="28"/>
    </row>
    <row r="6357">
      <c r="A6357" s="14"/>
      <c r="B6357" s="15"/>
      <c r="C6357" s="16"/>
      <c r="D6357" s="15"/>
      <c r="F6357" s="15"/>
      <c r="G6357" s="26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8"/>
      <c r="X6357" s="28"/>
      <c r="Y6357" s="28"/>
      <c r="Z6357" s="28"/>
      <c r="AA6357" s="28"/>
      <c r="AB6357" s="28"/>
      <c r="AC6357" s="28"/>
      <c r="AD6357" s="28"/>
      <c r="AE6357" s="28"/>
      <c r="AF6357" s="28"/>
      <c r="AG6357" s="28"/>
      <c r="AH6357" s="28"/>
      <c r="AI6357" s="28"/>
      <c r="AJ6357" s="28"/>
      <c r="AK6357" s="28"/>
      <c r="AL6357" s="28"/>
      <c r="AM6357" s="28"/>
      <c r="AN6357" s="28"/>
      <c r="AO6357" s="28"/>
      <c r="AP6357" s="28"/>
      <c r="AQ6357" s="28"/>
      <c r="AR6357" s="28"/>
      <c r="AS6357" s="28"/>
      <c r="AT6357" s="28"/>
    </row>
    <row r="6358">
      <c r="A6358" s="14"/>
      <c r="B6358" s="15"/>
      <c r="C6358" s="16"/>
      <c r="D6358" s="15"/>
      <c r="F6358" s="15"/>
      <c r="G6358" s="26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8"/>
      <c r="X6358" s="28"/>
      <c r="Y6358" s="28"/>
      <c r="Z6358" s="28"/>
      <c r="AA6358" s="28"/>
      <c r="AB6358" s="28"/>
      <c r="AC6358" s="28"/>
      <c r="AD6358" s="28"/>
      <c r="AE6358" s="28"/>
      <c r="AF6358" s="28"/>
      <c r="AG6358" s="28"/>
      <c r="AH6358" s="28"/>
      <c r="AI6358" s="28"/>
      <c r="AJ6358" s="28"/>
      <c r="AK6358" s="28"/>
      <c r="AL6358" s="28"/>
      <c r="AM6358" s="28"/>
      <c r="AN6358" s="28"/>
      <c r="AO6358" s="28"/>
      <c r="AP6358" s="28"/>
      <c r="AQ6358" s="28"/>
      <c r="AR6358" s="28"/>
      <c r="AS6358" s="28"/>
      <c r="AT6358" s="28"/>
    </row>
    <row r="6359">
      <c r="A6359" s="14"/>
      <c r="B6359" s="15"/>
      <c r="C6359" s="16"/>
      <c r="D6359" s="15"/>
      <c r="F6359" s="15"/>
      <c r="G6359" s="26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8"/>
      <c r="X6359" s="28"/>
      <c r="Y6359" s="28"/>
      <c r="Z6359" s="28"/>
      <c r="AA6359" s="28"/>
      <c r="AB6359" s="28"/>
      <c r="AC6359" s="28"/>
      <c r="AD6359" s="28"/>
      <c r="AE6359" s="28"/>
      <c r="AF6359" s="28"/>
      <c r="AG6359" s="28"/>
      <c r="AH6359" s="28"/>
      <c r="AI6359" s="28"/>
      <c r="AJ6359" s="28"/>
      <c r="AK6359" s="28"/>
      <c r="AL6359" s="28"/>
      <c r="AM6359" s="28"/>
      <c r="AN6359" s="28"/>
      <c r="AO6359" s="28"/>
      <c r="AP6359" s="28"/>
      <c r="AQ6359" s="28"/>
      <c r="AR6359" s="28"/>
      <c r="AS6359" s="28"/>
      <c r="AT6359" s="28"/>
    </row>
    <row r="6360">
      <c r="A6360" s="14"/>
      <c r="B6360" s="15"/>
      <c r="C6360" s="16"/>
      <c r="D6360" s="15"/>
      <c r="F6360" s="15"/>
      <c r="G6360" s="26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8"/>
      <c r="X6360" s="28"/>
      <c r="Y6360" s="28"/>
      <c r="Z6360" s="28"/>
      <c r="AA6360" s="28"/>
      <c r="AB6360" s="28"/>
      <c r="AC6360" s="28"/>
      <c r="AD6360" s="28"/>
      <c r="AE6360" s="28"/>
      <c r="AF6360" s="28"/>
      <c r="AG6360" s="28"/>
      <c r="AH6360" s="28"/>
      <c r="AI6360" s="28"/>
      <c r="AJ6360" s="28"/>
      <c r="AK6360" s="28"/>
      <c r="AL6360" s="28"/>
      <c r="AM6360" s="28"/>
      <c r="AN6360" s="28"/>
      <c r="AO6360" s="28"/>
      <c r="AP6360" s="28"/>
      <c r="AQ6360" s="28"/>
      <c r="AR6360" s="28"/>
      <c r="AS6360" s="28"/>
      <c r="AT6360" s="28"/>
    </row>
    <row r="6361">
      <c r="A6361" s="14"/>
      <c r="B6361" s="15"/>
      <c r="C6361" s="16"/>
      <c r="D6361" s="15"/>
      <c r="F6361" s="15"/>
      <c r="G6361" s="26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8"/>
      <c r="X6361" s="28"/>
      <c r="Y6361" s="28"/>
      <c r="Z6361" s="28"/>
      <c r="AA6361" s="28"/>
      <c r="AB6361" s="28"/>
      <c r="AC6361" s="28"/>
      <c r="AD6361" s="28"/>
      <c r="AE6361" s="28"/>
      <c r="AF6361" s="28"/>
      <c r="AG6361" s="28"/>
      <c r="AH6361" s="28"/>
      <c r="AI6361" s="28"/>
      <c r="AJ6361" s="28"/>
      <c r="AK6361" s="28"/>
      <c r="AL6361" s="28"/>
      <c r="AM6361" s="28"/>
      <c r="AN6361" s="28"/>
      <c r="AO6361" s="28"/>
      <c r="AP6361" s="28"/>
      <c r="AQ6361" s="28"/>
      <c r="AR6361" s="28"/>
      <c r="AS6361" s="28"/>
      <c r="AT6361" s="28"/>
    </row>
    <row r="6362">
      <c r="A6362" s="14"/>
      <c r="B6362" s="15"/>
      <c r="C6362" s="16"/>
      <c r="D6362" s="15"/>
      <c r="F6362" s="15"/>
      <c r="G6362" s="26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8"/>
      <c r="X6362" s="28"/>
      <c r="Y6362" s="28"/>
      <c r="Z6362" s="28"/>
      <c r="AA6362" s="28"/>
      <c r="AB6362" s="28"/>
      <c r="AC6362" s="28"/>
      <c r="AD6362" s="28"/>
      <c r="AE6362" s="28"/>
      <c r="AF6362" s="28"/>
      <c r="AG6362" s="28"/>
      <c r="AH6362" s="28"/>
      <c r="AI6362" s="28"/>
      <c r="AJ6362" s="28"/>
      <c r="AK6362" s="28"/>
      <c r="AL6362" s="28"/>
      <c r="AM6362" s="28"/>
      <c r="AN6362" s="28"/>
      <c r="AO6362" s="28"/>
      <c r="AP6362" s="28"/>
      <c r="AQ6362" s="28"/>
      <c r="AR6362" s="28"/>
      <c r="AS6362" s="28"/>
      <c r="AT6362" s="28"/>
    </row>
    <row r="6363">
      <c r="A6363" s="14"/>
      <c r="B6363" s="15"/>
      <c r="C6363" s="16"/>
      <c r="D6363" s="15"/>
      <c r="F6363" s="15"/>
      <c r="G6363" s="26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8"/>
      <c r="X6363" s="28"/>
      <c r="Y6363" s="28"/>
      <c r="Z6363" s="28"/>
      <c r="AA6363" s="28"/>
      <c r="AB6363" s="28"/>
      <c r="AC6363" s="28"/>
      <c r="AD6363" s="28"/>
      <c r="AE6363" s="28"/>
      <c r="AF6363" s="28"/>
      <c r="AG6363" s="28"/>
      <c r="AH6363" s="28"/>
      <c r="AI6363" s="28"/>
      <c r="AJ6363" s="28"/>
      <c r="AK6363" s="28"/>
      <c r="AL6363" s="28"/>
      <c r="AM6363" s="28"/>
      <c r="AN6363" s="28"/>
      <c r="AO6363" s="28"/>
      <c r="AP6363" s="28"/>
      <c r="AQ6363" s="28"/>
      <c r="AR6363" s="28"/>
      <c r="AS6363" s="28"/>
      <c r="AT6363" s="28"/>
    </row>
    <row r="6364">
      <c r="A6364" s="14"/>
      <c r="B6364" s="15"/>
      <c r="C6364" s="16"/>
      <c r="D6364" s="15"/>
      <c r="F6364" s="15"/>
      <c r="G6364" s="26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8"/>
      <c r="X6364" s="28"/>
      <c r="Y6364" s="28"/>
      <c r="Z6364" s="28"/>
      <c r="AA6364" s="28"/>
      <c r="AB6364" s="28"/>
      <c r="AC6364" s="28"/>
      <c r="AD6364" s="28"/>
      <c r="AE6364" s="28"/>
      <c r="AF6364" s="28"/>
      <c r="AG6364" s="28"/>
      <c r="AH6364" s="28"/>
      <c r="AI6364" s="28"/>
      <c r="AJ6364" s="28"/>
      <c r="AK6364" s="28"/>
      <c r="AL6364" s="28"/>
      <c r="AM6364" s="28"/>
      <c r="AN6364" s="28"/>
      <c r="AO6364" s="28"/>
      <c r="AP6364" s="28"/>
      <c r="AQ6364" s="28"/>
      <c r="AR6364" s="28"/>
      <c r="AS6364" s="28"/>
      <c r="AT6364" s="28"/>
    </row>
    <row r="6365">
      <c r="A6365" s="14"/>
      <c r="B6365" s="15"/>
      <c r="C6365" s="16"/>
      <c r="D6365" s="15"/>
      <c r="F6365" s="15"/>
      <c r="G6365" s="26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8"/>
      <c r="X6365" s="28"/>
      <c r="Y6365" s="28"/>
      <c r="Z6365" s="28"/>
      <c r="AA6365" s="28"/>
      <c r="AB6365" s="28"/>
      <c r="AC6365" s="28"/>
      <c r="AD6365" s="28"/>
      <c r="AE6365" s="28"/>
      <c r="AF6365" s="28"/>
      <c r="AG6365" s="28"/>
      <c r="AH6365" s="28"/>
      <c r="AI6365" s="28"/>
      <c r="AJ6365" s="28"/>
      <c r="AK6365" s="28"/>
      <c r="AL6365" s="28"/>
      <c r="AM6365" s="28"/>
      <c r="AN6365" s="28"/>
      <c r="AO6365" s="28"/>
      <c r="AP6365" s="28"/>
      <c r="AQ6365" s="28"/>
      <c r="AR6365" s="28"/>
      <c r="AS6365" s="28"/>
      <c r="AT6365" s="28"/>
    </row>
    <row r="6366">
      <c r="A6366" s="14"/>
      <c r="B6366" s="15"/>
      <c r="C6366" s="16"/>
      <c r="D6366" s="15"/>
      <c r="F6366" s="15"/>
      <c r="G6366" s="26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  <c r="AF6366" s="28"/>
      <c r="AG6366" s="28"/>
      <c r="AH6366" s="28"/>
      <c r="AI6366" s="28"/>
      <c r="AJ6366" s="28"/>
      <c r="AK6366" s="28"/>
      <c r="AL6366" s="28"/>
      <c r="AM6366" s="28"/>
      <c r="AN6366" s="28"/>
      <c r="AO6366" s="28"/>
      <c r="AP6366" s="28"/>
      <c r="AQ6366" s="28"/>
      <c r="AR6366" s="28"/>
      <c r="AS6366" s="28"/>
      <c r="AT6366" s="28"/>
    </row>
    <row r="6367">
      <c r="A6367" s="14"/>
      <c r="B6367" s="15"/>
      <c r="C6367" s="16"/>
      <c r="D6367" s="15"/>
      <c r="F6367" s="15"/>
      <c r="G6367" s="26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8"/>
      <c r="X6367" s="28"/>
      <c r="Y6367" s="28"/>
      <c r="Z6367" s="28"/>
      <c r="AA6367" s="28"/>
      <c r="AB6367" s="28"/>
      <c r="AC6367" s="28"/>
      <c r="AD6367" s="28"/>
      <c r="AE6367" s="28"/>
      <c r="AF6367" s="28"/>
      <c r="AG6367" s="28"/>
      <c r="AH6367" s="28"/>
      <c r="AI6367" s="28"/>
      <c r="AJ6367" s="28"/>
      <c r="AK6367" s="28"/>
      <c r="AL6367" s="28"/>
      <c r="AM6367" s="28"/>
      <c r="AN6367" s="28"/>
      <c r="AO6367" s="28"/>
      <c r="AP6367" s="28"/>
      <c r="AQ6367" s="28"/>
      <c r="AR6367" s="28"/>
      <c r="AS6367" s="28"/>
      <c r="AT6367" s="28"/>
    </row>
    <row r="6368">
      <c r="A6368" s="14"/>
      <c r="B6368" s="15"/>
      <c r="C6368" s="16"/>
      <c r="D6368" s="15"/>
      <c r="F6368" s="15"/>
      <c r="G6368" s="26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8"/>
      <c r="X6368" s="28"/>
      <c r="Y6368" s="28"/>
      <c r="Z6368" s="28"/>
      <c r="AA6368" s="28"/>
      <c r="AB6368" s="28"/>
      <c r="AC6368" s="28"/>
      <c r="AD6368" s="28"/>
      <c r="AE6368" s="28"/>
      <c r="AF6368" s="28"/>
      <c r="AG6368" s="28"/>
      <c r="AH6368" s="28"/>
      <c r="AI6368" s="28"/>
      <c r="AJ6368" s="28"/>
      <c r="AK6368" s="28"/>
      <c r="AL6368" s="28"/>
      <c r="AM6368" s="28"/>
      <c r="AN6368" s="28"/>
      <c r="AO6368" s="28"/>
      <c r="AP6368" s="28"/>
      <c r="AQ6368" s="28"/>
      <c r="AR6368" s="28"/>
      <c r="AS6368" s="28"/>
      <c r="AT6368" s="28"/>
    </row>
    <row r="6369">
      <c r="A6369" s="14"/>
      <c r="B6369" s="15"/>
      <c r="C6369" s="16"/>
      <c r="D6369" s="15"/>
      <c r="F6369" s="15"/>
      <c r="G6369" s="26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8"/>
      <c r="X6369" s="28"/>
      <c r="Y6369" s="28"/>
      <c r="Z6369" s="28"/>
      <c r="AA6369" s="28"/>
      <c r="AB6369" s="28"/>
      <c r="AC6369" s="28"/>
      <c r="AD6369" s="28"/>
      <c r="AE6369" s="28"/>
      <c r="AF6369" s="28"/>
      <c r="AG6369" s="28"/>
      <c r="AH6369" s="28"/>
      <c r="AI6369" s="28"/>
      <c r="AJ6369" s="28"/>
      <c r="AK6369" s="28"/>
      <c r="AL6369" s="28"/>
      <c r="AM6369" s="28"/>
      <c r="AN6369" s="28"/>
      <c r="AO6369" s="28"/>
      <c r="AP6369" s="28"/>
      <c r="AQ6369" s="28"/>
      <c r="AR6369" s="28"/>
      <c r="AS6369" s="28"/>
      <c r="AT6369" s="28"/>
    </row>
    <row r="6370">
      <c r="A6370" s="14"/>
      <c r="B6370" s="15"/>
      <c r="C6370" s="16"/>
      <c r="D6370" s="15"/>
      <c r="F6370" s="15"/>
      <c r="G6370" s="26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8"/>
      <c r="X6370" s="28"/>
      <c r="Y6370" s="28"/>
      <c r="Z6370" s="28"/>
      <c r="AA6370" s="28"/>
      <c r="AB6370" s="28"/>
      <c r="AC6370" s="28"/>
      <c r="AD6370" s="28"/>
      <c r="AE6370" s="28"/>
      <c r="AF6370" s="28"/>
      <c r="AG6370" s="28"/>
      <c r="AH6370" s="28"/>
      <c r="AI6370" s="28"/>
      <c r="AJ6370" s="28"/>
      <c r="AK6370" s="28"/>
      <c r="AL6370" s="28"/>
      <c r="AM6370" s="28"/>
      <c r="AN6370" s="28"/>
      <c r="AO6370" s="28"/>
      <c r="AP6370" s="28"/>
      <c r="AQ6370" s="28"/>
      <c r="AR6370" s="28"/>
      <c r="AS6370" s="28"/>
      <c r="AT6370" s="28"/>
    </row>
    <row r="6371">
      <c r="A6371" s="14"/>
      <c r="B6371" s="15"/>
      <c r="C6371" s="16"/>
      <c r="D6371" s="15"/>
      <c r="F6371" s="15"/>
      <c r="G6371" s="26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8"/>
      <c r="X6371" s="28"/>
      <c r="Y6371" s="28"/>
      <c r="Z6371" s="28"/>
      <c r="AA6371" s="28"/>
      <c r="AB6371" s="28"/>
      <c r="AC6371" s="28"/>
      <c r="AD6371" s="28"/>
      <c r="AE6371" s="28"/>
      <c r="AF6371" s="28"/>
      <c r="AG6371" s="28"/>
      <c r="AH6371" s="28"/>
      <c r="AI6371" s="28"/>
      <c r="AJ6371" s="28"/>
      <c r="AK6371" s="28"/>
      <c r="AL6371" s="28"/>
      <c r="AM6371" s="28"/>
      <c r="AN6371" s="28"/>
      <c r="AO6371" s="28"/>
      <c r="AP6371" s="28"/>
      <c r="AQ6371" s="28"/>
      <c r="AR6371" s="28"/>
      <c r="AS6371" s="28"/>
      <c r="AT6371" s="28"/>
    </row>
    <row r="6372">
      <c r="A6372" s="14"/>
      <c r="B6372" s="15"/>
      <c r="C6372" s="16"/>
      <c r="D6372" s="15"/>
      <c r="F6372" s="15"/>
      <c r="G6372" s="26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8"/>
      <c r="X6372" s="28"/>
      <c r="Y6372" s="28"/>
      <c r="Z6372" s="28"/>
      <c r="AA6372" s="28"/>
      <c r="AB6372" s="28"/>
      <c r="AC6372" s="28"/>
      <c r="AD6372" s="28"/>
      <c r="AE6372" s="28"/>
      <c r="AF6372" s="28"/>
      <c r="AG6372" s="28"/>
      <c r="AH6372" s="28"/>
      <c r="AI6372" s="28"/>
      <c r="AJ6372" s="28"/>
      <c r="AK6372" s="28"/>
      <c r="AL6372" s="28"/>
      <c r="AM6372" s="28"/>
      <c r="AN6372" s="28"/>
      <c r="AO6372" s="28"/>
      <c r="AP6372" s="28"/>
      <c r="AQ6372" s="28"/>
      <c r="AR6372" s="28"/>
      <c r="AS6372" s="28"/>
      <c r="AT6372" s="28"/>
    </row>
    <row r="6373">
      <c r="A6373" s="14"/>
      <c r="B6373" s="15"/>
      <c r="C6373" s="16"/>
      <c r="D6373" s="15"/>
      <c r="F6373" s="15"/>
      <c r="G6373" s="26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8"/>
      <c r="X6373" s="28"/>
      <c r="Y6373" s="28"/>
      <c r="Z6373" s="28"/>
      <c r="AA6373" s="28"/>
      <c r="AB6373" s="28"/>
      <c r="AC6373" s="28"/>
      <c r="AD6373" s="28"/>
      <c r="AE6373" s="28"/>
      <c r="AF6373" s="28"/>
      <c r="AG6373" s="28"/>
      <c r="AH6373" s="28"/>
      <c r="AI6373" s="28"/>
      <c r="AJ6373" s="28"/>
      <c r="AK6373" s="28"/>
      <c r="AL6373" s="28"/>
      <c r="AM6373" s="28"/>
      <c r="AN6373" s="28"/>
      <c r="AO6373" s="28"/>
      <c r="AP6373" s="28"/>
      <c r="AQ6373" s="28"/>
      <c r="AR6373" s="28"/>
      <c r="AS6373" s="28"/>
      <c r="AT6373" s="28"/>
    </row>
    <row r="6374">
      <c r="A6374" s="14"/>
      <c r="B6374" s="15"/>
      <c r="C6374" s="16"/>
      <c r="D6374" s="15"/>
      <c r="F6374" s="15"/>
      <c r="G6374" s="26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8"/>
      <c r="X6374" s="28"/>
      <c r="Y6374" s="28"/>
      <c r="Z6374" s="28"/>
      <c r="AA6374" s="28"/>
      <c r="AB6374" s="28"/>
      <c r="AC6374" s="28"/>
      <c r="AD6374" s="28"/>
      <c r="AE6374" s="28"/>
      <c r="AF6374" s="28"/>
      <c r="AG6374" s="28"/>
      <c r="AH6374" s="28"/>
      <c r="AI6374" s="28"/>
      <c r="AJ6374" s="28"/>
      <c r="AK6374" s="28"/>
      <c r="AL6374" s="28"/>
      <c r="AM6374" s="28"/>
      <c r="AN6374" s="28"/>
      <c r="AO6374" s="28"/>
      <c r="AP6374" s="28"/>
      <c r="AQ6374" s="28"/>
      <c r="AR6374" s="28"/>
      <c r="AS6374" s="28"/>
      <c r="AT6374" s="28"/>
    </row>
    <row r="6375">
      <c r="A6375" s="14"/>
      <c r="B6375" s="15"/>
      <c r="C6375" s="16"/>
      <c r="D6375" s="15"/>
      <c r="F6375" s="15"/>
      <c r="G6375" s="26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8"/>
      <c r="X6375" s="28"/>
      <c r="Y6375" s="28"/>
      <c r="Z6375" s="28"/>
      <c r="AA6375" s="28"/>
      <c r="AB6375" s="28"/>
      <c r="AC6375" s="28"/>
      <c r="AD6375" s="28"/>
      <c r="AE6375" s="28"/>
      <c r="AF6375" s="28"/>
      <c r="AG6375" s="28"/>
      <c r="AH6375" s="28"/>
      <c r="AI6375" s="28"/>
      <c r="AJ6375" s="28"/>
      <c r="AK6375" s="28"/>
      <c r="AL6375" s="28"/>
      <c r="AM6375" s="28"/>
      <c r="AN6375" s="28"/>
      <c r="AO6375" s="28"/>
      <c r="AP6375" s="28"/>
      <c r="AQ6375" s="28"/>
      <c r="AR6375" s="28"/>
      <c r="AS6375" s="28"/>
      <c r="AT6375" s="28"/>
    </row>
    <row r="6376">
      <c r="A6376" s="14"/>
      <c r="B6376" s="15"/>
      <c r="C6376" s="16"/>
      <c r="D6376" s="15"/>
      <c r="F6376" s="15"/>
      <c r="G6376" s="26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8"/>
      <c r="X6376" s="28"/>
      <c r="Y6376" s="28"/>
      <c r="Z6376" s="28"/>
      <c r="AA6376" s="28"/>
      <c r="AB6376" s="28"/>
      <c r="AC6376" s="28"/>
      <c r="AD6376" s="28"/>
      <c r="AE6376" s="28"/>
      <c r="AF6376" s="28"/>
      <c r="AG6376" s="28"/>
      <c r="AH6376" s="28"/>
      <c r="AI6376" s="28"/>
      <c r="AJ6376" s="28"/>
      <c r="AK6376" s="28"/>
      <c r="AL6376" s="28"/>
      <c r="AM6376" s="28"/>
      <c r="AN6376" s="28"/>
      <c r="AO6376" s="28"/>
      <c r="AP6376" s="28"/>
      <c r="AQ6376" s="28"/>
      <c r="AR6376" s="28"/>
      <c r="AS6376" s="28"/>
      <c r="AT6376" s="28"/>
    </row>
    <row r="6377">
      <c r="A6377" s="14"/>
      <c r="B6377" s="15"/>
      <c r="C6377" s="16"/>
      <c r="D6377" s="15"/>
      <c r="F6377" s="15"/>
      <c r="G6377" s="26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28"/>
      <c r="AE6377" s="28"/>
      <c r="AF6377" s="28"/>
      <c r="AG6377" s="28"/>
      <c r="AH6377" s="28"/>
      <c r="AI6377" s="28"/>
      <c r="AJ6377" s="28"/>
      <c r="AK6377" s="28"/>
      <c r="AL6377" s="28"/>
      <c r="AM6377" s="28"/>
      <c r="AN6377" s="28"/>
      <c r="AO6377" s="28"/>
      <c r="AP6377" s="28"/>
      <c r="AQ6377" s="28"/>
      <c r="AR6377" s="28"/>
      <c r="AS6377" s="28"/>
      <c r="AT6377" s="28"/>
    </row>
    <row r="6378">
      <c r="A6378" s="14"/>
      <c r="B6378" s="15"/>
      <c r="C6378" s="16"/>
      <c r="D6378" s="15"/>
      <c r="F6378" s="15"/>
      <c r="G6378" s="26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28"/>
      <c r="AE6378" s="28"/>
      <c r="AF6378" s="28"/>
      <c r="AG6378" s="28"/>
      <c r="AH6378" s="28"/>
      <c r="AI6378" s="28"/>
      <c r="AJ6378" s="28"/>
      <c r="AK6378" s="28"/>
      <c r="AL6378" s="28"/>
      <c r="AM6378" s="28"/>
      <c r="AN6378" s="28"/>
      <c r="AO6378" s="28"/>
      <c r="AP6378" s="28"/>
      <c r="AQ6378" s="28"/>
      <c r="AR6378" s="28"/>
      <c r="AS6378" s="28"/>
      <c r="AT6378" s="28"/>
    </row>
    <row r="6379">
      <c r="A6379" s="14"/>
      <c r="B6379" s="15"/>
      <c r="C6379" s="16"/>
      <c r="D6379" s="15"/>
      <c r="F6379" s="15"/>
      <c r="G6379" s="26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8"/>
      <c r="X6379" s="28"/>
      <c r="Y6379" s="28"/>
      <c r="Z6379" s="28"/>
      <c r="AA6379" s="28"/>
      <c r="AB6379" s="28"/>
      <c r="AC6379" s="28"/>
      <c r="AD6379" s="28"/>
      <c r="AE6379" s="28"/>
      <c r="AF6379" s="28"/>
      <c r="AG6379" s="28"/>
      <c r="AH6379" s="28"/>
      <c r="AI6379" s="28"/>
      <c r="AJ6379" s="28"/>
      <c r="AK6379" s="28"/>
      <c r="AL6379" s="28"/>
      <c r="AM6379" s="28"/>
      <c r="AN6379" s="28"/>
      <c r="AO6379" s="28"/>
      <c r="AP6379" s="28"/>
      <c r="AQ6379" s="28"/>
      <c r="AR6379" s="28"/>
      <c r="AS6379" s="28"/>
      <c r="AT6379" s="28"/>
    </row>
    <row r="6380">
      <c r="A6380" s="14"/>
      <c r="B6380" s="15"/>
      <c r="C6380" s="16"/>
      <c r="D6380" s="15"/>
      <c r="F6380" s="15"/>
      <c r="G6380" s="26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8"/>
      <c r="X6380" s="28"/>
      <c r="Y6380" s="28"/>
      <c r="Z6380" s="28"/>
      <c r="AA6380" s="28"/>
      <c r="AB6380" s="28"/>
      <c r="AC6380" s="28"/>
      <c r="AD6380" s="28"/>
      <c r="AE6380" s="28"/>
      <c r="AF6380" s="28"/>
      <c r="AG6380" s="28"/>
      <c r="AH6380" s="28"/>
      <c r="AI6380" s="28"/>
      <c r="AJ6380" s="28"/>
      <c r="AK6380" s="28"/>
      <c r="AL6380" s="28"/>
      <c r="AM6380" s="28"/>
      <c r="AN6380" s="28"/>
      <c r="AO6380" s="28"/>
      <c r="AP6380" s="28"/>
      <c r="AQ6380" s="28"/>
      <c r="AR6380" s="28"/>
      <c r="AS6380" s="28"/>
      <c r="AT6380" s="28"/>
    </row>
    <row r="6381">
      <c r="A6381" s="14"/>
      <c r="B6381" s="15"/>
      <c r="C6381" s="16"/>
      <c r="D6381" s="15"/>
      <c r="F6381" s="15"/>
      <c r="G6381" s="26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8"/>
      <c r="X6381" s="28"/>
      <c r="Y6381" s="28"/>
      <c r="Z6381" s="28"/>
      <c r="AA6381" s="28"/>
      <c r="AB6381" s="28"/>
      <c r="AC6381" s="28"/>
      <c r="AD6381" s="28"/>
      <c r="AE6381" s="28"/>
      <c r="AF6381" s="28"/>
      <c r="AG6381" s="28"/>
      <c r="AH6381" s="28"/>
      <c r="AI6381" s="28"/>
      <c r="AJ6381" s="28"/>
      <c r="AK6381" s="28"/>
      <c r="AL6381" s="28"/>
      <c r="AM6381" s="28"/>
      <c r="AN6381" s="28"/>
      <c r="AO6381" s="28"/>
      <c r="AP6381" s="28"/>
      <c r="AQ6381" s="28"/>
      <c r="AR6381" s="28"/>
      <c r="AS6381" s="28"/>
      <c r="AT6381" s="28"/>
    </row>
    <row r="6382">
      <c r="A6382" s="14"/>
      <c r="B6382" s="15"/>
      <c r="C6382" s="16"/>
      <c r="D6382" s="15"/>
      <c r="F6382" s="15"/>
      <c r="G6382" s="26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8"/>
      <c r="X6382" s="28"/>
      <c r="Y6382" s="28"/>
      <c r="Z6382" s="28"/>
      <c r="AA6382" s="28"/>
      <c r="AB6382" s="28"/>
      <c r="AC6382" s="28"/>
      <c r="AD6382" s="28"/>
      <c r="AE6382" s="28"/>
      <c r="AF6382" s="28"/>
      <c r="AG6382" s="28"/>
      <c r="AH6382" s="28"/>
      <c r="AI6382" s="28"/>
      <c r="AJ6382" s="28"/>
      <c r="AK6382" s="28"/>
      <c r="AL6382" s="28"/>
      <c r="AM6382" s="28"/>
      <c r="AN6382" s="28"/>
      <c r="AO6382" s="28"/>
      <c r="AP6382" s="28"/>
      <c r="AQ6382" s="28"/>
      <c r="AR6382" s="28"/>
      <c r="AS6382" s="28"/>
      <c r="AT6382" s="28"/>
    </row>
    <row r="6383">
      <c r="A6383" s="14"/>
      <c r="B6383" s="15"/>
      <c r="C6383" s="16"/>
      <c r="D6383" s="15"/>
      <c r="F6383" s="15"/>
      <c r="G6383" s="26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8"/>
      <c r="X6383" s="28"/>
      <c r="Y6383" s="28"/>
      <c r="Z6383" s="28"/>
      <c r="AA6383" s="28"/>
      <c r="AB6383" s="28"/>
      <c r="AC6383" s="28"/>
      <c r="AD6383" s="28"/>
      <c r="AE6383" s="28"/>
      <c r="AF6383" s="28"/>
      <c r="AG6383" s="28"/>
      <c r="AH6383" s="28"/>
      <c r="AI6383" s="28"/>
      <c r="AJ6383" s="28"/>
      <c r="AK6383" s="28"/>
      <c r="AL6383" s="28"/>
      <c r="AM6383" s="28"/>
      <c r="AN6383" s="28"/>
      <c r="AO6383" s="28"/>
      <c r="AP6383" s="28"/>
      <c r="AQ6383" s="28"/>
      <c r="AR6383" s="28"/>
      <c r="AS6383" s="28"/>
      <c r="AT6383" s="28"/>
    </row>
    <row r="6384">
      <c r="A6384" s="14"/>
      <c r="B6384" s="15"/>
      <c r="C6384" s="16"/>
      <c r="D6384" s="15"/>
      <c r="F6384" s="15"/>
      <c r="G6384" s="26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8"/>
      <c r="X6384" s="28"/>
      <c r="Y6384" s="28"/>
      <c r="Z6384" s="28"/>
      <c r="AA6384" s="28"/>
      <c r="AB6384" s="28"/>
      <c r="AC6384" s="28"/>
      <c r="AD6384" s="28"/>
      <c r="AE6384" s="28"/>
      <c r="AF6384" s="28"/>
      <c r="AG6384" s="28"/>
      <c r="AH6384" s="28"/>
      <c r="AI6384" s="28"/>
      <c r="AJ6384" s="28"/>
      <c r="AK6384" s="28"/>
      <c r="AL6384" s="28"/>
      <c r="AM6384" s="28"/>
      <c r="AN6384" s="28"/>
      <c r="AO6384" s="28"/>
      <c r="AP6384" s="28"/>
      <c r="AQ6384" s="28"/>
      <c r="AR6384" s="28"/>
      <c r="AS6384" s="28"/>
      <c r="AT6384" s="28"/>
    </row>
    <row r="6385">
      <c r="A6385" s="14"/>
      <c r="B6385" s="15"/>
      <c r="C6385" s="16"/>
      <c r="D6385" s="15"/>
      <c r="F6385" s="15"/>
      <c r="G6385" s="26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8"/>
      <c r="X6385" s="28"/>
      <c r="Y6385" s="28"/>
      <c r="Z6385" s="28"/>
      <c r="AA6385" s="28"/>
      <c r="AB6385" s="28"/>
      <c r="AC6385" s="28"/>
      <c r="AD6385" s="28"/>
      <c r="AE6385" s="28"/>
      <c r="AF6385" s="28"/>
      <c r="AG6385" s="28"/>
      <c r="AH6385" s="28"/>
      <c r="AI6385" s="28"/>
      <c r="AJ6385" s="28"/>
      <c r="AK6385" s="28"/>
      <c r="AL6385" s="28"/>
      <c r="AM6385" s="28"/>
      <c r="AN6385" s="28"/>
      <c r="AO6385" s="28"/>
      <c r="AP6385" s="28"/>
      <c r="AQ6385" s="28"/>
      <c r="AR6385" s="28"/>
      <c r="AS6385" s="28"/>
      <c r="AT6385" s="28"/>
    </row>
    <row r="6386">
      <c r="A6386" s="14"/>
      <c r="B6386" s="15"/>
      <c r="C6386" s="16"/>
      <c r="D6386" s="15"/>
      <c r="F6386" s="15"/>
      <c r="G6386" s="26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8"/>
      <c r="X6386" s="28"/>
      <c r="Y6386" s="28"/>
      <c r="Z6386" s="28"/>
      <c r="AA6386" s="28"/>
      <c r="AB6386" s="28"/>
      <c r="AC6386" s="28"/>
      <c r="AD6386" s="28"/>
      <c r="AE6386" s="28"/>
      <c r="AF6386" s="28"/>
      <c r="AG6386" s="28"/>
      <c r="AH6386" s="28"/>
      <c r="AI6386" s="28"/>
      <c r="AJ6386" s="28"/>
      <c r="AK6386" s="28"/>
      <c r="AL6386" s="28"/>
      <c r="AM6386" s="28"/>
      <c r="AN6386" s="28"/>
      <c r="AO6386" s="28"/>
      <c r="AP6386" s="28"/>
      <c r="AQ6386" s="28"/>
      <c r="AR6386" s="28"/>
      <c r="AS6386" s="28"/>
      <c r="AT6386" s="28"/>
    </row>
    <row r="6387">
      <c r="A6387" s="14"/>
      <c r="B6387" s="15"/>
      <c r="C6387" s="16"/>
      <c r="D6387" s="15"/>
      <c r="F6387" s="15"/>
      <c r="G6387" s="26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8"/>
      <c r="X6387" s="28"/>
      <c r="Y6387" s="28"/>
      <c r="Z6387" s="28"/>
      <c r="AA6387" s="28"/>
      <c r="AB6387" s="28"/>
      <c r="AC6387" s="28"/>
      <c r="AD6387" s="28"/>
      <c r="AE6387" s="28"/>
      <c r="AF6387" s="28"/>
      <c r="AG6387" s="28"/>
      <c r="AH6387" s="28"/>
      <c r="AI6387" s="28"/>
      <c r="AJ6387" s="28"/>
      <c r="AK6387" s="28"/>
      <c r="AL6387" s="28"/>
      <c r="AM6387" s="28"/>
      <c r="AN6387" s="28"/>
      <c r="AO6387" s="28"/>
      <c r="AP6387" s="28"/>
      <c r="AQ6387" s="28"/>
      <c r="AR6387" s="28"/>
      <c r="AS6387" s="28"/>
      <c r="AT6387" s="28"/>
    </row>
    <row r="6388">
      <c r="A6388" s="14"/>
      <c r="B6388" s="15"/>
      <c r="C6388" s="16"/>
      <c r="D6388" s="15"/>
      <c r="F6388" s="15"/>
      <c r="G6388" s="26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8"/>
      <c r="X6388" s="28"/>
      <c r="Y6388" s="28"/>
      <c r="Z6388" s="28"/>
      <c r="AA6388" s="28"/>
      <c r="AB6388" s="28"/>
      <c r="AC6388" s="28"/>
      <c r="AD6388" s="28"/>
      <c r="AE6388" s="28"/>
      <c r="AF6388" s="28"/>
      <c r="AG6388" s="28"/>
      <c r="AH6388" s="28"/>
      <c r="AI6388" s="28"/>
      <c r="AJ6388" s="28"/>
      <c r="AK6388" s="28"/>
      <c r="AL6388" s="28"/>
      <c r="AM6388" s="28"/>
      <c r="AN6388" s="28"/>
      <c r="AO6388" s="28"/>
      <c r="AP6388" s="28"/>
      <c r="AQ6388" s="28"/>
      <c r="AR6388" s="28"/>
      <c r="AS6388" s="28"/>
      <c r="AT6388" s="28"/>
    </row>
    <row r="6389">
      <c r="A6389" s="14"/>
      <c r="B6389" s="15"/>
      <c r="C6389" s="16"/>
      <c r="D6389" s="15"/>
      <c r="F6389" s="15"/>
      <c r="G6389" s="26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8"/>
      <c r="X6389" s="28"/>
      <c r="Y6389" s="28"/>
      <c r="Z6389" s="28"/>
      <c r="AA6389" s="28"/>
      <c r="AB6389" s="28"/>
      <c r="AC6389" s="28"/>
      <c r="AD6389" s="28"/>
      <c r="AE6389" s="28"/>
      <c r="AF6389" s="28"/>
      <c r="AG6389" s="28"/>
      <c r="AH6389" s="28"/>
      <c r="AI6389" s="28"/>
      <c r="AJ6389" s="28"/>
      <c r="AK6389" s="28"/>
      <c r="AL6389" s="28"/>
      <c r="AM6389" s="28"/>
      <c r="AN6389" s="28"/>
      <c r="AO6389" s="28"/>
      <c r="AP6389" s="28"/>
      <c r="AQ6389" s="28"/>
      <c r="AR6389" s="28"/>
      <c r="AS6389" s="28"/>
      <c r="AT6389" s="28"/>
    </row>
    <row r="6390">
      <c r="A6390" s="14"/>
      <c r="B6390" s="15"/>
      <c r="C6390" s="16"/>
      <c r="D6390" s="15"/>
      <c r="F6390" s="15"/>
      <c r="G6390" s="26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8"/>
      <c r="X6390" s="28"/>
      <c r="Y6390" s="28"/>
      <c r="Z6390" s="28"/>
      <c r="AA6390" s="28"/>
      <c r="AB6390" s="28"/>
      <c r="AC6390" s="28"/>
      <c r="AD6390" s="28"/>
      <c r="AE6390" s="28"/>
      <c r="AF6390" s="28"/>
      <c r="AG6390" s="28"/>
      <c r="AH6390" s="28"/>
      <c r="AI6390" s="28"/>
      <c r="AJ6390" s="28"/>
      <c r="AK6390" s="28"/>
      <c r="AL6390" s="28"/>
      <c r="AM6390" s="28"/>
      <c r="AN6390" s="28"/>
      <c r="AO6390" s="28"/>
      <c r="AP6390" s="28"/>
      <c r="AQ6390" s="28"/>
      <c r="AR6390" s="28"/>
      <c r="AS6390" s="28"/>
      <c r="AT6390" s="28"/>
    </row>
    <row r="6391">
      <c r="A6391" s="14"/>
      <c r="B6391" s="15"/>
      <c r="C6391" s="16"/>
      <c r="D6391" s="15"/>
      <c r="F6391" s="15"/>
      <c r="G6391" s="26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8"/>
      <c r="X6391" s="28"/>
      <c r="Y6391" s="28"/>
      <c r="Z6391" s="28"/>
      <c r="AA6391" s="28"/>
      <c r="AB6391" s="28"/>
      <c r="AC6391" s="28"/>
      <c r="AD6391" s="28"/>
      <c r="AE6391" s="28"/>
      <c r="AF6391" s="28"/>
      <c r="AG6391" s="28"/>
      <c r="AH6391" s="28"/>
      <c r="AI6391" s="28"/>
      <c r="AJ6391" s="28"/>
      <c r="AK6391" s="28"/>
      <c r="AL6391" s="28"/>
      <c r="AM6391" s="28"/>
      <c r="AN6391" s="28"/>
      <c r="AO6391" s="28"/>
      <c r="AP6391" s="28"/>
      <c r="AQ6391" s="28"/>
      <c r="AR6391" s="28"/>
      <c r="AS6391" s="28"/>
      <c r="AT6391" s="28"/>
    </row>
    <row r="6392">
      <c r="A6392" s="14"/>
      <c r="B6392" s="15"/>
      <c r="C6392" s="16"/>
      <c r="D6392" s="15"/>
      <c r="F6392" s="15"/>
      <c r="G6392" s="26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8"/>
      <c r="X6392" s="28"/>
      <c r="Y6392" s="28"/>
      <c r="Z6392" s="28"/>
      <c r="AA6392" s="28"/>
      <c r="AB6392" s="28"/>
      <c r="AC6392" s="28"/>
      <c r="AD6392" s="28"/>
      <c r="AE6392" s="28"/>
      <c r="AF6392" s="28"/>
      <c r="AG6392" s="28"/>
      <c r="AH6392" s="28"/>
      <c r="AI6392" s="28"/>
      <c r="AJ6392" s="28"/>
      <c r="AK6392" s="28"/>
      <c r="AL6392" s="28"/>
      <c r="AM6392" s="28"/>
      <c r="AN6392" s="28"/>
      <c r="AO6392" s="28"/>
      <c r="AP6392" s="28"/>
      <c r="AQ6392" s="28"/>
      <c r="AR6392" s="28"/>
      <c r="AS6392" s="28"/>
      <c r="AT6392" s="28"/>
    </row>
    <row r="6393">
      <c r="A6393" s="14"/>
      <c r="B6393" s="15"/>
      <c r="C6393" s="16"/>
      <c r="D6393" s="15"/>
      <c r="F6393" s="15"/>
      <c r="G6393" s="26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8"/>
      <c r="X6393" s="28"/>
      <c r="Y6393" s="28"/>
      <c r="Z6393" s="28"/>
      <c r="AA6393" s="28"/>
      <c r="AB6393" s="28"/>
      <c r="AC6393" s="28"/>
      <c r="AD6393" s="28"/>
      <c r="AE6393" s="28"/>
      <c r="AF6393" s="28"/>
      <c r="AG6393" s="28"/>
      <c r="AH6393" s="28"/>
      <c r="AI6393" s="28"/>
      <c r="AJ6393" s="28"/>
      <c r="AK6393" s="28"/>
      <c r="AL6393" s="28"/>
      <c r="AM6393" s="28"/>
      <c r="AN6393" s="28"/>
      <c r="AO6393" s="28"/>
      <c r="AP6393" s="28"/>
      <c r="AQ6393" s="28"/>
      <c r="AR6393" s="28"/>
      <c r="AS6393" s="28"/>
      <c r="AT6393" s="28"/>
    </row>
    <row r="6394">
      <c r="A6394" s="14"/>
      <c r="B6394" s="15"/>
      <c r="C6394" s="16"/>
      <c r="D6394" s="15"/>
      <c r="F6394" s="15"/>
      <c r="G6394" s="26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8"/>
      <c r="X6394" s="28"/>
      <c r="Y6394" s="28"/>
      <c r="Z6394" s="28"/>
      <c r="AA6394" s="28"/>
      <c r="AB6394" s="28"/>
      <c r="AC6394" s="28"/>
      <c r="AD6394" s="28"/>
      <c r="AE6394" s="28"/>
      <c r="AF6394" s="28"/>
      <c r="AG6394" s="28"/>
      <c r="AH6394" s="28"/>
      <c r="AI6394" s="28"/>
      <c r="AJ6394" s="28"/>
      <c r="AK6394" s="28"/>
      <c r="AL6394" s="28"/>
      <c r="AM6394" s="28"/>
      <c r="AN6394" s="28"/>
      <c r="AO6394" s="28"/>
      <c r="AP6394" s="28"/>
      <c r="AQ6394" s="28"/>
      <c r="AR6394" s="28"/>
      <c r="AS6394" s="28"/>
      <c r="AT6394" s="28"/>
    </row>
    <row r="6395">
      <c r="A6395" s="14"/>
      <c r="B6395" s="15"/>
      <c r="C6395" s="16"/>
      <c r="D6395" s="15"/>
      <c r="F6395" s="15"/>
      <c r="G6395" s="26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8"/>
      <c r="X6395" s="28"/>
      <c r="Y6395" s="28"/>
      <c r="Z6395" s="28"/>
      <c r="AA6395" s="28"/>
      <c r="AB6395" s="28"/>
      <c r="AC6395" s="28"/>
      <c r="AD6395" s="28"/>
      <c r="AE6395" s="28"/>
      <c r="AF6395" s="28"/>
      <c r="AG6395" s="28"/>
      <c r="AH6395" s="28"/>
      <c r="AI6395" s="28"/>
      <c r="AJ6395" s="28"/>
      <c r="AK6395" s="28"/>
      <c r="AL6395" s="28"/>
      <c r="AM6395" s="28"/>
      <c r="AN6395" s="28"/>
      <c r="AO6395" s="28"/>
      <c r="AP6395" s="28"/>
      <c r="AQ6395" s="28"/>
      <c r="AR6395" s="28"/>
      <c r="AS6395" s="28"/>
      <c r="AT6395" s="28"/>
    </row>
    <row r="6396">
      <c r="A6396" s="14"/>
      <c r="B6396" s="15"/>
      <c r="C6396" s="16"/>
      <c r="D6396" s="15"/>
      <c r="F6396" s="15"/>
      <c r="G6396" s="26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8"/>
      <c r="X6396" s="28"/>
      <c r="Y6396" s="28"/>
      <c r="Z6396" s="28"/>
      <c r="AA6396" s="28"/>
      <c r="AB6396" s="28"/>
      <c r="AC6396" s="28"/>
      <c r="AD6396" s="28"/>
      <c r="AE6396" s="28"/>
      <c r="AF6396" s="28"/>
      <c r="AG6396" s="28"/>
      <c r="AH6396" s="28"/>
      <c r="AI6396" s="28"/>
      <c r="AJ6396" s="28"/>
      <c r="AK6396" s="28"/>
      <c r="AL6396" s="28"/>
      <c r="AM6396" s="28"/>
      <c r="AN6396" s="28"/>
      <c r="AO6396" s="28"/>
      <c r="AP6396" s="28"/>
      <c r="AQ6396" s="28"/>
      <c r="AR6396" s="28"/>
      <c r="AS6396" s="28"/>
      <c r="AT6396" s="28"/>
    </row>
    <row r="6397">
      <c r="A6397" s="14"/>
      <c r="B6397" s="15"/>
      <c r="C6397" s="16"/>
      <c r="D6397" s="15"/>
      <c r="F6397" s="15"/>
      <c r="G6397" s="26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8"/>
      <c r="X6397" s="28"/>
      <c r="Y6397" s="28"/>
      <c r="Z6397" s="28"/>
      <c r="AA6397" s="28"/>
      <c r="AB6397" s="28"/>
      <c r="AC6397" s="28"/>
      <c r="AD6397" s="28"/>
      <c r="AE6397" s="28"/>
      <c r="AF6397" s="28"/>
      <c r="AG6397" s="28"/>
      <c r="AH6397" s="28"/>
      <c r="AI6397" s="28"/>
      <c r="AJ6397" s="28"/>
      <c r="AK6397" s="28"/>
      <c r="AL6397" s="28"/>
      <c r="AM6397" s="28"/>
      <c r="AN6397" s="28"/>
      <c r="AO6397" s="28"/>
      <c r="AP6397" s="28"/>
      <c r="AQ6397" s="28"/>
      <c r="AR6397" s="28"/>
      <c r="AS6397" s="28"/>
      <c r="AT6397" s="28"/>
    </row>
    <row r="6398">
      <c r="A6398" s="14"/>
      <c r="B6398" s="15"/>
      <c r="C6398" s="16"/>
      <c r="D6398" s="15"/>
      <c r="F6398" s="15"/>
      <c r="G6398" s="26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8"/>
      <c r="X6398" s="28"/>
      <c r="Y6398" s="28"/>
      <c r="Z6398" s="28"/>
      <c r="AA6398" s="28"/>
      <c r="AB6398" s="28"/>
      <c r="AC6398" s="28"/>
      <c r="AD6398" s="28"/>
      <c r="AE6398" s="28"/>
      <c r="AF6398" s="28"/>
      <c r="AG6398" s="28"/>
      <c r="AH6398" s="28"/>
      <c r="AI6398" s="28"/>
      <c r="AJ6398" s="28"/>
      <c r="AK6398" s="28"/>
      <c r="AL6398" s="28"/>
      <c r="AM6398" s="28"/>
      <c r="AN6398" s="28"/>
      <c r="AO6398" s="28"/>
      <c r="AP6398" s="28"/>
      <c r="AQ6398" s="28"/>
      <c r="AR6398" s="28"/>
      <c r="AS6398" s="28"/>
      <c r="AT6398" s="28"/>
    </row>
    <row r="6399">
      <c r="A6399" s="14"/>
      <c r="B6399" s="15"/>
      <c r="C6399" s="16"/>
      <c r="D6399" s="15"/>
      <c r="F6399" s="15"/>
      <c r="G6399" s="26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8"/>
      <c r="X6399" s="28"/>
      <c r="Y6399" s="28"/>
      <c r="Z6399" s="28"/>
      <c r="AA6399" s="28"/>
      <c r="AB6399" s="28"/>
      <c r="AC6399" s="28"/>
      <c r="AD6399" s="28"/>
      <c r="AE6399" s="28"/>
      <c r="AF6399" s="28"/>
      <c r="AG6399" s="28"/>
      <c r="AH6399" s="28"/>
      <c r="AI6399" s="28"/>
      <c r="AJ6399" s="28"/>
      <c r="AK6399" s="28"/>
      <c r="AL6399" s="28"/>
      <c r="AM6399" s="28"/>
      <c r="AN6399" s="28"/>
      <c r="AO6399" s="28"/>
      <c r="AP6399" s="28"/>
      <c r="AQ6399" s="28"/>
      <c r="AR6399" s="28"/>
      <c r="AS6399" s="28"/>
      <c r="AT6399" s="28"/>
    </row>
    <row r="6400">
      <c r="A6400" s="14"/>
      <c r="B6400" s="15"/>
      <c r="C6400" s="16"/>
      <c r="D6400" s="15"/>
      <c r="F6400" s="15"/>
      <c r="G6400" s="26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8"/>
      <c r="X6400" s="28"/>
      <c r="Y6400" s="28"/>
      <c r="Z6400" s="28"/>
      <c r="AA6400" s="28"/>
      <c r="AB6400" s="28"/>
      <c r="AC6400" s="28"/>
      <c r="AD6400" s="28"/>
      <c r="AE6400" s="28"/>
      <c r="AF6400" s="28"/>
      <c r="AG6400" s="28"/>
      <c r="AH6400" s="28"/>
      <c r="AI6400" s="28"/>
      <c r="AJ6400" s="28"/>
      <c r="AK6400" s="28"/>
      <c r="AL6400" s="28"/>
      <c r="AM6400" s="28"/>
      <c r="AN6400" s="28"/>
      <c r="AO6400" s="28"/>
      <c r="AP6400" s="28"/>
      <c r="AQ6400" s="28"/>
      <c r="AR6400" s="28"/>
      <c r="AS6400" s="28"/>
      <c r="AT6400" s="28"/>
    </row>
    <row r="6401">
      <c r="A6401" s="14"/>
      <c r="B6401" s="15"/>
      <c r="C6401" s="16"/>
      <c r="D6401" s="15"/>
      <c r="F6401" s="15"/>
      <c r="G6401" s="26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8"/>
      <c r="X6401" s="28"/>
      <c r="Y6401" s="28"/>
      <c r="Z6401" s="28"/>
      <c r="AA6401" s="28"/>
      <c r="AB6401" s="28"/>
      <c r="AC6401" s="28"/>
      <c r="AD6401" s="28"/>
      <c r="AE6401" s="28"/>
      <c r="AF6401" s="28"/>
      <c r="AG6401" s="28"/>
      <c r="AH6401" s="28"/>
      <c r="AI6401" s="28"/>
      <c r="AJ6401" s="28"/>
      <c r="AK6401" s="28"/>
      <c r="AL6401" s="28"/>
      <c r="AM6401" s="28"/>
      <c r="AN6401" s="28"/>
      <c r="AO6401" s="28"/>
      <c r="AP6401" s="28"/>
      <c r="AQ6401" s="28"/>
      <c r="AR6401" s="28"/>
      <c r="AS6401" s="28"/>
      <c r="AT6401" s="28"/>
    </row>
    <row r="6402">
      <c r="A6402" s="14"/>
      <c r="B6402" s="15"/>
      <c r="C6402" s="16"/>
      <c r="D6402" s="15"/>
      <c r="F6402" s="15"/>
      <c r="G6402" s="26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8"/>
      <c r="X6402" s="28"/>
      <c r="Y6402" s="28"/>
      <c r="Z6402" s="28"/>
      <c r="AA6402" s="28"/>
      <c r="AB6402" s="28"/>
      <c r="AC6402" s="28"/>
      <c r="AD6402" s="28"/>
      <c r="AE6402" s="28"/>
      <c r="AF6402" s="28"/>
      <c r="AG6402" s="28"/>
      <c r="AH6402" s="28"/>
      <c r="AI6402" s="28"/>
      <c r="AJ6402" s="28"/>
      <c r="AK6402" s="28"/>
      <c r="AL6402" s="28"/>
      <c r="AM6402" s="28"/>
      <c r="AN6402" s="28"/>
      <c r="AO6402" s="28"/>
      <c r="AP6402" s="28"/>
      <c r="AQ6402" s="28"/>
      <c r="AR6402" s="28"/>
      <c r="AS6402" s="28"/>
      <c r="AT6402" s="28"/>
    </row>
    <row r="6403">
      <c r="A6403" s="14"/>
      <c r="B6403" s="15"/>
      <c r="C6403" s="16"/>
      <c r="D6403" s="15"/>
      <c r="F6403" s="15"/>
      <c r="G6403" s="26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8"/>
      <c r="X6403" s="28"/>
      <c r="Y6403" s="28"/>
      <c r="Z6403" s="28"/>
      <c r="AA6403" s="28"/>
      <c r="AB6403" s="28"/>
      <c r="AC6403" s="28"/>
      <c r="AD6403" s="28"/>
      <c r="AE6403" s="28"/>
      <c r="AF6403" s="28"/>
      <c r="AG6403" s="28"/>
      <c r="AH6403" s="28"/>
      <c r="AI6403" s="28"/>
      <c r="AJ6403" s="28"/>
      <c r="AK6403" s="28"/>
      <c r="AL6403" s="28"/>
      <c r="AM6403" s="28"/>
      <c r="AN6403" s="28"/>
      <c r="AO6403" s="28"/>
      <c r="AP6403" s="28"/>
      <c r="AQ6403" s="28"/>
      <c r="AR6403" s="28"/>
      <c r="AS6403" s="28"/>
      <c r="AT6403" s="28"/>
    </row>
    <row r="6404">
      <c r="A6404" s="14"/>
      <c r="B6404" s="15"/>
      <c r="C6404" s="16"/>
      <c r="D6404" s="15"/>
      <c r="F6404" s="15"/>
      <c r="G6404" s="26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8"/>
      <c r="X6404" s="28"/>
      <c r="Y6404" s="28"/>
      <c r="Z6404" s="28"/>
      <c r="AA6404" s="28"/>
      <c r="AB6404" s="28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R6404" s="28"/>
      <c r="AS6404" s="28"/>
      <c r="AT6404" s="28"/>
    </row>
    <row r="6405">
      <c r="A6405" s="14"/>
      <c r="B6405" s="15"/>
      <c r="C6405" s="16"/>
      <c r="D6405" s="15"/>
      <c r="F6405" s="15"/>
      <c r="G6405" s="26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8"/>
      <c r="X6405" s="28"/>
      <c r="Y6405" s="28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28"/>
      <c r="AS6405" s="28"/>
      <c r="AT6405" s="28"/>
    </row>
    <row r="6406">
      <c r="A6406" s="14"/>
      <c r="B6406" s="15"/>
      <c r="C6406" s="16"/>
      <c r="D6406" s="15"/>
      <c r="F6406" s="15"/>
      <c r="G6406" s="26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8"/>
      <c r="X6406" s="28"/>
      <c r="Y6406" s="28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J6406" s="28"/>
      <c r="AK6406" s="28"/>
      <c r="AL6406" s="28"/>
      <c r="AM6406" s="28"/>
      <c r="AN6406" s="28"/>
      <c r="AO6406" s="28"/>
      <c r="AP6406" s="28"/>
      <c r="AQ6406" s="28"/>
      <c r="AR6406" s="28"/>
      <c r="AS6406" s="28"/>
      <c r="AT6406" s="28"/>
    </row>
    <row r="6407">
      <c r="A6407" s="14"/>
      <c r="B6407" s="15"/>
      <c r="C6407" s="16"/>
      <c r="D6407" s="15"/>
      <c r="F6407" s="15"/>
      <c r="G6407" s="26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8"/>
      <c r="X6407" s="28"/>
      <c r="Y6407" s="28"/>
      <c r="Z6407" s="28"/>
      <c r="AA6407" s="28"/>
      <c r="AB6407" s="28"/>
      <c r="AC6407" s="28"/>
      <c r="AD6407" s="28"/>
      <c r="AE6407" s="28"/>
      <c r="AF6407" s="28"/>
      <c r="AG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28"/>
      <c r="AS6407" s="28"/>
      <c r="AT6407" s="28"/>
    </row>
    <row r="6408">
      <c r="A6408" s="14"/>
      <c r="B6408" s="15"/>
      <c r="C6408" s="16"/>
      <c r="D6408" s="15"/>
      <c r="F6408" s="15"/>
      <c r="G6408" s="26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J6408" s="28"/>
      <c r="AK6408" s="28"/>
      <c r="AL6408" s="28"/>
      <c r="AM6408" s="28"/>
      <c r="AN6408" s="28"/>
      <c r="AO6408" s="28"/>
      <c r="AP6408" s="28"/>
      <c r="AQ6408" s="28"/>
      <c r="AR6408" s="28"/>
      <c r="AS6408" s="28"/>
      <c r="AT6408" s="28"/>
    </row>
    <row r="6409">
      <c r="A6409" s="14"/>
      <c r="B6409" s="15"/>
      <c r="C6409" s="16"/>
      <c r="D6409" s="15"/>
      <c r="F6409" s="15"/>
      <c r="G6409" s="26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8"/>
      <c r="X6409" s="28"/>
      <c r="Y6409" s="28"/>
      <c r="Z6409" s="28"/>
      <c r="AA6409" s="28"/>
      <c r="AB6409" s="28"/>
      <c r="AC6409" s="28"/>
      <c r="AD6409" s="28"/>
      <c r="AE6409" s="28"/>
      <c r="AF6409" s="28"/>
      <c r="AG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28"/>
      <c r="AS6409" s="28"/>
      <c r="AT6409" s="28"/>
    </row>
    <row r="6410">
      <c r="A6410" s="14"/>
      <c r="B6410" s="15"/>
      <c r="C6410" s="16"/>
      <c r="D6410" s="15"/>
      <c r="F6410" s="15"/>
      <c r="G6410" s="26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8"/>
      <c r="X6410" s="28"/>
      <c r="Y6410" s="28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28"/>
      <c r="AS6410" s="28"/>
      <c r="AT6410" s="28"/>
    </row>
    <row r="6411">
      <c r="A6411" s="14"/>
      <c r="B6411" s="15"/>
      <c r="C6411" s="16"/>
      <c r="D6411" s="15"/>
      <c r="F6411" s="15"/>
      <c r="G6411" s="26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8"/>
      <c r="X6411" s="28"/>
      <c r="Y6411" s="28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28"/>
      <c r="AS6411" s="28"/>
      <c r="AT6411" s="28"/>
    </row>
    <row r="6412">
      <c r="A6412" s="14"/>
      <c r="B6412" s="15"/>
      <c r="C6412" s="16"/>
      <c r="D6412" s="15"/>
      <c r="F6412" s="15"/>
      <c r="G6412" s="26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8"/>
      <c r="X6412" s="28"/>
      <c r="Y6412" s="28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28"/>
      <c r="AS6412" s="28"/>
      <c r="AT6412" s="28"/>
    </row>
    <row r="6413">
      <c r="A6413" s="14"/>
      <c r="B6413" s="15"/>
      <c r="C6413" s="16"/>
      <c r="D6413" s="15"/>
      <c r="F6413" s="15"/>
      <c r="G6413" s="26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8"/>
      <c r="X6413" s="28"/>
      <c r="Y6413" s="28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28"/>
      <c r="AS6413" s="28"/>
      <c r="AT6413" s="28"/>
    </row>
    <row r="6414">
      <c r="A6414" s="14"/>
      <c r="B6414" s="15"/>
      <c r="C6414" s="16"/>
      <c r="D6414" s="15"/>
      <c r="F6414" s="15"/>
      <c r="G6414" s="26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8"/>
      <c r="X6414" s="28"/>
      <c r="Y6414" s="28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28"/>
      <c r="AS6414" s="28"/>
      <c r="AT6414" s="28"/>
    </row>
    <row r="6415">
      <c r="A6415" s="14"/>
      <c r="B6415" s="15"/>
      <c r="C6415" s="16"/>
      <c r="D6415" s="15"/>
      <c r="F6415" s="15"/>
      <c r="G6415" s="26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8"/>
      <c r="X6415" s="28"/>
      <c r="Y6415" s="28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28"/>
      <c r="AS6415" s="28"/>
      <c r="AT6415" s="28"/>
    </row>
    <row r="6416">
      <c r="A6416" s="14"/>
      <c r="B6416" s="15"/>
      <c r="C6416" s="16"/>
      <c r="D6416" s="15"/>
      <c r="F6416" s="15"/>
      <c r="G6416" s="26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8"/>
      <c r="X6416" s="28"/>
      <c r="Y6416" s="28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28"/>
      <c r="AS6416" s="28"/>
      <c r="AT6416" s="28"/>
    </row>
    <row r="6417">
      <c r="A6417" s="14"/>
      <c r="B6417" s="15"/>
      <c r="C6417" s="16"/>
      <c r="D6417" s="15"/>
      <c r="F6417" s="15"/>
      <c r="G6417" s="26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8"/>
      <c r="X6417" s="28"/>
      <c r="Y6417" s="28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28"/>
      <c r="AS6417" s="28"/>
      <c r="AT6417" s="28"/>
    </row>
    <row r="6418">
      <c r="A6418" s="14"/>
      <c r="B6418" s="15"/>
      <c r="C6418" s="16"/>
      <c r="D6418" s="15"/>
      <c r="F6418" s="15"/>
      <c r="G6418" s="26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8"/>
      <c r="X6418" s="28"/>
      <c r="Y6418" s="28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28"/>
      <c r="AS6418" s="28"/>
      <c r="AT6418" s="28"/>
    </row>
    <row r="6419">
      <c r="A6419" s="14"/>
      <c r="B6419" s="15"/>
      <c r="C6419" s="16"/>
      <c r="D6419" s="15"/>
      <c r="F6419" s="15"/>
      <c r="G6419" s="26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8"/>
      <c r="X6419" s="28"/>
      <c r="Y6419" s="28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28"/>
      <c r="AS6419" s="28"/>
      <c r="AT6419" s="28"/>
    </row>
    <row r="6420">
      <c r="A6420" s="14"/>
      <c r="B6420" s="15"/>
      <c r="C6420" s="16"/>
      <c r="D6420" s="15"/>
      <c r="F6420" s="15"/>
      <c r="G6420" s="26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28"/>
      <c r="AS6420" s="28"/>
      <c r="AT6420" s="28"/>
    </row>
    <row r="6421">
      <c r="A6421" s="14"/>
      <c r="B6421" s="15"/>
      <c r="C6421" s="16"/>
      <c r="D6421" s="15"/>
      <c r="F6421" s="15"/>
      <c r="G6421" s="26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8"/>
      <c r="X6421" s="28"/>
      <c r="Y6421" s="28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28"/>
      <c r="AS6421" s="28"/>
      <c r="AT6421" s="28"/>
    </row>
    <row r="6422">
      <c r="A6422" s="14"/>
      <c r="B6422" s="15"/>
      <c r="C6422" s="16"/>
      <c r="D6422" s="15"/>
      <c r="F6422" s="15"/>
      <c r="G6422" s="26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8"/>
      <c r="X6422" s="28"/>
      <c r="Y6422" s="28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28"/>
      <c r="AS6422" s="28"/>
      <c r="AT6422" s="28"/>
    </row>
    <row r="6423">
      <c r="A6423" s="14"/>
      <c r="B6423" s="15"/>
      <c r="C6423" s="16"/>
      <c r="D6423" s="15"/>
      <c r="F6423" s="15"/>
      <c r="G6423" s="26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8"/>
      <c r="X6423" s="28"/>
      <c r="Y6423" s="28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28"/>
      <c r="AS6423" s="28"/>
      <c r="AT6423" s="28"/>
    </row>
    <row r="6424">
      <c r="A6424" s="14"/>
      <c r="B6424" s="15"/>
      <c r="C6424" s="16"/>
      <c r="D6424" s="15"/>
      <c r="F6424" s="15"/>
      <c r="G6424" s="26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8"/>
      <c r="X6424" s="28"/>
      <c r="Y6424" s="28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28"/>
      <c r="AS6424" s="28"/>
      <c r="AT6424" s="28"/>
    </row>
    <row r="6425">
      <c r="A6425" s="14"/>
      <c r="B6425" s="15"/>
      <c r="C6425" s="16"/>
      <c r="D6425" s="15"/>
      <c r="F6425" s="15"/>
      <c r="G6425" s="26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8"/>
      <c r="X6425" s="28"/>
      <c r="Y6425" s="28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28"/>
      <c r="AS6425" s="28"/>
      <c r="AT6425" s="28"/>
    </row>
    <row r="6426">
      <c r="A6426" s="14"/>
      <c r="B6426" s="15"/>
      <c r="C6426" s="16"/>
      <c r="D6426" s="15"/>
      <c r="F6426" s="15"/>
      <c r="G6426" s="26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8"/>
      <c r="X6426" s="28"/>
      <c r="Y6426" s="28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28"/>
      <c r="AS6426" s="28"/>
      <c r="AT6426" s="28"/>
    </row>
    <row r="6427">
      <c r="A6427" s="14"/>
      <c r="B6427" s="15"/>
      <c r="C6427" s="16"/>
      <c r="D6427" s="15"/>
      <c r="F6427" s="15"/>
      <c r="G6427" s="26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8"/>
      <c r="X6427" s="28"/>
      <c r="Y6427" s="28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28"/>
      <c r="AS6427" s="28"/>
      <c r="AT6427" s="28"/>
    </row>
    <row r="6428">
      <c r="A6428" s="14"/>
      <c r="B6428" s="15"/>
      <c r="C6428" s="16"/>
      <c r="D6428" s="15"/>
      <c r="F6428" s="15"/>
      <c r="G6428" s="26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8"/>
      <c r="X6428" s="28"/>
      <c r="Y6428" s="28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28"/>
      <c r="AS6428" s="28"/>
      <c r="AT6428" s="28"/>
    </row>
    <row r="6429">
      <c r="A6429" s="14"/>
      <c r="B6429" s="15"/>
      <c r="C6429" s="16"/>
      <c r="D6429" s="15"/>
      <c r="F6429" s="15"/>
      <c r="G6429" s="26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8"/>
      <c r="X6429" s="28"/>
      <c r="Y6429" s="28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28"/>
      <c r="AS6429" s="28"/>
      <c r="AT6429" s="28"/>
    </row>
    <row r="6430">
      <c r="A6430" s="14"/>
      <c r="B6430" s="15"/>
      <c r="C6430" s="16"/>
      <c r="D6430" s="15"/>
      <c r="F6430" s="15"/>
      <c r="G6430" s="26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8"/>
      <c r="X6430" s="28"/>
      <c r="Y6430" s="28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28"/>
      <c r="AS6430" s="28"/>
      <c r="AT6430" s="28"/>
    </row>
    <row r="6431">
      <c r="A6431" s="14"/>
      <c r="B6431" s="15"/>
      <c r="C6431" s="16"/>
      <c r="D6431" s="15"/>
      <c r="F6431" s="15"/>
      <c r="G6431" s="26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8"/>
      <c r="X6431" s="28"/>
      <c r="Y6431" s="28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28"/>
      <c r="AS6431" s="28"/>
      <c r="AT6431" s="28"/>
    </row>
    <row r="6432">
      <c r="A6432" s="14"/>
      <c r="B6432" s="15"/>
      <c r="C6432" s="16"/>
      <c r="D6432" s="15"/>
      <c r="F6432" s="15"/>
      <c r="G6432" s="26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8"/>
      <c r="X6432" s="28"/>
      <c r="Y6432" s="28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28"/>
      <c r="AS6432" s="28"/>
      <c r="AT6432" s="28"/>
    </row>
    <row r="6433">
      <c r="A6433" s="14"/>
      <c r="B6433" s="15"/>
      <c r="C6433" s="16"/>
      <c r="D6433" s="15"/>
      <c r="F6433" s="15"/>
      <c r="G6433" s="26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8"/>
      <c r="X6433" s="28"/>
      <c r="Y6433" s="28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28"/>
      <c r="AS6433" s="28"/>
      <c r="AT6433" s="28"/>
    </row>
    <row r="6434">
      <c r="A6434" s="14"/>
      <c r="B6434" s="15"/>
      <c r="C6434" s="16"/>
      <c r="D6434" s="15"/>
      <c r="F6434" s="15"/>
      <c r="G6434" s="26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8"/>
      <c r="X6434" s="28"/>
      <c r="Y6434" s="28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28"/>
      <c r="AS6434" s="28"/>
      <c r="AT6434" s="28"/>
    </row>
    <row r="6435">
      <c r="A6435" s="14"/>
      <c r="B6435" s="15"/>
      <c r="C6435" s="16"/>
      <c r="D6435" s="15"/>
      <c r="F6435" s="15"/>
      <c r="G6435" s="26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8"/>
      <c r="X6435" s="28"/>
      <c r="Y6435" s="28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28"/>
      <c r="AS6435" s="28"/>
      <c r="AT6435" s="28"/>
    </row>
    <row r="6436">
      <c r="A6436" s="14"/>
      <c r="B6436" s="15"/>
      <c r="C6436" s="16"/>
      <c r="D6436" s="15"/>
      <c r="F6436" s="15"/>
      <c r="G6436" s="26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8"/>
      <c r="X6436" s="28"/>
      <c r="Y6436" s="28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28"/>
      <c r="AS6436" s="28"/>
      <c r="AT6436" s="28"/>
    </row>
    <row r="6437">
      <c r="A6437" s="14"/>
      <c r="B6437" s="15"/>
      <c r="C6437" s="16"/>
      <c r="D6437" s="15"/>
      <c r="F6437" s="15"/>
      <c r="G6437" s="26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8"/>
      <c r="X6437" s="28"/>
      <c r="Y6437" s="28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28"/>
      <c r="AS6437" s="28"/>
      <c r="AT6437" s="28"/>
    </row>
    <row r="6438">
      <c r="A6438" s="14"/>
      <c r="B6438" s="15"/>
      <c r="C6438" s="16"/>
      <c r="D6438" s="15"/>
      <c r="F6438" s="15"/>
      <c r="G6438" s="26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8"/>
      <c r="X6438" s="28"/>
      <c r="Y6438" s="28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28"/>
      <c r="AS6438" s="28"/>
      <c r="AT6438" s="28"/>
    </row>
    <row r="6439">
      <c r="A6439" s="14"/>
      <c r="B6439" s="15"/>
      <c r="C6439" s="16"/>
      <c r="D6439" s="15"/>
      <c r="F6439" s="15"/>
      <c r="G6439" s="26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8"/>
      <c r="X6439" s="28"/>
      <c r="Y6439" s="28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28"/>
      <c r="AS6439" s="28"/>
      <c r="AT6439" s="28"/>
    </row>
    <row r="6440">
      <c r="A6440" s="14"/>
      <c r="B6440" s="15"/>
      <c r="C6440" s="16"/>
      <c r="D6440" s="15"/>
      <c r="F6440" s="15"/>
      <c r="G6440" s="26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8"/>
      <c r="X6440" s="28"/>
      <c r="Y6440" s="28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28"/>
      <c r="AS6440" s="28"/>
      <c r="AT6440" s="28"/>
    </row>
    <row r="6441">
      <c r="A6441" s="14"/>
      <c r="B6441" s="15"/>
      <c r="C6441" s="16"/>
      <c r="D6441" s="15"/>
      <c r="F6441" s="15"/>
      <c r="G6441" s="26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8"/>
      <c r="X6441" s="28"/>
      <c r="Y6441" s="28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28"/>
      <c r="AS6441" s="28"/>
      <c r="AT6441" s="28"/>
    </row>
    <row r="6442">
      <c r="A6442" s="14"/>
      <c r="B6442" s="15"/>
      <c r="C6442" s="16"/>
      <c r="D6442" s="15"/>
      <c r="F6442" s="15"/>
      <c r="G6442" s="26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28"/>
      <c r="AS6442" s="28"/>
      <c r="AT6442" s="28"/>
    </row>
    <row r="6443">
      <c r="A6443" s="14"/>
      <c r="B6443" s="15"/>
      <c r="C6443" s="16"/>
      <c r="D6443" s="15"/>
      <c r="F6443" s="15"/>
      <c r="G6443" s="26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28"/>
      <c r="AS6443" s="28"/>
      <c r="AT6443" s="28"/>
    </row>
    <row r="6444">
      <c r="A6444" s="14"/>
      <c r="B6444" s="15"/>
      <c r="C6444" s="16"/>
      <c r="D6444" s="15"/>
      <c r="F6444" s="15"/>
      <c r="G6444" s="26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28"/>
      <c r="AS6444" s="28"/>
      <c r="AT6444" s="28"/>
    </row>
    <row r="6445">
      <c r="A6445" s="14"/>
      <c r="B6445" s="15"/>
      <c r="C6445" s="16"/>
      <c r="D6445" s="15"/>
      <c r="F6445" s="15"/>
      <c r="G6445" s="26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28"/>
      <c r="AS6445" s="28"/>
      <c r="AT6445" s="28"/>
    </row>
    <row r="6446">
      <c r="A6446" s="14"/>
      <c r="B6446" s="15"/>
      <c r="C6446" s="16"/>
      <c r="D6446" s="15"/>
      <c r="F6446" s="15"/>
      <c r="G6446" s="26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28"/>
      <c r="AS6446" s="28"/>
      <c r="AT6446" s="28"/>
    </row>
    <row r="6447">
      <c r="A6447" s="14"/>
      <c r="B6447" s="15"/>
      <c r="C6447" s="16"/>
      <c r="D6447" s="15"/>
      <c r="F6447" s="15"/>
      <c r="G6447" s="26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28"/>
      <c r="AS6447" s="28"/>
      <c r="AT6447" s="28"/>
    </row>
    <row r="6448">
      <c r="A6448" s="14"/>
      <c r="B6448" s="15"/>
      <c r="C6448" s="16"/>
      <c r="D6448" s="15"/>
      <c r="F6448" s="15"/>
      <c r="G6448" s="26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28"/>
      <c r="AS6448" s="28"/>
      <c r="AT6448" s="28"/>
    </row>
    <row r="6449">
      <c r="A6449" s="14"/>
      <c r="B6449" s="15"/>
      <c r="C6449" s="16"/>
      <c r="D6449" s="15"/>
      <c r="F6449" s="15"/>
      <c r="G6449" s="26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28"/>
      <c r="AS6449" s="28"/>
      <c r="AT6449" s="28"/>
    </row>
    <row r="6450">
      <c r="A6450" s="14"/>
      <c r="B6450" s="15"/>
      <c r="C6450" s="16"/>
      <c r="D6450" s="15"/>
      <c r="F6450" s="15"/>
      <c r="G6450" s="26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28"/>
      <c r="AS6450" s="28"/>
      <c r="AT6450" s="28"/>
    </row>
    <row r="6451">
      <c r="A6451" s="14"/>
      <c r="B6451" s="15"/>
      <c r="C6451" s="16"/>
      <c r="D6451" s="15"/>
      <c r="F6451" s="15"/>
      <c r="G6451" s="26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28"/>
      <c r="AS6451" s="28"/>
      <c r="AT6451" s="28"/>
    </row>
    <row r="6452">
      <c r="A6452" s="14"/>
      <c r="B6452" s="15"/>
      <c r="C6452" s="16"/>
      <c r="D6452" s="15"/>
      <c r="F6452" s="15"/>
      <c r="G6452" s="26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28"/>
      <c r="AS6452" s="28"/>
      <c r="AT6452" s="28"/>
    </row>
    <row r="6453">
      <c r="A6453" s="14"/>
      <c r="B6453" s="15"/>
      <c r="C6453" s="16"/>
      <c r="D6453" s="15"/>
      <c r="F6453" s="15"/>
      <c r="G6453" s="26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28"/>
      <c r="AS6453" s="28"/>
      <c r="AT6453" s="28"/>
    </row>
    <row r="6454">
      <c r="A6454" s="14"/>
      <c r="B6454" s="15"/>
      <c r="C6454" s="16"/>
      <c r="D6454" s="15"/>
      <c r="F6454" s="15"/>
      <c r="G6454" s="26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28"/>
      <c r="AS6454" s="28"/>
      <c r="AT6454" s="28"/>
    </row>
    <row r="6455">
      <c r="A6455" s="14"/>
      <c r="B6455" s="15"/>
      <c r="C6455" s="16"/>
      <c r="D6455" s="15"/>
      <c r="F6455" s="15"/>
      <c r="G6455" s="26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28"/>
      <c r="AS6455" s="28"/>
      <c r="AT6455" s="28"/>
    </row>
    <row r="6456">
      <c r="A6456" s="14"/>
      <c r="B6456" s="15"/>
      <c r="C6456" s="16"/>
      <c r="D6456" s="15"/>
      <c r="F6456" s="15"/>
      <c r="G6456" s="26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28"/>
      <c r="AS6456" s="28"/>
      <c r="AT6456" s="28"/>
    </row>
    <row r="6457">
      <c r="A6457" s="14"/>
      <c r="B6457" s="15"/>
      <c r="C6457" s="16"/>
      <c r="D6457" s="15"/>
      <c r="F6457" s="15"/>
      <c r="G6457" s="26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28"/>
      <c r="AS6457" s="28"/>
      <c r="AT6457" s="28"/>
    </row>
    <row r="6458">
      <c r="A6458" s="14"/>
      <c r="B6458" s="15"/>
      <c r="C6458" s="16"/>
      <c r="D6458" s="15"/>
      <c r="F6458" s="15"/>
      <c r="G6458" s="26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28"/>
      <c r="AS6458" s="28"/>
      <c r="AT6458" s="28"/>
    </row>
    <row r="6459">
      <c r="A6459" s="14"/>
      <c r="B6459" s="15"/>
      <c r="C6459" s="16"/>
      <c r="D6459" s="15"/>
      <c r="F6459" s="15"/>
      <c r="G6459" s="26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28"/>
      <c r="AS6459" s="28"/>
      <c r="AT6459" s="28"/>
    </row>
    <row r="6460">
      <c r="A6460" s="14"/>
      <c r="B6460" s="15"/>
      <c r="C6460" s="16"/>
      <c r="D6460" s="15"/>
      <c r="F6460" s="15"/>
      <c r="G6460" s="26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28"/>
      <c r="AS6460" s="28"/>
      <c r="AT6460" s="28"/>
    </row>
    <row r="6461">
      <c r="A6461" s="14"/>
      <c r="B6461" s="15"/>
      <c r="C6461" s="16"/>
      <c r="D6461" s="15"/>
      <c r="F6461" s="15"/>
      <c r="G6461" s="26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28"/>
      <c r="AS6461" s="28"/>
      <c r="AT6461" s="28"/>
    </row>
    <row r="6462">
      <c r="A6462" s="14"/>
      <c r="B6462" s="15"/>
      <c r="C6462" s="16"/>
      <c r="D6462" s="15"/>
      <c r="F6462" s="15"/>
      <c r="G6462" s="26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28"/>
      <c r="AS6462" s="28"/>
      <c r="AT6462" s="28"/>
    </row>
    <row r="6463">
      <c r="A6463" s="14"/>
      <c r="B6463" s="15"/>
      <c r="C6463" s="16"/>
      <c r="D6463" s="15"/>
      <c r="F6463" s="15"/>
      <c r="G6463" s="26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28"/>
      <c r="AS6463" s="28"/>
      <c r="AT6463" s="28"/>
    </row>
    <row r="6464">
      <c r="A6464" s="14"/>
      <c r="B6464" s="15"/>
      <c r="C6464" s="16"/>
      <c r="D6464" s="15"/>
      <c r="F6464" s="15"/>
      <c r="G6464" s="26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28"/>
      <c r="AS6464" s="28"/>
      <c r="AT6464" s="28"/>
    </row>
    <row r="6465">
      <c r="A6465" s="14"/>
      <c r="B6465" s="15"/>
      <c r="C6465" s="16"/>
      <c r="D6465" s="15"/>
      <c r="F6465" s="15"/>
      <c r="G6465" s="26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28"/>
      <c r="AS6465" s="28"/>
      <c r="AT6465" s="28"/>
    </row>
    <row r="6466">
      <c r="A6466" s="14"/>
      <c r="B6466" s="15"/>
      <c r="C6466" s="16"/>
      <c r="D6466" s="15"/>
      <c r="F6466" s="15"/>
      <c r="G6466" s="26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28"/>
      <c r="AS6466" s="28"/>
      <c r="AT6466" s="28"/>
    </row>
    <row r="6467">
      <c r="A6467" s="14"/>
      <c r="B6467" s="15"/>
      <c r="C6467" s="16"/>
      <c r="D6467" s="15"/>
      <c r="F6467" s="15"/>
      <c r="G6467" s="26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28"/>
      <c r="AS6467" s="28"/>
      <c r="AT6467" s="28"/>
    </row>
    <row r="6468">
      <c r="A6468" s="14"/>
      <c r="B6468" s="15"/>
      <c r="C6468" s="16"/>
      <c r="D6468" s="15"/>
      <c r="F6468" s="15"/>
      <c r="G6468" s="26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28"/>
      <c r="AS6468" s="28"/>
      <c r="AT6468" s="28"/>
    </row>
    <row r="6469">
      <c r="A6469" s="14"/>
      <c r="B6469" s="15"/>
      <c r="C6469" s="16"/>
      <c r="D6469" s="15"/>
      <c r="F6469" s="15"/>
      <c r="G6469" s="26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28"/>
      <c r="AS6469" s="28"/>
      <c r="AT6469" s="28"/>
    </row>
    <row r="6470">
      <c r="A6470" s="14"/>
      <c r="B6470" s="15"/>
      <c r="C6470" s="16"/>
      <c r="D6470" s="15"/>
      <c r="F6470" s="15"/>
      <c r="G6470" s="26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8"/>
      <c r="X6470" s="28"/>
      <c r="Y6470" s="28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28"/>
      <c r="AS6470" s="28"/>
      <c r="AT6470" s="28"/>
    </row>
    <row r="6471">
      <c r="A6471" s="14"/>
      <c r="B6471" s="15"/>
      <c r="C6471" s="16"/>
      <c r="D6471" s="15"/>
      <c r="F6471" s="15"/>
      <c r="G6471" s="26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8"/>
      <c r="X6471" s="28"/>
      <c r="Y6471" s="28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28"/>
      <c r="AS6471" s="28"/>
      <c r="AT6471" s="28"/>
    </row>
    <row r="6472">
      <c r="A6472" s="14"/>
      <c r="B6472" s="15"/>
      <c r="C6472" s="16"/>
      <c r="D6472" s="15"/>
      <c r="F6472" s="15"/>
      <c r="G6472" s="26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8"/>
      <c r="X6472" s="28"/>
      <c r="Y6472" s="28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28"/>
      <c r="AS6472" s="28"/>
      <c r="AT6472" s="28"/>
    </row>
    <row r="6473">
      <c r="A6473" s="14"/>
      <c r="B6473" s="15"/>
      <c r="C6473" s="16"/>
      <c r="D6473" s="15"/>
      <c r="F6473" s="15"/>
      <c r="G6473" s="26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8"/>
      <c r="X6473" s="28"/>
      <c r="Y6473" s="28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28"/>
      <c r="AS6473" s="28"/>
      <c r="AT6473" s="28"/>
    </row>
    <row r="6474">
      <c r="A6474" s="14"/>
      <c r="B6474" s="15"/>
      <c r="C6474" s="16"/>
      <c r="D6474" s="15"/>
      <c r="F6474" s="15"/>
      <c r="G6474" s="26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8"/>
      <c r="X6474" s="28"/>
      <c r="Y6474" s="28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28"/>
      <c r="AS6474" s="28"/>
      <c r="AT6474" s="28"/>
    </row>
    <row r="6475">
      <c r="A6475" s="14"/>
      <c r="B6475" s="15"/>
      <c r="C6475" s="16"/>
      <c r="D6475" s="15"/>
      <c r="F6475" s="15"/>
      <c r="G6475" s="26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8"/>
      <c r="X6475" s="28"/>
      <c r="Y6475" s="28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28"/>
      <c r="AS6475" s="28"/>
      <c r="AT6475" s="28"/>
    </row>
    <row r="6476">
      <c r="A6476" s="14"/>
      <c r="B6476" s="15"/>
      <c r="C6476" s="16"/>
      <c r="D6476" s="15"/>
      <c r="F6476" s="15"/>
      <c r="G6476" s="26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8"/>
      <c r="X6476" s="28"/>
      <c r="Y6476" s="28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28"/>
      <c r="AS6476" s="28"/>
      <c r="AT6476" s="28"/>
    </row>
    <row r="6477">
      <c r="A6477" s="14"/>
      <c r="B6477" s="15"/>
      <c r="C6477" s="16"/>
      <c r="D6477" s="15"/>
      <c r="F6477" s="15"/>
      <c r="G6477" s="26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8"/>
      <c r="X6477" s="28"/>
      <c r="Y6477" s="28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28"/>
      <c r="AS6477" s="28"/>
      <c r="AT6477" s="28"/>
    </row>
    <row r="6478">
      <c r="A6478" s="14"/>
      <c r="B6478" s="15"/>
      <c r="C6478" s="16"/>
      <c r="D6478" s="15"/>
      <c r="F6478" s="15"/>
      <c r="G6478" s="26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8"/>
      <c r="X6478" s="28"/>
      <c r="Y6478" s="28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28"/>
      <c r="AS6478" s="28"/>
      <c r="AT6478" s="28"/>
    </row>
    <row r="6479">
      <c r="A6479" s="14"/>
      <c r="B6479" s="15"/>
      <c r="C6479" s="16"/>
      <c r="D6479" s="15"/>
      <c r="F6479" s="15"/>
      <c r="G6479" s="26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8"/>
      <c r="X6479" s="28"/>
      <c r="Y6479" s="28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28"/>
      <c r="AS6479" s="28"/>
      <c r="AT6479" s="28"/>
    </row>
    <row r="6480">
      <c r="A6480" s="14"/>
      <c r="B6480" s="15"/>
      <c r="C6480" s="16"/>
      <c r="D6480" s="15"/>
      <c r="F6480" s="15"/>
      <c r="G6480" s="26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8"/>
      <c r="X6480" s="28"/>
      <c r="Y6480" s="28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28"/>
      <c r="AS6480" s="28"/>
      <c r="AT6480" s="28"/>
    </row>
    <row r="6481">
      <c r="A6481" s="14"/>
      <c r="B6481" s="15"/>
      <c r="C6481" s="16"/>
      <c r="D6481" s="15"/>
      <c r="F6481" s="15"/>
      <c r="G6481" s="26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8"/>
      <c r="X6481" s="28"/>
      <c r="Y6481" s="28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28"/>
      <c r="AS6481" s="28"/>
      <c r="AT6481" s="28"/>
    </row>
    <row r="6482">
      <c r="A6482" s="14"/>
      <c r="B6482" s="15"/>
      <c r="C6482" s="16"/>
      <c r="D6482" s="15"/>
      <c r="F6482" s="15"/>
      <c r="G6482" s="26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8"/>
      <c r="X6482" s="28"/>
      <c r="Y6482" s="28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28"/>
      <c r="AS6482" s="28"/>
      <c r="AT6482" s="28"/>
    </row>
    <row r="6483">
      <c r="A6483" s="14"/>
      <c r="B6483" s="15"/>
      <c r="C6483" s="16"/>
      <c r="D6483" s="15"/>
      <c r="F6483" s="15"/>
      <c r="G6483" s="26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8"/>
      <c r="X6483" s="28"/>
      <c r="Y6483" s="28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28"/>
      <c r="AS6483" s="28"/>
      <c r="AT6483" s="28"/>
    </row>
    <row r="6484">
      <c r="A6484" s="14"/>
      <c r="B6484" s="15"/>
      <c r="C6484" s="16"/>
      <c r="D6484" s="15"/>
      <c r="F6484" s="15"/>
      <c r="G6484" s="26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8"/>
      <c r="X6484" s="28"/>
      <c r="Y6484" s="28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28"/>
      <c r="AS6484" s="28"/>
      <c r="AT6484" s="28"/>
    </row>
    <row r="6485">
      <c r="A6485" s="14"/>
      <c r="B6485" s="15"/>
      <c r="C6485" s="16"/>
      <c r="D6485" s="15"/>
      <c r="F6485" s="15"/>
      <c r="G6485" s="26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8"/>
      <c r="X6485" s="28"/>
      <c r="Y6485" s="28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28"/>
      <c r="AS6485" s="28"/>
      <c r="AT6485" s="28"/>
    </row>
    <row r="6486">
      <c r="A6486" s="14"/>
      <c r="B6486" s="15"/>
      <c r="C6486" s="16"/>
      <c r="D6486" s="15"/>
      <c r="F6486" s="15"/>
      <c r="G6486" s="26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8"/>
      <c r="X6486" s="28"/>
      <c r="Y6486" s="28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28"/>
      <c r="AS6486" s="28"/>
      <c r="AT6486" s="28"/>
    </row>
    <row r="6487">
      <c r="A6487" s="14"/>
      <c r="B6487" s="15"/>
      <c r="C6487" s="16"/>
      <c r="D6487" s="15"/>
      <c r="F6487" s="15"/>
      <c r="G6487" s="26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8"/>
      <c r="X6487" s="28"/>
      <c r="Y6487" s="28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28"/>
      <c r="AS6487" s="28"/>
      <c r="AT6487" s="28"/>
    </row>
    <row r="6488">
      <c r="A6488" s="14"/>
      <c r="B6488" s="15"/>
      <c r="C6488" s="16"/>
      <c r="D6488" s="15"/>
      <c r="F6488" s="15"/>
      <c r="G6488" s="26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8"/>
      <c r="X6488" s="28"/>
      <c r="Y6488" s="28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28"/>
      <c r="AS6488" s="28"/>
      <c r="AT6488" s="28"/>
    </row>
    <row r="6489">
      <c r="A6489" s="14"/>
      <c r="B6489" s="15"/>
      <c r="C6489" s="16"/>
      <c r="D6489" s="15"/>
      <c r="F6489" s="15"/>
      <c r="G6489" s="26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8"/>
      <c r="X6489" s="28"/>
      <c r="Y6489" s="28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28"/>
      <c r="AS6489" s="28"/>
      <c r="AT6489" s="28"/>
    </row>
    <row r="6490">
      <c r="A6490" s="14"/>
      <c r="B6490" s="15"/>
      <c r="C6490" s="16"/>
      <c r="D6490" s="15"/>
      <c r="F6490" s="15"/>
      <c r="G6490" s="26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8"/>
      <c r="X6490" s="28"/>
      <c r="Y6490" s="28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28"/>
      <c r="AS6490" s="28"/>
      <c r="AT6490" s="28"/>
    </row>
    <row r="6491">
      <c r="A6491" s="14"/>
      <c r="B6491" s="15"/>
      <c r="C6491" s="16"/>
      <c r="D6491" s="15"/>
      <c r="F6491" s="15"/>
      <c r="G6491" s="26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8"/>
      <c r="X6491" s="28"/>
      <c r="Y6491" s="28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28"/>
      <c r="AS6491" s="28"/>
      <c r="AT6491" s="28"/>
    </row>
    <row r="6492">
      <c r="A6492" s="14"/>
      <c r="B6492" s="15"/>
      <c r="C6492" s="16"/>
      <c r="D6492" s="15"/>
      <c r="F6492" s="15"/>
      <c r="G6492" s="26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8"/>
      <c r="X6492" s="28"/>
      <c r="Y6492" s="28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28"/>
      <c r="AS6492" s="28"/>
      <c r="AT6492" s="28"/>
    </row>
    <row r="6493">
      <c r="A6493" s="14"/>
      <c r="B6493" s="15"/>
      <c r="C6493" s="16"/>
      <c r="D6493" s="15"/>
      <c r="F6493" s="15"/>
      <c r="G6493" s="26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8"/>
      <c r="X6493" s="28"/>
      <c r="Y6493" s="28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28"/>
      <c r="AS6493" s="28"/>
      <c r="AT6493" s="28"/>
    </row>
    <row r="6494">
      <c r="A6494" s="14"/>
      <c r="B6494" s="15"/>
      <c r="C6494" s="16"/>
      <c r="D6494" s="15"/>
      <c r="F6494" s="15"/>
      <c r="G6494" s="26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8"/>
      <c r="X6494" s="28"/>
      <c r="Y6494" s="28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28"/>
      <c r="AS6494" s="28"/>
      <c r="AT6494" s="28"/>
    </row>
    <row r="6495">
      <c r="A6495" s="14"/>
      <c r="B6495" s="15"/>
      <c r="C6495" s="16"/>
      <c r="D6495" s="15"/>
      <c r="F6495" s="15"/>
      <c r="G6495" s="26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8"/>
      <c r="X6495" s="28"/>
      <c r="Y6495" s="28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28"/>
      <c r="AS6495" s="28"/>
      <c r="AT6495" s="28"/>
    </row>
    <row r="6496">
      <c r="A6496" s="14"/>
      <c r="B6496" s="15"/>
      <c r="C6496" s="16"/>
      <c r="D6496" s="15"/>
      <c r="F6496" s="15"/>
      <c r="G6496" s="26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8"/>
      <c r="X6496" s="28"/>
      <c r="Y6496" s="28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28"/>
      <c r="AS6496" s="28"/>
      <c r="AT6496" s="28"/>
    </row>
    <row r="6497">
      <c r="A6497" s="14"/>
      <c r="B6497" s="15"/>
      <c r="C6497" s="16"/>
      <c r="D6497" s="15"/>
      <c r="F6497" s="15"/>
      <c r="G6497" s="26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8"/>
      <c r="X6497" s="28"/>
      <c r="Y6497" s="28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28"/>
      <c r="AS6497" s="28"/>
      <c r="AT6497" s="28"/>
    </row>
    <row r="6498">
      <c r="A6498" s="14"/>
      <c r="B6498" s="15"/>
      <c r="C6498" s="16"/>
      <c r="D6498" s="15"/>
      <c r="F6498" s="15"/>
      <c r="G6498" s="26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8"/>
      <c r="X6498" s="28"/>
      <c r="Y6498" s="28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28"/>
      <c r="AS6498" s="28"/>
      <c r="AT6498" s="28"/>
    </row>
    <row r="6499">
      <c r="A6499" s="14"/>
      <c r="B6499" s="15"/>
      <c r="C6499" s="16"/>
      <c r="D6499" s="15"/>
      <c r="F6499" s="15"/>
      <c r="G6499" s="26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8"/>
      <c r="X6499" s="28"/>
      <c r="Y6499" s="28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28"/>
      <c r="AS6499" s="28"/>
      <c r="AT6499" s="28"/>
    </row>
    <row r="6500">
      <c r="A6500" s="14"/>
      <c r="B6500" s="15"/>
      <c r="C6500" s="16"/>
      <c r="D6500" s="15"/>
      <c r="F6500" s="15"/>
      <c r="G6500" s="26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8"/>
      <c r="X6500" s="28"/>
      <c r="Y6500" s="28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28"/>
      <c r="AS6500" s="28"/>
      <c r="AT6500" s="28"/>
    </row>
    <row r="6501">
      <c r="A6501" s="14"/>
      <c r="B6501" s="15"/>
      <c r="C6501" s="16"/>
      <c r="D6501" s="15"/>
      <c r="F6501" s="15"/>
      <c r="G6501" s="26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8"/>
      <c r="X6501" s="28"/>
      <c r="Y6501" s="28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28"/>
      <c r="AS6501" s="28"/>
      <c r="AT6501" s="28"/>
    </row>
    <row r="6502">
      <c r="A6502" s="14"/>
      <c r="B6502" s="15"/>
      <c r="C6502" s="16"/>
      <c r="D6502" s="15"/>
      <c r="F6502" s="15"/>
      <c r="G6502" s="26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8"/>
      <c r="X6502" s="28"/>
      <c r="Y6502" s="28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28"/>
      <c r="AS6502" s="28"/>
      <c r="AT6502" s="28"/>
    </row>
    <row r="6503">
      <c r="A6503" s="14"/>
      <c r="B6503" s="15"/>
      <c r="C6503" s="16"/>
      <c r="D6503" s="15"/>
      <c r="F6503" s="15"/>
      <c r="G6503" s="26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8"/>
      <c r="X6503" s="28"/>
      <c r="Y6503" s="28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28"/>
      <c r="AS6503" s="28"/>
      <c r="AT6503" s="28"/>
    </row>
    <row r="6504">
      <c r="A6504" s="14"/>
      <c r="B6504" s="15"/>
      <c r="C6504" s="16"/>
      <c r="D6504" s="15"/>
      <c r="F6504" s="15"/>
      <c r="G6504" s="26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8"/>
      <c r="X6504" s="28"/>
      <c r="Y6504" s="28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28"/>
      <c r="AS6504" s="28"/>
      <c r="AT6504" s="28"/>
    </row>
    <row r="6505">
      <c r="A6505" s="14"/>
      <c r="B6505" s="15"/>
      <c r="C6505" s="16"/>
      <c r="D6505" s="15"/>
      <c r="F6505" s="15"/>
      <c r="G6505" s="26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8"/>
      <c r="X6505" s="28"/>
      <c r="Y6505" s="28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28"/>
      <c r="AS6505" s="28"/>
      <c r="AT6505" s="28"/>
    </row>
    <row r="6506">
      <c r="A6506" s="14"/>
      <c r="B6506" s="15"/>
      <c r="C6506" s="16"/>
      <c r="D6506" s="15"/>
      <c r="F6506" s="15"/>
      <c r="G6506" s="26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8"/>
      <c r="X6506" s="28"/>
      <c r="Y6506" s="28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28"/>
      <c r="AS6506" s="28"/>
      <c r="AT6506" s="28"/>
    </row>
    <row r="6507">
      <c r="A6507" s="14"/>
      <c r="B6507" s="15"/>
      <c r="C6507" s="16"/>
      <c r="D6507" s="15"/>
      <c r="F6507" s="15"/>
      <c r="G6507" s="26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8"/>
      <c r="X6507" s="28"/>
      <c r="Y6507" s="28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28"/>
      <c r="AS6507" s="28"/>
      <c r="AT6507" s="28"/>
    </row>
    <row r="6508">
      <c r="A6508" s="14"/>
      <c r="B6508" s="15"/>
      <c r="C6508" s="16"/>
      <c r="D6508" s="15"/>
      <c r="F6508" s="15"/>
      <c r="G6508" s="26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8"/>
      <c r="X6508" s="28"/>
      <c r="Y6508" s="28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28"/>
      <c r="AS6508" s="28"/>
      <c r="AT6508" s="28"/>
    </row>
    <row r="6509">
      <c r="A6509" s="14"/>
      <c r="B6509" s="15"/>
      <c r="C6509" s="16"/>
      <c r="D6509" s="15"/>
      <c r="F6509" s="15"/>
      <c r="G6509" s="26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8"/>
      <c r="X6509" s="28"/>
      <c r="Y6509" s="28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28"/>
      <c r="AS6509" s="28"/>
      <c r="AT6509" s="28"/>
    </row>
    <row r="6510">
      <c r="A6510" s="14"/>
      <c r="B6510" s="15"/>
      <c r="C6510" s="16"/>
      <c r="D6510" s="15"/>
      <c r="F6510" s="15"/>
      <c r="G6510" s="26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8"/>
      <c r="X6510" s="28"/>
      <c r="Y6510" s="28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28"/>
      <c r="AS6510" s="28"/>
      <c r="AT6510" s="28"/>
    </row>
    <row r="6511">
      <c r="A6511" s="14"/>
      <c r="B6511" s="15"/>
      <c r="C6511" s="16"/>
      <c r="D6511" s="15"/>
      <c r="F6511" s="15"/>
      <c r="G6511" s="26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8"/>
      <c r="X6511" s="28"/>
      <c r="Y6511" s="28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28"/>
      <c r="AS6511" s="28"/>
      <c r="AT6511" s="28"/>
    </row>
    <row r="6512">
      <c r="A6512" s="14"/>
      <c r="B6512" s="15"/>
      <c r="C6512" s="16"/>
      <c r="D6512" s="15"/>
      <c r="F6512" s="15"/>
      <c r="G6512" s="26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8"/>
      <c r="X6512" s="28"/>
      <c r="Y6512" s="28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28"/>
      <c r="AS6512" s="28"/>
      <c r="AT6512" s="28"/>
    </row>
    <row r="6513">
      <c r="A6513" s="14"/>
      <c r="B6513" s="15"/>
      <c r="C6513" s="16"/>
      <c r="D6513" s="15"/>
      <c r="F6513" s="15"/>
      <c r="G6513" s="26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8"/>
      <c r="X6513" s="28"/>
      <c r="Y6513" s="28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28"/>
      <c r="AS6513" s="28"/>
      <c r="AT6513" s="28"/>
    </row>
    <row r="6514">
      <c r="A6514" s="14"/>
      <c r="B6514" s="15"/>
      <c r="C6514" s="16"/>
      <c r="D6514" s="15"/>
      <c r="F6514" s="15"/>
      <c r="G6514" s="26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8"/>
      <c r="X6514" s="28"/>
      <c r="Y6514" s="28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28"/>
      <c r="AS6514" s="28"/>
      <c r="AT6514" s="28"/>
    </row>
    <row r="6515">
      <c r="A6515" s="14"/>
      <c r="B6515" s="15"/>
      <c r="C6515" s="16"/>
      <c r="D6515" s="15"/>
      <c r="F6515" s="15"/>
      <c r="G6515" s="26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8"/>
      <c r="X6515" s="28"/>
      <c r="Y6515" s="28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28"/>
      <c r="AS6515" s="28"/>
      <c r="AT6515" s="28"/>
    </row>
    <row r="6516">
      <c r="A6516" s="14"/>
      <c r="B6516" s="15"/>
      <c r="C6516" s="16"/>
      <c r="D6516" s="15"/>
      <c r="F6516" s="15"/>
      <c r="G6516" s="26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8"/>
      <c r="X6516" s="28"/>
      <c r="Y6516" s="28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28"/>
      <c r="AS6516" s="28"/>
      <c r="AT6516" s="28"/>
    </row>
    <row r="6517">
      <c r="A6517" s="14"/>
      <c r="B6517" s="15"/>
      <c r="C6517" s="16"/>
      <c r="D6517" s="15"/>
      <c r="F6517" s="15"/>
      <c r="G6517" s="26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8"/>
      <c r="X6517" s="28"/>
      <c r="Y6517" s="28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28"/>
      <c r="AS6517" s="28"/>
      <c r="AT6517" s="28"/>
    </row>
    <row r="6518">
      <c r="A6518" s="14"/>
      <c r="B6518" s="15"/>
      <c r="C6518" s="16"/>
      <c r="D6518" s="15"/>
      <c r="F6518" s="15"/>
      <c r="G6518" s="26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8"/>
      <c r="X6518" s="28"/>
      <c r="Y6518" s="28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28"/>
      <c r="AS6518" s="28"/>
      <c r="AT6518" s="28"/>
    </row>
    <row r="6519">
      <c r="A6519" s="14"/>
      <c r="B6519" s="15"/>
      <c r="C6519" s="16"/>
      <c r="D6519" s="15"/>
      <c r="F6519" s="15"/>
      <c r="G6519" s="26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8"/>
      <c r="X6519" s="28"/>
      <c r="Y6519" s="28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28"/>
      <c r="AS6519" s="28"/>
      <c r="AT6519" s="28"/>
    </row>
    <row r="6520">
      <c r="A6520" s="14"/>
      <c r="B6520" s="15"/>
      <c r="C6520" s="16"/>
      <c r="D6520" s="15"/>
      <c r="F6520" s="15"/>
      <c r="G6520" s="26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8"/>
      <c r="X6520" s="28"/>
      <c r="Y6520" s="28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28"/>
      <c r="AS6520" s="28"/>
      <c r="AT6520" s="28"/>
    </row>
    <row r="6521">
      <c r="A6521" s="14"/>
      <c r="B6521" s="15"/>
      <c r="C6521" s="16"/>
      <c r="D6521" s="15"/>
      <c r="F6521" s="15"/>
      <c r="G6521" s="26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8"/>
      <c r="X6521" s="28"/>
      <c r="Y6521" s="28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28"/>
      <c r="AS6521" s="28"/>
      <c r="AT6521" s="28"/>
    </row>
    <row r="6522">
      <c r="A6522" s="14"/>
      <c r="B6522" s="15"/>
      <c r="C6522" s="16"/>
      <c r="D6522" s="15"/>
      <c r="F6522" s="15"/>
      <c r="G6522" s="26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8"/>
      <c r="X6522" s="28"/>
      <c r="Y6522" s="28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28"/>
      <c r="AS6522" s="28"/>
      <c r="AT6522" s="28"/>
    </row>
    <row r="6523">
      <c r="A6523" s="14"/>
      <c r="B6523" s="15"/>
      <c r="C6523" s="16"/>
      <c r="D6523" s="15"/>
      <c r="F6523" s="15"/>
      <c r="G6523" s="26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8"/>
      <c r="X6523" s="28"/>
      <c r="Y6523" s="28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28"/>
      <c r="AS6523" s="28"/>
      <c r="AT6523" s="28"/>
    </row>
    <row r="6524">
      <c r="A6524" s="14"/>
      <c r="B6524" s="15"/>
      <c r="C6524" s="16"/>
      <c r="D6524" s="15"/>
      <c r="F6524" s="15"/>
      <c r="G6524" s="26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8"/>
      <c r="X6524" s="28"/>
      <c r="Y6524" s="28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28"/>
      <c r="AS6524" s="28"/>
      <c r="AT6524" s="28"/>
    </row>
    <row r="6525">
      <c r="A6525" s="14"/>
      <c r="B6525" s="15"/>
      <c r="C6525" s="16"/>
      <c r="D6525" s="15"/>
      <c r="F6525" s="15"/>
      <c r="G6525" s="26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8"/>
      <c r="X6525" s="28"/>
      <c r="Y6525" s="28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28"/>
      <c r="AS6525" s="28"/>
      <c r="AT6525" s="28"/>
    </row>
    <row r="6526">
      <c r="A6526" s="14"/>
      <c r="B6526" s="15"/>
      <c r="C6526" s="16"/>
      <c r="D6526" s="15"/>
      <c r="F6526" s="15"/>
      <c r="G6526" s="26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8"/>
      <c r="X6526" s="28"/>
      <c r="Y6526" s="28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28"/>
      <c r="AS6526" s="28"/>
      <c r="AT6526" s="28"/>
    </row>
    <row r="6527">
      <c r="A6527" s="14"/>
      <c r="B6527" s="15"/>
      <c r="C6527" s="16"/>
      <c r="D6527" s="15"/>
      <c r="F6527" s="15"/>
      <c r="G6527" s="26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8"/>
      <c r="X6527" s="28"/>
      <c r="Y6527" s="28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28"/>
      <c r="AS6527" s="28"/>
      <c r="AT6527" s="28"/>
    </row>
    <row r="6528">
      <c r="A6528" s="14"/>
      <c r="B6528" s="15"/>
      <c r="C6528" s="16"/>
      <c r="D6528" s="15"/>
      <c r="F6528" s="15"/>
      <c r="G6528" s="26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8"/>
      <c r="X6528" s="28"/>
      <c r="Y6528" s="28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28"/>
      <c r="AS6528" s="28"/>
      <c r="AT6528" s="28"/>
    </row>
    <row r="6529">
      <c r="A6529" s="14"/>
      <c r="B6529" s="15"/>
      <c r="C6529" s="16"/>
      <c r="D6529" s="15"/>
      <c r="F6529" s="15"/>
      <c r="G6529" s="26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8"/>
      <c r="X6529" s="28"/>
      <c r="Y6529" s="28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28"/>
      <c r="AS6529" s="28"/>
      <c r="AT6529" s="28"/>
    </row>
    <row r="6530">
      <c r="A6530" s="14"/>
      <c r="B6530" s="15"/>
      <c r="C6530" s="16"/>
      <c r="D6530" s="15"/>
      <c r="F6530" s="15"/>
      <c r="G6530" s="26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8"/>
      <c r="X6530" s="28"/>
      <c r="Y6530" s="28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28"/>
      <c r="AS6530" s="28"/>
      <c r="AT6530" s="28"/>
    </row>
    <row r="6531">
      <c r="A6531" s="14"/>
      <c r="B6531" s="15"/>
      <c r="C6531" s="16"/>
      <c r="D6531" s="15"/>
      <c r="F6531" s="15"/>
      <c r="G6531" s="26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8"/>
      <c r="X6531" s="28"/>
      <c r="Y6531" s="28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28"/>
      <c r="AS6531" s="28"/>
      <c r="AT6531" s="28"/>
    </row>
    <row r="6532">
      <c r="A6532" s="14"/>
      <c r="B6532" s="15"/>
      <c r="C6532" s="16"/>
      <c r="D6532" s="15"/>
      <c r="F6532" s="15"/>
      <c r="G6532" s="26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8"/>
      <c r="X6532" s="28"/>
      <c r="Y6532" s="28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28"/>
      <c r="AS6532" s="28"/>
      <c r="AT6532" s="28"/>
    </row>
    <row r="6533">
      <c r="A6533" s="14"/>
      <c r="B6533" s="15"/>
      <c r="C6533" s="16"/>
      <c r="D6533" s="15"/>
      <c r="F6533" s="15"/>
      <c r="G6533" s="26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8"/>
      <c r="X6533" s="28"/>
      <c r="Y6533" s="28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28"/>
      <c r="AS6533" s="28"/>
      <c r="AT6533" s="28"/>
    </row>
    <row r="6534">
      <c r="A6534" s="14"/>
      <c r="B6534" s="15"/>
      <c r="C6534" s="16"/>
      <c r="D6534" s="15"/>
      <c r="F6534" s="15"/>
      <c r="G6534" s="26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8"/>
      <c r="X6534" s="28"/>
      <c r="Y6534" s="28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28"/>
      <c r="AS6534" s="28"/>
      <c r="AT6534" s="28"/>
    </row>
    <row r="6535">
      <c r="A6535" s="14"/>
      <c r="B6535" s="15"/>
      <c r="C6535" s="16"/>
      <c r="D6535" s="15"/>
      <c r="F6535" s="15"/>
      <c r="G6535" s="26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8"/>
      <c r="X6535" s="28"/>
      <c r="Y6535" s="28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28"/>
      <c r="AS6535" s="28"/>
      <c r="AT6535" s="28"/>
    </row>
    <row r="6536">
      <c r="A6536" s="14"/>
      <c r="B6536" s="15"/>
      <c r="C6536" s="16"/>
      <c r="D6536" s="15"/>
      <c r="F6536" s="15"/>
      <c r="G6536" s="26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8"/>
      <c r="X6536" s="28"/>
      <c r="Y6536" s="28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28"/>
      <c r="AS6536" s="28"/>
      <c r="AT6536" s="28"/>
    </row>
    <row r="6537">
      <c r="A6537" s="14"/>
      <c r="B6537" s="15"/>
      <c r="C6537" s="16"/>
      <c r="D6537" s="15"/>
      <c r="F6537" s="15"/>
      <c r="G6537" s="26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8"/>
      <c r="X6537" s="28"/>
      <c r="Y6537" s="28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28"/>
      <c r="AS6537" s="28"/>
      <c r="AT6537" s="28"/>
    </row>
    <row r="6538">
      <c r="A6538" s="14"/>
      <c r="B6538" s="15"/>
      <c r="C6538" s="16"/>
      <c r="D6538" s="15"/>
      <c r="F6538" s="15"/>
      <c r="G6538" s="26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8"/>
      <c r="X6538" s="28"/>
      <c r="Y6538" s="28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28"/>
      <c r="AS6538" s="28"/>
      <c r="AT6538" s="28"/>
    </row>
    <row r="6539">
      <c r="A6539" s="14"/>
      <c r="B6539" s="15"/>
      <c r="C6539" s="16"/>
      <c r="D6539" s="15"/>
      <c r="F6539" s="15"/>
      <c r="G6539" s="26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8"/>
      <c r="X6539" s="28"/>
      <c r="Y6539" s="28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28"/>
      <c r="AS6539" s="28"/>
      <c r="AT6539" s="28"/>
    </row>
    <row r="6540">
      <c r="A6540" s="14"/>
      <c r="B6540" s="15"/>
      <c r="C6540" s="16"/>
      <c r="D6540" s="15"/>
      <c r="F6540" s="15"/>
      <c r="G6540" s="26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8"/>
      <c r="X6540" s="28"/>
      <c r="Y6540" s="28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28"/>
      <c r="AS6540" s="28"/>
      <c r="AT6540" s="28"/>
    </row>
    <row r="6541">
      <c r="A6541" s="14"/>
      <c r="B6541" s="15"/>
      <c r="C6541" s="16"/>
      <c r="D6541" s="15"/>
      <c r="F6541" s="15"/>
      <c r="G6541" s="26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8"/>
      <c r="X6541" s="28"/>
      <c r="Y6541" s="28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28"/>
      <c r="AS6541" s="28"/>
      <c r="AT6541" s="28"/>
    </row>
    <row r="6542">
      <c r="A6542" s="14"/>
      <c r="B6542" s="15"/>
      <c r="C6542" s="16"/>
      <c r="D6542" s="15"/>
      <c r="F6542" s="15"/>
      <c r="G6542" s="26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8"/>
      <c r="X6542" s="28"/>
      <c r="Y6542" s="28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28"/>
      <c r="AS6542" s="28"/>
      <c r="AT6542" s="28"/>
    </row>
    <row r="6543">
      <c r="A6543" s="14"/>
      <c r="B6543" s="15"/>
      <c r="C6543" s="16"/>
      <c r="D6543" s="15"/>
      <c r="F6543" s="15"/>
      <c r="G6543" s="26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8"/>
      <c r="X6543" s="28"/>
      <c r="Y6543" s="28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28"/>
      <c r="AS6543" s="28"/>
      <c r="AT6543" s="28"/>
    </row>
    <row r="6544">
      <c r="A6544" s="14"/>
      <c r="B6544" s="15"/>
      <c r="C6544" s="16"/>
      <c r="D6544" s="15"/>
      <c r="F6544" s="15"/>
      <c r="G6544" s="26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8"/>
      <c r="X6544" s="28"/>
      <c r="Y6544" s="28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28"/>
      <c r="AS6544" s="28"/>
      <c r="AT6544" s="28"/>
    </row>
    <row r="6545">
      <c r="A6545" s="14"/>
      <c r="B6545" s="15"/>
      <c r="C6545" s="16"/>
      <c r="D6545" s="15"/>
      <c r="F6545" s="15"/>
      <c r="G6545" s="26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8"/>
      <c r="X6545" s="28"/>
      <c r="Y6545" s="28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28"/>
      <c r="AS6545" s="28"/>
      <c r="AT6545" s="28"/>
    </row>
    <row r="6546">
      <c r="A6546" s="14"/>
      <c r="B6546" s="15"/>
      <c r="C6546" s="16"/>
      <c r="D6546" s="15"/>
      <c r="F6546" s="15"/>
      <c r="G6546" s="26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8"/>
      <c r="X6546" s="28"/>
      <c r="Y6546" s="28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28"/>
      <c r="AS6546" s="28"/>
      <c r="AT6546" s="28"/>
    </row>
    <row r="6547">
      <c r="A6547" s="14"/>
      <c r="B6547" s="15"/>
      <c r="C6547" s="16"/>
      <c r="D6547" s="15"/>
      <c r="F6547" s="15"/>
      <c r="G6547" s="26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8"/>
      <c r="X6547" s="28"/>
      <c r="Y6547" s="28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28"/>
      <c r="AS6547" s="28"/>
      <c r="AT6547" s="28"/>
    </row>
    <row r="6548">
      <c r="A6548" s="14"/>
      <c r="B6548" s="15"/>
      <c r="C6548" s="16"/>
      <c r="D6548" s="15"/>
      <c r="F6548" s="15"/>
      <c r="G6548" s="26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8"/>
      <c r="X6548" s="28"/>
      <c r="Y6548" s="28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28"/>
      <c r="AS6548" s="28"/>
      <c r="AT6548" s="28"/>
    </row>
    <row r="6549">
      <c r="A6549" s="14"/>
      <c r="B6549" s="15"/>
      <c r="C6549" s="16"/>
      <c r="D6549" s="15"/>
      <c r="F6549" s="15"/>
      <c r="G6549" s="26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8"/>
      <c r="X6549" s="28"/>
      <c r="Y6549" s="28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28"/>
      <c r="AS6549" s="28"/>
      <c r="AT6549" s="28"/>
    </row>
    <row r="6550">
      <c r="A6550" s="14"/>
      <c r="B6550" s="15"/>
      <c r="C6550" s="16"/>
      <c r="D6550" s="15"/>
      <c r="F6550" s="15"/>
      <c r="G6550" s="26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8"/>
      <c r="X6550" s="28"/>
      <c r="Y6550" s="28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28"/>
      <c r="AS6550" s="28"/>
      <c r="AT6550" s="28"/>
    </row>
    <row r="6551">
      <c r="A6551" s="14"/>
      <c r="B6551" s="15"/>
      <c r="C6551" s="16"/>
      <c r="D6551" s="15"/>
      <c r="F6551" s="15"/>
      <c r="G6551" s="26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8"/>
      <c r="X6551" s="28"/>
      <c r="Y6551" s="28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28"/>
      <c r="AS6551" s="28"/>
      <c r="AT6551" s="28"/>
    </row>
    <row r="6552">
      <c r="A6552" s="14"/>
      <c r="B6552" s="15"/>
      <c r="C6552" s="16"/>
      <c r="D6552" s="15"/>
      <c r="F6552" s="15"/>
      <c r="G6552" s="26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8"/>
      <c r="X6552" s="28"/>
      <c r="Y6552" s="28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28"/>
      <c r="AS6552" s="28"/>
      <c r="AT6552" s="28"/>
    </row>
    <row r="6553">
      <c r="A6553" s="14"/>
      <c r="B6553" s="15"/>
      <c r="C6553" s="16"/>
      <c r="D6553" s="15"/>
      <c r="F6553" s="15"/>
      <c r="G6553" s="26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8"/>
      <c r="X6553" s="28"/>
      <c r="Y6553" s="28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28"/>
      <c r="AS6553" s="28"/>
      <c r="AT6553" s="28"/>
    </row>
    <row r="6554">
      <c r="A6554" s="14"/>
      <c r="B6554" s="15"/>
      <c r="C6554" s="16"/>
      <c r="D6554" s="15"/>
      <c r="F6554" s="15"/>
      <c r="G6554" s="26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8"/>
      <c r="X6554" s="28"/>
      <c r="Y6554" s="28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28"/>
      <c r="AS6554" s="28"/>
      <c r="AT6554" s="28"/>
    </row>
    <row r="6555">
      <c r="A6555" s="14"/>
      <c r="B6555" s="15"/>
      <c r="C6555" s="16"/>
      <c r="D6555" s="15"/>
      <c r="F6555" s="15"/>
      <c r="G6555" s="26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8"/>
      <c r="X6555" s="28"/>
      <c r="Y6555" s="28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28"/>
      <c r="AS6555" s="28"/>
      <c r="AT6555" s="28"/>
    </row>
    <row r="6556">
      <c r="A6556" s="14"/>
      <c r="B6556" s="15"/>
      <c r="C6556" s="16"/>
      <c r="D6556" s="15"/>
      <c r="F6556" s="15"/>
      <c r="G6556" s="26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8"/>
      <c r="X6556" s="28"/>
      <c r="Y6556" s="28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28"/>
      <c r="AS6556" s="28"/>
      <c r="AT6556" s="28"/>
    </row>
    <row r="6557">
      <c r="A6557" s="14"/>
      <c r="B6557" s="15"/>
      <c r="C6557" s="16"/>
      <c r="D6557" s="15"/>
      <c r="F6557" s="15"/>
      <c r="G6557" s="26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8"/>
      <c r="X6557" s="28"/>
      <c r="Y6557" s="28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28"/>
      <c r="AS6557" s="28"/>
      <c r="AT6557" s="28"/>
    </row>
    <row r="6558">
      <c r="A6558" s="14"/>
      <c r="B6558" s="15"/>
      <c r="C6558" s="16"/>
      <c r="D6558" s="15"/>
      <c r="F6558" s="15"/>
      <c r="G6558" s="26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8"/>
      <c r="X6558" s="28"/>
      <c r="Y6558" s="28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28"/>
      <c r="AS6558" s="28"/>
      <c r="AT6558" s="28"/>
    </row>
    <row r="6559">
      <c r="A6559" s="14"/>
      <c r="B6559" s="15"/>
      <c r="C6559" s="16"/>
      <c r="D6559" s="15"/>
      <c r="F6559" s="15"/>
      <c r="G6559" s="26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28"/>
      <c r="AS6559" s="28"/>
      <c r="AT6559" s="28"/>
    </row>
    <row r="6560">
      <c r="A6560" s="14"/>
      <c r="B6560" s="15"/>
      <c r="C6560" s="16"/>
      <c r="D6560" s="15"/>
      <c r="F6560" s="15"/>
      <c r="G6560" s="26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8"/>
      <c r="X6560" s="28"/>
      <c r="Y6560" s="28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28"/>
      <c r="AS6560" s="28"/>
      <c r="AT6560" s="28"/>
    </row>
    <row r="6561">
      <c r="A6561" s="14"/>
      <c r="B6561" s="15"/>
      <c r="C6561" s="16"/>
      <c r="D6561" s="15"/>
      <c r="F6561" s="15"/>
      <c r="G6561" s="26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8"/>
      <c r="X6561" s="28"/>
      <c r="Y6561" s="28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28"/>
      <c r="AS6561" s="28"/>
      <c r="AT6561" s="28"/>
    </row>
    <row r="6562">
      <c r="A6562" s="14"/>
      <c r="B6562" s="15"/>
      <c r="C6562" s="16"/>
      <c r="D6562" s="15"/>
      <c r="F6562" s="15"/>
      <c r="G6562" s="26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8"/>
      <c r="X6562" s="28"/>
      <c r="Y6562" s="28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28"/>
      <c r="AS6562" s="28"/>
      <c r="AT6562" s="28"/>
    </row>
    <row r="6563">
      <c r="A6563" s="14"/>
      <c r="B6563" s="15"/>
      <c r="C6563" s="16"/>
      <c r="D6563" s="15"/>
      <c r="F6563" s="15"/>
      <c r="G6563" s="26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8"/>
      <c r="X6563" s="28"/>
      <c r="Y6563" s="28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28"/>
      <c r="AS6563" s="28"/>
      <c r="AT6563" s="28"/>
    </row>
    <row r="6564">
      <c r="A6564" s="14"/>
      <c r="B6564" s="15"/>
      <c r="C6564" s="16"/>
      <c r="D6564" s="15"/>
      <c r="F6564" s="15"/>
      <c r="G6564" s="26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8"/>
      <c r="X6564" s="28"/>
      <c r="Y6564" s="28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28"/>
      <c r="AS6564" s="28"/>
      <c r="AT6564" s="28"/>
    </row>
    <row r="6565">
      <c r="A6565" s="14"/>
      <c r="B6565" s="15"/>
      <c r="C6565" s="16"/>
      <c r="D6565" s="15"/>
      <c r="F6565" s="15"/>
      <c r="G6565" s="26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8"/>
      <c r="X6565" s="28"/>
      <c r="Y6565" s="28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28"/>
      <c r="AS6565" s="28"/>
      <c r="AT6565" s="28"/>
    </row>
    <row r="6566">
      <c r="A6566" s="14"/>
      <c r="B6566" s="15"/>
      <c r="C6566" s="16"/>
      <c r="D6566" s="15"/>
      <c r="F6566" s="15"/>
      <c r="G6566" s="26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8"/>
      <c r="X6566" s="28"/>
      <c r="Y6566" s="28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28"/>
      <c r="AS6566" s="28"/>
      <c r="AT6566" s="28"/>
    </row>
    <row r="6567">
      <c r="A6567" s="14"/>
      <c r="B6567" s="15"/>
      <c r="C6567" s="16"/>
      <c r="D6567" s="15"/>
      <c r="F6567" s="15"/>
      <c r="G6567" s="26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8"/>
      <c r="X6567" s="28"/>
      <c r="Y6567" s="28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28"/>
      <c r="AS6567" s="28"/>
      <c r="AT6567" s="28"/>
    </row>
    <row r="6568">
      <c r="A6568" s="14"/>
      <c r="B6568" s="15"/>
      <c r="C6568" s="16"/>
      <c r="D6568" s="15"/>
      <c r="F6568" s="15"/>
      <c r="G6568" s="26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8"/>
      <c r="X6568" s="28"/>
      <c r="Y6568" s="28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28"/>
      <c r="AS6568" s="28"/>
      <c r="AT6568" s="28"/>
    </row>
    <row r="6569">
      <c r="A6569" s="14"/>
      <c r="B6569" s="15"/>
      <c r="C6569" s="16"/>
      <c r="D6569" s="15"/>
      <c r="F6569" s="15"/>
      <c r="G6569" s="26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8"/>
      <c r="X6569" s="28"/>
      <c r="Y6569" s="28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28"/>
      <c r="AS6569" s="28"/>
      <c r="AT6569" s="28"/>
    </row>
    <row r="6570">
      <c r="A6570" s="14"/>
      <c r="B6570" s="15"/>
      <c r="C6570" s="16"/>
      <c r="D6570" s="15"/>
      <c r="F6570" s="15"/>
      <c r="G6570" s="26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8"/>
      <c r="X6570" s="28"/>
      <c r="Y6570" s="28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28"/>
      <c r="AS6570" s="28"/>
      <c r="AT6570" s="28"/>
    </row>
    <row r="6571">
      <c r="A6571" s="14"/>
      <c r="B6571" s="15"/>
      <c r="C6571" s="16"/>
      <c r="D6571" s="15"/>
      <c r="F6571" s="15"/>
      <c r="G6571" s="26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8"/>
      <c r="X6571" s="28"/>
      <c r="Y6571" s="28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28"/>
      <c r="AS6571" s="28"/>
      <c r="AT6571" s="28"/>
    </row>
    <row r="6572">
      <c r="A6572" s="14"/>
      <c r="B6572" s="15"/>
      <c r="C6572" s="16"/>
      <c r="D6572" s="15"/>
      <c r="F6572" s="15"/>
      <c r="G6572" s="26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8"/>
      <c r="X6572" s="28"/>
      <c r="Y6572" s="28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28"/>
      <c r="AS6572" s="28"/>
      <c r="AT6572" s="28"/>
    </row>
    <row r="6573">
      <c r="A6573" s="14"/>
      <c r="B6573" s="15"/>
      <c r="C6573" s="16"/>
      <c r="D6573" s="15"/>
      <c r="F6573" s="15"/>
      <c r="G6573" s="26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28"/>
      <c r="AS6573" s="28"/>
      <c r="AT6573" s="28"/>
    </row>
    <row r="6574">
      <c r="A6574" s="14"/>
      <c r="B6574" s="15"/>
      <c r="C6574" s="16"/>
      <c r="D6574" s="15"/>
      <c r="F6574" s="15"/>
      <c r="G6574" s="26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8"/>
      <c r="X6574" s="28"/>
      <c r="Y6574" s="28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28"/>
      <c r="AS6574" s="28"/>
      <c r="AT6574" s="28"/>
    </row>
    <row r="6575">
      <c r="A6575" s="14"/>
      <c r="B6575" s="15"/>
      <c r="C6575" s="16"/>
      <c r="D6575" s="15"/>
      <c r="F6575" s="15"/>
      <c r="G6575" s="26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8"/>
      <c r="X6575" s="28"/>
      <c r="Y6575" s="28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28"/>
      <c r="AS6575" s="28"/>
      <c r="AT6575" s="28"/>
    </row>
    <row r="6576">
      <c r="A6576" s="14"/>
      <c r="B6576" s="15"/>
      <c r="C6576" s="16"/>
      <c r="D6576" s="15"/>
      <c r="F6576" s="15"/>
      <c r="G6576" s="26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8"/>
      <c r="X6576" s="28"/>
      <c r="Y6576" s="28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28"/>
      <c r="AS6576" s="28"/>
      <c r="AT6576" s="28"/>
    </row>
    <row r="6577">
      <c r="A6577" s="14"/>
      <c r="B6577" s="15"/>
      <c r="C6577" s="16"/>
      <c r="D6577" s="15"/>
      <c r="F6577" s="15"/>
      <c r="G6577" s="26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8"/>
      <c r="X6577" s="28"/>
      <c r="Y6577" s="28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28"/>
      <c r="AS6577" s="28"/>
      <c r="AT6577" s="28"/>
    </row>
    <row r="6578">
      <c r="A6578" s="14"/>
      <c r="B6578" s="15"/>
      <c r="C6578" s="16"/>
      <c r="D6578" s="15"/>
      <c r="F6578" s="15"/>
      <c r="G6578" s="26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8"/>
      <c r="X6578" s="28"/>
      <c r="Y6578" s="28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28"/>
      <c r="AS6578" s="28"/>
      <c r="AT6578" s="28"/>
    </row>
    <row r="6579">
      <c r="A6579" s="14"/>
      <c r="B6579" s="15"/>
      <c r="C6579" s="16"/>
      <c r="D6579" s="15"/>
      <c r="F6579" s="15"/>
      <c r="G6579" s="26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8"/>
      <c r="X6579" s="28"/>
      <c r="Y6579" s="28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28"/>
      <c r="AS6579" s="28"/>
      <c r="AT6579" s="28"/>
    </row>
    <row r="6580">
      <c r="A6580" s="14"/>
      <c r="B6580" s="15"/>
      <c r="C6580" s="16"/>
      <c r="D6580" s="15"/>
      <c r="F6580" s="15"/>
      <c r="G6580" s="26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8"/>
      <c r="X6580" s="28"/>
      <c r="Y6580" s="28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28"/>
      <c r="AS6580" s="28"/>
      <c r="AT6580" s="28"/>
    </row>
    <row r="6581">
      <c r="A6581" s="14"/>
      <c r="B6581" s="15"/>
      <c r="C6581" s="16"/>
      <c r="D6581" s="15"/>
      <c r="F6581" s="15"/>
      <c r="G6581" s="26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8"/>
      <c r="X6581" s="28"/>
      <c r="Y6581" s="28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28"/>
      <c r="AS6581" s="28"/>
      <c r="AT6581" s="28"/>
    </row>
    <row r="6582">
      <c r="A6582" s="14"/>
      <c r="B6582" s="15"/>
      <c r="C6582" s="16"/>
      <c r="D6582" s="15"/>
      <c r="F6582" s="15"/>
      <c r="G6582" s="26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8"/>
      <c r="X6582" s="28"/>
      <c r="Y6582" s="28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28"/>
      <c r="AS6582" s="28"/>
      <c r="AT6582" s="28"/>
    </row>
    <row r="6583">
      <c r="A6583" s="14"/>
      <c r="B6583" s="15"/>
      <c r="C6583" s="16"/>
      <c r="D6583" s="15"/>
      <c r="F6583" s="15"/>
      <c r="G6583" s="26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8"/>
      <c r="X6583" s="28"/>
      <c r="Y6583" s="28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28"/>
      <c r="AS6583" s="28"/>
      <c r="AT6583" s="28"/>
    </row>
    <row r="6584">
      <c r="A6584" s="14"/>
      <c r="B6584" s="15"/>
      <c r="C6584" s="16"/>
      <c r="D6584" s="15"/>
      <c r="F6584" s="15"/>
      <c r="G6584" s="26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8"/>
      <c r="X6584" s="28"/>
      <c r="Y6584" s="28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28"/>
      <c r="AS6584" s="28"/>
      <c r="AT6584" s="28"/>
    </row>
    <row r="6585">
      <c r="A6585" s="14"/>
      <c r="B6585" s="15"/>
      <c r="C6585" s="16"/>
      <c r="D6585" s="15"/>
      <c r="F6585" s="15"/>
      <c r="G6585" s="26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8"/>
      <c r="X6585" s="28"/>
      <c r="Y6585" s="28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28"/>
      <c r="AS6585" s="28"/>
      <c r="AT6585" s="28"/>
    </row>
    <row r="6586">
      <c r="A6586" s="14"/>
      <c r="B6586" s="15"/>
      <c r="C6586" s="16"/>
      <c r="D6586" s="15"/>
      <c r="F6586" s="15"/>
      <c r="G6586" s="26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8"/>
      <c r="X6586" s="28"/>
      <c r="Y6586" s="28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28"/>
      <c r="AS6586" s="28"/>
      <c r="AT6586" s="28"/>
    </row>
    <row r="6587">
      <c r="A6587" s="14"/>
      <c r="B6587" s="15"/>
      <c r="C6587" s="16"/>
      <c r="D6587" s="15"/>
      <c r="F6587" s="15"/>
      <c r="G6587" s="26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8"/>
      <c r="X6587" s="28"/>
      <c r="Y6587" s="28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28"/>
      <c r="AS6587" s="28"/>
      <c r="AT6587" s="28"/>
    </row>
    <row r="6588">
      <c r="A6588" s="14"/>
      <c r="B6588" s="15"/>
      <c r="C6588" s="16"/>
      <c r="D6588" s="15"/>
      <c r="F6588" s="15"/>
      <c r="G6588" s="26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8"/>
      <c r="X6588" s="28"/>
      <c r="Y6588" s="28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28"/>
      <c r="AS6588" s="28"/>
      <c r="AT6588" s="28"/>
    </row>
    <row r="6589">
      <c r="A6589" s="14"/>
      <c r="B6589" s="15"/>
      <c r="C6589" s="16"/>
      <c r="D6589" s="15"/>
      <c r="F6589" s="15"/>
      <c r="G6589" s="26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8"/>
      <c r="X6589" s="28"/>
      <c r="Y6589" s="28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28"/>
      <c r="AS6589" s="28"/>
      <c r="AT6589" s="28"/>
    </row>
    <row r="6590">
      <c r="A6590" s="14"/>
      <c r="B6590" s="15"/>
      <c r="C6590" s="16"/>
      <c r="D6590" s="15"/>
      <c r="F6590" s="15"/>
      <c r="G6590" s="26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8"/>
      <c r="X6590" s="28"/>
      <c r="Y6590" s="28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28"/>
      <c r="AS6590" s="28"/>
      <c r="AT6590" s="28"/>
    </row>
    <row r="6591">
      <c r="A6591" s="14"/>
      <c r="B6591" s="15"/>
      <c r="C6591" s="16"/>
      <c r="D6591" s="15"/>
      <c r="F6591" s="15"/>
      <c r="G6591" s="26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8"/>
      <c r="X6591" s="28"/>
      <c r="Y6591" s="28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28"/>
      <c r="AS6591" s="28"/>
      <c r="AT6591" s="28"/>
    </row>
    <row r="6592">
      <c r="A6592" s="14"/>
      <c r="B6592" s="15"/>
      <c r="C6592" s="16"/>
      <c r="D6592" s="15"/>
      <c r="F6592" s="15"/>
      <c r="G6592" s="26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8"/>
      <c r="X6592" s="28"/>
      <c r="Y6592" s="28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28"/>
      <c r="AS6592" s="28"/>
      <c r="AT6592" s="28"/>
    </row>
    <row r="6593">
      <c r="A6593" s="14"/>
      <c r="B6593" s="15"/>
      <c r="C6593" s="16"/>
      <c r="D6593" s="15"/>
      <c r="F6593" s="15"/>
      <c r="G6593" s="26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8"/>
      <c r="X6593" s="28"/>
      <c r="Y6593" s="28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28"/>
      <c r="AS6593" s="28"/>
      <c r="AT6593" s="28"/>
    </row>
    <row r="6594">
      <c r="A6594" s="14"/>
      <c r="B6594" s="15"/>
      <c r="C6594" s="16"/>
      <c r="D6594" s="15"/>
      <c r="F6594" s="15"/>
      <c r="G6594" s="26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28"/>
      <c r="AS6594" s="28"/>
      <c r="AT6594" s="28"/>
    </row>
    <row r="6595">
      <c r="A6595" s="14"/>
      <c r="B6595" s="15"/>
      <c r="C6595" s="16"/>
      <c r="D6595" s="15"/>
      <c r="F6595" s="15"/>
      <c r="G6595" s="26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8"/>
      <c r="X6595" s="28"/>
      <c r="Y6595" s="28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28"/>
      <c r="AS6595" s="28"/>
      <c r="AT6595" s="28"/>
    </row>
    <row r="6596">
      <c r="A6596" s="14"/>
      <c r="B6596" s="15"/>
      <c r="C6596" s="16"/>
      <c r="D6596" s="15"/>
      <c r="F6596" s="15"/>
      <c r="G6596" s="26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8"/>
      <c r="X6596" s="28"/>
      <c r="Y6596" s="28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28"/>
      <c r="AS6596" s="28"/>
      <c r="AT6596" s="28"/>
    </row>
    <row r="6597">
      <c r="A6597" s="14"/>
      <c r="B6597" s="15"/>
      <c r="C6597" s="16"/>
      <c r="D6597" s="15"/>
      <c r="F6597" s="15"/>
      <c r="G6597" s="26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8"/>
      <c r="X6597" s="28"/>
      <c r="Y6597" s="28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28"/>
      <c r="AS6597" s="28"/>
      <c r="AT6597" s="28"/>
    </row>
    <row r="6598">
      <c r="A6598" s="14"/>
      <c r="B6598" s="15"/>
      <c r="C6598" s="16"/>
      <c r="D6598" s="15"/>
      <c r="F6598" s="15"/>
      <c r="G6598" s="26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8"/>
      <c r="X6598" s="28"/>
      <c r="Y6598" s="28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28"/>
      <c r="AS6598" s="28"/>
      <c r="AT6598" s="28"/>
    </row>
    <row r="6599">
      <c r="A6599" s="14"/>
      <c r="B6599" s="15"/>
      <c r="C6599" s="16"/>
      <c r="D6599" s="15"/>
      <c r="F6599" s="15"/>
      <c r="G6599" s="26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8"/>
      <c r="X6599" s="28"/>
      <c r="Y6599" s="28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28"/>
      <c r="AS6599" s="28"/>
      <c r="AT6599" s="28"/>
    </row>
    <row r="6600">
      <c r="A6600" s="14"/>
      <c r="B6600" s="15"/>
      <c r="C6600" s="16"/>
      <c r="D6600" s="15"/>
      <c r="F6600" s="15"/>
      <c r="G6600" s="26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8"/>
      <c r="X6600" s="28"/>
      <c r="Y6600" s="28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28"/>
      <c r="AS6600" s="28"/>
      <c r="AT6600" s="28"/>
    </row>
    <row r="6601">
      <c r="A6601" s="14"/>
      <c r="B6601" s="15"/>
      <c r="C6601" s="16"/>
      <c r="D6601" s="15"/>
      <c r="F6601" s="15"/>
      <c r="G6601" s="26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8"/>
      <c r="X6601" s="28"/>
      <c r="Y6601" s="28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28"/>
      <c r="AS6601" s="28"/>
      <c r="AT6601" s="28"/>
    </row>
    <row r="6602">
      <c r="A6602" s="14"/>
      <c r="B6602" s="15"/>
      <c r="C6602" s="16"/>
      <c r="D6602" s="15"/>
      <c r="F6602" s="15"/>
      <c r="G6602" s="26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8"/>
      <c r="X6602" s="28"/>
      <c r="Y6602" s="28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28"/>
      <c r="AS6602" s="28"/>
      <c r="AT6602" s="28"/>
    </row>
    <row r="6603">
      <c r="A6603" s="14"/>
      <c r="B6603" s="15"/>
      <c r="C6603" s="16"/>
      <c r="D6603" s="15"/>
      <c r="F6603" s="15"/>
      <c r="G6603" s="26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28"/>
      <c r="AS6603" s="28"/>
      <c r="AT6603" s="28"/>
    </row>
    <row r="6604">
      <c r="A6604" s="14"/>
      <c r="B6604" s="15"/>
      <c r="C6604" s="16"/>
      <c r="D6604" s="15"/>
      <c r="F6604" s="15"/>
      <c r="G6604" s="26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28"/>
      <c r="AS6604" s="28"/>
      <c r="AT6604" s="28"/>
    </row>
    <row r="6605">
      <c r="A6605" s="14"/>
      <c r="B6605" s="15"/>
      <c r="C6605" s="16"/>
      <c r="D6605" s="15"/>
      <c r="F6605" s="15"/>
      <c r="G6605" s="26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28"/>
      <c r="AS6605" s="28"/>
      <c r="AT6605" s="28"/>
    </row>
    <row r="6606">
      <c r="A6606" s="14"/>
      <c r="B6606" s="15"/>
      <c r="C6606" s="16"/>
      <c r="D6606" s="15"/>
      <c r="F6606" s="15"/>
      <c r="G6606" s="26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8"/>
      <c r="X6606" s="28"/>
      <c r="Y6606" s="28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28"/>
      <c r="AS6606" s="28"/>
      <c r="AT6606" s="28"/>
    </row>
    <row r="6607">
      <c r="A6607" s="14"/>
      <c r="B6607" s="15"/>
      <c r="C6607" s="16"/>
      <c r="D6607" s="15"/>
      <c r="F6607" s="15"/>
      <c r="G6607" s="26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8"/>
      <c r="X6607" s="28"/>
      <c r="Y6607" s="28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28"/>
      <c r="AS6607" s="28"/>
      <c r="AT6607" s="28"/>
    </row>
    <row r="6608">
      <c r="A6608" s="14"/>
      <c r="B6608" s="15"/>
      <c r="C6608" s="16"/>
      <c r="D6608" s="15"/>
      <c r="F6608" s="15"/>
      <c r="G6608" s="26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8"/>
      <c r="X6608" s="28"/>
      <c r="Y6608" s="28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28"/>
      <c r="AS6608" s="28"/>
      <c r="AT6608" s="28"/>
    </row>
    <row r="6609">
      <c r="A6609" s="14"/>
      <c r="B6609" s="15"/>
      <c r="C6609" s="16"/>
      <c r="D6609" s="15"/>
      <c r="F6609" s="15"/>
      <c r="G6609" s="26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8"/>
      <c r="X6609" s="28"/>
      <c r="Y6609" s="28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28"/>
      <c r="AS6609" s="28"/>
      <c r="AT6609" s="28"/>
    </row>
    <row r="6610">
      <c r="A6610" s="14"/>
      <c r="B6610" s="15"/>
      <c r="C6610" s="16"/>
      <c r="D6610" s="15"/>
      <c r="F6610" s="15"/>
      <c r="G6610" s="26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8"/>
      <c r="X6610" s="28"/>
      <c r="Y6610" s="28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28"/>
      <c r="AS6610" s="28"/>
      <c r="AT6610" s="28"/>
    </row>
    <row r="6611">
      <c r="A6611" s="14"/>
      <c r="B6611" s="15"/>
      <c r="C6611" s="16"/>
      <c r="D6611" s="15"/>
      <c r="F6611" s="15"/>
      <c r="G6611" s="26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8"/>
      <c r="X6611" s="28"/>
      <c r="Y6611" s="28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28"/>
      <c r="AS6611" s="28"/>
      <c r="AT6611" s="28"/>
    </row>
    <row r="6612">
      <c r="A6612" s="14"/>
      <c r="B6612" s="15"/>
      <c r="C6612" s="16"/>
      <c r="D6612" s="15"/>
      <c r="F6612" s="15"/>
      <c r="G6612" s="26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8"/>
      <c r="X6612" s="28"/>
      <c r="Y6612" s="28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28"/>
      <c r="AS6612" s="28"/>
      <c r="AT6612" s="28"/>
    </row>
    <row r="6613">
      <c r="A6613" s="14"/>
      <c r="B6613" s="15"/>
      <c r="C6613" s="16"/>
      <c r="D6613" s="15"/>
      <c r="F6613" s="15"/>
      <c r="G6613" s="26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8"/>
      <c r="X6613" s="28"/>
      <c r="Y6613" s="28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28"/>
      <c r="AS6613" s="28"/>
      <c r="AT6613" s="28"/>
    </row>
    <row r="6614">
      <c r="A6614" s="14"/>
      <c r="B6614" s="15"/>
      <c r="C6614" s="16"/>
      <c r="D6614" s="15"/>
      <c r="F6614" s="15"/>
      <c r="G6614" s="26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8"/>
      <c r="X6614" s="28"/>
      <c r="Y6614" s="28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28"/>
      <c r="AS6614" s="28"/>
      <c r="AT6614" s="28"/>
    </row>
    <row r="6615">
      <c r="A6615" s="14"/>
      <c r="B6615" s="15"/>
      <c r="C6615" s="16"/>
      <c r="D6615" s="15"/>
      <c r="F6615" s="15"/>
      <c r="G6615" s="26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8"/>
      <c r="X6615" s="28"/>
      <c r="Y6615" s="28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28"/>
      <c r="AS6615" s="28"/>
      <c r="AT6615" s="28"/>
    </row>
    <row r="6616">
      <c r="A6616" s="14"/>
      <c r="B6616" s="15"/>
      <c r="C6616" s="16"/>
      <c r="D6616" s="15"/>
      <c r="F6616" s="15"/>
      <c r="G6616" s="26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28"/>
      <c r="AS6616" s="28"/>
      <c r="AT6616" s="28"/>
    </row>
    <row r="6617">
      <c r="A6617" s="14"/>
      <c r="B6617" s="15"/>
      <c r="C6617" s="16"/>
      <c r="D6617" s="15"/>
      <c r="F6617" s="15"/>
      <c r="G6617" s="26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8"/>
      <c r="X6617" s="28"/>
      <c r="Y6617" s="28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28"/>
      <c r="AS6617" s="28"/>
      <c r="AT6617" s="28"/>
    </row>
    <row r="6618">
      <c r="A6618" s="14"/>
      <c r="B6618" s="15"/>
      <c r="C6618" s="16"/>
      <c r="D6618" s="15"/>
      <c r="F6618" s="15"/>
      <c r="G6618" s="26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8"/>
      <c r="X6618" s="28"/>
      <c r="Y6618" s="28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28"/>
      <c r="AS6618" s="28"/>
      <c r="AT6618" s="28"/>
    </row>
    <row r="6619">
      <c r="A6619" s="14"/>
      <c r="B6619" s="15"/>
      <c r="C6619" s="16"/>
      <c r="D6619" s="15"/>
      <c r="F6619" s="15"/>
      <c r="G6619" s="26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8"/>
      <c r="X6619" s="28"/>
      <c r="Y6619" s="28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28"/>
      <c r="AS6619" s="28"/>
      <c r="AT6619" s="28"/>
    </row>
    <row r="6620">
      <c r="A6620" s="14"/>
      <c r="B6620" s="15"/>
      <c r="C6620" s="16"/>
      <c r="D6620" s="15"/>
      <c r="F6620" s="15"/>
      <c r="G6620" s="26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8"/>
      <c r="X6620" s="28"/>
      <c r="Y6620" s="28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28"/>
      <c r="AS6620" s="28"/>
      <c r="AT6620" s="28"/>
    </row>
    <row r="6621">
      <c r="A6621" s="14"/>
      <c r="B6621" s="15"/>
      <c r="C6621" s="16"/>
      <c r="D6621" s="15"/>
      <c r="F6621" s="15"/>
      <c r="G6621" s="26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8"/>
      <c r="X6621" s="28"/>
      <c r="Y6621" s="28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28"/>
      <c r="AS6621" s="28"/>
      <c r="AT6621" s="28"/>
    </row>
    <row r="6622">
      <c r="A6622" s="14"/>
      <c r="B6622" s="15"/>
      <c r="C6622" s="16"/>
      <c r="D6622" s="15"/>
      <c r="F6622" s="15"/>
      <c r="G6622" s="26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28"/>
      <c r="AS6622" s="28"/>
      <c r="AT6622" s="28"/>
    </row>
    <row r="6623">
      <c r="A6623" s="14"/>
      <c r="B6623" s="15"/>
      <c r="C6623" s="16"/>
      <c r="D6623" s="15"/>
      <c r="F6623" s="15"/>
      <c r="G6623" s="26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8"/>
      <c r="X6623" s="28"/>
      <c r="Y6623" s="28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28"/>
      <c r="AS6623" s="28"/>
      <c r="AT6623" s="28"/>
    </row>
    <row r="6624">
      <c r="A6624" s="14"/>
      <c r="B6624" s="15"/>
      <c r="C6624" s="16"/>
      <c r="D6624" s="15"/>
      <c r="F6624" s="15"/>
      <c r="G6624" s="26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8"/>
      <c r="X6624" s="28"/>
      <c r="Y6624" s="28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28"/>
      <c r="AS6624" s="28"/>
      <c r="AT6624" s="28"/>
    </row>
    <row r="6625">
      <c r="A6625" s="14"/>
      <c r="B6625" s="15"/>
      <c r="C6625" s="16"/>
      <c r="D6625" s="15"/>
      <c r="F6625" s="15"/>
      <c r="G6625" s="26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8"/>
      <c r="X6625" s="28"/>
      <c r="Y6625" s="28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28"/>
      <c r="AS6625" s="28"/>
      <c r="AT6625" s="28"/>
    </row>
    <row r="6626">
      <c r="A6626" s="14"/>
      <c r="B6626" s="15"/>
      <c r="C6626" s="16"/>
      <c r="D6626" s="15"/>
      <c r="F6626" s="15"/>
      <c r="G6626" s="26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8"/>
      <c r="X6626" s="28"/>
      <c r="Y6626" s="28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28"/>
      <c r="AS6626" s="28"/>
      <c r="AT6626" s="28"/>
    </row>
    <row r="6627">
      <c r="A6627" s="14"/>
      <c r="B6627" s="15"/>
      <c r="C6627" s="16"/>
      <c r="D6627" s="15"/>
      <c r="F6627" s="15"/>
      <c r="G6627" s="26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8"/>
      <c r="X6627" s="28"/>
      <c r="Y6627" s="28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28"/>
      <c r="AS6627" s="28"/>
      <c r="AT6627" s="28"/>
    </row>
    <row r="6628">
      <c r="A6628" s="14"/>
      <c r="B6628" s="15"/>
      <c r="C6628" s="16"/>
      <c r="D6628" s="15"/>
      <c r="F6628" s="15"/>
      <c r="G6628" s="26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8"/>
      <c r="X6628" s="28"/>
      <c r="Y6628" s="28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28"/>
      <c r="AS6628" s="28"/>
      <c r="AT6628" s="28"/>
    </row>
    <row r="6629">
      <c r="A6629" s="14"/>
      <c r="B6629" s="15"/>
      <c r="C6629" s="16"/>
      <c r="D6629" s="15"/>
      <c r="F6629" s="15"/>
      <c r="G6629" s="26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8"/>
      <c r="X6629" s="28"/>
      <c r="Y6629" s="28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28"/>
      <c r="AS6629" s="28"/>
      <c r="AT6629" s="28"/>
    </row>
    <row r="6630">
      <c r="A6630" s="14"/>
      <c r="B6630" s="15"/>
      <c r="C6630" s="16"/>
      <c r="D6630" s="15"/>
      <c r="F6630" s="15"/>
      <c r="G6630" s="26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8"/>
      <c r="X6630" s="28"/>
      <c r="Y6630" s="28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28"/>
      <c r="AS6630" s="28"/>
      <c r="AT6630" s="28"/>
    </row>
    <row r="6631">
      <c r="A6631" s="14"/>
      <c r="B6631" s="15"/>
      <c r="C6631" s="16"/>
      <c r="D6631" s="15"/>
      <c r="F6631" s="15"/>
      <c r="G6631" s="26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8"/>
      <c r="X6631" s="28"/>
      <c r="Y6631" s="28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28"/>
      <c r="AS6631" s="28"/>
      <c r="AT6631" s="28"/>
    </row>
    <row r="6632">
      <c r="A6632" s="14"/>
      <c r="B6632" s="15"/>
      <c r="C6632" s="16"/>
      <c r="D6632" s="15"/>
      <c r="F6632" s="15"/>
      <c r="G6632" s="26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8"/>
      <c r="X6632" s="28"/>
      <c r="Y6632" s="28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28"/>
      <c r="AS6632" s="28"/>
      <c r="AT6632" s="28"/>
    </row>
    <row r="6633">
      <c r="A6633" s="14"/>
      <c r="B6633" s="15"/>
      <c r="C6633" s="16"/>
      <c r="D6633" s="15"/>
      <c r="F6633" s="15"/>
      <c r="G6633" s="26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8"/>
      <c r="X6633" s="28"/>
      <c r="Y6633" s="28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28"/>
      <c r="AS6633" s="28"/>
      <c r="AT6633" s="28"/>
    </row>
    <row r="6634">
      <c r="A6634" s="14"/>
      <c r="B6634" s="15"/>
      <c r="C6634" s="16"/>
      <c r="D6634" s="15"/>
      <c r="F6634" s="15"/>
      <c r="G6634" s="26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8"/>
      <c r="X6634" s="28"/>
      <c r="Y6634" s="28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28"/>
      <c r="AS6634" s="28"/>
      <c r="AT6634" s="28"/>
    </row>
    <row r="6635">
      <c r="A6635" s="14"/>
      <c r="B6635" s="15"/>
      <c r="C6635" s="16"/>
      <c r="D6635" s="15"/>
      <c r="F6635" s="15"/>
      <c r="G6635" s="26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8"/>
      <c r="X6635" s="28"/>
      <c r="Y6635" s="28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28"/>
      <c r="AS6635" s="28"/>
      <c r="AT6635" s="28"/>
    </row>
    <row r="6636">
      <c r="A6636" s="14"/>
      <c r="B6636" s="15"/>
      <c r="C6636" s="16"/>
      <c r="D6636" s="15"/>
      <c r="F6636" s="15"/>
      <c r="G6636" s="26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8"/>
      <c r="X6636" s="28"/>
      <c r="Y6636" s="28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28"/>
      <c r="AS6636" s="28"/>
      <c r="AT6636" s="28"/>
    </row>
    <row r="6637">
      <c r="A6637" s="14"/>
      <c r="B6637" s="15"/>
      <c r="C6637" s="16"/>
      <c r="D6637" s="15"/>
      <c r="F6637" s="15"/>
      <c r="G6637" s="26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8"/>
      <c r="X6637" s="28"/>
      <c r="Y6637" s="28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28"/>
      <c r="AS6637" s="28"/>
      <c r="AT6637" s="28"/>
    </row>
    <row r="6638">
      <c r="A6638" s="14"/>
      <c r="B6638" s="15"/>
      <c r="C6638" s="16"/>
      <c r="D6638" s="15"/>
      <c r="F6638" s="15"/>
      <c r="G6638" s="26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28"/>
      <c r="AS6638" s="28"/>
      <c r="AT6638" s="28"/>
    </row>
    <row r="6639">
      <c r="A6639" s="14"/>
      <c r="B6639" s="15"/>
      <c r="C6639" s="16"/>
      <c r="D6639" s="15"/>
      <c r="F6639" s="15"/>
      <c r="G6639" s="26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8"/>
      <c r="X6639" s="28"/>
      <c r="Y6639" s="28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28"/>
      <c r="AS6639" s="28"/>
      <c r="AT6639" s="28"/>
    </row>
    <row r="6640">
      <c r="A6640" s="14"/>
      <c r="B6640" s="15"/>
      <c r="C6640" s="16"/>
      <c r="D6640" s="15"/>
      <c r="F6640" s="15"/>
      <c r="G6640" s="26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8"/>
      <c r="X6640" s="28"/>
      <c r="Y6640" s="28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28"/>
      <c r="AS6640" s="28"/>
      <c r="AT6640" s="28"/>
    </row>
    <row r="6641">
      <c r="A6641" s="14"/>
      <c r="B6641" s="15"/>
      <c r="C6641" s="16"/>
      <c r="D6641" s="15"/>
      <c r="F6641" s="15"/>
      <c r="G6641" s="26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8"/>
      <c r="X6641" s="28"/>
      <c r="Y6641" s="28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28"/>
      <c r="AS6641" s="28"/>
      <c r="AT6641" s="28"/>
    </row>
    <row r="6642">
      <c r="A6642" s="14"/>
      <c r="B6642" s="15"/>
      <c r="C6642" s="16"/>
      <c r="D6642" s="15"/>
      <c r="F6642" s="15"/>
      <c r="G6642" s="26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8"/>
      <c r="X6642" s="28"/>
      <c r="Y6642" s="28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28"/>
      <c r="AS6642" s="28"/>
      <c r="AT6642" s="28"/>
    </row>
    <row r="6643">
      <c r="A6643" s="14"/>
      <c r="B6643" s="15"/>
      <c r="C6643" s="16"/>
      <c r="D6643" s="15"/>
      <c r="F6643" s="15"/>
      <c r="G6643" s="26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8"/>
      <c r="X6643" s="28"/>
      <c r="Y6643" s="28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28"/>
      <c r="AS6643" s="28"/>
      <c r="AT6643" s="28"/>
    </row>
    <row r="6644">
      <c r="A6644" s="14"/>
      <c r="B6644" s="15"/>
      <c r="C6644" s="16"/>
      <c r="D6644" s="15"/>
      <c r="F6644" s="15"/>
      <c r="G6644" s="26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28"/>
      <c r="AS6644" s="28"/>
      <c r="AT6644" s="28"/>
    </row>
    <row r="6645">
      <c r="A6645" s="14"/>
      <c r="B6645" s="15"/>
      <c r="C6645" s="16"/>
      <c r="D6645" s="15"/>
      <c r="F6645" s="15"/>
      <c r="G6645" s="26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8"/>
      <c r="X6645" s="28"/>
      <c r="Y6645" s="28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28"/>
      <c r="AS6645" s="28"/>
      <c r="AT6645" s="28"/>
    </row>
    <row r="6646">
      <c r="A6646" s="14"/>
      <c r="B6646" s="15"/>
      <c r="C6646" s="16"/>
      <c r="D6646" s="15"/>
      <c r="F6646" s="15"/>
      <c r="G6646" s="26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8"/>
      <c r="X6646" s="28"/>
      <c r="Y6646" s="28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28"/>
      <c r="AS6646" s="28"/>
      <c r="AT6646" s="28"/>
    </row>
    <row r="6647">
      <c r="A6647" s="14"/>
      <c r="B6647" s="15"/>
      <c r="C6647" s="16"/>
      <c r="D6647" s="15"/>
      <c r="F6647" s="15"/>
      <c r="G6647" s="26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8"/>
      <c r="X6647" s="28"/>
      <c r="Y6647" s="28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28"/>
      <c r="AS6647" s="28"/>
      <c r="AT6647" s="28"/>
    </row>
    <row r="6648">
      <c r="A6648" s="14"/>
      <c r="B6648" s="15"/>
      <c r="C6648" s="16"/>
      <c r="D6648" s="15"/>
      <c r="F6648" s="15"/>
      <c r="G6648" s="26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8"/>
      <c r="X6648" s="28"/>
      <c r="Y6648" s="28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28"/>
      <c r="AS6648" s="28"/>
      <c r="AT6648" s="28"/>
    </row>
    <row r="6649">
      <c r="A6649" s="14"/>
      <c r="B6649" s="15"/>
      <c r="C6649" s="16"/>
      <c r="D6649" s="15"/>
      <c r="F6649" s="15"/>
      <c r="G6649" s="26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8"/>
      <c r="X6649" s="28"/>
      <c r="Y6649" s="28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28"/>
      <c r="AS6649" s="28"/>
      <c r="AT6649" s="28"/>
    </row>
    <row r="6650">
      <c r="A6650" s="14"/>
      <c r="B6650" s="15"/>
      <c r="C6650" s="16"/>
      <c r="D6650" s="15"/>
      <c r="F6650" s="15"/>
      <c r="G6650" s="26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8"/>
      <c r="X6650" s="28"/>
      <c r="Y6650" s="28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28"/>
      <c r="AS6650" s="28"/>
      <c r="AT6650" s="28"/>
    </row>
    <row r="6651">
      <c r="A6651" s="14"/>
      <c r="B6651" s="15"/>
      <c r="C6651" s="16"/>
      <c r="D6651" s="15"/>
      <c r="F6651" s="15"/>
      <c r="G6651" s="26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8"/>
      <c r="X6651" s="28"/>
      <c r="Y6651" s="28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28"/>
      <c r="AS6651" s="28"/>
      <c r="AT6651" s="28"/>
    </row>
    <row r="6652">
      <c r="A6652" s="14"/>
      <c r="B6652" s="15"/>
      <c r="C6652" s="16"/>
      <c r="D6652" s="15"/>
      <c r="F6652" s="15"/>
      <c r="G6652" s="26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8"/>
      <c r="X6652" s="28"/>
      <c r="Y6652" s="28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28"/>
      <c r="AS6652" s="28"/>
      <c r="AT6652" s="28"/>
    </row>
    <row r="6653">
      <c r="A6653" s="14"/>
      <c r="B6653" s="15"/>
      <c r="C6653" s="16"/>
      <c r="D6653" s="15"/>
      <c r="F6653" s="15"/>
      <c r="G6653" s="26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8"/>
      <c r="X6653" s="28"/>
      <c r="Y6653" s="28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28"/>
      <c r="AS6653" s="28"/>
      <c r="AT6653" s="28"/>
    </row>
    <row r="6654">
      <c r="A6654" s="14"/>
      <c r="B6654" s="15"/>
      <c r="C6654" s="16"/>
      <c r="D6654" s="15"/>
      <c r="F6654" s="15"/>
      <c r="G6654" s="26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8"/>
      <c r="X6654" s="28"/>
      <c r="Y6654" s="28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28"/>
      <c r="AS6654" s="28"/>
      <c r="AT6654" s="28"/>
    </row>
    <row r="6655">
      <c r="A6655" s="14"/>
      <c r="B6655" s="15"/>
      <c r="C6655" s="16"/>
      <c r="D6655" s="15"/>
      <c r="F6655" s="15"/>
      <c r="G6655" s="26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8"/>
      <c r="X6655" s="28"/>
      <c r="Y6655" s="28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28"/>
      <c r="AS6655" s="28"/>
      <c r="AT6655" s="28"/>
    </row>
    <row r="6656">
      <c r="A6656" s="14"/>
      <c r="B6656" s="15"/>
      <c r="C6656" s="16"/>
      <c r="D6656" s="15"/>
      <c r="F6656" s="15"/>
      <c r="G6656" s="26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8"/>
      <c r="X6656" s="28"/>
      <c r="Y6656" s="28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28"/>
      <c r="AS6656" s="28"/>
      <c r="AT6656" s="28"/>
    </row>
    <row r="6657">
      <c r="A6657" s="14"/>
      <c r="B6657" s="15"/>
      <c r="C6657" s="16"/>
      <c r="D6657" s="15"/>
      <c r="F6657" s="15"/>
      <c r="G6657" s="26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8"/>
      <c r="X6657" s="28"/>
      <c r="Y6657" s="28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28"/>
      <c r="AS6657" s="28"/>
      <c r="AT6657" s="28"/>
    </row>
    <row r="6658">
      <c r="A6658" s="14"/>
      <c r="B6658" s="15"/>
      <c r="C6658" s="16"/>
      <c r="D6658" s="15"/>
      <c r="F6658" s="15"/>
      <c r="G6658" s="26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8"/>
      <c r="X6658" s="28"/>
      <c r="Y6658" s="28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28"/>
      <c r="AS6658" s="28"/>
      <c r="AT6658" s="28"/>
    </row>
    <row r="6659">
      <c r="A6659" s="14"/>
      <c r="B6659" s="15"/>
      <c r="C6659" s="16"/>
      <c r="D6659" s="15"/>
      <c r="F6659" s="15"/>
      <c r="G6659" s="26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8"/>
      <c r="X6659" s="28"/>
      <c r="Y6659" s="28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28"/>
      <c r="AS6659" s="28"/>
      <c r="AT6659" s="28"/>
    </row>
    <row r="6660">
      <c r="A6660" s="14"/>
      <c r="B6660" s="15"/>
      <c r="C6660" s="16"/>
      <c r="D6660" s="15"/>
      <c r="F6660" s="15"/>
      <c r="G6660" s="26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8"/>
      <c r="X6660" s="28"/>
      <c r="Y6660" s="28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28"/>
      <c r="AS6660" s="28"/>
      <c r="AT6660" s="28"/>
    </row>
    <row r="6661">
      <c r="A6661" s="14"/>
      <c r="B6661" s="15"/>
      <c r="C6661" s="16"/>
      <c r="D6661" s="15"/>
      <c r="F6661" s="15"/>
      <c r="G6661" s="26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8"/>
      <c r="X6661" s="28"/>
      <c r="Y6661" s="28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28"/>
      <c r="AS6661" s="28"/>
      <c r="AT6661" s="28"/>
    </row>
    <row r="6662">
      <c r="A6662" s="14"/>
      <c r="B6662" s="15"/>
      <c r="C6662" s="16"/>
      <c r="D6662" s="15"/>
      <c r="F6662" s="15"/>
      <c r="G6662" s="26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8"/>
      <c r="X6662" s="28"/>
      <c r="Y6662" s="28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28"/>
      <c r="AS6662" s="28"/>
      <c r="AT6662" s="28"/>
    </row>
    <row r="6663">
      <c r="A6663" s="14"/>
      <c r="B6663" s="15"/>
      <c r="C6663" s="16"/>
      <c r="D6663" s="15"/>
      <c r="F6663" s="15"/>
      <c r="G6663" s="26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8"/>
      <c r="X6663" s="28"/>
      <c r="Y6663" s="28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28"/>
      <c r="AS6663" s="28"/>
      <c r="AT6663" s="28"/>
    </row>
    <row r="6664">
      <c r="A6664" s="14"/>
      <c r="B6664" s="15"/>
      <c r="C6664" s="16"/>
      <c r="D6664" s="15"/>
      <c r="F6664" s="15"/>
      <c r="G6664" s="26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8"/>
      <c r="X6664" s="28"/>
      <c r="Y6664" s="28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28"/>
      <c r="AS6664" s="28"/>
      <c r="AT6664" s="28"/>
    </row>
    <row r="6665">
      <c r="A6665" s="14"/>
      <c r="B6665" s="15"/>
      <c r="C6665" s="16"/>
      <c r="D6665" s="15"/>
      <c r="F6665" s="15"/>
      <c r="G6665" s="26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8"/>
      <c r="X6665" s="28"/>
      <c r="Y6665" s="28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28"/>
      <c r="AS6665" s="28"/>
      <c r="AT6665" s="28"/>
    </row>
    <row r="6666">
      <c r="A6666" s="14"/>
      <c r="B6666" s="15"/>
      <c r="C6666" s="16"/>
      <c r="D6666" s="15"/>
      <c r="F6666" s="15"/>
      <c r="G6666" s="26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8"/>
      <c r="X6666" s="28"/>
      <c r="Y6666" s="28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28"/>
      <c r="AS6666" s="28"/>
      <c r="AT6666" s="28"/>
    </row>
    <row r="6667">
      <c r="A6667" s="14"/>
      <c r="B6667" s="15"/>
      <c r="C6667" s="16"/>
      <c r="D6667" s="15"/>
      <c r="F6667" s="15"/>
      <c r="G6667" s="26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8"/>
      <c r="X6667" s="28"/>
      <c r="Y6667" s="28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28"/>
      <c r="AS6667" s="28"/>
      <c r="AT6667" s="28"/>
    </row>
    <row r="6668">
      <c r="A6668" s="14"/>
      <c r="B6668" s="15"/>
      <c r="C6668" s="16"/>
      <c r="D6668" s="15"/>
      <c r="F6668" s="15"/>
      <c r="G6668" s="26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8"/>
      <c r="X6668" s="28"/>
      <c r="Y6668" s="28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28"/>
      <c r="AS6668" s="28"/>
      <c r="AT6668" s="28"/>
    </row>
    <row r="6669">
      <c r="A6669" s="14"/>
      <c r="B6669" s="15"/>
      <c r="C6669" s="16"/>
      <c r="D6669" s="15"/>
      <c r="F6669" s="15"/>
      <c r="G6669" s="26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28"/>
      <c r="AS6669" s="28"/>
      <c r="AT6669" s="28"/>
    </row>
    <row r="6670">
      <c r="A6670" s="14"/>
      <c r="B6670" s="15"/>
      <c r="C6670" s="16"/>
      <c r="D6670" s="15"/>
      <c r="F6670" s="15"/>
      <c r="G6670" s="26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8"/>
      <c r="X6670" s="28"/>
      <c r="Y6670" s="28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28"/>
      <c r="AS6670" s="28"/>
      <c r="AT6670" s="28"/>
    </row>
    <row r="6671">
      <c r="A6671" s="14"/>
      <c r="B6671" s="15"/>
      <c r="C6671" s="16"/>
      <c r="D6671" s="15"/>
      <c r="F6671" s="15"/>
      <c r="G6671" s="26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28"/>
      <c r="AS6671" s="28"/>
      <c r="AT6671" s="28"/>
    </row>
    <row r="6672">
      <c r="A6672" s="14"/>
      <c r="B6672" s="15"/>
      <c r="C6672" s="16"/>
      <c r="D6672" s="15"/>
      <c r="F6672" s="15"/>
      <c r="G6672" s="26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28"/>
      <c r="AS6672" s="28"/>
      <c r="AT6672" s="28"/>
    </row>
    <row r="6673">
      <c r="A6673" s="14"/>
      <c r="B6673" s="15"/>
      <c r="C6673" s="16"/>
      <c r="D6673" s="15"/>
      <c r="F6673" s="15"/>
      <c r="G6673" s="26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8"/>
      <c r="X6673" s="28"/>
      <c r="Y6673" s="28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28"/>
      <c r="AS6673" s="28"/>
      <c r="AT6673" s="28"/>
    </row>
    <row r="6674">
      <c r="A6674" s="14"/>
      <c r="B6674" s="15"/>
      <c r="C6674" s="16"/>
      <c r="D6674" s="15"/>
      <c r="F6674" s="15"/>
      <c r="G6674" s="26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8"/>
      <c r="X6674" s="28"/>
      <c r="Y6674" s="28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28"/>
      <c r="AS6674" s="28"/>
      <c r="AT6674" s="28"/>
    </row>
    <row r="6675">
      <c r="A6675" s="14"/>
      <c r="B6675" s="15"/>
      <c r="C6675" s="16"/>
      <c r="D6675" s="15"/>
      <c r="F6675" s="15"/>
      <c r="G6675" s="26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8"/>
      <c r="X6675" s="28"/>
      <c r="Y6675" s="28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28"/>
      <c r="AS6675" s="28"/>
      <c r="AT6675" s="28"/>
    </row>
    <row r="6676">
      <c r="A6676" s="14"/>
      <c r="B6676" s="15"/>
      <c r="C6676" s="16"/>
      <c r="D6676" s="15"/>
      <c r="F6676" s="15"/>
      <c r="G6676" s="26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8"/>
      <c r="X6676" s="28"/>
      <c r="Y6676" s="28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28"/>
      <c r="AS6676" s="28"/>
      <c r="AT6676" s="28"/>
    </row>
    <row r="6677">
      <c r="A6677" s="14"/>
      <c r="B6677" s="15"/>
      <c r="C6677" s="16"/>
      <c r="D6677" s="15"/>
      <c r="F6677" s="15"/>
      <c r="G6677" s="26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8"/>
      <c r="X6677" s="28"/>
      <c r="Y6677" s="28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28"/>
      <c r="AS6677" s="28"/>
      <c r="AT6677" s="28"/>
    </row>
    <row r="6678">
      <c r="A6678" s="14"/>
      <c r="B6678" s="15"/>
      <c r="C6678" s="16"/>
      <c r="D6678" s="15"/>
      <c r="F6678" s="15"/>
      <c r="G6678" s="26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8"/>
      <c r="X6678" s="28"/>
      <c r="Y6678" s="28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28"/>
      <c r="AS6678" s="28"/>
      <c r="AT6678" s="28"/>
    </row>
    <row r="6679">
      <c r="A6679" s="14"/>
      <c r="B6679" s="15"/>
      <c r="C6679" s="16"/>
      <c r="D6679" s="15"/>
      <c r="F6679" s="15"/>
      <c r="G6679" s="26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8"/>
      <c r="X6679" s="28"/>
      <c r="Y6679" s="28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28"/>
      <c r="AS6679" s="28"/>
      <c r="AT6679" s="28"/>
    </row>
    <row r="6680">
      <c r="A6680" s="14"/>
      <c r="B6680" s="15"/>
      <c r="C6680" s="16"/>
      <c r="D6680" s="15"/>
      <c r="F6680" s="15"/>
      <c r="G6680" s="26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8"/>
      <c r="X6680" s="28"/>
      <c r="Y6680" s="28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28"/>
      <c r="AS6680" s="28"/>
      <c r="AT6680" s="28"/>
    </row>
    <row r="6681">
      <c r="A6681" s="14"/>
      <c r="B6681" s="15"/>
      <c r="C6681" s="16"/>
      <c r="D6681" s="15"/>
      <c r="F6681" s="15"/>
      <c r="G6681" s="26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8"/>
      <c r="X6681" s="28"/>
      <c r="Y6681" s="28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28"/>
      <c r="AS6681" s="28"/>
      <c r="AT6681" s="28"/>
    </row>
    <row r="6682">
      <c r="A6682" s="14"/>
      <c r="B6682" s="15"/>
      <c r="C6682" s="16"/>
      <c r="D6682" s="15"/>
      <c r="F6682" s="15"/>
      <c r="G6682" s="26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8"/>
      <c r="X6682" s="28"/>
      <c r="Y6682" s="28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28"/>
      <c r="AS6682" s="28"/>
      <c r="AT6682" s="28"/>
    </row>
    <row r="6683">
      <c r="A6683" s="14"/>
      <c r="B6683" s="15"/>
      <c r="C6683" s="16"/>
      <c r="D6683" s="15"/>
      <c r="F6683" s="15"/>
      <c r="G6683" s="26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8"/>
      <c r="X6683" s="28"/>
      <c r="Y6683" s="28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28"/>
      <c r="AS6683" s="28"/>
      <c r="AT6683" s="28"/>
    </row>
    <row r="6684">
      <c r="A6684" s="14"/>
      <c r="B6684" s="15"/>
      <c r="C6684" s="16"/>
      <c r="D6684" s="15"/>
      <c r="F6684" s="15"/>
      <c r="G6684" s="26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8"/>
      <c r="X6684" s="28"/>
      <c r="Y6684" s="28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28"/>
      <c r="AS6684" s="28"/>
      <c r="AT6684" s="28"/>
    </row>
    <row r="6685">
      <c r="A6685" s="14"/>
      <c r="B6685" s="15"/>
      <c r="C6685" s="16"/>
      <c r="D6685" s="15"/>
      <c r="F6685" s="15"/>
      <c r="G6685" s="26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28"/>
      <c r="AS6685" s="28"/>
      <c r="AT6685" s="28"/>
    </row>
    <row r="6686">
      <c r="A6686" s="14"/>
      <c r="B6686" s="15"/>
      <c r="C6686" s="16"/>
      <c r="D6686" s="15"/>
      <c r="F6686" s="15"/>
      <c r="G6686" s="26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8"/>
      <c r="X6686" s="28"/>
      <c r="Y6686" s="28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28"/>
      <c r="AS6686" s="28"/>
      <c r="AT6686" s="28"/>
    </row>
    <row r="6687">
      <c r="A6687" s="14"/>
      <c r="B6687" s="15"/>
      <c r="C6687" s="16"/>
      <c r="D6687" s="15"/>
      <c r="F6687" s="15"/>
      <c r="G6687" s="26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8"/>
      <c r="X6687" s="28"/>
      <c r="Y6687" s="28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28"/>
      <c r="AS6687" s="28"/>
      <c r="AT6687" s="28"/>
    </row>
    <row r="6688">
      <c r="A6688" s="14"/>
      <c r="B6688" s="15"/>
      <c r="C6688" s="16"/>
      <c r="D6688" s="15"/>
      <c r="F6688" s="15"/>
      <c r="G6688" s="26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8"/>
      <c r="X6688" s="28"/>
      <c r="Y6688" s="28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28"/>
      <c r="AS6688" s="28"/>
      <c r="AT6688" s="28"/>
    </row>
    <row r="6689">
      <c r="A6689" s="14"/>
      <c r="B6689" s="15"/>
      <c r="C6689" s="16"/>
      <c r="D6689" s="15"/>
      <c r="F6689" s="15"/>
      <c r="G6689" s="26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8"/>
      <c r="X6689" s="28"/>
      <c r="Y6689" s="28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28"/>
      <c r="AS6689" s="28"/>
      <c r="AT6689" s="28"/>
    </row>
    <row r="6690">
      <c r="A6690" s="14"/>
      <c r="B6690" s="15"/>
      <c r="C6690" s="16"/>
      <c r="D6690" s="15"/>
      <c r="F6690" s="15"/>
      <c r="G6690" s="26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8"/>
      <c r="X6690" s="28"/>
      <c r="Y6690" s="28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28"/>
      <c r="AS6690" s="28"/>
      <c r="AT6690" s="28"/>
    </row>
    <row r="6691">
      <c r="A6691" s="14"/>
      <c r="B6691" s="15"/>
      <c r="C6691" s="16"/>
      <c r="D6691" s="15"/>
      <c r="F6691" s="15"/>
      <c r="G6691" s="26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8"/>
      <c r="X6691" s="28"/>
      <c r="Y6691" s="28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28"/>
      <c r="AS6691" s="28"/>
      <c r="AT6691" s="28"/>
    </row>
    <row r="6692">
      <c r="A6692" s="14"/>
      <c r="B6692" s="15"/>
      <c r="C6692" s="16"/>
      <c r="D6692" s="15"/>
      <c r="F6692" s="15"/>
      <c r="G6692" s="26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8"/>
      <c r="X6692" s="28"/>
      <c r="Y6692" s="28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28"/>
      <c r="AS6692" s="28"/>
      <c r="AT6692" s="28"/>
    </row>
    <row r="6693">
      <c r="A6693" s="14"/>
      <c r="B6693" s="15"/>
      <c r="C6693" s="16"/>
      <c r="D6693" s="15"/>
      <c r="F6693" s="15"/>
      <c r="G6693" s="26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8"/>
      <c r="X6693" s="28"/>
      <c r="Y6693" s="28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28"/>
      <c r="AS6693" s="28"/>
      <c r="AT6693" s="28"/>
    </row>
    <row r="6694">
      <c r="A6694" s="14"/>
      <c r="B6694" s="15"/>
      <c r="C6694" s="16"/>
      <c r="D6694" s="15"/>
      <c r="F6694" s="15"/>
      <c r="G6694" s="26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8"/>
      <c r="X6694" s="28"/>
      <c r="Y6694" s="28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28"/>
      <c r="AS6694" s="28"/>
      <c r="AT6694" s="28"/>
    </row>
    <row r="6695">
      <c r="A6695" s="14"/>
      <c r="B6695" s="15"/>
      <c r="C6695" s="16"/>
      <c r="D6695" s="15"/>
      <c r="F6695" s="15"/>
      <c r="G6695" s="26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8"/>
      <c r="X6695" s="28"/>
      <c r="Y6695" s="28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28"/>
      <c r="AS6695" s="28"/>
      <c r="AT6695" s="28"/>
    </row>
    <row r="6696">
      <c r="A6696" s="14"/>
      <c r="B6696" s="15"/>
      <c r="C6696" s="16"/>
      <c r="D6696" s="15"/>
      <c r="F6696" s="15"/>
      <c r="G6696" s="26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8"/>
      <c r="X6696" s="28"/>
      <c r="Y6696" s="28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28"/>
      <c r="AS6696" s="28"/>
      <c r="AT6696" s="28"/>
    </row>
    <row r="6697">
      <c r="A6697" s="14"/>
      <c r="B6697" s="15"/>
      <c r="C6697" s="16"/>
      <c r="D6697" s="15"/>
      <c r="F6697" s="15"/>
      <c r="G6697" s="26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8"/>
      <c r="X6697" s="28"/>
      <c r="Y6697" s="28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28"/>
      <c r="AS6697" s="28"/>
      <c r="AT6697" s="28"/>
    </row>
    <row r="6698">
      <c r="A6698" s="14"/>
      <c r="B6698" s="15"/>
      <c r="C6698" s="16"/>
      <c r="D6698" s="15"/>
      <c r="F6698" s="15"/>
      <c r="G6698" s="26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8"/>
      <c r="X6698" s="28"/>
      <c r="Y6698" s="28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28"/>
      <c r="AS6698" s="28"/>
      <c r="AT6698" s="28"/>
    </row>
    <row r="6699">
      <c r="A6699" s="14"/>
      <c r="B6699" s="15"/>
      <c r="C6699" s="16"/>
      <c r="D6699" s="15"/>
      <c r="F6699" s="15"/>
      <c r="G6699" s="26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8"/>
      <c r="X6699" s="28"/>
      <c r="Y6699" s="28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28"/>
      <c r="AS6699" s="28"/>
      <c r="AT6699" s="28"/>
    </row>
    <row r="6700">
      <c r="A6700" s="14"/>
      <c r="B6700" s="15"/>
      <c r="C6700" s="16"/>
      <c r="D6700" s="15"/>
      <c r="F6700" s="15"/>
      <c r="G6700" s="26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8"/>
      <c r="X6700" s="28"/>
      <c r="Y6700" s="28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28"/>
      <c r="AS6700" s="28"/>
      <c r="AT6700" s="28"/>
    </row>
    <row r="6701">
      <c r="A6701" s="14"/>
      <c r="B6701" s="15"/>
      <c r="C6701" s="16"/>
      <c r="D6701" s="15"/>
      <c r="F6701" s="15"/>
      <c r="G6701" s="26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28"/>
      <c r="AS6701" s="28"/>
      <c r="AT6701" s="28"/>
    </row>
    <row r="6702">
      <c r="A6702" s="14"/>
      <c r="B6702" s="15"/>
      <c r="C6702" s="16"/>
      <c r="D6702" s="15"/>
      <c r="F6702" s="15"/>
      <c r="G6702" s="26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8"/>
      <c r="X6702" s="28"/>
      <c r="Y6702" s="28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28"/>
      <c r="AS6702" s="28"/>
      <c r="AT6702" s="28"/>
    </row>
    <row r="6703">
      <c r="A6703" s="14"/>
      <c r="B6703" s="15"/>
      <c r="C6703" s="16"/>
      <c r="D6703" s="15"/>
      <c r="F6703" s="15"/>
      <c r="G6703" s="26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8"/>
      <c r="X6703" s="28"/>
      <c r="Y6703" s="28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28"/>
      <c r="AS6703" s="28"/>
      <c r="AT6703" s="28"/>
    </row>
    <row r="6704">
      <c r="A6704" s="14"/>
      <c r="B6704" s="15"/>
      <c r="C6704" s="16"/>
      <c r="D6704" s="15"/>
      <c r="F6704" s="15"/>
      <c r="G6704" s="26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8"/>
      <c r="X6704" s="28"/>
      <c r="Y6704" s="28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28"/>
      <c r="AS6704" s="28"/>
      <c r="AT6704" s="28"/>
    </row>
    <row r="6705">
      <c r="A6705" s="14"/>
      <c r="B6705" s="15"/>
      <c r="C6705" s="16"/>
      <c r="D6705" s="15"/>
      <c r="F6705" s="15"/>
      <c r="G6705" s="26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8"/>
      <c r="X6705" s="28"/>
      <c r="Y6705" s="28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28"/>
      <c r="AS6705" s="28"/>
      <c r="AT6705" s="28"/>
    </row>
    <row r="6706">
      <c r="A6706" s="14"/>
      <c r="B6706" s="15"/>
      <c r="C6706" s="16"/>
      <c r="D6706" s="15"/>
      <c r="F6706" s="15"/>
      <c r="G6706" s="26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8"/>
      <c r="X6706" s="28"/>
      <c r="Y6706" s="28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28"/>
      <c r="AS6706" s="28"/>
      <c r="AT6706" s="28"/>
    </row>
    <row r="6707">
      <c r="A6707" s="14"/>
      <c r="B6707" s="15"/>
      <c r="C6707" s="16"/>
      <c r="D6707" s="15"/>
      <c r="F6707" s="15"/>
      <c r="G6707" s="26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8"/>
      <c r="X6707" s="28"/>
      <c r="Y6707" s="28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28"/>
      <c r="AS6707" s="28"/>
      <c r="AT6707" s="28"/>
    </row>
    <row r="6708">
      <c r="A6708" s="14"/>
      <c r="B6708" s="15"/>
      <c r="C6708" s="16"/>
      <c r="D6708" s="15"/>
      <c r="F6708" s="15"/>
      <c r="G6708" s="26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8"/>
      <c r="X6708" s="28"/>
      <c r="Y6708" s="28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28"/>
      <c r="AS6708" s="28"/>
      <c r="AT6708" s="28"/>
    </row>
    <row r="6709">
      <c r="A6709" s="14"/>
      <c r="B6709" s="15"/>
      <c r="C6709" s="16"/>
      <c r="D6709" s="15"/>
      <c r="F6709" s="15"/>
      <c r="G6709" s="26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8"/>
      <c r="X6709" s="28"/>
      <c r="Y6709" s="28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28"/>
      <c r="AS6709" s="28"/>
      <c r="AT6709" s="28"/>
    </row>
    <row r="6710">
      <c r="A6710" s="14"/>
      <c r="B6710" s="15"/>
      <c r="C6710" s="16"/>
      <c r="D6710" s="15"/>
      <c r="F6710" s="15"/>
      <c r="G6710" s="26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8"/>
      <c r="X6710" s="28"/>
      <c r="Y6710" s="28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28"/>
      <c r="AS6710" s="28"/>
      <c r="AT6710" s="28"/>
    </row>
    <row r="6711">
      <c r="A6711" s="14"/>
      <c r="B6711" s="15"/>
      <c r="C6711" s="16"/>
      <c r="D6711" s="15"/>
      <c r="F6711" s="15"/>
      <c r="G6711" s="26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8"/>
      <c r="X6711" s="28"/>
      <c r="Y6711" s="28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28"/>
      <c r="AS6711" s="28"/>
      <c r="AT6711" s="28"/>
    </row>
    <row r="6712">
      <c r="A6712" s="14"/>
      <c r="B6712" s="15"/>
      <c r="C6712" s="16"/>
      <c r="D6712" s="15"/>
      <c r="F6712" s="15"/>
      <c r="G6712" s="26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8"/>
      <c r="X6712" s="28"/>
      <c r="Y6712" s="28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28"/>
      <c r="AS6712" s="28"/>
      <c r="AT6712" s="28"/>
    </row>
    <row r="6713">
      <c r="A6713" s="14"/>
      <c r="B6713" s="15"/>
      <c r="C6713" s="16"/>
      <c r="D6713" s="15"/>
      <c r="F6713" s="15"/>
      <c r="G6713" s="26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8"/>
      <c r="X6713" s="28"/>
      <c r="Y6713" s="28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28"/>
      <c r="AS6713" s="28"/>
      <c r="AT6713" s="28"/>
    </row>
    <row r="6714">
      <c r="A6714" s="14"/>
      <c r="B6714" s="15"/>
      <c r="C6714" s="16"/>
      <c r="D6714" s="15"/>
      <c r="F6714" s="15"/>
      <c r="G6714" s="26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8"/>
      <c r="X6714" s="28"/>
      <c r="Y6714" s="28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28"/>
      <c r="AS6714" s="28"/>
      <c r="AT6714" s="28"/>
    </row>
    <row r="6715">
      <c r="A6715" s="14"/>
      <c r="B6715" s="15"/>
      <c r="C6715" s="16"/>
      <c r="D6715" s="15"/>
      <c r="F6715" s="15"/>
      <c r="G6715" s="26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8"/>
      <c r="X6715" s="28"/>
      <c r="Y6715" s="28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28"/>
      <c r="AS6715" s="28"/>
      <c r="AT6715" s="28"/>
    </row>
    <row r="6716">
      <c r="A6716" s="14"/>
      <c r="B6716" s="15"/>
      <c r="C6716" s="16"/>
      <c r="D6716" s="15"/>
      <c r="F6716" s="15"/>
      <c r="G6716" s="26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8"/>
      <c r="X6716" s="28"/>
      <c r="Y6716" s="28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28"/>
      <c r="AS6716" s="28"/>
      <c r="AT6716" s="28"/>
    </row>
    <row r="6717">
      <c r="A6717" s="14"/>
      <c r="B6717" s="15"/>
      <c r="C6717" s="16"/>
      <c r="D6717" s="15"/>
      <c r="F6717" s="15"/>
      <c r="G6717" s="26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28"/>
      <c r="AS6717" s="28"/>
      <c r="AT6717" s="28"/>
    </row>
    <row r="6718">
      <c r="A6718" s="14"/>
      <c r="B6718" s="15"/>
      <c r="C6718" s="16"/>
      <c r="D6718" s="15"/>
      <c r="F6718" s="15"/>
      <c r="G6718" s="26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8"/>
      <c r="X6718" s="28"/>
      <c r="Y6718" s="28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28"/>
      <c r="AS6718" s="28"/>
      <c r="AT6718" s="28"/>
    </row>
    <row r="6719">
      <c r="A6719" s="14"/>
      <c r="B6719" s="15"/>
      <c r="C6719" s="16"/>
      <c r="D6719" s="15"/>
      <c r="F6719" s="15"/>
      <c r="G6719" s="26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8"/>
      <c r="X6719" s="28"/>
      <c r="Y6719" s="28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28"/>
      <c r="AS6719" s="28"/>
      <c r="AT6719" s="28"/>
    </row>
    <row r="6720">
      <c r="A6720" s="14"/>
      <c r="B6720" s="15"/>
      <c r="C6720" s="16"/>
      <c r="D6720" s="15"/>
      <c r="F6720" s="15"/>
      <c r="G6720" s="26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8"/>
      <c r="X6720" s="28"/>
      <c r="Y6720" s="28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28"/>
      <c r="AS6720" s="28"/>
      <c r="AT6720" s="28"/>
    </row>
    <row r="6721">
      <c r="A6721" s="14"/>
      <c r="B6721" s="15"/>
      <c r="C6721" s="16"/>
      <c r="D6721" s="15"/>
      <c r="F6721" s="15"/>
      <c r="G6721" s="26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8"/>
      <c r="X6721" s="28"/>
      <c r="Y6721" s="28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28"/>
      <c r="AS6721" s="28"/>
      <c r="AT6721" s="28"/>
    </row>
    <row r="6722">
      <c r="A6722" s="14"/>
      <c r="B6722" s="15"/>
      <c r="C6722" s="16"/>
      <c r="D6722" s="15"/>
      <c r="F6722" s="15"/>
      <c r="G6722" s="26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8"/>
      <c r="X6722" s="28"/>
      <c r="Y6722" s="28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28"/>
      <c r="AS6722" s="28"/>
      <c r="AT6722" s="28"/>
    </row>
    <row r="6723">
      <c r="A6723" s="14"/>
      <c r="B6723" s="15"/>
      <c r="C6723" s="16"/>
      <c r="D6723" s="15"/>
      <c r="F6723" s="15"/>
      <c r="G6723" s="26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8"/>
      <c r="X6723" s="28"/>
      <c r="Y6723" s="28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28"/>
      <c r="AS6723" s="28"/>
      <c r="AT6723" s="28"/>
    </row>
    <row r="6724">
      <c r="A6724" s="14"/>
      <c r="B6724" s="15"/>
      <c r="C6724" s="16"/>
      <c r="D6724" s="15"/>
      <c r="F6724" s="15"/>
      <c r="G6724" s="26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8"/>
      <c r="X6724" s="28"/>
      <c r="Y6724" s="28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28"/>
      <c r="AS6724" s="28"/>
      <c r="AT6724" s="28"/>
    </row>
    <row r="6725">
      <c r="A6725" s="14"/>
      <c r="B6725" s="15"/>
      <c r="C6725" s="16"/>
      <c r="D6725" s="15"/>
      <c r="F6725" s="15"/>
      <c r="G6725" s="26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8"/>
      <c r="X6725" s="28"/>
      <c r="Y6725" s="28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28"/>
      <c r="AS6725" s="28"/>
      <c r="AT6725" s="28"/>
    </row>
    <row r="6726">
      <c r="A6726" s="14"/>
      <c r="B6726" s="15"/>
      <c r="C6726" s="16"/>
      <c r="D6726" s="15"/>
      <c r="F6726" s="15"/>
      <c r="G6726" s="26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8"/>
      <c r="X6726" s="28"/>
      <c r="Y6726" s="28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28"/>
      <c r="AS6726" s="28"/>
      <c r="AT6726" s="28"/>
    </row>
    <row r="6727">
      <c r="A6727" s="14"/>
      <c r="B6727" s="15"/>
      <c r="C6727" s="16"/>
      <c r="D6727" s="15"/>
      <c r="F6727" s="15"/>
      <c r="G6727" s="26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8"/>
      <c r="X6727" s="28"/>
      <c r="Y6727" s="28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28"/>
      <c r="AS6727" s="28"/>
      <c r="AT6727" s="28"/>
    </row>
    <row r="6728">
      <c r="A6728" s="14"/>
      <c r="B6728" s="15"/>
      <c r="C6728" s="16"/>
      <c r="D6728" s="15"/>
      <c r="F6728" s="15"/>
      <c r="G6728" s="26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8"/>
      <c r="X6728" s="28"/>
      <c r="Y6728" s="28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28"/>
      <c r="AS6728" s="28"/>
      <c r="AT6728" s="28"/>
    </row>
    <row r="6729">
      <c r="A6729" s="14"/>
      <c r="B6729" s="15"/>
      <c r="C6729" s="16"/>
      <c r="D6729" s="15"/>
      <c r="F6729" s="15"/>
      <c r="G6729" s="26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8"/>
      <c r="X6729" s="28"/>
      <c r="Y6729" s="28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28"/>
      <c r="AS6729" s="28"/>
      <c r="AT6729" s="28"/>
    </row>
    <row r="6730">
      <c r="A6730" s="14"/>
      <c r="B6730" s="15"/>
      <c r="C6730" s="16"/>
      <c r="D6730" s="15"/>
      <c r="F6730" s="15"/>
      <c r="G6730" s="26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8"/>
      <c r="X6730" s="28"/>
      <c r="Y6730" s="28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28"/>
      <c r="AS6730" s="28"/>
      <c r="AT6730" s="28"/>
    </row>
    <row r="6731">
      <c r="A6731" s="14"/>
      <c r="B6731" s="15"/>
      <c r="C6731" s="16"/>
      <c r="D6731" s="15"/>
      <c r="F6731" s="15"/>
      <c r="G6731" s="26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8"/>
      <c r="X6731" s="28"/>
      <c r="Y6731" s="28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28"/>
      <c r="AS6731" s="28"/>
      <c r="AT6731" s="28"/>
    </row>
    <row r="6732">
      <c r="A6732" s="14"/>
      <c r="B6732" s="15"/>
      <c r="C6732" s="16"/>
      <c r="D6732" s="15"/>
      <c r="F6732" s="15"/>
      <c r="G6732" s="26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8"/>
      <c r="X6732" s="28"/>
      <c r="Y6732" s="28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28"/>
      <c r="AS6732" s="28"/>
      <c r="AT6732" s="28"/>
    </row>
    <row r="6733">
      <c r="A6733" s="14"/>
      <c r="B6733" s="15"/>
      <c r="C6733" s="16"/>
      <c r="D6733" s="15"/>
      <c r="F6733" s="15"/>
      <c r="G6733" s="26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28"/>
      <c r="AS6733" s="28"/>
      <c r="AT6733" s="28"/>
    </row>
    <row r="6734">
      <c r="A6734" s="14"/>
      <c r="B6734" s="15"/>
      <c r="C6734" s="16"/>
      <c r="D6734" s="15"/>
      <c r="F6734" s="15"/>
      <c r="G6734" s="26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8"/>
      <c r="X6734" s="28"/>
      <c r="Y6734" s="28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28"/>
      <c r="AS6734" s="28"/>
      <c r="AT6734" s="28"/>
    </row>
    <row r="6735">
      <c r="A6735" s="14"/>
      <c r="B6735" s="15"/>
      <c r="C6735" s="16"/>
      <c r="D6735" s="15"/>
      <c r="F6735" s="15"/>
      <c r="G6735" s="26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8"/>
      <c r="X6735" s="28"/>
      <c r="Y6735" s="28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28"/>
      <c r="AS6735" s="28"/>
      <c r="AT6735" s="28"/>
    </row>
    <row r="6736">
      <c r="A6736" s="14"/>
      <c r="B6736" s="15"/>
      <c r="C6736" s="16"/>
      <c r="D6736" s="15"/>
      <c r="F6736" s="15"/>
      <c r="G6736" s="26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8"/>
      <c r="X6736" s="28"/>
      <c r="Y6736" s="28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28"/>
      <c r="AS6736" s="28"/>
      <c r="AT6736" s="28"/>
    </row>
    <row r="6737">
      <c r="A6737" s="14"/>
      <c r="B6737" s="15"/>
      <c r="C6737" s="16"/>
      <c r="D6737" s="15"/>
      <c r="F6737" s="15"/>
      <c r="G6737" s="26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8"/>
      <c r="X6737" s="28"/>
      <c r="Y6737" s="28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28"/>
      <c r="AS6737" s="28"/>
      <c r="AT6737" s="28"/>
    </row>
    <row r="6738">
      <c r="A6738" s="14"/>
      <c r="B6738" s="15"/>
      <c r="C6738" s="16"/>
      <c r="D6738" s="15"/>
      <c r="F6738" s="15"/>
      <c r="G6738" s="26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8"/>
      <c r="X6738" s="28"/>
      <c r="Y6738" s="28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28"/>
      <c r="AS6738" s="28"/>
      <c r="AT6738" s="28"/>
    </row>
    <row r="6739">
      <c r="A6739" s="14"/>
      <c r="B6739" s="15"/>
      <c r="C6739" s="16"/>
      <c r="D6739" s="15"/>
      <c r="F6739" s="15"/>
      <c r="G6739" s="26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8"/>
      <c r="X6739" s="28"/>
      <c r="Y6739" s="28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28"/>
      <c r="AS6739" s="28"/>
      <c r="AT6739" s="28"/>
    </row>
    <row r="6740">
      <c r="A6740" s="14"/>
      <c r="B6740" s="15"/>
      <c r="C6740" s="16"/>
      <c r="D6740" s="15"/>
      <c r="F6740" s="15"/>
      <c r="G6740" s="26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8"/>
      <c r="X6740" s="28"/>
      <c r="Y6740" s="28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28"/>
      <c r="AS6740" s="28"/>
      <c r="AT6740" s="28"/>
    </row>
    <row r="6741">
      <c r="A6741" s="14"/>
      <c r="B6741" s="15"/>
      <c r="C6741" s="16"/>
      <c r="D6741" s="15"/>
      <c r="F6741" s="15"/>
      <c r="G6741" s="26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8"/>
      <c r="X6741" s="28"/>
      <c r="Y6741" s="28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28"/>
      <c r="AS6741" s="28"/>
      <c r="AT6741" s="28"/>
    </row>
    <row r="6742">
      <c r="A6742" s="14"/>
      <c r="B6742" s="15"/>
      <c r="C6742" s="16"/>
      <c r="D6742" s="15"/>
      <c r="F6742" s="15"/>
      <c r="G6742" s="26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8"/>
      <c r="X6742" s="28"/>
      <c r="Y6742" s="28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28"/>
      <c r="AS6742" s="28"/>
      <c r="AT6742" s="28"/>
    </row>
    <row r="6743">
      <c r="A6743" s="14"/>
      <c r="B6743" s="15"/>
      <c r="C6743" s="16"/>
      <c r="D6743" s="15"/>
      <c r="F6743" s="15"/>
      <c r="G6743" s="26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8"/>
      <c r="X6743" s="28"/>
      <c r="Y6743" s="28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28"/>
      <c r="AS6743" s="28"/>
      <c r="AT6743" s="28"/>
    </row>
    <row r="6744">
      <c r="A6744" s="14"/>
      <c r="B6744" s="15"/>
      <c r="C6744" s="16"/>
      <c r="D6744" s="15"/>
      <c r="F6744" s="15"/>
      <c r="G6744" s="26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8"/>
      <c r="X6744" s="28"/>
      <c r="Y6744" s="28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28"/>
      <c r="AS6744" s="28"/>
      <c r="AT6744" s="28"/>
    </row>
    <row r="6745">
      <c r="A6745" s="14"/>
      <c r="B6745" s="15"/>
      <c r="C6745" s="16"/>
      <c r="D6745" s="15"/>
      <c r="F6745" s="15"/>
      <c r="G6745" s="26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8"/>
      <c r="X6745" s="28"/>
      <c r="Y6745" s="28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28"/>
      <c r="AS6745" s="28"/>
      <c r="AT6745" s="28"/>
    </row>
    <row r="6746">
      <c r="A6746" s="14"/>
      <c r="B6746" s="15"/>
      <c r="C6746" s="16"/>
      <c r="D6746" s="15"/>
      <c r="F6746" s="15"/>
      <c r="G6746" s="26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8"/>
      <c r="X6746" s="28"/>
      <c r="Y6746" s="28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28"/>
      <c r="AS6746" s="28"/>
      <c r="AT6746" s="28"/>
    </row>
    <row r="6747">
      <c r="A6747" s="14"/>
      <c r="B6747" s="15"/>
      <c r="C6747" s="16"/>
      <c r="D6747" s="15"/>
      <c r="F6747" s="15"/>
      <c r="G6747" s="26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8"/>
      <c r="X6747" s="28"/>
      <c r="Y6747" s="28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28"/>
      <c r="AS6747" s="28"/>
      <c r="AT6747" s="28"/>
    </row>
    <row r="6748">
      <c r="A6748" s="14"/>
      <c r="B6748" s="15"/>
      <c r="C6748" s="16"/>
      <c r="D6748" s="15"/>
      <c r="F6748" s="15"/>
      <c r="G6748" s="26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8"/>
      <c r="X6748" s="28"/>
      <c r="Y6748" s="28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28"/>
      <c r="AS6748" s="28"/>
      <c r="AT6748" s="28"/>
    </row>
    <row r="6749">
      <c r="A6749" s="14"/>
      <c r="B6749" s="15"/>
      <c r="C6749" s="16"/>
      <c r="D6749" s="15"/>
      <c r="F6749" s="15"/>
      <c r="G6749" s="26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8"/>
      <c r="X6749" s="28"/>
      <c r="Y6749" s="28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28"/>
      <c r="AS6749" s="28"/>
      <c r="AT6749" s="28"/>
    </row>
    <row r="6750">
      <c r="A6750" s="14"/>
      <c r="B6750" s="15"/>
      <c r="C6750" s="16"/>
      <c r="D6750" s="15"/>
      <c r="F6750" s="15"/>
      <c r="G6750" s="26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8"/>
      <c r="X6750" s="28"/>
      <c r="Y6750" s="28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28"/>
      <c r="AS6750" s="28"/>
      <c r="AT6750" s="28"/>
    </row>
    <row r="6751">
      <c r="A6751" s="14"/>
      <c r="B6751" s="15"/>
      <c r="C6751" s="16"/>
      <c r="D6751" s="15"/>
      <c r="F6751" s="15"/>
      <c r="G6751" s="26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8"/>
      <c r="X6751" s="28"/>
      <c r="Y6751" s="28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28"/>
      <c r="AS6751" s="28"/>
      <c r="AT6751" s="28"/>
    </row>
    <row r="6752">
      <c r="A6752" s="14"/>
      <c r="B6752" s="15"/>
      <c r="C6752" s="16"/>
      <c r="D6752" s="15"/>
      <c r="F6752" s="15"/>
      <c r="G6752" s="26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8"/>
      <c r="X6752" s="28"/>
      <c r="Y6752" s="28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28"/>
      <c r="AS6752" s="28"/>
      <c r="AT6752" s="28"/>
    </row>
    <row r="6753">
      <c r="A6753" s="14"/>
      <c r="B6753" s="15"/>
      <c r="C6753" s="16"/>
      <c r="D6753" s="15"/>
      <c r="F6753" s="15"/>
      <c r="G6753" s="26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8"/>
      <c r="X6753" s="28"/>
      <c r="Y6753" s="28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28"/>
      <c r="AS6753" s="28"/>
      <c r="AT6753" s="28"/>
    </row>
    <row r="6754">
      <c r="A6754" s="14"/>
      <c r="B6754" s="15"/>
      <c r="C6754" s="16"/>
      <c r="D6754" s="15"/>
      <c r="F6754" s="15"/>
      <c r="G6754" s="26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8"/>
      <c r="X6754" s="28"/>
      <c r="Y6754" s="28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28"/>
      <c r="AS6754" s="28"/>
      <c r="AT6754" s="28"/>
    </row>
    <row r="6755">
      <c r="A6755" s="14"/>
      <c r="B6755" s="15"/>
      <c r="C6755" s="16"/>
      <c r="D6755" s="15"/>
      <c r="F6755" s="15"/>
      <c r="G6755" s="26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8"/>
      <c r="X6755" s="28"/>
      <c r="Y6755" s="28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28"/>
      <c r="AS6755" s="28"/>
      <c r="AT6755" s="28"/>
    </row>
    <row r="6756">
      <c r="A6756" s="14"/>
      <c r="B6756" s="15"/>
      <c r="C6756" s="16"/>
      <c r="D6756" s="15"/>
      <c r="F6756" s="15"/>
      <c r="G6756" s="26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8"/>
      <c r="X6756" s="28"/>
      <c r="Y6756" s="28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28"/>
      <c r="AS6756" s="28"/>
      <c r="AT6756" s="28"/>
    </row>
    <row r="6757">
      <c r="A6757" s="14"/>
      <c r="B6757" s="15"/>
      <c r="C6757" s="16"/>
      <c r="D6757" s="15"/>
      <c r="F6757" s="15"/>
      <c r="G6757" s="26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8"/>
      <c r="X6757" s="28"/>
      <c r="Y6757" s="28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28"/>
      <c r="AS6757" s="28"/>
      <c r="AT6757" s="28"/>
    </row>
    <row r="6758">
      <c r="A6758" s="14"/>
      <c r="B6758" s="15"/>
      <c r="C6758" s="16"/>
      <c r="D6758" s="15"/>
      <c r="F6758" s="15"/>
      <c r="G6758" s="26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8"/>
      <c r="X6758" s="28"/>
      <c r="Y6758" s="28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28"/>
      <c r="AS6758" s="28"/>
      <c r="AT6758" s="28"/>
    </row>
    <row r="6759">
      <c r="A6759" s="14"/>
      <c r="B6759" s="15"/>
      <c r="C6759" s="16"/>
      <c r="D6759" s="15"/>
      <c r="F6759" s="15"/>
      <c r="G6759" s="26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8"/>
      <c r="X6759" s="28"/>
      <c r="Y6759" s="28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28"/>
      <c r="AS6759" s="28"/>
      <c r="AT6759" s="28"/>
    </row>
    <row r="6760">
      <c r="A6760" s="14"/>
      <c r="B6760" s="15"/>
      <c r="C6760" s="16"/>
      <c r="D6760" s="15"/>
      <c r="F6760" s="15"/>
      <c r="G6760" s="26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8"/>
      <c r="X6760" s="28"/>
      <c r="Y6760" s="28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28"/>
      <c r="AS6760" s="28"/>
      <c r="AT6760" s="28"/>
    </row>
    <row r="6761">
      <c r="A6761" s="14"/>
      <c r="B6761" s="15"/>
      <c r="C6761" s="16"/>
      <c r="D6761" s="15"/>
      <c r="F6761" s="15"/>
      <c r="G6761" s="26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8"/>
      <c r="X6761" s="28"/>
      <c r="Y6761" s="28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28"/>
      <c r="AS6761" s="28"/>
      <c r="AT6761" s="28"/>
    </row>
    <row r="6762">
      <c r="A6762" s="14"/>
      <c r="B6762" s="15"/>
      <c r="C6762" s="16"/>
      <c r="D6762" s="15"/>
      <c r="F6762" s="15"/>
      <c r="G6762" s="26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8"/>
      <c r="X6762" s="28"/>
      <c r="Y6762" s="28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28"/>
      <c r="AS6762" s="28"/>
      <c r="AT6762" s="28"/>
    </row>
    <row r="6763">
      <c r="A6763" s="14"/>
      <c r="B6763" s="15"/>
      <c r="C6763" s="16"/>
      <c r="D6763" s="15"/>
      <c r="F6763" s="15"/>
      <c r="G6763" s="26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8"/>
      <c r="X6763" s="28"/>
      <c r="Y6763" s="28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28"/>
      <c r="AS6763" s="28"/>
      <c r="AT6763" s="28"/>
    </row>
    <row r="6764">
      <c r="A6764" s="14"/>
      <c r="B6764" s="15"/>
      <c r="C6764" s="16"/>
      <c r="D6764" s="15"/>
      <c r="F6764" s="15"/>
      <c r="G6764" s="26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8"/>
      <c r="X6764" s="28"/>
      <c r="Y6764" s="28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28"/>
      <c r="AS6764" s="28"/>
      <c r="AT6764" s="28"/>
    </row>
    <row r="6765">
      <c r="A6765" s="14"/>
      <c r="B6765" s="15"/>
      <c r="C6765" s="16"/>
      <c r="D6765" s="15"/>
      <c r="F6765" s="15"/>
      <c r="G6765" s="26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8"/>
      <c r="X6765" s="28"/>
      <c r="Y6765" s="28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28"/>
      <c r="AS6765" s="28"/>
      <c r="AT6765" s="28"/>
    </row>
    <row r="6766">
      <c r="A6766" s="14"/>
      <c r="B6766" s="15"/>
      <c r="C6766" s="16"/>
      <c r="D6766" s="15"/>
      <c r="F6766" s="15"/>
      <c r="G6766" s="26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8"/>
      <c r="X6766" s="28"/>
      <c r="Y6766" s="28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28"/>
      <c r="AS6766" s="28"/>
      <c r="AT6766" s="28"/>
    </row>
    <row r="6767">
      <c r="A6767" s="14"/>
      <c r="B6767" s="15"/>
      <c r="C6767" s="16"/>
      <c r="D6767" s="15"/>
      <c r="F6767" s="15"/>
      <c r="G6767" s="26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8"/>
      <c r="X6767" s="28"/>
      <c r="Y6767" s="28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28"/>
      <c r="AS6767" s="28"/>
      <c r="AT6767" s="28"/>
    </row>
    <row r="6768">
      <c r="A6768" s="14"/>
      <c r="B6768" s="15"/>
      <c r="C6768" s="16"/>
      <c r="D6768" s="15"/>
      <c r="F6768" s="15"/>
      <c r="G6768" s="26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8"/>
      <c r="X6768" s="28"/>
      <c r="Y6768" s="28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28"/>
      <c r="AS6768" s="28"/>
      <c r="AT6768" s="28"/>
    </row>
    <row r="6769">
      <c r="A6769" s="14"/>
      <c r="B6769" s="15"/>
      <c r="C6769" s="16"/>
      <c r="D6769" s="15"/>
      <c r="F6769" s="15"/>
      <c r="G6769" s="26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8"/>
      <c r="X6769" s="28"/>
      <c r="Y6769" s="28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28"/>
      <c r="AS6769" s="28"/>
      <c r="AT6769" s="28"/>
    </row>
    <row r="6770">
      <c r="A6770" s="14"/>
      <c r="B6770" s="15"/>
      <c r="C6770" s="16"/>
      <c r="D6770" s="15"/>
      <c r="F6770" s="15"/>
      <c r="G6770" s="26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8"/>
      <c r="X6770" s="28"/>
      <c r="Y6770" s="28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28"/>
      <c r="AS6770" s="28"/>
      <c r="AT6770" s="28"/>
    </row>
    <row r="6771">
      <c r="A6771" s="14"/>
      <c r="B6771" s="15"/>
      <c r="C6771" s="16"/>
      <c r="D6771" s="15"/>
      <c r="F6771" s="15"/>
      <c r="G6771" s="26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8"/>
      <c r="X6771" s="28"/>
      <c r="Y6771" s="28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28"/>
      <c r="AS6771" s="28"/>
      <c r="AT6771" s="28"/>
    </row>
    <row r="6772">
      <c r="A6772" s="14"/>
      <c r="B6772" s="15"/>
      <c r="C6772" s="16"/>
      <c r="D6772" s="15"/>
      <c r="F6772" s="15"/>
      <c r="G6772" s="26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8"/>
      <c r="X6772" s="28"/>
      <c r="Y6772" s="28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28"/>
      <c r="AS6772" s="28"/>
      <c r="AT6772" s="28"/>
    </row>
    <row r="6773">
      <c r="A6773" s="14"/>
      <c r="B6773" s="15"/>
      <c r="C6773" s="16"/>
      <c r="D6773" s="15"/>
      <c r="F6773" s="15"/>
      <c r="G6773" s="26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8"/>
      <c r="X6773" s="28"/>
      <c r="Y6773" s="28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28"/>
      <c r="AS6773" s="28"/>
      <c r="AT6773" s="28"/>
    </row>
    <row r="6774">
      <c r="A6774" s="14"/>
      <c r="B6774" s="15"/>
      <c r="C6774" s="16"/>
      <c r="D6774" s="15"/>
      <c r="F6774" s="15"/>
      <c r="G6774" s="26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8"/>
      <c r="X6774" s="28"/>
      <c r="Y6774" s="28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28"/>
      <c r="AS6774" s="28"/>
      <c r="AT6774" s="28"/>
    </row>
    <row r="6775">
      <c r="A6775" s="14"/>
      <c r="B6775" s="15"/>
      <c r="C6775" s="16"/>
      <c r="D6775" s="15"/>
      <c r="F6775" s="15"/>
      <c r="G6775" s="26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8"/>
      <c r="X6775" s="28"/>
      <c r="Y6775" s="28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28"/>
      <c r="AS6775" s="28"/>
      <c r="AT6775" s="28"/>
    </row>
    <row r="6776">
      <c r="A6776" s="14"/>
      <c r="B6776" s="15"/>
      <c r="C6776" s="16"/>
      <c r="D6776" s="15"/>
      <c r="F6776" s="15"/>
      <c r="G6776" s="26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8"/>
      <c r="X6776" s="28"/>
      <c r="Y6776" s="28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28"/>
      <c r="AS6776" s="28"/>
      <c r="AT6776" s="28"/>
    </row>
    <row r="6777">
      <c r="A6777" s="14"/>
      <c r="B6777" s="15"/>
      <c r="C6777" s="16"/>
      <c r="D6777" s="15"/>
      <c r="F6777" s="15"/>
      <c r="G6777" s="26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8"/>
      <c r="X6777" s="28"/>
      <c r="Y6777" s="28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28"/>
      <c r="AS6777" s="28"/>
      <c r="AT6777" s="28"/>
    </row>
    <row r="6778">
      <c r="A6778" s="14"/>
      <c r="B6778" s="15"/>
      <c r="C6778" s="16"/>
      <c r="D6778" s="15"/>
      <c r="F6778" s="15"/>
      <c r="G6778" s="26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8"/>
      <c r="X6778" s="28"/>
      <c r="Y6778" s="28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28"/>
      <c r="AS6778" s="28"/>
      <c r="AT6778" s="28"/>
    </row>
    <row r="6779">
      <c r="A6779" s="14"/>
      <c r="B6779" s="15"/>
      <c r="C6779" s="16"/>
      <c r="D6779" s="15"/>
      <c r="F6779" s="15"/>
      <c r="G6779" s="26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8"/>
      <c r="X6779" s="28"/>
      <c r="Y6779" s="28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28"/>
      <c r="AS6779" s="28"/>
      <c r="AT6779" s="28"/>
    </row>
    <row r="6780">
      <c r="A6780" s="14"/>
      <c r="B6780" s="15"/>
      <c r="C6780" s="16"/>
      <c r="D6780" s="15"/>
      <c r="F6780" s="15"/>
      <c r="G6780" s="26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8"/>
      <c r="X6780" s="28"/>
      <c r="Y6780" s="28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28"/>
      <c r="AS6780" s="28"/>
      <c r="AT6780" s="28"/>
    </row>
    <row r="6781">
      <c r="A6781" s="14"/>
      <c r="B6781" s="15"/>
      <c r="C6781" s="16"/>
      <c r="D6781" s="15"/>
      <c r="F6781" s="15"/>
      <c r="G6781" s="26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8"/>
      <c r="X6781" s="28"/>
      <c r="Y6781" s="28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28"/>
      <c r="AS6781" s="28"/>
      <c r="AT6781" s="28"/>
    </row>
    <row r="6782">
      <c r="A6782" s="14"/>
      <c r="B6782" s="15"/>
      <c r="C6782" s="16"/>
      <c r="D6782" s="15"/>
      <c r="F6782" s="15"/>
      <c r="G6782" s="26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8"/>
      <c r="X6782" s="28"/>
      <c r="Y6782" s="28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28"/>
      <c r="AS6782" s="28"/>
      <c r="AT6782" s="28"/>
    </row>
    <row r="6783">
      <c r="A6783" s="14"/>
      <c r="B6783" s="15"/>
      <c r="C6783" s="16"/>
      <c r="D6783" s="15"/>
      <c r="F6783" s="15"/>
      <c r="G6783" s="26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8"/>
      <c r="X6783" s="28"/>
      <c r="Y6783" s="28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28"/>
      <c r="AS6783" s="28"/>
      <c r="AT6783" s="28"/>
    </row>
    <row r="6784">
      <c r="A6784" s="14"/>
      <c r="B6784" s="15"/>
      <c r="C6784" s="16"/>
      <c r="D6784" s="15"/>
      <c r="F6784" s="15"/>
      <c r="G6784" s="26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8"/>
      <c r="X6784" s="28"/>
      <c r="Y6784" s="28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28"/>
      <c r="AS6784" s="28"/>
      <c r="AT6784" s="28"/>
    </row>
    <row r="6785">
      <c r="A6785" s="14"/>
      <c r="B6785" s="15"/>
      <c r="C6785" s="16"/>
      <c r="D6785" s="15"/>
      <c r="F6785" s="15"/>
      <c r="G6785" s="26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8"/>
      <c r="X6785" s="28"/>
      <c r="Y6785" s="28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28"/>
      <c r="AS6785" s="28"/>
      <c r="AT6785" s="28"/>
    </row>
    <row r="6786">
      <c r="A6786" s="14"/>
      <c r="B6786" s="15"/>
      <c r="C6786" s="16"/>
      <c r="D6786" s="15"/>
      <c r="F6786" s="15"/>
      <c r="G6786" s="26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8"/>
      <c r="X6786" s="28"/>
      <c r="Y6786" s="28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28"/>
      <c r="AS6786" s="28"/>
      <c r="AT6786" s="28"/>
    </row>
    <row r="6787">
      <c r="A6787" s="14"/>
      <c r="B6787" s="15"/>
      <c r="C6787" s="16"/>
      <c r="D6787" s="15"/>
      <c r="F6787" s="15"/>
      <c r="G6787" s="26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8"/>
      <c r="X6787" s="28"/>
      <c r="Y6787" s="28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28"/>
      <c r="AS6787" s="28"/>
      <c r="AT6787" s="28"/>
    </row>
    <row r="6788">
      <c r="A6788" s="14"/>
      <c r="B6788" s="15"/>
      <c r="C6788" s="16"/>
      <c r="D6788" s="15"/>
      <c r="F6788" s="15"/>
      <c r="G6788" s="26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8"/>
      <c r="X6788" s="28"/>
      <c r="Y6788" s="28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28"/>
      <c r="AS6788" s="28"/>
      <c r="AT6788" s="28"/>
    </row>
    <row r="6789">
      <c r="A6789" s="14"/>
      <c r="B6789" s="15"/>
      <c r="C6789" s="16"/>
      <c r="D6789" s="15"/>
      <c r="F6789" s="15"/>
      <c r="G6789" s="26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8"/>
      <c r="X6789" s="28"/>
      <c r="Y6789" s="28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28"/>
      <c r="AS6789" s="28"/>
      <c r="AT6789" s="28"/>
    </row>
    <row r="6790">
      <c r="A6790" s="14"/>
      <c r="B6790" s="15"/>
      <c r="C6790" s="16"/>
      <c r="D6790" s="15"/>
      <c r="F6790" s="15"/>
      <c r="G6790" s="26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8"/>
      <c r="X6790" s="28"/>
      <c r="Y6790" s="28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28"/>
      <c r="AS6790" s="28"/>
      <c r="AT6790" s="28"/>
    </row>
    <row r="6791">
      <c r="A6791" s="14"/>
      <c r="B6791" s="15"/>
      <c r="C6791" s="16"/>
      <c r="D6791" s="15"/>
      <c r="F6791" s="15"/>
      <c r="G6791" s="26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8"/>
      <c r="X6791" s="28"/>
      <c r="Y6791" s="28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28"/>
      <c r="AS6791" s="28"/>
      <c r="AT6791" s="28"/>
    </row>
    <row r="6792">
      <c r="A6792" s="14"/>
      <c r="B6792" s="15"/>
      <c r="C6792" s="16"/>
      <c r="D6792" s="15"/>
      <c r="F6792" s="15"/>
      <c r="G6792" s="26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8"/>
      <c r="X6792" s="28"/>
      <c r="Y6792" s="28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28"/>
      <c r="AS6792" s="28"/>
      <c r="AT6792" s="28"/>
    </row>
    <row r="6793">
      <c r="A6793" s="14"/>
      <c r="B6793" s="15"/>
      <c r="C6793" s="16"/>
      <c r="D6793" s="15"/>
      <c r="F6793" s="15"/>
      <c r="G6793" s="26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8"/>
      <c r="X6793" s="28"/>
      <c r="Y6793" s="28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28"/>
      <c r="AS6793" s="28"/>
      <c r="AT6793" s="28"/>
    </row>
    <row r="6794">
      <c r="A6794" s="14"/>
      <c r="B6794" s="15"/>
      <c r="C6794" s="16"/>
      <c r="D6794" s="15"/>
      <c r="F6794" s="15"/>
      <c r="G6794" s="26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8"/>
      <c r="X6794" s="28"/>
      <c r="Y6794" s="28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28"/>
      <c r="AS6794" s="28"/>
      <c r="AT6794" s="28"/>
    </row>
    <row r="6795">
      <c r="A6795" s="14"/>
      <c r="B6795" s="15"/>
      <c r="C6795" s="16"/>
      <c r="D6795" s="15"/>
      <c r="F6795" s="15"/>
      <c r="G6795" s="26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8"/>
      <c r="X6795" s="28"/>
      <c r="Y6795" s="28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28"/>
      <c r="AS6795" s="28"/>
      <c r="AT6795" s="28"/>
    </row>
    <row r="6796">
      <c r="A6796" s="14"/>
      <c r="B6796" s="15"/>
      <c r="C6796" s="16"/>
      <c r="D6796" s="15"/>
      <c r="F6796" s="15"/>
      <c r="G6796" s="26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8"/>
      <c r="X6796" s="28"/>
      <c r="Y6796" s="28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28"/>
      <c r="AS6796" s="28"/>
      <c r="AT6796" s="28"/>
    </row>
    <row r="6797">
      <c r="A6797" s="14"/>
      <c r="B6797" s="15"/>
      <c r="C6797" s="16"/>
      <c r="D6797" s="15"/>
      <c r="F6797" s="15"/>
      <c r="G6797" s="26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28"/>
      <c r="AS6797" s="28"/>
      <c r="AT6797" s="28"/>
    </row>
    <row r="6798">
      <c r="A6798" s="14"/>
      <c r="B6798" s="15"/>
      <c r="C6798" s="16"/>
      <c r="D6798" s="15"/>
      <c r="F6798" s="15"/>
      <c r="G6798" s="26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8"/>
      <c r="X6798" s="28"/>
      <c r="Y6798" s="28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28"/>
      <c r="AS6798" s="28"/>
      <c r="AT6798" s="28"/>
    </row>
    <row r="6799">
      <c r="A6799" s="14"/>
      <c r="B6799" s="15"/>
      <c r="C6799" s="16"/>
      <c r="D6799" s="15"/>
      <c r="F6799" s="15"/>
      <c r="G6799" s="26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8"/>
      <c r="X6799" s="28"/>
      <c r="Y6799" s="28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28"/>
      <c r="AS6799" s="28"/>
      <c r="AT6799" s="28"/>
    </row>
    <row r="6800">
      <c r="A6800" s="14"/>
      <c r="B6800" s="15"/>
      <c r="C6800" s="16"/>
      <c r="D6800" s="15"/>
      <c r="F6800" s="15"/>
      <c r="G6800" s="26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8"/>
      <c r="X6800" s="28"/>
      <c r="Y6800" s="28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28"/>
      <c r="AS6800" s="28"/>
      <c r="AT6800" s="28"/>
    </row>
    <row r="6801">
      <c r="A6801" s="14"/>
      <c r="B6801" s="15"/>
      <c r="C6801" s="16"/>
      <c r="D6801" s="15"/>
      <c r="F6801" s="15"/>
      <c r="G6801" s="26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8"/>
      <c r="X6801" s="28"/>
      <c r="Y6801" s="28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28"/>
      <c r="AS6801" s="28"/>
      <c r="AT6801" s="28"/>
    </row>
    <row r="6802">
      <c r="A6802" s="14"/>
      <c r="B6802" s="15"/>
      <c r="C6802" s="16"/>
      <c r="D6802" s="15"/>
      <c r="F6802" s="15"/>
      <c r="G6802" s="26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8"/>
      <c r="X6802" s="28"/>
      <c r="Y6802" s="28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28"/>
      <c r="AS6802" s="28"/>
      <c r="AT6802" s="28"/>
    </row>
    <row r="6803">
      <c r="A6803" s="14"/>
      <c r="B6803" s="15"/>
      <c r="C6803" s="16"/>
      <c r="D6803" s="15"/>
      <c r="F6803" s="15"/>
      <c r="G6803" s="26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8"/>
      <c r="X6803" s="28"/>
      <c r="Y6803" s="28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28"/>
      <c r="AS6803" s="28"/>
      <c r="AT6803" s="28"/>
    </row>
    <row r="6804">
      <c r="A6804" s="14"/>
      <c r="B6804" s="15"/>
      <c r="C6804" s="16"/>
      <c r="D6804" s="15"/>
      <c r="F6804" s="15"/>
      <c r="G6804" s="26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8"/>
      <c r="X6804" s="28"/>
      <c r="Y6804" s="28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28"/>
      <c r="AS6804" s="28"/>
      <c r="AT6804" s="28"/>
    </row>
    <row r="6805">
      <c r="A6805" s="14"/>
      <c r="B6805" s="15"/>
      <c r="C6805" s="16"/>
      <c r="D6805" s="15"/>
      <c r="F6805" s="15"/>
      <c r="G6805" s="26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8"/>
      <c r="X6805" s="28"/>
      <c r="Y6805" s="28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28"/>
      <c r="AS6805" s="28"/>
      <c r="AT6805" s="28"/>
    </row>
    <row r="6806">
      <c r="A6806" s="14"/>
      <c r="B6806" s="15"/>
      <c r="C6806" s="16"/>
      <c r="D6806" s="15"/>
      <c r="F6806" s="15"/>
      <c r="G6806" s="26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8"/>
      <c r="X6806" s="28"/>
      <c r="Y6806" s="28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28"/>
      <c r="AS6806" s="28"/>
      <c r="AT6806" s="28"/>
    </row>
    <row r="6807">
      <c r="A6807" s="14"/>
      <c r="B6807" s="15"/>
      <c r="C6807" s="16"/>
      <c r="D6807" s="15"/>
      <c r="F6807" s="15"/>
      <c r="G6807" s="26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8"/>
      <c r="X6807" s="28"/>
      <c r="Y6807" s="28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28"/>
      <c r="AS6807" s="28"/>
      <c r="AT6807" s="28"/>
    </row>
    <row r="6808">
      <c r="A6808" s="14"/>
      <c r="B6808" s="15"/>
      <c r="C6808" s="16"/>
      <c r="D6808" s="15"/>
      <c r="F6808" s="15"/>
      <c r="G6808" s="26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8"/>
      <c r="X6808" s="28"/>
      <c r="Y6808" s="28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28"/>
      <c r="AS6808" s="28"/>
      <c r="AT6808" s="28"/>
    </row>
    <row r="6809">
      <c r="A6809" s="14"/>
      <c r="B6809" s="15"/>
      <c r="C6809" s="16"/>
      <c r="D6809" s="15"/>
      <c r="F6809" s="15"/>
      <c r="G6809" s="26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8"/>
      <c r="X6809" s="28"/>
      <c r="Y6809" s="28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28"/>
      <c r="AS6809" s="28"/>
      <c r="AT6809" s="28"/>
    </row>
    <row r="6810">
      <c r="A6810" s="14"/>
      <c r="B6810" s="15"/>
      <c r="C6810" s="16"/>
      <c r="D6810" s="15"/>
      <c r="F6810" s="15"/>
      <c r="G6810" s="26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8"/>
      <c r="X6810" s="28"/>
      <c r="Y6810" s="28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28"/>
      <c r="AS6810" s="28"/>
      <c r="AT6810" s="28"/>
    </row>
    <row r="6811">
      <c r="A6811" s="14"/>
      <c r="B6811" s="15"/>
      <c r="C6811" s="16"/>
      <c r="D6811" s="15"/>
      <c r="F6811" s="15"/>
      <c r="G6811" s="26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8"/>
      <c r="X6811" s="28"/>
      <c r="Y6811" s="28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28"/>
      <c r="AS6811" s="28"/>
      <c r="AT6811" s="28"/>
    </row>
    <row r="6812">
      <c r="A6812" s="14"/>
      <c r="B6812" s="15"/>
      <c r="C6812" s="16"/>
      <c r="D6812" s="15"/>
      <c r="F6812" s="15"/>
      <c r="G6812" s="26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8"/>
      <c r="X6812" s="28"/>
      <c r="Y6812" s="28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28"/>
      <c r="AS6812" s="28"/>
      <c r="AT6812" s="28"/>
    </row>
    <row r="6813">
      <c r="A6813" s="14"/>
      <c r="B6813" s="15"/>
      <c r="C6813" s="16"/>
      <c r="D6813" s="15"/>
      <c r="F6813" s="15"/>
      <c r="G6813" s="26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8"/>
      <c r="X6813" s="28"/>
      <c r="Y6813" s="28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28"/>
      <c r="AS6813" s="28"/>
      <c r="AT6813" s="28"/>
    </row>
    <row r="6814">
      <c r="A6814" s="14"/>
      <c r="B6814" s="15"/>
      <c r="C6814" s="16"/>
      <c r="D6814" s="15"/>
      <c r="F6814" s="15"/>
      <c r="G6814" s="26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8"/>
      <c r="X6814" s="28"/>
      <c r="Y6814" s="28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28"/>
      <c r="AS6814" s="28"/>
      <c r="AT6814" s="28"/>
    </row>
    <row r="6815">
      <c r="A6815" s="14"/>
      <c r="B6815" s="15"/>
      <c r="C6815" s="16"/>
      <c r="D6815" s="15"/>
      <c r="F6815" s="15"/>
      <c r="G6815" s="26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8"/>
      <c r="X6815" s="28"/>
      <c r="Y6815" s="28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28"/>
      <c r="AS6815" s="28"/>
      <c r="AT6815" s="28"/>
    </row>
    <row r="6816">
      <c r="A6816" s="14"/>
      <c r="B6816" s="15"/>
      <c r="C6816" s="16"/>
      <c r="D6816" s="15"/>
      <c r="F6816" s="15"/>
      <c r="G6816" s="26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8"/>
      <c r="X6816" s="28"/>
      <c r="Y6816" s="28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28"/>
      <c r="AS6816" s="28"/>
      <c r="AT6816" s="28"/>
    </row>
    <row r="6817">
      <c r="A6817" s="14"/>
      <c r="B6817" s="15"/>
      <c r="C6817" s="16"/>
      <c r="D6817" s="15"/>
      <c r="F6817" s="15"/>
      <c r="G6817" s="26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8"/>
      <c r="X6817" s="28"/>
      <c r="Y6817" s="28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28"/>
      <c r="AS6817" s="28"/>
      <c r="AT6817" s="28"/>
    </row>
    <row r="6818">
      <c r="A6818" s="14"/>
      <c r="B6818" s="15"/>
      <c r="C6818" s="16"/>
      <c r="D6818" s="15"/>
      <c r="F6818" s="15"/>
      <c r="G6818" s="26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8"/>
      <c r="X6818" s="28"/>
      <c r="Y6818" s="28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28"/>
      <c r="AS6818" s="28"/>
      <c r="AT6818" s="28"/>
    </row>
    <row r="6819">
      <c r="A6819" s="14"/>
      <c r="B6819" s="15"/>
      <c r="C6819" s="16"/>
      <c r="D6819" s="15"/>
      <c r="F6819" s="15"/>
      <c r="G6819" s="26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8"/>
      <c r="X6819" s="28"/>
      <c r="Y6819" s="28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28"/>
      <c r="AS6819" s="28"/>
      <c r="AT6819" s="28"/>
    </row>
    <row r="6820">
      <c r="A6820" s="14"/>
      <c r="B6820" s="15"/>
      <c r="C6820" s="16"/>
      <c r="D6820" s="15"/>
      <c r="F6820" s="15"/>
      <c r="G6820" s="26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8"/>
      <c r="X6820" s="28"/>
      <c r="Y6820" s="28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28"/>
      <c r="AS6820" s="28"/>
      <c r="AT6820" s="28"/>
    </row>
    <row r="6821">
      <c r="A6821" s="14"/>
      <c r="B6821" s="15"/>
      <c r="C6821" s="16"/>
      <c r="D6821" s="15"/>
      <c r="F6821" s="15"/>
      <c r="G6821" s="26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8"/>
      <c r="X6821" s="28"/>
      <c r="Y6821" s="28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28"/>
      <c r="AS6821" s="28"/>
      <c r="AT6821" s="28"/>
    </row>
    <row r="6822">
      <c r="A6822" s="14"/>
      <c r="B6822" s="15"/>
      <c r="C6822" s="16"/>
      <c r="D6822" s="15"/>
      <c r="F6822" s="15"/>
      <c r="G6822" s="26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8"/>
      <c r="X6822" s="28"/>
      <c r="Y6822" s="28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28"/>
      <c r="AS6822" s="28"/>
      <c r="AT6822" s="28"/>
    </row>
    <row r="6823">
      <c r="A6823" s="14"/>
      <c r="B6823" s="15"/>
      <c r="C6823" s="16"/>
      <c r="D6823" s="15"/>
      <c r="F6823" s="15"/>
      <c r="G6823" s="26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8"/>
      <c r="X6823" s="28"/>
      <c r="Y6823" s="28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28"/>
      <c r="AS6823" s="28"/>
      <c r="AT6823" s="28"/>
    </row>
    <row r="6824">
      <c r="A6824" s="14"/>
      <c r="B6824" s="15"/>
      <c r="C6824" s="16"/>
      <c r="D6824" s="15"/>
      <c r="F6824" s="15"/>
      <c r="G6824" s="26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8"/>
      <c r="X6824" s="28"/>
      <c r="Y6824" s="28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28"/>
      <c r="AS6824" s="28"/>
      <c r="AT6824" s="28"/>
    </row>
    <row r="6825">
      <c r="A6825" s="14"/>
      <c r="B6825" s="15"/>
      <c r="C6825" s="16"/>
      <c r="D6825" s="15"/>
      <c r="F6825" s="15"/>
      <c r="G6825" s="26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8"/>
      <c r="X6825" s="28"/>
      <c r="Y6825" s="28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28"/>
      <c r="AS6825" s="28"/>
      <c r="AT6825" s="28"/>
    </row>
    <row r="6826">
      <c r="A6826" s="14"/>
      <c r="B6826" s="15"/>
      <c r="C6826" s="16"/>
      <c r="D6826" s="15"/>
      <c r="F6826" s="15"/>
      <c r="G6826" s="26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8"/>
      <c r="X6826" s="28"/>
      <c r="Y6826" s="28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28"/>
      <c r="AS6826" s="28"/>
      <c r="AT6826" s="28"/>
    </row>
    <row r="6827">
      <c r="A6827" s="14"/>
      <c r="B6827" s="15"/>
      <c r="C6827" s="16"/>
      <c r="D6827" s="15"/>
      <c r="F6827" s="15"/>
      <c r="G6827" s="26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8"/>
      <c r="X6827" s="28"/>
      <c r="Y6827" s="28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28"/>
      <c r="AS6827" s="28"/>
      <c r="AT6827" s="28"/>
    </row>
    <row r="6828">
      <c r="A6828" s="14"/>
      <c r="B6828" s="15"/>
      <c r="C6828" s="16"/>
      <c r="D6828" s="15"/>
      <c r="F6828" s="15"/>
      <c r="G6828" s="26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8"/>
      <c r="X6828" s="28"/>
      <c r="Y6828" s="28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28"/>
      <c r="AS6828" s="28"/>
      <c r="AT6828" s="28"/>
    </row>
    <row r="6829">
      <c r="A6829" s="14"/>
      <c r="B6829" s="15"/>
      <c r="C6829" s="16"/>
      <c r="D6829" s="15"/>
      <c r="F6829" s="15"/>
      <c r="G6829" s="26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8"/>
      <c r="X6829" s="28"/>
      <c r="Y6829" s="28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28"/>
      <c r="AS6829" s="28"/>
      <c r="AT6829" s="28"/>
    </row>
    <row r="6830">
      <c r="A6830" s="14"/>
      <c r="B6830" s="15"/>
      <c r="C6830" s="16"/>
      <c r="D6830" s="15"/>
      <c r="F6830" s="15"/>
      <c r="G6830" s="26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8"/>
      <c r="X6830" s="28"/>
      <c r="Y6830" s="28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28"/>
      <c r="AS6830" s="28"/>
      <c r="AT6830" s="28"/>
    </row>
    <row r="6831">
      <c r="A6831" s="14"/>
      <c r="B6831" s="15"/>
      <c r="C6831" s="16"/>
      <c r="D6831" s="15"/>
      <c r="F6831" s="15"/>
      <c r="G6831" s="26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8"/>
      <c r="X6831" s="28"/>
      <c r="Y6831" s="28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28"/>
      <c r="AS6831" s="28"/>
      <c r="AT6831" s="28"/>
    </row>
    <row r="6832">
      <c r="A6832" s="14"/>
      <c r="B6832" s="15"/>
      <c r="C6832" s="16"/>
      <c r="D6832" s="15"/>
      <c r="F6832" s="15"/>
      <c r="G6832" s="26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8"/>
      <c r="X6832" s="28"/>
      <c r="Y6832" s="28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28"/>
      <c r="AS6832" s="28"/>
      <c r="AT6832" s="28"/>
    </row>
    <row r="6833">
      <c r="A6833" s="14"/>
      <c r="B6833" s="15"/>
      <c r="C6833" s="16"/>
      <c r="D6833" s="15"/>
      <c r="F6833" s="15"/>
      <c r="G6833" s="26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8"/>
      <c r="X6833" s="28"/>
      <c r="Y6833" s="28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28"/>
      <c r="AS6833" s="28"/>
      <c r="AT6833" s="28"/>
    </row>
    <row r="6834">
      <c r="A6834" s="14"/>
      <c r="B6834" s="15"/>
      <c r="C6834" s="16"/>
      <c r="D6834" s="15"/>
      <c r="F6834" s="15"/>
      <c r="G6834" s="26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8"/>
      <c r="X6834" s="28"/>
      <c r="Y6834" s="28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28"/>
      <c r="AS6834" s="28"/>
      <c r="AT6834" s="28"/>
    </row>
    <row r="6835">
      <c r="A6835" s="14"/>
      <c r="B6835" s="15"/>
      <c r="C6835" s="16"/>
      <c r="D6835" s="15"/>
      <c r="F6835" s="15"/>
      <c r="G6835" s="26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8"/>
      <c r="X6835" s="28"/>
      <c r="Y6835" s="28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28"/>
      <c r="AS6835" s="28"/>
      <c r="AT6835" s="28"/>
    </row>
    <row r="6836">
      <c r="A6836" s="14"/>
      <c r="B6836" s="15"/>
      <c r="C6836" s="16"/>
      <c r="D6836" s="15"/>
      <c r="F6836" s="15"/>
      <c r="G6836" s="26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8"/>
      <c r="X6836" s="28"/>
      <c r="Y6836" s="28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28"/>
      <c r="AS6836" s="28"/>
      <c r="AT6836" s="28"/>
    </row>
    <row r="6837">
      <c r="A6837" s="14"/>
      <c r="B6837" s="15"/>
      <c r="C6837" s="16"/>
      <c r="D6837" s="15"/>
      <c r="F6837" s="15"/>
      <c r="G6837" s="26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8"/>
      <c r="X6837" s="28"/>
      <c r="Y6837" s="28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28"/>
      <c r="AS6837" s="28"/>
      <c r="AT6837" s="28"/>
    </row>
    <row r="6838">
      <c r="A6838" s="14"/>
      <c r="B6838" s="15"/>
      <c r="C6838" s="16"/>
      <c r="D6838" s="15"/>
      <c r="F6838" s="15"/>
      <c r="G6838" s="26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8"/>
      <c r="X6838" s="28"/>
      <c r="Y6838" s="28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28"/>
      <c r="AS6838" s="28"/>
      <c r="AT6838" s="28"/>
    </row>
    <row r="6839">
      <c r="A6839" s="14"/>
      <c r="B6839" s="15"/>
      <c r="C6839" s="16"/>
      <c r="D6839" s="15"/>
      <c r="F6839" s="15"/>
      <c r="G6839" s="26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8"/>
      <c r="X6839" s="28"/>
      <c r="Y6839" s="28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28"/>
      <c r="AS6839" s="28"/>
      <c r="AT6839" s="28"/>
    </row>
    <row r="6840">
      <c r="A6840" s="14"/>
      <c r="B6840" s="15"/>
      <c r="C6840" s="16"/>
      <c r="D6840" s="15"/>
      <c r="F6840" s="15"/>
      <c r="G6840" s="26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8"/>
      <c r="X6840" s="28"/>
      <c r="Y6840" s="28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28"/>
      <c r="AS6840" s="28"/>
      <c r="AT6840" s="28"/>
    </row>
    <row r="6841">
      <c r="A6841" s="14"/>
      <c r="B6841" s="15"/>
      <c r="C6841" s="16"/>
      <c r="D6841" s="15"/>
      <c r="F6841" s="15"/>
      <c r="G6841" s="26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8"/>
      <c r="X6841" s="28"/>
      <c r="Y6841" s="28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28"/>
      <c r="AS6841" s="28"/>
      <c r="AT6841" s="28"/>
    </row>
    <row r="6842">
      <c r="A6842" s="14"/>
      <c r="B6842" s="15"/>
      <c r="C6842" s="16"/>
      <c r="D6842" s="15"/>
      <c r="F6842" s="15"/>
      <c r="G6842" s="26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8"/>
      <c r="X6842" s="28"/>
      <c r="Y6842" s="28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28"/>
      <c r="AS6842" s="28"/>
      <c r="AT6842" s="28"/>
    </row>
    <row r="6843">
      <c r="A6843" s="14"/>
      <c r="B6843" s="15"/>
      <c r="C6843" s="16"/>
      <c r="D6843" s="15"/>
      <c r="F6843" s="15"/>
      <c r="G6843" s="26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8"/>
      <c r="X6843" s="28"/>
      <c r="Y6843" s="28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28"/>
      <c r="AS6843" s="28"/>
      <c r="AT6843" s="28"/>
    </row>
    <row r="6844">
      <c r="A6844" s="14"/>
      <c r="B6844" s="15"/>
      <c r="C6844" s="16"/>
      <c r="D6844" s="15"/>
      <c r="F6844" s="15"/>
      <c r="G6844" s="26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8"/>
      <c r="X6844" s="28"/>
      <c r="Y6844" s="28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28"/>
      <c r="AS6844" s="28"/>
      <c r="AT6844" s="28"/>
    </row>
    <row r="6845">
      <c r="A6845" s="14"/>
      <c r="B6845" s="15"/>
      <c r="C6845" s="16"/>
      <c r="D6845" s="15"/>
      <c r="F6845" s="15"/>
      <c r="G6845" s="26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8"/>
      <c r="X6845" s="28"/>
      <c r="Y6845" s="28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28"/>
      <c r="AS6845" s="28"/>
      <c r="AT6845" s="28"/>
    </row>
    <row r="6846">
      <c r="A6846" s="14"/>
      <c r="B6846" s="15"/>
      <c r="C6846" s="16"/>
      <c r="D6846" s="15"/>
      <c r="F6846" s="15"/>
      <c r="G6846" s="26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8"/>
      <c r="X6846" s="28"/>
      <c r="Y6846" s="28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28"/>
      <c r="AS6846" s="28"/>
      <c r="AT6846" s="28"/>
    </row>
    <row r="6847">
      <c r="A6847" s="14"/>
      <c r="B6847" s="15"/>
      <c r="C6847" s="16"/>
      <c r="D6847" s="15"/>
      <c r="F6847" s="15"/>
      <c r="G6847" s="26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8"/>
      <c r="X6847" s="28"/>
      <c r="Y6847" s="28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28"/>
      <c r="AS6847" s="28"/>
      <c r="AT6847" s="28"/>
    </row>
    <row r="6848">
      <c r="A6848" s="14"/>
      <c r="B6848" s="15"/>
      <c r="C6848" s="16"/>
      <c r="D6848" s="15"/>
      <c r="F6848" s="15"/>
      <c r="G6848" s="26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8"/>
      <c r="X6848" s="28"/>
      <c r="Y6848" s="28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28"/>
      <c r="AS6848" s="28"/>
      <c r="AT6848" s="28"/>
    </row>
    <row r="6849">
      <c r="A6849" s="14"/>
      <c r="B6849" s="15"/>
      <c r="C6849" s="16"/>
      <c r="D6849" s="15"/>
      <c r="F6849" s="15"/>
      <c r="G6849" s="26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8"/>
      <c r="X6849" s="28"/>
      <c r="Y6849" s="28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28"/>
      <c r="AS6849" s="28"/>
      <c r="AT6849" s="28"/>
    </row>
    <row r="6850">
      <c r="A6850" s="14"/>
      <c r="B6850" s="15"/>
      <c r="C6850" s="16"/>
      <c r="D6850" s="15"/>
      <c r="F6850" s="15"/>
      <c r="G6850" s="26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8"/>
      <c r="X6850" s="28"/>
      <c r="Y6850" s="28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28"/>
      <c r="AS6850" s="28"/>
      <c r="AT6850" s="28"/>
    </row>
    <row r="6851">
      <c r="A6851" s="14"/>
      <c r="B6851" s="15"/>
      <c r="C6851" s="16"/>
      <c r="D6851" s="15"/>
      <c r="F6851" s="15"/>
      <c r="G6851" s="26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8"/>
      <c r="X6851" s="28"/>
      <c r="Y6851" s="28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28"/>
      <c r="AS6851" s="28"/>
      <c r="AT6851" s="28"/>
    </row>
    <row r="6852">
      <c r="A6852" s="14"/>
      <c r="B6852" s="15"/>
      <c r="C6852" s="16"/>
      <c r="D6852" s="15"/>
      <c r="F6852" s="15"/>
      <c r="G6852" s="26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8"/>
      <c r="X6852" s="28"/>
      <c r="Y6852" s="28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28"/>
      <c r="AS6852" s="28"/>
      <c r="AT6852" s="28"/>
    </row>
    <row r="6853">
      <c r="A6853" s="14"/>
      <c r="B6853" s="15"/>
      <c r="C6853" s="16"/>
      <c r="D6853" s="15"/>
      <c r="F6853" s="15"/>
      <c r="G6853" s="26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28"/>
      <c r="AS6853" s="28"/>
      <c r="AT6853" s="28"/>
    </row>
    <row r="6854">
      <c r="A6854" s="14"/>
      <c r="B6854" s="15"/>
      <c r="C6854" s="16"/>
      <c r="D6854" s="15"/>
      <c r="F6854" s="15"/>
      <c r="G6854" s="26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8"/>
      <c r="X6854" s="28"/>
      <c r="Y6854" s="28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28"/>
      <c r="AS6854" s="28"/>
      <c r="AT6854" s="28"/>
    </row>
    <row r="6855">
      <c r="A6855" s="14"/>
      <c r="B6855" s="15"/>
      <c r="C6855" s="16"/>
      <c r="D6855" s="15"/>
      <c r="F6855" s="15"/>
      <c r="G6855" s="26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8"/>
      <c r="X6855" s="28"/>
      <c r="Y6855" s="28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28"/>
      <c r="AS6855" s="28"/>
      <c r="AT6855" s="28"/>
    </row>
    <row r="6856">
      <c r="A6856" s="14"/>
      <c r="B6856" s="15"/>
      <c r="C6856" s="16"/>
      <c r="D6856" s="15"/>
      <c r="F6856" s="15"/>
      <c r="G6856" s="26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8"/>
      <c r="X6856" s="28"/>
      <c r="Y6856" s="28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28"/>
      <c r="AS6856" s="28"/>
      <c r="AT6856" s="28"/>
    </row>
    <row r="6857">
      <c r="A6857" s="14"/>
      <c r="B6857" s="15"/>
      <c r="C6857" s="16"/>
      <c r="D6857" s="15"/>
      <c r="F6857" s="15"/>
      <c r="G6857" s="26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8"/>
      <c r="X6857" s="28"/>
      <c r="Y6857" s="28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28"/>
      <c r="AS6857" s="28"/>
      <c r="AT6857" s="28"/>
    </row>
    <row r="6858">
      <c r="A6858" s="14"/>
      <c r="B6858" s="15"/>
      <c r="C6858" s="16"/>
      <c r="D6858" s="15"/>
      <c r="F6858" s="15"/>
      <c r="G6858" s="26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8"/>
      <c r="X6858" s="28"/>
      <c r="Y6858" s="28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28"/>
      <c r="AS6858" s="28"/>
      <c r="AT6858" s="28"/>
    </row>
    <row r="6859">
      <c r="A6859" s="14"/>
      <c r="B6859" s="15"/>
      <c r="C6859" s="16"/>
      <c r="D6859" s="15"/>
      <c r="F6859" s="15"/>
      <c r="G6859" s="26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8"/>
      <c r="X6859" s="28"/>
      <c r="Y6859" s="28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28"/>
      <c r="AS6859" s="28"/>
      <c r="AT6859" s="28"/>
    </row>
    <row r="6860">
      <c r="A6860" s="14"/>
      <c r="B6860" s="15"/>
      <c r="C6860" s="16"/>
      <c r="D6860" s="15"/>
      <c r="F6860" s="15"/>
      <c r="G6860" s="26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8"/>
      <c r="X6860" s="28"/>
      <c r="Y6860" s="28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28"/>
      <c r="AS6860" s="28"/>
      <c r="AT6860" s="28"/>
    </row>
    <row r="6861">
      <c r="A6861" s="14"/>
      <c r="B6861" s="15"/>
      <c r="C6861" s="16"/>
      <c r="D6861" s="15"/>
      <c r="F6861" s="15"/>
      <c r="G6861" s="26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8"/>
      <c r="X6861" s="28"/>
      <c r="Y6861" s="28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28"/>
      <c r="AS6861" s="28"/>
      <c r="AT6861" s="28"/>
    </row>
    <row r="6862">
      <c r="A6862" s="14"/>
      <c r="B6862" s="15"/>
      <c r="C6862" s="16"/>
      <c r="D6862" s="15"/>
      <c r="F6862" s="15"/>
      <c r="G6862" s="26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8"/>
      <c r="X6862" s="28"/>
      <c r="Y6862" s="28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28"/>
      <c r="AS6862" s="28"/>
      <c r="AT6862" s="28"/>
    </row>
    <row r="6863">
      <c r="A6863" s="14"/>
      <c r="B6863" s="15"/>
      <c r="C6863" s="16"/>
      <c r="D6863" s="15"/>
      <c r="F6863" s="15"/>
      <c r="G6863" s="26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8"/>
      <c r="X6863" s="28"/>
      <c r="Y6863" s="28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28"/>
      <c r="AS6863" s="28"/>
      <c r="AT6863" s="28"/>
    </row>
    <row r="6864">
      <c r="A6864" s="14"/>
      <c r="B6864" s="15"/>
      <c r="C6864" s="16"/>
      <c r="D6864" s="15"/>
      <c r="F6864" s="15"/>
      <c r="G6864" s="26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8"/>
      <c r="X6864" s="28"/>
      <c r="Y6864" s="28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28"/>
      <c r="AS6864" s="28"/>
      <c r="AT6864" s="28"/>
    </row>
    <row r="6865">
      <c r="A6865" s="14"/>
      <c r="B6865" s="15"/>
      <c r="C6865" s="16"/>
      <c r="D6865" s="15"/>
      <c r="F6865" s="15"/>
      <c r="G6865" s="26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28"/>
      <c r="AS6865" s="28"/>
      <c r="AT6865" s="28"/>
    </row>
    <row r="6866">
      <c r="A6866" s="14"/>
      <c r="B6866" s="15"/>
      <c r="C6866" s="16"/>
      <c r="D6866" s="15"/>
      <c r="F6866" s="15"/>
      <c r="G6866" s="26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28"/>
      <c r="AS6866" s="28"/>
      <c r="AT6866" s="28"/>
    </row>
    <row r="6867">
      <c r="A6867" s="14"/>
      <c r="B6867" s="15"/>
      <c r="C6867" s="16"/>
      <c r="D6867" s="15"/>
      <c r="F6867" s="15"/>
      <c r="G6867" s="26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28"/>
      <c r="AS6867" s="28"/>
      <c r="AT6867" s="28"/>
    </row>
    <row r="6868">
      <c r="A6868" s="14"/>
      <c r="B6868" s="15"/>
      <c r="C6868" s="16"/>
      <c r="D6868" s="15"/>
      <c r="F6868" s="15"/>
      <c r="G6868" s="26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8"/>
      <c r="X6868" s="28"/>
      <c r="Y6868" s="28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28"/>
      <c r="AS6868" s="28"/>
      <c r="AT6868" s="28"/>
    </row>
    <row r="6869">
      <c r="A6869" s="14"/>
      <c r="B6869" s="15"/>
      <c r="C6869" s="16"/>
      <c r="D6869" s="15"/>
      <c r="F6869" s="15"/>
      <c r="G6869" s="26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8"/>
      <c r="X6869" s="28"/>
      <c r="Y6869" s="28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28"/>
      <c r="AS6869" s="28"/>
      <c r="AT6869" s="28"/>
    </row>
    <row r="6870">
      <c r="A6870" s="14"/>
      <c r="B6870" s="15"/>
      <c r="C6870" s="16"/>
      <c r="D6870" s="15"/>
      <c r="F6870" s="15"/>
      <c r="G6870" s="26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8"/>
      <c r="X6870" s="28"/>
      <c r="Y6870" s="28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28"/>
      <c r="AS6870" s="28"/>
      <c r="AT6870" s="28"/>
    </row>
    <row r="6871">
      <c r="A6871" s="14"/>
      <c r="B6871" s="15"/>
      <c r="C6871" s="16"/>
      <c r="D6871" s="15"/>
      <c r="F6871" s="15"/>
      <c r="G6871" s="26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8"/>
      <c r="X6871" s="28"/>
      <c r="Y6871" s="28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28"/>
      <c r="AS6871" s="28"/>
      <c r="AT6871" s="28"/>
    </row>
    <row r="6872">
      <c r="A6872" s="14"/>
      <c r="B6872" s="15"/>
      <c r="C6872" s="16"/>
      <c r="D6872" s="15"/>
      <c r="F6872" s="15"/>
      <c r="G6872" s="26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8"/>
      <c r="X6872" s="28"/>
      <c r="Y6872" s="28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28"/>
      <c r="AS6872" s="28"/>
      <c r="AT6872" s="28"/>
    </row>
    <row r="6873">
      <c r="A6873" s="14"/>
      <c r="B6873" s="15"/>
      <c r="C6873" s="16"/>
      <c r="D6873" s="15"/>
      <c r="F6873" s="15"/>
      <c r="G6873" s="26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8"/>
      <c r="X6873" s="28"/>
      <c r="Y6873" s="28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28"/>
      <c r="AS6873" s="28"/>
      <c r="AT6873" s="28"/>
    </row>
    <row r="6874">
      <c r="A6874" s="14"/>
      <c r="B6874" s="15"/>
      <c r="C6874" s="16"/>
      <c r="D6874" s="15"/>
      <c r="F6874" s="15"/>
      <c r="G6874" s="26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8"/>
      <c r="X6874" s="28"/>
      <c r="Y6874" s="28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28"/>
      <c r="AS6874" s="28"/>
      <c r="AT6874" s="28"/>
    </row>
    <row r="6875">
      <c r="A6875" s="14"/>
      <c r="B6875" s="15"/>
      <c r="C6875" s="16"/>
      <c r="D6875" s="15"/>
      <c r="F6875" s="15"/>
      <c r="G6875" s="26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8"/>
      <c r="X6875" s="28"/>
      <c r="Y6875" s="28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28"/>
      <c r="AS6875" s="28"/>
      <c r="AT6875" s="28"/>
    </row>
    <row r="6876">
      <c r="A6876" s="14"/>
      <c r="B6876" s="15"/>
      <c r="C6876" s="16"/>
      <c r="D6876" s="15"/>
      <c r="F6876" s="15"/>
      <c r="G6876" s="26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8"/>
      <c r="X6876" s="28"/>
      <c r="Y6876" s="28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28"/>
      <c r="AS6876" s="28"/>
      <c r="AT6876" s="28"/>
    </row>
    <row r="6877">
      <c r="A6877" s="14"/>
      <c r="B6877" s="15"/>
      <c r="C6877" s="16"/>
      <c r="D6877" s="15"/>
      <c r="F6877" s="15"/>
      <c r="G6877" s="26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8"/>
      <c r="X6877" s="28"/>
      <c r="Y6877" s="28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28"/>
      <c r="AS6877" s="28"/>
      <c r="AT6877" s="28"/>
    </row>
    <row r="6878">
      <c r="A6878" s="14"/>
      <c r="B6878" s="15"/>
      <c r="C6878" s="16"/>
      <c r="D6878" s="15"/>
      <c r="F6878" s="15"/>
      <c r="G6878" s="26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8"/>
      <c r="X6878" s="28"/>
      <c r="Y6878" s="28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28"/>
      <c r="AS6878" s="28"/>
      <c r="AT6878" s="28"/>
    </row>
    <row r="6879">
      <c r="A6879" s="14"/>
      <c r="B6879" s="15"/>
      <c r="C6879" s="16"/>
      <c r="D6879" s="15"/>
      <c r="F6879" s="15"/>
      <c r="G6879" s="26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8"/>
      <c r="X6879" s="28"/>
      <c r="Y6879" s="28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28"/>
      <c r="AS6879" s="28"/>
      <c r="AT6879" s="28"/>
    </row>
    <row r="6880">
      <c r="A6880" s="14"/>
      <c r="B6880" s="15"/>
      <c r="C6880" s="16"/>
      <c r="D6880" s="15"/>
      <c r="F6880" s="15"/>
      <c r="G6880" s="26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8"/>
      <c r="X6880" s="28"/>
      <c r="Y6880" s="28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28"/>
      <c r="AS6880" s="28"/>
      <c r="AT6880" s="28"/>
    </row>
    <row r="6881">
      <c r="A6881" s="14"/>
      <c r="B6881" s="15"/>
      <c r="C6881" s="16"/>
      <c r="D6881" s="15"/>
      <c r="F6881" s="15"/>
      <c r="G6881" s="26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8"/>
      <c r="X6881" s="28"/>
      <c r="Y6881" s="28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28"/>
      <c r="AS6881" s="28"/>
      <c r="AT6881" s="28"/>
    </row>
    <row r="6882">
      <c r="A6882" s="14"/>
      <c r="B6882" s="15"/>
      <c r="C6882" s="16"/>
      <c r="D6882" s="15"/>
      <c r="F6882" s="15"/>
      <c r="G6882" s="26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8"/>
      <c r="X6882" s="28"/>
      <c r="Y6882" s="28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28"/>
      <c r="AS6882" s="28"/>
      <c r="AT6882" s="28"/>
    </row>
    <row r="6883">
      <c r="A6883" s="14"/>
      <c r="B6883" s="15"/>
      <c r="C6883" s="16"/>
      <c r="D6883" s="15"/>
      <c r="F6883" s="15"/>
      <c r="G6883" s="26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8"/>
      <c r="X6883" s="28"/>
      <c r="Y6883" s="28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28"/>
      <c r="AS6883" s="28"/>
      <c r="AT6883" s="28"/>
    </row>
    <row r="6884">
      <c r="A6884" s="14"/>
      <c r="B6884" s="15"/>
      <c r="C6884" s="16"/>
      <c r="D6884" s="15"/>
      <c r="F6884" s="15"/>
      <c r="G6884" s="26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8"/>
      <c r="X6884" s="28"/>
      <c r="Y6884" s="28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28"/>
      <c r="AS6884" s="28"/>
      <c r="AT6884" s="28"/>
    </row>
    <row r="6885">
      <c r="A6885" s="14"/>
      <c r="B6885" s="15"/>
      <c r="C6885" s="16"/>
      <c r="D6885" s="15"/>
      <c r="F6885" s="15"/>
      <c r="G6885" s="26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28"/>
      <c r="AS6885" s="28"/>
      <c r="AT6885" s="28"/>
    </row>
    <row r="6886">
      <c r="A6886" s="14"/>
      <c r="B6886" s="15"/>
      <c r="C6886" s="16"/>
      <c r="D6886" s="15"/>
      <c r="F6886" s="15"/>
      <c r="G6886" s="26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8"/>
      <c r="X6886" s="28"/>
      <c r="Y6886" s="28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28"/>
      <c r="AS6886" s="28"/>
      <c r="AT6886" s="28"/>
    </row>
    <row r="6887">
      <c r="A6887" s="14"/>
      <c r="B6887" s="15"/>
      <c r="C6887" s="16"/>
      <c r="D6887" s="15"/>
      <c r="F6887" s="15"/>
      <c r="G6887" s="26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8"/>
      <c r="X6887" s="28"/>
      <c r="Y6887" s="28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28"/>
      <c r="AS6887" s="28"/>
      <c r="AT6887" s="28"/>
    </row>
    <row r="6888">
      <c r="A6888" s="14"/>
      <c r="B6888" s="15"/>
      <c r="C6888" s="16"/>
      <c r="D6888" s="15"/>
      <c r="F6888" s="15"/>
      <c r="G6888" s="26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8"/>
      <c r="X6888" s="28"/>
      <c r="Y6888" s="28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28"/>
      <c r="AS6888" s="28"/>
      <c r="AT6888" s="28"/>
    </row>
    <row r="6889">
      <c r="A6889" s="14"/>
      <c r="B6889" s="15"/>
      <c r="C6889" s="16"/>
      <c r="D6889" s="15"/>
      <c r="F6889" s="15"/>
      <c r="G6889" s="26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8"/>
      <c r="X6889" s="28"/>
      <c r="Y6889" s="28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28"/>
      <c r="AS6889" s="28"/>
      <c r="AT6889" s="28"/>
    </row>
    <row r="6890">
      <c r="A6890" s="14"/>
      <c r="B6890" s="15"/>
      <c r="C6890" s="16"/>
      <c r="D6890" s="15"/>
      <c r="F6890" s="15"/>
      <c r="G6890" s="26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28"/>
      <c r="AS6890" s="28"/>
      <c r="AT6890" s="28"/>
    </row>
    <row r="6891">
      <c r="A6891" s="14"/>
      <c r="B6891" s="15"/>
      <c r="C6891" s="16"/>
      <c r="D6891" s="15"/>
      <c r="F6891" s="15"/>
      <c r="G6891" s="26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28"/>
      <c r="AS6891" s="28"/>
      <c r="AT6891" s="28"/>
    </row>
    <row r="6892">
      <c r="A6892" s="14"/>
      <c r="B6892" s="15"/>
      <c r="C6892" s="16"/>
      <c r="D6892" s="15"/>
      <c r="F6892" s="15"/>
      <c r="G6892" s="26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28"/>
      <c r="AS6892" s="28"/>
      <c r="AT6892" s="28"/>
    </row>
    <row r="6893">
      <c r="A6893" s="14"/>
      <c r="B6893" s="15"/>
      <c r="C6893" s="16"/>
      <c r="D6893" s="15"/>
      <c r="F6893" s="15"/>
      <c r="G6893" s="26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28"/>
      <c r="AS6893" s="28"/>
      <c r="AT6893" s="28"/>
    </row>
    <row r="6894">
      <c r="A6894" s="14"/>
      <c r="B6894" s="15"/>
      <c r="C6894" s="16"/>
      <c r="D6894" s="15"/>
      <c r="F6894" s="15"/>
      <c r="G6894" s="26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28"/>
      <c r="AS6894" s="28"/>
      <c r="AT6894" s="28"/>
    </row>
    <row r="6895">
      <c r="A6895" s="14"/>
      <c r="B6895" s="15"/>
      <c r="C6895" s="16"/>
      <c r="D6895" s="15"/>
      <c r="F6895" s="15"/>
      <c r="G6895" s="26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8"/>
      <c r="X6895" s="28"/>
      <c r="Y6895" s="28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28"/>
      <c r="AS6895" s="28"/>
      <c r="AT6895" s="28"/>
    </row>
    <row r="6896">
      <c r="A6896" s="14"/>
      <c r="B6896" s="15"/>
      <c r="C6896" s="16"/>
      <c r="D6896" s="15"/>
      <c r="F6896" s="15"/>
      <c r="G6896" s="26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8"/>
      <c r="X6896" s="28"/>
      <c r="Y6896" s="28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28"/>
      <c r="AS6896" s="28"/>
      <c r="AT6896" s="28"/>
    </row>
    <row r="6897">
      <c r="A6897" s="14"/>
      <c r="B6897" s="15"/>
      <c r="C6897" s="16"/>
      <c r="D6897" s="15"/>
      <c r="F6897" s="15"/>
      <c r="G6897" s="26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8"/>
      <c r="X6897" s="28"/>
      <c r="Y6897" s="28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28"/>
      <c r="AS6897" s="28"/>
      <c r="AT6897" s="28"/>
    </row>
    <row r="6898">
      <c r="A6898" s="14"/>
      <c r="B6898" s="15"/>
      <c r="C6898" s="16"/>
      <c r="D6898" s="15"/>
      <c r="F6898" s="15"/>
      <c r="G6898" s="26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8"/>
      <c r="X6898" s="28"/>
      <c r="Y6898" s="28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28"/>
      <c r="AS6898" s="28"/>
      <c r="AT6898" s="28"/>
    </row>
    <row r="6899">
      <c r="A6899" s="14"/>
      <c r="B6899" s="15"/>
      <c r="C6899" s="16"/>
      <c r="D6899" s="15"/>
      <c r="F6899" s="15"/>
      <c r="G6899" s="26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8"/>
      <c r="X6899" s="28"/>
      <c r="Y6899" s="28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28"/>
      <c r="AS6899" s="28"/>
      <c r="AT6899" s="28"/>
    </row>
    <row r="6900">
      <c r="A6900" s="14"/>
      <c r="B6900" s="15"/>
      <c r="C6900" s="16"/>
      <c r="D6900" s="15"/>
      <c r="F6900" s="15"/>
      <c r="G6900" s="26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8"/>
      <c r="X6900" s="28"/>
      <c r="Y6900" s="28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28"/>
      <c r="AS6900" s="28"/>
      <c r="AT6900" s="28"/>
    </row>
    <row r="6901">
      <c r="A6901" s="14"/>
      <c r="B6901" s="15"/>
      <c r="C6901" s="16"/>
      <c r="D6901" s="15"/>
      <c r="F6901" s="15"/>
      <c r="G6901" s="26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8"/>
      <c r="X6901" s="28"/>
      <c r="Y6901" s="28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28"/>
      <c r="AS6901" s="28"/>
      <c r="AT6901" s="28"/>
    </row>
    <row r="6902">
      <c r="A6902" s="14"/>
      <c r="B6902" s="15"/>
      <c r="C6902" s="16"/>
      <c r="D6902" s="15"/>
      <c r="F6902" s="15"/>
      <c r="G6902" s="26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8"/>
      <c r="X6902" s="28"/>
      <c r="Y6902" s="28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28"/>
      <c r="AS6902" s="28"/>
      <c r="AT6902" s="28"/>
    </row>
    <row r="6903">
      <c r="A6903" s="14"/>
      <c r="B6903" s="15"/>
      <c r="C6903" s="16"/>
      <c r="D6903" s="15"/>
      <c r="F6903" s="15"/>
      <c r="G6903" s="26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8"/>
      <c r="X6903" s="28"/>
      <c r="Y6903" s="28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28"/>
      <c r="AS6903" s="28"/>
      <c r="AT6903" s="28"/>
    </row>
    <row r="6904">
      <c r="A6904" s="14"/>
      <c r="B6904" s="15"/>
      <c r="C6904" s="16"/>
      <c r="D6904" s="15"/>
      <c r="F6904" s="15"/>
      <c r="G6904" s="26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8"/>
      <c r="X6904" s="28"/>
      <c r="Y6904" s="28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28"/>
      <c r="AS6904" s="28"/>
      <c r="AT6904" s="28"/>
    </row>
    <row r="6905">
      <c r="A6905" s="14"/>
      <c r="B6905" s="15"/>
      <c r="C6905" s="16"/>
      <c r="D6905" s="15"/>
      <c r="F6905" s="15"/>
      <c r="G6905" s="26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8"/>
      <c r="X6905" s="28"/>
      <c r="Y6905" s="28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28"/>
      <c r="AS6905" s="28"/>
      <c r="AT6905" s="28"/>
    </row>
    <row r="6906">
      <c r="A6906" s="14"/>
      <c r="B6906" s="15"/>
      <c r="C6906" s="16"/>
      <c r="D6906" s="15"/>
      <c r="F6906" s="15"/>
      <c r="G6906" s="26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8"/>
      <c r="X6906" s="28"/>
      <c r="Y6906" s="28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28"/>
      <c r="AS6906" s="28"/>
      <c r="AT6906" s="28"/>
    </row>
    <row r="6907">
      <c r="A6907" s="14"/>
      <c r="B6907" s="15"/>
      <c r="C6907" s="16"/>
      <c r="D6907" s="15"/>
      <c r="F6907" s="15"/>
      <c r="G6907" s="26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8"/>
      <c r="X6907" s="28"/>
      <c r="Y6907" s="28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28"/>
      <c r="AS6907" s="28"/>
      <c r="AT6907" s="28"/>
    </row>
    <row r="6908">
      <c r="A6908" s="14"/>
      <c r="B6908" s="15"/>
      <c r="C6908" s="16"/>
      <c r="D6908" s="15"/>
      <c r="F6908" s="15"/>
      <c r="G6908" s="26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8"/>
      <c r="X6908" s="28"/>
      <c r="Y6908" s="28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28"/>
      <c r="AS6908" s="28"/>
      <c r="AT6908" s="28"/>
    </row>
    <row r="6909">
      <c r="A6909" s="14"/>
      <c r="B6909" s="15"/>
      <c r="C6909" s="16"/>
      <c r="D6909" s="15"/>
      <c r="F6909" s="15"/>
      <c r="G6909" s="26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8"/>
      <c r="X6909" s="28"/>
      <c r="Y6909" s="28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28"/>
      <c r="AS6909" s="28"/>
      <c r="AT6909" s="28"/>
    </row>
    <row r="6910">
      <c r="A6910" s="14"/>
      <c r="B6910" s="15"/>
      <c r="C6910" s="16"/>
      <c r="D6910" s="15"/>
      <c r="F6910" s="15"/>
      <c r="G6910" s="26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8"/>
      <c r="X6910" s="28"/>
      <c r="Y6910" s="28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28"/>
      <c r="AS6910" s="28"/>
      <c r="AT6910" s="28"/>
    </row>
    <row r="6911">
      <c r="A6911" s="14"/>
      <c r="B6911" s="15"/>
      <c r="C6911" s="16"/>
      <c r="D6911" s="15"/>
      <c r="F6911" s="15"/>
      <c r="G6911" s="26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8"/>
      <c r="X6911" s="28"/>
      <c r="Y6911" s="28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28"/>
      <c r="AS6911" s="28"/>
      <c r="AT6911" s="28"/>
    </row>
    <row r="6912">
      <c r="A6912" s="14"/>
      <c r="B6912" s="15"/>
      <c r="C6912" s="16"/>
      <c r="D6912" s="15"/>
      <c r="F6912" s="15"/>
      <c r="G6912" s="26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8"/>
      <c r="X6912" s="28"/>
      <c r="Y6912" s="28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28"/>
      <c r="AS6912" s="28"/>
      <c r="AT6912" s="28"/>
    </row>
    <row r="6913">
      <c r="A6913" s="14"/>
      <c r="B6913" s="15"/>
      <c r="C6913" s="16"/>
      <c r="D6913" s="15"/>
      <c r="F6913" s="15"/>
      <c r="G6913" s="26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8"/>
      <c r="X6913" s="28"/>
      <c r="Y6913" s="28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28"/>
      <c r="AS6913" s="28"/>
      <c r="AT6913" s="28"/>
    </row>
    <row r="6914">
      <c r="A6914" s="14"/>
      <c r="B6914" s="15"/>
      <c r="C6914" s="16"/>
      <c r="D6914" s="15"/>
      <c r="F6914" s="15"/>
      <c r="G6914" s="26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8"/>
      <c r="X6914" s="28"/>
      <c r="Y6914" s="28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28"/>
      <c r="AS6914" s="28"/>
      <c r="AT6914" s="28"/>
    </row>
    <row r="6915">
      <c r="A6915" s="14"/>
      <c r="B6915" s="15"/>
      <c r="C6915" s="16"/>
      <c r="D6915" s="15"/>
      <c r="F6915" s="15"/>
      <c r="G6915" s="26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8"/>
      <c r="X6915" s="28"/>
      <c r="Y6915" s="28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28"/>
      <c r="AS6915" s="28"/>
      <c r="AT6915" s="28"/>
    </row>
    <row r="6916">
      <c r="A6916" s="14"/>
      <c r="B6916" s="15"/>
      <c r="C6916" s="16"/>
      <c r="D6916" s="15"/>
      <c r="F6916" s="15"/>
      <c r="G6916" s="26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8"/>
      <c r="X6916" s="28"/>
      <c r="Y6916" s="28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28"/>
      <c r="AS6916" s="28"/>
      <c r="AT6916" s="28"/>
    </row>
    <row r="6917">
      <c r="A6917" s="14"/>
      <c r="B6917" s="15"/>
      <c r="C6917" s="16"/>
      <c r="D6917" s="15"/>
      <c r="F6917" s="15"/>
      <c r="G6917" s="26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28"/>
      <c r="AS6917" s="28"/>
      <c r="AT6917" s="28"/>
    </row>
    <row r="6918">
      <c r="A6918" s="14"/>
      <c r="B6918" s="15"/>
      <c r="C6918" s="16"/>
      <c r="D6918" s="15"/>
      <c r="F6918" s="15"/>
      <c r="G6918" s="26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28"/>
      <c r="AS6918" s="28"/>
      <c r="AT6918" s="28"/>
    </row>
    <row r="6919">
      <c r="A6919" s="14"/>
      <c r="B6919" s="15"/>
      <c r="C6919" s="16"/>
      <c r="D6919" s="15"/>
      <c r="F6919" s="15"/>
      <c r="G6919" s="26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28"/>
      <c r="AS6919" s="28"/>
      <c r="AT6919" s="28"/>
    </row>
    <row r="6920">
      <c r="A6920" s="14"/>
      <c r="B6920" s="15"/>
      <c r="C6920" s="16"/>
      <c r="D6920" s="15"/>
      <c r="F6920" s="15"/>
      <c r="G6920" s="26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8"/>
      <c r="X6920" s="28"/>
      <c r="Y6920" s="28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28"/>
      <c r="AS6920" s="28"/>
      <c r="AT6920" s="28"/>
    </row>
    <row r="6921">
      <c r="A6921" s="14"/>
      <c r="B6921" s="15"/>
      <c r="C6921" s="16"/>
      <c r="D6921" s="15"/>
      <c r="F6921" s="15"/>
      <c r="G6921" s="26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8"/>
      <c r="X6921" s="28"/>
      <c r="Y6921" s="28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28"/>
      <c r="AS6921" s="28"/>
      <c r="AT6921" s="28"/>
    </row>
    <row r="6922">
      <c r="A6922" s="14"/>
      <c r="B6922" s="15"/>
      <c r="C6922" s="16"/>
      <c r="D6922" s="15"/>
      <c r="F6922" s="15"/>
      <c r="G6922" s="26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8"/>
      <c r="X6922" s="28"/>
      <c r="Y6922" s="28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28"/>
      <c r="AS6922" s="28"/>
      <c r="AT6922" s="28"/>
    </row>
    <row r="6923">
      <c r="A6923" s="14"/>
      <c r="B6923" s="15"/>
      <c r="C6923" s="16"/>
      <c r="D6923" s="15"/>
      <c r="F6923" s="15"/>
      <c r="G6923" s="26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8"/>
      <c r="X6923" s="28"/>
      <c r="Y6923" s="28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28"/>
      <c r="AS6923" s="28"/>
      <c r="AT6923" s="28"/>
    </row>
    <row r="6924">
      <c r="A6924" s="14"/>
      <c r="B6924" s="15"/>
      <c r="C6924" s="16"/>
      <c r="D6924" s="15"/>
      <c r="F6924" s="15"/>
      <c r="G6924" s="26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8"/>
      <c r="X6924" s="28"/>
      <c r="Y6924" s="28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28"/>
      <c r="AS6924" s="28"/>
      <c r="AT6924" s="28"/>
    </row>
    <row r="6925">
      <c r="A6925" s="14"/>
      <c r="B6925" s="15"/>
      <c r="C6925" s="16"/>
      <c r="D6925" s="15"/>
      <c r="F6925" s="15"/>
      <c r="G6925" s="26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8"/>
      <c r="X6925" s="28"/>
      <c r="Y6925" s="28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28"/>
      <c r="AS6925" s="28"/>
      <c r="AT6925" s="28"/>
    </row>
    <row r="6926">
      <c r="A6926" s="14"/>
      <c r="B6926" s="15"/>
      <c r="C6926" s="16"/>
      <c r="D6926" s="15"/>
      <c r="F6926" s="15"/>
      <c r="G6926" s="26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8"/>
      <c r="X6926" s="28"/>
      <c r="Y6926" s="28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28"/>
      <c r="AS6926" s="28"/>
      <c r="AT6926" s="28"/>
    </row>
    <row r="6927">
      <c r="A6927" s="14"/>
      <c r="B6927" s="15"/>
      <c r="C6927" s="16"/>
      <c r="D6927" s="15"/>
      <c r="F6927" s="15"/>
      <c r="G6927" s="26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8"/>
      <c r="X6927" s="28"/>
      <c r="Y6927" s="28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28"/>
      <c r="AS6927" s="28"/>
      <c r="AT6927" s="28"/>
    </row>
    <row r="6928">
      <c r="A6928" s="14"/>
      <c r="B6928" s="15"/>
      <c r="C6928" s="16"/>
      <c r="D6928" s="15"/>
      <c r="F6928" s="15"/>
      <c r="G6928" s="26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8"/>
      <c r="X6928" s="28"/>
      <c r="Y6928" s="28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28"/>
      <c r="AS6928" s="28"/>
      <c r="AT6928" s="28"/>
    </row>
    <row r="6929">
      <c r="A6929" s="14"/>
      <c r="B6929" s="15"/>
      <c r="C6929" s="16"/>
      <c r="D6929" s="15"/>
      <c r="F6929" s="15"/>
      <c r="G6929" s="26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8"/>
      <c r="X6929" s="28"/>
      <c r="Y6929" s="28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28"/>
      <c r="AS6929" s="28"/>
      <c r="AT6929" s="28"/>
    </row>
    <row r="6930">
      <c r="A6930" s="14"/>
      <c r="B6930" s="15"/>
      <c r="C6930" s="16"/>
      <c r="D6930" s="15"/>
      <c r="F6930" s="15"/>
      <c r="G6930" s="26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8"/>
      <c r="X6930" s="28"/>
      <c r="Y6930" s="28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28"/>
      <c r="AS6930" s="28"/>
      <c r="AT6930" s="28"/>
    </row>
    <row r="6931">
      <c r="A6931" s="14"/>
      <c r="B6931" s="15"/>
      <c r="C6931" s="16"/>
      <c r="D6931" s="15"/>
      <c r="F6931" s="15"/>
      <c r="G6931" s="26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8"/>
      <c r="X6931" s="28"/>
      <c r="Y6931" s="28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28"/>
      <c r="AS6931" s="28"/>
      <c r="AT6931" s="28"/>
    </row>
    <row r="6932">
      <c r="A6932" s="14"/>
      <c r="B6932" s="15"/>
      <c r="C6932" s="16"/>
      <c r="D6932" s="15"/>
      <c r="F6932" s="15"/>
      <c r="G6932" s="26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8"/>
      <c r="X6932" s="28"/>
      <c r="Y6932" s="28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28"/>
      <c r="AS6932" s="28"/>
      <c r="AT6932" s="28"/>
    </row>
    <row r="6933">
      <c r="A6933" s="14"/>
      <c r="B6933" s="15"/>
      <c r="C6933" s="16"/>
      <c r="D6933" s="15"/>
      <c r="F6933" s="15"/>
      <c r="G6933" s="26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8"/>
      <c r="X6933" s="28"/>
      <c r="Y6933" s="28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28"/>
      <c r="AS6933" s="28"/>
      <c r="AT6933" s="28"/>
    </row>
    <row r="6934">
      <c r="A6934" s="14"/>
      <c r="B6934" s="15"/>
      <c r="C6934" s="16"/>
      <c r="D6934" s="15"/>
      <c r="F6934" s="15"/>
      <c r="G6934" s="26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8"/>
      <c r="X6934" s="28"/>
      <c r="Y6934" s="28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28"/>
      <c r="AS6934" s="28"/>
      <c r="AT6934" s="28"/>
    </row>
    <row r="6935">
      <c r="A6935" s="14"/>
      <c r="B6935" s="15"/>
      <c r="C6935" s="16"/>
      <c r="D6935" s="15"/>
      <c r="F6935" s="15"/>
      <c r="G6935" s="26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8"/>
      <c r="X6935" s="28"/>
      <c r="Y6935" s="28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28"/>
      <c r="AS6935" s="28"/>
      <c r="AT6935" s="28"/>
    </row>
    <row r="6936">
      <c r="A6936" s="14"/>
      <c r="B6936" s="15"/>
      <c r="C6936" s="16"/>
      <c r="D6936" s="15"/>
      <c r="F6936" s="15"/>
      <c r="G6936" s="26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8"/>
      <c r="X6936" s="28"/>
      <c r="Y6936" s="28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28"/>
      <c r="AS6936" s="28"/>
      <c r="AT6936" s="28"/>
    </row>
    <row r="6937">
      <c r="A6937" s="14"/>
      <c r="B6937" s="15"/>
      <c r="C6937" s="16"/>
      <c r="D6937" s="15"/>
      <c r="F6937" s="15"/>
      <c r="G6937" s="26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8"/>
      <c r="X6937" s="28"/>
      <c r="Y6937" s="28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28"/>
      <c r="AS6937" s="28"/>
      <c r="AT6937" s="28"/>
    </row>
    <row r="6938">
      <c r="A6938" s="14"/>
      <c r="B6938" s="15"/>
      <c r="C6938" s="16"/>
      <c r="D6938" s="15"/>
      <c r="F6938" s="15"/>
      <c r="G6938" s="26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8"/>
      <c r="X6938" s="28"/>
      <c r="Y6938" s="28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28"/>
      <c r="AS6938" s="28"/>
      <c r="AT6938" s="28"/>
    </row>
    <row r="6939">
      <c r="A6939" s="14"/>
      <c r="B6939" s="15"/>
      <c r="C6939" s="16"/>
      <c r="D6939" s="15"/>
      <c r="F6939" s="15"/>
      <c r="G6939" s="26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8"/>
      <c r="X6939" s="28"/>
      <c r="Y6939" s="28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28"/>
      <c r="AS6939" s="28"/>
      <c r="AT6939" s="28"/>
    </row>
    <row r="6940">
      <c r="A6940" s="14"/>
      <c r="B6940" s="15"/>
      <c r="C6940" s="16"/>
      <c r="D6940" s="15"/>
      <c r="F6940" s="15"/>
      <c r="G6940" s="26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8"/>
      <c r="X6940" s="28"/>
      <c r="Y6940" s="28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28"/>
      <c r="AS6940" s="28"/>
      <c r="AT6940" s="28"/>
    </row>
    <row r="6941">
      <c r="A6941" s="14"/>
      <c r="B6941" s="15"/>
      <c r="C6941" s="16"/>
      <c r="D6941" s="15"/>
      <c r="F6941" s="15"/>
      <c r="G6941" s="26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8"/>
      <c r="X6941" s="28"/>
      <c r="Y6941" s="28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28"/>
      <c r="AS6941" s="28"/>
      <c r="AT6941" s="28"/>
    </row>
    <row r="6942">
      <c r="A6942" s="14"/>
      <c r="B6942" s="15"/>
      <c r="C6942" s="16"/>
      <c r="D6942" s="15"/>
      <c r="F6942" s="15"/>
      <c r="G6942" s="26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8"/>
      <c r="X6942" s="28"/>
      <c r="Y6942" s="28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28"/>
      <c r="AS6942" s="28"/>
      <c r="AT6942" s="28"/>
    </row>
    <row r="6943">
      <c r="A6943" s="14"/>
      <c r="B6943" s="15"/>
      <c r="C6943" s="16"/>
      <c r="D6943" s="15"/>
      <c r="F6943" s="15"/>
      <c r="G6943" s="26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8"/>
      <c r="X6943" s="28"/>
      <c r="Y6943" s="28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28"/>
      <c r="AS6943" s="28"/>
      <c r="AT6943" s="28"/>
    </row>
    <row r="6944">
      <c r="A6944" s="14"/>
      <c r="B6944" s="15"/>
      <c r="C6944" s="16"/>
      <c r="D6944" s="15"/>
      <c r="F6944" s="15"/>
      <c r="G6944" s="26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8"/>
      <c r="X6944" s="28"/>
      <c r="Y6944" s="28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28"/>
      <c r="AS6944" s="28"/>
      <c r="AT6944" s="28"/>
    </row>
    <row r="6945">
      <c r="A6945" s="14"/>
      <c r="B6945" s="15"/>
      <c r="C6945" s="16"/>
      <c r="D6945" s="15"/>
      <c r="F6945" s="15"/>
      <c r="G6945" s="26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8"/>
      <c r="X6945" s="28"/>
      <c r="Y6945" s="28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28"/>
      <c r="AS6945" s="28"/>
      <c r="AT6945" s="28"/>
    </row>
    <row r="6946">
      <c r="A6946" s="14"/>
      <c r="B6946" s="15"/>
      <c r="C6946" s="16"/>
      <c r="D6946" s="15"/>
      <c r="F6946" s="15"/>
      <c r="G6946" s="26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8"/>
      <c r="X6946" s="28"/>
      <c r="Y6946" s="28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28"/>
      <c r="AS6946" s="28"/>
      <c r="AT6946" s="28"/>
    </row>
    <row r="6947">
      <c r="A6947" s="14"/>
      <c r="B6947" s="15"/>
      <c r="C6947" s="16"/>
      <c r="D6947" s="15"/>
      <c r="F6947" s="15"/>
      <c r="G6947" s="26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8"/>
      <c r="X6947" s="28"/>
      <c r="Y6947" s="28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28"/>
      <c r="AS6947" s="28"/>
      <c r="AT6947" s="28"/>
    </row>
    <row r="6948">
      <c r="A6948" s="14"/>
      <c r="B6948" s="15"/>
      <c r="C6948" s="16"/>
      <c r="D6948" s="15"/>
      <c r="F6948" s="15"/>
      <c r="G6948" s="26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8"/>
      <c r="X6948" s="28"/>
      <c r="Y6948" s="28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28"/>
      <c r="AS6948" s="28"/>
      <c r="AT6948" s="28"/>
    </row>
    <row r="6949">
      <c r="A6949" s="14"/>
      <c r="B6949" s="15"/>
      <c r="C6949" s="16"/>
      <c r="D6949" s="15"/>
      <c r="F6949" s="15"/>
      <c r="G6949" s="26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8"/>
      <c r="X6949" s="28"/>
      <c r="Y6949" s="28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28"/>
      <c r="AS6949" s="28"/>
      <c r="AT6949" s="28"/>
    </row>
    <row r="6950">
      <c r="A6950" s="14"/>
      <c r="B6950" s="15"/>
      <c r="C6950" s="16"/>
      <c r="D6950" s="15"/>
      <c r="F6950" s="15"/>
      <c r="G6950" s="26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8"/>
      <c r="X6950" s="28"/>
      <c r="Y6950" s="28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28"/>
      <c r="AS6950" s="28"/>
      <c r="AT6950" s="28"/>
    </row>
    <row r="6951">
      <c r="A6951" s="14"/>
      <c r="B6951" s="15"/>
      <c r="C6951" s="16"/>
      <c r="D6951" s="15"/>
      <c r="F6951" s="15"/>
      <c r="G6951" s="26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8"/>
      <c r="X6951" s="28"/>
      <c r="Y6951" s="28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28"/>
      <c r="AS6951" s="28"/>
      <c r="AT6951" s="28"/>
    </row>
    <row r="6952">
      <c r="A6952" s="14"/>
      <c r="B6952" s="15"/>
      <c r="C6952" s="16"/>
      <c r="D6952" s="15"/>
      <c r="F6952" s="15"/>
      <c r="G6952" s="26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8"/>
      <c r="X6952" s="28"/>
      <c r="Y6952" s="28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28"/>
      <c r="AS6952" s="28"/>
      <c r="AT6952" s="28"/>
    </row>
    <row r="6953">
      <c r="A6953" s="14"/>
      <c r="B6953" s="15"/>
      <c r="C6953" s="16"/>
      <c r="D6953" s="15"/>
      <c r="F6953" s="15"/>
      <c r="G6953" s="26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8"/>
      <c r="X6953" s="28"/>
      <c r="Y6953" s="28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28"/>
      <c r="AS6953" s="28"/>
      <c r="AT6953" s="28"/>
    </row>
    <row r="6954">
      <c r="A6954" s="14"/>
      <c r="B6954" s="15"/>
      <c r="C6954" s="16"/>
      <c r="D6954" s="15"/>
      <c r="F6954" s="15"/>
      <c r="G6954" s="26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8"/>
      <c r="X6954" s="28"/>
      <c r="Y6954" s="28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28"/>
      <c r="AS6954" s="28"/>
      <c r="AT6954" s="28"/>
    </row>
    <row r="6955">
      <c r="A6955" s="14"/>
      <c r="B6955" s="15"/>
      <c r="C6955" s="16"/>
      <c r="D6955" s="15"/>
      <c r="F6955" s="15"/>
      <c r="G6955" s="26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8"/>
      <c r="X6955" s="28"/>
      <c r="Y6955" s="28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28"/>
      <c r="AS6955" s="28"/>
      <c r="AT6955" s="28"/>
    </row>
    <row r="6956">
      <c r="A6956" s="14"/>
      <c r="B6956" s="15"/>
      <c r="C6956" s="16"/>
      <c r="D6956" s="15"/>
      <c r="F6956" s="15"/>
      <c r="G6956" s="26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8"/>
      <c r="X6956" s="28"/>
      <c r="Y6956" s="28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28"/>
      <c r="AS6956" s="28"/>
      <c r="AT6956" s="28"/>
    </row>
    <row r="6957">
      <c r="A6957" s="14"/>
      <c r="B6957" s="15"/>
      <c r="C6957" s="16"/>
      <c r="D6957" s="15"/>
      <c r="F6957" s="15"/>
      <c r="G6957" s="26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8"/>
      <c r="X6957" s="28"/>
      <c r="Y6957" s="28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28"/>
      <c r="AS6957" s="28"/>
      <c r="AT6957" s="28"/>
    </row>
    <row r="6958">
      <c r="A6958" s="14"/>
      <c r="B6958" s="15"/>
      <c r="C6958" s="16"/>
      <c r="D6958" s="15"/>
      <c r="F6958" s="15"/>
      <c r="G6958" s="26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8"/>
      <c r="X6958" s="28"/>
      <c r="Y6958" s="28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28"/>
      <c r="AS6958" s="28"/>
      <c r="AT6958" s="28"/>
    </row>
    <row r="6959">
      <c r="A6959" s="14"/>
      <c r="B6959" s="15"/>
      <c r="C6959" s="16"/>
      <c r="D6959" s="15"/>
      <c r="F6959" s="15"/>
      <c r="G6959" s="26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8"/>
      <c r="X6959" s="28"/>
      <c r="Y6959" s="28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28"/>
      <c r="AS6959" s="28"/>
      <c r="AT6959" s="28"/>
    </row>
    <row r="6960">
      <c r="A6960" s="14"/>
      <c r="B6960" s="15"/>
      <c r="C6960" s="16"/>
      <c r="D6960" s="15"/>
      <c r="F6960" s="15"/>
      <c r="G6960" s="26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8"/>
      <c r="X6960" s="28"/>
      <c r="Y6960" s="28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28"/>
      <c r="AS6960" s="28"/>
      <c r="AT6960" s="28"/>
    </row>
    <row r="6961">
      <c r="A6961" s="14"/>
      <c r="B6961" s="15"/>
      <c r="C6961" s="16"/>
      <c r="D6961" s="15"/>
      <c r="F6961" s="15"/>
      <c r="G6961" s="26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8"/>
      <c r="X6961" s="28"/>
      <c r="Y6961" s="28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28"/>
      <c r="AS6961" s="28"/>
      <c r="AT6961" s="28"/>
    </row>
    <row r="6962">
      <c r="A6962" s="14"/>
      <c r="B6962" s="15"/>
      <c r="C6962" s="16"/>
      <c r="D6962" s="15"/>
      <c r="F6962" s="15"/>
      <c r="G6962" s="26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8"/>
      <c r="X6962" s="28"/>
      <c r="Y6962" s="28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28"/>
      <c r="AS6962" s="28"/>
      <c r="AT6962" s="28"/>
    </row>
    <row r="6963">
      <c r="A6963" s="14"/>
      <c r="B6963" s="15"/>
      <c r="C6963" s="16"/>
      <c r="D6963" s="15"/>
      <c r="F6963" s="15"/>
      <c r="G6963" s="26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8"/>
      <c r="X6963" s="28"/>
      <c r="Y6963" s="28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28"/>
      <c r="AS6963" s="28"/>
      <c r="AT6963" s="28"/>
    </row>
    <row r="6964">
      <c r="A6964" s="14"/>
      <c r="B6964" s="15"/>
      <c r="C6964" s="16"/>
      <c r="D6964" s="15"/>
      <c r="F6964" s="15"/>
      <c r="G6964" s="26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8"/>
      <c r="X6964" s="28"/>
      <c r="Y6964" s="28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28"/>
      <c r="AS6964" s="28"/>
      <c r="AT6964" s="28"/>
    </row>
    <row r="6965">
      <c r="A6965" s="14"/>
      <c r="B6965" s="15"/>
      <c r="C6965" s="16"/>
      <c r="D6965" s="15"/>
      <c r="F6965" s="15"/>
      <c r="G6965" s="26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8"/>
      <c r="X6965" s="28"/>
      <c r="Y6965" s="28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28"/>
      <c r="AS6965" s="28"/>
      <c r="AT6965" s="28"/>
    </row>
    <row r="6966">
      <c r="A6966" s="14"/>
      <c r="B6966" s="15"/>
      <c r="C6966" s="16"/>
      <c r="D6966" s="15"/>
      <c r="F6966" s="15"/>
      <c r="G6966" s="26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8"/>
      <c r="X6966" s="28"/>
      <c r="Y6966" s="28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28"/>
      <c r="AS6966" s="28"/>
      <c r="AT6966" s="28"/>
    </row>
    <row r="6967">
      <c r="A6967" s="14"/>
      <c r="B6967" s="15"/>
      <c r="C6967" s="16"/>
      <c r="D6967" s="15"/>
      <c r="F6967" s="15"/>
      <c r="G6967" s="26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8"/>
      <c r="X6967" s="28"/>
      <c r="Y6967" s="28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28"/>
      <c r="AS6967" s="28"/>
      <c r="AT6967" s="28"/>
    </row>
    <row r="6968">
      <c r="A6968" s="14"/>
      <c r="B6968" s="15"/>
      <c r="C6968" s="16"/>
      <c r="D6968" s="15"/>
      <c r="F6968" s="15"/>
      <c r="G6968" s="26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8"/>
      <c r="X6968" s="28"/>
      <c r="Y6968" s="28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28"/>
      <c r="AS6968" s="28"/>
      <c r="AT6968" s="28"/>
    </row>
    <row r="6969">
      <c r="A6969" s="14"/>
      <c r="B6969" s="15"/>
      <c r="C6969" s="16"/>
      <c r="D6969" s="15"/>
      <c r="F6969" s="15"/>
      <c r="G6969" s="26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8"/>
      <c r="X6969" s="28"/>
      <c r="Y6969" s="28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28"/>
      <c r="AS6969" s="28"/>
      <c r="AT6969" s="28"/>
    </row>
    <row r="6970">
      <c r="A6970" s="14"/>
      <c r="B6970" s="15"/>
      <c r="C6970" s="16"/>
      <c r="D6970" s="15"/>
      <c r="F6970" s="15"/>
      <c r="G6970" s="26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8"/>
      <c r="X6970" s="28"/>
      <c r="Y6970" s="28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28"/>
      <c r="AS6970" s="28"/>
      <c r="AT6970" s="28"/>
    </row>
    <row r="6971">
      <c r="A6971" s="14"/>
      <c r="B6971" s="15"/>
      <c r="C6971" s="16"/>
      <c r="D6971" s="15"/>
      <c r="F6971" s="15"/>
      <c r="G6971" s="26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8"/>
      <c r="X6971" s="28"/>
      <c r="Y6971" s="28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28"/>
      <c r="AS6971" s="28"/>
      <c r="AT6971" s="28"/>
    </row>
    <row r="6972">
      <c r="A6972" s="14"/>
      <c r="B6972" s="15"/>
      <c r="C6972" s="16"/>
      <c r="D6972" s="15"/>
      <c r="F6972" s="15"/>
      <c r="G6972" s="26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8"/>
      <c r="X6972" s="28"/>
      <c r="Y6972" s="28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28"/>
      <c r="AS6972" s="28"/>
      <c r="AT6972" s="28"/>
    </row>
    <row r="6973">
      <c r="A6973" s="14"/>
      <c r="B6973" s="15"/>
      <c r="C6973" s="16"/>
      <c r="D6973" s="15"/>
      <c r="F6973" s="15"/>
      <c r="G6973" s="26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8"/>
      <c r="X6973" s="28"/>
      <c r="Y6973" s="28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28"/>
      <c r="AS6973" s="28"/>
      <c r="AT6973" s="28"/>
    </row>
    <row r="6974">
      <c r="A6974" s="14"/>
      <c r="B6974" s="15"/>
      <c r="C6974" s="16"/>
      <c r="D6974" s="15"/>
      <c r="F6974" s="15"/>
      <c r="G6974" s="26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8"/>
      <c r="X6974" s="28"/>
      <c r="Y6974" s="28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28"/>
      <c r="AS6974" s="28"/>
      <c r="AT6974" s="28"/>
    </row>
    <row r="6975">
      <c r="A6975" s="14"/>
      <c r="B6975" s="15"/>
      <c r="C6975" s="16"/>
      <c r="D6975" s="15"/>
      <c r="F6975" s="15"/>
      <c r="G6975" s="26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8"/>
      <c r="X6975" s="28"/>
      <c r="Y6975" s="28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28"/>
      <c r="AS6975" s="28"/>
      <c r="AT6975" s="28"/>
    </row>
    <row r="6976">
      <c r="A6976" s="14"/>
      <c r="B6976" s="15"/>
      <c r="C6976" s="16"/>
      <c r="D6976" s="15"/>
      <c r="F6976" s="15"/>
      <c r="G6976" s="26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8"/>
      <c r="X6976" s="28"/>
      <c r="Y6976" s="28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28"/>
      <c r="AS6976" s="28"/>
      <c r="AT6976" s="28"/>
    </row>
    <row r="6977">
      <c r="A6977" s="14"/>
      <c r="B6977" s="15"/>
      <c r="C6977" s="16"/>
      <c r="D6977" s="15"/>
      <c r="F6977" s="15"/>
      <c r="G6977" s="26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8"/>
      <c r="X6977" s="28"/>
      <c r="Y6977" s="28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28"/>
      <c r="AS6977" s="28"/>
      <c r="AT6977" s="28"/>
    </row>
    <row r="6978">
      <c r="A6978" s="14"/>
      <c r="B6978" s="15"/>
      <c r="C6978" s="16"/>
      <c r="D6978" s="15"/>
      <c r="F6978" s="15"/>
      <c r="G6978" s="26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8"/>
      <c r="X6978" s="28"/>
      <c r="Y6978" s="28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28"/>
      <c r="AS6978" s="28"/>
      <c r="AT6978" s="28"/>
    </row>
    <row r="6979">
      <c r="A6979" s="14"/>
      <c r="B6979" s="15"/>
      <c r="C6979" s="16"/>
      <c r="D6979" s="15"/>
      <c r="F6979" s="15"/>
      <c r="G6979" s="26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8"/>
      <c r="X6979" s="28"/>
      <c r="Y6979" s="28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28"/>
      <c r="AS6979" s="28"/>
      <c r="AT6979" s="28"/>
    </row>
    <row r="6980">
      <c r="A6980" s="14"/>
      <c r="B6980" s="15"/>
      <c r="C6980" s="16"/>
      <c r="D6980" s="15"/>
      <c r="F6980" s="15"/>
      <c r="G6980" s="26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8"/>
      <c r="X6980" s="28"/>
      <c r="Y6980" s="28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28"/>
      <c r="AS6980" s="28"/>
      <c r="AT6980" s="28"/>
    </row>
    <row r="6981">
      <c r="A6981" s="14"/>
      <c r="B6981" s="15"/>
      <c r="C6981" s="16"/>
      <c r="D6981" s="15"/>
      <c r="F6981" s="15"/>
      <c r="G6981" s="26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8"/>
      <c r="X6981" s="28"/>
      <c r="Y6981" s="28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28"/>
      <c r="AS6981" s="28"/>
      <c r="AT6981" s="28"/>
    </row>
    <row r="6982">
      <c r="A6982" s="14"/>
      <c r="B6982" s="15"/>
      <c r="C6982" s="16"/>
      <c r="D6982" s="15"/>
      <c r="F6982" s="15"/>
      <c r="G6982" s="26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8"/>
      <c r="X6982" s="28"/>
      <c r="Y6982" s="28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28"/>
      <c r="AS6982" s="28"/>
      <c r="AT6982" s="28"/>
    </row>
    <row r="6983">
      <c r="A6983" s="14"/>
      <c r="B6983" s="15"/>
      <c r="C6983" s="16"/>
      <c r="D6983" s="15"/>
      <c r="F6983" s="15"/>
      <c r="G6983" s="26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8"/>
      <c r="X6983" s="28"/>
      <c r="Y6983" s="28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28"/>
      <c r="AS6983" s="28"/>
      <c r="AT6983" s="28"/>
    </row>
    <row r="6984">
      <c r="A6984" s="14"/>
      <c r="B6984" s="15"/>
      <c r="C6984" s="16"/>
      <c r="D6984" s="15"/>
      <c r="F6984" s="15"/>
      <c r="G6984" s="26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8"/>
      <c r="X6984" s="28"/>
      <c r="Y6984" s="28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28"/>
      <c r="AS6984" s="28"/>
      <c r="AT6984" s="28"/>
    </row>
    <row r="6985">
      <c r="A6985" s="14"/>
      <c r="B6985" s="15"/>
      <c r="C6985" s="16"/>
      <c r="D6985" s="15"/>
      <c r="F6985" s="15"/>
      <c r="G6985" s="26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8"/>
      <c r="X6985" s="28"/>
      <c r="Y6985" s="28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28"/>
      <c r="AS6985" s="28"/>
      <c r="AT6985" s="28"/>
    </row>
    <row r="6986">
      <c r="A6986" s="14"/>
      <c r="B6986" s="15"/>
      <c r="C6986" s="16"/>
      <c r="D6986" s="15"/>
      <c r="F6986" s="15"/>
      <c r="G6986" s="26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8"/>
      <c r="X6986" s="28"/>
      <c r="Y6986" s="28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28"/>
      <c r="AS6986" s="28"/>
      <c r="AT6986" s="28"/>
    </row>
    <row r="6987">
      <c r="A6987" s="14"/>
      <c r="B6987" s="15"/>
      <c r="C6987" s="16"/>
      <c r="D6987" s="15"/>
      <c r="F6987" s="15"/>
      <c r="G6987" s="26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8"/>
      <c r="X6987" s="28"/>
      <c r="Y6987" s="28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28"/>
      <c r="AS6987" s="28"/>
      <c r="AT6987" s="28"/>
    </row>
    <row r="6988">
      <c r="A6988" s="14"/>
      <c r="B6988" s="15"/>
      <c r="C6988" s="16"/>
      <c r="D6988" s="15"/>
      <c r="F6988" s="15"/>
      <c r="G6988" s="26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8"/>
      <c r="X6988" s="28"/>
      <c r="Y6988" s="28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28"/>
      <c r="AS6988" s="28"/>
      <c r="AT6988" s="28"/>
    </row>
    <row r="6989">
      <c r="A6989" s="14"/>
      <c r="B6989" s="15"/>
      <c r="C6989" s="16"/>
      <c r="D6989" s="15"/>
      <c r="F6989" s="15"/>
      <c r="G6989" s="26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8"/>
      <c r="X6989" s="28"/>
      <c r="Y6989" s="28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28"/>
      <c r="AS6989" s="28"/>
      <c r="AT6989" s="28"/>
    </row>
    <row r="6990">
      <c r="A6990" s="14"/>
      <c r="B6990" s="15"/>
      <c r="C6990" s="16"/>
      <c r="D6990" s="15"/>
      <c r="F6990" s="15"/>
      <c r="G6990" s="26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8"/>
      <c r="X6990" s="28"/>
      <c r="Y6990" s="28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28"/>
      <c r="AS6990" s="28"/>
      <c r="AT6990" s="28"/>
    </row>
    <row r="6991">
      <c r="A6991" s="14"/>
      <c r="B6991" s="15"/>
      <c r="C6991" s="16"/>
      <c r="D6991" s="15"/>
      <c r="F6991" s="15"/>
      <c r="G6991" s="26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8"/>
      <c r="X6991" s="28"/>
      <c r="Y6991" s="28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28"/>
      <c r="AS6991" s="28"/>
      <c r="AT6991" s="28"/>
    </row>
    <row r="6992">
      <c r="A6992" s="14"/>
      <c r="B6992" s="15"/>
      <c r="C6992" s="16"/>
      <c r="D6992" s="15"/>
      <c r="F6992" s="15"/>
      <c r="G6992" s="26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8"/>
      <c r="X6992" s="28"/>
      <c r="Y6992" s="28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28"/>
      <c r="AS6992" s="28"/>
      <c r="AT6992" s="28"/>
    </row>
    <row r="6993">
      <c r="A6993" s="14"/>
      <c r="B6993" s="15"/>
      <c r="C6993" s="16"/>
      <c r="D6993" s="15"/>
      <c r="F6993" s="15"/>
      <c r="G6993" s="26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8"/>
      <c r="X6993" s="28"/>
      <c r="Y6993" s="28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28"/>
      <c r="AS6993" s="28"/>
      <c r="AT6993" s="28"/>
    </row>
    <row r="6994">
      <c r="A6994" s="14"/>
      <c r="B6994" s="15"/>
      <c r="C6994" s="16"/>
      <c r="D6994" s="15"/>
      <c r="F6994" s="15"/>
      <c r="G6994" s="26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8"/>
      <c r="X6994" s="28"/>
      <c r="Y6994" s="28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28"/>
      <c r="AS6994" s="28"/>
      <c r="AT6994" s="28"/>
    </row>
    <row r="6995">
      <c r="A6995" s="14"/>
      <c r="B6995" s="15"/>
      <c r="C6995" s="16"/>
      <c r="D6995" s="15"/>
      <c r="F6995" s="15"/>
      <c r="G6995" s="26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8"/>
      <c r="X6995" s="28"/>
      <c r="Y6995" s="28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28"/>
      <c r="AS6995" s="28"/>
      <c r="AT6995" s="28"/>
    </row>
    <row r="6996">
      <c r="A6996" s="14"/>
      <c r="B6996" s="15"/>
      <c r="C6996" s="16"/>
      <c r="D6996" s="15"/>
      <c r="F6996" s="15"/>
      <c r="G6996" s="26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8"/>
      <c r="X6996" s="28"/>
      <c r="Y6996" s="28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28"/>
      <c r="AS6996" s="28"/>
      <c r="AT6996" s="28"/>
    </row>
    <row r="6997">
      <c r="A6997" s="14"/>
      <c r="B6997" s="15"/>
      <c r="C6997" s="16"/>
      <c r="D6997" s="15"/>
      <c r="F6997" s="15"/>
      <c r="G6997" s="26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8"/>
      <c r="X6997" s="28"/>
      <c r="Y6997" s="28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28"/>
      <c r="AS6997" s="28"/>
      <c r="AT6997" s="28"/>
    </row>
    <row r="6998">
      <c r="A6998" s="14"/>
      <c r="B6998" s="15"/>
      <c r="C6998" s="16"/>
      <c r="D6998" s="15"/>
      <c r="F6998" s="15"/>
      <c r="G6998" s="26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8"/>
      <c r="X6998" s="28"/>
      <c r="Y6998" s="28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28"/>
      <c r="AS6998" s="28"/>
      <c r="AT6998" s="28"/>
    </row>
    <row r="6999">
      <c r="A6999" s="14"/>
      <c r="B6999" s="15"/>
      <c r="C6999" s="16"/>
      <c r="D6999" s="15"/>
      <c r="F6999" s="15"/>
      <c r="G6999" s="26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8"/>
      <c r="X6999" s="28"/>
      <c r="Y6999" s="28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28"/>
      <c r="AS6999" s="28"/>
      <c r="AT6999" s="28"/>
    </row>
    <row r="7000">
      <c r="A7000" s="14"/>
      <c r="B7000" s="15"/>
      <c r="C7000" s="16"/>
      <c r="D7000" s="15"/>
      <c r="F7000" s="15"/>
      <c r="G7000" s="26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8"/>
      <c r="X7000" s="28"/>
      <c r="Y7000" s="28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28"/>
      <c r="AS7000" s="28"/>
      <c r="AT7000" s="28"/>
    </row>
    <row r="7001">
      <c r="A7001" s="14"/>
      <c r="B7001" s="15"/>
      <c r="C7001" s="16"/>
      <c r="D7001" s="15"/>
      <c r="F7001" s="15"/>
      <c r="G7001" s="26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8"/>
      <c r="X7001" s="28"/>
      <c r="Y7001" s="28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28"/>
      <c r="AS7001" s="28"/>
      <c r="AT7001" s="28"/>
    </row>
    <row r="7002">
      <c r="A7002" s="14"/>
      <c r="B7002" s="15"/>
      <c r="C7002" s="16"/>
      <c r="D7002" s="15"/>
      <c r="F7002" s="15"/>
      <c r="G7002" s="26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28"/>
      <c r="AS7002" s="28"/>
      <c r="AT7002" s="28"/>
    </row>
    <row r="7003">
      <c r="A7003" s="14"/>
      <c r="B7003" s="15"/>
      <c r="C7003" s="16"/>
      <c r="D7003" s="15"/>
      <c r="F7003" s="15"/>
      <c r="G7003" s="26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28"/>
      <c r="AS7003" s="28"/>
      <c r="AT7003" s="28"/>
    </row>
    <row r="7004">
      <c r="A7004" s="14"/>
      <c r="B7004" s="15"/>
      <c r="C7004" s="16"/>
      <c r="D7004" s="15"/>
      <c r="F7004" s="15"/>
      <c r="G7004" s="26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28"/>
      <c r="AS7004" s="28"/>
      <c r="AT7004" s="28"/>
    </row>
    <row r="7005">
      <c r="A7005" s="14"/>
      <c r="B7005" s="15"/>
      <c r="C7005" s="16"/>
      <c r="D7005" s="15"/>
      <c r="F7005" s="15"/>
      <c r="G7005" s="26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28"/>
      <c r="AS7005" s="28"/>
      <c r="AT7005" s="28"/>
    </row>
    <row r="7006">
      <c r="A7006" s="14"/>
      <c r="B7006" s="15"/>
      <c r="C7006" s="16"/>
      <c r="D7006" s="15"/>
      <c r="F7006" s="15"/>
      <c r="G7006" s="26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28"/>
      <c r="AS7006" s="28"/>
      <c r="AT7006" s="28"/>
    </row>
    <row r="7007">
      <c r="A7007" s="14"/>
      <c r="B7007" s="15"/>
      <c r="C7007" s="16"/>
      <c r="D7007" s="15"/>
      <c r="F7007" s="15"/>
      <c r="G7007" s="26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28"/>
      <c r="AS7007" s="28"/>
      <c r="AT7007" s="28"/>
    </row>
    <row r="7008">
      <c r="A7008" s="14"/>
      <c r="B7008" s="15"/>
      <c r="C7008" s="16"/>
      <c r="D7008" s="15"/>
      <c r="F7008" s="15"/>
      <c r="G7008" s="26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28"/>
      <c r="AS7008" s="28"/>
      <c r="AT7008" s="28"/>
    </row>
    <row r="7009">
      <c r="A7009" s="14"/>
      <c r="B7009" s="15"/>
      <c r="C7009" s="16"/>
      <c r="D7009" s="15"/>
      <c r="F7009" s="15"/>
      <c r="G7009" s="26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28"/>
      <c r="AS7009" s="28"/>
      <c r="AT7009" s="28"/>
    </row>
    <row r="7010">
      <c r="A7010" s="14"/>
      <c r="B7010" s="15"/>
      <c r="C7010" s="16"/>
      <c r="D7010" s="15"/>
      <c r="F7010" s="15"/>
      <c r="G7010" s="26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28"/>
      <c r="AS7010" s="28"/>
      <c r="AT7010" s="28"/>
    </row>
    <row r="7011">
      <c r="A7011" s="14"/>
      <c r="B7011" s="15"/>
      <c r="C7011" s="16"/>
      <c r="D7011" s="15"/>
      <c r="F7011" s="15"/>
      <c r="G7011" s="26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28"/>
      <c r="AS7011" s="28"/>
      <c r="AT7011" s="28"/>
    </row>
    <row r="7012">
      <c r="A7012" s="14"/>
      <c r="B7012" s="15"/>
      <c r="C7012" s="16"/>
      <c r="D7012" s="15"/>
      <c r="F7012" s="15"/>
      <c r="G7012" s="26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28"/>
      <c r="AS7012" s="28"/>
      <c r="AT7012" s="28"/>
    </row>
    <row r="7013">
      <c r="A7013" s="14"/>
      <c r="B7013" s="15"/>
      <c r="C7013" s="16"/>
      <c r="D7013" s="15"/>
      <c r="F7013" s="15"/>
      <c r="G7013" s="26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28"/>
      <c r="AS7013" s="28"/>
      <c r="AT7013" s="28"/>
    </row>
    <row r="7014">
      <c r="A7014" s="14"/>
      <c r="B7014" s="15"/>
      <c r="C7014" s="16"/>
      <c r="D7014" s="15"/>
      <c r="F7014" s="15"/>
      <c r="G7014" s="26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28"/>
      <c r="AS7014" s="28"/>
      <c r="AT7014" s="28"/>
    </row>
    <row r="7015">
      <c r="A7015" s="14"/>
      <c r="B7015" s="15"/>
      <c r="C7015" s="16"/>
      <c r="D7015" s="15"/>
      <c r="F7015" s="15"/>
      <c r="G7015" s="26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28"/>
      <c r="AS7015" s="28"/>
      <c r="AT7015" s="28"/>
    </row>
    <row r="7016">
      <c r="A7016" s="14"/>
      <c r="B7016" s="15"/>
      <c r="C7016" s="16"/>
      <c r="D7016" s="15"/>
      <c r="F7016" s="15"/>
      <c r="G7016" s="26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28"/>
      <c r="AS7016" s="28"/>
      <c r="AT7016" s="28"/>
    </row>
    <row r="7017">
      <c r="A7017" s="14"/>
      <c r="B7017" s="15"/>
      <c r="C7017" s="16"/>
      <c r="D7017" s="15"/>
      <c r="F7017" s="15"/>
      <c r="G7017" s="26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28"/>
      <c r="AS7017" s="28"/>
      <c r="AT7017" s="28"/>
    </row>
    <row r="7018">
      <c r="A7018" s="14"/>
      <c r="B7018" s="15"/>
      <c r="C7018" s="16"/>
      <c r="D7018" s="15"/>
      <c r="F7018" s="15"/>
      <c r="G7018" s="26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28"/>
      <c r="AS7018" s="28"/>
      <c r="AT7018" s="28"/>
    </row>
    <row r="7019">
      <c r="A7019" s="14"/>
      <c r="B7019" s="15"/>
      <c r="C7019" s="16"/>
      <c r="D7019" s="15"/>
      <c r="F7019" s="15"/>
      <c r="G7019" s="26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28"/>
      <c r="AS7019" s="28"/>
      <c r="AT7019" s="28"/>
    </row>
    <row r="7020">
      <c r="A7020" s="14"/>
      <c r="B7020" s="15"/>
      <c r="C7020" s="16"/>
      <c r="D7020" s="15"/>
      <c r="F7020" s="15"/>
      <c r="G7020" s="26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28"/>
      <c r="AS7020" s="28"/>
      <c r="AT7020" s="28"/>
    </row>
    <row r="7021">
      <c r="A7021" s="14"/>
      <c r="B7021" s="15"/>
      <c r="C7021" s="16"/>
      <c r="D7021" s="15"/>
      <c r="F7021" s="15"/>
      <c r="G7021" s="26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28"/>
      <c r="AS7021" s="28"/>
      <c r="AT7021" s="28"/>
    </row>
    <row r="7022">
      <c r="A7022" s="14"/>
      <c r="B7022" s="15"/>
      <c r="C7022" s="16"/>
      <c r="D7022" s="15"/>
      <c r="F7022" s="15"/>
      <c r="G7022" s="26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28"/>
      <c r="AS7022" s="28"/>
      <c r="AT7022" s="28"/>
    </row>
    <row r="7023">
      <c r="A7023" s="14"/>
      <c r="B7023" s="15"/>
      <c r="C7023" s="16"/>
      <c r="D7023" s="15"/>
      <c r="F7023" s="15"/>
      <c r="G7023" s="26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28"/>
      <c r="AS7023" s="28"/>
      <c r="AT7023" s="28"/>
    </row>
    <row r="7024">
      <c r="A7024" s="14"/>
      <c r="B7024" s="15"/>
      <c r="C7024" s="16"/>
      <c r="D7024" s="15"/>
      <c r="F7024" s="15"/>
      <c r="G7024" s="26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28"/>
      <c r="AS7024" s="28"/>
      <c r="AT7024" s="28"/>
    </row>
    <row r="7025">
      <c r="A7025" s="14"/>
      <c r="B7025" s="15"/>
      <c r="C7025" s="16"/>
      <c r="D7025" s="15"/>
      <c r="F7025" s="15"/>
      <c r="G7025" s="26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28"/>
      <c r="AS7025" s="28"/>
      <c r="AT7025" s="28"/>
    </row>
    <row r="7026">
      <c r="A7026" s="14"/>
      <c r="B7026" s="15"/>
      <c r="C7026" s="16"/>
      <c r="D7026" s="15"/>
      <c r="F7026" s="15"/>
      <c r="G7026" s="26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28"/>
      <c r="AS7026" s="28"/>
      <c r="AT7026" s="28"/>
    </row>
    <row r="7027">
      <c r="A7027" s="14"/>
      <c r="B7027" s="15"/>
      <c r="C7027" s="16"/>
      <c r="D7027" s="15"/>
      <c r="F7027" s="15"/>
      <c r="G7027" s="26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28"/>
      <c r="AS7027" s="28"/>
      <c r="AT7027" s="28"/>
    </row>
    <row r="7028">
      <c r="A7028" s="14"/>
      <c r="B7028" s="15"/>
      <c r="C7028" s="16"/>
      <c r="D7028" s="15"/>
      <c r="F7028" s="15"/>
      <c r="G7028" s="26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28"/>
      <c r="AS7028" s="28"/>
      <c r="AT7028" s="28"/>
    </row>
    <row r="7029">
      <c r="A7029" s="14"/>
      <c r="B7029" s="15"/>
      <c r="C7029" s="16"/>
      <c r="D7029" s="15"/>
      <c r="F7029" s="15"/>
      <c r="G7029" s="26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28"/>
      <c r="AS7029" s="28"/>
      <c r="AT7029" s="28"/>
    </row>
    <row r="7030">
      <c r="A7030" s="14"/>
      <c r="B7030" s="15"/>
      <c r="C7030" s="16"/>
      <c r="D7030" s="15"/>
      <c r="F7030" s="15"/>
      <c r="G7030" s="26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28"/>
      <c r="AS7030" s="28"/>
      <c r="AT7030" s="28"/>
    </row>
    <row r="7031">
      <c r="A7031" s="14"/>
      <c r="B7031" s="15"/>
      <c r="C7031" s="16"/>
      <c r="D7031" s="15"/>
      <c r="F7031" s="15"/>
      <c r="G7031" s="26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28"/>
      <c r="AS7031" s="28"/>
      <c r="AT7031" s="28"/>
    </row>
    <row r="7032">
      <c r="A7032" s="14"/>
      <c r="B7032" s="15"/>
      <c r="C7032" s="16"/>
      <c r="D7032" s="15"/>
      <c r="F7032" s="15"/>
      <c r="G7032" s="26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28"/>
      <c r="AS7032" s="28"/>
      <c r="AT7032" s="28"/>
    </row>
    <row r="7033">
      <c r="A7033" s="14"/>
      <c r="B7033" s="15"/>
      <c r="C7033" s="16"/>
      <c r="D7033" s="15"/>
      <c r="F7033" s="15"/>
      <c r="G7033" s="26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28"/>
      <c r="AS7033" s="28"/>
      <c r="AT7033" s="28"/>
    </row>
    <row r="7034">
      <c r="A7034" s="14"/>
      <c r="B7034" s="15"/>
      <c r="C7034" s="16"/>
      <c r="D7034" s="15"/>
      <c r="F7034" s="15"/>
      <c r="G7034" s="26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28"/>
      <c r="AS7034" s="28"/>
      <c r="AT7034" s="28"/>
    </row>
    <row r="7035">
      <c r="A7035" s="14"/>
      <c r="B7035" s="15"/>
      <c r="C7035" s="16"/>
      <c r="D7035" s="15"/>
      <c r="F7035" s="15"/>
      <c r="G7035" s="26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28"/>
      <c r="AS7035" s="28"/>
      <c r="AT7035" s="28"/>
    </row>
    <row r="7036">
      <c r="A7036" s="14"/>
      <c r="B7036" s="15"/>
      <c r="C7036" s="16"/>
      <c r="D7036" s="15"/>
      <c r="F7036" s="15"/>
      <c r="G7036" s="26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28"/>
      <c r="AS7036" s="28"/>
      <c r="AT7036" s="28"/>
    </row>
    <row r="7037">
      <c r="A7037" s="14"/>
      <c r="B7037" s="15"/>
      <c r="C7037" s="16"/>
      <c r="D7037" s="15"/>
      <c r="F7037" s="15"/>
      <c r="G7037" s="26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28"/>
      <c r="AS7037" s="28"/>
      <c r="AT7037" s="28"/>
    </row>
    <row r="7038">
      <c r="A7038" s="14"/>
      <c r="B7038" s="15"/>
      <c r="C7038" s="16"/>
      <c r="D7038" s="15"/>
      <c r="F7038" s="15"/>
      <c r="G7038" s="26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28"/>
      <c r="AS7038" s="28"/>
      <c r="AT7038" s="28"/>
    </row>
    <row r="7039">
      <c r="A7039" s="14"/>
      <c r="B7039" s="15"/>
      <c r="C7039" s="16"/>
      <c r="D7039" s="15"/>
      <c r="F7039" s="15"/>
      <c r="G7039" s="26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28"/>
      <c r="AS7039" s="28"/>
      <c r="AT7039" s="28"/>
    </row>
    <row r="7040">
      <c r="A7040" s="14"/>
      <c r="B7040" s="15"/>
      <c r="C7040" s="16"/>
      <c r="D7040" s="15"/>
      <c r="F7040" s="15"/>
      <c r="G7040" s="26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28"/>
      <c r="AS7040" s="28"/>
      <c r="AT7040" s="28"/>
    </row>
    <row r="7041">
      <c r="A7041" s="14"/>
      <c r="B7041" s="15"/>
      <c r="C7041" s="16"/>
      <c r="D7041" s="15"/>
      <c r="F7041" s="15"/>
      <c r="G7041" s="26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28"/>
      <c r="AS7041" s="28"/>
      <c r="AT7041" s="28"/>
    </row>
    <row r="7042">
      <c r="A7042" s="14"/>
      <c r="B7042" s="15"/>
      <c r="C7042" s="16"/>
      <c r="D7042" s="15"/>
      <c r="F7042" s="15"/>
      <c r="G7042" s="26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28"/>
      <c r="AS7042" s="28"/>
      <c r="AT7042" s="28"/>
    </row>
    <row r="7043">
      <c r="A7043" s="14"/>
      <c r="B7043" s="15"/>
      <c r="C7043" s="16"/>
      <c r="D7043" s="15"/>
      <c r="F7043" s="15"/>
      <c r="G7043" s="26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28"/>
      <c r="AS7043" s="28"/>
      <c r="AT7043" s="28"/>
    </row>
    <row r="7044">
      <c r="A7044" s="14"/>
      <c r="B7044" s="15"/>
      <c r="C7044" s="16"/>
      <c r="D7044" s="15"/>
      <c r="F7044" s="15"/>
      <c r="G7044" s="26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28"/>
      <c r="AS7044" s="28"/>
      <c r="AT7044" s="28"/>
    </row>
    <row r="7045">
      <c r="A7045" s="14"/>
      <c r="B7045" s="15"/>
      <c r="C7045" s="16"/>
      <c r="D7045" s="15"/>
      <c r="F7045" s="15"/>
      <c r="G7045" s="26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28"/>
      <c r="AS7045" s="28"/>
      <c r="AT7045" s="28"/>
    </row>
    <row r="7046">
      <c r="A7046" s="14"/>
      <c r="B7046" s="15"/>
      <c r="C7046" s="16"/>
      <c r="D7046" s="15"/>
      <c r="F7046" s="15"/>
      <c r="G7046" s="26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28"/>
      <c r="AS7046" s="28"/>
      <c r="AT7046" s="28"/>
    </row>
    <row r="7047">
      <c r="A7047" s="14"/>
      <c r="B7047" s="15"/>
      <c r="C7047" s="16"/>
      <c r="D7047" s="15"/>
      <c r="F7047" s="15"/>
      <c r="G7047" s="26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28"/>
      <c r="AS7047" s="28"/>
      <c r="AT7047" s="28"/>
    </row>
    <row r="7048">
      <c r="A7048" s="14"/>
      <c r="B7048" s="15"/>
      <c r="C7048" s="16"/>
      <c r="D7048" s="15"/>
      <c r="F7048" s="15"/>
      <c r="G7048" s="26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28"/>
      <c r="AS7048" s="28"/>
      <c r="AT7048" s="28"/>
    </row>
    <row r="7049">
      <c r="A7049" s="14"/>
      <c r="B7049" s="15"/>
      <c r="C7049" s="16"/>
      <c r="D7049" s="15"/>
      <c r="F7049" s="15"/>
      <c r="G7049" s="26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28"/>
      <c r="AS7049" s="28"/>
      <c r="AT7049" s="28"/>
    </row>
    <row r="7050">
      <c r="A7050" s="14"/>
      <c r="B7050" s="15"/>
      <c r="C7050" s="16"/>
      <c r="D7050" s="15"/>
      <c r="F7050" s="15"/>
      <c r="G7050" s="26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28"/>
      <c r="AS7050" s="28"/>
      <c r="AT7050" s="28"/>
    </row>
    <row r="7051">
      <c r="A7051" s="14"/>
      <c r="B7051" s="15"/>
      <c r="C7051" s="16"/>
      <c r="D7051" s="15"/>
      <c r="F7051" s="15"/>
      <c r="G7051" s="26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28"/>
      <c r="AS7051" s="28"/>
      <c r="AT7051" s="28"/>
    </row>
    <row r="7052">
      <c r="A7052" s="14"/>
      <c r="B7052" s="15"/>
      <c r="C7052" s="16"/>
      <c r="D7052" s="15"/>
      <c r="F7052" s="15"/>
      <c r="G7052" s="26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28"/>
      <c r="AS7052" s="28"/>
      <c r="AT7052" s="28"/>
    </row>
    <row r="7053">
      <c r="A7053" s="14"/>
      <c r="B7053" s="15"/>
      <c r="C7053" s="16"/>
      <c r="D7053" s="15"/>
      <c r="F7053" s="15"/>
      <c r="G7053" s="26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28"/>
      <c r="AS7053" s="28"/>
      <c r="AT7053" s="28"/>
    </row>
    <row r="7054">
      <c r="A7054" s="14"/>
      <c r="B7054" s="15"/>
      <c r="C7054" s="16"/>
      <c r="D7054" s="15"/>
      <c r="F7054" s="15"/>
      <c r="G7054" s="26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28"/>
      <c r="AS7054" s="28"/>
      <c r="AT7054" s="28"/>
    </row>
    <row r="7055">
      <c r="A7055" s="14"/>
      <c r="B7055" s="15"/>
      <c r="C7055" s="16"/>
      <c r="D7055" s="15"/>
      <c r="F7055" s="15"/>
      <c r="G7055" s="26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28"/>
      <c r="AS7055" s="28"/>
      <c r="AT7055" s="28"/>
    </row>
    <row r="7056">
      <c r="A7056" s="14"/>
      <c r="B7056" s="15"/>
      <c r="C7056" s="16"/>
      <c r="D7056" s="15"/>
      <c r="F7056" s="15"/>
      <c r="G7056" s="26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28"/>
      <c r="AS7056" s="28"/>
      <c r="AT7056" s="28"/>
    </row>
    <row r="7057">
      <c r="A7057" s="14"/>
      <c r="B7057" s="15"/>
      <c r="C7057" s="16"/>
      <c r="D7057" s="15"/>
      <c r="F7057" s="15"/>
      <c r="G7057" s="26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28"/>
      <c r="AS7057" s="28"/>
      <c r="AT7057" s="28"/>
    </row>
    <row r="7058">
      <c r="A7058" s="14"/>
      <c r="B7058" s="15"/>
      <c r="C7058" s="16"/>
      <c r="D7058" s="15"/>
      <c r="F7058" s="15"/>
      <c r="G7058" s="26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8"/>
      <c r="X7058" s="28"/>
      <c r="Y7058" s="28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28"/>
      <c r="AS7058" s="28"/>
      <c r="AT7058" s="28"/>
    </row>
    <row r="7059">
      <c r="A7059" s="14"/>
      <c r="B7059" s="15"/>
      <c r="C7059" s="16"/>
      <c r="D7059" s="15"/>
      <c r="F7059" s="15"/>
      <c r="G7059" s="26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8"/>
      <c r="X7059" s="28"/>
      <c r="Y7059" s="28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28"/>
      <c r="AS7059" s="28"/>
      <c r="AT7059" s="28"/>
    </row>
    <row r="7060">
      <c r="A7060" s="14"/>
      <c r="B7060" s="15"/>
      <c r="C7060" s="16"/>
      <c r="D7060" s="15"/>
      <c r="F7060" s="15"/>
      <c r="G7060" s="26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8"/>
      <c r="X7060" s="28"/>
      <c r="Y7060" s="28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28"/>
      <c r="AS7060" s="28"/>
      <c r="AT7060" s="28"/>
    </row>
    <row r="7061">
      <c r="A7061" s="14"/>
      <c r="B7061" s="15"/>
      <c r="C7061" s="16"/>
      <c r="D7061" s="15"/>
      <c r="F7061" s="15"/>
      <c r="G7061" s="26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8"/>
      <c r="X7061" s="28"/>
      <c r="Y7061" s="28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28"/>
      <c r="AS7061" s="28"/>
      <c r="AT7061" s="28"/>
    </row>
    <row r="7062">
      <c r="A7062" s="14"/>
      <c r="B7062" s="15"/>
      <c r="C7062" s="16"/>
      <c r="D7062" s="15"/>
      <c r="F7062" s="15"/>
      <c r="G7062" s="26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8"/>
      <c r="X7062" s="28"/>
      <c r="Y7062" s="28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28"/>
      <c r="AS7062" s="28"/>
      <c r="AT7062" s="28"/>
    </row>
    <row r="7063">
      <c r="A7063" s="14"/>
      <c r="B7063" s="15"/>
      <c r="C7063" s="16"/>
      <c r="D7063" s="15"/>
      <c r="F7063" s="15"/>
      <c r="G7063" s="26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8"/>
      <c r="X7063" s="28"/>
      <c r="Y7063" s="28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28"/>
      <c r="AS7063" s="28"/>
      <c r="AT7063" s="28"/>
    </row>
    <row r="7064">
      <c r="A7064" s="14"/>
      <c r="B7064" s="15"/>
      <c r="C7064" s="16"/>
      <c r="D7064" s="15"/>
      <c r="F7064" s="15"/>
      <c r="G7064" s="26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8"/>
      <c r="X7064" s="28"/>
      <c r="Y7064" s="28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28"/>
      <c r="AS7064" s="28"/>
      <c r="AT7064" s="28"/>
    </row>
    <row r="7065">
      <c r="A7065" s="14"/>
      <c r="B7065" s="15"/>
      <c r="C7065" s="16"/>
      <c r="D7065" s="15"/>
      <c r="F7065" s="15"/>
      <c r="G7065" s="26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8"/>
      <c r="X7065" s="28"/>
      <c r="Y7065" s="28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28"/>
      <c r="AS7065" s="28"/>
      <c r="AT7065" s="28"/>
    </row>
    <row r="7066">
      <c r="A7066" s="14"/>
      <c r="B7066" s="15"/>
      <c r="C7066" s="16"/>
      <c r="D7066" s="15"/>
      <c r="F7066" s="15"/>
      <c r="G7066" s="26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8"/>
      <c r="X7066" s="28"/>
      <c r="Y7066" s="28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28"/>
      <c r="AS7066" s="28"/>
      <c r="AT7066" s="28"/>
    </row>
    <row r="7067">
      <c r="A7067" s="14"/>
      <c r="B7067" s="15"/>
      <c r="C7067" s="16"/>
      <c r="D7067" s="15"/>
      <c r="F7067" s="15"/>
      <c r="G7067" s="26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8"/>
      <c r="X7067" s="28"/>
      <c r="Y7067" s="28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28"/>
      <c r="AS7067" s="28"/>
      <c r="AT7067" s="28"/>
    </row>
    <row r="7068">
      <c r="A7068" s="14"/>
      <c r="B7068" s="15"/>
      <c r="C7068" s="16"/>
      <c r="D7068" s="15"/>
      <c r="F7068" s="15"/>
      <c r="G7068" s="26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8"/>
      <c r="X7068" s="28"/>
      <c r="Y7068" s="28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28"/>
      <c r="AS7068" s="28"/>
      <c r="AT7068" s="28"/>
    </row>
    <row r="7069">
      <c r="A7069" s="14"/>
      <c r="B7069" s="15"/>
      <c r="C7069" s="16"/>
      <c r="D7069" s="15"/>
      <c r="F7069" s="15"/>
      <c r="G7069" s="26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8"/>
      <c r="X7069" s="28"/>
      <c r="Y7069" s="28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28"/>
      <c r="AS7069" s="28"/>
      <c r="AT7069" s="28"/>
    </row>
    <row r="7070">
      <c r="A7070" s="14"/>
      <c r="B7070" s="15"/>
      <c r="C7070" s="16"/>
      <c r="D7070" s="15"/>
      <c r="F7070" s="15"/>
      <c r="G7070" s="26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8"/>
      <c r="X7070" s="28"/>
      <c r="Y7070" s="28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28"/>
      <c r="AS7070" s="28"/>
      <c r="AT7070" s="28"/>
    </row>
    <row r="7071">
      <c r="A7071" s="14"/>
      <c r="B7071" s="15"/>
      <c r="C7071" s="16"/>
      <c r="D7071" s="15"/>
      <c r="F7071" s="15"/>
      <c r="G7071" s="26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8"/>
      <c r="X7071" s="28"/>
      <c r="Y7071" s="28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28"/>
      <c r="AS7071" s="28"/>
      <c r="AT7071" s="28"/>
    </row>
    <row r="7072">
      <c r="A7072" s="14"/>
      <c r="B7072" s="15"/>
      <c r="C7072" s="16"/>
      <c r="D7072" s="15"/>
      <c r="F7072" s="15"/>
      <c r="G7072" s="26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8"/>
      <c r="X7072" s="28"/>
      <c r="Y7072" s="28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28"/>
      <c r="AS7072" s="28"/>
      <c r="AT7072" s="28"/>
    </row>
    <row r="7073">
      <c r="A7073" s="14"/>
      <c r="B7073" s="15"/>
      <c r="C7073" s="16"/>
      <c r="D7073" s="15"/>
      <c r="F7073" s="15"/>
      <c r="G7073" s="26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8"/>
      <c r="X7073" s="28"/>
      <c r="Y7073" s="28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28"/>
      <c r="AS7073" s="28"/>
      <c r="AT7073" s="28"/>
    </row>
    <row r="7074">
      <c r="A7074" s="14"/>
      <c r="B7074" s="15"/>
      <c r="C7074" s="16"/>
      <c r="D7074" s="15"/>
      <c r="F7074" s="15"/>
      <c r="G7074" s="26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8"/>
      <c r="X7074" s="28"/>
      <c r="Y7074" s="28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28"/>
      <c r="AS7074" s="28"/>
      <c r="AT7074" s="28"/>
    </row>
    <row r="7075">
      <c r="A7075" s="14"/>
      <c r="B7075" s="15"/>
      <c r="C7075" s="16"/>
      <c r="D7075" s="15"/>
      <c r="F7075" s="15"/>
      <c r="G7075" s="26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8"/>
      <c r="X7075" s="28"/>
      <c r="Y7075" s="28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28"/>
      <c r="AS7075" s="28"/>
      <c r="AT7075" s="28"/>
    </row>
    <row r="7076">
      <c r="A7076" s="14"/>
      <c r="B7076" s="15"/>
      <c r="C7076" s="16"/>
      <c r="D7076" s="15"/>
      <c r="F7076" s="15"/>
      <c r="G7076" s="26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8"/>
      <c r="X7076" s="28"/>
      <c r="Y7076" s="28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28"/>
      <c r="AS7076" s="28"/>
      <c r="AT7076" s="28"/>
    </row>
    <row r="7077">
      <c r="A7077" s="14"/>
      <c r="B7077" s="15"/>
      <c r="C7077" s="16"/>
      <c r="D7077" s="15"/>
      <c r="F7077" s="15"/>
      <c r="G7077" s="26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8"/>
      <c r="X7077" s="28"/>
      <c r="Y7077" s="28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28"/>
      <c r="AS7077" s="28"/>
      <c r="AT7077" s="28"/>
    </row>
    <row r="7078">
      <c r="A7078" s="14"/>
      <c r="B7078" s="15"/>
      <c r="C7078" s="16"/>
      <c r="D7078" s="15"/>
      <c r="F7078" s="15"/>
      <c r="G7078" s="26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8"/>
      <c r="X7078" s="28"/>
      <c r="Y7078" s="28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28"/>
      <c r="AS7078" s="28"/>
      <c r="AT7078" s="28"/>
    </row>
    <row r="7079">
      <c r="A7079" s="14"/>
      <c r="B7079" s="15"/>
      <c r="C7079" s="16"/>
      <c r="D7079" s="15"/>
      <c r="F7079" s="15"/>
      <c r="G7079" s="26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8"/>
      <c r="X7079" s="28"/>
      <c r="Y7079" s="28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28"/>
      <c r="AS7079" s="28"/>
      <c r="AT7079" s="28"/>
    </row>
    <row r="7080">
      <c r="A7080" s="14"/>
      <c r="B7080" s="15"/>
      <c r="C7080" s="16"/>
      <c r="D7080" s="15"/>
      <c r="F7080" s="15"/>
      <c r="G7080" s="26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8"/>
      <c r="X7080" s="28"/>
      <c r="Y7080" s="28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28"/>
      <c r="AS7080" s="28"/>
      <c r="AT7080" s="28"/>
    </row>
    <row r="7081">
      <c r="A7081" s="14"/>
      <c r="B7081" s="15"/>
      <c r="C7081" s="16"/>
      <c r="D7081" s="15"/>
      <c r="F7081" s="15"/>
      <c r="G7081" s="26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8"/>
      <c r="X7081" s="28"/>
      <c r="Y7081" s="28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28"/>
      <c r="AS7081" s="28"/>
      <c r="AT7081" s="28"/>
    </row>
    <row r="7082">
      <c r="A7082" s="14"/>
      <c r="B7082" s="15"/>
      <c r="C7082" s="16"/>
      <c r="D7082" s="15"/>
      <c r="F7082" s="15"/>
      <c r="G7082" s="26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8"/>
      <c r="X7082" s="28"/>
      <c r="Y7082" s="28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28"/>
      <c r="AS7082" s="28"/>
      <c r="AT7082" s="28"/>
    </row>
    <row r="7083">
      <c r="A7083" s="14"/>
      <c r="B7083" s="15"/>
      <c r="C7083" s="16"/>
      <c r="D7083" s="15"/>
      <c r="F7083" s="15"/>
      <c r="G7083" s="26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8"/>
      <c r="X7083" s="28"/>
      <c r="Y7083" s="28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28"/>
      <c r="AS7083" s="28"/>
      <c r="AT7083" s="28"/>
    </row>
    <row r="7084">
      <c r="A7084" s="14"/>
      <c r="B7084" s="15"/>
      <c r="C7084" s="16"/>
      <c r="D7084" s="15"/>
      <c r="F7084" s="15"/>
      <c r="G7084" s="26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8"/>
      <c r="X7084" s="28"/>
      <c r="Y7084" s="28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28"/>
      <c r="AS7084" s="28"/>
      <c r="AT7084" s="28"/>
    </row>
    <row r="7085">
      <c r="A7085" s="14"/>
      <c r="B7085" s="15"/>
      <c r="C7085" s="16"/>
      <c r="D7085" s="15"/>
      <c r="F7085" s="15"/>
      <c r="G7085" s="26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8"/>
      <c r="X7085" s="28"/>
      <c r="Y7085" s="28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28"/>
      <c r="AS7085" s="28"/>
      <c r="AT7085" s="28"/>
    </row>
    <row r="7086">
      <c r="A7086" s="14"/>
      <c r="B7086" s="15"/>
      <c r="C7086" s="16"/>
      <c r="D7086" s="15"/>
      <c r="F7086" s="15"/>
      <c r="G7086" s="26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8"/>
      <c r="X7086" s="28"/>
      <c r="Y7086" s="28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28"/>
      <c r="AS7086" s="28"/>
      <c r="AT7086" s="28"/>
    </row>
    <row r="7087">
      <c r="A7087" s="14"/>
      <c r="B7087" s="15"/>
      <c r="C7087" s="16"/>
      <c r="D7087" s="15"/>
      <c r="F7087" s="15"/>
      <c r="G7087" s="26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8"/>
      <c r="X7087" s="28"/>
      <c r="Y7087" s="28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28"/>
      <c r="AS7087" s="28"/>
      <c r="AT7087" s="28"/>
    </row>
    <row r="7088">
      <c r="A7088" s="14"/>
      <c r="B7088" s="15"/>
      <c r="C7088" s="16"/>
      <c r="D7088" s="15"/>
      <c r="F7088" s="15"/>
      <c r="G7088" s="26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8"/>
      <c r="X7088" s="28"/>
      <c r="Y7088" s="28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28"/>
      <c r="AS7088" s="28"/>
      <c r="AT7088" s="28"/>
    </row>
    <row r="7089">
      <c r="A7089" s="14"/>
      <c r="B7089" s="15"/>
      <c r="C7089" s="16"/>
      <c r="D7089" s="15"/>
      <c r="F7089" s="15"/>
      <c r="G7089" s="26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8"/>
      <c r="X7089" s="28"/>
      <c r="Y7089" s="28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28"/>
      <c r="AS7089" s="28"/>
      <c r="AT7089" s="28"/>
    </row>
    <row r="7090">
      <c r="A7090" s="14"/>
      <c r="B7090" s="15"/>
      <c r="C7090" s="16"/>
      <c r="D7090" s="15"/>
      <c r="F7090" s="15"/>
      <c r="G7090" s="26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8"/>
      <c r="X7090" s="28"/>
      <c r="Y7090" s="28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28"/>
      <c r="AS7090" s="28"/>
      <c r="AT7090" s="28"/>
    </row>
    <row r="7091">
      <c r="A7091" s="14"/>
      <c r="B7091" s="15"/>
      <c r="C7091" s="16"/>
      <c r="D7091" s="15"/>
      <c r="F7091" s="15"/>
      <c r="G7091" s="26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8"/>
      <c r="X7091" s="28"/>
      <c r="Y7091" s="28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28"/>
      <c r="AS7091" s="28"/>
      <c r="AT7091" s="28"/>
    </row>
    <row r="7092">
      <c r="A7092" s="14"/>
      <c r="B7092" s="15"/>
      <c r="C7092" s="16"/>
      <c r="D7092" s="15"/>
      <c r="F7092" s="15"/>
      <c r="G7092" s="26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8"/>
      <c r="X7092" s="28"/>
      <c r="Y7092" s="28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28"/>
      <c r="AS7092" s="28"/>
      <c r="AT7092" s="28"/>
    </row>
    <row r="7093">
      <c r="A7093" s="14"/>
      <c r="B7093" s="15"/>
      <c r="C7093" s="16"/>
      <c r="D7093" s="15"/>
      <c r="F7093" s="15"/>
      <c r="G7093" s="26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8"/>
      <c r="X7093" s="28"/>
      <c r="Y7093" s="28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28"/>
      <c r="AS7093" s="28"/>
      <c r="AT7093" s="28"/>
    </row>
    <row r="7094">
      <c r="A7094" s="14"/>
      <c r="B7094" s="15"/>
      <c r="C7094" s="16"/>
      <c r="D7094" s="15"/>
      <c r="F7094" s="15"/>
      <c r="G7094" s="26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8"/>
      <c r="X7094" s="28"/>
      <c r="Y7094" s="28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28"/>
      <c r="AS7094" s="28"/>
      <c r="AT7094" s="28"/>
    </row>
    <row r="7095">
      <c r="A7095" s="14"/>
      <c r="B7095" s="15"/>
      <c r="C7095" s="16"/>
      <c r="D7095" s="15"/>
      <c r="F7095" s="15"/>
      <c r="G7095" s="26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8"/>
      <c r="X7095" s="28"/>
      <c r="Y7095" s="28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28"/>
      <c r="AS7095" s="28"/>
      <c r="AT7095" s="28"/>
    </row>
    <row r="7096">
      <c r="A7096" s="14"/>
      <c r="B7096" s="15"/>
      <c r="C7096" s="16"/>
      <c r="D7096" s="15"/>
      <c r="F7096" s="15"/>
      <c r="G7096" s="26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8"/>
      <c r="X7096" s="28"/>
      <c r="Y7096" s="28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28"/>
      <c r="AS7096" s="28"/>
      <c r="AT7096" s="28"/>
    </row>
    <row r="7097">
      <c r="A7097" s="14"/>
      <c r="B7097" s="15"/>
      <c r="C7097" s="16"/>
      <c r="D7097" s="15"/>
      <c r="F7097" s="15"/>
      <c r="G7097" s="26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8"/>
      <c r="X7097" s="28"/>
      <c r="Y7097" s="28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28"/>
      <c r="AS7097" s="28"/>
      <c r="AT7097" s="28"/>
    </row>
    <row r="7098">
      <c r="A7098" s="14"/>
      <c r="B7098" s="15"/>
      <c r="C7098" s="16"/>
      <c r="D7098" s="15"/>
      <c r="F7098" s="15"/>
      <c r="G7098" s="26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8"/>
      <c r="X7098" s="28"/>
      <c r="Y7098" s="28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28"/>
      <c r="AS7098" s="28"/>
      <c r="AT7098" s="28"/>
    </row>
    <row r="7099">
      <c r="A7099" s="14"/>
      <c r="B7099" s="15"/>
      <c r="C7099" s="16"/>
      <c r="D7099" s="15"/>
      <c r="F7099" s="15"/>
      <c r="G7099" s="26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8"/>
      <c r="X7099" s="28"/>
      <c r="Y7099" s="28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28"/>
      <c r="AS7099" s="28"/>
      <c r="AT7099" s="28"/>
    </row>
    <row r="7100">
      <c r="A7100" s="14"/>
      <c r="B7100" s="15"/>
      <c r="C7100" s="16"/>
      <c r="D7100" s="15"/>
      <c r="F7100" s="15"/>
      <c r="G7100" s="26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8"/>
      <c r="X7100" s="28"/>
      <c r="Y7100" s="28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28"/>
      <c r="AS7100" s="28"/>
      <c r="AT7100" s="28"/>
    </row>
    <row r="7101">
      <c r="A7101" s="14"/>
      <c r="B7101" s="15"/>
      <c r="C7101" s="16"/>
      <c r="D7101" s="15"/>
      <c r="F7101" s="15"/>
      <c r="G7101" s="26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8"/>
      <c r="X7101" s="28"/>
      <c r="Y7101" s="28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28"/>
      <c r="AS7101" s="28"/>
      <c r="AT7101" s="28"/>
    </row>
    <row r="7102">
      <c r="A7102" s="14"/>
      <c r="B7102" s="15"/>
      <c r="C7102" s="16"/>
      <c r="D7102" s="15"/>
      <c r="F7102" s="15"/>
      <c r="G7102" s="26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8"/>
      <c r="X7102" s="28"/>
      <c r="Y7102" s="28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28"/>
      <c r="AS7102" s="28"/>
      <c r="AT7102" s="28"/>
    </row>
    <row r="7103">
      <c r="A7103" s="14"/>
      <c r="B7103" s="15"/>
      <c r="C7103" s="16"/>
      <c r="D7103" s="15"/>
      <c r="F7103" s="15"/>
      <c r="G7103" s="26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8"/>
      <c r="X7103" s="28"/>
      <c r="Y7103" s="28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28"/>
      <c r="AS7103" s="28"/>
      <c r="AT7103" s="28"/>
    </row>
    <row r="7104">
      <c r="A7104" s="14"/>
      <c r="B7104" s="15"/>
      <c r="C7104" s="16"/>
      <c r="D7104" s="15"/>
      <c r="F7104" s="15"/>
      <c r="G7104" s="26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8"/>
      <c r="X7104" s="28"/>
      <c r="Y7104" s="28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28"/>
      <c r="AS7104" s="28"/>
      <c r="AT7104" s="28"/>
    </row>
    <row r="7105">
      <c r="A7105" s="14"/>
      <c r="B7105" s="15"/>
      <c r="C7105" s="16"/>
      <c r="D7105" s="15"/>
      <c r="F7105" s="15"/>
      <c r="G7105" s="26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8"/>
      <c r="X7105" s="28"/>
      <c r="Y7105" s="28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28"/>
      <c r="AS7105" s="28"/>
      <c r="AT7105" s="28"/>
    </row>
    <row r="7106">
      <c r="A7106" s="14"/>
      <c r="B7106" s="15"/>
      <c r="C7106" s="16"/>
      <c r="D7106" s="15"/>
      <c r="F7106" s="15"/>
      <c r="G7106" s="26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8"/>
      <c r="X7106" s="28"/>
      <c r="Y7106" s="28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28"/>
      <c r="AS7106" s="28"/>
      <c r="AT7106" s="28"/>
    </row>
    <row r="7107">
      <c r="A7107" s="14"/>
      <c r="B7107" s="15"/>
      <c r="C7107" s="16"/>
      <c r="D7107" s="15"/>
      <c r="F7107" s="15"/>
      <c r="G7107" s="26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8"/>
      <c r="X7107" s="28"/>
      <c r="Y7107" s="28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28"/>
      <c r="AS7107" s="28"/>
      <c r="AT7107" s="28"/>
    </row>
    <row r="7108">
      <c r="A7108" s="14"/>
      <c r="B7108" s="15"/>
      <c r="C7108" s="16"/>
      <c r="D7108" s="15"/>
      <c r="F7108" s="15"/>
      <c r="G7108" s="26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8"/>
      <c r="X7108" s="28"/>
      <c r="Y7108" s="28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28"/>
      <c r="AS7108" s="28"/>
      <c r="AT7108" s="28"/>
    </row>
    <row r="7109">
      <c r="A7109" s="14"/>
      <c r="B7109" s="15"/>
      <c r="C7109" s="16"/>
      <c r="D7109" s="15"/>
      <c r="F7109" s="15"/>
      <c r="G7109" s="26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8"/>
      <c r="X7109" s="28"/>
      <c r="Y7109" s="28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28"/>
      <c r="AS7109" s="28"/>
      <c r="AT7109" s="28"/>
    </row>
    <row r="7110">
      <c r="A7110" s="14"/>
      <c r="B7110" s="15"/>
      <c r="C7110" s="16"/>
      <c r="D7110" s="15"/>
      <c r="F7110" s="15"/>
      <c r="G7110" s="26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8"/>
      <c r="X7110" s="28"/>
      <c r="Y7110" s="28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28"/>
      <c r="AS7110" s="28"/>
      <c r="AT7110" s="28"/>
    </row>
    <row r="7111">
      <c r="A7111" s="14"/>
      <c r="B7111" s="15"/>
      <c r="C7111" s="16"/>
      <c r="D7111" s="15"/>
      <c r="F7111" s="15"/>
      <c r="G7111" s="26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8"/>
      <c r="X7111" s="28"/>
      <c r="Y7111" s="28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28"/>
      <c r="AS7111" s="28"/>
      <c r="AT7111" s="28"/>
    </row>
    <row r="7112">
      <c r="A7112" s="14"/>
      <c r="B7112" s="15"/>
      <c r="C7112" s="16"/>
      <c r="D7112" s="15"/>
      <c r="F7112" s="15"/>
      <c r="G7112" s="26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8"/>
      <c r="X7112" s="28"/>
      <c r="Y7112" s="28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28"/>
      <c r="AS7112" s="28"/>
      <c r="AT7112" s="28"/>
    </row>
    <row r="7113">
      <c r="A7113" s="14"/>
      <c r="B7113" s="15"/>
      <c r="C7113" s="16"/>
      <c r="D7113" s="15"/>
      <c r="F7113" s="15"/>
      <c r="G7113" s="26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8"/>
      <c r="X7113" s="28"/>
      <c r="Y7113" s="28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28"/>
      <c r="AS7113" s="28"/>
      <c r="AT7113" s="28"/>
    </row>
    <row r="7114">
      <c r="A7114" s="14"/>
      <c r="B7114" s="15"/>
      <c r="C7114" s="16"/>
      <c r="D7114" s="15"/>
      <c r="F7114" s="15"/>
      <c r="G7114" s="26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8"/>
      <c r="X7114" s="28"/>
      <c r="Y7114" s="28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28"/>
      <c r="AS7114" s="28"/>
      <c r="AT7114" s="28"/>
    </row>
    <row r="7115">
      <c r="A7115" s="14"/>
      <c r="B7115" s="15"/>
      <c r="C7115" s="16"/>
      <c r="D7115" s="15"/>
      <c r="F7115" s="15"/>
      <c r="G7115" s="26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8"/>
      <c r="X7115" s="28"/>
      <c r="Y7115" s="28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28"/>
      <c r="AS7115" s="28"/>
      <c r="AT7115" s="28"/>
    </row>
    <row r="7116">
      <c r="A7116" s="14"/>
      <c r="B7116" s="15"/>
      <c r="C7116" s="16"/>
      <c r="D7116" s="15"/>
      <c r="F7116" s="15"/>
      <c r="G7116" s="26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8"/>
      <c r="X7116" s="28"/>
      <c r="Y7116" s="28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28"/>
      <c r="AS7116" s="28"/>
      <c r="AT7116" s="28"/>
    </row>
    <row r="7117">
      <c r="A7117" s="14"/>
      <c r="B7117" s="15"/>
      <c r="C7117" s="16"/>
      <c r="D7117" s="15"/>
      <c r="F7117" s="15"/>
      <c r="G7117" s="26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8"/>
      <c r="X7117" s="28"/>
      <c r="Y7117" s="28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28"/>
      <c r="AS7117" s="28"/>
      <c r="AT7117" s="28"/>
    </row>
    <row r="7118">
      <c r="A7118" s="14"/>
      <c r="B7118" s="15"/>
      <c r="C7118" s="16"/>
      <c r="D7118" s="15"/>
      <c r="F7118" s="15"/>
      <c r="G7118" s="26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8"/>
      <c r="X7118" s="28"/>
      <c r="Y7118" s="28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28"/>
      <c r="AS7118" s="28"/>
      <c r="AT7118" s="28"/>
    </row>
    <row r="7119">
      <c r="A7119" s="14"/>
      <c r="B7119" s="15"/>
      <c r="C7119" s="16"/>
      <c r="D7119" s="15"/>
      <c r="F7119" s="15"/>
      <c r="G7119" s="26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8"/>
      <c r="X7119" s="28"/>
      <c r="Y7119" s="28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28"/>
      <c r="AS7119" s="28"/>
      <c r="AT7119" s="28"/>
    </row>
    <row r="7120">
      <c r="A7120" s="14"/>
      <c r="B7120" s="15"/>
      <c r="C7120" s="16"/>
      <c r="D7120" s="15"/>
      <c r="F7120" s="15"/>
      <c r="G7120" s="26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8"/>
      <c r="X7120" s="28"/>
      <c r="Y7120" s="28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28"/>
      <c r="AS7120" s="28"/>
      <c r="AT7120" s="28"/>
    </row>
    <row r="7121">
      <c r="A7121" s="14"/>
      <c r="B7121" s="15"/>
      <c r="C7121" s="16"/>
      <c r="D7121" s="15"/>
      <c r="F7121" s="15"/>
      <c r="G7121" s="26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8"/>
      <c r="X7121" s="28"/>
      <c r="Y7121" s="28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28"/>
      <c r="AS7121" s="28"/>
      <c r="AT7121" s="28"/>
    </row>
    <row r="7122">
      <c r="A7122" s="14"/>
      <c r="B7122" s="15"/>
      <c r="C7122" s="16"/>
      <c r="D7122" s="15"/>
      <c r="F7122" s="15"/>
      <c r="G7122" s="26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8"/>
      <c r="X7122" s="28"/>
      <c r="Y7122" s="28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28"/>
      <c r="AS7122" s="28"/>
      <c r="AT7122" s="28"/>
    </row>
    <row r="7123">
      <c r="A7123" s="14"/>
      <c r="B7123" s="15"/>
      <c r="C7123" s="16"/>
      <c r="D7123" s="15"/>
      <c r="F7123" s="15"/>
      <c r="G7123" s="26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8"/>
      <c r="X7123" s="28"/>
      <c r="Y7123" s="28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28"/>
      <c r="AS7123" s="28"/>
      <c r="AT7123" s="28"/>
    </row>
    <row r="7124">
      <c r="A7124" s="14"/>
      <c r="B7124" s="15"/>
      <c r="C7124" s="16"/>
      <c r="D7124" s="15"/>
      <c r="F7124" s="15"/>
      <c r="G7124" s="26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8"/>
      <c r="X7124" s="28"/>
      <c r="Y7124" s="28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28"/>
      <c r="AS7124" s="28"/>
      <c r="AT7124" s="28"/>
    </row>
    <row r="7125">
      <c r="A7125" s="14"/>
      <c r="B7125" s="15"/>
      <c r="C7125" s="16"/>
      <c r="D7125" s="15"/>
      <c r="F7125" s="15"/>
      <c r="G7125" s="26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8"/>
      <c r="X7125" s="28"/>
      <c r="Y7125" s="28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28"/>
      <c r="AS7125" s="28"/>
      <c r="AT7125" s="28"/>
    </row>
    <row r="7126">
      <c r="A7126" s="14"/>
      <c r="B7126" s="15"/>
      <c r="C7126" s="16"/>
      <c r="D7126" s="15"/>
      <c r="F7126" s="15"/>
      <c r="G7126" s="26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8"/>
      <c r="X7126" s="28"/>
      <c r="Y7126" s="28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28"/>
      <c r="AS7126" s="28"/>
      <c r="AT7126" s="28"/>
    </row>
    <row r="7127">
      <c r="A7127" s="14"/>
      <c r="B7127" s="15"/>
      <c r="C7127" s="16"/>
      <c r="D7127" s="15"/>
      <c r="F7127" s="15"/>
      <c r="G7127" s="26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8"/>
      <c r="X7127" s="28"/>
      <c r="Y7127" s="28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28"/>
      <c r="AS7127" s="28"/>
      <c r="AT7127" s="28"/>
    </row>
    <row r="7128">
      <c r="A7128" s="14"/>
      <c r="B7128" s="15"/>
      <c r="C7128" s="16"/>
      <c r="D7128" s="15"/>
      <c r="F7128" s="15"/>
      <c r="G7128" s="26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8"/>
      <c r="X7128" s="28"/>
      <c r="Y7128" s="28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28"/>
      <c r="AS7128" s="28"/>
      <c r="AT7128" s="28"/>
    </row>
    <row r="7129">
      <c r="A7129" s="14"/>
      <c r="B7129" s="15"/>
      <c r="C7129" s="16"/>
      <c r="D7129" s="15"/>
      <c r="F7129" s="15"/>
      <c r="G7129" s="26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8"/>
      <c r="X7129" s="28"/>
      <c r="Y7129" s="28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28"/>
      <c r="AS7129" s="28"/>
      <c r="AT7129" s="28"/>
    </row>
    <row r="7130">
      <c r="A7130" s="14"/>
      <c r="B7130" s="15"/>
      <c r="C7130" s="16"/>
      <c r="D7130" s="15"/>
      <c r="F7130" s="15"/>
      <c r="G7130" s="26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8"/>
      <c r="X7130" s="28"/>
      <c r="Y7130" s="28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28"/>
      <c r="AS7130" s="28"/>
      <c r="AT7130" s="28"/>
    </row>
    <row r="7131">
      <c r="A7131" s="14"/>
      <c r="B7131" s="15"/>
      <c r="C7131" s="16"/>
      <c r="D7131" s="15"/>
      <c r="F7131" s="15"/>
      <c r="G7131" s="26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8"/>
      <c r="X7131" s="28"/>
      <c r="Y7131" s="28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28"/>
      <c r="AS7131" s="28"/>
      <c r="AT7131" s="28"/>
    </row>
    <row r="7132">
      <c r="A7132" s="14"/>
      <c r="B7132" s="15"/>
      <c r="C7132" s="16"/>
      <c r="D7132" s="15"/>
      <c r="F7132" s="15"/>
      <c r="G7132" s="26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8"/>
      <c r="X7132" s="28"/>
      <c r="Y7132" s="28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28"/>
      <c r="AS7132" s="28"/>
      <c r="AT7132" s="28"/>
    </row>
    <row r="7133">
      <c r="A7133" s="14"/>
      <c r="B7133" s="15"/>
      <c r="C7133" s="16"/>
      <c r="D7133" s="15"/>
      <c r="F7133" s="15"/>
      <c r="G7133" s="26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8"/>
      <c r="X7133" s="28"/>
      <c r="Y7133" s="28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28"/>
      <c r="AS7133" s="28"/>
      <c r="AT7133" s="28"/>
    </row>
    <row r="7134">
      <c r="A7134" s="14"/>
      <c r="B7134" s="15"/>
      <c r="C7134" s="16"/>
      <c r="D7134" s="15"/>
      <c r="F7134" s="15"/>
      <c r="G7134" s="26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8"/>
      <c r="X7134" s="28"/>
      <c r="Y7134" s="28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28"/>
      <c r="AS7134" s="28"/>
      <c r="AT7134" s="28"/>
    </row>
    <row r="7135">
      <c r="A7135" s="14"/>
      <c r="B7135" s="15"/>
      <c r="C7135" s="16"/>
      <c r="D7135" s="15"/>
      <c r="F7135" s="15"/>
      <c r="G7135" s="26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8"/>
      <c r="X7135" s="28"/>
      <c r="Y7135" s="28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28"/>
      <c r="AS7135" s="28"/>
      <c r="AT7135" s="28"/>
    </row>
    <row r="7136">
      <c r="A7136" s="14"/>
      <c r="B7136" s="15"/>
      <c r="C7136" s="16"/>
      <c r="D7136" s="15"/>
      <c r="F7136" s="15"/>
      <c r="G7136" s="26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8"/>
      <c r="X7136" s="28"/>
      <c r="Y7136" s="28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28"/>
      <c r="AS7136" s="28"/>
      <c r="AT7136" s="28"/>
    </row>
    <row r="7137">
      <c r="A7137" s="14"/>
      <c r="B7137" s="15"/>
      <c r="C7137" s="16"/>
      <c r="D7137" s="15"/>
      <c r="F7137" s="15"/>
      <c r="G7137" s="26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8"/>
      <c r="X7137" s="28"/>
      <c r="Y7137" s="28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28"/>
      <c r="AS7137" s="28"/>
      <c r="AT7137" s="28"/>
    </row>
    <row r="7138">
      <c r="A7138" s="14"/>
      <c r="B7138" s="15"/>
      <c r="C7138" s="16"/>
      <c r="D7138" s="15"/>
      <c r="F7138" s="15"/>
      <c r="G7138" s="26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8"/>
      <c r="X7138" s="28"/>
      <c r="Y7138" s="28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28"/>
      <c r="AS7138" s="28"/>
      <c r="AT7138" s="28"/>
    </row>
    <row r="7139">
      <c r="A7139" s="14"/>
      <c r="B7139" s="15"/>
      <c r="C7139" s="16"/>
      <c r="D7139" s="15"/>
      <c r="F7139" s="15"/>
      <c r="G7139" s="26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8"/>
      <c r="X7139" s="28"/>
      <c r="Y7139" s="28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28"/>
      <c r="AS7139" s="28"/>
      <c r="AT7139" s="28"/>
    </row>
    <row r="7140">
      <c r="A7140" s="14"/>
      <c r="B7140" s="15"/>
      <c r="C7140" s="16"/>
      <c r="D7140" s="15"/>
      <c r="F7140" s="15"/>
      <c r="G7140" s="26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8"/>
      <c r="X7140" s="28"/>
      <c r="Y7140" s="28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28"/>
      <c r="AS7140" s="28"/>
      <c r="AT7140" s="28"/>
    </row>
    <row r="7141">
      <c r="A7141" s="14"/>
      <c r="B7141" s="15"/>
      <c r="C7141" s="16"/>
      <c r="D7141" s="15"/>
      <c r="F7141" s="15"/>
      <c r="G7141" s="26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8"/>
      <c r="X7141" s="28"/>
      <c r="Y7141" s="28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28"/>
      <c r="AS7141" s="28"/>
      <c r="AT7141" s="28"/>
    </row>
    <row r="7142">
      <c r="A7142" s="14"/>
      <c r="B7142" s="15"/>
      <c r="C7142" s="16"/>
      <c r="D7142" s="15"/>
      <c r="F7142" s="15"/>
      <c r="G7142" s="26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8"/>
      <c r="X7142" s="28"/>
      <c r="Y7142" s="28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28"/>
      <c r="AS7142" s="28"/>
      <c r="AT7142" s="28"/>
    </row>
    <row r="7143">
      <c r="A7143" s="14"/>
      <c r="B7143" s="15"/>
      <c r="C7143" s="16"/>
      <c r="D7143" s="15"/>
      <c r="F7143" s="15"/>
      <c r="G7143" s="26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8"/>
      <c r="X7143" s="28"/>
      <c r="Y7143" s="28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28"/>
      <c r="AS7143" s="28"/>
      <c r="AT7143" s="28"/>
    </row>
    <row r="7144">
      <c r="A7144" s="14"/>
      <c r="B7144" s="15"/>
      <c r="C7144" s="16"/>
      <c r="D7144" s="15"/>
      <c r="F7144" s="15"/>
      <c r="G7144" s="26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8"/>
      <c r="X7144" s="28"/>
      <c r="Y7144" s="28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28"/>
      <c r="AS7144" s="28"/>
      <c r="AT7144" s="28"/>
    </row>
    <row r="7145">
      <c r="A7145" s="14"/>
      <c r="B7145" s="15"/>
      <c r="C7145" s="16"/>
      <c r="D7145" s="15"/>
      <c r="F7145" s="15"/>
      <c r="G7145" s="26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8"/>
      <c r="X7145" s="28"/>
      <c r="Y7145" s="28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28"/>
      <c r="AS7145" s="28"/>
      <c r="AT7145" s="28"/>
    </row>
    <row r="7146">
      <c r="A7146" s="14"/>
      <c r="B7146" s="15"/>
      <c r="C7146" s="16"/>
      <c r="D7146" s="15"/>
      <c r="F7146" s="15"/>
      <c r="G7146" s="26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8"/>
      <c r="X7146" s="28"/>
      <c r="Y7146" s="28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28"/>
      <c r="AS7146" s="28"/>
      <c r="AT7146" s="28"/>
    </row>
    <row r="7147">
      <c r="A7147" s="14"/>
      <c r="B7147" s="15"/>
      <c r="C7147" s="16"/>
      <c r="D7147" s="15"/>
      <c r="F7147" s="15"/>
      <c r="G7147" s="26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28"/>
      <c r="AS7147" s="28"/>
      <c r="AT7147" s="28"/>
    </row>
    <row r="7148">
      <c r="A7148" s="14"/>
      <c r="B7148" s="15"/>
      <c r="C7148" s="16"/>
      <c r="D7148" s="15"/>
      <c r="F7148" s="15"/>
      <c r="G7148" s="26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8"/>
      <c r="X7148" s="28"/>
      <c r="Y7148" s="28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28"/>
      <c r="AS7148" s="28"/>
      <c r="AT7148" s="28"/>
    </row>
    <row r="7149">
      <c r="A7149" s="14"/>
      <c r="B7149" s="15"/>
      <c r="C7149" s="16"/>
      <c r="D7149" s="15"/>
      <c r="F7149" s="15"/>
      <c r="G7149" s="26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28"/>
      <c r="AS7149" s="28"/>
      <c r="AT7149" s="28"/>
    </row>
    <row r="7150">
      <c r="A7150" s="14"/>
      <c r="B7150" s="15"/>
      <c r="C7150" s="16"/>
      <c r="D7150" s="15"/>
      <c r="F7150" s="15"/>
      <c r="G7150" s="26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8"/>
      <c r="X7150" s="28"/>
      <c r="Y7150" s="28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28"/>
      <c r="AS7150" s="28"/>
      <c r="AT7150" s="28"/>
    </row>
    <row r="7151">
      <c r="A7151" s="14"/>
      <c r="B7151" s="15"/>
      <c r="C7151" s="16"/>
      <c r="D7151" s="15"/>
      <c r="F7151" s="15"/>
      <c r="G7151" s="26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8"/>
      <c r="X7151" s="28"/>
      <c r="Y7151" s="28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28"/>
      <c r="AS7151" s="28"/>
      <c r="AT7151" s="28"/>
    </row>
    <row r="7152">
      <c r="A7152" s="14"/>
      <c r="B7152" s="15"/>
      <c r="C7152" s="16"/>
      <c r="D7152" s="15"/>
      <c r="F7152" s="15"/>
      <c r="G7152" s="26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8"/>
      <c r="X7152" s="28"/>
      <c r="Y7152" s="28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28"/>
      <c r="AS7152" s="28"/>
      <c r="AT7152" s="28"/>
    </row>
    <row r="7153">
      <c r="A7153" s="14"/>
      <c r="B7153" s="15"/>
      <c r="C7153" s="16"/>
      <c r="D7153" s="15"/>
      <c r="F7153" s="15"/>
      <c r="G7153" s="26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8"/>
      <c r="X7153" s="28"/>
      <c r="Y7153" s="28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28"/>
      <c r="AS7153" s="28"/>
      <c r="AT7153" s="28"/>
    </row>
    <row r="7154">
      <c r="A7154" s="14"/>
      <c r="B7154" s="15"/>
      <c r="C7154" s="16"/>
      <c r="D7154" s="15"/>
      <c r="F7154" s="15"/>
      <c r="G7154" s="26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8"/>
      <c r="X7154" s="28"/>
      <c r="Y7154" s="28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28"/>
      <c r="AS7154" s="28"/>
      <c r="AT7154" s="28"/>
    </row>
    <row r="7155">
      <c r="A7155" s="14"/>
      <c r="B7155" s="15"/>
      <c r="C7155" s="16"/>
      <c r="D7155" s="15"/>
      <c r="F7155" s="15"/>
      <c r="G7155" s="26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8"/>
      <c r="X7155" s="28"/>
      <c r="Y7155" s="28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28"/>
      <c r="AS7155" s="28"/>
      <c r="AT7155" s="28"/>
    </row>
    <row r="7156">
      <c r="A7156" s="14"/>
      <c r="B7156" s="15"/>
      <c r="C7156" s="16"/>
      <c r="D7156" s="15"/>
      <c r="F7156" s="15"/>
      <c r="G7156" s="26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8"/>
      <c r="X7156" s="28"/>
      <c r="Y7156" s="28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28"/>
      <c r="AS7156" s="28"/>
      <c r="AT7156" s="28"/>
    </row>
    <row r="7157">
      <c r="A7157" s="14"/>
      <c r="B7157" s="15"/>
      <c r="C7157" s="16"/>
      <c r="D7157" s="15"/>
      <c r="F7157" s="15"/>
      <c r="G7157" s="26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8"/>
      <c r="X7157" s="28"/>
      <c r="Y7157" s="28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28"/>
      <c r="AS7157" s="28"/>
      <c r="AT7157" s="28"/>
    </row>
    <row r="7158">
      <c r="A7158" s="14"/>
      <c r="B7158" s="15"/>
      <c r="C7158" s="16"/>
      <c r="D7158" s="15"/>
      <c r="F7158" s="15"/>
      <c r="G7158" s="26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8"/>
      <c r="X7158" s="28"/>
      <c r="Y7158" s="28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28"/>
      <c r="AS7158" s="28"/>
      <c r="AT7158" s="28"/>
    </row>
    <row r="7159">
      <c r="A7159" s="14"/>
      <c r="B7159" s="15"/>
      <c r="C7159" s="16"/>
      <c r="D7159" s="15"/>
      <c r="F7159" s="15"/>
      <c r="G7159" s="26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8"/>
      <c r="X7159" s="28"/>
      <c r="Y7159" s="28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28"/>
      <c r="AS7159" s="28"/>
      <c r="AT7159" s="28"/>
    </row>
    <row r="7160">
      <c r="A7160" s="14"/>
      <c r="B7160" s="15"/>
      <c r="C7160" s="16"/>
      <c r="D7160" s="15"/>
      <c r="F7160" s="15"/>
      <c r="G7160" s="26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8"/>
      <c r="X7160" s="28"/>
      <c r="Y7160" s="28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28"/>
      <c r="AS7160" s="28"/>
      <c r="AT7160" s="28"/>
    </row>
    <row r="7161">
      <c r="A7161" s="14"/>
      <c r="B7161" s="15"/>
      <c r="C7161" s="16"/>
      <c r="D7161" s="15"/>
      <c r="F7161" s="15"/>
      <c r="G7161" s="26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8"/>
      <c r="X7161" s="28"/>
      <c r="Y7161" s="28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28"/>
      <c r="AS7161" s="28"/>
      <c r="AT7161" s="28"/>
    </row>
    <row r="7162">
      <c r="A7162" s="14"/>
      <c r="B7162" s="15"/>
      <c r="C7162" s="16"/>
      <c r="D7162" s="15"/>
      <c r="F7162" s="15"/>
      <c r="G7162" s="26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8"/>
      <c r="X7162" s="28"/>
      <c r="Y7162" s="28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28"/>
      <c r="AS7162" s="28"/>
      <c r="AT7162" s="28"/>
    </row>
    <row r="7163">
      <c r="A7163" s="14"/>
      <c r="B7163" s="15"/>
      <c r="C7163" s="16"/>
      <c r="D7163" s="15"/>
      <c r="F7163" s="15"/>
      <c r="G7163" s="26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8"/>
      <c r="X7163" s="28"/>
      <c r="Y7163" s="28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28"/>
      <c r="AS7163" s="28"/>
      <c r="AT7163" s="28"/>
    </row>
    <row r="7164">
      <c r="A7164" s="14"/>
      <c r="B7164" s="15"/>
      <c r="C7164" s="16"/>
      <c r="D7164" s="15"/>
      <c r="F7164" s="15"/>
      <c r="G7164" s="26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8"/>
      <c r="X7164" s="28"/>
      <c r="Y7164" s="28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28"/>
      <c r="AS7164" s="28"/>
      <c r="AT7164" s="28"/>
    </row>
    <row r="7165">
      <c r="A7165" s="14"/>
      <c r="B7165" s="15"/>
      <c r="C7165" s="16"/>
      <c r="D7165" s="15"/>
      <c r="F7165" s="15"/>
      <c r="G7165" s="26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8"/>
      <c r="X7165" s="28"/>
      <c r="Y7165" s="28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28"/>
      <c r="AS7165" s="28"/>
      <c r="AT7165" s="28"/>
    </row>
    <row r="7166">
      <c r="A7166" s="14"/>
      <c r="B7166" s="15"/>
      <c r="C7166" s="16"/>
      <c r="D7166" s="15"/>
      <c r="F7166" s="15"/>
      <c r="G7166" s="26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8"/>
      <c r="X7166" s="28"/>
      <c r="Y7166" s="28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28"/>
      <c r="AS7166" s="28"/>
      <c r="AT7166" s="28"/>
    </row>
    <row r="7167">
      <c r="A7167" s="14"/>
      <c r="B7167" s="15"/>
      <c r="C7167" s="16"/>
      <c r="D7167" s="15"/>
      <c r="F7167" s="15"/>
      <c r="G7167" s="26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8"/>
      <c r="X7167" s="28"/>
      <c r="Y7167" s="28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28"/>
      <c r="AS7167" s="28"/>
      <c r="AT7167" s="28"/>
    </row>
    <row r="7168">
      <c r="A7168" s="14"/>
      <c r="B7168" s="15"/>
      <c r="C7168" s="16"/>
      <c r="D7168" s="15"/>
      <c r="F7168" s="15"/>
      <c r="G7168" s="26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8"/>
      <c r="X7168" s="28"/>
      <c r="Y7168" s="28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28"/>
      <c r="AS7168" s="28"/>
      <c r="AT7168" s="28"/>
    </row>
    <row r="7169">
      <c r="A7169" s="14"/>
      <c r="B7169" s="15"/>
      <c r="C7169" s="16"/>
      <c r="D7169" s="15"/>
      <c r="F7169" s="15"/>
      <c r="G7169" s="26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8"/>
      <c r="X7169" s="28"/>
      <c r="Y7169" s="28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28"/>
      <c r="AS7169" s="28"/>
      <c r="AT7169" s="28"/>
    </row>
    <row r="7170">
      <c r="A7170" s="14"/>
      <c r="B7170" s="15"/>
      <c r="C7170" s="16"/>
      <c r="D7170" s="15"/>
      <c r="F7170" s="15"/>
      <c r="G7170" s="26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8"/>
      <c r="X7170" s="28"/>
      <c r="Y7170" s="28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28"/>
      <c r="AS7170" s="28"/>
      <c r="AT7170" s="28"/>
    </row>
    <row r="7171">
      <c r="A7171" s="14"/>
      <c r="B7171" s="15"/>
      <c r="C7171" s="16"/>
      <c r="D7171" s="15"/>
      <c r="F7171" s="15"/>
      <c r="G7171" s="26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8"/>
      <c r="X7171" s="28"/>
      <c r="Y7171" s="28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28"/>
      <c r="AS7171" s="28"/>
      <c r="AT7171" s="28"/>
    </row>
    <row r="7172">
      <c r="A7172" s="14"/>
      <c r="B7172" s="15"/>
      <c r="C7172" s="16"/>
      <c r="D7172" s="15"/>
      <c r="F7172" s="15"/>
      <c r="G7172" s="26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8"/>
      <c r="X7172" s="28"/>
      <c r="Y7172" s="28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28"/>
      <c r="AS7172" s="28"/>
      <c r="AT7172" s="28"/>
    </row>
    <row r="7173">
      <c r="A7173" s="14"/>
      <c r="B7173" s="15"/>
      <c r="C7173" s="16"/>
      <c r="D7173" s="15"/>
      <c r="F7173" s="15"/>
      <c r="G7173" s="26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8"/>
      <c r="X7173" s="28"/>
      <c r="Y7173" s="28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28"/>
      <c r="AS7173" s="28"/>
      <c r="AT7173" s="28"/>
    </row>
    <row r="7174">
      <c r="A7174" s="14"/>
      <c r="B7174" s="15"/>
      <c r="C7174" s="16"/>
      <c r="D7174" s="15"/>
      <c r="F7174" s="15"/>
      <c r="G7174" s="26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8"/>
      <c r="X7174" s="28"/>
      <c r="Y7174" s="28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28"/>
      <c r="AS7174" s="28"/>
      <c r="AT7174" s="28"/>
    </row>
    <row r="7175">
      <c r="A7175" s="14"/>
      <c r="B7175" s="15"/>
      <c r="C7175" s="16"/>
      <c r="D7175" s="15"/>
      <c r="F7175" s="15"/>
      <c r="G7175" s="26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8"/>
      <c r="X7175" s="28"/>
      <c r="Y7175" s="28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28"/>
      <c r="AS7175" s="28"/>
      <c r="AT7175" s="28"/>
    </row>
    <row r="7176">
      <c r="A7176" s="14"/>
      <c r="B7176" s="15"/>
      <c r="C7176" s="16"/>
      <c r="D7176" s="15"/>
      <c r="F7176" s="15"/>
      <c r="G7176" s="26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8"/>
      <c r="X7176" s="28"/>
      <c r="Y7176" s="28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28"/>
      <c r="AS7176" s="28"/>
      <c r="AT7176" s="28"/>
    </row>
    <row r="7177">
      <c r="A7177" s="14"/>
      <c r="B7177" s="15"/>
      <c r="C7177" s="16"/>
      <c r="D7177" s="15"/>
      <c r="F7177" s="15"/>
      <c r="G7177" s="26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8"/>
      <c r="X7177" s="28"/>
      <c r="Y7177" s="28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28"/>
      <c r="AS7177" s="28"/>
      <c r="AT7177" s="28"/>
    </row>
    <row r="7178">
      <c r="A7178" s="14"/>
      <c r="B7178" s="15"/>
      <c r="C7178" s="16"/>
      <c r="D7178" s="15"/>
      <c r="F7178" s="15"/>
      <c r="G7178" s="26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8"/>
      <c r="X7178" s="28"/>
      <c r="Y7178" s="28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28"/>
      <c r="AS7178" s="28"/>
      <c r="AT7178" s="28"/>
    </row>
    <row r="7179">
      <c r="A7179" s="14"/>
      <c r="B7179" s="15"/>
      <c r="C7179" s="16"/>
      <c r="D7179" s="15"/>
      <c r="F7179" s="15"/>
      <c r="G7179" s="26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8"/>
      <c r="X7179" s="28"/>
      <c r="Y7179" s="28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28"/>
      <c r="AS7179" s="28"/>
      <c r="AT7179" s="28"/>
    </row>
    <row r="7180">
      <c r="A7180" s="14"/>
      <c r="B7180" s="15"/>
      <c r="C7180" s="16"/>
      <c r="D7180" s="15"/>
      <c r="F7180" s="15"/>
      <c r="G7180" s="26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8"/>
      <c r="X7180" s="28"/>
      <c r="Y7180" s="28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28"/>
      <c r="AS7180" s="28"/>
      <c r="AT7180" s="28"/>
    </row>
    <row r="7181">
      <c r="A7181" s="14"/>
      <c r="B7181" s="15"/>
      <c r="C7181" s="16"/>
      <c r="D7181" s="15"/>
      <c r="F7181" s="15"/>
      <c r="G7181" s="26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8"/>
      <c r="X7181" s="28"/>
      <c r="Y7181" s="28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28"/>
      <c r="AS7181" s="28"/>
      <c r="AT7181" s="28"/>
    </row>
    <row r="7182">
      <c r="A7182" s="14"/>
      <c r="B7182" s="15"/>
      <c r="C7182" s="16"/>
      <c r="D7182" s="15"/>
      <c r="F7182" s="15"/>
      <c r="G7182" s="26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8"/>
      <c r="X7182" s="28"/>
      <c r="Y7182" s="28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28"/>
      <c r="AS7182" s="28"/>
      <c r="AT7182" s="28"/>
    </row>
    <row r="7183">
      <c r="A7183" s="14"/>
      <c r="B7183" s="15"/>
      <c r="C7183" s="16"/>
      <c r="D7183" s="15"/>
      <c r="F7183" s="15"/>
      <c r="G7183" s="26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8"/>
      <c r="X7183" s="28"/>
      <c r="Y7183" s="28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28"/>
      <c r="AS7183" s="28"/>
      <c r="AT7183" s="28"/>
    </row>
    <row r="7184">
      <c r="A7184" s="14"/>
      <c r="B7184" s="15"/>
      <c r="C7184" s="16"/>
      <c r="D7184" s="15"/>
      <c r="F7184" s="15"/>
      <c r="G7184" s="26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8"/>
      <c r="X7184" s="28"/>
      <c r="Y7184" s="28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28"/>
      <c r="AS7184" s="28"/>
      <c r="AT7184" s="28"/>
    </row>
    <row r="7185">
      <c r="A7185" s="14"/>
      <c r="B7185" s="15"/>
      <c r="C7185" s="16"/>
      <c r="D7185" s="15"/>
      <c r="F7185" s="15"/>
      <c r="G7185" s="26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8"/>
      <c r="X7185" s="28"/>
      <c r="Y7185" s="28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28"/>
      <c r="AS7185" s="28"/>
      <c r="AT7185" s="28"/>
    </row>
    <row r="7186">
      <c r="A7186" s="14"/>
      <c r="B7186" s="15"/>
      <c r="C7186" s="16"/>
      <c r="D7186" s="15"/>
      <c r="F7186" s="15"/>
      <c r="G7186" s="26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8"/>
      <c r="X7186" s="28"/>
      <c r="Y7186" s="28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28"/>
      <c r="AS7186" s="28"/>
      <c r="AT7186" s="28"/>
    </row>
    <row r="7187">
      <c r="A7187" s="14"/>
      <c r="B7187" s="15"/>
      <c r="C7187" s="16"/>
      <c r="D7187" s="15"/>
      <c r="F7187" s="15"/>
      <c r="G7187" s="26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8"/>
      <c r="X7187" s="28"/>
      <c r="Y7187" s="28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28"/>
      <c r="AS7187" s="28"/>
      <c r="AT7187" s="28"/>
    </row>
    <row r="7188">
      <c r="A7188" s="14"/>
      <c r="B7188" s="15"/>
      <c r="C7188" s="16"/>
      <c r="D7188" s="15"/>
      <c r="F7188" s="15"/>
      <c r="G7188" s="26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8"/>
      <c r="X7188" s="28"/>
      <c r="Y7188" s="28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28"/>
      <c r="AS7188" s="28"/>
      <c r="AT7188" s="28"/>
    </row>
    <row r="7189">
      <c r="A7189" s="14"/>
      <c r="B7189" s="15"/>
      <c r="C7189" s="16"/>
      <c r="D7189" s="15"/>
      <c r="F7189" s="15"/>
      <c r="G7189" s="26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8"/>
      <c r="X7189" s="28"/>
      <c r="Y7189" s="28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28"/>
      <c r="AS7189" s="28"/>
      <c r="AT7189" s="28"/>
    </row>
    <row r="7190">
      <c r="A7190" s="14"/>
      <c r="B7190" s="15"/>
      <c r="C7190" s="16"/>
      <c r="D7190" s="15"/>
      <c r="F7190" s="15"/>
      <c r="G7190" s="26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8"/>
      <c r="X7190" s="28"/>
      <c r="Y7190" s="28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28"/>
      <c r="AS7190" s="28"/>
      <c r="AT7190" s="28"/>
    </row>
    <row r="7191">
      <c r="A7191" s="14"/>
      <c r="B7191" s="15"/>
      <c r="C7191" s="16"/>
      <c r="D7191" s="15"/>
      <c r="F7191" s="15"/>
      <c r="G7191" s="26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8"/>
      <c r="X7191" s="28"/>
      <c r="Y7191" s="28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28"/>
      <c r="AS7191" s="28"/>
      <c r="AT7191" s="28"/>
    </row>
    <row r="7192">
      <c r="A7192" s="14"/>
      <c r="B7192" s="15"/>
      <c r="C7192" s="16"/>
      <c r="D7192" s="15"/>
      <c r="F7192" s="15"/>
      <c r="G7192" s="26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8"/>
      <c r="X7192" s="28"/>
      <c r="Y7192" s="28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28"/>
      <c r="AS7192" s="28"/>
      <c r="AT7192" s="28"/>
    </row>
    <row r="7193">
      <c r="A7193" s="14"/>
      <c r="B7193" s="15"/>
      <c r="C7193" s="16"/>
      <c r="D7193" s="15"/>
      <c r="F7193" s="15"/>
      <c r="G7193" s="26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8"/>
      <c r="X7193" s="28"/>
      <c r="Y7193" s="28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28"/>
      <c r="AS7193" s="28"/>
      <c r="AT7193" s="28"/>
    </row>
    <row r="7194">
      <c r="A7194" s="14"/>
      <c r="B7194" s="15"/>
      <c r="C7194" s="16"/>
      <c r="D7194" s="15"/>
      <c r="F7194" s="15"/>
      <c r="G7194" s="26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8"/>
      <c r="X7194" s="28"/>
      <c r="Y7194" s="28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28"/>
      <c r="AS7194" s="28"/>
      <c r="AT7194" s="28"/>
    </row>
    <row r="7195">
      <c r="A7195" s="14"/>
      <c r="B7195" s="15"/>
      <c r="C7195" s="16"/>
      <c r="D7195" s="15"/>
      <c r="F7195" s="15"/>
      <c r="G7195" s="26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8"/>
      <c r="X7195" s="28"/>
      <c r="Y7195" s="28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28"/>
      <c r="AS7195" s="28"/>
      <c r="AT7195" s="28"/>
    </row>
    <row r="7196">
      <c r="A7196" s="14"/>
      <c r="B7196" s="15"/>
      <c r="C7196" s="16"/>
      <c r="D7196" s="15"/>
      <c r="F7196" s="15"/>
      <c r="G7196" s="26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8"/>
      <c r="X7196" s="28"/>
      <c r="Y7196" s="28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28"/>
      <c r="AS7196" s="28"/>
      <c r="AT7196" s="28"/>
    </row>
    <row r="7197">
      <c r="A7197" s="14"/>
      <c r="B7197" s="15"/>
      <c r="C7197" s="16"/>
      <c r="D7197" s="15"/>
      <c r="F7197" s="15"/>
      <c r="G7197" s="26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8"/>
      <c r="X7197" s="28"/>
      <c r="Y7197" s="28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28"/>
      <c r="AS7197" s="28"/>
      <c r="AT7197" s="28"/>
    </row>
    <row r="7198">
      <c r="A7198" s="14"/>
      <c r="B7198" s="15"/>
      <c r="C7198" s="16"/>
      <c r="D7198" s="15"/>
      <c r="F7198" s="15"/>
      <c r="G7198" s="26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8"/>
      <c r="X7198" s="28"/>
      <c r="Y7198" s="28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28"/>
      <c r="AS7198" s="28"/>
      <c r="AT7198" s="28"/>
    </row>
    <row r="7199">
      <c r="A7199" s="14"/>
      <c r="B7199" s="15"/>
      <c r="C7199" s="16"/>
      <c r="D7199" s="15"/>
      <c r="F7199" s="15"/>
      <c r="G7199" s="26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8"/>
      <c r="X7199" s="28"/>
      <c r="Y7199" s="28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28"/>
      <c r="AS7199" s="28"/>
      <c r="AT7199" s="28"/>
    </row>
    <row r="7200">
      <c r="A7200" s="14"/>
      <c r="B7200" s="15"/>
      <c r="C7200" s="16"/>
      <c r="D7200" s="15"/>
      <c r="F7200" s="15"/>
      <c r="G7200" s="26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8"/>
      <c r="X7200" s="28"/>
      <c r="Y7200" s="28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28"/>
      <c r="AS7200" s="28"/>
      <c r="AT7200" s="28"/>
    </row>
    <row r="7201">
      <c r="A7201" s="14"/>
      <c r="B7201" s="15"/>
      <c r="C7201" s="16"/>
      <c r="D7201" s="15"/>
      <c r="F7201" s="15"/>
      <c r="G7201" s="26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8"/>
      <c r="X7201" s="28"/>
      <c r="Y7201" s="28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28"/>
      <c r="AS7201" s="28"/>
      <c r="AT7201" s="28"/>
    </row>
    <row r="7202">
      <c r="A7202" s="14"/>
      <c r="B7202" s="15"/>
      <c r="C7202" s="16"/>
      <c r="D7202" s="15"/>
      <c r="F7202" s="15"/>
      <c r="G7202" s="26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8"/>
      <c r="X7202" s="28"/>
      <c r="Y7202" s="28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28"/>
      <c r="AS7202" s="28"/>
      <c r="AT7202" s="28"/>
    </row>
    <row r="7203">
      <c r="A7203" s="14"/>
      <c r="B7203" s="15"/>
      <c r="C7203" s="16"/>
      <c r="D7203" s="15"/>
      <c r="F7203" s="15"/>
      <c r="G7203" s="26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8"/>
      <c r="X7203" s="28"/>
      <c r="Y7203" s="28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28"/>
      <c r="AS7203" s="28"/>
      <c r="AT7203" s="28"/>
    </row>
    <row r="7204">
      <c r="A7204" s="14"/>
      <c r="B7204" s="15"/>
      <c r="C7204" s="16"/>
      <c r="D7204" s="15"/>
      <c r="F7204" s="15"/>
      <c r="G7204" s="26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8"/>
      <c r="X7204" s="28"/>
      <c r="Y7204" s="28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28"/>
      <c r="AS7204" s="28"/>
      <c r="AT7204" s="28"/>
    </row>
    <row r="7205">
      <c r="A7205" s="14"/>
      <c r="B7205" s="15"/>
      <c r="C7205" s="16"/>
      <c r="D7205" s="15"/>
      <c r="F7205" s="15"/>
      <c r="G7205" s="26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8"/>
      <c r="X7205" s="28"/>
      <c r="Y7205" s="28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28"/>
      <c r="AS7205" s="28"/>
      <c r="AT7205" s="28"/>
    </row>
    <row r="7206">
      <c r="A7206" s="14"/>
      <c r="B7206" s="15"/>
      <c r="C7206" s="16"/>
      <c r="D7206" s="15"/>
      <c r="F7206" s="15"/>
      <c r="G7206" s="26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8"/>
      <c r="X7206" s="28"/>
      <c r="Y7206" s="28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28"/>
      <c r="AS7206" s="28"/>
      <c r="AT7206" s="28"/>
    </row>
    <row r="7207">
      <c r="A7207" s="14"/>
      <c r="B7207" s="15"/>
      <c r="C7207" s="16"/>
      <c r="D7207" s="15"/>
      <c r="F7207" s="15"/>
      <c r="G7207" s="26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8"/>
      <c r="X7207" s="28"/>
      <c r="Y7207" s="28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28"/>
      <c r="AS7207" s="28"/>
      <c r="AT7207" s="28"/>
    </row>
    <row r="7208">
      <c r="A7208" s="14"/>
      <c r="B7208" s="15"/>
      <c r="C7208" s="16"/>
      <c r="D7208" s="15"/>
      <c r="F7208" s="15"/>
      <c r="G7208" s="26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8"/>
      <c r="X7208" s="28"/>
      <c r="Y7208" s="28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28"/>
      <c r="AS7208" s="28"/>
      <c r="AT7208" s="28"/>
    </row>
    <row r="7209">
      <c r="A7209" s="14"/>
      <c r="B7209" s="15"/>
      <c r="C7209" s="16"/>
      <c r="D7209" s="15"/>
      <c r="F7209" s="15"/>
      <c r="G7209" s="26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8"/>
      <c r="X7209" s="28"/>
      <c r="Y7209" s="28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28"/>
      <c r="AS7209" s="28"/>
      <c r="AT7209" s="28"/>
    </row>
    <row r="7210">
      <c r="A7210" s="14"/>
      <c r="B7210" s="15"/>
      <c r="C7210" s="16"/>
      <c r="D7210" s="15"/>
      <c r="F7210" s="15"/>
      <c r="G7210" s="26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8"/>
      <c r="X7210" s="28"/>
      <c r="Y7210" s="28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28"/>
      <c r="AS7210" s="28"/>
      <c r="AT7210" s="28"/>
    </row>
    <row r="7211">
      <c r="A7211" s="14"/>
      <c r="B7211" s="15"/>
      <c r="C7211" s="16"/>
      <c r="D7211" s="15"/>
      <c r="F7211" s="15"/>
      <c r="G7211" s="26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8"/>
      <c r="X7211" s="28"/>
      <c r="Y7211" s="28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28"/>
      <c r="AS7211" s="28"/>
      <c r="AT7211" s="28"/>
    </row>
    <row r="7212">
      <c r="A7212" s="14"/>
      <c r="B7212" s="15"/>
      <c r="C7212" s="16"/>
      <c r="D7212" s="15"/>
      <c r="F7212" s="15"/>
      <c r="G7212" s="26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8"/>
      <c r="X7212" s="28"/>
      <c r="Y7212" s="28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28"/>
      <c r="AS7212" s="28"/>
      <c r="AT7212" s="28"/>
    </row>
    <row r="7213">
      <c r="A7213" s="14"/>
      <c r="B7213" s="15"/>
      <c r="C7213" s="16"/>
      <c r="D7213" s="15"/>
      <c r="F7213" s="15"/>
      <c r="G7213" s="26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8"/>
      <c r="X7213" s="28"/>
      <c r="Y7213" s="28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28"/>
      <c r="AS7213" s="28"/>
      <c r="AT7213" s="28"/>
    </row>
    <row r="7214">
      <c r="A7214" s="14"/>
      <c r="B7214" s="15"/>
      <c r="C7214" s="16"/>
      <c r="D7214" s="15"/>
      <c r="F7214" s="15"/>
      <c r="G7214" s="26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8"/>
      <c r="X7214" s="28"/>
      <c r="Y7214" s="28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28"/>
      <c r="AS7214" s="28"/>
      <c r="AT7214" s="28"/>
    </row>
    <row r="7215">
      <c r="A7215" s="14"/>
      <c r="B7215" s="15"/>
      <c r="C7215" s="16"/>
      <c r="D7215" s="15"/>
      <c r="F7215" s="15"/>
      <c r="G7215" s="26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8"/>
      <c r="X7215" s="28"/>
      <c r="Y7215" s="28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28"/>
      <c r="AS7215" s="28"/>
      <c r="AT7215" s="28"/>
    </row>
    <row r="7216">
      <c r="A7216" s="14"/>
      <c r="B7216" s="15"/>
      <c r="C7216" s="16"/>
      <c r="D7216" s="15"/>
      <c r="F7216" s="15"/>
      <c r="G7216" s="26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8"/>
      <c r="X7216" s="28"/>
      <c r="Y7216" s="28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28"/>
      <c r="AS7216" s="28"/>
      <c r="AT7216" s="28"/>
    </row>
    <row r="7217">
      <c r="A7217" s="14"/>
      <c r="B7217" s="15"/>
      <c r="C7217" s="16"/>
      <c r="D7217" s="15"/>
      <c r="F7217" s="15"/>
      <c r="G7217" s="26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8"/>
      <c r="X7217" s="28"/>
      <c r="Y7217" s="28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28"/>
      <c r="AS7217" s="28"/>
      <c r="AT7217" s="28"/>
    </row>
    <row r="7218">
      <c r="A7218" s="14"/>
      <c r="B7218" s="15"/>
      <c r="C7218" s="16"/>
      <c r="D7218" s="15"/>
      <c r="F7218" s="15"/>
      <c r="G7218" s="26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8"/>
      <c r="X7218" s="28"/>
      <c r="Y7218" s="28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28"/>
      <c r="AS7218" s="28"/>
      <c r="AT7218" s="28"/>
    </row>
    <row r="7219">
      <c r="A7219" s="14"/>
      <c r="B7219" s="15"/>
      <c r="C7219" s="16"/>
      <c r="D7219" s="15"/>
      <c r="F7219" s="15"/>
      <c r="G7219" s="26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8"/>
      <c r="X7219" s="28"/>
      <c r="Y7219" s="28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28"/>
      <c r="AS7219" s="28"/>
      <c r="AT7219" s="28"/>
    </row>
    <row r="7220">
      <c r="A7220" s="14"/>
      <c r="B7220" s="15"/>
      <c r="C7220" s="16"/>
      <c r="D7220" s="15"/>
      <c r="F7220" s="15"/>
      <c r="G7220" s="26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8"/>
      <c r="X7220" s="28"/>
      <c r="Y7220" s="28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28"/>
      <c r="AS7220" s="28"/>
      <c r="AT7220" s="28"/>
    </row>
    <row r="7221">
      <c r="A7221" s="14"/>
      <c r="B7221" s="15"/>
      <c r="C7221" s="16"/>
      <c r="D7221" s="15"/>
      <c r="F7221" s="15"/>
      <c r="G7221" s="26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8"/>
      <c r="X7221" s="28"/>
      <c r="Y7221" s="28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28"/>
      <c r="AS7221" s="28"/>
      <c r="AT7221" s="28"/>
    </row>
    <row r="7222">
      <c r="A7222" s="14"/>
      <c r="B7222" s="15"/>
      <c r="C7222" s="16"/>
      <c r="D7222" s="15"/>
      <c r="F7222" s="15"/>
      <c r="G7222" s="26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8"/>
      <c r="X7222" s="28"/>
      <c r="Y7222" s="28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28"/>
      <c r="AS7222" s="28"/>
      <c r="AT7222" s="28"/>
    </row>
    <row r="7223">
      <c r="A7223" s="14"/>
      <c r="B7223" s="15"/>
      <c r="C7223" s="16"/>
      <c r="D7223" s="15"/>
      <c r="F7223" s="15"/>
      <c r="G7223" s="26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8"/>
      <c r="X7223" s="28"/>
      <c r="Y7223" s="28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28"/>
      <c r="AS7223" s="28"/>
      <c r="AT7223" s="28"/>
    </row>
    <row r="7224">
      <c r="A7224" s="14"/>
      <c r="B7224" s="15"/>
      <c r="C7224" s="16"/>
      <c r="D7224" s="15"/>
      <c r="F7224" s="15"/>
      <c r="G7224" s="26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8"/>
      <c r="X7224" s="28"/>
      <c r="Y7224" s="28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28"/>
      <c r="AS7224" s="28"/>
      <c r="AT7224" s="28"/>
    </row>
    <row r="7225">
      <c r="A7225" s="14"/>
      <c r="B7225" s="15"/>
      <c r="C7225" s="16"/>
      <c r="D7225" s="15"/>
      <c r="F7225" s="15"/>
      <c r="G7225" s="26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8"/>
      <c r="X7225" s="28"/>
      <c r="Y7225" s="28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28"/>
      <c r="AS7225" s="28"/>
      <c r="AT7225" s="28"/>
    </row>
    <row r="7226">
      <c r="A7226" s="14"/>
      <c r="B7226" s="15"/>
      <c r="C7226" s="16"/>
      <c r="D7226" s="15"/>
      <c r="F7226" s="15"/>
      <c r="G7226" s="26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8"/>
      <c r="X7226" s="28"/>
      <c r="Y7226" s="28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28"/>
      <c r="AS7226" s="28"/>
      <c r="AT7226" s="28"/>
    </row>
    <row r="7227">
      <c r="A7227" s="14"/>
      <c r="B7227" s="15"/>
      <c r="C7227" s="16"/>
      <c r="D7227" s="15"/>
      <c r="F7227" s="15"/>
      <c r="G7227" s="26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8"/>
      <c r="X7227" s="28"/>
      <c r="Y7227" s="28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28"/>
      <c r="AS7227" s="28"/>
      <c r="AT7227" s="28"/>
    </row>
    <row r="7228">
      <c r="A7228" s="14"/>
      <c r="B7228" s="15"/>
      <c r="C7228" s="16"/>
      <c r="D7228" s="15"/>
      <c r="F7228" s="15"/>
      <c r="G7228" s="26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8"/>
      <c r="X7228" s="28"/>
      <c r="Y7228" s="28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28"/>
      <c r="AS7228" s="28"/>
      <c r="AT7228" s="28"/>
    </row>
    <row r="7229">
      <c r="A7229" s="14"/>
      <c r="B7229" s="15"/>
      <c r="C7229" s="16"/>
      <c r="D7229" s="15"/>
      <c r="F7229" s="15"/>
      <c r="G7229" s="26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8"/>
      <c r="X7229" s="28"/>
      <c r="Y7229" s="28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28"/>
      <c r="AS7229" s="28"/>
      <c r="AT7229" s="28"/>
    </row>
    <row r="7230">
      <c r="A7230" s="14"/>
      <c r="B7230" s="15"/>
      <c r="C7230" s="16"/>
      <c r="D7230" s="15"/>
      <c r="F7230" s="15"/>
      <c r="G7230" s="26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8"/>
      <c r="X7230" s="28"/>
      <c r="Y7230" s="28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28"/>
      <c r="AS7230" s="28"/>
      <c r="AT7230" s="28"/>
    </row>
    <row r="7231">
      <c r="A7231" s="14"/>
      <c r="B7231" s="15"/>
      <c r="C7231" s="16"/>
      <c r="D7231" s="15"/>
      <c r="F7231" s="15"/>
      <c r="G7231" s="26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8"/>
      <c r="X7231" s="28"/>
      <c r="Y7231" s="28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28"/>
      <c r="AS7231" s="28"/>
      <c r="AT7231" s="28"/>
    </row>
    <row r="7232">
      <c r="A7232" s="14"/>
      <c r="B7232" s="15"/>
      <c r="C7232" s="16"/>
      <c r="D7232" s="15"/>
      <c r="F7232" s="15"/>
      <c r="G7232" s="26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8"/>
      <c r="X7232" s="28"/>
      <c r="Y7232" s="28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28"/>
      <c r="AS7232" s="28"/>
      <c r="AT7232" s="28"/>
    </row>
    <row r="7233">
      <c r="A7233" s="14"/>
      <c r="B7233" s="15"/>
      <c r="C7233" s="16"/>
      <c r="D7233" s="15"/>
      <c r="F7233" s="15"/>
      <c r="G7233" s="26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8"/>
      <c r="X7233" s="28"/>
      <c r="Y7233" s="28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28"/>
      <c r="AS7233" s="28"/>
      <c r="AT7233" s="28"/>
    </row>
    <row r="7234">
      <c r="A7234" s="14"/>
      <c r="B7234" s="15"/>
      <c r="C7234" s="16"/>
      <c r="D7234" s="15"/>
      <c r="F7234" s="15"/>
      <c r="G7234" s="26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8"/>
      <c r="X7234" s="28"/>
      <c r="Y7234" s="28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28"/>
      <c r="AS7234" s="28"/>
      <c r="AT7234" s="28"/>
    </row>
    <row r="7235">
      <c r="A7235" s="14"/>
      <c r="B7235" s="15"/>
      <c r="C7235" s="16"/>
      <c r="D7235" s="15"/>
      <c r="F7235" s="15"/>
      <c r="G7235" s="26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8"/>
      <c r="X7235" s="28"/>
      <c r="Y7235" s="28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28"/>
      <c r="AS7235" s="28"/>
      <c r="AT7235" s="28"/>
    </row>
    <row r="7236">
      <c r="A7236" s="14"/>
      <c r="B7236" s="15"/>
      <c r="C7236" s="16"/>
      <c r="D7236" s="15"/>
      <c r="F7236" s="15"/>
      <c r="G7236" s="26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8"/>
      <c r="X7236" s="28"/>
      <c r="Y7236" s="28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28"/>
      <c r="AS7236" s="28"/>
      <c r="AT7236" s="28"/>
    </row>
    <row r="7237">
      <c r="A7237" s="14"/>
      <c r="B7237" s="15"/>
      <c r="C7237" s="16"/>
      <c r="D7237" s="15"/>
      <c r="F7237" s="15"/>
      <c r="G7237" s="26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8"/>
      <c r="X7237" s="28"/>
      <c r="Y7237" s="28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28"/>
      <c r="AS7237" s="28"/>
      <c r="AT7237" s="28"/>
    </row>
    <row r="7238">
      <c r="A7238" s="14"/>
      <c r="B7238" s="15"/>
      <c r="C7238" s="16"/>
      <c r="D7238" s="15"/>
      <c r="F7238" s="15"/>
      <c r="G7238" s="26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8"/>
      <c r="X7238" s="28"/>
      <c r="Y7238" s="28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28"/>
      <c r="AS7238" s="28"/>
      <c r="AT7238" s="28"/>
    </row>
    <row r="7239">
      <c r="A7239" s="14"/>
      <c r="B7239" s="15"/>
      <c r="C7239" s="16"/>
      <c r="D7239" s="15"/>
      <c r="F7239" s="15"/>
      <c r="G7239" s="26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8"/>
      <c r="X7239" s="28"/>
      <c r="Y7239" s="28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28"/>
      <c r="AS7239" s="28"/>
      <c r="AT7239" s="28"/>
    </row>
    <row r="7240">
      <c r="A7240" s="14"/>
      <c r="B7240" s="15"/>
      <c r="C7240" s="16"/>
      <c r="D7240" s="15"/>
      <c r="F7240" s="15"/>
      <c r="G7240" s="26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8"/>
      <c r="X7240" s="28"/>
      <c r="Y7240" s="28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28"/>
      <c r="AS7240" s="28"/>
      <c r="AT7240" s="28"/>
    </row>
    <row r="7241">
      <c r="A7241" s="14"/>
      <c r="B7241" s="15"/>
      <c r="C7241" s="16"/>
      <c r="D7241" s="15"/>
      <c r="F7241" s="15"/>
      <c r="G7241" s="26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8"/>
      <c r="X7241" s="28"/>
      <c r="Y7241" s="28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28"/>
      <c r="AS7241" s="28"/>
      <c r="AT7241" s="28"/>
    </row>
    <row r="7242">
      <c r="A7242" s="14"/>
      <c r="B7242" s="15"/>
      <c r="C7242" s="16"/>
      <c r="D7242" s="15"/>
      <c r="F7242" s="15"/>
      <c r="G7242" s="26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8"/>
      <c r="X7242" s="28"/>
      <c r="Y7242" s="28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28"/>
      <c r="AS7242" s="28"/>
      <c r="AT7242" s="28"/>
    </row>
    <row r="7243">
      <c r="A7243" s="14"/>
      <c r="B7243" s="15"/>
      <c r="C7243" s="16"/>
      <c r="D7243" s="15"/>
      <c r="F7243" s="15"/>
      <c r="G7243" s="26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8"/>
      <c r="X7243" s="28"/>
      <c r="Y7243" s="28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28"/>
      <c r="AS7243" s="28"/>
      <c r="AT7243" s="28"/>
    </row>
    <row r="7244">
      <c r="A7244" s="14"/>
      <c r="B7244" s="15"/>
      <c r="C7244" s="16"/>
      <c r="D7244" s="15"/>
      <c r="F7244" s="15"/>
      <c r="G7244" s="26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8"/>
      <c r="X7244" s="28"/>
      <c r="Y7244" s="28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28"/>
      <c r="AS7244" s="28"/>
      <c r="AT7244" s="28"/>
    </row>
    <row r="7245">
      <c r="A7245" s="14"/>
      <c r="B7245" s="15"/>
      <c r="C7245" s="16"/>
      <c r="D7245" s="15"/>
      <c r="F7245" s="15"/>
      <c r="G7245" s="26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8"/>
      <c r="X7245" s="28"/>
      <c r="Y7245" s="28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28"/>
      <c r="AS7245" s="28"/>
      <c r="AT7245" s="28"/>
    </row>
    <row r="7246">
      <c r="A7246" s="14"/>
      <c r="B7246" s="15"/>
      <c r="C7246" s="16"/>
      <c r="D7246" s="15"/>
      <c r="F7246" s="15"/>
      <c r="G7246" s="26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8"/>
      <c r="X7246" s="28"/>
      <c r="Y7246" s="28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28"/>
      <c r="AS7246" s="28"/>
      <c r="AT7246" s="28"/>
    </row>
    <row r="7247">
      <c r="A7247" s="14"/>
      <c r="B7247" s="15"/>
      <c r="C7247" s="16"/>
      <c r="D7247" s="15"/>
      <c r="F7247" s="15"/>
      <c r="G7247" s="26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8"/>
      <c r="X7247" s="28"/>
      <c r="Y7247" s="28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28"/>
      <c r="AS7247" s="28"/>
      <c r="AT7247" s="28"/>
    </row>
    <row r="7248">
      <c r="A7248" s="14"/>
      <c r="B7248" s="15"/>
      <c r="C7248" s="16"/>
      <c r="D7248" s="15"/>
      <c r="F7248" s="15"/>
      <c r="G7248" s="26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8"/>
      <c r="X7248" s="28"/>
      <c r="Y7248" s="28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28"/>
      <c r="AS7248" s="28"/>
      <c r="AT7248" s="28"/>
    </row>
    <row r="7249">
      <c r="A7249" s="14"/>
      <c r="B7249" s="15"/>
      <c r="C7249" s="16"/>
      <c r="D7249" s="15"/>
      <c r="F7249" s="15"/>
      <c r="G7249" s="26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8"/>
      <c r="X7249" s="28"/>
      <c r="Y7249" s="28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28"/>
      <c r="AS7249" s="28"/>
      <c r="AT7249" s="28"/>
    </row>
    <row r="7250">
      <c r="A7250" s="14"/>
      <c r="B7250" s="15"/>
      <c r="C7250" s="16"/>
      <c r="D7250" s="15"/>
      <c r="F7250" s="15"/>
      <c r="G7250" s="26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8"/>
      <c r="X7250" s="28"/>
      <c r="Y7250" s="28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28"/>
      <c r="AS7250" s="28"/>
      <c r="AT7250" s="28"/>
    </row>
    <row r="7251">
      <c r="A7251" s="14"/>
      <c r="B7251" s="15"/>
      <c r="C7251" s="16"/>
      <c r="D7251" s="15"/>
      <c r="F7251" s="15"/>
      <c r="G7251" s="26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8"/>
      <c r="X7251" s="28"/>
      <c r="Y7251" s="28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28"/>
      <c r="AS7251" s="28"/>
      <c r="AT7251" s="28"/>
    </row>
    <row r="7252">
      <c r="A7252" s="14"/>
      <c r="B7252" s="15"/>
      <c r="C7252" s="16"/>
      <c r="D7252" s="15"/>
      <c r="F7252" s="15"/>
      <c r="G7252" s="26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8"/>
      <c r="X7252" s="28"/>
      <c r="Y7252" s="28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28"/>
      <c r="AS7252" s="28"/>
      <c r="AT7252" s="28"/>
    </row>
    <row r="7253">
      <c r="A7253" s="14"/>
      <c r="B7253" s="15"/>
      <c r="C7253" s="16"/>
      <c r="D7253" s="15"/>
      <c r="F7253" s="15"/>
      <c r="G7253" s="26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8"/>
      <c r="X7253" s="28"/>
      <c r="Y7253" s="28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28"/>
      <c r="AS7253" s="28"/>
      <c r="AT7253" s="28"/>
    </row>
    <row r="7254">
      <c r="A7254" s="14"/>
      <c r="B7254" s="15"/>
      <c r="C7254" s="16"/>
      <c r="D7254" s="15"/>
      <c r="F7254" s="15"/>
      <c r="G7254" s="26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8"/>
      <c r="X7254" s="28"/>
      <c r="Y7254" s="28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28"/>
      <c r="AS7254" s="28"/>
      <c r="AT7254" s="28"/>
    </row>
    <row r="7255">
      <c r="A7255" s="14"/>
      <c r="B7255" s="15"/>
      <c r="C7255" s="16"/>
      <c r="D7255" s="15"/>
      <c r="F7255" s="15"/>
      <c r="G7255" s="26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8"/>
      <c r="X7255" s="28"/>
      <c r="Y7255" s="28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28"/>
      <c r="AS7255" s="28"/>
      <c r="AT7255" s="28"/>
    </row>
    <row r="7256">
      <c r="A7256" s="14"/>
      <c r="B7256" s="15"/>
      <c r="C7256" s="16"/>
      <c r="D7256" s="15"/>
      <c r="F7256" s="15"/>
      <c r="G7256" s="26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8"/>
      <c r="X7256" s="28"/>
      <c r="Y7256" s="28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28"/>
      <c r="AS7256" s="28"/>
      <c r="AT7256" s="28"/>
    </row>
    <row r="7257">
      <c r="A7257" s="14"/>
      <c r="B7257" s="15"/>
      <c r="C7257" s="16"/>
      <c r="D7257" s="15"/>
      <c r="F7257" s="15"/>
      <c r="G7257" s="26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8"/>
      <c r="X7257" s="28"/>
      <c r="Y7257" s="28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28"/>
      <c r="AS7257" s="28"/>
      <c r="AT7257" s="28"/>
    </row>
    <row r="7258">
      <c r="A7258" s="14"/>
      <c r="B7258" s="15"/>
      <c r="C7258" s="16"/>
      <c r="D7258" s="15"/>
      <c r="F7258" s="15"/>
      <c r="G7258" s="26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8"/>
      <c r="X7258" s="28"/>
      <c r="Y7258" s="28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28"/>
      <c r="AS7258" s="28"/>
      <c r="AT7258" s="28"/>
    </row>
    <row r="7259">
      <c r="A7259" s="14"/>
      <c r="B7259" s="15"/>
      <c r="C7259" s="16"/>
      <c r="D7259" s="15"/>
      <c r="F7259" s="15"/>
      <c r="G7259" s="26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8"/>
      <c r="X7259" s="28"/>
      <c r="Y7259" s="28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28"/>
      <c r="AS7259" s="28"/>
      <c r="AT7259" s="28"/>
    </row>
    <row r="7260">
      <c r="A7260" s="14"/>
      <c r="B7260" s="15"/>
      <c r="C7260" s="16"/>
      <c r="D7260" s="15"/>
      <c r="F7260" s="15"/>
      <c r="G7260" s="26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8"/>
      <c r="X7260" s="28"/>
      <c r="Y7260" s="28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28"/>
      <c r="AS7260" s="28"/>
      <c r="AT7260" s="28"/>
    </row>
    <row r="7261">
      <c r="A7261" s="14"/>
      <c r="B7261" s="15"/>
      <c r="C7261" s="16"/>
      <c r="D7261" s="15"/>
      <c r="F7261" s="15"/>
      <c r="G7261" s="26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8"/>
      <c r="X7261" s="28"/>
      <c r="Y7261" s="28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28"/>
      <c r="AS7261" s="28"/>
      <c r="AT7261" s="28"/>
    </row>
    <row r="7262">
      <c r="A7262" s="14"/>
      <c r="B7262" s="15"/>
      <c r="C7262" s="16"/>
      <c r="D7262" s="15"/>
      <c r="F7262" s="15"/>
      <c r="G7262" s="26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8"/>
      <c r="X7262" s="28"/>
      <c r="Y7262" s="28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28"/>
      <c r="AS7262" s="28"/>
      <c r="AT7262" s="28"/>
    </row>
    <row r="7263">
      <c r="A7263" s="14"/>
      <c r="B7263" s="15"/>
      <c r="C7263" s="16"/>
      <c r="D7263" s="15"/>
      <c r="F7263" s="15"/>
      <c r="G7263" s="26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8"/>
      <c r="X7263" s="28"/>
      <c r="Y7263" s="28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28"/>
      <c r="AS7263" s="28"/>
      <c r="AT7263" s="28"/>
    </row>
    <row r="7264">
      <c r="A7264" s="14"/>
      <c r="B7264" s="15"/>
      <c r="C7264" s="16"/>
      <c r="D7264" s="15"/>
      <c r="F7264" s="15"/>
      <c r="G7264" s="26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8"/>
      <c r="X7264" s="28"/>
      <c r="Y7264" s="28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28"/>
      <c r="AS7264" s="28"/>
      <c r="AT7264" s="28"/>
    </row>
    <row r="7265">
      <c r="A7265" s="14"/>
      <c r="B7265" s="15"/>
      <c r="C7265" s="16"/>
      <c r="D7265" s="15"/>
      <c r="F7265" s="15"/>
      <c r="G7265" s="26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8"/>
      <c r="X7265" s="28"/>
      <c r="Y7265" s="28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28"/>
      <c r="AS7265" s="28"/>
      <c r="AT7265" s="28"/>
    </row>
    <row r="7266">
      <c r="A7266" s="14"/>
      <c r="B7266" s="15"/>
      <c r="C7266" s="16"/>
      <c r="D7266" s="15"/>
      <c r="F7266" s="15"/>
      <c r="G7266" s="26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8"/>
      <c r="X7266" s="28"/>
      <c r="Y7266" s="28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28"/>
      <c r="AS7266" s="28"/>
      <c r="AT7266" s="28"/>
    </row>
    <row r="7267">
      <c r="A7267" s="14"/>
      <c r="B7267" s="15"/>
      <c r="C7267" s="16"/>
      <c r="D7267" s="15"/>
      <c r="F7267" s="15"/>
      <c r="G7267" s="26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8"/>
      <c r="X7267" s="28"/>
      <c r="Y7267" s="28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28"/>
      <c r="AS7267" s="28"/>
      <c r="AT7267" s="28"/>
    </row>
    <row r="7268">
      <c r="A7268" s="14"/>
      <c r="B7268" s="15"/>
      <c r="C7268" s="16"/>
      <c r="D7268" s="15"/>
      <c r="F7268" s="15"/>
      <c r="G7268" s="26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8"/>
      <c r="X7268" s="28"/>
      <c r="Y7268" s="28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28"/>
      <c r="AS7268" s="28"/>
      <c r="AT7268" s="28"/>
    </row>
    <row r="7269">
      <c r="A7269" s="14"/>
      <c r="B7269" s="15"/>
      <c r="C7269" s="16"/>
      <c r="D7269" s="15"/>
      <c r="F7269" s="15"/>
      <c r="G7269" s="26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8"/>
      <c r="X7269" s="28"/>
      <c r="Y7269" s="28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28"/>
      <c r="AS7269" s="28"/>
      <c r="AT7269" s="28"/>
    </row>
    <row r="7270">
      <c r="A7270" s="14"/>
      <c r="B7270" s="15"/>
      <c r="C7270" s="16"/>
      <c r="D7270" s="15"/>
      <c r="F7270" s="15"/>
      <c r="G7270" s="26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8"/>
      <c r="X7270" s="28"/>
      <c r="Y7270" s="28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28"/>
      <c r="AS7270" s="28"/>
      <c r="AT7270" s="28"/>
    </row>
    <row r="7271">
      <c r="A7271" s="14"/>
      <c r="B7271" s="15"/>
      <c r="C7271" s="16"/>
      <c r="D7271" s="15"/>
      <c r="F7271" s="15"/>
      <c r="G7271" s="26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8"/>
      <c r="X7271" s="28"/>
      <c r="Y7271" s="28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28"/>
      <c r="AS7271" s="28"/>
      <c r="AT7271" s="28"/>
    </row>
    <row r="7272">
      <c r="A7272" s="14"/>
      <c r="B7272" s="15"/>
      <c r="C7272" s="16"/>
      <c r="D7272" s="15"/>
      <c r="F7272" s="15"/>
      <c r="G7272" s="26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8"/>
      <c r="X7272" s="28"/>
      <c r="Y7272" s="28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28"/>
      <c r="AS7272" s="28"/>
      <c r="AT7272" s="28"/>
    </row>
    <row r="7273">
      <c r="A7273" s="14"/>
      <c r="B7273" s="15"/>
      <c r="C7273" s="16"/>
      <c r="D7273" s="15"/>
      <c r="F7273" s="15"/>
      <c r="G7273" s="26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8"/>
      <c r="X7273" s="28"/>
      <c r="Y7273" s="28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28"/>
      <c r="AS7273" s="28"/>
      <c r="AT7273" s="28"/>
    </row>
    <row r="7274">
      <c r="A7274" s="14"/>
      <c r="B7274" s="15"/>
      <c r="C7274" s="16"/>
      <c r="D7274" s="15"/>
      <c r="F7274" s="15"/>
      <c r="G7274" s="26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8"/>
      <c r="X7274" s="28"/>
      <c r="Y7274" s="28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28"/>
      <c r="AS7274" s="28"/>
      <c r="AT7274" s="28"/>
    </row>
    <row r="7275">
      <c r="A7275" s="14"/>
      <c r="B7275" s="15"/>
      <c r="C7275" s="16"/>
      <c r="D7275" s="15"/>
      <c r="F7275" s="15"/>
      <c r="G7275" s="26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8"/>
      <c r="X7275" s="28"/>
      <c r="Y7275" s="28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28"/>
      <c r="AS7275" s="28"/>
      <c r="AT7275" s="28"/>
    </row>
    <row r="7276">
      <c r="A7276" s="14"/>
      <c r="B7276" s="15"/>
      <c r="C7276" s="16"/>
      <c r="D7276" s="15"/>
      <c r="F7276" s="15"/>
      <c r="G7276" s="26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8"/>
      <c r="X7276" s="28"/>
      <c r="Y7276" s="28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28"/>
      <c r="AS7276" s="28"/>
      <c r="AT7276" s="28"/>
    </row>
    <row r="7277">
      <c r="A7277" s="14"/>
      <c r="B7277" s="15"/>
      <c r="C7277" s="16"/>
      <c r="D7277" s="15"/>
      <c r="F7277" s="15"/>
      <c r="G7277" s="26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8"/>
      <c r="X7277" s="28"/>
      <c r="Y7277" s="28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28"/>
      <c r="AS7277" s="28"/>
      <c r="AT7277" s="28"/>
    </row>
    <row r="7278">
      <c r="A7278" s="14"/>
      <c r="B7278" s="15"/>
      <c r="C7278" s="16"/>
      <c r="D7278" s="15"/>
      <c r="F7278" s="15"/>
      <c r="G7278" s="26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8"/>
      <c r="X7278" s="28"/>
      <c r="Y7278" s="28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28"/>
      <c r="AS7278" s="28"/>
      <c r="AT7278" s="28"/>
    </row>
    <row r="7279">
      <c r="A7279" s="14"/>
      <c r="B7279" s="15"/>
      <c r="C7279" s="16"/>
      <c r="D7279" s="15"/>
      <c r="F7279" s="15"/>
      <c r="G7279" s="26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8"/>
      <c r="X7279" s="28"/>
      <c r="Y7279" s="28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28"/>
      <c r="AS7279" s="28"/>
      <c r="AT7279" s="28"/>
    </row>
    <row r="7280">
      <c r="A7280" s="14"/>
      <c r="B7280" s="15"/>
      <c r="C7280" s="16"/>
      <c r="D7280" s="15"/>
      <c r="F7280" s="15"/>
      <c r="G7280" s="26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8"/>
      <c r="X7280" s="28"/>
      <c r="Y7280" s="28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28"/>
      <c r="AS7280" s="28"/>
      <c r="AT7280" s="28"/>
    </row>
    <row r="7281">
      <c r="A7281" s="14"/>
      <c r="B7281" s="15"/>
      <c r="C7281" s="16"/>
      <c r="D7281" s="15"/>
      <c r="F7281" s="15"/>
      <c r="G7281" s="26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8"/>
      <c r="X7281" s="28"/>
      <c r="Y7281" s="28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28"/>
      <c r="AS7281" s="28"/>
      <c r="AT7281" s="28"/>
    </row>
    <row r="7282">
      <c r="A7282" s="14"/>
      <c r="B7282" s="15"/>
      <c r="C7282" s="16"/>
      <c r="D7282" s="15"/>
      <c r="F7282" s="15"/>
      <c r="G7282" s="26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8"/>
      <c r="X7282" s="28"/>
      <c r="Y7282" s="28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28"/>
      <c r="AS7282" s="28"/>
      <c r="AT7282" s="28"/>
    </row>
    <row r="7283">
      <c r="A7283" s="14"/>
      <c r="B7283" s="15"/>
      <c r="C7283" s="16"/>
      <c r="D7283" s="15"/>
      <c r="F7283" s="15"/>
      <c r="G7283" s="26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8"/>
      <c r="X7283" s="28"/>
      <c r="Y7283" s="28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28"/>
      <c r="AS7283" s="28"/>
      <c r="AT7283" s="28"/>
    </row>
    <row r="7284">
      <c r="A7284" s="14"/>
      <c r="B7284" s="15"/>
      <c r="C7284" s="16"/>
      <c r="D7284" s="15"/>
      <c r="F7284" s="15"/>
      <c r="G7284" s="26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8"/>
      <c r="X7284" s="28"/>
      <c r="Y7284" s="28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28"/>
      <c r="AS7284" s="28"/>
      <c r="AT7284" s="28"/>
    </row>
    <row r="7285">
      <c r="A7285" s="14"/>
      <c r="B7285" s="15"/>
      <c r="C7285" s="16"/>
      <c r="D7285" s="15"/>
      <c r="F7285" s="15"/>
      <c r="G7285" s="26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8"/>
      <c r="X7285" s="28"/>
      <c r="Y7285" s="28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28"/>
      <c r="AS7285" s="28"/>
      <c r="AT7285" s="28"/>
    </row>
    <row r="7286">
      <c r="A7286" s="14"/>
      <c r="B7286" s="15"/>
      <c r="C7286" s="16"/>
      <c r="D7286" s="15"/>
      <c r="F7286" s="15"/>
      <c r="G7286" s="26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8"/>
      <c r="X7286" s="28"/>
      <c r="Y7286" s="28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28"/>
      <c r="AS7286" s="28"/>
      <c r="AT7286" s="28"/>
    </row>
    <row r="7287">
      <c r="A7287" s="14"/>
      <c r="B7287" s="15"/>
      <c r="C7287" s="16"/>
      <c r="D7287" s="15"/>
      <c r="F7287" s="15"/>
      <c r="G7287" s="26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8"/>
      <c r="X7287" s="28"/>
      <c r="Y7287" s="28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28"/>
      <c r="AS7287" s="28"/>
      <c r="AT7287" s="28"/>
    </row>
    <row r="7288">
      <c r="A7288" s="14"/>
      <c r="B7288" s="15"/>
      <c r="C7288" s="16"/>
      <c r="D7288" s="15"/>
      <c r="F7288" s="15"/>
      <c r="G7288" s="26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8"/>
      <c r="X7288" s="28"/>
      <c r="Y7288" s="28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28"/>
      <c r="AS7288" s="28"/>
      <c r="AT7288" s="28"/>
    </row>
    <row r="7289">
      <c r="A7289" s="14"/>
      <c r="B7289" s="15"/>
      <c r="C7289" s="16"/>
      <c r="D7289" s="15"/>
      <c r="F7289" s="15"/>
      <c r="G7289" s="26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8"/>
      <c r="X7289" s="28"/>
      <c r="Y7289" s="28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28"/>
      <c r="AS7289" s="28"/>
      <c r="AT7289" s="28"/>
    </row>
    <row r="7290">
      <c r="A7290" s="14"/>
      <c r="B7290" s="15"/>
      <c r="C7290" s="16"/>
      <c r="D7290" s="15"/>
      <c r="F7290" s="15"/>
      <c r="G7290" s="26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8"/>
      <c r="X7290" s="28"/>
      <c r="Y7290" s="28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28"/>
      <c r="AS7290" s="28"/>
      <c r="AT7290" s="28"/>
    </row>
    <row r="7291">
      <c r="A7291" s="14"/>
      <c r="B7291" s="15"/>
      <c r="C7291" s="16"/>
      <c r="D7291" s="15"/>
      <c r="F7291" s="15"/>
      <c r="G7291" s="26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8"/>
      <c r="X7291" s="28"/>
      <c r="Y7291" s="28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28"/>
      <c r="AS7291" s="28"/>
      <c r="AT7291" s="28"/>
    </row>
    <row r="7292">
      <c r="A7292" s="14"/>
      <c r="B7292" s="15"/>
      <c r="C7292" s="16"/>
      <c r="D7292" s="15"/>
      <c r="F7292" s="15"/>
      <c r="G7292" s="26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8"/>
      <c r="X7292" s="28"/>
      <c r="Y7292" s="28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28"/>
      <c r="AS7292" s="28"/>
      <c r="AT7292" s="28"/>
    </row>
    <row r="7293">
      <c r="A7293" s="14"/>
      <c r="B7293" s="15"/>
      <c r="C7293" s="16"/>
      <c r="D7293" s="15"/>
      <c r="F7293" s="15"/>
      <c r="G7293" s="26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8"/>
      <c r="X7293" s="28"/>
      <c r="Y7293" s="28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28"/>
      <c r="AS7293" s="28"/>
      <c r="AT7293" s="28"/>
    </row>
    <row r="7294">
      <c r="A7294" s="14"/>
      <c r="B7294" s="15"/>
      <c r="C7294" s="16"/>
      <c r="D7294" s="15"/>
      <c r="F7294" s="15"/>
      <c r="G7294" s="26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8"/>
      <c r="X7294" s="28"/>
      <c r="Y7294" s="28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28"/>
      <c r="AS7294" s="28"/>
      <c r="AT7294" s="28"/>
    </row>
    <row r="7295">
      <c r="A7295" s="14"/>
      <c r="B7295" s="15"/>
      <c r="C7295" s="16"/>
      <c r="D7295" s="15"/>
      <c r="F7295" s="15"/>
      <c r="G7295" s="26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8"/>
      <c r="X7295" s="28"/>
      <c r="Y7295" s="28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28"/>
      <c r="AS7295" s="28"/>
      <c r="AT7295" s="28"/>
    </row>
    <row r="7296">
      <c r="A7296" s="14"/>
      <c r="B7296" s="15"/>
      <c r="C7296" s="16"/>
      <c r="D7296" s="15"/>
      <c r="F7296" s="15"/>
      <c r="G7296" s="26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8"/>
      <c r="X7296" s="28"/>
      <c r="Y7296" s="28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28"/>
      <c r="AS7296" s="28"/>
      <c r="AT7296" s="28"/>
    </row>
    <row r="7297">
      <c r="A7297" s="14"/>
      <c r="B7297" s="15"/>
      <c r="C7297" s="16"/>
      <c r="D7297" s="15"/>
      <c r="F7297" s="15"/>
      <c r="G7297" s="26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8"/>
      <c r="X7297" s="28"/>
      <c r="Y7297" s="28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28"/>
      <c r="AS7297" s="28"/>
      <c r="AT7297" s="28"/>
    </row>
    <row r="7298">
      <c r="A7298" s="14"/>
      <c r="B7298" s="15"/>
      <c r="C7298" s="16"/>
      <c r="D7298" s="15"/>
      <c r="F7298" s="15"/>
      <c r="G7298" s="26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8"/>
      <c r="X7298" s="28"/>
      <c r="Y7298" s="28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28"/>
      <c r="AS7298" s="28"/>
      <c r="AT7298" s="28"/>
    </row>
    <row r="7299">
      <c r="A7299" s="14"/>
      <c r="B7299" s="15"/>
      <c r="C7299" s="16"/>
      <c r="D7299" s="15"/>
      <c r="F7299" s="15"/>
      <c r="G7299" s="26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8"/>
      <c r="X7299" s="28"/>
      <c r="Y7299" s="28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28"/>
      <c r="AS7299" s="28"/>
      <c r="AT7299" s="28"/>
    </row>
    <row r="7300">
      <c r="A7300" s="14"/>
      <c r="B7300" s="15"/>
      <c r="C7300" s="16"/>
      <c r="D7300" s="15"/>
      <c r="F7300" s="15"/>
      <c r="G7300" s="26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8"/>
      <c r="X7300" s="28"/>
      <c r="Y7300" s="28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28"/>
      <c r="AS7300" s="28"/>
      <c r="AT7300" s="28"/>
    </row>
    <row r="7301">
      <c r="A7301" s="14"/>
      <c r="B7301" s="15"/>
      <c r="C7301" s="16"/>
      <c r="D7301" s="15"/>
      <c r="F7301" s="15"/>
      <c r="G7301" s="26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8"/>
      <c r="X7301" s="28"/>
      <c r="Y7301" s="28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28"/>
      <c r="AS7301" s="28"/>
      <c r="AT7301" s="28"/>
    </row>
    <row r="7302">
      <c r="A7302" s="14"/>
      <c r="B7302" s="15"/>
      <c r="C7302" s="16"/>
      <c r="D7302" s="15"/>
      <c r="F7302" s="15"/>
      <c r="G7302" s="26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8"/>
      <c r="X7302" s="28"/>
      <c r="Y7302" s="28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28"/>
      <c r="AS7302" s="28"/>
      <c r="AT7302" s="28"/>
    </row>
    <row r="7303">
      <c r="A7303" s="14"/>
      <c r="B7303" s="15"/>
      <c r="C7303" s="16"/>
      <c r="D7303" s="15"/>
      <c r="F7303" s="15"/>
      <c r="G7303" s="26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8"/>
      <c r="X7303" s="28"/>
      <c r="Y7303" s="28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28"/>
      <c r="AS7303" s="28"/>
      <c r="AT7303" s="28"/>
    </row>
    <row r="7304">
      <c r="A7304" s="14"/>
      <c r="B7304" s="15"/>
      <c r="C7304" s="16"/>
      <c r="D7304" s="15"/>
      <c r="F7304" s="15"/>
      <c r="G7304" s="26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8"/>
      <c r="X7304" s="28"/>
      <c r="Y7304" s="28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28"/>
      <c r="AS7304" s="28"/>
      <c r="AT7304" s="28"/>
    </row>
    <row r="7305">
      <c r="A7305" s="14"/>
      <c r="B7305" s="15"/>
      <c r="C7305" s="16"/>
      <c r="D7305" s="15"/>
      <c r="F7305" s="15"/>
      <c r="G7305" s="26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8"/>
      <c r="X7305" s="28"/>
      <c r="Y7305" s="28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28"/>
      <c r="AS7305" s="28"/>
      <c r="AT7305" s="28"/>
    </row>
    <row r="7306">
      <c r="A7306" s="14"/>
      <c r="B7306" s="15"/>
      <c r="C7306" s="16"/>
      <c r="D7306" s="15"/>
      <c r="F7306" s="15"/>
      <c r="G7306" s="26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8"/>
      <c r="X7306" s="28"/>
      <c r="Y7306" s="28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28"/>
      <c r="AS7306" s="28"/>
      <c r="AT7306" s="28"/>
    </row>
    <row r="7307">
      <c r="A7307" s="14"/>
      <c r="B7307" s="15"/>
      <c r="C7307" s="16"/>
      <c r="D7307" s="15"/>
      <c r="F7307" s="15"/>
      <c r="G7307" s="26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8"/>
      <c r="X7307" s="28"/>
      <c r="Y7307" s="28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28"/>
      <c r="AS7307" s="28"/>
      <c r="AT7307" s="28"/>
    </row>
    <row r="7308">
      <c r="A7308" s="14"/>
      <c r="B7308" s="15"/>
      <c r="C7308" s="16"/>
      <c r="D7308" s="15"/>
      <c r="F7308" s="15"/>
      <c r="G7308" s="26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8"/>
      <c r="X7308" s="28"/>
      <c r="Y7308" s="28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28"/>
      <c r="AS7308" s="28"/>
      <c r="AT7308" s="28"/>
    </row>
    <row r="7309">
      <c r="A7309" s="14"/>
      <c r="B7309" s="15"/>
      <c r="C7309" s="16"/>
      <c r="D7309" s="15"/>
      <c r="F7309" s="15"/>
      <c r="G7309" s="26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8"/>
      <c r="X7309" s="28"/>
      <c r="Y7309" s="28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28"/>
      <c r="AS7309" s="28"/>
      <c r="AT7309" s="28"/>
    </row>
    <row r="7310">
      <c r="A7310" s="14"/>
      <c r="B7310" s="15"/>
      <c r="C7310" s="16"/>
      <c r="D7310" s="15"/>
      <c r="F7310" s="15"/>
      <c r="G7310" s="26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8"/>
      <c r="X7310" s="28"/>
      <c r="Y7310" s="28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28"/>
      <c r="AS7310" s="28"/>
      <c r="AT7310" s="28"/>
    </row>
    <row r="7311">
      <c r="A7311" s="14"/>
      <c r="B7311" s="15"/>
      <c r="C7311" s="16"/>
      <c r="D7311" s="15"/>
      <c r="F7311" s="15"/>
      <c r="G7311" s="26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8"/>
      <c r="X7311" s="28"/>
      <c r="Y7311" s="28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28"/>
      <c r="AS7311" s="28"/>
      <c r="AT7311" s="28"/>
    </row>
    <row r="7312">
      <c r="A7312" s="14"/>
      <c r="B7312" s="15"/>
      <c r="C7312" s="16"/>
      <c r="D7312" s="15"/>
      <c r="F7312" s="15"/>
      <c r="G7312" s="26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8"/>
      <c r="X7312" s="28"/>
      <c r="Y7312" s="28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28"/>
      <c r="AS7312" s="28"/>
      <c r="AT7312" s="28"/>
    </row>
    <row r="7313">
      <c r="A7313" s="14"/>
      <c r="B7313" s="15"/>
      <c r="C7313" s="16"/>
      <c r="D7313" s="15"/>
      <c r="F7313" s="15"/>
      <c r="G7313" s="26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8"/>
      <c r="X7313" s="28"/>
      <c r="Y7313" s="28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28"/>
      <c r="AS7313" s="28"/>
      <c r="AT7313" s="28"/>
    </row>
    <row r="7314">
      <c r="A7314" s="14"/>
      <c r="B7314" s="15"/>
      <c r="C7314" s="16"/>
      <c r="D7314" s="15"/>
      <c r="F7314" s="15"/>
      <c r="G7314" s="26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8"/>
      <c r="X7314" s="28"/>
      <c r="Y7314" s="28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28"/>
      <c r="AS7314" s="28"/>
      <c r="AT7314" s="28"/>
    </row>
    <row r="7315">
      <c r="A7315" s="14"/>
      <c r="B7315" s="15"/>
      <c r="C7315" s="16"/>
      <c r="D7315" s="15"/>
      <c r="F7315" s="15"/>
      <c r="G7315" s="26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8"/>
      <c r="X7315" s="28"/>
      <c r="Y7315" s="28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28"/>
      <c r="AS7315" s="28"/>
      <c r="AT7315" s="28"/>
    </row>
    <row r="7316">
      <c r="A7316" s="14"/>
      <c r="B7316" s="15"/>
      <c r="C7316" s="16"/>
      <c r="D7316" s="15"/>
      <c r="F7316" s="15"/>
      <c r="G7316" s="26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8"/>
      <c r="X7316" s="28"/>
      <c r="Y7316" s="28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28"/>
      <c r="AS7316" s="28"/>
      <c r="AT7316" s="28"/>
    </row>
    <row r="7317">
      <c r="A7317" s="14"/>
      <c r="B7317" s="15"/>
      <c r="C7317" s="16"/>
      <c r="D7317" s="15"/>
      <c r="F7317" s="15"/>
      <c r="G7317" s="26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8"/>
      <c r="X7317" s="28"/>
      <c r="Y7317" s="28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28"/>
      <c r="AS7317" s="28"/>
      <c r="AT7317" s="28"/>
    </row>
    <row r="7318">
      <c r="A7318" s="14"/>
      <c r="B7318" s="15"/>
      <c r="C7318" s="16"/>
      <c r="D7318" s="15"/>
      <c r="F7318" s="15"/>
      <c r="G7318" s="26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8"/>
      <c r="X7318" s="28"/>
      <c r="Y7318" s="28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28"/>
      <c r="AS7318" s="28"/>
      <c r="AT7318" s="28"/>
    </row>
    <row r="7319">
      <c r="A7319" s="14"/>
      <c r="B7319" s="15"/>
      <c r="C7319" s="16"/>
      <c r="D7319" s="15"/>
      <c r="F7319" s="15"/>
      <c r="G7319" s="26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8"/>
      <c r="X7319" s="28"/>
      <c r="Y7319" s="28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28"/>
      <c r="AS7319" s="28"/>
      <c r="AT7319" s="28"/>
    </row>
    <row r="7320">
      <c r="A7320" s="14"/>
      <c r="B7320" s="15"/>
      <c r="C7320" s="16"/>
      <c r="D7320" s="15"/>
      <c r="F7320" s="15"/>
      <c r="G7320" s="26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8"/>
      <c r="X7320" s="28"/>
      <c r="Y7320" s="28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28"/>
      <c r="AS7320" s="28"/>
      <c r="AT7320" s="28"/>
    </row>
    <row r="7321">
      <c r="A7321" s="14"/>
      <c r="B7321" s="15"/>
      <c r="C7321" s="16"/>
      <c r="D7321" s="15"/>
      <c r="F7321" s="15"/>
      <c r="G7321" s="26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8"/>
      <c r="X7321" s="28"/>
      <c r="Y7321" s="28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28"/>
      <c r="AS7321" s="28"/>
      <c r="AT7321" s="28"/>
    </row>
    <row r="7322">
      <c r="A7322" s="14"/>
      <c r="B7322" s="15"/>
      <c r="C7322" s="16"/>
      <c r="D7322" s="15"/>
      <c r="F7322" s="15"/>
      <c r="G7322" s="26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8"/>
      <c r="X7322" s="28"/>
      <c r="Y7322" s="28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28"/>
      <c r="AS7322" s="28"/>
      <c r="AT7322" s="28"/>
    </row>
    <row r="7323">
      <c r="A7323" s="14"/>
      <c r="B7323" s="15"/>
      <c r="C7323" s="16"/>
      <c r="D7323" s="15"/>
      <c r="F7323" s="15"/>
      <c r="G7323" s="26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8"/>
      <c r="X7323" s="28"/>
      <c r="Y7323" s="28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28"/>
      <c r="AS7323" s="28"/>
      <c r="AT7323" s="28"/>
    </row>
    <row r="7324">
      <c r="A7324" s="14"/>
      <c r="B7324" s="15"/>
      <c r="C7324" s="16"/>
      <c r="D7324" s="15"/>
      <c r="F7324" s="15"/>
      <c r="G7324" s="26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8"/>
      <c r="X7324" s="28"/>
      <c r="Y7324" s="28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28"/>
      <c r="AS7324" s="28"/>
      <c r="AT7324" s="28"/>
    </row>
    <row r="7325">
      <c r="A7325" s="14"/>
      <c r="B7325" s="15"/>
      <c r="C7325" s="16"/>
      <c r="D7325" s="15"/>
      <c r="F7325" s="15"/>
      <c r="G7325" s="26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8"/>
      <c r="X7325" s="28"/>
      <c r="Y7325" s="28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28"/>
      <c r="AS7325" s="28"/>
      <c r="AT7325" s="28"/>
    </row>
    <row r="7326">
      <c r="A7326" s="14"/>
      <c r="B7326" s="15"/>
      <c r="C7326" s="16"/>
      <c r="D7326" s="15"/>
      <c r="F7326" s="15"/>
      <c r="G7326" s="26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8"/>
      <c r="X7326" s="28"/>
      <c r="Y7326" s="28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28"/>
      <c r="AS7326" s="28"/>
      <c r="AT7326" s="28"/>
    </row>
    <row r="7327">
      <c r="A7327" s="14"/>
      <c r="B7327" s="15"/>
      <c r="C7327" s="16"/>
      <c r="D7327" s="15"/>
      <c r="F7327" s="15"/>
      <c r="G7327" s="26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8"/>
      <c r="X7327" s="28"/>
      <c r="Y7327" s="28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28"/>
      <c r="AS7327" s="28"/>
      <c r="AT7327" s="28"/>
    </row>
    <row r="7328">
      <c r="A7328" s="14"/>
      <c r="B7328" s="15"/>
      <c r="C7328" s="16"/>
      <c r="D7328" s="15"/>
      <c r="F7328" s="15"/>
      <c r="G7328" s="26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8"/>
      <c r="X7328" s="28"/>
      <c r="Y7328" s="28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28"/>
      <c r="AS7328" s="28"/>
      <c r="AT7328" s="28"/>
    </row>
    <row r="7329">
      <c r="A7329" s="14"/>
      <c r="B7329" s="15"/>
      <c r="C7329" s="16"/>
      <c r="D7329" s="15"/>
      <c r="F7329" s="15"/>
      <c r="G7329" s="26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8"/>
      <c r="X7329" s="28"/>
      <c r="Y7329" s="28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28"/>
      <c r="AS7329" s="28"/>
      <c r="AT7329" s="28"/>
    </row>
    <row r="7330">
      <c r="A7330" s="14"/>
      <c r="B7330" s="15"/>
      <c r="C7330" s="16"/>
      <c r="D7330" s="15"/>
      <c r="F7330" s="15"/>
      <c r="G7330" s="26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8"/>
      <c r="X7330" s="28"/>
      <c r="Y7330" s="28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28"/>
      <c r="AS7330" s="28"/>
      <c r="AT7330" s="28"/>
    </row>
    <row r="7331">
      <c r="A7331" s="14"/>
      <c r="B7331" s="15"/>
      <c r="C7331" s="16"/>
      <c r="D7331" s="15"/>
      <c r="F7331" s="15"/>
      <c r="G7331" s="26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8"/>
      <c r="X7331" s="28"/>
      <c r="Y7331" s="28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28"/>
      <c r="AS7331" s="28"/>
      <c r="AT7331" s="28"/>
    </row>
    <row r="7332">
      <c r="A7332" s="14"/>
      <c r="B7332" s="15"/>
      <c r="C7332" s="16"/>
      <c r="D7332" s="15"/>
      <c r="F7332" s="15"/>
      <c r="G7332" s="26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8"/>
      <c r="X7332" s="28"/>
      <c r="Y7332" s="28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28"/>
      <c r="AS7332" s="28"/>
      <c r="AT7332" s="28"/>
    </row>
    <row r="7333">
      <c r="A7333" s="14"/>
      <c r="B7333" s="15"/>
      <c r="C7333" s="16"/>
      <c r="D7333" s="15"/>
      <c r="F7333" s="15"/>
      <c r="G7333" s="26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8"/>
      <c r="X7333" s="28"/>
      <c r="Y7333" s="28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28"/>
      <c r="AS7333" s="28"/>
      <c r="AT7333" s="28"/>
    </row>
    <row r="7334">
      <c r="A7334" s="14"/>
      <c r="B7334" s="15"/>
      <c r="C7334" s="16"/>
      <c r="D7334" s="15"/>
      <c r="F7334" s="15"/>
      <c r="G7334" s="26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8"/>
      <c r="X7334" s="28"/>
      <c r="Y7334" s="28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28"/>
      <c r="AS7334" s="28"/>
      <c r="AT7334" s="28"/>
    </row>
    <row r="7335">
      <c r="A7335" s="14"/>
      <c r="B7335" s="15"/>
      <c r="C7335" s="16"/>
      <c r="D7335" s="15"/>
      <c r="F7335" s="15"/>
      <c r="G7335" s="26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8"/>
      <c r="X7335" s="28"/>
      <c r="Y7335" s="28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28"/>
      <c r="AS7335" s="28"/>
      <c r="AT7335" s="28"/>
    </row>
    <row r="7336">
      <c r="A7336" s="14"/>
      <c r="B7336" s="15"/>
      <c r="C7336" s="16"/>
      <c r="D7336" s="15"/>
      <c r="F7336" s="15"/>
      <c r="G7336" s="26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8"/>
      <c r="X7336" s="28"/>
      <c r="Y7336" s="28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28"/>
      <c r="AS7336" s="28"/>
      <c r="AT7336" s="28"/>
    </row>
    <row r="7337">
      <c r="A7337" s="14"/>
      <c r="B7337" s="15"/>
      <c r="C7337" s="16"/>
      <c r="D7337" s="15"/>
      <c r="F7337" s="15"/>
      <c r="G7337" s="26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8"/>
      <c r="X7337" s="28"/>
      <c r="Y7337" s="28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28"/>
      <c r="AS7337" s="28"/>
      <c r="AT7337" s="28"/>
    </row>
    <row r="7338">
      <c r="A7338" s="14"/>
      <c r="B7338" s="15"/>
      <c r="C7338" s="16"/>
      <c r="D7338" s="15"/>
      <c r="F7338" s="15"/>
      <c r="G7338" s="26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8"/>
      <c r="X7338" s="28"/>
      <c r="Y7338" s="28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28"/>
      <c r="AS7338" s="28"/>
      <c r="AT7338" s="28"/>
    </row>
    <row r="7339">
      <c r="A7339" s="14"/>
      <c r="B7339" s="15"/>
      <c r="C7339" s="16"/>
      <c r="D7339" s="15"/>
      <c r="F7339" s="15"/>
      <c r="G7339" s="26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8"/>
      <c r="X7339" s="28"/>
      <c r="Y7339" s="28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28"/>
      <c r="AS7339" s="28"/>
      <c r="AT7339" s="28"/>
    </row>
    <row r="7340">
      <c r="A7340" s="14"/>
      <c r="B7340" s="15"/>
      <c r="C7340" s="16"/>
      <c r="D7340" s="15"/>
      <c r="F7340" s="15"/>
      <c r="G7340" s="26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8"/>
      <c r="X7340" s="28"/>
      <c r="Y7340" s="28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28"/>
      <c r="AS7340" s="28"/>
      <c r="AT7340" s="28"/>
    </row>
    <row r="7341">
      <c r="A7341" s="14"/>
      <c r="B7341" s="15"/>
      <c r="C7341" s="16"/>
      <c r="D7341" s="15"/>
      <c r="F7341" s="15"/>
      <c r="G7341" s="26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8"/>
      <c r="X7341" s="28"/>
      <c r="Y7341" s="28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28"/>
      <c r="AS7341" s="28"/>
      <c r="AT7341" s="28"/>
    </row>
    <row r="7342">
      <c r="A7342" s="14"/>
      <c r="B7342" s="15"/>
      <c r="C7342" s="16"/>
      <c r="D7342" s="15"/>
      <c r="F7342" s="15"/>
      <c r="G7342" s="26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8"/>
      <c r="X7342" s="28"/>
      <c r="Y7342" s="28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28"/>
      <c r="AS7342" s="28"/>
      <c r="AT7342" s="28"/>
    </row>
    <row r="7343">
      <c r="A7343" s="14"/>
      <c r="B7343" s="15"/>
      <c r="C7343" s="16"/>
      <c r="D7343" s="15"/>
      <c r="F7343" s="15"/>
      <c r="G7343" s="26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8"/>
      <c r="X7343" s="28"/>
      <c r="Y7343" s="28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28"/>
      <c r="AS7343" s="28"/>
      <c r="AT7343" s="28"/>
    </row>
    <row r="7344">
      <c r="A7344" s="14"/>
      <c r="B7344" s="15"/>
      <c r="C7344" s="16"/>
      <c r="D7344" s="15"/>
      <c r="F7344" s="15"/>
      <c r="G7344" s="26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8"/>
      <c r="X7344" s="28"/>
      <c r="Y7344" s="28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28"/>
      <c r="AS7344" s="28"/>
      <c r="AT7344" s="28"/>
    </row>
    <row r="7345">
      <c r="A7345" s="14"/>
      <c r="B7345" s="15"/>
      <c r="C7345" s="16"/>
      <c r="D7345" s="15"/>
      <c r="F7345" s="15"/>
      <c r="G7345" s="26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8"/>
      <c r="X7345" s="28"/>
      <c r="Y7345" s="28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28"/>
      <c r="AS7345" s="28"/>
      <c r="AT7345" s="28"/>
    </row>
    <row r="7346">
      <c r="A7346" s="14"/>
      <c r="B7346" s="15"/>
      <c r="C7346" s="16"/>
      <c r="D7346" s="15"/>
      <c r="F7346" s="15"/>
      <c r="G7346" s="26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8"/>
      <c r="X7346" s="28"/>
      <c r="Y7346" s="28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28"/>
      <c r="AS7346" s="28"/>
      <c r="AT7346" s="28"/>
    </row>
    <row r="7347">
      <c r="A7347" s="14"/>
      <c r="B7347" s="15"/>
      <c r="C7347" s="16"/>
      <c r="D7347" s="15"/>
      <c r="F7347" s="15"/>
      <c r="G7347" s="26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8"/>
      <c r="X7347" s="28"/>
      <c r="Y7347" s="28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28"/>
      <c r="AS7347" s="28"/>
      <c r="AT7347" s="28"/>
    </row>
    <row r="7348">
      <c r="A7348" s="14"/>
      <c r="B7348" s="15"/>
      <c r="C7348" s="16"/>
      <c r="D7348" s="15"/>
      <c r="F7348" s="15"/>
      <c r="G7348" s="26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8"/>
      <c r="X7348" s="28"/>
      <c r="Y7348" s="28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28"/>
      <c r="AS7348" s="28"/>
      <c r="AT7348" s="28"/>
    </row>
    <row r="7349">
      <c r="A7349" s="14"/>
      <c r="B7349" s="15"/>
      <c r="C7349" s="16"/>
      <c r="D7349" s="15"/>
      <c r="F7349" s="15"/>
      <c r="G7349" s="26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8"/>
      <c r="X7349" s="28"/>
      <c r="Y7349" s="28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28"/>
      <c r="AS7349" s="28"/>
      <c r="AT7349" s="28"/>
    </row>
    <row r="7350">
      <c r="A7350" s="14"/>
      <c r="B7350" s="15"/>
      <c r="C7350" s="16"/>
      <c r="D7350" s="15"/>
      <c r="F7350" s="15"/>
      <c r="G7350" s="26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8"/>
      <c r="X7350" s="28"/>
      <c r="Y7350" s="28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28"/>
      <c r="AS7350" s="28"/>
      <c r="AT7350" s="28"/>
    </row>
    <row r="7351">
      <c r="A7351" s="14"/>
      <c r="B7351" s="15"/>
      <c r="C7351" s="16"/>
      <c r="D7351" s="15"/>
      <c r="F7351" s="15"/>
      <c r="G7351" s="26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8"/>
      <c r="X7351" s="28"/>
      <c r="Y7351" s="28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28"/>
      <c r="AS7351" s="28"/>
      <c r="AT7351" s="28"/>
    </row>
    <row r="7352">
      <c r="A7352" s="14"/>
      <c r="B7352" s="15"/>
      <c r="C7352" s="16"/>
      <c r="D7352" s="15"/>
      <c r="F7352" s="15"/>
      <c r="G7352" s="26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8"/>
      <c r="X7352" s="28"/>
      <c r="Y7352" s="28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28"/>
      <c r="AS7352" s="28"/>
      <c r="AT7352" s="28"/>
    </row>
    <row r="7353">
      <c r="A7353" s="14"/>
      <c r="B7353" s="15"/>
      <c r="C7353" s="16"/>
      <c r="D7353" s="15"/>
      <c r="F7353" s="15"/>
      <c r="G7353" s="26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8"/>
      <c r="X7353" s="28"/>
      <c r="Y7353" s="28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28"/>
      <c r="AS7353" s="28"/>
      <c r="AT7353" s="28"/>
    </row>
    <row r="7354">
      <c r="A7354" s="14"/>
      <c r="B7354" s="15"/>
      <c r="C7354" s="16"/>
      <c r="D7354" s="15"/>
      <c r="F7354" s="15"/>
      <c r="G7354" s="26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8"/>
      <c r="X7354" s="28"/>
      <c r="Y7354" s="28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28"/>
      <c r="AS7354" s="28"/>
      <c r="AT7354" s="28"/>
    </row>
    <row r="7355">
      <c r="A7355" s="14"/>
      <c r="B7355" s="15"/>
      <c r="C7355" s="16"/>
      <c r="D7355" s="15"/>
      <c r="F7355" s="15"/>
      <c r="G7355" s="26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8"/>
      <c r="X7355" s="28"/>
      <c r="Y7355" s="28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28"/>
      <c r="AS7355" s="28"/>
      <c r="AT7355" s="28"/>
    </row>
    <row r="7356">
      <c r="A7356" s="14"/>
      <c r="B7356" s="15"/>
      <c r="C7356" s="16"/>
      <c r="D7356" s="15"/>
      <c r="F7356" s="15"/>
      <c r="G7356" s="26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8"/>
      <c r="X7356" s="28"/>
      <c r="Y7356" s="28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28"/>
      <c r="AS7356" s="28"/>
      <c r="AT7356" s="28"/>
    </row>
    <row r="7357">
      <c r="A7357" s="14"/>
      <c r="B7357" s="15"/>
      <c r="C7357" s="16"/>
      <c r="D7357" s="15"/>
      <c r="F7357" s="15"/>
      <c r="G7357" s="26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8"/>
      <c r="X7357" s="28"/>
      <c r="Y7357" s="28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28"/>
      <c r="AS7357" s="28"/>
      <c r="AT7357" s="28"/>
    </row>
    <row r="7358">
      <c r="A7358" s="14"/>
      <c r="B7358" s="15"/>
      <c r="C7358" s="16"/>
      <c r="D7358" s="15"/>
      <c r="F7358" s="15"/>
      <c r="G7358" s="26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8"/>
      <c r="X7358" s="28"/>
      <c r="Y7358" s="28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28"/>
      <c r="AS7358" s="28"/>
      <c r="AT7358" s="28"/>
    </row>
    <row r="7359">
      <c r="A7359" s="14"/>
      <c r="B7359" s="15"/>
      <c r="C7359" s="16"/>
      <c r="D7359" s="15"/>
      <c r="F7359" s="15"/>
      <c r="G7359" s="26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8"/>
      <c r="X7359" s="28"/>
      <c r="Y7359" s="28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28"/>
      <c r="AS7359" s="28"/>
      <c r="AT7359" s="28"/>
    </row>
    <row r="7360">
      <c r="A7360" s="14"/>
      <c r="B7360" s="15"/>
      <c r="C7360" s="16"/>
      <c r="D7360" s="15"/>
      <c r="F7360" s="15"/>
      <c r="G7360" s="26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8"/>
      <c r="X7360" s="28"/>
      <c r="Y7360" s="28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28"/>
      <c r="AS7360" s="28"/>
      <c r="AT7360" s="28"/>
    </row>
    <row r="7361">
      <c r="A7361" s="14"/>
      <c r="B7361" s="15"/>
      <c r="C7361" s="16"/>
      <c r="D7361" s="15"/>
      <c r="F7361" s="15"/>
      <c r="G7361" s="26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8"/>
      <c r="X7361" s="28"/>
      <c r="Y7361" s="28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28"/>
      <c r="AS7361" s="28"/>
      <c r="AT7361" s="28"/>
    </row>
    <row r="7362">
      <c r="A7362" s="14"/>
      <c r="B7362" s="15"/>
      <c r="C7362" s="16"/>
      <c r="D7362" s="15"/>
      <c r="F7362" s="15"/>
      <c r="G7362" s="26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8"/>
      <c r="X7362" s="28"/>
      <c r="Y7362" s="28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28"/>
      <c r="AS7362" s="28"/>
      <c r="AT7362" s="28"/>
    </row>
    <row r="7363">
      <c r="A7363" s="14"/>
      <c r="B7363" s="15"/>
      <c r="C7363" s="16"/>
      <c r="D7363" s="15"/>
      <c r="F7363" s="15"/>
      <c r="G7363" s="26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8"/>
      <c r="X7363" s="28"/>
      <c r="Y7363" s="28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28"/>
      <c r="AS7363" s="28"/>
      <c r="AT7363" s="28"/>
    </row>
    <row r="7364">
      <c r="A7364" s="14"/>
      <c r="B7364" s="15"/>
      <c r="C7364" s="16"/>
      <c r="D7364" s="15"/>
      <c r="F7364" s="15"/>
      <c r="G7364" s="26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8"/>
      <c r="X7364" s="28"/>
      <c r="Y7364" s="28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28"/>
      <c r="AS7364" s="28"/>
      <c r="AT7364" s="28"/>
    </row>
    <row r="7365">
      <c r="A7365" s="14"/>
      <c r="B7365" s="15"/>
      <c r="C7365" s="16"/>
      <c r="D7365" s="15"/>
      <c r="F7365" s="15"/>
      <c r="G7365" s="26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8"/>
      <c r="X7365" s="28"/>
      <c r="Y7365" s="28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28"/>
      <c r="AS7365" s="28"/>
      <c r="AT7365" s="28"/>
    </row>
    <row r="7366">
      <c r="A7366" s="14"/>
      <c r="B7366" s="15"/>
      <c r="C7366" s="16"/>
      <c r="D7366" s="15"/>
      <c r="F7366" s="15"/>
      <c r="G7366" s="26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8"/>
      <c r="X7366" s="28"/>
      <c r="Y7366" s="28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28"/>
      <c r="AS7366" s="28"/>
      <c r="AT7366" s="28"/>
    </row>
    <row r="7367">
      <c r="A7367" s="14"/>
      <c r="B7367" s="15"/>
      <c r="C7367" s="16"/>
      <c r="D7367" s="15"/>
      <c r="F7367" s="15"/>
      <c r="G7367" s="26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8"/>
      <c r="X7367" s="28"/>
      <c r="Y7367" s="28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28"/>
      <c r="AS7367" s="28"/>
      <c r="AT7367" s="28"/>
    </row>
    <row r="7368">
      <c r="A7368" s="14"/>
      <c r="B7368" s="15"/>
      <c r="C7368" s="16"/>
      <c r="D7368" s="15"/>
      <c r="F7368" s="15"/>
      <c r="G7368" s="26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8"/>
      <c r="X7368" s="28"/>
      <c r="Y7368" s="28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28"/>
      <c r="AS7368" s="28"/>
      <c r="AT7368" s="28"/>
    </row>
    <row r="7369">
      <c r="A7369" s="14"/>
      <c r="B7369" s="15"/>
      <c r="C7369" s="16"/>
      <c r="D7369" s="15"/>
      <c r="F7369" s="15"/>
      <c r="G7369" s="26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8"/>
      <c r="X7369" s="28"/>
      <c r="Y7369" s="28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28"/>
      <c r="AS7369" s="28"/>
      <c r="AT7369" s="28"/>
    </row>
    <row r="7370">
      <c r="A7370" s="14"/>
      <c r="B7370" s="15"/>
      <c r="C7370" s="16"/>
      <c r="D7370" s="15"/>
      <c r="F7370" s="15"/>
      <c r="G7370" s="26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8"/>
      <c r="X7370" s="28"/>
      <c r="Y7370" s="28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28"/>
      <c r="AS7370" s="28"/>
      <c r="AT7370" s="28"/>
    </row>
    <row r="7371">
      <c r="A7371" s="14"/>
      <c r="B7371" s="15"/>
      <c r="C7371" s="16"/>
      <c r="D7371" s="15"/>
      <c r="F7371" s="15"/>
      <c r="G7371" s="26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8"/>
      <c r="X7371" s="28"/>
      <c r="Y7371" s="28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28"/>
      <c r="AS7371" s="28"/>
      <c r="AT7371" s="28"/>
    </row>
    <row r="7372">
      <c r="A7372" s="14"/>
      <c r="B7372" s="15"/>
      <c r="C7372" s="16"/>
      <c r="D7372" s="15"/>
      <c r="F7372" s="15"/>
      <c r="G7372" s="26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8"/>
      <c r="X7372" s="28"/>
      <c r="Y7372" s="28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28"/>
      <c r="AS7372" s="28"/>
      <c r="AT7372" s="28"/>
    </row>
    <row r="7373">
      <c r="A7373" s="14"/>
      <c r="B7373" s="15"/>
      <c r="C7373" s="16"/>
      <c r="D7373" s="15"/>
      <c r="F7373" s="15"/>
      <c r="G7373" s="26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8"/>
      <c r="X7373" s="28"/>
      <c r="Y7373" s="28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28"/>
      <c r="AS7373" s="28"/>
      <c r="AT7373" s="28"/>
    </row>
    <row r="7374">
      <c r="A7374" s="14"/>
      <c r="B7374" s="15"/>
      <c r="C7374" s="16"/>
      <c r="D7374" s="15"/>
      <c r="F7374" s="15"/>
      <c r="G7374" s="26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8"/>
      <c r="X7374" s="28"/>
      <c r="Y7374" s="28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28"/>
      <c r="AS7374" s="28"/>
      <c r="AT7374" s="28"/>
    </row>
    <row r="7375">
      <c r="A7375" s="14"/>
      <c r="B7375" s="15"/>
      <c r="C7375" s="16"/>
      <c r="D7375" s="15"/>
      <c r="F7375" s="15"/>
      <c r="G7375" s="26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8"/>
      <c r="X7375" s="28"/>
      <c r="Y7375" s="28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28"/>
      <c r="AS7375" s="28"/>
      <c r="AT7375" s="28"/>
    </row>
    <row r="7376">
      <c r="A7376" s="14"/>
      <c r="B7376" s="15"/>
      <c r="C7376" s="16"/>
      <c r="D7376" s="15"/>
      <c r="F7376" s="15"/>
      <c r="G7376" s="26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8"/>
      <c r="X7376" s="28"/>
      <c r="Y7376" s="28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28"/>
      <c r="AS7376" s="28"/>
      <c r="AT7376" s="28"/>
    </row>
    <row r="7377">
      <c r="A7377" s="14"/>
      <c r="B7377" s="15"/>
      <c r="C7377" s="16"/>
      <c r="D7377" s="15"/>
      <c r="F7377" s="15"/>
      <c r="G7377" s="26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8"/>
      <c r="X7377" s="28"/>
      <c r="Y7377" s="28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28"/>
      <c r="AS7377" s="28"/>
      <c r="AT7377" s="28"/>
    </row>
    <row r="7378">
      <c r="A7378" s="14"/>
      <c r="B7378" s="15"/>
      <c r="C7378" s="16"/>
      <c r="D7378" s="15"/>
      <c r="F7378" s="15"/>
      <c r="G7378" s="26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8"/>
      <c r="X7378" s="28"/>
      <c r="Y7378" s="28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28"/>
      <c r="AS7378" s="28"/>
      <c r="AT7378" s="28"/>
    </row>
    <row r="7379">
      <c r="A7379" s="14"/>
      <c r="B7379" s="15"/>
      <c r="C7379" s="16"/>
      <c r="D7379" s="15"/>
      <c r="F7379" s="15"/>
      <c r="G7379" s="26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8"/>
      <c r="X7379" s="28"/>
      <c r="Y7379" s="28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28"/>
      <c r="AS7379" s="28"/>
      <c r="AT7379" s="28"/>
    </row>
    <row r="7380">
      <c r="A7380" s="14"/>
      <c r="B7380" s="15"/>
      <c r="C7380" s="16"/>
      <c r="D7380" s="15"/>
      <c r="F7380" s="15"/>
      <c r="G7380" s="26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8"/>
      <c r="X7380" s="28"/>
      <c r="Y7380" s="28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28"/>
      <c r="AS7380" s="28"/>
      <c r="AT7380" s="28"/>
    </row>
    <row r="7381">
      <c r="A7381" s="14"/>
      <c r="B7381" s="15"/>
      <c r="C7381" s="16"/>
      <c r="D7381" s="15"/>
      <c r="F7381" s="15"/>
      <c r="G7381" s="26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8"/>
      <c r="X7381" s="28"/>
      <c r="Y7381" s="28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28"/>
      <c r="AS7381" s="28"/>
      <c r="AT7381" s="28"/>
    </row>
    <row r="7382">
      <c r="A7382" s="14"/>
      <c r="B7382" s="15"/>
      <c r="C7382" s="16"/>
      <c r="D7382" s="15"/>
      <c r="F7382" s="15"/>
      <c r="G7382" s="26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8"/>
      <c r="X7382" s="28"/>
      <c r="Y7382" s="28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28"/>
      <c r="AS7382" s="28"/>
      <c r="AT7382" s="28"/>
    </row>
    <row r="7383">
      <c r="A7383" s="14"/>
      <c r="B7383" s="15"/>
      <c r="C7383" s="16"/>
      <c r="D7383" s="15"/>
      <c r="F7383" s="15"/>
      <c r="G7383" s="26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8"/>
      <c r="X7383" s="28"/>
      <c r="Y7383" s="28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28"/>
      <c r="AS7383" s="28"/>
      <c r="AT7383" s="28"/>
    </row>
    <row r="7384">
      <c r="A7384" s="14"/>
      <c r="B7384" s="15"/>
      <c r="C7384" s="16"/>
      <c r="D7384" s="15"/>
      <c r="F7384" s="15"/>
      <c r="G7384" s="26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8"/>
      <c r="X7384" s="28"/>
      <c r="Y7384" s="28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28"/>
      <c r="AS7384" s="28"/>
      <c r="AT7384" s="28"/>
    </row>
    <row r="7385">
      <c r="A7385" s="14"/>
      <c r="B7385" s="15"/>
      <c r="C7385" s="16"/>
      <c r="D7385" s="15"/>
      <c r="F7385" s="15"/>
      <c r="G7385" s="26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8"/>
      <c r="X7385" s="28"/>
      <c r="Y7385" s="28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28"/>
      <c r="AS7385" s="28"/>
      <c r="AT7385" s="28"/>
    </row>
    <row r="7386">
      <c r="A7386" s="14"/>
      <c r="B7386" s="15"/>
      <c r="C7386" s="16"/>
      <c r="D7386" s="15"/>
      <c r="F7386" s="15"/>
      <c r="G7386" s="26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8"/>
      <c r="X7386" s="28"/>
      <c r="Y7386" s="28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28"/>
      <c r="AS7386" s="28"/>
      <c r="AT7386" s="28"/>
    </row>
    <row r="7387">
      <c r="A7387" s="14"/>
      <c r="B7387" s="15"/>
      <c r="C7387" s="16"/>
      <c r="D7387" s="15"/>
      <c r="F7387" s="15"/>
      <c r="G7387" s="26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8"/>
      <c r="X7387" s="28"/>
      <c r="Y7387" s="28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28"/>
      <c r="AS7387" s="28"/>
      <c r="AT7387" s="28"/>
    </row>
    <row r="7388">
      <c r="A7388" s="14"/>
      <c r="B7388" s="15"/>
      <c r="C7388" s="16"/>
      <c r="D7388" s="15"/>
      <c r="F7388" s="15"/>
      <c r="G7388" s="26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8"/>
      <c r="X7388" s="28"/>
      <c r="Y7388" s="28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28"/>
      <c r="AS7388" s="28"/>
      <c r="AT7388" s="28"/>
    </row>
    <row r="7389">
      <c r="A7389" s="14"/>
      <c r="B7389" s="15"/>
      <c r="C7389" s="16"/>
      <c r="D7389" s="15"/>
      <c r="F7389" s="15"/>
      <c r="G7389" s="26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8"/>
      <c r="X7389" s="28"/>
      <c r="Y7389" s="28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28"/>
      <c r="AS7389" s="28"/>
      <c r="AT7389" s="28"/>
    </row>
    <row r="7390">
      <c r="A7390" s="14"/>
      <c r="B7390" s="15"/>
      <c r="C7390" s="16"/>
      <c r="D7390" s="15"/>
      <c r="F7390" s="15"/>
      <c r="G7390" s="26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8"/>
      <c r="X7390" s="28"/>
      <c r="Y7390" s="28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28"/>
      <c r="AS7390" s="28"/>
      <c r="AT7390" s="28"/>
    </row>
    <row r="7391">
      <c r="A7391" s="14"/>
      <c r="B7391" s="15"/>
      <c r="C7391" s="16"/>
      <c r="D7391" s="15"/>
      <c r="F7391" s="15"/>
      <c r="G7391" s="26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8"/>
      <c r="X7391" s="28"/>
      <c r="Y7391" s="28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28"/>
      <c r="AS7391" s="28"/>
      <c r="AT7391" s="28"/>
    </row>
    <row r="7392">
      <c r="A7392" s="14"/>
      <c r="B7392" s="15"/>
      <c r="C7392" s="16"/>
      <c r="D7392" s="15"/>
      <c r="F7392" s="15"/>
      <c r="G7392" s="26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8"/>
      <c r="X7392" s="28"/>
      <c r="Y7392" s="28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28"/>
      <c r="AS7392" s="28"/>
      <c r="AT7392" s="28"/>
    </row>
    <row r="7393">
      <c r="A7393" s="14"/>
      <c r="B7393" s="15"/>
      <c r="C7393" s="16"/>
      <c r="D7393" s="15"/>
      <c r="F7393" s="15"/>
      <c r="G7393" s="26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8"/>
      <c r="X7393" s="28"/>
      <c r="Y7393" s="28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28"/>
      <c r="AS7393" s="28"/>
      <c r="AT7393" s="28"/>
    </row>
    <row r="7394">
      <c r="A7394" s="14"/>
      <c r="B7394" s="15"/>
      <c r="C7394" s="16"/>
      <c r="D7394" s="15"/>
      <c r="F7394" s="15"/>
      <c r="G7394" s="26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8"/>
      <c r="X7394" s="28"/>
      <c r="Y7394" s="28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28"/>
      <c r="AS7394" s="28"/>
      <c r="AT7394" s="28"/>
    </row>
    <row r="7395">
      <c r="A7395" s="14"/>
      <c r="B7395" s="15"/>
      <c r="C7395" s="16"/>
      <c r="D7395" s="15"/>
      <c r="F7395" s="15"/>
      <c r="G7395" s="26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8"/>
      <c r="X7395" s="28"/>
      <c r="Y7395" s="28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28"/>
      <c r="AS7395" s="28"/>
      <c r="AT7395" s="28"/>
    </row>
    <row r="7396">
      <c r="A7396" s="14"/>
      <c r="B7396" s="15"/>
      <c r="C7396" s="16"/>
      <c r="D7396" s="15"/>
      <c r="F7396" s="15"/>
      <c r="G7396" s="26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8"/>
      <c r="X7396" s="28"/>
      <c r="Y7396" s="28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28"/>
      <c r="AS7396" s="28"/>
      <c r="AT7396" s="28"/>
    </row>
    <row r="7397">
      <c r="A7397" s="14"/>
      <c r="B7397" s="15"/>
      <c r="C7397" s="16"/>
      <c r="D7397" s="15"/>
      <c r="F7397" s="15"/>
      <c r="G7397" s="26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8"/>
      <c r="X7397" s="28"/>
      <c r="Y7397" s="28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28"/>
      <c r="AS7397" s="28"/>
      <c r="AT7397" s="28"/>
    </row>
    <row r="7398">
      <c r="A7398" s="14"/>
      <c r="B7398" s="15"/>
      <c r="C7398" s="16"/>
      <c r="D7398" s="15"/>
      <c r="F7398" s="15"/>
      <c r="G7398" s="26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8"/>
      <c r="X7398" s="28"/>
      <c r="Y7398" s="28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28"/>
      <c r="AS7398" s="28"/>
      <c r="AT7398" s="28"/>
    </row>
    <row r="7399">
      <c r="A7399" s="14"/>
      <c r="B7399" s="15"/>
      <c r="C7399" s="16"/>
      <c r="D7399" s="15"/>
      <c r="F7399" s="15"/>
      <c r="G7399" s="26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8"/>
      <c r="X7399" s="28"/>
      <c r="Y7399" s="28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28"/>
      <c r="AS7399" s="28"/>
      <c r="AT7399" s="28"/>
    </row>
    <row r="7400">
      <c r="A7400" s="14"/>
      <c r="B7400" s="15"/>
      <c r="C7400" s="16"/>
      <c r="D7400" s="15"/>
      <c r="F7400" s="15"/>
      <c r="G7400" s="26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8"/>
      <c r="X7400" s="28"/>
      <c r="Y7400" s="28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28"/>
      <c r="AS7400" s="28"/>
      <c r="AT7400" s="28"/>
    </row>
    <row r="7401">
      <c r="A7401" s="14"/>
      <c r="B7401" s="15"/>
      <c r="C7401" s="16"/>
      <c r="D7401" s="15"/>
      <c r="F7401" s="15"/>
      <c r="G7401" s="26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8"/>
      <c r="X7401" s="28"/>
      <c r="Y7401" s="28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28"/>
      <c r="AS7401" s="28"/>
      <c r="AT7401" s="28"/>
    </row>
    <row r="7402">
      <c r="A7402" s="14"/>
      <c r="B7402" s="15"/>
      <c r="C7402" s="16"/>
      <c r="D7402" s="15"/>
      <c r="F7402" s="15"/>
      <c r="G7402" s="26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8"/>
      <c r="X7402" s="28"/>
      <c r="Y7402" s="28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28"/>
      <c r="AS7402" s="28"/>
      <c r="AT7402" s="28"/>
    </row>
    <row r="7403">
      <c r="A7403" s="14"/>
      <c r="B7403" s="15"/>
      <c r="C7403" s="16"/>
      <c r="D7403" s="15"/>
      <c r="F7403" s="15"/>
      <c r="G7403" s="26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8"/>
      <c r="X7403" s="28"/>
      <c r="Y7403" s="28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28"/>
      <c r="AS7403" s="28"/>
      <c r="AT7403" s="28"/>
    </row>
    <row r="7404">
      <c r="A7404" s="14"/>
      <c r="B7404" s="15"/>
      <c r="C7404" s="16"/>
      <c r="D7404" s="15"/>
      <c r="F7404" s="15"/>
      <c r="G7404" s="26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8"/>
      <c r="X7404" s="28"/>
      <c r="Y7404" s="28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28"/>
      <c r="AS7404" s="28"/>
      <c r="AT7404" s="28"/>
    </row>
    <row r="7405">
      <c r="A7405" s="14"/>
      <c r="B7405" s="15"/>
      <c r="C7405" s="16"/>
      <c r="D7405" s="15"/>
      <c r="F7405" s="15"/>
      <c r="G7405" s="26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8"/>
      <c r="X7405" s="28"/>
      <c r="Y7405" s="28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28"/>
      <c r="AS7405" s="28"/>
      <c r="AT7405" s="28"/>
    </row>
    <row r="7406">
      <c r="A7406" s="14"/>
      <c r="B7406" s="15"/>
      <c r="C7406" s="16"/>
      <c r="D7406" s="15"/>
      <c r="F7406" s="15"/>
      <c r="G7406" s="26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8"/>
      <c r="X7406" s="28"/>
      <c r="Y7406" s="28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28"/>
      <c r="AS7406" s="28"/>
      <c r="AT7406" s="28"/>
    </row>
    <row r="7407">
      <c r="A7407" s="14"/>
      <c r="B7407" s="15"/>
      <c r="C7407" s="16"/>
      <c r="D7407" s="15"/>
      <c r="F7407" s="15"/>
      <c r="G7407" s="26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8"/>
      <c r="X7407" s="28"/>
      <c r="Y7407" s="28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28"/>
      <c r="AS7407" s="28"/>
      <c r="AT7407" s="28"/>
    </row>
    <row r="7408">
      <c r="A7408" s="14"/>
      <c r="B7408" s="15"/>
      <c r="C7408" s="16"/>
      <c r="D7408" s="15"/>
      <c r="F7408" s="15"/>
      <c r="G7408" s="26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8"/>
      <c r="X7408" s="28"/>
      <c r="Y7408" s="28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28"/>
      <c r="AS7408" s="28"/>
      <c r="AT7408" s="28"/>
    </row>
    <row r="7409">
      <c r="A7409" s="14"/>
      <c r="B7409" s="15"/>
      <c r="C7409" s="16"/>
      <c r="D7409" s="15"/>
      <c r="F7409" s="15"/>
      <c r="G7409" s="26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8"/>
      <c r="X7409" s="28"/>
      <c r="Y7409" s="28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28"/>
      <c r="AS7409" s="28"/>
      <c r="AT7409" s="28"/>
    </row>
    <row r="7410">
      <c r="A7410" s="14"/>
      <c r="B7410" s="15"/>
      <c r="C7410" s="16"/>
      <c r="D7410" s="15"/>
      <c r="F7410" s="15"/>
      <c r="G7410" s="26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8"/>
      <c r="X7410" s="28"/>
      <c r="Y7410" s="28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28"/>
      <c r="AS7410" s="28"/>
      <c r="AT7410" s="28"/>
    </row>
    <row r="7411">
      <c r="A7411" s="14"/>
      <c r="B7411" s="15"/>
      <c r="C7411" s="16"/>
      <c r="D7411" s="15"/>
      <c r="F7411" s="15"/>
      <c r="G7411" s="26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8"/>
      <c r="X7411" s="28"/>
      <c r="Y7411" s="28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28"/>
      <c r="AS7411" s="28"/>
      <c r="AT7411" s="28"/>
    </row>
    <row r="7412">
      <c r="A7412" s="14"/>
      <c r="B7412" s="15"/>
      <c r="C7412" s="16"/>
      <c r="D7412" s="15"/>
      <c r="F7412" s="15"/>
      <c r="G7412" s="26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8"/>
      <c r="X7412" s="28"/>
      <c r="Y7412" s="28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28"/>
      <c r="AS7412" s="28"/>
      <c r="AT7412" s="28"/>
    </row>
    <row r="7413">
      <c r="A7413" s="14"/>
      <c r="B7413" s="15"/>
      <c r="C7413" s="16"/>
      <c r="D7413" s="15"/>
      <c r="F7413" s="15"/>
      <c r="G7413" s="26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8"/>
      <c r="X7413" s="28"/>
      <c r="Y7413" s="28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28"/>
      <c r="AS7413" s="28"/>
      <c r="AT7413" s="28"/>
    </row>
    <row r="7414">
      <c r="A7414" s="14"/>
      <c r="B7414" s="15"/>
      <c r="C7414" s="16"/>
      <c r="D7414" s="15"/>
      <c r="F7414" s="15"/>
      <c r="G7414" s="26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8"/>
      <c r="X7414" s="28"/>
      <c r="Y7414" s="28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28"/>
      <c r="AS7414" s="28"/>
      <c r="AT7414" s="28"/>
    </row>
    <row r="7415">
      <c r="A7415" s="14"/>
      <c r="B7415" s="15"/>
      <c r="C7415" s="16"/>
      <c r="D7415" s="15"/>
      <c r="F7415" s="15"/>
      <c r="G7415" s="26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8"/>
      <c r="X7415" s="28"/>
      <c r="Y7415" s="28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28"/>
      <c r="AS7415" s="28"/>
      <c r="AT7415" s="28"/>
    </row>
    <row r="7416">
      <c r="A7416" s="14"/>
      <c r="B7416" s="15"/>
      <c r="C7416" s="16"/>
      <c r="D7416" s="15"/>
      <c r="F7416" s="15"/>
      <c r="G7416" s="26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8"/>
      <c r="X7416" s="28"/>
      <c r="Y7416" s="28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28"/>
      <c r="AS7416" s="28"/>
      <c r="AT7416" s="28"/>
    </row>
    <row r="7417">
      <c r="A7417" s="14"/>
      <c r="B7417" s="15"/>
      <c r="C7417" s="16"/>
      <c r="D7417" s="15"/>
      <c r="F7417" s="15"/>
      <c r="G7417" s="26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8"/>
      <c r="X7417" s="28"/>
      <c r="Y7417" s="28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28"/>
      <c r="AS7417" s="28"/>
      <c r="AT7417" s="28"/>
    </row>
    <row r="7418">
      <c r="A7418" s="14"/>
      <c r="B7418" s="15"/>
      <c r="C7418" s="16"/>
      <c r="D7418" s="15"/>
      <c r="F7418" s="15"/>
      <c r="G7418" s="26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8"/>
      <c r="X7418" s="28"/>
      <c r="Y7418" s="28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28"/>
      <c r="AS7418" s="28"/>
      <c r="AT7418" s="28"/>
    </row>
    <row r="7419">
      <c r="A7419" s="14"/>
      <c r="B7419" s="15"/>
      <c r="C7419" s="16"/>
      <c r="D7419" s="15"/>
      <c r="F7419" s="15"/>
      <c r="G7419" s="26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8"/>
      <c r="X7419" s="28"/>
      <c r="Y7419" s="28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28"/>
      <c r="AS7419" s="28"/>
      <c r="AT7419" s="28"/>
    </row>
    <row r="7420">
      <c r="A7420" s="14"/>
      <c r="B7420" s="15"/>
      <c r="C7420" s="16"/>
      <c r="D7420" s="15"/>
      <c r="F7420" s="15"/>
      <c r="G7420" s="26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8"/>
      <c r="X7420" s="28"/>
      <c r="Y7420" s="28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28"/>
      <c r="AS7420" s="28"/>
      <c r="AT7420" s="28"/>
    </row>
    <row r="7421">
      <c r="A7421" s="14"/>
      <c r="B7421" s="15"/>
      <c r="C7421" s="16"/>
      <c r="D7421" s="15"/>
      <c r="F7421" s="15"/>
      <c r="G7421" s="26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8"/>
      <c r="X7421" s="28"/>
      <c r="Y7421" s="28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28"/>
      <c r="AS7421" s="28"/>
      <c r="AT7421" s="28"/>
    </row>
    <row r="7422">
      <c r="A7422" s="14"/>
      <c r="B7422" s="15"/>
      <c r="C7422" s="16"/>
      <c r="D7422" s="15"/>
      <c r="F7422" s="15"/>
      <c r="G7422" s="26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28"/>
      <c r="AS7422" s="28"/>
      <c r="AT7422" s="28"/>
    </row>
    <row r="7423">
      <c r="A7423" s="14"/>
      <c r="B7423" s="15"/>
      <c r="C7423" s="16"/>
      <c r="D7423" s="15"/>
      <c r="F7423" s="15"/>
      <c r="G7423" s="26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28"/>
      <c r="AS7423" s="28"/>
      <c r="AT7423" s="28"/>
    </row>
    <row r="7424">
      <c r="A7424" s="14"/>
      <c r="B7424" s="15"/>
      <c r="C7424" s="16"/>
      <c r="D7424" s="15"/>
      <c r="F7424" s="15"/>
      <c r="G7424" s="26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28"/>
      <c r="AS7424" s="28"/>
      <c r="AT7424" s="28"/>
    </row>
    <row r="7425">
      <c r="A7425" s="14"/>
      <c r="B7425" s="15"/>
      <c r="C7425" s="16"/>
      <c r="D7425" s="15"/>
      <c r="F7425" s="15"/>
      <c r="G7425" s="26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28"/>
      <c r="AS7425" s="28"/>
      <c r="AT7425" s="28"/>
    </row>
    <row r="7426">
      <c r="A7426" s="14"/>
      <c r="B7426" s="15"/>
      <c r="C7426" s="16"/>
      <c r="D7426" s="15"/>
      <c r="F7426" s="15"/>
      <c r="G7426" s="26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28"/>
      <c r="AS7426" s="28"/>
      <c r="AT7426" s="28"/>
    </row>
    <row r="7427">
      <c r="A7427" s="14"/>
      <c r="B7427" s="15"/>
      <c r="C7427" s="16"/>
      <c r="D7427" s="15"/>
      <c r="F7427" s="15"/>
      <c r="G7427" s="26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28"/>
      <c r="AS7427" s="28"/>
      <c r="AT7427" s="28"/>
    </row>
    <row r="7428">
      <c r="A7428" s="14"/>
      <c r="B7428" s="15"/>
      <c r="C7428" s="16"/>
      <c r="D7428" s="15"/>
      <c r="F7428" s="15"/>
      <c r="G7428" s="26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28"/>
      <c r="AS7428" s="28"/>
      <c r="AT7428" s="28"/>
    </row>
    <row r="7429">
      <c r="A7429" s="14"/>
      <c r="B7429" s="15"/>
      <c r="C7429" s="16"/>
      <c r="D7429" s="15"/>
      <c r="F7429" s="15"/>
      <c r="G7429" s="26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28"/>
      <c r="AS7429" s="28"/>
      <c r="AT7429" s="28"/>
    </row>
    <row r="7430">
      <c r="A7430" s="14"/>
      <c r="B7430" s="15"/>
      <c r="C7430" s="16"/>
      <c r="D7430" s="15"/>
      <c r="F7430" s="15"/>
      <c r="G7430" s="26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28"/>
      <c r="AS7430" s="28"/>
      <c r="AT7430" s="28"/>
    </row>
    <row r="7431">
      <c r="A7431" s="14"/>
      <c r="B7431" s="15"/>
      <c r="C7431" s="16"/>
      <c r="D7431" s="15"/>
      <c r="F7431" s="15"/>
      <c r="G7431" s="26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28"/>
      <c r="AS7431" s="28"/>
      <c r="AT7431" s="28"/>
    </row>
    <row r="7432">
      <c r="A7432" s="14"/>
      <c r="B7432" s="15"/>
      <c r="C7432" s="16"/>
      <c r="D7432" s="15"/>
      <c r="F7432" s="15"/>
      <c r="G7432" s="26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28"/>
      <c r="AS7432" s="28"/>
      <c r="AT7432" s="28"/>
    </row>
    <row r="7433">
      <c r="A7433" s="14"/>
      <c r="B7433" s="15"/>
      <c r="C7433" s="16"/>
      <c r="D7433" s="15"/>
      <c r="F7433" s="15"/>
      <c r="G7433" s="26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28"/>
      <c r="AS7433" s="28"/>
      <c r="AT7433" s="28"/>
    </row>
    <row r="7434">
      <c r="A7434" s="14"/>
      <c r="B7434" s="15"/>
      <c r="C7434" s="16"/>
      <c r="D7434" s="15"/>
      <c r="F7434" s="15"/>
      <c r="G7434" s="26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8"/>
      <c r="X7434" s="28"/>
      <c r="Y7434" s="28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28"/>
      <c r="AS7434" s="28"/>
      <c r="AT7434" s="28"/>
    </row>
    <row r="7435">
      <c r="A7435" s="14"/>
      <c r="B7435" s="15"/>
      <c r="C7435" s="16"/>
      <c r="D7435" s="15"/>
      <c r="F7435" s="15"/>
      <c r="G7435" s="26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8"/>
      <c r="X7435" s="28"/>
      <c r="Y7435" s="28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28"/>
      <c r="AS7435" s="28"/>
      <c r="AT7435" s="28"/>
    </row>
    <row r="7436">
      <c r="A7436" s="14"/>
      <c r="B7436" s="15"/>
      <c r="C7436" s="16"/>
      <c r="D7436" s="15"/>
      <c r="F7436" s="15"/>
      <c r="G7436" s="26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8"/>
      <c r="X7436" s="28"/>
      <c r="Y7436" s="28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28"/>
      <c r="AS7436" s="28"/>
      <c r="AT7436" s="28"/>
    </row>
    <row r="7437">
      <c r="A7437" s="14"/>
      <c r="B7437" s="15"/>
      <c r="C7437" s="16"/>
      <c r="D7437" s="15"/>
      <c r="F7437" s="15"/>
      <c r="G7437" s="26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8"/>
      <c r="X7437" s="28"/>
      <c r="Y7437" s="28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28"/>
      <c r="AS7437" s="28"/>
      <c r="AT7437" s="28"/>
    </row>
    <row r="7438">
      <c r="A7438" s="14"/>
      <c r="B7438" s="15"/>
      <c r="C7438" s="16"/>
      <c r="D7438" s="15"/>
      <c r="F7438" s="15"/>
      <c r="G7438" s="26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8"/>
      <c r="X7438" s="28"/>
      <c r="Y7438" s="28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28"/>
      <c r="AS7438" s="28"/>
      <c r="AT7438" s="28"/>
    </row>
    <row r="7439">
      <c r="A7439" s="14"/>
      <c r="B7439" s="15"/>
      <c r="C7439" s="16"/>
      <c r="D7439" s="15"/>
      <c r="F7439" s="15"/>
      <c r="G7439" s="26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8"/>
      <c r="X7439" s="28"/>
      <c r="Y7439" s="28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28"/>
      <c r="AS7439" s="28"/>
      <c r="AT7439" s="28"/>
    </row>
    <row r="7440">
      <c r="A7440" s="14"/>
      <c r="B7440" s="15"/>
      <c r="C7440" s="16"/>
      <c r="D7440" s="15"/>
      <c r="F7440" s="15"/>
      <c r="G7440" s="26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8"/>
      <c r="X7440" s="28"/>
      <c r="Y7440" s="28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28"/>
      <c r="AS7440" s="28"/>
      <c r="AT7440" s="28"/>
    </row>
    <row r="7441">
      <c r="A7441" s="14"/>
      <c r="B7441" s="15"/>
      <c r="C7441" s="16"/>
      <c r="D7441" s="15"/>
      <c r="F7441" s="15"/>
      <c r="G7441" s="26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8"/>
      <c r="X7441" s="28"/>
      <c r="Y7441" s="28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28"/>
      <c r="AS7441" s="28"/>
      <c r="AT7441" s="28"/>
    </row>
    <row r="7442">
      <c r="A7442" s="14"/>
      <c r="B7442" s="15"/>
      <c r="C7442" s="16"/>
      <c r="D7442" s="15"/>
      <c r="F7442" s="15"/>
      <c r="G7442" s="26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8"/>
      <c r="X7442" s="28"/>
      <c r="Y7442" s="28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28"/>
      <c r="AS7442" s="28"/>
      <c r="AT7442" s="28"/>
    </row>
    <row r="7443">
      <c r="A7443" s="14"/>
      <c r="B7443" s="15"/>
      <c r="C7443" s="16"/>
      <c r="D7443" s="15"/>
      <c r="F7443" s="15"/>
      <c r="G7443" s="26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8"/>
      <c r="X7443" s="28"/>
      <c r="Y7443" s="28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28"/>
      <c r="AS7443" s="28"/>
      <c r="AT7443" s="28"/>
    </row>
    <row r="7444">
      <c r="A7444" s="14"/>
      <c r="B7444" s="15"/>
      <c r="C7444" s="16"/>
      <c r="D7444" s="15"/>
      <c r="F7444" s="15"/>
      <c r="G7444" s="26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8"/>
      <c r="X7444" s="28"/>
      <c r="Y7444" s="28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28"/>
      <c r="AS7444" s="28"/>
      <c r="AT7444" s="28"/>
    </row>
    <row r="7445">
      <c r="A7445" s="14"/>
      <c r="B7445" s="15"/>
      <c r="C7445" s="16"/>
      <c r="D7445" s="15"/>
      <c r="F7445" s="15"/>
      <c r="G7445" s="26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8"/>
      <c r="X7445" s="28"/>
      <c r="Y7445" s="28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28"/>
      <c r="AS7445" s="28"/>
      <c r="AT7445" s="28"/>
    </row>
    <row r="7446">
      <c r="A7446" s="14"/>
      <c r="B7446" s="15"/>
      <c r="C7446" s="16"/>
      <c r="D7446" s="15"/>
      <c r="F7446" s="15"/>
      <c r="G7446" s="26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8"/>
      <c r="X7446" s="28"/>
      <c r="Y7446" s="28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28"/>
      <c r="AS7446" s="28"/>
      <c r="AT7446" s="28"/>
    </row>
    <row r="7447">
      <c r="A7447" s="14"/>
      <c r="B7447" s="15"/>
      <c r="C7447" s="16"/>
      <c r="D7447" s="15"/>
      <c r="F7447" s="15"/>
      <c r="G7447" s="26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8"/>
      <c r="X7447" s="28"/>
      <c r="Y7447" s="28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28"/>
      <c r="AS7447" s="28"/>
      <c r="AT7447" s="28"/>
    </row>
    <row r="7448">
      <c r="A7448" s="14"/>
      <c r="B7448" s="15"/>
      <c r="C7448" s="16"/>
      <c r="D7448" s="15"/>
      <c r="F7448" s="15"/>
      <c r="G7448" s="26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8"/>
      <c r="X7448" s="28"/>
      <c r="Y7448" s="28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28"/>
      <c r="AS7448" s="28"/>
      <c r="AT7448" s="28"/>
    </row>
    <row r="7449">
      <c r="A7449" s="14"/>
      <c r="B7449" s="15"/>
      <c r="C7449" s="16"/>
      <c r="D7449" s="15"/>
      <c r="F7449" s="15"/>
      <c r="G7449" s="26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8"/>
      <c r="X7449" s="28"/>
      <c r="Y7449" s="28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28"/>
      <c r="AS7449" s="28"/>
      <c r="AT7449" s="28"/>
    </row>
    <row r="7450">
      <c r="A7450" s="14"/>
      <c r="B7450" s="15"/>
      <c r="C7450" s="16"/>
      <c r="D7450" s="15"/>
      <c r="F7450" s="15"/>
      <c r="G7450" s="26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8"/>
      <c r="X7450" s="28"/>
      <c r="Y7450" s="28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28"/>
      <c r="AS7450" s="28"/>
      <c r="AT7450" s="28"/>
    </row>
    <row r="7451">
      <c r="A7451" s="14"/>
      <c r="B7451" s="15"/>
      <c r="C7451" s="16"/>
      <c r="D7451" s="15"/>
      <c r="F7451" s="15"/>
      <c r="G7451" s="26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8"/>
      <c r="X7451" s="28"/>
      <c r="Y7451" s="28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28"/>
      <c r="AS7451" s="28"/>
      <c r="AT7451" s="28"/>
    </row>
    <row r="7452">
      <c r="A7452" s="14"/>
      <c r="B7452" s="15"/>
      <c r="C7452" s="16"/>
      <c r="D7452" s="15"/>
      <c r="F7452" s="15"/>
      <c r="G7452" s="26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8"/>
      <c r="X7452" s="28"/>
      <c r="Y7452" s="28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28"/>
      <c r="AS7452" s="28"/>
      <c r="AT7452" s="28"/>
    </row>
    <row r="7453">
      <c r="A7453" s="14"/>
      <c r="B7453" s="15"/>
      <c r="C7453" s="16"/>
      <c r="D7453" s="15"/>
      <c r="F7453" s="15"/>
      <c r="G7453" s="26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8"/>
      <c r="X7453" s="28"/>
      <c r="Y7453" s="28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28"/>
      <c r="AS7453" s="28"/>
      <c r="AT7453" s="28"/>
    </row>
    <row r="7454">
      <c r="A7454" s="14"/>
      <c r="B7454" s="15"/>
      <c r="C7454" s="16"/>
      <c r="D7454" s="15"/>
      <c r="F7454" s="15"/>
      <c r="G7454" s="26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8"/>
      <c r="X7454" s="28"/>
      <c r="Y7454" s="28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28"/>
      <c r="AS7454" s="28"/>
      <c r="AT7454" s="28"/>
    </row>
    <row r="7455">
      <c r="A7455" s="14"/>
      <c r="B7455" s="15"/>
      <c r="C7455" s="16"/>
      <c r="D7455" s="15"/>
      <c r="F7455" s="15"/>
      <c r="G7455" s="26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8"/>
      <c r="X7455" s="28"/>
      <c r="Y7455" s="28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28"/>
      <c r="AS7455" s="28"/>
      <c r="AT7455" s="28"/>
    </row>
    <row r="7456">
      <c r="A7456" s="14"/>
      <c r="B7456" s="15"/>
      <c r="C7456" s="16"/>
      <c r="D7456" s="15"/>
      <c r="F7456" s="15"/>
      <c r="G7456" s="26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8"/>
      <c r="X7456" s="28"/>
      <c r="Y7456" s="28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28"/>
      <c r="AS7456" s="28"/>
      <c r="AT7456" s="28"/>
    </row>
    <row r="7457">
      <c r="A7457" s="14"/>
      <c r="B7457" s="15"/>
      <c r="C7457" s="16"/>
      <c r="D7457" s="15"/>
      <c r="F7457" s="15"/>
      <c r="G7457" s="26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8"/>
      <c r="X7457" s="28"/>
      <c r="Y7457" s="28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28"/>
      <c r="AS7457" s="28"/>
      <c r="AT7457" s="28"/>
    </row>
    <row r="7458">
      <c r="A7458" s="14"/>
      <c r="B7458" s="15"/>
      <c r="C7458" s="16"/>
      <c r="D7458" s="15"/>
      <c r="F7458" s="15"/>
      <c r="G7458" s="26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8"/>
      <c r="X7458" s="28"/>
      <c r="Y7458" s="28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28"/>
      <c r="AS7458" s="28"/>
      <c r="AT7458" s="28"/>
    </row>
    <row r="7459">
      <c r="A7459" s="14"/>
      <c r="B7459" s="15"/>
      <c r="C7459" s="16"/>
      <c r="D7459" s="15"/>
      <c r="F7459" s="15"/>
      <c r="G7459" s="26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8"/>
      <c r="X7459" s="28"/>
      <c r="Y7459" s="28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28"/>
      <c r="AS7459" s="28"/>
      <c r="AT7459" s="28"/>
    </row>
    <row r="7460">
      <c r="A7460" s="14"/>
      <c r="B7460" s="15"/>
      <c r="C7460" s="16"/>
      <c r="D7460" s="15"/>
      <c r="F7460" s="15"/>
      <c r="G7460" s="26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8"/>
      <c r="X7460" s="28"/>
      <c r="Y7460" s="28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28"/>
      <c r="AS7460" s="28"/>
      <c r="AT7460" s="28"/>
    </row>
    <row r="7461">
      <c r="A7461" s="14"/>
      <c r="B7461" s="15"/>
      <c r="C7461" s="16"/>
      <c r="D7461" s="15"/>
      <c r="F7461" s="15"/>
      <c r="G7461" s="26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8"/>
      <c r="X7461" s="28"/>
      <c r="Y7461" s="28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28"/>
      <c r="AS7461" s="28"/>
      <c r="AT7461" s="28"/>
    </row>
    <row r="7462">
      <c r="A7462" s="14"/>
      <c r="B7462" s="15"/>
      <c r="C7462" s="16"/>
      <c r="D7462" s="15"/>
      <c r="F7462" s="15"/>
      <c r="G7462" s="26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8"/>
      <c r="X7462" s="28"/>
      <c r="Y7462" s="28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28"/>
      <c r="AS7462" s="28"/>
      <c r="AT7462" s="28"/>
    </row>
    <row r="7463">
      <c r="A7463" s="14"/>
      <c r="B7463" s="15"/>
      <c r="C7463" s="16"/>
      <c r="D7463" s="15"/>
      <c r="F7463" s="15"/>
      <c r="G7463" s="26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8"/>
      <c r="X7463" s="28"/>
      <c r="Y7463" s="28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28"/>
      <c r="AS7463" s="28"/>
      <c r="AT7463" s="28"/>
    </row>
    <row r="7464">
      <c r="A7464" s="14"/>
      <c r="B7464" s="15"/>
      <c r="C7464" s="16"/>
      <c r="D7464" s="15"/>
      <c r="F7464" s="15"/>
      <c r="G7464" s="26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8"/>
      <c r="X7464" s="28"/>
      <c r="Y7464" s="28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28"/>
      <c r="AS7464" s="28"/>
      <c r="AT7464" s="28"/>
    </row>
    <row r="7465">
      <c r="A7465" s="14"/>
      <c r="B7465" s="15"/>
      <c r="C7465" s="16"/>
      <c r="D7465" s="15"/>
      <c r="F7465" s="15"/>
      <c r="G7465" s="26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8"/>
      <c r="X7465" s="28"/>
      <c r="Y7465" s="28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28"/>
      <c r="AS7465" s="28"/>
      <c r="AT7465" s="28"/>
    </row>
    <row r="7466">
      <c r="A7466" s="14"/>
      <c r="B7466" s="15"/>
      <c r="C7466" s="16"/>
      <c r="D7466" s="15"/>
      <c r="F7466" s="15"/>
      <c r="G7466" s="26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8"/>
      <c r="X7466" s="28"/>
      <c r="Y7466" s="28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28"/>
      <c r="AS7466" s="28"/>
      <c r="AT7466" s="28"/>
    </row>
    <row r="7467">
      <c r="A7467" s="14"/>
      <c r="B7467" s="15"/>
      <c r="C7467" s="16"/>
      <c r="D7467" s="15"/>
      <c r="F7467" s="15"/>
      <c r="G7467" s="26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8"/>
      <c r="X7467" s="28"/>
      <c r="Y7467" s="28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28"/>
      <c r="AS7467" s="28"/>
      <c r="AT7467" s="28"/>
    </row>
    <row r="7468">
      <c r="A7468" s="14"/>
      <c r="B7468" s="15"/>
      <c r="C7468" s="16"/>
      <c r="D7468" s="15"/>
      <c r="F7468" s="15"/>
      <c r="G7468" s="26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8"/>
      <c r="X7468" s="28"/>
      <c r="Y7468" s="28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28"/>
      <c r="AS7468" s="28"/>
      <c r="AT7468" s="28"/>
    </row>
    <row r="7469">
      <c r="A7469" s="14"/>
      <c r="B7469" s="15"/>
      <c r="C7469" s="16"/>
      <c r="D7469" s="15"/>
      <c r="F7469" s="15"/>
      <c r="G7469" s="26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8"/>
      <c r="X7469" s="28"/>
      <c r="Y7469" s="28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28"/>
      <c r="AS7469" s="28"/>
      <c r="AT7469" s="28"/>
    </row>
    <row r="7470">
      <c r="A7470" s="14"/>
      <c r="B7470" s="15"/>
      <c r="C7470" s="16"/>
      <c r="D7470" s="15"/>
      <c r="F7470" s="15"/>
      <c r="G7470" s="26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8"/>
      <c r="X7470" s="28"/>
      <c r="Y7470" s="28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28"/>
      <c r="AS7470" s="28"/>
      <c r="AT7470" s="28"/>
    </row>
    <row r="7471">
      <c r="A7471" s="14"/>
      <c r="B7471" s="15"/>
      <c r="C7471" s="16"/>
      <c r="D7471" s="15"/>
      <c r="F7471" s="15"/>
      <c r="G7471" s="26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8"/>
      <c r="X7471" s="28"/>
      <c r="Y7471" s="28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28"/>
      <c r="AS7471" s="28"/>
      <c r="AT7471" s="28"/>
    </row>
    <row r="7472">
      <c r="A7472" s="14"/>
      <c r="B7472" s="15"/>
      <c r="C7472" s="16"/>
      <c r="D7472" s="15"/>
      <c r="F7472" s="15"/>
      <c r="G7472" s="26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8"/>
      <c r="X7472" s="28"/>
      <c r="Y7472" s="28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28"/>
      <c r="AS7472" s="28"/>
      <c r="AT7472" s="28"/>
    </row>
    <row r="7473">
      <c r="A7473" s="14"/>
      <c r="B7473" s="15"/>
      <c r="C7473" s="16"/>
      <c r="D7473" s="15"/>
      <c r="F7473" s="15"/>
      <c r="G7473" s="26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8"/>
      <c r="X7473" s="28"/>
      <c r="Y7473" s="28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28"/>
      <c r="AS7473" s="28"/>
      <c r="AT7473" s="28"/>
    </row>
    <row r="7474">
      <c r="A7474" s="14"/>
      <c r="B7474" s="15"/>
      <c r="C7474" s="16"/>
      <c r="D7474" s="15"/>
      <c r="F7474" s="15"/>
      <c r="G7474" s="26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8"/>
      <c r="X7474" s="28"/>
      <c r="Y7474" s="28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28"/>
      <c r="AS7474" s="28"/>
      <c r="AT7474" s="28"/>
    </row>
    <row r="7475">
      <c r="A7475" s="14"/>
      <c r="B7475" s="15"/>
      <c r="C7475" s="16"/>
      <c r="D7475" s="15"/>
      <c r="F7475" s="15"/>
      <c r="G7475" s="26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8"/>
      <c r="X7475" s="28"/>
      <c r="Y7475" s="28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28"/>
      <c r="AS7475" s="28"/>
      <c r="AT7475" s="28"/>
    </row>
    <row r="7476">
      <c r="A7476" s="14"/>
      <c r="B7476" s="15"/>
      <c r="C7476" s="16"/>
      <c r="D7476" s="15"/>
      <c r="F7476" s="15"/>
      <c r="G7476" s="26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8"/>
      <c r="X7476" s="28"/>
      <c r="Y7476" s="28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28"/>
      <c r="AS7476" s="28"/>
      <c r="AT7476" s="28"/>
    </row>
    <row r="7477">
      <c r="A7477" s="14"/>
      <c r="B7477" s="15"/>
      <c r="C7477" s="16"/>
      <c r="D7477" s="15"/>
      <c r="F7477" s="15"/>
      <c r="G7477" s="26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8"/>
      <c r="X7477" s="28"/>
      <c r="Y7477" s="28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28"/>
      <c r="AS7477" s="28"/>
      <c r="AT7477" s="28"/>
    </row>
    <row r="7478">
      <c r="A7478" s="14"/>
      <c r="B7478" s="15"/>
      <c r="C7478" s="16"/>
      <c r="D7478" s="15"/>
      <c r="F7478" s="15"/>
      <c r="G7478" s="26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8"/>
      <c r="X7478" s="28"/>
      <c r="Y7478" s="28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28"/>
      <c r="AS7478" s="28"/>
      <c r="AT7478" s="28"/>
    </row>
    <row r="7479">
      <c r="A7479" s="14"/>
      <c r="B7479" s="15"/>
      <c r="C7479" s="16"/>
      <c r="D7479" s="15"/>
      <c r="F7479" s="15"/>
      <c r="G7479" s="26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8"/>
      <c r="X7479" s="28"/>
      <c r="Y7479" s="28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28"/>
      <c r="AS7479" s="28"/>
      <c r="AT7479" s="28"/>
    </row>
    <row r="7480">
      <c r="A7480" s="14"/>
      <c r="B7480" s="15"/>
      <c r="C7480" s="16"/>
      <c r="D7480" s="15"/>
      <c r="F7480" s="15"/>
      <c r="G7480" s="26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8"/>
      <c r="X7480" s="28"/>
      <c r="Y7480" s="28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28"/>
      <c r="AS7480" s="28"/>
      <c r="AT7480" s="28"/>
    </row>
    <row r="7481">
      <c r="A7481" s="14"/>
      <c r="B7481" s="15"/>
      <c r="C7481" s="16"/>
      <c r="D7481" s="15"/>
      <c r="F7481" s="15"/>
      <c r="G7481" s="26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8"/>
      <c r="X7481" s="28"/>
      <c r="Y7481" s="28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28"/>
      <c r="AS7481" s="28"/>
      <c r="AT7481" s="28"/>
    </row>
    <row r="7482">
      <c r="A7482" s="14"/>
      <c r="B7482" s="15"/>
      <c r="C7482" s="16"/>
      <c r="D7482" s="15"/>
      <c r="F7482" s="15"/>
      <c r="G7482" s="26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8"/>
      <c r="X7482" s="28"/>
      <c r="Y7482" s="28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28"/>
      <c r="AS7482" s="28"/>
      <c r="AT7482" s="28"/>
    </row>
    <row r="7483">
      <c r="A7483" s="14"/>
      <c r="B7483" s="15"/>
      <c r="C7483" s="16"/>
      <c r="D7483" s="15"/>
      <c r="F7483" s="15"/>
      <c r="G7483" s="26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8"/>
      <c r="X7483" s="28"/>
      <c r="Y7483" s="28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28"/>
      <c r="AS7483" s="28"/>
      <c r="AT7483" s="28"/>
    </row>
    <row r="7484">
      <c r="A7484" s="14"/>
      <c r="B7484" s="15"/>
      <c r="C7484" s="16"/>
      <c r="D7484" s="15"/>
      <c r="F7484" s="15"/>
      <c r="G7484" s="26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8"/>
      <c r="X7484" s="28"/>
      <c r="Y7484" s="28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28"/>
      <c r="AS7484" s="28"/>
      <c r="AT7484" s="28"/>
    </row>
    <row r="7485">
      <c r="A7485" s="14"/>
      <c r="B7485" s="15"/>
      <c r="C7485" s="16"/>
      <c r="D7485" s="15"/>
      <c r="F7485" s="15"/>
      <c r="G7485" s="26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8"/>
      <c r="X7485" s="28"/>
      <c r="Y7485" s="28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28"/>
      <c r="AS7485" s="28"/>
      <c r="AT7485" s="28"/>
    </row>
    <row r="7486">
      <c r="A7486" s="14"/>
      <c r="B7486" s="15"/>
      <c r="C7486" s="16"/>
      <c r="D7486" s="15"/>
      <c r="F7486" s="15"/>
      <c r="G7486" s="26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8"/>
      <c r="X7486" s="28"/>
      <c r="Y7486" s="28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28"/>
      <c r="AS7486" s="28"/>
      <c r="AT7486" s="28"/>
    </row>
    <row r="7487">
      <c r="A7487" s="14"/>
      <c r="B7487" s="15"/>
      <c r="C7487" s="16"/>
      <c r="D7487" s="15"/>
      <c r="F7487" s="15"/>
      <c r="G7487" s="26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8"/>
      <c r="X7487" s="28"/>
      <c r="Y7487" s="28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28"/>
      <c r="AS7487" s="28"/>
      <c r="AT7487" s="28"/>
    </row>
    <row r="7488">
      <c r="A7488" s="14"/>
      <c r="B7488" s="15"/>
      <c r="C7488" s="16"/>
      <c r="D7488" s="15"/>
      <c r="F7488" s="15"/>
      <c r="G7488" s="26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8"/>
      <c r="X7488" s="28"/>
      <c r="Y7488" s="28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28"/>
      <c r="AS7488" s="28"/>
      <c r="AT7488" s="28"/>
    </row>
    <row r="7489">
      <c r="A7489" s="14"/>
      <c r="B7489" s="15"/>
      <c r="C7489" s="16"/>
      <c r="D7489" s="15"/>
      <c r="F7489" s="15"/>
      <c r="G7489" s="26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8"/>
      <c r="X7489" s="28"/>
      <c r="Y7489" s="28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28"/>
      <c r="AS7489" s="28"/>
      <c r="AT7489" s="28"/>
    </row>
    <row r="7490">
      <c r="A7490" s="14"/>
      <c r="B7490" s="15"/>
      <c r="C7490" s="16"/>
      <c r="D7490" s="15"/>
      <c r="F7490" s="15"/>
      <c r="G7490" s="26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8"/>
      <c r="X7490" s="28"/>
      <c r="Y7490" s="28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28"/>
      <c r="AS7490" s="28"/>
      <c r="AT7490" s="28"/>
    </row>
    <row r="7491">
      <c r="A7491" s="14"/>
      <c r="B7491" s="15"/>
      <c r="C7491" s="16"/>
      <c r="D7491" s="15"/>
      <c r="F7491" s="15"/>
      <c r="G7491" s="26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8"/>
      <c r="X7491" s="28"/>
      <c r="Y7491" s="28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28"/>
      <c r="AS7491" s="28"/>
      <c r="AT7491" s="28"/>
    </row>
    <row r="7492">
      <c r="A7492" s="14"/>
      <c r="B7492" s="15"/>
      <c r="C7492" s="16"/>
      <c r="D7492" s="15"/>
      <c r="F7492" s="15"/>
      <c r="G7492" s="26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8"/>
      <c r="X7492" s="28"/>
      <c r="Y7492" s="28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28"/>
      <c r="AS7492" s="28"/>
      <c r="AT7492" s="28"/>
    </row>
    <row r="7493">
      <c r="A7493" s="14"/>
      <c r="B7493" s="15"/>
      <c r="C7493" s="16"/>
      <c r="D7493" s="15"/>
      <c r="F7493" s="15"/>
      <c r="G7493" s="26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8"/>
      <c r="X7493" s="28"/>
      <c r="Y7493" s="28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28"/>
      <c r="AS7493" s="28"/>
      <c r="AT7493" s="28"/>
    </row>
    <row r="7494">
      <c r="A7494" s="14"/>
      <c r="B7494" s="15"/>
      <c r="C7494" s="16"/>
      <c r="D7494" s="15"/>
      <c r="F7494" s="15"/>
      <c r="G7494" s="26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8"/>
      <c r="X7494" s="28"/>
      <c r="Y7494" s="28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28"/>
      <c r="AS7494" s="28"/>
      <c r="AT7494" s="28"/>
    </row>
    <row r="7495">
      <c r="A7495" s="14"/>
      <c r="B7495" s="15"/>
      <c r="C7495" s="16"/>
      <c r="D7495" s="15"/>
      <c r="F7495" s="15"/>
      <c r="G7495" s="26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8"/>
      <c r="X7495" s="28"/>
      <c r="Y7495" s="28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28"/>
      <c r="AS7495" s="28"/>
      <c r="AT7495" s="28"/>
    </row>
    <row r="7496">
      <c r="A7496" s="14"/>
      <c r="B7496" s="15"/>
      <c r="C7496" s="16"/>
      <c r="D7496" s="15"/>
      <c r="F7496" s="15"/>
      <c r="G7496" s="26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8"/>
      <c r="X7496" s="28"/>
      <c r="Y7496" s="28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28"/>
      <c r="AS7496" s="28"/>
      <c r="AT7496" s="28"/>
    </row>
    <row r="7497">
      <c r="A7497" s="14"/>
      <c r="B7497" s="15"/>
      <c r="C7497" s="16"/>
      <c r="D7497" s="15"/>
      <c r="F7497" s="15"/>
      <c r="G7497" s="26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8"/>
      <c r="X7497" s="28"/>
      <c r="Y7497" s="28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28"/>
      <c r="AS7497" s="28"/>
      <c r="AT7497" s="28"/>
    </row>
    <row r="7498">
      <c r="A7498" s="14"/>
      <c r="B7498" s="15"/>
      <c r="C7498" s="16"/>
      <c r="D7498" s="15"/>
      <c r="F7498" s="15"/>
      <c r="G7498" s="26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8"/>
      <c r="X7498" s="28"/>
      <c r="Y7498" s="28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28"/>
      <c r="AS7498" s="28"/>
      <c r="AT7498" s="28"/>
    </row>
    <row r="7499">
      <c r="A7499" s="14"/>
      <c r="B7499" s="15"/>
      <c r="C7499" s="16"/>
      <c r="D7499" s="15"/>
      <c r="F7499" s="15"/>
      <c r="G7499" s="26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8"/>
      <c r="X7499" s="28"/>
      <c r="Y7499" s="28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28"/>
      <c r="AS7499" s="28"/>
      <c r="AT7499" s="28"/>
    </row>
    <row r="7500">
      <c r="A7500" s="14"/>
      <c r="B7500" s="15"/>
      <c r="C7500" s="16"/>
      <c r="D7500" s="15"/>
      <c r="F7500" s="15"/>
      <c r="G7500" s="26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8"/>
      <c r="X7500" s="28"/>
      <c r="Y7500" s="28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28"/>
      <c r="AS7500" s="28"/>
      <c r="AT7500" s="28"/>
    </row>
    <row r="7501">
      <c r="A7501" s="14"/>
      <c r="B7501" s="15"/>
      <c r="C7501" s="16"/>
      <c r="D7501" s="15"/>
      <c r="F7501" s="15"/>
      <c r="G7501" s="26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8"/>
      <c r="X7501" s="28"/>
      <c r="Y7501" s="28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28"/>
      <c r="AS7501" s="28"/>
      <c r="AT7501" s="28"/>
    </row>
    <row r="7502">
      <c r="A7502" s="14"/>
      <c r="B7502" s="15"/>
      <c r="C7502" s="16"/>
      <c r="D7502" s="15"/>
      <c r="F7502" s="15"/>
      <c r="G7502" s="26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8"/>
      <c r="X7502" s="28"/>
      <c r="Y7502" s="28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28"/>
      <c r="AS7502" s="28"/>
      <c r="AT7502" s="28"/>
    </row>
    <row r="7503">
      <c r="A7503" s="14"/>
      <c r="B7503" s="15"/>
      <c r="C7503" s="16"/>
      <c r="D7503" s="15"/>
      <c r="F7503" s="15"/>
      <c r="G7503" s="26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8"/>
      <c r="X7503" s="28"/>
      <c r="Y7503" s="28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28"/>
      <c r="AS7503" s="28"/>
      <c r="AT7503" s="28"/>
    </row>
    <row r="7504">
      <c r="A7504" s="14"/>
      <c r="B7504" s="15"/>
      <c r="C7504" s="16"/>
      <c r="D7504" s="15"/>
      <c r="F7504" s="15"/>
      <c r="G7504" s="26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8"/>
      <c r="X7504" s="28"/>
      <c r="Y7504" s="28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28"/>
      <c r="AS7504" s="28"/>
      <c r="AT7504" s="28"/>
    </row>
    <row r="7505">
      <c r="A7505" s="14"/>
      <c r="B7505" s="15"/>
      <c r="C7505" s="16"/>
      <c r="D7505" s="15"/>
      <c r="F7505" s="15"/>
      <c r="G7505" s="26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8"/>
      <c r="X7505" s="28"/>
      <c r="Y7505" s="28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28"/>
      <c r="AS7505" s="28"/>
      <c r="AT7505" s="28"/>
    </row>
    <row r="7506">
      <c r="A7506" s="14"/>
      <c r="B7506" s="15"/>
      <c r="C7506" s="16"/>
      <c r="D7506" s="15"/>
      <c r="F7506" s="15"/>
      <c r="G7506" s="26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28"/>
      <c r="AS7506" s="28"/>
      <c r="AT7506" s="28"/>
    </row>
    <row r="7507">
      <c r="A7507" s="14"/>
      <c r="B7507" s="15"/>
      <c r="C7507" s="16"/>
      <c r="D7507" s="15"/>
      <c r="F7507" s="15"/>
      <c r="G7507" s="26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28"/>
      <c r="AS7507" s="28"/>
      <c r="AT7507" s="28"/>
    </row>
    <row r="7508">
      <c r="A7508" s="14"/>
      <c r="B7508" s="15"/>
      <c r="C7508" s="16"/>
      <c r="D7508" s="15"/>
      <c r="F7508" s="15"/>
      <c r="G7508" s="26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28"/>
      <c r="AS7508" s="28"/>
      <c r="AT7508" s="28"/>
    </row>
    <row r="7509">
      <c r="A7509" s="14"/>
      <c r="B7509" s="15"/>
      <c r="C7509" s="16"/>
      <c r="D7509" s="15"/>
      <c r="F7509" s="15"/>
      <c r="G7509" s="26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28"/>
      <c r="AS7509" s="28"/>
      <c r="AT7509" s="28"/>
    </row>
    <row r="7510">
      <c r="A7510" s="14"/>
      <c r="B7510" s="15"/>
      <c r="C7510" s="16"/>
      <c r="D7510" s="15"/>
      <c r="F7510" s="15"/>
      <c r="G7510" s="26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28"/>
      <c r="AS7510" s="28"/>
      <c r="AT7510" s="28"/>
    </row>
    <row r="7511">
      <c r="A7511" s="14"/>
      <c r="B7511" s="15"/>
      <c r="C7511" s="16"/>
      <c r="D7511" s="15"/>
      <c r="F7511" s="15"/>
      <c r="G7511" s="26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28"/>
      <c r="AS7511" s="28"/>
      <c r="AT7511" s="28"/>
    </row>
    <row r="7512">
      <c r="A7512" s="14"/>
      <c r="B7512" s="15"/>
      <c r="C7512" s="16"/>
      <c r="D7512" s="15"/>
      <c r="F7512" s="15"/>
      <c r="G7512" s="26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28"/>
      <c r="AS7512" s="28"/>
      <c r="AT7512" s="28"/>
    </row>
    <row r="7513">
      <c r="A7513" s="14"/>
      <c r="B7513" s="15"/>
      <c r="C7513" s="16"/>
      <c r="D7513" s="15"/>
      <c r="F7513" s="15"/>
      <c r="G7513" s="26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28"/>
      <c r="AS7513" s="28"/>
      <c r="AT7513" s="28"/>
    </row>
    <row r="7514">
      <c r="A7514" s="14"/>
      <c r="B7514" s="15"/>
      <c r="C7514" s="16"/>
      <c r="D7514" s="15"/>
      <c r="F7514" s="15"/>
      <c r="G7514" s="26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28"/>
      <c r="AS7514" s="28"/>
      <c r="AT7514" s="28"/>
    </row>
    <row r="7515">
      <c r="A7515" s="14"/>
      <c r="B7515" s="15"/>
      <c r="C7515" s="16"/>
      <c r="D7515" s="15"/>
      <c r="F7515" s="15"/>
      <c r="G7515" s="26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28"/>
      <c r="AS7515" s="28"/>
      <c r="AT7515" s="28"/>
    </row>
    <row r="7516">
      <c r="A7516" s="14"/>
      <c r="B7516" s="15"/>
      <c r="C7516" s="16"/>
      <c r="D7516" s="15"/>
      <c r="F7516" s="15"/>
      <c r="G7516" s="26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28"/>
      <c r="AS7516" s="28"/>
      <c r="AT7516" s="28"/>
    </row>
    <row r="7517">
      <c r="A7517" s="14"/>
      <c r="B7517" s="15"/>
      <c r="C7517" s="16"/>
      <c r="D7517" s="15"/>
      <c r="F7517" s="15"/>
      <c r="G7517" s="26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28"/>
      <c r="AS7517" s="28"/>
      <c r="AT7517" s="28"/>
    </row>
    <row r="7518">
      <c r="A7518" s="14"/>
      <c r="B7518" s="15"/>
      <c r="C7518" s="16"/>
      <c r="D7518" s="15"/>
      <c r="F7518" s="15"/>
      <c r="G7518" s="26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28"/>
      <c r="AS7518" s="28"/>
      <c r="AT7518" s="28"/>
    </row>
    <row r="7519">
      <c r="A7519" s="14"/>
      <c r="B7519" s="15"/>
      <c r="C7519" s="16"/>
      <c r="D7519" s="15"/>
      <c r="F7519" s="15"/>
      <c r="G7519" s="26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28"/>
      <c r="AS7519" s="28"/>
      <c r="AT7519" s="28"/>
    </row>
    <row r="7520">
      <c r="A7520" s="14"/>
      <c r="B7520" s="15"/>
      <c r="C7520" s="16"/>
      <c r="D7520" s="15"/>
      <c r="F7520" s="15"/>
      <c r="G7520" s="26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28"/>
      <c r="AS7520" s="28"/>
      <c r="AT7520" s="28"/>
    </row>
    <row r="7521">
      <c r="A7521" s="14"/>
      <c r="B7521" s="15"/>
      <c r="C7521" s="16"/>
      <c r="D7521" s="15"/>
      <c r="F7521" s="15"/>
      <c r="G7521" s="26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28"/>
      <c r="AS7521" s="28"/>
      <c r="AT7521" s="28"/>
    </row>
    <row r="7522">
      <c r="A7522" s="14"/>
      <c r="B7522" s="15"/>
      <c r="C7522" s="16"/>
      <c r="D7522" s="15"/>
      <c r="F7522" s="15"/>
      <c r="G7522" s="26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28"/>
      <c r="AS7522" s="28"/>
      <c r="AT7522" s="28"/>
    </row>
    <row r="7523">
      <c r="A7523" s="14"/>
      <c r="B7523" s="15"/>
      <c r="C7523" s="16"/>
      <c r="D7523" s="15"/>
      <c r="F7523" s="15"/>
      <c r="G7523" s="26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28"/>
      <c r="AS7523" s="28"/>
      <c r="AT7523" s="28"/>
    </row>
    <row r="7524">
      <c r="A7524" s="14"/>
      <c r="B7524" s="15"/>
      <c r="C7524" s="16"/>
      <c r="D7524" s="15"/>
      <c r="F7524" s="15"/>
      <c r="G7524" s="26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28"/>
      <c r="AS7524" s="28"/>
      <c r="AT7524" s="28"/>
    </row>
    <row r="7525">
      <c r="A7525" s="14"/>
      <c r="B7525" s="15"/>
      <c r="C7525" s="16"/>
      <c r="D7525" s="15"/>
      <c r="F7525" s="15"/>
      <c r="G7525" s="26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28"/>
      <c r="AS7525" s="28"/>
      <c r="AT7525" s="28"/>
    </row>
    <row r="7526">
      <c r="A7526" s="14"/>
      <c r="B7526" s="15"/>
      <c r="C7526" s="16"/>
      <c r="D7526" s="15"/>
      <c r="F7526" s="15"/>
      <c r="G7526" s="26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28"/>
      <c r="AS7526" s="28"/>
      <c r="AT7526" s="28"/>
    </row>
    <row r="7527">
      <c r="A7527" s="14"/>
      <c r="B7527" s="15"/>
      <c r="C7527" s="16"/>
      <c r="D7527" s="15"/>
      <c r="F7527" s="15"/>
      <c r="G7527" s="26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28"/>
      <c r="AS7527" s="28"/>
      <c r="AT7527" s="28"/>
    </row>
    <row r="7528">
      <c r="A7528" s="14"/>
      <c r="B7528" s="15"/>
      <c r="C7528" s="16"/>
      <c r="D7528" s="15"/>
      <c r="F7528" s="15"/>
      <c r="G7528" s="26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28"/>
      <c r="AS7528" s="28"/>
      <c r="AT7528" s="28"/>
    </row>
    <row r="7529">
      <c r="A7529" s="14"/>
      <c r="B7529" s="15"/>
      <c r="C7529" s="16"/>
      <c r="D7529" s="15"/>
      <c r="F7529" s="15"/>
      <c r="G7529" s="26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28"/>
      <c r="AS7529" s="28"/>
      <c r="AT7529" s="28"/>
    </row>
    <row r="7530">
      <c r="A7530" s="14"/>
      <c r="B7530" s="15"/>
      <c r="C7530" s="16"/>
      <c r="D7530" s="15"/>
      <c r="F7530" s="15"/>
      <c r="G7530" s="26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28"/>
      <c r="AS7530" s="28"/>
      <c r="AT7530" s="28"/>
    </row>
    <row r="7531">
      <c r="A7531" s="14"/>
      <c r="B7531" s="15"/>
      <c r="C7531" s="16"/>
      <c r="D7531" s="15"/>
      <c r="F7531" s="15"/>
      <c r="G7531" s="26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28"/>
      <c r="AS7531" s="28"/>
      <c r="AT7531" s="28"/>
    </row>
    <row r="7532">
      <c r="A7532" s="14"/>
      <c r="B7532" s="15"/>
      <c r="C7532" s="16"/>
      <c r="D7532" s="15"/>
      <c r="F7532" s="15"/>
      <c r="G7532" s="26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28"/>
      <c r="AS7532" s="28"/>
      <c r="AT7532" s="28"/>
    </row>
    <row r="7533">
      <c r="A7533" s="14"/>
      <c r="B7533" s="15"/>
      <c r="C7533" s="16"/>
      <c r="D7533" s="15"/>
      <c r="F7533" s="15"/>
      <c r="G7533" s="26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28"/>
      <c r="AS7533" s="28"/>
      <c r="AT7533" s="28"/>
    </row>
    <row r="7534">
      <c r="A7534" s="14"/>
      <c r="B7534" s="15"/>
      <c r="C7534" s="16"/>
      <c r="D7534" s="15"/>
      <c r="F7534" s="15"/>
      <c r="G7534" s="26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8"/>
      <c r="X7534" s="28"/>
      <c r="Y7534" s="28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28"/>
      <c r="AS7534" s="28"/>
      <c r="AT7534" s="28"/>
    </row>
    <row r="7535">
      <c r="A7535" s="14"/>
      <c r="B7535" s="15"/>
      <c r="C7535" s="16"/>
      <c r="D7535" s="15"/>
      <c r="F7535" s="15"/>
      <c r="G7535" s="26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8"/>
      <c r="X7535" s="28"/>
      <c r="Y7535" s="28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28"/>
      <c r="AS7535" s="28"/>
      <c r="AT7535" s="28"/>
    </row>
    <row r="7536">
      <c r="A7536" s="14"/>
      <c r="B7536" s="15"/>
      <c r="C7536" s="16"/>
      <c r="D7536" s="15"/>
      <c r="F7536" s="15"/>
      <c r="G7536" s="26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8"/>
      <c r="X7536" s="28"/>
      <c r="Y7536" s="28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28"/>
      <c r="AS7536" s="28"/>
      <c r="AT7536" s="28"/>
    </row>
    <row r="7537">
      <c r="A7537" s="14"/>
      <c r="B7537" s="15"/>
      <c r="C7537" s="16"/>
      <c r="D7537" s="15"/>
      <c r="F7537" s="15"/>
      <c r="G7537" s="26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8"/>
      <c r="X7537" s="28"/>
      <c r="Y7537" s="28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28"/>
      <c r="AS7537" s="28"/>
      <c r="AT7537" s="28"/>
    </row>
    <row r="7538">
      <c r="A7538" s="14"/>
      <c r="B7538" s="15"/>
      <c r="C7538" s="16"/>
      <c r="D7538" s="15"/>
      <c r="F7538" s="15"/>
      <c r="G7538" s="26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8"/>
      <c r="X7538" s="28"/>
      <c r="Y7538" s="28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28"/>
      <c r="AS7538" s="28"/>
      <c r="AT7538" s="28"/>
    </row>
    <row r="7539">
      <c r="A7539" s="14"/>
      <c r="B7539" s="15"/>
      <c r="C7539" s="16"/>
      <c r="D7539" s="15"/>
      <c r="F7539" s="15"/>
      <c r="G7539" s="26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8"/>
      <c r="X7539" s="28"/>
      <c r="Y7539" s="28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28"/>
      <c r="AS7539" s="28"/>
      <c r="AT7539" s="28"/>
    </row>
    <row r="7540">
      <c r="A7540" s="14"/>
      <c r="B7540" s="15"/>
      <c r="C7540" s="16"/>
      <c r="D7540" s="15"/>
      <c r="F7540" s="15"/>
      <c r="G7540" s="26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8"/>
      <c r="X7540" s="28"/>
      <c r="Y7540" s="28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28"/>
      <c r="AS7540" s="28"/>
      <c r="AT7540" s="28"/>
    </row>
    <row r="7541">
      <c r="A7541" s="14"/>
      <c r="B7541" s="15"/>
      <c r="C7541" s="16"/>
      <c r="D7541" s="15"/>
      <c r="F7541" s="15"/>
      <c r="G7541" s="26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8"/>
      <c r="X7541" s="28"/>
      <c r="Y7541" s="28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28"/>
      <c r="AS7541" s="28"/>
      <c r="AT7541" s="28"/>
    </row>
    <row r="7542">
      <c r="A7542" s="14"/>
      <c r="B7542" s="15"/>
      <c r="C7542" s="16"/>
      <c r="D7542" s="15"/>
      <c r="F7542" s="15"/>
      <c r="G7542" s="26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8"/>
      <c r="X7542" s="28"/>
      <c r="Y7542" s="28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28"/>
      <c r="AS7542" s="28"/>
      <c r="AT7542" s="28"/>
    </row>
    <row r="7543">
      <c r="A7543" s="14"/>
      <c r="B7543" s="15"/>
      <c r="C7543" s="16"/>
      <c r="D7543" s="15"/>
      <c r="F7543" s="15"/>
      <c r="G7543" s="26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8"/>
      <c r="X7543" s="28"/>
      <c r="Y7543" s="28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28"/>
      <c r="AS7543" s="28"/>
      <c r="AT7543" s="28"/>
    </row>
    <row r="7544">
      <c r="A7544" s="14"/>
      <c r="B7544" s="15"/>
      <c r="C7544" s="16"/>
      <c r="D7544" s="15"/>
      <c r="F7544" s="15"/>
      <c r="G7544" s="26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8"/>
      <c r="X7544" s="28"/>
      <c r="Y7544" s="28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28"/>
      <c r="AS7544" s="28"/>
      <c r="AT7544" s="28"/>
    </row>
    <row r="7545">
      <c r="A7545" s="14"/>
      <c r="B7545" s="15"/>
      <c r="C7545" s="16"/>
      <c r="D7545" s="15"/>
      <c r="F7545" s="15"/>
      <c r="G7545" s="26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8"/>
      <c r="X7545" s="28"/>
      <c r="Y7545" s="28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28"/>
      <c r="AS7545" s="28"/>
      <c r="AT7545" s="28"/>
    </row>
    <row r="7546">
      <c r="A7546" s="14"/>
      <c r="B7546" s="15"/>
      <c r="C7546" s="16"/>
      <c r="D7546" s="15"/>
      <c r="F7546" s="15"/>
      <c r="G7546" s="26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8"/>
      <c r="X7546" s="28"/>
      <c r="Y7546" s="28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28"/>
      <c r="AS7546" s="28"/>
      <c r="AT7546" s="28"/>
    </row>
    <row r="7547">
      <c r="A7547" s="14"/>
      <c r="B7547" s="15"/>
      <c r="C7547" s="16"/>
      <c r="D7547" s="15"/>
      <c r="F7547" s="15"/>
      <c r="G7547" s="26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8"/>
      <c r="X7547" s="28"/>
      <c r="Y7547" s="28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28"/>
      <c r="AS7547" s="28"/>
      <c r="AT7547" s="28"/>
    </row>
    <row r="7548">
      <c r="A7548" s="14"/>
      <c r="B7548" s="15"/>
      <c r="C7548" s="16"/>
      <c r="D7548" s="15"/>
      <c r="F7548" s="15"/>
      <c r="G7548" s="26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8"/>
      <c r="X7548" s="28"/>
      <c r="Y7548" s="28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28"/>
      <c r="AS7548" s="28"/>
      <c r="AT7548" s="28"/>
    </row>
    <row r="7549">
      <c r="A7549" s="14"/>
      <c r="B7549" s="15"/>
      <c r="C7549" s="16"/>
      <c r="D7549" s="15"/>
      <c r="F7549" s="15"/>
      <c r="G7549" s="26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8"/>
      <c r="X7549" s="28"/>
      <c r="Y7549" s="28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28"/>
      <c r="AS7549" s="28"/>
      <c r="AT7549" s="28"/>
    </row>
    <row r="7550">
      <c r="A7550" s="14"/>
      <c r="B7550" s="15"/>
      <c r="C7550" s="16"/>
      <c r="D7550" s="15"/>
      <c r="F7550" s="15"/>
      <c r="G7550" s="26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8"/>
      <c r="X7550" s="28"/>
      <c r="Y7550" s="28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28"/>
      <c r="AS7550" s="28"/>
      <c r="AT7550" s="28"/>
    </row>
    <row r="7551">
      <c r="A7551" s="14"/>
      <c r="B7551" s="15"/>
      <c r="C7551" s="16"/>
      <c r="D7551" s="15"/>
      <c r="F7551" s="15"/>
      <c r="G7551" s="26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8"/>
      <c r="X7551" s="28"/>
      <c r="Y7551" s="28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28"/>
      <c r="AS7551" s="28"/>
      <c r="AT7551" s="28"/>
    </row>
    <row r="7552">
      <c r="A7552" s="14"/>
      <c r="B7552" s="15"/>
      <c r="C7552" s="16"/>
      <c r="D7552" s="15"/>
      <c r="F7552" s="15"/>
      <c r="G7552" s="26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28"/>
      <c r="AS7552" s="28"/>
      <c r="AT7552" s="28"/>
    </row>
    <row r="7553">
      <c r="A7553" s="14"/>
      <c r="B7553" s="15"/>
      <c r="C7553" s="16"/>
      <c r="D7553" s="15"/>
      <c r="F7553" s="15"/>
      <c r="G7553" s="26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28"/>
      <c r="AS7553" s="28"/>
      <c r="AT7553" s="28"/>
    </row>
    <row r="7554">
      <c r="A7554" s="14"/>
      <c r="B7554" s="15"/>
      <c r="C7554" s="16"/>
      <c r="D7554" s="15"/>
      <c r="F7554" s="15"/>
      <c r="G7554" s="26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28"/>
      <c r="AS7554" s="28"/>
      <c r="AT7554" s="28"/>
    </row>
    <row r="7555">
      <c r="A7555" s="14"/>
      <c r="B7555" s="15"/>
      <c r="C7555" s="16"/>
      <c r="D7555" s="15"/>
      <c r="F7555" s="15"/>
      <c r="G7555" s="26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28"/>
      <c r="AS7555" s="28"/>
      <c r="AT7555" s="28"/>
    </row>
    <row r="7556">
      <c r="A7556" s="14"/>
      <c r="B7556" s="15"/>
      <c r="C7556" s="16"/>
      <c r="D7556" s="15"/>
      <c r="F7556" s="15"/>
      <c r="G7556" s="26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28"/>
      <c r="AS7556" s="28"/>
      <c r="AT7556" s="28"/>
    </row>
    <row r="7557">
      <c r="A7557" s="14"/>
      <c r="B7557" s="15"/>
      <c r="C7557" s="16"/>
      <c r="D7557" s="15"/>
      <c r="F7557" s="15"/>
      <c r="G7557" s="26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8"/>
      <c r="X7557" s="28"/>
      <c r="Y7557" s="28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28"/>
      <c r="AS7557" s="28"/>
      <c r="AT7557" s="28"/>
    </row>
    <row r="7558">
      <c r="A7558" s="14"/>
      <c r="B7558" s="15"/>
      <c r="C7558" s="16"/>
      <c r="D7558" s="15"/>
      <c r="F7558" s="15"/>
      <c r="G7558" s="26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8"/>
      <c r="X7558" s="28"/>
      <c r="Y7558" s="28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28"/>
      <c r="AS7558" s="28"/>
      <c r="AT7558" s="28"/>
    </row>
    <row r="7559">
      <c r="A7559" s="14"/>
      <c r="B7559" s="15"/>
      <c r="C7559" s="16"/>
      <c r="D7559" s="15"/>
      <c r="F7559" s="15"/>
      <c r="G7559" s="26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8"/>
      <c r="X7559" s="28"/>
      <c r="Y7559" s="28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28"/>
      <c r="AS7559" s="28"/>
      <c r="AT7559" s="28"/>
    </row>
    <row r="7560">
      <c r="A7560" s="14"/>
      <c r="B7560" s="15"/>
      <c r="C7560" s="16"/>
      <c r="D7560" s="15"/>
      <c r="F7560" s="15"/>
      <c r="G7560" s="26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28"/>
      <c r="AS7560" s="28"/>
      <c r="AT7560" s="28"/>
    </row>
    <row r="7561">
      <c r="A7561" s="14"/>
      <c r="B7561" s="15"/>
      <c r="C7561" s="16"/>
      <c r="D7561" s="15"/>
      <c r="F7561" s="15"/>
      <c r="G7561" s="26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8"/>
      <c r="X7561" s="28"/>
      <c r="Y7561" s="28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28"/>
      <c r="AS7561" s="28"/>
      <c r="AT7561" s="28"/>
    </row>
    <row r="7562">
      <c r="A7562" s="14"/>
      <c r="B7562" s="15"/>
      <c r="C7562" s="16"/>
      <c r="D7562" s="15"/>
      <c r="F7562" s="15"/>
      <c r="G7562" s="26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28"/>
      <c r="AS7562" s="28"/>
      <c r="AT7562" s="28"/>
    </row>
    <row r="7563">
      <c r="A7563" s="14"/>
      <c r="B7563" s="15"/>
      <c r="C7563" s="16"/>
      <c r="D7563" s="15"/>
      <c r="F7563" s="15"/>
      <c r="G7563" s="26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8"/>
      <c r="X7563" s="28"/>
      <c r="Y7563" s="28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28"/>
      <c r="AS7563" s="28"/>
      <c r="AT7563" s="28"/>
    </row>
    <row r="7564">
      <c r="A7564" s="14"/>
      <c r="B7564" s="15"/>
      <c r="C7564" s="16"/>
      <c r="D7564" s="15"/>
      <c r="F7564" s="15"/>
      <c r="G7564" s="26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8"/>
      <c r="X7564" s="28"/>
      <c r="Y7564" s="28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28"/>
      <c r="AS7564" s="28"/>
      <c r="AT7564" s="28"/>
    </row>
    <row r="7565">
      <c r="A7565" s="14"/>
      <c r="B7565" s="15"/>
      <c r="C7565" s="16"/>
      <c r="D7565" s="15"/>
      <c r="F7565" s="15"/>
      <c r="G7565" s="26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8"/>
      <c r="X7565" s="28"/>
      <c r="Y7565" s="28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28"/>
      <c r="AS7565" s="28"/>
      <c r="AT7565" s="28"/>
    </row>
    <row r="7566">
      <c r="A7566" s="14"/>
      <c r="B7566" s="15"/>
      <c r="C7566" s="16"/>
      <c r="D7566" s="15"/>
      <c r="F7566" s="15"/>
      <c r="G7566" s="26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8"/>
      <c r="X7566" s="28"/>
      <c r="Y7566" s="28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28"/>
      <c r="AS7566" s="28"/>
      <c r="AT7566" s="28"/>
    </row>
    <row r="7567">
      <c r="A7567" s="14"/>
      <c r="B7567" s="15"/>
      <c r="C7567" s="16"/>
      <c r="D7567" s="15"/>
      <c r="F7567" s="15"/>
      <c r="G7567" s="26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8"/>
      <c r="X7567" s="28"/>
      <c r="Y7567" s="28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28"/>
      <c r="AS7567" s="28"/>
      <c r="AT7567" s="28"/>
    </row>
    <row r="7568">
      <c r="A7568" s="14"/>
      <c r="B7568" s="15"/>
      <c r="C7568" s="16"/>
      <c r="D7568" s="15"/>
      <c r="F7568" s="15"/>
      <c r="G7568" s="26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8"/>
      <c r="X7568" s="28"/>
      <c r="Y7568" s="28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28"/>
      <c r="AS7568" s="28"/>
      <c r="AT7568" s="28"/>
    </row>
    <row r="7569">
      <c r="A7569" s="14"/>
      <c r="B7569" s="15"/>
      <c r="C7569" s="16"/>
      <c r="D7569" s="15"/>
      <c r="F7569" s="15"/>
      <c r="G7569" s="26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8"/>
      <c r="X7569" s="28"/>
      <c r="Y7569" s="28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28"/>
      <c r="AS7569" s="28"/>
      <c r="AT7569" s="28"/>
    </row>
    <row r="7570">
      <c r="A7570" s="14"/>
      <c r="B7570" s="15"/>
      <c r="C7570" s="16"/>
      <c r="D7570" s="15"/>
      <c r="F7570" s="15"/>
      <c r="G7570" s="26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8"/>
      <c r="X7570" s="28"/>
      <c r="Y7570" s="28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28"/>
      <c r="AS7570" s="28"/>
      <c r="AT7570" s="28"/>
    </row>
    <row r="7571">
      <c r="A7571" s="14"/>
      <c r="B7571" s="15"/>
      <c r="C7571" s="16"/>
      <c r="D7571" s="15"/>
      <c r="F7571" s="15"/>
      <c r="G7571" s="26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8"/>
      <c r="X7571" s="28"/>
      <c r="Y7571" s="28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28"/>
      <c r="AS7571" s="28"/>
      <c r="AT7571" s="28"/>
    </row>
    <row r="7572">
      <c r="A7572" s="14"/>
      <c r="B7572" s="15"/>
      <c r="C7572" s="16"/>
      <c r="D7572" s="15"/>
      <c r="F7572" s="15"/>
      <c r="G7572" s="26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8"/>
      <c r="X7572" s="28"/>
      <c r="Y7572" s="28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28"/>
      <c r="AS7572" s="28"/>
      <c r="AT7572" s="28"/>
    </row>
    <row r="7573">
      <c r="A7573" s="14"/>
      <c r="B7573" s="15"/>
      <c r="C7573" s="16"/>
      <c r="D7573" s="15"/>
      <c r="F7573" s="15"/>
      <c r="G7573" s="26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8"/>
      <c r="X7573" s="28"/>
      <c r="Y7573" s="28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28"/>
      <c r="AS7573" s="28"/>
      <c r="AT7573" s="28"/>
    </row>
    <row r="7574">
      <c r="A7574" s="14"/>
      <c r="B7574" s="15"/>
      <c r="C7574" s="16"/>
      <c r="D7574" s="15"/>
      <c r="F7574" s="15"/>
      <c r="G7574" s="26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8"/>
      <c r="X7574" s="28"/>
      <c r="Y7574" s="28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28"/>
      <c r="AS7574" s="28"/>
      <c r="AT7574" s="28"/>
    </row>
    <row r="7575">
      <c r="A7575" s="14"/>
      <c r="B7575" s="15"/>
      <c r="C7575" s="16"/>
      <c r="D7575" s="15"/>
      <c r="F7575" s="15"/>
      <c r="G7575" s="26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8"/>
      <c r="X7575" s="28"/>
      <c r="Y7575" s="28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28"/>
      <c r="AS7575" s="28"/>
      <c r="AT7575" s="28"/>
    </row>
    <row r="7576">
      <c r="A7576" s="14"/>
      <c r="B7576" s="15"/>
      <c r="C7576" s="16"/>
      <c r="D7576" s="15"/>
      <c r="F7576" s="15"/>
      <c r="G7576" s="26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8"/>
      <c r="X7576" s="28"/>
      <c r="Y7576" s="28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28"/>
      <c r="AS7576" s="28"/>
      <c r="AT7576" s="28"/>
    </row>
    <row r="7577">
      <c r="A7577" s="14"/>
      <c r="B7577" s="15"/>
      <c r="C7577" s="16"/>
      <c r="D7577" s="15"/>
      <c r="F7577" s="15"/>
      <c r="G7577" s="26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8"/>
      <c r="X7577" s="28"/>
      <c r="Y7577" s="28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28"/>
      <c r="AS7577" s="28"/>
      <c r="AT7577" s="28"/>
    </row>
    <row r="7578">
      <c r="A7578" s="14"/>
      <c r="B7578" s="15"/>
      <c r="C7578" s="16"/>
      <c r="D7578" s="15"/>
      <c r="F7578" s="15"/>
      <c r="G7578" s="26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8"/>
      <c r="X7578" s="28"/>
      <c r="Y7578" s="28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28"/>
      <c r="AS7578" s="28"/>
      <c r="AT7578" s="28"/>
    </row>
    <row r="7579">
      <c r="A7579" s="14"/>
      <c r="B7579" s="15"/>
      <c r="C7579" s="16"/>
      <c r="D7579" s="15"/>
      <c r="F7579" s="15"/>
      <c r="G7579" s="26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8"/>
      <c r="X7579" s="28"/>
      <c r="Y7579" s="28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28"/>
      <c r="AS7579" s="28"/>
      <c r="AT7579" s="28"/>
    </row>
    <row r="7580">
      <c r="A7580" s="14"/>
      <c r="B7580" s="15"/>
      <c r="C7580" s="16"/>
      <c r="D7580" s="15"/>
      <c r="F7580" s="15"/>
      <c r="G7580" s="26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8"/>
      <c r="X7580" s="28"/>
      <c r="Y7580" s="28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28"/>
      <c r="AS7580" s="28"/>
      <c r="AT7580" s="28"/>
    </row>
    <row r="7581">
      <c r="A7581" s="14"/>
      <c r="B7581" s="15"/>
      <c r="C7581" s="16"/>
      <c r="D7581" s="15"/>
      <c r="F7581" s="15"/>
      <c r="G7581" s="26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8"/>
      <c r="X7581" s="28"/>
      <c r="Y7581" s="28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28"/>
      <c r="AS7581" s="28"/>
      <c r="AT7581" s="28"/>
    </row>
    <row r="7582">
      <c r="A7582" s="14"/>
      <c r="B7582" s="15"/>
      <c r="C7582" s="16"/>
      <c r="D7582" s="15"/>
      <c r="F7582" s="15"/>
      <c r="G7582" s="26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8"/>
      <c r="X7582" s="28"/>
      <c r="Y7582" s="28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28"/>
      <c r="AS7582" s="28"/>
      <c r="AT7582" s="28"/>
    </row>
    <row r="7583">
      <c r="A7583" s="14"/>
      <c r="B7583" s="15"/>
      <c r="C7583" s="16"/>
      <c r="D7583" s="15"/>
      <c r="F7583" s="15"/>
      <c r="G7583" s="26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8"/>
      <c r="X7583" s="28"/>
      <c r="Y7583" s="28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28"/>
      <c r="AS7583" s="28"/>
      <c r="AT7583" s="28"/>
    </row>
    <row r="7584">
      <c r="A7584" s="14"/>
      <c r="B7584" s="15"/>
      <c r="C7584" s="16"/>
      <c r="D7584" s="15"/>
      <c r="F7584" s="15"/>
      <c r="G7584" s="26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8"/>
      <c r="X7584" s="28"/>
      <c r="Y7584" s="28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28"/>
      <c r="AS7584" s="28"/>
      <c r="AT7584" s="28"/>
    </row>
    <row r="7585">
      <c r="A7585" s="14"/>
      <c r="B7585" s="15"/>
      <c r="C7585" s="16"/>
      <c r="D7585" s="15"/>
      <c r="F7585" s="15"/>
      <c r="G7585" s="26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8"/>
      <c r="X7585" s="28"/>
      <c r="Y7585" s="28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28"/>
      <c r="AS7585" s="28"/>
      <c r="AT7585" s="28"/>
    </row>
    <row r="7586">
      <c r="A7586" s="14"/>
      <c r="B7586" s="15"/>
      <c r="C7586" s="16"/>
      <c r="D7586" s="15"/>
      <c r="F7586" s="15"/>
      <c r="G7586" s="26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8"/>
      <c r="X7586" s="28"/>
      <c r="Y7586" s="28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28"/>
      <c r="AS7586" s="28"/>
      <c r="AT7586" s="28"/>
    </row>
    <row r="7587">
      <c r="A7587" s="14"/>
      <c r="B7587" s="15"/>
      <c r="C7587" s="16"/>
      <c r="D7587" s="15"/>
      <c r="F7587" s="15"/>
      <c r="G7587" s="26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8"/>
      <c r="X7587" s="28"/>
      <c r="Y7587" s="28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28"/>
      <c r="AS7587" s="28"/>
      <c r="AT7587" s="28"/>
    </row>
    <row r="7588">
      <c r="A7588" s="14"/>
      <c r="B7588" s="15"/>
      <c r="C7588" s="16"/>
      <c r="D7588" s="15"/>
      <c r="F7588" s="15"/>
      <c r="G7588" s="26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8"/>
      <c r="X7588" s="28"/>
      <c r="Y7588" s="28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28"/>
      <c r="AS7588" s="28"/>
      <c r="AT7588" s="28"/>
    </row>
    <row r="7589">
      <c r="A7589" s="14"/>
      <c r="B7589" s="15"/>
      <c r="C7589" s="16"/>
      <c r="D7589" s="15"/>
      <c r="F7589" s="15"/>
      <c r="G7589" s="26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8"/>
      <c r="X7589" s="28"/>
      <c r="Y7589" s="28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28"/>
      <c r="AS7589" s="28"/>
      <c r="AT7589" s="28"/>
    </row>
    <row r="7590">
      <c r="A7590" s="14"/>
      <c r="B7590" s="15"/>
      <c r="C7590" s="16"/>
      <c r="D7590" s="15"/>
      <c r="F7590" s="15"/>
      <c r="G7590" s="26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28"/>
      <c r="AS7590" s="28"/>
      <c r="AT7590" s="28"/>
    </row>
    <row r="7591">
      <c r="A7591" s="14"/>
      <c r="B7591" s="15"/>
      <c r="C7591" s="16"/>
      <c r="D7591" s="15"/>
      <c r="F7591" s="15"/>
      <c r="G7591" s="26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8"/>
      <c r="X7591" s="28"/>
      <c r="Y7591" s="28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28"/>
      <c r="AS7591" s="28"/>
      <c r="AT7591" s="28"/>
    </row>
    <row r="7592">
      <c r="A7592" s="14"/>
      <c r="B7592" s="15"/>
      <c r="C7592" s="16"/>
      <c r="D7592" s="15"/>
      <c r="F7592" s="15"/>
      <c r="G7592" s="26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8"/>
      <c r="X7592" s="28"/>
      <c r="Y7592" s="28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28"/>
      <c r="AS7592" s="28"/>
      <c r="AT7592" s="28"/>
    </row>
    <row r="7593">
      <c r="A7593" s="14"/>
      <c r="B7593" s="15"/>
      <c r="C7593" s="16"/>
      <c r="D7593" s="15"/>
      <c r="F7593" s="15"/>
      <c r="G7593" s="26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8"/>
      <c r="X7593" s="28"/>
      <c r="Y7593" s="28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28"/>
      <c r="AS7593" s="28"/>
      <c r="AT7593" s="28"/>
    </row>
    <row r="7594">
      <c r="A7594" s="14"/>
      <c r="B7594" s="15"/>
      <c r="C7594" s="16"/>
      <c r="D7594" s="15"/>
      <c r="F7594" s="15"/>
      <c r="G7594" s="26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8"/>
      <c r="X7594" s="28"/>
      <c r="Y7594" s="28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28"/>
      <c r="AS7594" s="28"/>
      <c r="AT7594" s="28"/>
    </row>
    <row r="7595">
      <c r="A7595" s="14"/>
      <c r="B7595" s="15"/>
      <c r="C7595" s="16"/>
      <c r="D7595" s="15"/>
      <c r="F7595" s="15"/>
      <c r="G7595" s="26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8"/>
      <c r="X7595" s="28"/>
      <c r="Y7595" s="28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28"/>
      <c r="AS7595" s="28"/>
      <c r="AT7595" s="28"/>
    </row>
    <row r="7596">
      <c r="A7596" s="14"/>
      <c r="B7596" s="15"/>
      <c r="C7596" s="16"/>
      <c r="D7596" s="15"/>
      <c r="F7596" s="15"/>
      <c r="G7596" s="26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28"/>
      <c r="AS7596" s="28"/>
      <c r="AT7596" s="28"/>
    </row>
    <row r="7597">
      <c r="A7597" s="14"/>
      <c r="B7597" s="15"/>
      <c r="C7597" s="16"/>
      <c r="D7597" s="15"/>
      <c r="F7597" s="15"/>
      <c r="G7597" s="26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8"/>
      <c r="X7597" s="28"/>
      <c r="Y7597" s="28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28"/>
      <c r="AS7597" s="28"/>
      <c r="AT7597" s="28"/>
    </row>
    <row r="7598">
      <c r="A7598" s="14"/>
      <c r="B7598" s="15"/>
      <c r="C7598" s="16"/>
      <c r="D7598" s="15"/>
      <c r="F7598" s="15"/>
      <c r="G7598" s="26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8"/>
      <c r="X7598" s="28"/>
      <c r="Y7598" s="28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28"/>
      <c r="AS7598" s="28"/>
      <c r="AT7598" s="28"/>
    </row>
    <row r="7599">
      <c r="A7599" s="14"/>
      <c r="B7599" s="15"/>
      <c r="C7599" s="16"/>
      <c r="D7599" s="15"/>
      <c r="F7599" s="15"/>
      <c r="G7599" s="26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8"/>
      <c r="X7599" s="28"/>
      <c r="Y7599" s="28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28"/>
      <c r="AS7599" s="28"/>
      <c r="AT7599" s="28"/>
    </row>
    <row r="7600">
      <c r="A7600" s="14"/>
      <c r="B7600" s="15"/>
      <c r="C7600" s="16"/>
      <c r="D7600" s="15"/>
      <c r="F7600" s="15"/>
      <c r="G7600" s="26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8"/>
      <c r="X7600" s="28"/>
      <c r="Y7600" s="28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28"/>
      <c r="AS7600" s="28"/>
      <c r="AT7600" s="28"/>
    </row>
    <row r="7601">
      <c r="A7601" s="14"/>
      <c r="B7601" s="15"/>
      <c r="C7601" s="16"/>
      <c r="D7601" s="15"/>
      <c r="F7601" s="15"/>
      <c r="G7601" s="26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8"/>
      <c r="X7601" s="28"/>
      <c r="Y7601" s="28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28"/>
      <c r="AS7601" s="28"/>
      <c r="AT7601" s="28"/>
    </row>
    <row r="7602">
      <c r="A7602" s="14"/>
      <c r="B7602" s="15"/>
      <c r="C7602" s="16"/>
      <c r="D7602" s="15"/>
      <c r="F7602" s="15"/>
      <c r="G7602" s="26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8"/>
      <c r="X7602" s="28"/>
      <c r="Y7602" s="28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28"/>
      <c r="AS7602" s="28"/>
      <c r="AT7602" s="28"/>
    </row>
    <row r="7603">
      <c r="A7603" s="14"/>
      <c r="B7603" s="15"/>
      <c r="C7603" s="16"/>
      <c r="D7603" s="15"/>
      <c r="F7603" s="15"/>
      <c r="G7603" s="26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8"/>
      <c r="X7603" s="28"/>
      <c r="Y7603" s="28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28"/>
      <c r="AS7603" s="28"/>
      <c r="AT7603" s="28"/>
    </row>
    <row r="7604">
      <c r="A7604" s="14"/>
      <c r="B7604" s="15"/>
      <c r="C7604" s="16"/>
      <c r="D7604" s="15"/>
      <c r="F7604" s="15"/>
      <c r="G7604" s="26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8"/>
      <c r="X7604" s="28"/>
      <c r="Y7604" s="28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28"/>
      <c r="AS7604" s="28"/>
      <c r="AT7604" s="28"/>
    </row>
    <row r="7605">
      <c r="A7605" s="14"/>
      <c r="B7605" s="15"/>
      <c r="C7605" s="16"/>
      <c r="D7605" s="15"/>
      <c r="F7605" s="15"/>
      <c r="G7605" s="26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8"/>
      <c r="X7605" s="28"/>
      <c r="Y7605" s="28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28"/>
      <c r="AS7605" s="28"/>
      <c r="AT7605" s="28"/>
    </row>
    <row r="7606">
      <c r="A7606" s="14"/>
      <c r="B7606" s="15"/>
      <c r="C7606" s="16"/>
      <c r="D7606" s="15"/>
      <c r="F7606" s="15"/>
      <c r="G7606" s="26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8"/>
      <c r="X7606" s="28"/>
      <c r="Y7606" s="28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28"/>
      <c r="AS7606" s="28"/>
      <c r="AT7606" s="28"/>
    </row>
    <row r="7607">
      <c r="A7607" s="14"/>
      <c r="B7607" s="15"/>
      <c r="C7607" s="16"/>
      <c r="D7607" s="15"/>
      <c r="F7607" s="15"/>
      <c r="G7607" s="26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8"/>
      <c r="X7607" s="28"/>
      <c r="Y7607" s="28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28"/>
      <c r="AS7607" s="28"/>
      <c r="AT7607" s="28"/>
    </row>
    <row r="7608">
      <c r="A7608" s="14"/>
      <c r="B7608" s="15"/>
      <c r="C7608" s="16"/>
      <c r="D7608" s="15"/>
      <c r="F7608" s="15"/>
      <c r="G7608" s="26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8"/>
      <c r="X7608" s="28"/>
      <c r="Y7608" s="28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28"/>
      <c r="AS7608" s="28"/>
      <c r="AT7608" s="28"/>
    </row>
    <row r="7609">
      <c r="A7609" s="14"/>
      <c r="B7609" s="15"/>
      <c r="C7609" s="16"/>
      <c r="D7609" s="15"/>
      <c r="F7609" s="15"/>
      <c r="G7609" s="26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8"/>
      <c r="X7609" s="28"/>
      <c r="Y7609" s="28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28"/>
      <c r="AS7609" s="28"/>
      <c r="AT7609" s="28"/>
    </row>
    <row r="7610">
      <c r="A7610" s="14"/>
      <c r="B7610" s="15"/>
      <c r="C7610" s="16"/>
      <c r="D7610" s="15"/>
      <c r="F7610" s="15"/>
      <c r="G7610" s="26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8"/>
      <c r="X7610" s="28"/>
      <c r="Y7610" s="28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28"/>
      <c r="AS7610" s="28"/>
      <c r="AT7610" s="28"/>
    </row>
    <row r="7611">
      <c r="A7611" s="14"/>
      <c r="B7611" s="15"/>
      <c r="C7611" s="16"/>
      <c r="D7611" s="15"/>
      <c r="F7611" s="15"/>
      <c r="G7611" s="26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8"/>
      <c r="X7611" s="28"/>
      <c r="Y7611" s="28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28"/>
      <c r="AS7611" s="28"/>
      <c r="AT7611" s="28"/>
    </row>
    <row r="7612">
      <c r="A7612" s="14"/>
      <c r="B7612" s="15"/>
      <c r="C7612" s="16"/>
      <c r="D7612" s="15"/>
      <c r="F7612" s="15"/>
      <c r="G7612" s="26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28"/>
      <c r="AS7612" s="28"/>
      <c r="AT7612" s="28"/>
    </row>
    <row r="7613">
      <c r="A7613" s="14"/>
      <c r="B7613" s="15"/>
      <c r="C7613" s="16"/>
      <c r="D7613" s="15"/>
      <c r="F7613" s="15"/>
      <c r="G7613" s="26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8"/>
      <c r="X7613" s="28"/>
      <c r="Y7613" s="28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28"/>
      <c r="AS7613" s="28"/>
      <c r="AT7613" s="28"/>
    </row>
    <row r="7614">
      <c r="A7614" s="14"/>
      <c r="B7614" s="15"/>
      <c r="C7614" s="16"/>
      <c r="D7614" s="15"/>
      <c r="F7614" s="15"/>
      <c r="G7614" s="26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8"/>
      <c r="X7614" s="28"/>
      <c r="Y7614" s="28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28"/>
      <c r="AS7614" s="28"/>
      <c r="AT7614" s="28"/>
    </row>
    <row r="7615">
      <c r="A7615" s="14"/>
      <c r="B7615" s="15"/>
      <c r="C7615" s="16"/>
      <c r="D7615" s="15"/>
      <c r="F7615" s="15"/>
      <c r="G7615" s="26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8"/>
      <c r="X7615" s="28"/>
      <c r="Y7615" s="28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28"/>
      <c r="AS7615" s="28"/>
      <c r="AT7615" s="28"/>
    </row>
    <row r="7616">
      <c r="A7616" s="14"/>
      <c r="B7616" s="15"/>
      <c r="C7616" s="16"/>
      <c r="D7616" s="15"/>
      <c r="F7616" s="15"/>
      <c r="G7616" s="26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28"/>
      <c r="AS7616" s="28"/>
      <c r="AT7616" s="28"/>
    </row>
    <row r="7617">
      <c r="A7617" s="14"/>
      <c r="B7617" s="15"/>
      <c r="C7617" s="16"/>
      <c r="D7617" s="15"/>
      <c r="F7617" s="15"/>
      <c r="G7617" s="26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8"/>
      <c r="X7617" s="28"/>
      <c r="Y7617" s="28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28"/>
      <c r="AS7617" s="28"/>
      <c r="AT7617" s="28"/>
    </row>
    <row r="7618">
      <c r="A7618" s="14"/>
      <c r="B7618" s="15"/>
      <c r="C7618" s="16"/>
      <c r="D7618" s="15"/>
      <c r="F7618" s="15"/>
      <c r="G7618" s="26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8"/>
      <c r="X7618" s="28"/>
      <c r="Y7618" s="28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28"/>
      <c r="AS7618" s="28"/>
      <c r="AT7618" s="28"/>
    </row>
    <row r="7619">
      <c r="A7619" s="14"/>
      <c r="B7619" s="15"/>
      <c r="C7619" s="16"/>
      <c r="D7619" s="15"/>
      <c r="F7619" s="15"/>
      <c r="G7619" s="26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8"/>
      <c r="X7619" s="28"/>
      <c r="Y7619" s="28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28"/>
      <c r="AS7619" s="28"/>
      <c r="AT7619" s="28"/>
    </row>
    <row r="7620">
      <c r="A7620" s="14"/>
      <c r="B7620" s="15"/>
      <c r="C7620" s="16"/>
      <c r="D7620" s="15"/>
      <c r="F7620" s="15"/>
      <c r="G7620" s="26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28"/>
      <c r="AS7620" s="28"/>
      <c r="AT7620" s="28"/>
    </row>
    <row r="7621">
      <c r="A7621" s="14"/>
      <c r="B7621" s="15"/>
      <c r="C7621" s="16"/>
      <c r="D7621" s="15"/>
      <c r="F7621" s="15"/>
      <c r="G7621" s="26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8"/>
      <c r="X7621" s="28"/>
      <c r="Y7621" s="28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28"/>
      <c r="AS7621" s="28"/>
      <c r="AT7621" s="28"/>
    </row>
    <row r="7622">
      <c r="A7622" s="14"/>
      <c r="B7622" s="15"/>
      <c r="C7622" s="16"/>
      <c r="D7622" s="15"/>
      <c r="F7622" s="15"/>
      <c r="G7622" s="26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8"/>
      <c r="X7622" s="28"/>
      <c r="Y7622" s="28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28"/>
      <c r="AS7622" s="28"/>
      <c r="AT7622" s="28"/>
    </row>
    <row r="7623">
      <c r="A7623" s="14"/>
      <c r="B7623" s="15"/>
      <c r="C7623" s="16"/>
      <c r="D7623" s="15"/>
      <c r="F7623" s="15"/>
      <c r="G7623" s="26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8"/>
      <c r="X7623" s="28"/>
      <c r="Y7623" s="28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28"/>
      <c r="AS7623" s="28"/>
      <c r="AT7623" s="28"/>
    </row>
    <row r="7624">
      <c r="A7624" s="14"/>
      <c r="B7624" s="15"/>
      <c r="C7624" s="16"/>
      <c r="D7624" s="15"/>
      <c r="F7624" s="15"/>
      <c r="G7624" s="26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8"/>
      <c r="X7624" s="28"/>
      <c r="Y7624" s="28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28"/>
      <c r="AS7624" s="28"/>
      <c r="AT7624" s="28"/>
    </row>
    <row r="7625">
      <c r="A7625" s="14"/>
      <c r="B7625" s="15"/>
      <c r="C7625" s="16"/>
      <c r="D7625" s="15"/>
      <c r="F7625" s="15"/>
      <c r="G7625" s="26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8"/>
      <c r="X7625" s="28"/>
      <c r="Y7625" s="28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28"/>
      <c r="AS7625" s="28"/>
      <c r="AT7625" s="28"/>
    </row>
    <row r="7626">
      <c r="A7626" s="14"/>
      <c r="B7626" s="15"/>
      <c r="C7626" s="16"/>
      <c r="D7626" s="15"/>
      <c r="F7626" s="15"/>
      <c r="G7626" s="26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8"/>
      <c r="X7626" s="28"/>
      <c r="Y7626" s="28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28"/>
      <c r="AS7626" s="28"/>
      <c r="AT7626" s="28"/>
    </row>
    <row r="7627">
      <c r="A7627" s="14"/>
      <c r="B7627" s="15"/>
      <c r="C7627" s="16"/>
      <c r="D7627" s="15"/>
      <c r="F7627" s="15"/>
      <c r="G7627" s="26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8"/>
      <c r="X7627" s="28"/>
      <c r="Y7627" s="28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28"/>
      <c r="AS7627" s="28"/>
      <c r="AT7627" s="28"/>
    </row>
    <row r="7628">
      <c r="A7628" s="14"/>
      <c r="B7628" s="15"/>
      <c r="C7628" s="16"/>
      <c r="D7628" s="15"/>
      <c r="F7628" s="15"/>
      <c r="G7628" s="26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8"/>
      <c r="X7628" s="28"/>
      <c r="Y7628" s="28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28"/>
      <c r="AS7628" s="28"/>
      <c r="AT7628" s="28"/>
    </row>
    <row r="7629">
      <c r="A7629" s="14"/>
      <c r="B7629" s="15"/>
      <c r="C7629" s="16"/>
      <c r="D7629" s="15"/>
      <c r="F7629" s="15"/>
      <c r="G7629" s="26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8"/>
      <c r="X7629" s="28"/>
      <c r="Y7629" s="28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28"/>
      <c r="AS7629" s="28"/>
      <c r="AT7629" s="28"/>
    </row>
    <row r="7630">
      <c r="A7630" s="14"/>
      <c r="B7630" s="15"/>
      <c r="C7630" s="16"/>
      <c r="D7630" s="15"/>
      <c r="F7630" s="15"/>
      <c r="G7630" s="26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8"/>
      <c r="X7630" s="28"/>
      <c r="Y7630" s="28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28"/>
      <c r="AS7630" s="28"/>
      <c r="AT7630" s="28"/>
    </row>
    <row r="7631">
      <c r="A7631" s="14"/>
      <c r="B7631" s="15"/>
      <c r="C7631" s="16"/>
      <c r="D7631" s="15"/>
      <c r="F7631" s="15"/>
      <c r="G7631" s="26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8"/>
      <c r="X7631" s="28"/>
      <c r="Y7631" s="28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28"/>
      <c r="AS7631" s="28"/>
      <c r="AT7631" s="28"/>
    </row>
    <row r="7632">
      <c r="A7632" s="14"/>
      <c r="B7632" s="15"/>
      <c r="C7632" s="16"/>
      <c r="D7632" s="15"/>
      <c r="F7632" s="15"/>
      <c r="G7632" s="26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8"/>
      <c r="X7632" s="28"/>
      <c r="Y7632" s="28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28"/>
      <c r="AS7632" s="28"/>
      <c r="AT7632" s="28"/>
    </row>
    <row r="7633">
      <c r="A7633" s="14"/>
      <c r="B7633" s="15"/>
      <c r="C7633" s="16"/>
      <c r="D7633" s="15"/>
      <c r="F7633" s="15"/>
      <c r="G7633" s="26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8"/>
      <c r="X7633" s="28"/>
      <c r="Y7633" s="28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28"/>
      <c r="AS7633" s="28"/>
      <c r="AT7633" s="28"/>
    </row>
    <row r="7634">
      <c r="A7634" s="14"/>
      <c r="B7634" s="15"/>
      <c r="C7634" s="16"/>
      <c r="D7634" s="15"/>
      <c r="F7634" s="15"/>
      <c r="G7634" s="26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8"/>
      <c r="X7634" s="28"/>
      <c r="Y7634" s="28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28"/>
      <c r="AS7634" s="28"/>
      <c r="AT7634" s="28"/>
    </row>
    <row r="7635">
      <c r="A7635" s="14"/>
      <c r="B7635" s="15"/>
      <c r="C7635" s="16"/>
      <c r="D7635" s="15"/>
      <c r="F7635" s="15"/>
      <c r="G7635" s="26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8"/>
      <c r="X7635" s="28"/>
      <c r="Y7635" s="28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28"/>
      <c r="AS7635" s="28"/>
      <c r="AT7635" s="28"/>
    </row>
    <row r="7636">
      <c r="A7636" s="14"/>
      <c r="B7636" s="15"/>
      <c r="C7636" s="16"/>
      <c r="D7636" s="15"/>
      <c r="F7636" s="15"/>
      <c r="G7636" s="26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8"/>
      <c r="X7636" s="28"/>
      <c r="Y7636" s="28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28"/>
      <c r="AS7636" s="28"/>
      <c r="AT7636" s="28"/>
    </row>
    <row r="7637">
      <c r="A7637" s="14"/>
      <c r="B7637" s="15"/>
      <c r="C7637" s="16"/>
      <c r="D7637" s="15"/>
      <c r="F7637" s="15"/>
      <c r="G7637" s="26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8"/>
      <c r="X7637" s="28"/>
      <c r="Y7637" s="28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28"/>
      <c r="AS7637" s="28"/>
      <c r="AT7637" s="28"/>
    </row>
    <row r="7638">
      <c r="A7638" s="14"/>
      <c r="B7638" s="15"/>
      <c r="C7638" s="16"/>
      <c r="D7638" s="15"/>
      <c r="F7638" s="15"/>
      <c r="G7638" s="26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8"/>
      <c r="X7638" s="28"/>
      <c r="Y7638" s="28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28"/>
      <c r="AS7638" s="28"/>
      <c r="AT7638" s="28"/>
    </row>
    <row r="7639">
      <c r="A7639" s="14"/>
      <c r="B7639" s="15"/>
      <c r="C7639" s="16"/>
      <c r="D7639" s="15"/>
      <c r="F7639" s="15"/>
      <c r="G7639" s="26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8"/>
      <c r="X7639" s="28"/>
      <c r="Y7639" s="28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28"/>
      <c r="AS7639" s="28"/>
      <c r="AT7639" s="28"/>
    </row>
    <row r="7640">
      <c r="A7640" s="14"/>
      <c r="B7640" s="15"/>
      <c r="C7640" s="16"/>
      <c r="D7640" s="15"/>
      <c r="F7640" s="15"/>
      <c r="G7640" s="26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8"/>
      <c r="X7640" s="28"/>
      <c r="Y7640" s="28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28"/>
      <c r="AS7640" s="28"/>
      <c r="AT7640" s="28"/>
    </row>
    <row r="7641">
      <c r="A7641" s="14"/>
      <c r="B7641" s="15"/>
      <c r="C7641" s="16"/>
      <c r="D7641" s="15"/>
      <c r="F7641" s="15"/>
      <c r="G7641" s="26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8"/>
      <c r="X7641" s="28"/>
      <c r="Y7641" s="28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28"/>
      <c r="AS7641" s="28"/>
      <c r="AT7641" s="28"/>
    </row>
    <row r="7642">
      <c r="A7642" s="14"/>
      <c r="B7642" s="15"/>
      <c r="C7642" s="16"/>
      <c r="D7642" s="15"/>
      <c r="F7642" s="15"/>
      <c r="G7642" s="26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8"/>
      <c r="X7642" s="28"/>
      <c r="Y7642" s="28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28"/>
      <c r="AS7642" s="28"/>
      <c r="AT7642" s="28"/>
    </row>
    <row r="7643">
      <c r="A7643" s="14"/>
      <c r="B7643" s="15"/>
      <c r="C7643" s="16"/>
      <c r="D7643" s="15"/>
      <c r="F7643" s="15"/>
      <c r="G7643" s="26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8"/>
      <c r="X7643" s="28"/>
      <c r="Y7643" s="28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28"/>
      <c r="AS7643" s="28"/>
      <c r="AT7643" s="28"/>
    </row>
    <row r="7644">
      <c r="A7644" s="14"/>
      <c r="B7644" s="15"/>
      <c r="C7644" s="16"/>
      <c r="D7644" s="15"/>
      <c r="F7644" s="15"/>
      <c r="G7644" s="26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8"/>
      <c r="X7644" s="28"/>
      <c r="Y7644" s="28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28"/>
      <c r="AS7644" s="28"/>
      <c r="AT7644" s="28"/>
    </row>
    <row r="7645">
      <c r="A7645" s="14"/>
      <c r="B7645" s="15"/>
      <c r="C7645" s="16"/>
      <c r="D7645" s="15"/>
      <c r="F7645" s="15"/>
      <c r="G7645" s="26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8"/>
      <c r="X7645" s="28"/>
      <c r="Y7645" s="28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28"/>
      <c r="AS7645" s="28"/>
      <c r="AT7645" s="28"/>
    </row>
    <row r="7646">
      <c r="A7646" s="14"/>
      <c r="B7646" s="15"/>
      <c r="C7646" s="16"/>
      <c r="D7646" s="15"/>
      <c r="F7646" s="15"/>
      <c r="G7646" s="26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8"/>
      <c r="X7646" s="28"/>
      <c r="Y7646" s="28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28"/>
      <c r="AS7646" s="28"/>
      <c r="AT7646" s="28"/>
    </row>
    <row r="7647">
      <c r="A7647" s="14"/>
      <c r="B7647" s="15"/>
      <c r="C7647" s="16"/>
      <c r="D7647" s="15"/>
      <c r="F7647" s="15"/>
      <c r="G7647" s="26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8"/>
      <c r="X7647" s="28"/>
      <c r="Y7647" s="28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28"/>
      <c r="AS7647" s="28"/>
      <c r="AT7647" s="28"/>
    </row>
    <row r="7648">
      <c r="A7648" s="14"/>
      <c r="B7648" s="15"/>
      <c r="C7648" s="16"/>
      <c r="D7648" s="15"/>
      <c r="F7648" s="15"/>
      <c r="G7648" s="26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8"/>
      <c r="X7648" s="28"/>
      <c r="Y7648" s="28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28"/>
      <c r="AS7648" s="28"/>
      <c r="AT7648" s="28"/>
    </row>
    <row r="7649">
      <c r="A7649" s="14"/>
      <c r="B7649" s="15"/>
      <c r="C7649" s="16"/>
      <c r="D7649" s="15"/>
      <c r="F7649" s="15"/>
      <c r="G7649" s="26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8"/>
      <c r="X7649" s="28"/>
      <c r="Y7649" s="28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28"/>
      <c r="AS7649" s="28"/>
      <c r="AT7649" s="28"/>
    </row>
    <row r="7650">
      <c r="A7650" s="14"/>
      <c r="B7650" s="15"/>
      <c r="C7650" s="16"/>
      <c r="D7650" s="15"/>
      <c r="F7650" s="15"/>
      <c r="G7650" s="26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28"/>
      <c r="AS7650" s="28"/>
      <c r="AT7650" s="28"/>
    </row>
    <row r="7651">
      <c r="A7651" s="14"/>
      <c r="B7651" s="15"/>
      <c r="C7651" s="16"/>
      <c r="D7651" s="15"/>
      <c r="F7651" s="15"/>
      <c r="G7651" s="26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8"/>
      <c r="X7651" s="28"/>
      <c r="Y7651" s="28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28"/>
      <c r="AS7651" s="28"/>
      <c r="AT7651" s="28"/>
    </row>
    <row r="7652">
      <c r="A7652" s="14"/>
      <c r="B7652" s="15"/>
      <c r="C7652" s="16"/>
      <c r="D7652" s="15"/>
      <c r="F7652" s="15"/>
      <c r="G7652" s="26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8"/>
      <c r="X7652" s="28"/>
      <c r="Y7652" s="28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28"/>
      <c r="AS7652" s="28"/>
      <c r="AT7652" s="28"/>
    </row>
    <row r="7653">
      <c r="A7653" s="14"/>
      <c r="B7653" s="15"/>
      <c r="C7653" s="16"/>
      <c r="D7653" s="15"/>
      <c r="F7653" s="15"/>
      <c r="G7653" s="26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8"/>
      <c r="X7653" s="28"/>
      <c r="Y7653" s="28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28"/>
      <c r="AS7653" s="28"/>
      <c r="AT7653" s="28"/>
    </row>
    <row r="7654">
      <c r="A7654" s="14"/>
      <c r="B7654" s="15"/>
      <c r="C7654" s="16"/>
      <c r="D7654" s="15"/>
      <c r="F7654" s="15"/>
      <c r="G7654" s="26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8"/>
      <c r="X7654" s="28"/>
      <c r="Y7654" s="28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28"/>
      <c r="AS7654" s="28"/>
      <c r="AT7654" s="28"/>
    </row>
    <row r="7655">
      <c r="A7655" s="14"/>
      <c r="B7655" s="15"/>
      <c r="C7655" s="16"/>
      <c r="D7655" s="15"/>
      <c r="F7655" s="15"/>
      <c r="G7655" s="26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8"/>
      <c r="X7655" s="28"/>
      <c r="Y7655" s="28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28"/>
      <c r="AS7655" s="28"/>
      <c r="AT7655" s="28"/>
    </row>
    <row r="7656">
      <c r="A7656" s="14"/>
      <c r="B7656" s="15"/>
      <c r="C7656" s="16"/>
      <c r="D7656" s="15"/>
      <c r="F7656" s="15"/>
      <c r="G7656" s="26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8"/>
      <c r="X7656" s="28"/>
      <c r="Y7656" s="28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28"/>
      <c r="AS7656" s="28"/>
      <c r="AT7656" s="28"/>
    </row>
    <row r="7657">
      <c r="A7657" s="14"/>
      <c r="B7657" s="15"/>
      <c r="C7657" s="16"/>
      <c r="D7657" s="15"/>
      <c r="F7657" s="15"/>
      <c r="G7657" s="26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8"/>
      <c r="X7657" s="28"/>
      <c r="Y7657" s="28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28"/>
      <c r="AS7657" s="28"/>
      <c r="AT7657" s="28"/>
    </row>
    <row r="7658">
      <c r="A7658" s="14"/>
      <c r="B7658" s="15"/>
      <c r="C7658" s="16"/>
      <c r="D7658" s="15"/>
      <c r="F7658" s="15"/>
      <c r="G7658" s="26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8"/>
      <c r="X7658" s="28"/>
      <c r="Y7658" s="28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28"/>
      <c r="AS7658" s="28"/>
      <c r="AT7658" s="28"/>
    </row>
    <row r="7659">
      <c r="A7659" s="14"/>
      <c r="B7659" s="15"/>
      <c r="C7659" s="16"/>
      <c r="D7659" s="15"/>
      <c r="F7659" s="15"/>
      <c r="G7659" s="26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8"/>
      <c r="X7659" s="28"/>
      <c r="Y7659" s="28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28"/>
      <c r="AS7659" s="28"/>
      <c r="AT7659" s="28"/>
    </row>
    <row r="7660">
      <c r="A7660" s="14"/>
      <c r="B7660" s="15"/>
      <c r="C7660" s="16"/>
      <c r="D7660" s="15"/>
      <c r="F7660" s="15"/>
      <c r="G7660" s="26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8"/>
      <c r="X7660" s="28"/>
      <c r="Y7660" s="28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28"/>
      <c r="AS7660" s="28"/>
      <c r="AT7660" s="28"/>
    </row>
    <row r="7661">
      <c r="A7661" s="14"/>
      <c r="B7661" s="15"/>
      <c r="C7661" s="16"/>
      <c r="D7661" s="15"/>
      <c r="F7661" s="15"/>
      <c r="G7661" s="26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8"/>
      <c r="X7661" s="28"/>
      <c r="Y7661" s="28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28"/>
      <c r="AS7661" s="28"/>
      <c r="AT7661" s="28"/>
    </row>
    <row r="7662">
      <c r="A7662" s="14"/>
      <c r="B7662" s="15"/>
      <c r="C7662" s="16"/>
      <c r="D7662" s="15"/>
      <c r="F7662" s="15"/>
      <c r="G7662" s="26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8"/>
      <c r="X7662" s="28"/>
      <c r="Y7662" s="28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28"/>
      <c r="AS7662" s="28"/>
      <c r="AT7662" s="28"/>
    </row>
    <row r="7663">
      <c r="A7663" s="14"/>
      <c r="B7663" s="15"/>
      <c r="C7663" s="16"/>
      <c r="D7663" s="15"/>
      <c r="F7663" s="15"/>
      <c r="G7663" s="26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8"/>
      <c r="X7663" s="28"/>
      <c r="Y7663" s="28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28"/>
      <c r="AS7663" s="28"/>
      <c r="AT7663" s="28"/>
    </row>
    <row r="7664">
      <c r="A7664" s="14"/>
      <c r="B7664" s="15"/>
      <c r="C7664" s="16"/>
      <c r="D7664" s="15"/>
      <c r="F7664" s="15"/>
      <c r="G7664" s="26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8"/>
      <c r="X7664" s="28"/>
      <c r="Y7664" s="28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28"/>
      <c r="AS7664" s="28"/>
      <c r="AT7664" s="28"/>
    </row>
    <row r="7665">
      <c r="A7665" s="14"/>
      <c r="B7665" s="15"/>
      <c r="C7665" s="16"/>
      <c r="D7665" s="15"/>
      <c r="F7665" s="15"/>
      <c r="G7665" s="26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8"/>
      <c r="X7665" s="28"/>
      <c r="Y7665" s="28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28"/>
      <c r="AS7665" s="28"/>
      <c r="AT7665" s="28"/>
    </row>
    <row r="7666">
      <c r="A7666" s="14"/>
      <c r="B7666" s="15"/>
      <c r="C7666" s="16"/>
      <c r="D7666" s="15"/>
      <c r="F7666" s="15"/>
      <c r="G7666" s="26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8"/>
      <c r="X7666" s="28"/>
      <c r="Y7666" s="28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28"/>
      <c r="AS7666" s="28"/>
      <c r="AT7666" s="28"/>
    </row>
    <row r="7667">
      <c r="A7667" s="14"/>
      <c r="B7667" s="15"/>
      <c r="C7667" s="16"/>
      <c r="D7667" s="15"/>
      <c r="F7667" s="15"/>
      <c r="G7667" s="26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8"/>
      <c r="X7667" s="28"/>
      <c r="Y7667" s="28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28"/>
      <c r="AS7667" s="28"/>
      <c r="AT7667" s="28"/>
    </row>
    <row r="7668">
      <c r="A7668" s="14"/>
      <c r="B7668" s="15"/>
      <c r="C7668" s="16"/>
      <c r="D7668" s="15"/>
      <c r="F7668" s="15"/>
      <c r="G7668" s="26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8"/>
      <c r="X7668" s="28"/>
      <c r="Y7668" s="28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28"/>
      <c r="AS7668" s="28"/>
      <c r="AT7668" s="28"/>
    </row>
    <row r="7669">
      <c r="A7669" s="14"/>
      <c r="B7669" s="15"/>
      <c r="C7669" s="16"/>
      <c r="D7669" s="15"/>
      <c r="F7669" s="15"/>
      <c r="G7669" s="26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8"/>
      <c r="X7669" s="28"/>
      <c r="Y7669" s="28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28"/>
      <c r="AS7669" s="28"/>
      <c r="AT7669" s="28"/>
    </row>
    <row r="7670">
      <c r="A7670" s="14"/>
      <c r="B7670" s="15"/>
      <c r="C7670" s="16"/>
      <c r="D7670" s="15"/>
      <c r="F7670" s="15"/>
      <c r="G7670" s="26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8"/>
      <c r="X7670" s="28"/>
      <c r="Y7670" s="28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28"/>
      <c r="AS7670" s="28"/>
      <c r="AT7670" s="28"/>
    </row>
    <row r="7671">
      <c r="A7671" s="14"/>
      <c r="B7671" s="15"/>
      <c r="C7671" s="16"/>
      <c r="D7671" s="15"/>
      <c r="F7671" s="15"/>
      <c r="G7671" s="26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8"/>
      <c r="X7671" s="28"/>
      <c r="Y7671" s="28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28"/>
      <c r="AS7671" s="28"/>
      <c r="AT7671" s="28"/>
    </row>
    <row r="7672">
      <c r="A7672" s="14"/>
      <c r="B7672" s="15"/>
      <c r="C7672" s="16"/>
      <c r="D7672" s="15"/>
      <c r="F7672" s="15"/>
      <c r="G7672" s="26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8"/>
      <c r="X7672" s="28"/>
      <c r="Y7672" s="28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28"/>
      <c r="AS7672" s="28"/>
      <c r="AT7672" s="28"/>
    </row>
    <row r="7673">
      <c r="A7673" s="14"/>
      <c r="B7673" s="15"/>
      <c r="C7673" s="16"/>
      <c r="D7673" s="15"/>
      <c r="F7673" s="15"/>
      <c r="G7673" s="26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8"/>
      <c r="X7673" s="28"/>
      <c r="Y7673" s="28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28"/>
      <c r="AS7673" s="28"/>
      <c r="AT7673" s="28"/>
    </row>
    <row r="7674">
      <c r="A7674" s="14"/>
      <c r="B7674" s="15"/>
      <c r="C7674" s="16"/>
      <c r="D7674" s="15"/>
      <c r="F7674" s="15"/>
      <c r="G7674" s="26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8"/>
      <c r="X7674" s="28"/>
      <c r="Y7674" s="28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28"/>
      <c r="AS7674" s="28"/>
      <c r="AT7674" s="28"/>
    </row>
    <row r="7675">
      <c r="A7675" s="14"/>
      <c r="B7675" s="15"/>
      <c r="C7675" s="16"/>
      <c r="D7675" s="15"/>
      <c r="F7675" s="15"/>
      <c r="G7675" s="26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8"/>
      <c r="X7675" s="28"/>
      <c r="Y7675" s="28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28"/>
      <c r="AS7675" s="28"/>
      <c r="AT7675" s="28"/>
    </row>
    <row r="7676">
      <c r="A7676" s="14"/>
      <c r="B7676" s="15"/>
      <c r="C7676" s="16"/>
      <c r="D7676" s="15"/>
      <c r="F7676" s="15"/>
      <c r="G7676" s="26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8"/>
      <c r="X7676" s="28"/>
      <c r="Y7676" s="28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28"/>
      <c r="AS7676" s="28"/>
      <c r="AT7676" s="28"/>
    </row>
    <row r="7677">
      <c r="A7677" s="14"/>
      <c r="B7677" s="15"/>
      <c r="C7677" s="16"/>
      <c r="D7677" s="15"/>
      <c r="F7677" s="15"/>
      <c r="G7677" s="26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8"/>
      <c r="X7677" s="28"/>
      <c r="Y7677" s="28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28"/>
      <c r="AS7677" s="28"/>
      <c r="AT7677" s="28"/>
    </row>
    <row r="7678">
      <c r="A7678" s="14"/>
      <c r="B7678" s="15"/>
      <c r="C7678" s="16"/>
      <c r="D7678" s="15"/>
      <c r="F7678" s="15"/>
      <c r="G7678" s="26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8"/>
      <c r="X7678" s="28"/>
      <c r="Y7678" s="28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28"/>
      <c r="AS7678" s="28"/>
      <c r="AT7678" s="28"/>
    </row>
    <row r="7679">
      <c r="A7679" s="14"/>
      <c r="B7679" s="15"/>
      <c r="C7679" s="16"/>
      <c r="D7679" s="15"/>
      <c r="F7679" s="15"/>
      <c r="G7679" s="26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8"/>
      <c r="X7679" s="28"/>
      <c r="Y7679" s="28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28"/>
      <c r="AS7679" s="28"/>
      <c r="AT7679" s="28"/>
    </row>
    <row r="7680">
      <c r="A7680" s="14"/>
      <c r="B7680" s="15"/>
      <c r="C7680" s="16"/>
      <c r="D7680" s="15"/>
      <c r="F7680" s="15"/>
      <c r="G7680" s="26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28"/>
      <c r="AS7680" s="28"/>
      <c r="AT7680" s="28"/>
    </row>
    <row r="7681">
      <c r="A7681" s="14"/>
      <c r="B7681" s="15"/>
      <c r="C7681" s="16"/>
      <c r="D7681" s="15"/>
      <c r="F7681" s="15"/>
      <c r="G7681" s="26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8"/>
      <c r="X7681" s="28"/>
      <c r="Y7681" s="28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28"/>
      <c r="AS7681" s="28"/>
      <c r="AT7681" s="28"/>
    </row>
    <row r="7682">
      <c r="A7682" s="14"/>
      <c r="B7682" s="15"/>
      <c r="C7682" s="16"/>
      <c r="D7682" s="15"/>
      <c r="F7682" s="15"/>
      <c r="G7682" s="26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8"/>
      <c r="X7682" s="28"/>
      <c r="Y7682" s="28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28"/>
      <c r="AS7682" s="28"/>
      <c r="AT7682" s="28"/>
    </row>
    <row r="7683">
      <c r="A7683" s="14"/>
      <c r="B7683" s="15"/>
      <c r="C7683" s="16"/>
      <c r="D7683" s="15"/>
      <c r="F7683" s="15"/>
      <c r="G7683" s="26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8"/>
      <c r="X7683" s="28"/>
      <c r="Y7683" s="28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28"/>
      <c r="AS7683" s="28"/>
      <c r="AT7683" s="28"/>
    </row>
    <row r="7684">
      <c r="A7684" s="14"/>
      <c r="B7684" s="15"/>
      <c r="C7684" s="16"/>
      <c r="D7684" s="15"/>
      <c r="F7684" s="15"/>
      <c r="G7684" s="26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8"/>
      <c r="X7684" s="28"/>
      <c r="Y7684" s="28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28"/>
      <c r="AS7684" s="28"/>
      <c r="AT7684" s="28"/>
    </row>
    <row r="7685">
      <c r="A7685" s="14"/>
      <c r="B7685" s="15"/>
      <c r="C7685" s="16"/>
      <c r="D7685" s="15"/>
      <c r="F7685" s="15"/>
      <c r="G7685" s="26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8"/>
      <c r="X7685" s="28"/>
      <c r="Y7685" s="28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28"/>
      <c r="AS7685" s="28"/>
      <c r="AT7685" s="28"/>
    </row>
    <row r="7686">
      <c r="A7686" s="14"/>
      <c r="B7686" s="15"/>
      <c r="C7686" s="16"/>
      <c r="D7686" s="15"/>
      <c r="F7686" s="15"/>
      <c r="G7686" s="26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8"/>
      <c r="X7686" s="28"/>
      <c r="Y7686" s="28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28"/>
      <c r="AS7686" s="28"/>
      <c r="AT7686" s="28"/>
    </row>
    <row r="7687">
      <c r="A7687" s="14"/>
      <c r="B7687" s="15"/>
      <c r="C7687" s="16"/>
      <c r="D7687" s="15"/>
      <c r="F7687" s="15"/>
      <c r="G7687" s="26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8"/>
      <c r="X7687" s="28"/>
      <c r="Y7687" s="28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28"/>
      <c r="AS7687" s="28"/>
      <c r="AT7687" s="28"/>
    </row>
    <row r="7688">
      <c r="A7688" s="14"/>
      <c r="B7688" s="15"/>
      <c r="C7688" s="16"/>
      <c r="D7688" s="15"/>
      <c r="F7688" s="15"/>
      <c r="G7688" s="26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8"/>
      <c r="X7688" s="28"/>
      <c r="Y7688" s="28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28"/>
      <c r="AS7688" s="28"/>
      <c r="AT7688" s="28"/>
    </row>
    <row r="7689">
      <c r="A7689" s="14"/>
      <c r="B7689" s="15"/>
      <c r="C7689" s="16"/>
      <c r="D7689" s="15"/>
      <c r="F7689" s="15"/>
      <c r="G7689" s="26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8"/>
      <c r="X7689" s="28"/>
      <c r="Y7689" s="28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28"/>
      <c r="AS7689" s="28"/>
      <c r="AT7689" s="28"/>
    </row>
    <row r="7690">
      <c r="A7690" s="14"/>
      <c r="B7690" s="15"/>
      <c r="C7690" s="16"/>
      <c r="D7690" s="15"/>
      <c r="F7690" s="15"/>
      <c r="G7690" s="26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8"/>
      <c r="X7690" s="28"/>
      <c r="Y7690" s="28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28"/>
      <c r="AS7690" s="28"/>
      <c r="AT7690" s="28"/>
    </row>
    <row r="7691">
      <c r="A7691" s="14"/>
      <c r="B7691" s="15"/>
      <c r="C7691" s="16"/>
      <c r="D7691" s="15"/>
      <c r="F7691" s="15"/>
      <c r="G7691" s="26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8"/>
      <c r="X7691" s="28"/>
      <c r="Y7691" s="28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28"/>
      <c r="AS7691" s="28"/>
      <c r="AT7691" s="28"/>
    </row>
    <row r="7692">
      <c r="A7692" s="14"/>
      <c r="B7692" s="15"/>
      <c r="C7692" s="16"/>
      <c r="D7692" s="15"/>
      <c r="F7692" s="15"/>
      <c r="G7692" s="26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8"/>
      <c r="X7692" s="28"/>
      <c r="Y7692" s="28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28"/>
      <c r="AS7692" s="28"/>
      <c r="AT7692" s="28"/>
    </row>
    <row r="7693">
      <c r="A7693" s="14"/>
      <c r="B7693" s="15"/>
      <c r="C7693" s="16"/>
      <c r="D7693" s="15"/>
      <c r="F7693" s="15"/>
      <c r="G7693" s="26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8"/>
      <c r="X7693" s="28"/>
      <c r="Y7693" s="28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28"/>
      <c r="AS7693" s="28"/>
      <c r="AT7693" s="28"/>
    </row>
    <row r="7694">
      <c r="A7694" s="14"/>
      <c r="B7694" s="15"/>
      <c r="C7694" s="16"/>
      <c r="D7694" s="15"/>
      <c r="F7694" s="15"/>
      <c r="G7694" s="26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8"/>
      <c r="X7694" s="28"/>
      <c r="Y7694" s="28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28"/>
      <c r="AS7694" s="28"/>
      <c r="AT7694" s="28"/>
    </row>
    <row r="7695">
      <c r="A7695" s="14"/>
      <c r="B7695" s="15"/>
      <c r="C7695" s="16"/>
      <c r="D7695" s="15"/>
      <c r="F7695" s="15"/>
      <c r="G7695" s="26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8"/>
      <c r="X7695" s="28"/>
      <c r="Y7695" s="28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28"/>
      <c r="AS7695" s="28"/>
      <c r="AT7695" s="28"/>
    </row>
    <row r="7696">
      <c r="A7696" s="14"/>
      <c r="B7696" s="15"/>
      <c r="C7696" s="16"/>
      <c r="D7696" s="15"/>
      <c r="F7696" s="15"/>
      <c r="G7696" s="26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8"/>
      <c r="X7696" s="28"/>
      <c r="Y7696" s="28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28"/>
      <c r="AS7696" s="28"/>
      <c r="AT7696" s="28"/>
    </row>
    <row r="7697">
      <c r="A7697" s="14"/>
      <c r="B7697" s="15"/>
      <c r="C7697" s="16"/>
      <c r="D7697" s="15"/>
      <c r="F7697" s="15"/>
      <c r="G7697" s="26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8"/>
      <c r="X7697" s="28"/>
      <c r="Y7697" s="28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28"/>
      <c r="AS7697" s="28"/>
      <c r="AT7697" s="28"/>
    </row>
    <row r="7698">
      <c r="A7698" s="14"/>
      <c r="B7698" s="15"/>
      <c r="C7698" s="16"/>
      <c r="D7698" s="15"/>
      <c r="F7698" s="15"/>
      <c r="G7698" s="26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8"/>
      <c r="X7698" s="28"/>
      <c r="Y7698" s="28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28"/>
      <c r="AS7698" s="28"/>
      <c r="AT7698" s="28"/>
    </row>
    <row r="7699">
      <c r="A7699" s="14"/>
      <c r="B7699" s="15"/>
      <c r="C7699" s="16"/>
      <c r="D7699" s="15"/>
      <c r="F7699" s="15"/>
      <c r="G7699" s="26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8"/>
      <c r="X7699" s="28"/>
      <c r="Y7699" s="28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28"/>
      <c r="AS7699" s="28"/>
      <c r="AT7699" s="28"/>
    </row>
    <row r="7700">
      <c r="A7700" s="14"/>
      <c r="B7700" s="15"/>
      <c r="C7700" s="16"/>
      <c r="D7700" s="15"/>
      <c r="F7700" s="15"/>
      <c r="G7700" s="26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8"/>
      <c r="X7700" s="28"/>
      <c r="Y7700" s="28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28"/>
      <c r="AS7700" s="28"/>
      <c r="AT7700" s="28"/>
    </row>
    <row r="7701">
      <c r="A7701" s="14"/>
      <c r="B7701" s="15"/>
      <c r="C7701" s="16"/>
      <c r="D7701" s="15"/>
      <c r="F7701" s="15"/>
      <c r="G7701" s="26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8"/>
      <c r="X7701" s="28"/>
      <c r="Y7701" s="28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28"/>
      <c r="AS7701" s="28"/>
      <c r="AT7701" s="28"/>
    </row>
    <row r="7702">
      <c r="A7702" s="14"/>
      <c r="B7702" s="15"/>
      <c r="C7702" s="16"/>
      <c r="D7702" s="15"/>
      <c r="F7702" s="15"/>
      <c r="G7702" s="26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28"/>
      <c r="AS7702" s="28"/>
      <c r="AT7702" s="28"/>
    </row>
    <row r="7703">
      <c r="A7703" s="14"/>
      <c r="B7703" s="15"/>
      <c r="C7703" s="16"/>
      <c r="D7703" s="15"/>
      <c r="F7703" s="15"/>
      <c r="G7703" s="26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8"/>
      <c r="X7703" s="28"/>
      <c r="Y7703" s="28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28"/>
      <c r="AS7703" s="28"/>
      <c r="AT7703" s="28"/>
    </row>
    <row r="7704">
      <c r="A7704" s="14"/>
      <c r="B7704" s="15"/>
      <c r="C7704" s="16"/>
      <c r="D7704" s="15"/>
      <c r="F7704" s="15"/>
      <c r="G7704" s="26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8"/>
      <c r="X7704" s="28"/>
      <c r="Y7704" s="28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28"/>
      <c r="AS7704" s="28"/>
      <c r="AT7704" s="28"/>
    </row>
    <row r="7705">
      <c r="A7705" s="14"/>
      <c r="B7705" s="15"/>
      <c r="C7705" s="16"/>
      <c r="D7705" s="15"/>
      <c r="F7705" s="15"/>
      <c r="G7705" s="26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8"/>
      <c r="X7705" s="28"/>
      <c r="Y7705" s="28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28"/>
      <c r="AS7705" s="28"/>
      <c r="AT7705" s="28"/>
    </row>
    <row r="7706">
      <c r="A7706" s="14"/>
      <c r="B7706" s="15"/>
      <c r="C7706" s="16"/>
      <c r="D7706" s="15"/>
      <c r="F7706" s="15"/>
      <c r="G7706" s="26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8"/>
      <c r="X7706" s="28"/>
      <c r="Y7706" s="28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28"/>
      <c r="AS7706" s="28"/>
      <c r="AT7706" s="28"/>
    </row>
    <row r="7707">
      <c r="A7707" s="14"/>
      <c r="B7707" s="15"/>
      <c r="C7707" s="16"/>
      <c r="D7707" s="15"/>
      <c r="F7707" s="15"/>
      <c r="G7707" s="26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8"/>
      <c r="X7707" s="28"/>
      <c r="Y7707" s="28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28"/>
      <c r="AS7707" s="28"/>
      <c r="AT7707" s="28"/>
    </row>
    <row r="7708">
      <c r="A7708" s="14"/>
      <c r="B7708" s="15"/>
      <c r="C7708" s="16"/>
      <c r="D7708" s="15"/>
      <c r="F7708" s="15"/>
      <c r="G7708" s="26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8"/>
      <c r="X7708" s="28"/>
      <c r="Y7708" s="28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28"/>
      <c r="AS7708" s="28"/>
      <c r="AT7708" s="28"/>
    </row>
    <row r="7709">
      <c r="A7709" s="14"/>
      <c r="B7709" s="15"/>
      <c r="C7709" s="16"/>
      <c r="D7709" s="15"/>
      <c r="F7709" s="15"/>
      <c r="G7709" s="26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8"/>
      <c r="X7709" s="28"/>
      <c r="Y7709" s="28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28"/>
      <c r="AS7709" s="28"/>
      <c r="AT7709" s="28"/>
    </row>
    <row r="7710">
      <c r="A7710" s="14"/>
      <c r="B7710" s="15"/>
      <c r="C7710" s="16"/>
      <c r="D7710" s="15"/>
      <c r="F7710" s="15"/>
      <c r="G7710" s="26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8"/>
      <c r="X7710" s="28"/>
      <c r="Y7710" s="28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28"/>
      <c r="AS7710" s="28"/>
      <c r="AT7710" s="28"/>
    </row>
    <row r="7711">
      <c r="A7711" s="14"/>
      <c r="B7711" s="15"/>
      <c r="C7711" s="16"/>
      <c r="D7711" s="15"/>
      <c r="F7711" s="15"/>
      <c r="G7711" s="26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8"/>
      <c r="X7711" s="28"/>
      <c r="Y7711" s="28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28"/>
      <c r="AS7711" s="28"/>
      <c r="AT7711" s="28"/>
    </row>
    <row r="7712">
      <c r="A7712" s="14"/>
      <c r="B7712" s="15"/>
      <c r="C7712" s="16"/>
      <c r="D7712" s="15"/>
      <c r="F7712" s="15"/>
      <c r="G7712" s="26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8"/>
      <c r="X7712" s="28"/>
      <c r="Y7712" s="28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28"/>
      <c r="AS7712" s="28"/>
      <c r="AT7712" s="28"/>
    </row>
    <row r="7713">
      <c r="A7713" s="14"/>
      <c r="B7713" s="15"/>
      <c r="C7713" s="16"/>
      <c r="D7713" s="15"/>
      <c r="F7713" s="15"/>
      <c r="G7713" s="26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8"/>
      <c r="X7713" s="28"/>
      <c r="Y7713" s="28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28"/>
      <c r="AS7713" s="28"/>
      <c r="AT7713" s="28"/>
    </row>
    <row r="7714">
      <c r="A7714" s="14"/>
      <c r="B7714" s="15"/>
      <c r="C7714" s="16"/>
      <c r="D7714" s="15"/>
      <c r="F7714" s="15"/>
      <c r="G7714" s="26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8"/>
      <c r="X7714" s="28"/>
      <c r="Y7714" s="28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28"/>
      <c r="AS7714" s="28"/>
      <c r="AT7714" s="28"/>
    </row>
    <row r="7715">
      <c r="A7715" s="14"/>
      <c r="B7715" s="15"/>
      <c r="C7715" s="16"/>
      <c r="D7715" s="15"/>
      <c r="F7715" s="15"/>
      <c r="G7715" s="26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8"/>
      <c r="X7715" s="28"/>
      <c r="Y7715" s="28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28"/>
      <c r="AS7715" s="28"/>
      <c r="AT7715" s="28"/>
    </row>
    <row r="7716">
      <c r="A7716" s="14"/>
      <c r="B7716" s="15"/>
      <c r="C7716" s="16"/>
      <c r="D7716" s="15"/>
      <c r="F7716" s="15"/>
      <c r="G7716" s="26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8"/>
      <c r="X7716" s="28"/>
      <c r="Y7716" s="28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28"/>
      <c r="AS7716" s="28"/>
      <c r="AT7716" s="28"/>
    </row>
    <row r="7717">
      <c r="A7717" s="14"/>
      <c r="B7717" s="15"/>
      <c r="C7717" s="16"/>
      <c r="D7717" s="15"/>
      <c r="F7717" s="15"/>
      <c r="G7717" s="26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8"/>
      <c r="X7717" s="28"/>
      <c r="Y7717" s="28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28"/>
      <c r="AS7717" s="28"/>
      <c r="AT7717" s="28"/>
    </row>
    <row r="7718">
      <c r="A7718" s="14"/>
      <c r="B7718" s="15"/>
      <c r="C7718" s="16"/>
      <c r="D7718" s="15"/>
      <c r="F7718" s="15"/>
      <c r="G7718" s="26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8"/>
      <c r="X7718" s="28"/>
      <c r="Y7718" s="28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28"/>
      <c r="AS7718" s="28"/>
      <c r="AT7718" s="28"/>
    </row>
    <row r="7719">
      <c r="A7719" s="14"/>
      <c r="B7719" s="15"/>
      <c r="C7719" s="16"/>
      <c r="D7719" s="15"/>
      <c r="F7719" s="15"/>
      <c r="G7719" s="26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8"/>
      <c r="X7719" s="28"/>
      <c r="Y7719" s="28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28"/>
      <c r="AS7719" s="28"/>
      <c r="AT7719" s="28"/>
    </row>
    <row r="7720">
      <c r="A7720" s="14"/>
      <c r="B7720" s="15"/>
      <c r="C7720" s="16"/>
      <c r="D7720" s="15"/>
      <c r="F7720" s="15"/>
      <c r="G7720" s="26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8"/>
      <c r="X7720" s="28"/>
      <c r="Y7720" s="28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28"/>
      <c r="AS7720" s="28"/>
      <c r="AT7720" s="28"/>
    </row>
    <row r="7721">
      <c r="A7721" s="14"/>
      <c r="B7721" s="15"/>
      <c r="C7721" s="16"/>
      <c r="D7721" s="15"/>
      <c r="F7721" s="15"/>
      <c r="G7721" s="26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8"/>
      <c r="X7721" s="28"/>
      <c r="Y7721" s="28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28"/>
      <c r="AS7721" s="28"/>
      <c r="AT7721" s="28"/>
    </row>
    <row r="7722">
      <c r="A7722" s="14"/>
      <c r="B7722" s="15"/>
      <c r="C7722" s="16"/>
      <c r="D7722" s="15"/>
      <c r="F7722" s="15"/>
      <c r="G7722" s="26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8"/>
      <c r="X7722" s="28"/>
      <c r="Y7722" s="28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28"/>
      <c r="AS7722" s="28"/>
      <c r="AT7722" s="28"/>
    </row>
    <row r="7723">
      <c r="A7723" s="14"/>
      <c r="B7723" s="15"/>
      <c r="C7723" s="16"/>
      <c r="D7723" s="15"/>
      <c r="F7723" s="15"/>
      <c r="G7723" s="26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8"/>
      <c r="X7723" s="28"/>
      <c r="Y7723" s="28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28"/>
      <c r="AS7723" s="28"/>
      <c r="AT7723" s="28"/>
    </row>
    <row r="7724">
      <c r="A7724" s="14"/>
      <c r="B7724" s="15"/>
      <c r="C7724" s="16"/>
      <c r="D7724" s="15"/>
      <c r="F7724" s="15"/>
      <c r="G7724" s="26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8"/>
      <c r="X7724" s="28"/>
      <c r="Y7724" s="28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28"/>
      <c r="AS7724" s="28"/>
      <c r="AT7724" s="28"/>
    </row>
    <row r="7725">
      <c r="A7725" s="14"/>
      <c r="B7725" s="15"/>
      <c r="C7725" s="16"/>
      <c r="D7725" s="15"/>
      <c r="F7725" s="15"/>
      <c r="G7725" s="26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8"/>
      <c r="X7725" s="28"/>
      <c r="Y7725" s="28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28"/>
      <c r="AS7725" s="28"/>
      <c r="AT7725" s="28"/>
    </row>
    <row r="7726">
      <c r="A7726" s="14"/>
      <c r="B7726" s="15"/>
      <c r="C7726" s="16"/>
      <c r="D7726" s="15"/>
      <c r="F7726" s="15"/>
      <c r="G7726" s="26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8"/>
      <c r="X7726" s="28"/>
      <c r="Y7726" s="28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28"/>
      <c r="AS7726" s="28"/>
      <c r="AT7726" s="28"/>
    </row>
    <row r="7727">
      <c r="A7727" s="14"/>
      <c r="B7727" s="15"/>
      <c r="C7727" s="16"/>
      <c r="D7727" s="15"/>
      <c r="F7727" s="15"/>
      <c r="G7727" s="26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8"/>
      <c r="X7727" s="28"/>
      <c r="Y7727" s="28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28"/>
      <c r="AS7727" s="28"/>
      <c r="AT7727" s="28"/>
    </row>
    <row r="7728">
      <c r="A7728" s="14"/>
      <c r="B7728" s="15"/>
      <c r="C7728" s="16"/>
      <c r="D7728" s="15"/>
      <c r="F7728" s="15"/>
      <c r="G7728" s="26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8"/>
      <c r="X7728" s="28"/>
      <c r="Y7728" s="28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28"/>
      <c r="AS7728" s="28"/>
      <c r="AT7728" s="28"/>
    </row>
    <row r="7729">
      <c r="A7729" s="14"/>
      <c r="B7729" s="15"/>
      <c r="C7729" s="16"/>
      <c r="D7729" s="15"/>
      <c r="F7729" s="15"/>
      <c r="G7729" s="26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8"/>
      <c r="X7729" s="28"/>
      <c r="Y7729" s="28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28"/>
      <c r="AS7729" s="28"/>
      <c r="AT7729" s="28"/>
    </row>
    <row r="7730">
      <c r="A7730" s="14"/>
      <c r="B7730" s="15"/>
      <c r="C7730" s="16"/>
      <c r="D7730" s="15"/>
      <c r="F7730" s="15"/>
      <c r="G7730" s="26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8"/>
      <c r="X7730" s="28"/>
      <c r="Y7730" s="28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28"/>
      <c r="AS7730" s="28"/>
      <c r="AT7730" s="28"/>
    </row>
    <row r="7731">
      <c r="A7731" s="14"/>
      <c r="B7731" s="15"/>
      <c r="C7731" s="16"/>
      <c r="D7731" s="15"/>
      <c r="F7731" s="15"/>
      <c r="G7731" s="26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8"/>
      <c r="X7731" s="28"/>
      <c r="Y7731" s="28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28"/>
      <c r="AS7731" s="28"/>
      <c r="AT7731" s="28"/>
    </row>
    <row r="7732">
      <c r="A7732" s="14"/>
      <c r="B7732" s="15"/>
      <c r="C7732" s="16"/>
      <c r="D7732" s="15"/>
      <c r="F7732" s="15"/>
      <c r="G7732" s="26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8"/>
      <c r="X7732" s="28"/>
      <c r="Y7732" s="28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28"/>
      <c r="AS7732" s="28"/>
      <c r="AT7732" s="28"/>
    </row>
    <row r="7733">
      <c r="A7733" s="14"/>
      <c r="B7733" s="15"/>
      <c r="C7733" s="16"/>
      <c r="D7733" s="15"/>
      <c r="F7733" s="15"/>
      <c r="G7733" s="26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8"/>
      <c r="X7733" s="28"/>
      <c r="Y7733" s="28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28"/>
      <c r="AS7733" s="28"/>
      <c r="AT7733" s="28"/>
    </row>
    <row r="7734">
      <c r="A7734" s="14"/>
      <c r="B7734" s="15"/>
      <c r="C7734" s="16"/>
      <c r="D7734" s="15"/>
      <c r="F7734" s="15"/>
      <c r="G7734" s="26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8"/>
      <c r="X7734" s="28"/>
      <c r="Y7734" s="28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28"/>
      <c r="AS7734" s="28"/>
      <c r="AT7734" s="28"/>
    </row>
    <row r="7735">
      <c r="A7735" s="14"/>
      <c r="B7735" s="15"/>
      <c r="C7735" s="16"/>
      <c r="D7735" s="15"/>
      <c r="F7735" s="15"/>
      <c r="G7735" s="26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8"/>
      <c r="X7735" s="28"/>
      <c r="Y7735" s="28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28"/>
      <c r="AS7735" s="28"/>
      <c r="AT7735" s="28"/>
    </row>
    <row r="7736">
      <c r="A7736" s="14"/>
      <c r="B7736" s="15"/>
      <c r="C7736" s="16"/>
      <c r="D7736" s="15"/>
      <c r="F7736" s="15"/>
      <c r="G7736" s="26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8"/>
      <c r="X7736" s="28"/>
      <c r="Y7736" s="28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28"/>
      <c r="AS7736" s="28"/>
      <c r="AT7736" s="28"/>
    </row>
    <row r="7737">
      <c r="A7737" s="14"/>
      <c r="B7737" s="15"/>
      <c r="C7737" s="16"/>
      <c r="D7737" s="15"/>
      <c r="F7737" s="15"/>
      <c r="G7737" s="26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8"/>
      <c r="X7737" s="28"/>
      <c r="Y7737" s="28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28"/>
      <c r="AS7737" s="28"/>
      <c r="AT7737" s="28"/>
    </row>
    <row r="7738">
      <c r="A7738" s="14"/>
      <c r="B7738" s="15"/>
      <c r="C7738" s="16"/>
      <c r="D7738" s="15"/>
      <c r="F7738" s="15"/>
      <c r="G7738" s="26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8"/>
      <c r="X7738" s="28"/>
      <c r="Y7738" s="28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28"/>
      <c r="AS7738" s="28"/>
      <c r="AT7738" s="28"/>
    </row>
    <row r="7739">
      <c r="A7739" s="14"/>
      <c r="B7739" s="15"/>
      <c r="C7739" s="16"/>
      <c r="D7739" s="15"/>
      <c r="F7739" s="15"/>
      <c r="G7739" s="26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8"/>
      <c r="X7739" s="28"/>
      <c r="Y7739" s="28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28"/>
      <c r="AS7739" s="28"/>
      <c r="AT7739" s="28"/>
    </row>
    <row r="7740">
      <c r="A7740" s="14"/>
      <c r="B7740" s="15"/>
      <c r="C7740" s="16"/>
      <c r="D7740" s="15"/>
      <c r="F7740" s="15"/>
      <c r="G7740" s="26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8"/>
      <c r="X7740" s="28"/>
      <c r="Y7740" s="28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28"/>
      <c r="AS7740" s="28"/>
      <c r="AT7740" s="28"/>
    </row>
    <row r="7741">
      <c r="A7741" s="14"/>
      <c r="B7741" s="15"/>
      <c r="C7741" s="16"/>
      <c r="D7741" s="15"/>
      <c r="F7741" s="15"/>
      <c r="G7741" s="26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8"/>
      <c r="X7741" s="28"/>
      <c r="Y7741" s="28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28"/>
      <c r="AS7741" s="28"/>
      <c r="AT7741" s="28"/>
    </row>
    <row r="7742">
      <c r="A7742" s="14"/>
      <c r="B7742" s="15"/>
      <c r="C7742" s="16"/>
      <c r="D7742" s="15"/>
      <c r="F7742" s="15"/>
      <c r="G7742" s="26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8"/>
      <c r="X7742" s="28"/>
      <c r="Y7742" s="28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28"/>
      <c r="AS7742" s="28"/>
      <c r="AT7742" s="28"/>
    </row>
    <row r="7743">
      <c r="A7743" s="14"/>
      <c r="B7743" s="15"/>
      <c r="C7743" s="16"/>
      <c r="D7743" s="15"/>
      <c r="F7743" s="15"/>
      <c r="G7743" s="26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8"/>
      <c r="X7743" s="28"/>
      <c r="Y7743" s="28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28"/>
      <c r="AS7743" s="28"/>
      <c r="AT7743" s="28"/>
    </row>
    <row r="7744">
      <c r="A7744" s="14"/>
      <c r="B7744" s="15"/>
      <c r="C7744" s="16"/>
      <c r="D7744" s="15"/>
      <c r="F7744" s="15"/>
      <c r="G7744" s="26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8"/>
      <c r="X7744" s="28"/>
      <c r="Y7744" s="28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28"/>
      <c r="AS7744" s="28"/>
      <c r="AT7744" s="28"/>
    </row>
    <row r="7745">
      <c r="A7745" s="14"/>
      <c r="B7745" s="15"/>
      <c r="C7745" s="16"/>
      <c r="D7745" s="15"/>
      <c r="F7745" s="15"/>
      <c r="G7745" s="26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8"/>
      <c r="X7745" s="28"/>
      <c r="Y7745" s="28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28"/>
      <c r="AS7745" s="28"/>
      <c r="AT7745" s="28"/>
    </row>
    <row r="7746">
      <c r="A7746" s="14"/>
      <c r="B7746" s="15"/>
      <c r="C7746" s="16"/>
      <c r="D7746" s="15"/>
      <c r="F7746" s="15"/>
      <c r="G7746" s="26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8"/>
      <c r="X7746" s="28"/>
      <c r="Y7746" s="28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28"/>
      <c r="AS7746" s="28"/>
      <c r="AT7746" s="28"/>
    </row>
    <row r="7747">
      <c r="A7747" s="14"/>
      <c r="B7747" s="15"/>
      <c r="C7747" s="16"/>
      <c r="D7747" s="15"/>
      <c r="F7747" s="15"/>
      <c r="G7747" s="26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8"/>
      <c r="X7747" s="28"/>
      <c r="Y7747" s="28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28"/>
      <c r="AS7747" s="28"/>
      <c r="AT7747" s="28"/>
    </row>
    <row r="7748">
      <c r="A7748" s="14"/>
      <c r="B7748" s="15"/>
      <c r="C7748" s="16"/>
      <c r="D7748" s="15"/>
      <c r="F7748" s="15"/>
      <c r="G7748" s="26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8"/>
      <c r="X7748" s="28"/>
      <c r="Y7748" s="28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28"/>
      <c r="AS7748" s="28"/>
      <c r="AT7748" s="28"/>
    </row>
    <row r="7749">
      <c r="A7749" s="14"/>
      <c r="B7749" s="15"/>
      <c r="C7749" s="16"/>
      <c r="D7749" s="15"/>
      <c r="F7749" s="15"/>
      <c r="G7749" s="26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8"/>
      <c r="X7749" s="28"/>
      <c r="Y7749" s="28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28"/>
      <c r="AS7749" s="28"/>
      <c r="AT7749" s="28"/>
    </row>
    <row r="7750">
      <c r="A7750" s="14"/>
      <c r="B7750" s="15"/>
      <c r="C7750" s="16"/>
      <c r="D7750" s="15"/>
      <c r="F7750" s="15"/>
      <c r="G7750" s="26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8"/>
      <c r="X7750" s="28"/>
      <c r="Y7750" s="28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28"/>
      <c r="AS7750" s="28"/>
      <c r="AT7750" s="28"/>
    </row>
    <row r="7751">
      <c r="A7751" s="14"/>
      <c r="B7751" s="15"/>
      <c r="C7751" s="16"/>
      <c r="D7751" s="15"/>
      <c r="F7751" s="15"/>
      <c r="G7751" s="26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8"/>
      <c r="X7751" s="28"/>
      <c r="Y7751" s="28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28"/>
      <c r="AS7751" s="28"/>
      <c r="AT7751" s="28"/>
    </row>
    <row r="7752">
      <c r="A7752" s="14"/>
      <c r="B7752" s="15"/>
      <c r="C7752" s="16"/>
      <c r="D7752" s="15"/>
      <c r="F7752" s="15"/>
      <c r="G7752" s="26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8"/>
      <c r="X7752" s="28"/>
      <c r="Y7752" s="28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28"/>
      <c r="AS7752" s="28"/>
      <c r="AT7752" s="28"/>
    </row>
    <row r="7753">
      <c r="A7753" s="14"/>
      <c r="B7753" s="15"/>
      <c r="C7753" s="16"/>
      <c r="D7753" s="15"/>
      <c r="F7753" s="15"/>
      <c r="G7753" s="26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8"/>
      <c r="X7753" s="28"/>
      <c r="Y7753" s="28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28"/>
      <c r="AS7753" s="28"/>
      <c r="AT7753" s="28"/>
    </row>
    <row r="7754">
      <c r="A7754" s="14"/>
      <c r="B7754" s="15"/>
      <c r="C7754" s="16"/>
      <c r="D7754" s="15"/>
      <c r="F7754" s="15"/>
      <c r="G7754" s="26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8"/>
      <c r="X7754" s="28"/>
      <c r="Y7754" s="28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28"/>
      <c r="AS7754" s="28"/>
      <c r="AT7754" s="28"/>
    </row>
    <row r="7755">
      <c r="A7755" s="14"/>
      <c r="B7755" s="15"/>
      <c r="C7755" s="16"/>
      <c r="D7755" s="15"/>
      <c r="F7755" s="15"/>
      <c r="G7755" s="26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8"/>
      <c r="X7755" s="28"/>
      <c r="Y7755" s="28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28"/>
      <c r="AS7755" s="28"/>
      <c r="AT7755" s="28"/>
    </row>
    <row r="7756">
      <c r="A7756" s="14"/>
      <c r="B7756" s="15"/>
      <c r="C7756" s="16"/>
      <c r="D7756" s="15"/>
      <c r="F7756" s="15"/>
      <c r="G7756" s="26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8"/>
      <c r="X7756" s="28"/>
      <c r="Y7756" s="28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28"/>
      <c r="AS7756" s="28"/>
      <c r="AT7756" s="28"/>
    </row>
    <row r="7757">
      <c r="A7757" s="14"/>
      <c r="B7757" s="15"/>
      <c r="C7757" s="16"/>
      <c r="D7757" s="15"/>
      <c r="F7757" s="15"/>
      <c r="G7757" s="26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8"/>
      <c r="X7757" s="28"/>
      <c r="Y7757" s="28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28"/>
      <c r="AS7757" s="28"/>
      <c r="AT7757" s="28"/>
    </row>
    <row r="7758">
      <c r="A7758" s="14"/>
      <c r="B7758" s="15"/>
      <c r="C7758" s="16"/>
      <c r="D7758" s="15"/>
      <c r="F7758" s="15"/>
      <c r="G7758" s="26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8"/>
      <c r="X7758" s="28"/>
      <c r="Y7758" s="28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28"/>
      <c r="AS7758" s="28"/>
      <c r="AT7758" s="28"/>
    </row>
    <row r="7759">
      <c r="A7759" s="14"/>
      <c r="B7759" s="15"/>
      <c r="C7759" s="16"/>
      <c r="D7759" s="15"/>
      <c r="F7759" s="15"/>
      <c r="G7759" s="26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8"/>
      <c r="X7759" s="28"/>
      <c r="Y7759" s="28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28"/>
      <c r="AS7759" s="28"/>
      <c r="AT7759" s="28"/>
    </row>
    <row r="7760">
      <c r="A7760" s="14"/>
      <c r="B7760" s="15"/>
      <c r="C7760" s="16"/>
      <c r="D7760" s="15"/>
      <c r="F7760" s="15"/>
      <c r="G7760" s="26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8"/>
      <c r="X7760" s="28"/>
      <c r="Y7760" s="28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28"/>
      <c r="AS7760" s="28"/>
      <c r="AT7760" s="28"/>
    </row>
    <row r="7761">
      <c r="A7761" s="14"/>
      <c r="B7761" s="15"/>
      <c r="C7761" s="16"/>
      <c r="D7761" s="15"/>
      <c r="F7761" s="15"/>
      <c r="G7761" s="26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8"/>
      <c r="X7761" s="28"/>
      <c r="Y7761" s="28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28"/>
      <c r="AS7761" s="28"/>
      <c r="AT7761" s="28"/>
    </row>
    <row r="7762">
      <c r="A7762" s="14"/>
      <c r="B7762" s="15"/>
      <c r="C7762" s="16"/>
      <c r="D7762" s="15"/>
      <c r="F7762" s="15"/>
      <c r="G7762" s="26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8"/>
      <c r="X7762" s="28"/>
      <c r="Y7762" s="28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28"/>
      <c r="AS7762" s="28"/>
      <c r="AT7762" s="28"/>
    </row>
    <row r="7763">
      <c r="A7763" s="14"/>
      <c r="B7763" s="15"/>
      <c r="C7763" s="16"/>
      <c r="D7763" s="15"/>
      <c r="F7763" s="15"/>
      <c r="G7763" s="26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8"/>
      <c r="X7763" s="28"/>
      <c r="Y7763" s="28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28"/>
      <c r="AS7763" s="28"/>
      <c r="AT7763" s="28"/>
    </row>
    <row r="7764">
      <c r="A7764" s="14"/>
      <c r="B7764" s="15"/>
      <c r="C7764" s="16"/>
      <c r="D7764" s="15"/>
      <c r="F7764" s="15"/>
      <c r="G7764" s="26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8"/>
      <c r="X7764" s="28"/>
      <c r="Y7764" s="28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28"/>
      <c r="AS7764" s="28"/>
      <c r="AT7764" s="28"/>
    </row>
    <row r="7765">
      <c r="A7765" s="14"/>
      <c r="B7765" s="15"/>
      <c r="C7765" s="16"/>
      <c r="D7765" s="15"/>
      <c r="F7765" s="15"/>
      <c r="G7765" s="26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8"/>
      <c r="X7765" s="28"/>
      <c r="Y7765" s="28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28"/>
      <c r="AS7765" s="28"/>
      <c r="AT7765" s="28"/>
    </row>
    <row r="7766">
      <c r="A7766" s="14"/>
      <c r="B7766" s="15"/>
      <c r="C7766" s="16"/>
      <c r="D7766" s="15"/>
      <c r="F7766" s="15"/>
      <c r="G7766" s="26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8"/>
      <c r="X7766" s="28"/>
      <c r="Y7766" s="28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28"/>
      <c r="AS7766" s="28"/>
      <c r="AT7766" s="28"/>
    </row>
    <row r="7767">
      <c r="A7767" s="14"/>
      <c r="B7767" s="15"/>
      <c r="C7767" s="16"/>
      <c r="D7767" s="15"/>
      <c r="F7767" s="15"/>
      <c r="G7767" s="26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8"/>
      <c r="X7767" s="28"/>
      <c r="Y7767" s="28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28"/>
      <c r="AS7767" s="28"/>
      <c r="AT7767" s="28"/>
    </row>
    <row r="7768">
      <c r="A7768" s="14"/>
      <c r="B7768" s="15"/>
      <c r="C7768" s="16"/>
      <c r="D7768" s="15"/>
      <c r="F7768" s="15"/>
      <c r="G7768" s="26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8"/>
      <c r="X7768" s="28"/>
      <c r="Y7768" s="28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28"/>
      <c r="AS7768" s="28"/>
      <c r="AT7768" s="28"/>
    </row>
    <row r="7769">
      <c r="A7769" s="14"/>
      <c r="B7769" s="15"/>
      <c r="C7769" s="16"/>
      <c r="D7769" s="15"/>
      <c r="F7769" s="15"/>
      <c r="G7769" s="26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8"/>
      <c r="X7769" s="28"/>
      <c r="Y7769" s="28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28"/>
      <c r="AS7769" s="28"/>
      <c r="AT7769" s="28"/>
    </row>
    <row r="7770">
      <c r="A7770" s="14"/>
      <c r="B7770" s="15"/>
      <c r="C7770" s="16"/>
      <c r="D7770" s="15"/>
      <c r="F7770" s="15"/>
      <c r="G7770" s="26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8"/>
      <c r="X7770" s="28"/>
      <c r="Y7770" s="28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28"/>
      <c r="AS7770" s="28"/>
      <c r="AT7770" s="28"/>
    </row>
    <row r="7771">
      <c r="A7771" s="14"/>
      <c r="B7771" s="15"/>
      <c r="C7771" s="16"/>
      <c r="D7771" s="15"/>
      <c r="F7771" s="15"/>
      <c r="G7771" s="26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8"/>
      <c r="X7771" s="28"/>
      <c r="Y7771" s="28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28"/>
      <c r="AS7771" s="28"/>
      <c r="AT7771" s="28"/>
    </row>
    <row r="7772">
      <c r="A7772" s="14"/>
      <c r="B7772" s="15"/>
      <c r="C7772" s="16"/>
      <c r="D7772" s="15"/>
      <c r="F7772" s="15"/>
      <c r="G7772" s="26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8"/>
      <c r="X7772" s="28"/>
      <c r="Y7772" s="28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28"/>
      <c r="AS7772" s="28"/>
      <c r="AT7772" s="28"/>
    </row>
    <row r="7773">
      <c r="A7773" s="14"/>
      <c r="B7773" s="15"/>
      <c r="C7773" s="16"/>
      <c r="D7773" s="15"/>
      <c r="F7773" s="15"/>
      <c r="G7773" s="26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8"/>
      <c r="X7773" s="28"/>
      <c r="Y7773" s="28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28"/>
      <c r="AS7773" s="28"/>
      <c r="AT7773" s="28"/>
    </row>
    <row r="7774">
      <c r="A7774" s="14"/>
      <c r="B7774" s="15"/>
      <c r="C7774" s="16"/>
      <c r="D7774" s="15"/>
      <c r="F7774" s="15"/>
      <c r="G7774" s="26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8"/>
      <c r="X7774" s="28"/>
      <c r="Y7774" s="28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28"/>
      <c r="AS7774" s="28"/>
      <c r="AT7774" s="28"/>
    </row>
    <row r="7775">
      <c r="A7775" s="14"/>
      <c r="B7775" s="15"/>
      <c r="C7775" s="16"/>
      <c r="D7775" s="15"/>
      <c r="F7775" s="15"/>
      <c r="G7775" s="26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8"/>
      <c r="X7775" s="28"/>
      <c r="Y7775" s="28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28"/>
      <c r="AS7775" s="28"/>
      <c r="AT7775" s="28"/>
    </row>
    <row r="7776">
      <c r="A7776" s="14"/>
      <c r="B7776" s="15"/>
      <c r="C7776" s="16"/>
      <c r="D7776" s="15"/>
      <c r="F7776" s="15"/>
      <c r="G7776" s="26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8"/>
      <c r="X7776" s="28"/>
      <c r="Y7776" s="28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28"/>
      <c r="AS7776" s="28"/>
      <c r="AT7776" s="28"/>
    </row>
    <row r="7777">
      <c r="A7777" s="14"/>
      <c r="B7777" s="15"/>
      <c r="C7777" s="16"/>
      <c r="D7777" s="15"/>
      <c r="F7777" s="15"/>
      <c r="G7777" s="26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8"/>
      <c r="X7777" s="28"/>
      <c r="Y7777" s="28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28"/>
      <c r="AS7777" s="28"/>
      <c r="AT7777" s="28"/>
    </row>
    <row r="7778">
      <c r="A7778" s="14"/>
      <c r="B7778" s="15"/>
      <c r="C7778" s="16"/>
      <c r="D7778" s="15"/>
      <c r="F7778" s="15"/>
      <c r="G7778" s="26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8"/>
      <c r="X7778" s="28"/>
      <c r="Y7778" s="28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28"/>
      <c r="AS7778" s="28"/>
      <c r="AT7778" s="28"/>
    </row>
    <row r="7779">
      <c r="A7779" s="14"/>
      <c r="B7779" s="15"/>
      <c r="C7779" s="16"/>
      <c r="D7779" s="15"/>
      <c r="F7779" s="15"/>
      <c r="G7779" s="26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8"/>
      <c r="X7779" s="28"/>
      <c r="Y7779" s="28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28"/>
      <c r="AS7779" s="28"/>
      <c r="AT7779" s="28"/>
    </row>
    <row r="7780">
      <c r="A7780" s="14"/>
      <c r="B7780" s="15"/>
      <c r="C7780" s="16"/>
      <c r="D7780" s="15"/>
      <c r="F7780" s="15"/>
      <c r="G7780" s="26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8"/>
      <c r="X7780" s="28"/>
      <c r="Y7780" s="28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28"/>
      <c r="AS7780" s="28"/>
      <c r="AT7780" s="28"/>
    </row>
    <row r="7781">
      <c r="A7781" s="14"/>
      <c r="B7781" s="15"/>
      <c r="C7781" s="16"/>
      <c r="D7781" s="15"/>
      <c r="F7781" s="15"/>
      <c r="G7781" s="26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8"/>
      <c r="X7781" s="28"/>
      <c r="Y7781" s="28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28"/>
      <c r="AS7781" s="28"/>
      <c r="AT7781" s="28"/>
    </row>
    <row r="7782">
      <c r="A7782" s="14"/>
      <c r="B7782" s="15"/>
      <c r="C7782" s="16"/>
      <c r="D7782" s="15"/>
      <c r="F7782" s="15"/>
      <c r="G7782" s="26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8"/>
      <c r="X7782" s="28"/>
      <c r="Y7782" s="28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28"/>
      <c r="AS7782" s="28"/>
      <c r="AT7782" s="28"/>
    </row>
    <row r="7783">
      <c r="A7783" s="14"/>
      <c r="B7783" s="15"/>
      <c r="C7783" s="16"/>
      <c r="D7783" s="15"/>
      <c r="F7783" s="15"/>
      <c r="G7783" s="26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8"/>
      <c r="X7783" s="28"/>
      <c r="Y7783" s="28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28"/>
      <c r="AS7783" s="28"/>
      <c r="AT7783" s="28"/>
    </row>
    <row r="7784">
      <c r="A7784" s="14"/>
      <c r="B7784" s="15"/>
      <c r="C7784" s="16"/>
      <c r="D7784" s="15"/>
      <c r="F7784" s="15"/>
      <c r="G7784" s="26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8"/>
      <c r="X7784" s="28"/>
      <c r="Y7784" s="28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28"/>
      <c r="AS7784" s="28"/>
      <c r="AT7784" s="28"/>
    </row>
    <row r="7785">
      <c r="A7785" s="14"/>
      <c r="B7785" s="15"/>
      <c r="C7785" s="16"/>
      <c r="D7785" s="15"/>
      <c r="F7785" s="15"/>
      <c r="G7785" s="26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8"/>
      <c r="X7785" s="28"/>
      <c r="Y7785" s="28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28"/>
      <c r="AS7785" s="28"/>
      <c r="AT7785" s="28"/>
    </row>
    <row r="7786">
      <c r="A7786" s="14"/>
      <c r="B7786" s="15"/>
      <c r="C7786" s="16"/>
      <c r="D7786" s="15"/>
      <c r="F7786" s="15"/>
      <c r="G7786" s="26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8"/>
      <c r="X7786" s="28"/>
      <c r="Y7786" s="28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28"/>
      <c r="AS7786" s="28"/>
      <c r="AT7786" s="28"/>
    </row>
    <row r="7787">
      <c r="A7787" s="14"/>
      <c r="B7787" s="15"/>
      <c r="C7787" s="16"/>
      <c r="D7787" s="15"/>
      <c r="F7787" s="15"/>
      <c r="G7787" s="26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8"/>
      <c r="X7787" s="28"/>
      <c r="Y7787" s="28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28"/>
      <c r="AS7787" s="28"/>
      <c r="AT7787" s="28"/>
    </row>
    <row r="7788">
      <c r="A7788" s="14"/>
      <c r="B7788" s="15"/>
      <c r="C7788" s="16"/>
      <c r="D7788" s="15"/>
      <c r="F7788" s="15"/>
      <c r="G7788" s="26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8"/>
      <c r="X7788" s="28"/>
      <c r="Y7788" s="28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28"/>
      <c r="AS7788" s="28"/>
      <c r="AT7788" s="28"/>
    </row>
    <row r="7789">
      <c r="A7789" s="14"/>
      <c r="B7789" s="15"/>
      <c r="C7789" s="16"/>
      <c r="D7789" s="15"/>
      <c r="F7789" s="15"/>
      <c r="G7789" s="26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8"/>
      <c r="X7789" s="28"/>
      <c r="Y7789" s="28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28"/>
      <c r="AS7789" s="28"/>
      <c r="AT7789" s="28"/>
    </row>
    <row r="7790">
      <c r="A7790" s="14"/>
      <c r="B7790" s="15"/>
      <c r="C7790" s="16"/>
      <c r="D7790" s="15"/>
      <c r="F7790" s="15"/>
      <c r="G7790" s="26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8"/>
      <c r="X7790" s="28"/>
      <c r="Y7790" s="28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28"/>
      <c r="AS7790" s="28"/>
      <c r="AT7790" s="28"/>
    </row>
    <row r="7791">
      <c r="A7791" s="14"/>
      <c r="B7791" s="15"/>
      <c r="C7791" s="16"/>
      <c r="D7791" s="15"/>
      <c r="F7791" s="15"/>
      <c r="G7791" s="26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8"/>
      <c r="X7791" s="28"/>
      <c r="Y7791" s="28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28"/>
      <c r="AS7791" s="28"/>
      <c r="AT7791" s="28"/>
    </row>
    <row r="7792">
      <c r="A7792" s="14"/>
      <c r="B7792" s="15"/>
      <c r="C7792" s="16"/>
      <c r="D7792" s="15"/>
      <c r="F7792" s="15"/>
      <c r="G7792" s="26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8"/>
      <c r="X7792" s="28"/>
      <c r="Y7792" s="28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28"/>
      <c r="AS7792" s="28"/>
      <c r="AT7792" s="28"/>
    </row>
    <row r="7793">
      <c r="A7793" s="14"/>
      <c r="B7793" s="15"/>
      <c r="C7793" s="16"/>
      <c r="D7793" s="15"/>
      <c r="F7793" s="15"/>
      <c r="G7793" s="26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8"/>
      <c r="X7793" s="28"/>
      <c r="Y7793" s="28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28"/>
      <c r="AS7793" s="28"/>
      <c r="AT7793" s="28"/>
    </row>
    <row r="7794">
      <c r="A7794" s="14"/>
      <c r="B7794" s="15"/>
      <c r="C7794" s="16"/>
      <c r="D7794" s="15"/>
      <c r="F7794" s="15"/>
      <c r="G7794" s="26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8"/>
      <c r="X7794" s="28"/>
      <c r="Y7794" s="28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28"/>
      <c r="AS7794" s="28"/>
      <c r="AT7794" s="28"/>
    </row>
    <row r="7795">
      <c r="A7795" s="14"/>
      <c r="B7795" s="15"/>
      <c r="C7795" s="16"/>
      <c r="D7795" s="15"/>
      <c r="F7795" s="15"/>
      <c r="G7795" s="26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8"/>
      <c r="X7795" s="28"/>
      <c r="Y7795" s="28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28"/>
      <c r="AS7795" s="28"/>
      <c r="AT7795" s="28"/>
    </row>
    <row r="7796">
      <c r="A7796" s="14"/>
      <c r="B7796" s="15"/>
      <c r="C7796" s="16"/>
      <c r="D7796" s="15"/>
      <c r="F7796" s="15"/>
      <c r="G7796" s="26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8"/>
      <c r="X7796" s="28"/>
      <c r="Y7796" s="28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28"/>
      <c r="AS7796" s="28"/>
      <c r="AT7796" s="28"/>
    </row>
    <row r="7797">
      <c r="A7797" s="14"/>
      <c r="B7797" s="15"/>
      <c r="C7797" s="16"/>
      <c r="D7797" s="15"/>
      <c r="F7797" s="15"/>
      <c r="G7797" s="26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8"/>
      <c r="X7797" s="28"/>
      <c r="Y7797" s="28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28"/>
      <c r="AS7797" s="28"/>
      <c r="AT7797" s="28"/>
    </row>
    <row r="7798">
      <c r="A7798" s="14"/>
      <c r="B7798" s="15"/>
      <c r="C7798" s="16"/>
      <c r="D7798" s="15"/>
      <c r="F7798" s="15"/>
      <c r="G7798" s="26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8"/>
      <c r="X7798" s="28"/>
      <c r="Y7798" s="28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28"/>
      <c r="AS7798" s="28"/>
      <c r="AT7798" s="28"/>
    </row>
    <row r="7799">
      <c r="A7799" s="14"/>
      <c r="B7799" s="15"/>
      <c r="C7799" s="16"/>
      <c r="D7799" s="15"/>
      <c r="F7799" s="15"/>
      <c r="G7799" s="26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8"/>
      <c r="X7799" s="28"/>
      <c r="Y7799" s="28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28"/>
      <c r="AS7799" s="28"/>
      <c r="AT7799" s="28"/>
    </row>
    <row r="7800">
      <c r="A7800" s="14"/>
      <c r="B7800" s="15"/>
      <c r="C7800" s="16"/>
      <c r="D7800" s="15"/>
      <c r="F7800" s="15"/>
      <c r="G7800" s="26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8"/>
      <c r="X7800" s="28"/>
      <c r="Y7800" s="28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28"/>
      <c r="AS7800" s="28"/>
      <c r="AT7800" s="28"/>
    </row>
    <row r="7801">
      <c r="A7801" s="14"/>
      <c r="B7801" s="15"/>
      <c r="C7801" s="16"/>
      <c r="D7801" s="15"/>
      <c r="F7801" s="15"/>
      <c r="G7801" s="26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8"/>
      <c r="X7801" s="28"/>
      <c r="Y7801" s="28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28"/>
      <c r="AS7801" s="28"/>
      <c r="AT7801" s="28"/>
    </row>
    <row r="7802">
      <c r="A7802" s="14"/>
      <c r="B7802" s="15"/>
      <c r="C7802" s="16"/>
      <c r="D7802" s="15"/>
      <c r="F7802" s="15"/>
      <c r="G7802" s="26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8"/>
      <c r="X7802" s="28"/>
      <c r="Y7802" s="28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28"/>
      <c r="AS7802" s="28"/>
      <c r="AT7802" s="28"/>
    </row>
    <row r="7803">
      <c r="A7803" s="14"/>
      <c r="B7803" s="15"/>
      <c r="C7803" s="16"/>
      <c r="D7803" s="15"/>
      <c r="F7803" s="15"/>
      <c r="G7803" s="26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8"/>
      <c r="X7803" s="28"/>
      <c r="Y7803" s="28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28"/>
      <c r="AS7803" s="28"/>
      <c r="AT7803" s="28"/>
    </row>
    <row r="7804">
      <c r="A7804" s="14"/>
      <c r="B7804" s="15"/>
      <c r="C7804" s="16"/>
      <c r="D7804" s="15"/>
      <c r="F7804" s="15"/>
      <c r="G7804" s="26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8"/>
      <c r="X7804" s="28"/>
      <c r="Y7804" s="28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28"/>
      <c r="AS7804" s="28"/>
      <c r="AT7804" s="28"/>
    </row>
    <row r="7805">
      <c r="A7805" s="14"/>
      <c r="B7805" s="15"/>
      <c r="C7805" s="16"/>
      <c r="D7805" s="15"/>
      <c r="F7805" s="15"/>
      <c r="G7805" s="26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8"/>
      <c r="X7805" s="28"/>
      <c r="Y7805" s="28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28"/>
      <c r="AS7805" s="28"/>
      <c r="AT7805" s="28"/>
    </row>
    <row r="7806">
      <c r="A7806" s="14"/>
      <c r="B7806" s="15"/>
      <c r="C7806" s="16"/>
      <c r="D7806" s="15"/>
      <c r="F7806" s="15"/>
      <c r="G7806" s="26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8"/>
      <c r="X7806" s="28"/>
      <c r="Y7806" s="28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28"/>
      <c r="AS7806" s="28"/>
      <c r="AT7806" s="28"/>
    </row>
    <row r="7807">
      <c r="A7807" s="14"/>
      <c r="B7807" s="15"/>
      <c r="C7807" s="16"/>
      <c r="D7807" s="15"/>
      <c r="F7807" s="15"/>
      <c r="G7807" s="26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8"/>
      <c r="X7807" s="28"/>
      <c r="Y7807" s="28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28"/>
      <c r="AS7807" s="28"/>
      <c r="AT7807" s="28"/>
    </row>
    <row r="7808">
      <c r="A7808" s="14"/>
      <c r="B7808" s="15"/>
      <c r="C7808" s="16"/>
      <c r="D7808" s="15"/>
      <c r="F7808" s="15"/>
      <c r="G7808" s="26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8"/>
      <c r="X7808" s="28"/>
      <c r="Y7808" s="28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28"/>
      <c r="AS7808" s="28"/>
      <c r="AT7808" s="28"/>
    </row>
    <row r="7809">
      <c r="A7809" s="14"/>
      <c r="B7809" s="15"/>
      <c r="C7809" s="16"/>
      <c r="D7809" s="15"/>
      <c r="F7809" s="15"/>
      <c r="G7809" s="26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8"/>
      <c r="X7809" s="28"/>
      <c r="Y7809" s="28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28"/>
      <c r="AS7809" s="28"/>
      <c r="AT7809" s="28"/>
    </row>
    <row r="7810">
      <c r="A7810" s="14"/>
      <c r="B7810" s="15"/>
      <c r="C7810" s="16"/>
      <c r="D7810" s="15"/>
      <c r="F7810" s="15"/>
      <c r="G7810" s="26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8"/>
      <c r="X7810" s="28"/>
      <c r="Y7810" s="28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28"/>
      <c r="AS7810" s="28"/>
      <c r="AT7810" s="28"/>
    </row>
    <row r="7811">
      <c r="A7811" s="14"/>
      <c r="B7811" s="15"/>
      <c r="C7811" s="16"/>
      <c r="D7811" s="15"/>
      <c r="F7811" s="15"/>
      <c r="G7811" s="26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8"/>
      <c r="X7811" s="28"/>
      <c r="Y7811" s="28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28"/>
      <c r="AS7811" s="28"/>
      <c r="AT7811" s="28"/>
    </row>
    <row r="7812">
      <c r="A7812" s="14"/>
      <c r="B7812" s="15"/>
      <c r="C7812" s="16"/>
      <c r="D7812" s="15"/>
      <c r="F7812" s="15"/>
      <c r="G7812" s="26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8"/>
      <c r="X7812" s="28"/>
      <c r="Y7812" s="28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28"/>
      <c r="AS7812" s="28"/>
      <c r="AT7812" s="28"/>
    </row>
    <row r="7813">
      <c r="A7813" s="14"/>
      <c r="B7813" s="15"/>
      <c r="C7813" s="16"/>
      <c r="D7813" s="15"/>
      <c r="F7813" s="15"/>
      <c r="G7813" s="26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8"/>
      <c r="X7813" s="28"/>
      <c r="Y7813" s="28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28"/>
      <c r="AS7813" s="28"/>
      <c r="AT7813" s="28"/>
    </row>
    <row r="7814">
      <c r="A7814" s="14"/>
      <c r="B7814" s="15"/>
      <c r="C7814" s="16"/>
      <c r="D7814" s="15"/>
      <c r="F7814" s="15"/>
      <c r="G7814" s="26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8"/>
      <c r="X7814" s="28"/>
      <c r="Y7814" s="28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28"/>
      <c r="AS7814" s="28"/>
      <c r="AT7814" s="28"/>
    </row>
    <row r="7815">
      <c r="A7815" s="14"/>
      <c r="B7815" s="15"/>
      <c r="C7815" s="16"/>
      <c r="D7815" s="15"/>
      <c r="F7815" s="15"/>
      <c r="G7815" s="26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8"/>
      <c r="X7815" s="28"/>
      <c r="Y7815" s="28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28"/>
      <c r="AS7815" s="28"/>
      <c r="AT7815" s="28"/>
    </row>
    <row r="7816">
      <c r="A7816" s="14"/>
      <c r="B7816" s="15"/>
      <c r="C7816" s="16"/>
      <c r="D7816" s="15"/>
      <c r="F7816" s="15"/>
      <c r="G7816" s="26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8"/>
      <c r="X7816" s="28"/>
      <c r="Y7816" s="28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28"/>
      <c r="AS7816" s="28"/>
      <c r="AT7816" s="28"/>
    </row>
    <row r="7817">
      <c r="A7817" s="14"/>
      <c r="B7817" s="15"/>
      <c r="C7817" s="16"/>
      <c r="D7817" s="15"/>
      <c r="F7817" s="15"/>
      <c r="G7817" s="26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8"/>
      <c r="X7817" s="28"/>
      <c r="Y7817" s="28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28"/>
      <c r="AS7817" s="28"/>
      <c r="AT7817" s="28"/>
    </row>
    <row r="7818">
      <c r="A7818" s="14"/>
      <c r="B7818" s="15"/>
      <c r="C7818" s="16"/>
      <c r="D7818" s="15"/>
      <c r="F7818" s="15"/>
      <c r="G7818" s="26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8"/>
      <c r="X7818" s="28"/>
      <c r="Y7818" s="28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28"/>
      <c r="AS7818" s="28"/>
      <c r="AT7818" s="28"/>
    </row>
    <row r="7819">
      <c r="A7819" s="14"/>
      <c r="B7819" s="15"/>
      <c r="C7819" s="16"/>
      <c r="D7819" s="15"/>
      <c r="F7819" s="15"/>
      <c r="G7819" s="26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8"/>
      <c r="X7819" s="28"/>
      <c r="Y7819" s="28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28"/>
      <c r="AS7819" s="28"/>
      <c r="AT7819" s="28"/>
    </row>
    <row r="7820">
      <c r="A7820" s="14"/>
      <c r="B7820" s="15"/>
      <c r="C7820" s="16"/>
      <c r="D7820" s="15"/>
      <c r="F7820" s="15"/>
      <c r="G7820" s="26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8"/>
      <c r="X7820" s="28"/>
      <c r="Y7820" s="28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28"/>
      <c r="AS7820" s="28"/>
      <c r="AT7820" s="28"/>
    </row>
    <row r="7821">
      <c r="A7821" s="14"/>
      <c r="B7821" s="15"/>
      <c r="C7821" s="16"/>
      <c r="D7821" s="15"/>
      <c r="F7821" s="15"/>
      <c r="G7821" s="26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8"/>
      <c r="X7821" s="28"/>
      <c r="Y7821" s="28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28"/>
      <c r="AS7821" s="28"/>
      <c r="AT7821" s="28"/>
    </row>
    <row r="7822">
      <c r="A7822" s="14"/>
      <c r="B7822" s="15"/>
      <c r="C7822" s="16"/>
      <c r="D7822" s="15"/>
      <c r="F7822" s="15"/>
      <c r="G7822" s="26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8"/>
      <c r="X7822" s="28"/>
      <c r="Y7822" s="28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28"/>
      <c r="AS7822" s="28"/>
      <c r="AT7822" s="28"/>
    </row>
    <row r="7823">
      <c r="A7823" s="14"/>
      <c r="B7823" s="15"/>
      <c r="C7823" s="16"/>
      <c r="D7823" s="15"/>
      <c r="F7823" s="15"/>
      <c r="G7823" s="26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8"/>
      <c r="X7823" s="28"/>
      <c r="Y7823" s="28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28"/>
      <c r="AS7823" s="28"/>
      <c r="AT7823" s="28"/>
    </row>
    <row r="7824">
      <c r="A7824" s="14"/>
      <c r="B7824" s="15"/>
      <c r="C7824" s="16"/>
      <c r="D7824" s="15"/>
      <c r="F7824" s="15"/>
      <c r="G7824" s="26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8"/>
      <c r="X7824" s="28"/>
      <c r="Y7824" s="28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28"/>
      <c r="AS7824" s="28"/>
      <c r="AT7824" s="28"/>
    </row>
    <row r="7825">
      <c r="A7825" s="14"/>
      <c r="B7825" s="15"/>
      <c r="C7825" s="16"/>
      <c r="D7825" s="15"/>
      <c r="F7825" s="15"/>
      <c r="G7825" s="26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8"/>
      <c r="X7825" s="28"/>
      <c r="Y7825" s="28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28"/>
      <c r="AS7825" s="28"/>
      <c r="AT7825" s="28"/>
    </row>
    <row r="7826">
      <c r="A7826" s="14"/>
      <c r="B7826" s="15"/>
      <c r="C7826" s="16"/>
      <c r="D7826" s="15"/>
      <c r="F7826" s="15"/>
      <c r="G7826" s="26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8"/>
      <c r="X7826" s="28"/>
      <c r="Y7826" s="28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28"/>
      <c r="AS7826" s="28"/>
      <c r="AT7826" s="28"/>
    </row>
    <row r="7827">
      <c r="A7827" s="14"/>
      <c r="B7827" s="15"/>
      <c r="C7827" s="16"/>
      <c r="D7827" s="15"/>
      <c r="F7827" s="15"/>
      <c r="G7827" s="26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8"/>
      <c r="X7827" s="28"/>
      <c r="Y7827" s="28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28"/>
      <c r="AS7827" s="28"/>
      <c r="AT7827" s="28"/>
    </row>
    <row r="7828">
      <c r="A7828" s="14"/>
      <c r="B7828" s="15"/>
      <c r="C7828" s="16"/>
      <c r="D7828" s="15"/>
      <c r="F7828" s="15"/>
      <c r="G7828" s="26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8"/>
      <c r="X7828" s="28"/>
      <c r="Y7828" s="28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28"/>
      <c r="AS7828" s="28"/>
      <c r="AT7828" s="28"/>
    </row>
    <row r="7829">
      <c r="A7829" s="14"/>
      <c r="B7829" s="15"/>
      <c r="C7829" s="16"/>
      <c r="D7829" s="15"/>
      <c r="F7829" s="15"/>
      <c r="G7829" s="26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8"/>
      <c r="X7829" s="28"/>
      <c r="Y7829" s="28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28"/>
      <c r="AS7829" s="28"/>
      <c r="AT7829" s="28"/>
    </row>
    <row r="7830">
      <c r="A7830" s="14"/>
      <c r="B7830" s="15"/>
      <c r="C7830" s="16"/>
      <c r="D7830" s="15"/>
      <c r="F7830" s="15"/>
      <c r="G7830" s="26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8"/>
      <c r="X7830" s="28"/>
      <c r="Y7830" s="28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28"/>
      <c r="AS7830" s="28"/>
      <c r="AT7830" s="28"/>
    </row>
    <row r="7831">
      <c r="A7831" s="14"/>
      <c r="B7831" s="15"/>
      <c r="C7831" s="16"/>
      <c r="D7831" s="15"/>
      <c r="F7831" s="15"/>
      <c r="G7831" s="26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8"/>
      <c r="X7831" s="28"/>
      <c r="Y7831" s="28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28"/>
      <c r="AS7831" s="28"/>
      <c r="AT7831" s="28"/>
    </row>
    <row r="7832">
      <c r="A7832" s="14"/>
      <c r="B7832" s="15"/>
      <c r="C7832" s="16"/>
      <c r="D7832" s="15"/>
      <c r="F7832" s="15"/>
      <c r="G7832" s="26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8"/>
      <c r="X7832" s="28"/>
      <c r="Y7832" s="28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28"/>
      <c r="AS7832" s="28"/>
      <c r="AT7832" s="28"/>
    </row>
    <row r="7833">
      <c r="A7833" s="14"/>
      <c r="B7833" s="15"/>
      <c r="C7833" s="16"/>
      <c r="D7833" s="15"/>
      <c r="F7833" s="15"/>
      <c r="G7833" s="26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8"/>
      <c r="X7833" s="28"/>
      <c r="Y7833" s="28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28"/>
      <c r="AS7833" s="28"/>
      <c r="AT7833" s="28"/>
    </row>
    <row r="7834">
      <c r="A7834" s="14"/>
      <c r="B7834" s="15"/>
      <c r="C7834" s="16"/>
      <c r="D7834" s="15"/>
      <c r="F7834" s="15"/>
      <c r="G7834" s="26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8"/>
      <c r="X7834" s="28"/>
      <c r="Y7834" s="28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28"/>
      <c r="AS7834" s="28"/>
      <c r="AT7834" s="28"/>
    </row>
    <row r="7835">
      <c r="A7835" s="14"/>
      <c r="B7835" s="15"/>
      <c r="C7835" s="16"/>
      <c r="D7835" s="15"/>
      <c r="F7835" s="15"/>
      <c r="G7835" s="26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8"/>
      <c r="X7835" s="28"/>
      <c r="Y7835" s="28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28"/>
      <c r="AS7835" s="28"/>
      <c r="AT7835" s="28"/>
    </row>
    <row r="7836">
      <c r="A7836" s="14"/>
      <c r="B7836" s="15"/>
      <c r="C7836" s="16"/>
      <c r="D7836" s="15"/>
      <c r="F7836" s="15"/>
      <c r="G7836" s="26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8"/>
      <c r="X7836" s="28"/>
      <c r="Y7836" s="28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28"/>
      <c r="AS7836" s="28"/>
      <c r="AT7836" s="28"/>
    </row>
    <row r="7837">
      <c r="A7837" s="14"/>
      <c r="B7837" s="15"/>
      <c r="C7837" s="16"/>
      <c r="D7837" s="15"/>
      <c r="F7837" s="15"/>
      <c r="G7837" s="26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8"/>
      <c r="X7837" s="28"/>
      <c r="Y7837" s="28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28"/>
      <c r="AS7837" s="28"/>
      <c r="AT7837" s="28"/>
    </row>
    <row r="7838">
      <c r="A7838" s="14"/>
      <c r="B7838" s="15"/>
      <c r="C7838" s="16"/>
      <c r="D7838" s="15"/>
      <c r="F7838" s="15"/>
      <c r="G7838" s="26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8"/>
      <c r="X7838" s="28"/>
      <c r="Y7838" s="28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28"/>
      <c r="AS7838" s="28"/>
      <c r="AT7838" s="28"/>
    </row>
    <row r="7839">
      <c r="A7839" s="14"/>
      <c r="B7839" s="15"/>
      <c r="C7839" s="16"/>
      <c r="D7839" s="15"/>
      <c r="F7839" s="15"/>
      <c r="G7839" s="26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8"/>
      <c r="X7839" s="28"/>
      <c r="Y7839" s="28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28"/>
      <c r="AS7839" s="28"/>
      <c r="AT7839" s="28"/>
    </row>
    <row r="7840">
      <c r="A7840" s="14"/>
      <c r="B7840" s="15"/>
      <c r="C7840" s="16"/>
      <c r="D7840" s="15"/>
      <c r="F7840" s="15"/>
      <c r="G7840" s="26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8"/>
      <c r="X7840" s="28"/>
      <c r="Y7840" s="28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28"/>
      <c r="AS7840" s="28"/>
      <c r="AT7840" s="28"/>
    </row>
    <row r="7841">
      <c r="A7841" s="14"/>
      <c r="B7841" s="15"/>
      <c r="C7841" s="16"/>
      <c r="D7841" s="15"/>
      <c r="F7841" s="15"/>
      <c r="G7841" s="26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8"/>
      <c r="X7841" s="28"/>
      <c r="Y7841" s="28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28"/>
      <c r="AS7841" s="28"/>
      <c r="AT7841" s="28"/>
    </row>
    <row r="7842">
      <c r="A7842" s="14"/>
      <c r="B7842" s="15"/>
      <c r="C7842" s="16"/>
      <c r="D7842" s="15"/>
      <c r="F7842" s="15"/>
      <c r="G7842" s="26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8"/>
      <c r="X7842" s="28"/>
      <c r="Y7842" s="28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28"/>
      <c r="AS7842" s="28"/>
      <c r="AT7842" s="28"/>
    </row>
    <row r="7843">
      <c r="A7843" s="14"/>
      <c r="B7843" s="15"/>
      <c r="C7843" s="16"/>
      <c r="D7843" s="15"/>
      <c r="F7843" s="15"/>
      <c r="G7843" s="26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8"/>
      <c r="X7843" s="28"/>
      <c r="Y7843" s="28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28"/>
      <c r="AS7843" s="28"/>
      <c r="AT7843" s="28"/>
    </row>
    <row r="7844">
      <c r="A7844" s="14"/>
      <c r="B7844" s="15"/>
      <c r="C7844" s="16"/>
      <c r="D7844" s="15"/>
      <c r="F7844" s="15"/>
      <c r="G7844" s="26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8"/>
      <c r="X7844" s="28"/>
      <c r="Y7844" s="28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28"/>
      <c r="AS7844" s="28"/>
      <c r="AT7844" s="28"/>
    </row>
    <row r="7845">
      <c r="A7845" s="14"/>
      <c r="B7845" s="15"/>
      <c r="C7845" s="16"/>
      <c r="D7845" s="15"/>
      <c r="F7845" s="15"/>
      <c r="G7845" s="26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8"/>
      <c r="X7845" s="28"/>
      <c r="Y7845" s="28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28"/>
      <c r="AS7845" s="28"/>
      <c r="AT7845" s="28"/>
    </row>
    <row r="7846">
      <c r="A7846" s="14"/>
      <c r="B7846" s="15"/>
      <c r="C7846" s="16"/>
      <c r="D7846" s="15"/>
      <c r="F7846" s="15"/>
      <c r="G7846" s="26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8"/>
      <c r="X7846" s="28"/>
      <c r="Y7846" s="28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28"/>
      <c r="AS7846" s="28"/>
      <c r="AT7846" s="28"/>
    </row>
    <row r="7847">
      <c r="A7847" s="14"/>
      <c r="B7847" s="15"/>
      <c r="C7847" s="16"/>
      <c r="D7847" s="15"/>
      <c r="F7847" s="15"/>
      <c r="G7847" s="26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8"/>
      <c r="X7847" s="28"/>
      <c r="Y7847" s="28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28"/>
      <c r="AS7847" s="28"/>
      <c r="AT7847" s="28"/>
    </row>
    <row r="7848">
      <c r="A7848" s="14"/>
      <c r="B7848" s="15"/>
      <c r="C7848" s="16"/>
      <c r="D7848" s="15"/>
      <c r="F7848" s="15"/>
      <c r="G7848" s="26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8"/>
      <c r="X7848" s="28"/>
      <c r="Y7848" s="28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28"/>
      <c r="AS7848" s="28"/>
      <c r="AT7848" s="28"/>
    </row>
    <row r="7849">
      <c r="A7849" s="14"/>
      <c r="B7849" s="15"/>
      <c r="C7849" s="16"/>
      <c r="D7849" s="15"/>
      <c r="F7849" s="15"/>
      <c r="G7849" s="26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8"/>
      <c r="X7849" s="28"/>
      <c r="Y7849" s="28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28"/>
      <c r="AS7849" s="28"/>
      <c r="AT7849" s="28"/>
    </row>
    <row r="7850">
      <c r="A7850" s="14"/>
      <c r="B7850" s="15"/>
      <c r="C7850" s="16"/>
      <c r="D7850" s="15"/>
      <c r="F7850" s="15"/>
      <c r="G7850" s="26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8"/>
      <c r="X7850" s="28"/>
      <c r="Y7850" s="28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28"/>
      <c r="AS7850" s="28"/>
      <c r="AT7850" s="28"/>
    </row>
    <row r="7851">
      <c r="A7851" s="14"/>
      <c r="B7851" s="15"/>
      <c r="C7851" s="16"/>
      <c r="D7851" s="15"/>
      <c r="F7851" s="15"/>
      <c r="G7851" s="26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8"/>
      <c r="X7851" s="28"/>
      <c r="Y7851" s="28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28"/>
      <c r="AS7851" s="28"/>
      <c r="AT7851" s="28"/>
    </row>
    <row r="7852">
      <c r="A7852" s="14"/>
      <c r="B7852" s="15"/>
      <c r="C7852" s="16"/>
      <c r="D7852" s="15"/>
      <c r="F7852" s="15"/>
      <c r="G7852" s="26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28"/>
      <c r="AS7852" s="28"/>
      <c r="AT7852" s="28"/>
    </row>
    <row r="7853">
      <c r="A7853" s="14"/>
      <c r="B7853" s="15"/>
      <c r="C7853" s="16"/>
      <c r="D7853" s="15"/>
      <c r="F7853" s="15"/>
      <c r="G7853" s="26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8"/>
      <c r="X7853" s="28"/>
      <c r="Y7853" s="28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28"/>
      <c r="AS7853" s="28"/>
      <c r="AT7853" s="28"/>
    </row>
    <row r="7854">
      <c r="A7854" s="14"/>
      <c r="B7854" s="15"/>
      <c r="C7854" s="16"/>
      <c r="D7854" s="15"/>
      <c r="F7854" s="15"/>
      <c r="G7854" s="26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8"/>
      <c r="X7854" s="28"/>
      <c r="Y7854" s="28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28"/>
      <c r="AS7854" s="28"/>
      <c r="AT7854" s="28"/>
    </row>
    <row r="7855">
      <c r="A7855" s="14"/>
      <c r="B7855" s="15"/>
      <c r="C7855" s="16"/>
      <c r="D7855" s="15"/>
      <c r="F7855" s="15"/>
      <c r="G7855" s="26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8"/>
      <c r="X7855" s="28"/>
      <c r="Y7855" s="28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28"/>
      <c r="AS7855" s="28"/>
      <c r="AT7855" s="28"/>
    </row>
    <row r="7856">
      <c r="A7856" s="14"/>
      <c r="B7856" s="15"/>
      <c r="C7856" s="16"/>
      <c r="D7856" s="15"/>
      <c r="F7856" s="15"/>
      <c r="G7856" s="26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8"/>
      <c r="X7856" s="28"/>
      <c r="Y7856" s="28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28"/>
      <c r="AS7856" s="28"/>
      <c r="AT7856" s="28"/>
    </row>
    <row r="7857">
      <c r="A7857" s="14"/>
      <c r="B7857" s="15"/>
      <c r="C7857" s="16"/>
      <c r="D7857" s="15"/>
      <c r="F7857" s="15"/>
      <c r="G7857" s="26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8"/>
      <c r="X7857" s="28"/>
      <c r="Y7857" s="28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28"/>
      <c r="AS7857" s="28"/>
      <c r="AT7857" s="28"/>
    </row>
    <row r="7858">
      <c r="A7858" s="14"/>
      <c r="B7858" s="15"/>
      <c r="C7858" s="16"/>
      <c r="D7858" s="15"/>
      <c r="F7858" s="15"/>
      <c r="G7858" s="26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8"/>
      <c r="X7858" s="28"/>
      <c r="Y7858" s="28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28"/>
      <c r="AS7858" s="28"/>
      <c r="AT7858" s="28"/>
    </row>
    <row r="7859">
      <c r="A7859" s="14"/>
      <c r="B7859" s="15"/>
      <c r="C7859" s="16"/>
      <c r="D7859" s="15"/>
      <c r="F7859" s="15"/>
      <c r="G7859" s="26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8"/>
      <c r="X7859" s="28"/>
      <c r="Y7859" s="28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28"/>
      <c r="AS7859" s="28"/>
      <c r="AT7859" s="28"/>
    </row>
    <row r="7860">
      <c r="A7860" s="14"/>
      <c r="B7860" s="15"/>
      <c r="C7860" s="16"/>
      <c r="D7860" s="15"/>
      <c r="F7860" s="15"/>
      <c r="G7860" s="26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8"/>
      <c r="X7860" s="28"/>
      <c r="Y7860" s="28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28"/>
      <c r="AS7860" s="28"/>
      <c r="AT7860" s="28"/>
    </row>
    <row r="7861">
      <c r="A7861" s="14"/>
      <c r="B7861" s="15"/>
      <c r="C7861" s="16"/>
      <c r="D7861" s="15"/>
      <c r="F7861" s="15"/>
      <c r="G7861" s="26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8"/>
      <c r="X7861" s="28"/>
      <c r="Y7861" s="28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28"/>
      <c r="AS7861" s="28"/>
      <c r="AT7861" s="28"/>
    </row>
    <row r="7862">
      <c r="A7862" s="14"/>
      <c r="B7862" s="15"/>
      <c r="C7862" s="16"/>
      <c r="D7862" s="15"/>
      <c r="F7862" s="15"/>
      <c r="G7862" s="26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8"/>
      <c r="X7862" s="28"/>
      <c r="Y7862" s="28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28"/>
      <c r="AS7862" s="28"/>
      <c r="AT7862" s="28"/>
    </row>
    <row r="7863">
      <c r="A7863" s="14"/>
      <c r="B7863" s="15"/>
      <c r="C7863" s="16"/>
      <c r="D7863" s="15"/>
      <c r="F7863" s="15"/>
      <c r="G7863" s="26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8"/>
      <c r="X7863" s="28"/>
      <c r="Y7863" s="28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28"/>
      <c r="AS7863" s="28"/>
      <c r="AT7863" s="28"/>
    </row>
    <row r="7864">
      <c r="A7864" s="14"/>
      <c r="B7864" s="15"/>
      <c r="C7864" s="16"/>
      <c r="D7864" s="15"/>
      <c r="F7864" s="15"/>
      <c r="G7864" s="26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8"/>
      <c r="X7864" s="28"/>
      <c r="Y7864" s="28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28"/>
      <c r="AS7864" s="28"/>
      <c r="AT7864" s="28"/>
    </row>
    <row r="7865">
      <c r="A7865" s="14"/>
      <c r="B7865" s="15"/>
      <c r="C7865" s="16"/>
      <c r="D7865" s="15"/>
      <c r="F7865" s="15"/>
      <c r="G7865" s="26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8"/>
      <c r="X7865" s="28"/>
      <c r="Y7865" s="28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28"/>
      <c r="AS7865" s="28"/>
      <c r="AT7865" s="28"/>
    </row>
    <row r="7866">
      <c r="A7866" s="14"/>
      <c r="B7866" s="15"/>
      <c r="C7866" s="16"/>
      <c r="D7866" s="15"/>
      <c r="F7866" s="15"/>
      <c r="G7866" s="26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8"/>
      <c r="X7866" s="28"/>
      <c r="Y7866" s="28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28"/>
      <c r="AS7866" s="28"/>
      <c r="AT7866" s="28"/>
    </row>
    <row r="7867">
      <c r="A7867" s="14"/>
      <c r="B7867" s="15"/>
      <c r="C7867" s="16"/>
      <c r="D7867" s="15"/>
      <c r="F7867" s="15"/>
      <c r="G7867" s="26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8"/>
      <c r="X7867" s="28"/>
      <c r="Y7867" s="28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28"/>
      <c r="AS7867" s="28"/>
      <c r="AT7867" s="28"/>
    </row>
    <row r="7868">
      <c r="A7868" s="14"/>
      <c r="B7868" s="15"/>
      <c r="C7868" s="16"/>
      <c r="D7868" s="15"/>
      <c r="F7868" s="15"/>
      <c r="G7868" s="26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8"/>
      <c r="X7868" s="28"/>
      <c r="Y7868" s="28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28"/>
      <c r="AS7868" s="28"/>
      <c r="AT7868" s="28"/>
    </row>
    <row r="7869">
      <c r="A7869" s="14"/>
      <c r="B7869" s="15"/>
      <c r="C7869" s="16"/>
      <c r="D7869" s="15"/>
      <c r="F7869" s="15"/>
      <c r="G7869" s="26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8"/>
      <c r="X7869" s="28"/>
      <c r="Y7869" s="28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28"/>
      <c r="AS7869" s="28"/>
      <c r="AT7869" s="28"/>
    </row>
    <row r="7870">
      <c r="A7870" s="14"/>
      <c r="B7870" s="15"/>
      <c r="C7870" s="16"/>
      <c r="D7870" s="15"/>
      <c r="F7870" s="15"/>
      <c r="G7870" s="26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8"/>
      <c r="X7870" s="28"/>
      <c r="Y7870" s="28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28"/>
      <c r="AS7870" s="28"/>
      <c r="AT7870" s="28"/>
    </row>
    <row r="7871">
      <c r="A7871" s="14"/>
      <c r="B7871" s="15"/>
      <c r="C7871" s="16"/>
      <c r="D7871" s="15"/>
      <c r="F7871" s="15"/>
      <c r="G7871" s="26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8"/>
      <c r="X7871" s="28"/>
      <c r="Y7871" s="28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28"/>
      <c r="AS7871" s="28"/>
      <c r="AT7871" s="28"/>
    </row>
    <row r="7872">
      <c r="A7872" s="14"/>
      <c r="B7872" s="15"/>
      <c r="C7872" s="16"/>
      <c r="D7872" s="15"/>
      <c r="F7872" s="15"/>
      <c r="G7872" s="26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8"/>
      <c r="X7872" s="28"/>
      <c r="Y7872" s="28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28"/>
      <c r="AS7872" s="28"/>
      <c r="AT7872" s="28"/>
    </row>
    <row r="7873">
      <c r="A7873" s="14"/>
      <c r="B7873" s="15"/>
      <c r="C7873" s="16"/>
      <c r="D7873" s="15"/>
      <c r="F7873" s="15"/>
      <c r="G7873" s="26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8"/>
      <c r="X7873" s="28"/>
      <c r="Y7873" s="28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28"/>
      <c r="AS7873" s="28"/>
      <c r="AT7873" s="28"/>
    </row>
    <row r="7874">
      <c r="A7874" s="14"/>
      <c r="B7874" s="15"/>
      <c r="C7874" s="16"/>
      <c r="D7874" s="15"/>
      <c r="F7874" s="15"/>
      <c r="G7874" s="26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8"/>
      <c r="X7874" s="28"/>
      <c r="Y7874" s="28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28"/>
      <c r="AS7874" s="28"/>
      <c r="AT7874" s="28"/>
    </row>
    <row r="7875">
      <c r="A7875" s="14"/>
      <c r="B7875" s="15"/>
      <c r="C7875" s="16"/>
      <c r="D7875" s="15"/>
      <c r="F7875" s="15"/>
      <c r="G7875" s="26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8"/>
      <c r="X7875" s="28"/>
      <c r="Y7875" s="28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28"/>
      <c r="AS7875" s="28"/>
      <c r="AT7875" s="28"/>
    </row>
    <row r="7876">
      <c r="A7876" s="14"/>
      <c r="B7876" s="15"/>
      <c r="C7876" s="16"/>
      <c r="D7876" s="15"/>
      <c r="F7876" s="15"/>
      <c r="G7876" s="26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8"/>
      <c r="X7876" s="28"/>
      <c r="Y7876" s="28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28"/>
      <c r="AS7876" s="28"/>
      <c r="AT7876" s="28"/>
    </row>
    <row r="7877">
      <c r="A7877" s="14"/>
      <c r="B7877" s="15"/>
      <c r="C7877" s="16"/>
      <c r="D7877" s="15"/>
      <c r="F7877" s="15"/>
      <c r="G7877" s="26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8"/>
      <c r="X7877" s="28"/>
      <c r="Y7877" s="28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28"/>
      <c r="AS7877" s="28"/>
      <c r="AT7877" s="28"/>
    </row>
    <row r="7878">
      <c r="A7878" s="14"/>
      <c r="B7878" s="15"/>
      <c r="C7878" s="16"/>
      <c r="D7878" s="15"/>
      <c r="F7878" s="15"/>
      <c r="G7878" s="26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8"/>
      <c r="X7878" s="28"/>
      <c r="Y7878" s="28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28"/>
      <c r="AS7878" s="28"/>
      <c r="AT7878" s="28"/>
    </row>
    <row r="7879">
      <c r="A7879" s="14"/>
      <c r="B7879" s="15"/>
      <c r="C7879" s="16"/>
      <c r="D7879" s="15"/>
      <c r="F7879" s="15"/>
      <c r="G7879" s="26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8"/>
      <c r="X7879" s="28"/>
      <c r="Y7879" s="28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28"/>
      <c r="AS7879" s="28"/>
      <c r="AT7879" s="28"/>
    </row>
    <row r="7880">
      <c r="A7880" s="14"/>
      <c r="B7880" s="15"/>
      <c r="C7880" s="16"/>
      <c r="D7880" s="15"/>
      <c r="F7880" s="15"/>
      <c r="G7880" s="26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8"/>
      <c r="X7880" s="28"/>
      <c r="Y7880" s="28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28"/>
      <c r="AS7880" s="28"/>
      <c r="AT7880" s="28"/>
    </row>
    <row r="7881">
      <c r="A7881" s="14"/>
      <c r="B7881" s="15"/>
      <c r="C7881" s="16"/>
      <c r="D7881" s="15"/>
      <c r="F7881" s="15"/>
      <c r="G7881" s="26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8"/>
      <c r="X7881" s="28"/>
      <c r="Y7881" s="28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28"/>
      <c r="AS7881" s="28"/>
      <c r="AT7881" s="28"/>
    </row>
    <row r="7882">
      <c r="A7882" s="14"/>
      <c r="B7882" s="15"/>
      <c r="C7882" s="16"/>
      <c r="D7882" s="15"/>
      <c r="F7882" s="15"/>
      <c r="G7882" s="26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8"/>
      <c r="X7882" s="28"/>
      <c r="Y7882" s="28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28"/>
      <c r="AS7882" s="28"/>
      <c r="AT7882" s="28"/>
    </row>
    <row r="7883">
      <c r="A7883" s="14"/>
      <c r="B7883" s="15"/>
      <c r="C7883" s="16"/>
      <c r="D7883" s="15"/>
      <c r="F7883" s="15"/>
      <c r="G7883" s="26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8"/>
      <c r="X7883" s="28"/>
      <c r="Y7883" s="28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28"/>
      <c r="AS7883" s="28"/>
      <c r="AT7883" s="28"/>
    </row>
    <row r="7884">
      <c r="A7884" s="14"/>
      <c r="B7884" s="15"/>
      <c r="C7884" s="16"/>
      <c r="D7884" s="15"/>
      <c r="F7884" s="15"/>
      <c r="G7884" s="26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8"/>
      <c r="X7884" s="28"/>
      <c r="Y7884" s="28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28"/>
      <c r="AS7884" s="28"/>
      <c r="AT7884" s="28"/>
    </row>
    <row r="7885">
      <c r="A7885" s="14"/>
      <c r="B7885" s="15"/>
      <c r="C7885" s="16"/>
      <c r="D7885" s="15"/>
      <c r="F7885" s="15"/>
      <c r="G7885" s="26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8"/>
      <c r="X7885" s="28"/>
      <c r="Y7885" s="28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28"/>
      <c r="AS7885" s="28"/>
      <c r="AT7885" s="28"/>
    </row>
    <row r="7886">
      <c r="A7886" s="14"/>
      <c r="B7886" s="15"/>
      <c r="C7886" s="16"/>
      <c r="D7886" s="15"/>
      <c r="F7886" s="15"/>
      <c r="G7886" s="26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8"/>
      <c r="X7886" s="28"/>
      <c r="Y7886" s="28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28"/>
      <c r="AS7886" s="28"/>
      <c r="AT7886" s="28"/>
    </row>
    <row r="7887">
      <c r="A7887" s="14"/>
      <c r="B7887" s="15"/>
      <c r="C7887" s="16"/>
      <c r="D7887" s="15"/>
      <c r="F7887" s="15"/>
      <c r="G7887" s="26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8"/>
      <c r="X7887" s="28"/>
      <c r="Y7887" s="28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28"/>
      <c r="AS7887" s="28"/>
      <c r="AT7887" s="28"/>
    </row>
    <row r="7888">
      <c r="A7888" s="14"/>
      <c r="B7888" s="15"/>
      <c r="C7888" s="16"/>
      <c r="D7888" s="15"/>
      <c r="F7888" s="15"/>
      <c r="G7888" s="26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8"/>
      <c r="X7888" s="28"/>
      <c r="Y7888" s="28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28"/>
      <c r="AS7888" s="28"/>
      <c r="AT7888" s="28"/>
    </row>
    <row r="7889">
      <c r="A7889" s="14"/>
      <c r="B7889" s="15"/>
      <c r="C7889" s="16"/>
      <c r="D7889" s="15"/>
      <c r="F7889" s="15"/>
      <c r="G7889" s="26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8"/>
      <c r="X7889" s="28"/>
      <c r="Y7889" s="28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28"/>
      <c r="AS7889" s="28"/>
      <c r="AT7889" s="28"/>
    </row>
    <row r="7890">
      <c r="A7890" s="14"/>
      <c r="B7890" s="15"/>
      <c r="C7890" s="16"/>
      <c r="D7890" s="15"/>
      <c r="F7890" s="15"/>
      <c r="G7890" s="26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8"/>
      <c r="X7890" s="28"/>
      <c r="Y7890" s="28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28"/>
      <c r="AS7890" s="28"/>
      <c r="AT7890" s="28"/>
    </row>
    <row r="7891">
      <c r="A7891" s="14"/>
      <c r="B7891" s="15"/>
      <c r="C7891" s="16"/>
      <c r="D7891" s="15"/>
      <c r="F7891" s="15"/>
      <c r="G7891" s="26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8"/>
      <c r="X7891" s="28"/>
      <c r="Y7891" s="28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28"/>
      <c r="AS7891" s="28"/>
      <c r="AT7891" s="28"/>
    </row>
    <row r="7892">
      <c r="A7892" s="14"/>
      <c r="B7892" s="15"/>
      <c r="C7892" s="16"/>
      <c r="D7892" s="15"/>
      <c r="F7892" s="15"/>
      <c r="G7892" s="26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8"/>
      <c r="X7892" s="28"/>
      <c r="Y7892" s="28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28"/>
      <c r="AS7892" s="28"/>
      <c r="AT7892" s="28"/>
    </row>
    <row r="7893">
      <c r="A7893" s="14"/>
      <c r="B7893" s="15"/>
      <c r="C7893" s="16"/>
      <c r="D7893" s="15"/>
      <c r="F7893" s="15"/>
      <c r="G7893" s="26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8"/>
      <c r="X7893" s="28"/>
      <c r="Y7893" s="28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28"/>
      <c r="AS7893" s="28"/>
      <c r="AT7893" s="28"/>
    </row>
    <row r="7894">
      <c r="A7894" s="14"/>
      <c r="B7894" s="15"/>
      <c r="C7894" s="16"/>
      <c r="D7894" s="15"/>
      <c r="F7894" s="15"/>
      <c r="G7894" s="26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8"/>
      <c r="X7894" s="28"/>
      <c r="Y7894" s="28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28"/>
      <c r="AS7894" s="28"/>
      <c r="AT7894" s="28"/>
    </row>
    <row r="7895">
      <c r="A7895" s="14"/>
      <c r="B7895" s="15"/>
      <c r="C7895" s="16"/>
      <c r="D7895" s="15"/>
      <c r="F7895" s="15"/>
      <c r="G7895" s="26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8"/>
      <c r="X7895" s="28"/>
      <c r="Y7895" s="28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28"/>
      <c r="AS7895" s="28"/>
      <c r="AT7895" s="28"/>
    </row>
    <row r="7896">
      <c r="A7896" s="14"/>
      <c r="B7896" s="15"/>
      <c r="C7896" s="16"/>
      <c r="D7896" s="15"/>
      <c r="F7896" s="15"/>
      <c r="G7896" s="26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8"/>
      <c r="X7896" s="28"/>
      <c r="Y7896" s="28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28"/>
      <c r="AS7896" s="28"/>
      <c r="AT7896" s="28"/>
    </row>
    <row r="7897">
      <c r="A7897" s="14"/>
      <c r="B7897" s="15"/>
      <c r="C7897" s="16"/>
      <c r="D7897" s="15"/>
      <c r="F7897" s="15"/>
      <c r="G7897" s="26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8"/>
      <c r="X7897" s="28"/>
      <c r="Y7897" s="28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28"/>
      <c r="AS7897" s="28"/>
      <c r="AT7897" s="28"/>
    </row>
    <row r="7898">
      <c r="A7898" s="14"/>
      <c r="B7898" s="15"/>
      <c r="C7898" s="16"/>
      <c r="D7898" s="15"/>
      <c r="F7898" s="15"/>
      <c r="G7898" s="26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8"/>
      <c r="X7898" s="28"/>
      <c r="Y7898" s="28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28"/>
      <c r="AS7898" s="28"/>
      <c r="AT7898" s="28"/>
    </row>
    <row r="7899">
      <c r="A7899" s="14"/>
      <c r="B7899" s="15"/>
      <c r="C7899" s="16"/>
      <c r="D7899" s="15"/>
      <c r="F7899" s="15"/>
      <c r="G7899" s="26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8"/>
      <c r="X7899" s="28"/>
      <c r="Y7899" s="28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28"/>
      <c r="AS7899" s="28"/>
      <c r="AT7899" s="28"/>
    </row>
    <row r="7900">
      <c r="A7900" s="14"/>
      <c r="B7900" s="15"/>
      <c r="C7900" s="16"/>
      <c r="D7900" s="15"/>
      <c r="F7900" s="15"/>
      <c r="G7900" s="26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8"/>
      <c r="X7900" s="28"/>
      <c r="Y7900" s="28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28"/>
      <c r="AS7900" s="28"/>
      <c r="AT7900" s="28"/>
    </row>
    <row r="7901">
      <c r="A7901" s="14"/>
      <c r="B7901" s="15"/>
      <c r="C7901" s="16"/>
      <c r="D7901" s="15"/>
      <c r="F7901" s="15"/>
      <c r="G7901" s="26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8"/>
      <c r="X7901" s="28"/>
      <c r="Y7901" s="28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28"/>
      <c r="AS7901" s="28"/>
      <c r="AT7901" s="28"/>
    </row>
    <row r="7902">
      <c r="A7902" s="14"/>
      <c r="B7902" s="15"/>
      <c r="C7902" s="16"/>
      <c r="D7902" s="15"/>
      <c r="F7902" s="15"/>
      <c r="G7902" s="26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8"/>
      <c r="X7902" s="28"/>
      <c r="Y7902" s="28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28"/>
      <c r="AS7902" s="28"/>
      <c r="AT7902" s="28"/>
    </row>
    <row r="7903">
      <c r="A7903" s="14"/>
      <c r="B7903" s="15"/>
      <c r="C7903" s="16"/>
      <c r="D7903" s="15"/>
      <c r="F7903" s="15"/>
      <c r="G7903" s="26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8"/>
      <c r="X7903" s="28"/>
      <c r="Y7903" s="28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28"/>
      <c r="AS7903" s="28"/>
      <c r="AT7903" s="28"/>
    </row>
    <row r="7904">
      <c r="A7904" s="14"/>
      <c r="B7904" s="15"/>
      <c r="C7904" s="16"/>
      <c r="D7904" s="15"/>
      <c r="F7904" s="15"/>
      <c r="G7904" s="26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28"/>
      <c r="AS7904" s="28"/>
      <c r="AT7904" s="28"/>
    </row>
    <row r="7905">
      <c r="A7905" s="14"/>
      <c r="B7905" s="15"/>
      <c r="C7905" s="16"/>
      <c r="D7905" s="15"/>
      <c r="F7905" s="15"/>
      <c r="G7905" s="26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8"/>
      <c r="X7905" s="28"/>
      <c r="Y7905" s="28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28"/>
      <c r="AS7905" s="28"/>
      <c r="AT7905" s="28"/>
    </row>
    <row r="7906">
      <c r="A7906" s="14"/>
      <c r="B7906" s="15"/>
      <c r="C7906" s="16"/>
      <c r="D7906" s="15"/>
      <c r="F7906" s="15"/>
      <c r="G7906" s="26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28"/>
      <c r="AS7906" s="28"/>
      <c r="AT7906" s="28"/>
    </row>
    <row r="7907">
      <c r="A7907" s="14"/>
      <c r="B7907" s="15"/>
      <c r="C7907" s="16"/>
      <c r="D7907" s="15"/>
      <c r="F7907" s="15"/>
      <c r="G7907" s="26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8"/>
      <c r="X7907" s="28"/>
      <c r="Y7907" s="28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28"/>
      <c r="AS7907" s="28"/>
      <c r="AT7907" s="28"/>
    </row>
    <row r="7908">
      <c r="A7908" s="14"/>
      <c r="B7908" s="15"/>
      <c r="C7908" s="16"/>
      <c r="D7908" s="15"/>
      <c r="F7908" s="15"/>
      <c r="G7908" s="26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28"/>
      <c r="AS7908" s="28"/>
      <c r="AT7908" s="28"/>
    </row>
    <row r="7909">
      <c r="A7909" s="14"/>
      <c r="B7909" s="15"/>
      <c r="C7909" s="16"/>
      <c r="D7909" s="15"/>
      <c r="F7909" s="15"/>
      <c r="G7909" s="26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8"/>
      <c r="X7909" s="28"/>
      <c r="Y7909" s="28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28"/>
      <c r="AS7909" s="28"/>
      <c r="AT7909" s="28"/>
    </row>
    <row r="7910">
      <c r="A7910" s="14"/>
      <c r="B7910" s="15"/>
      <c r="C7910" s="16"/>
      <c r="D7910" s="15"/>
      <c r="F7910" s="15"/>
      <c r="G7910" s="26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8"/>
      <c r="X7910" s="28"/>
      <c r="Y7910" s="28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28"/>
      <c r="AS7910" s="28"/>
      <c r="AT7910" s="28"/>
    </row>
    <row r="7911">
      <c r="A7911" s="14"/>
      <c r="B7911" s="15"/>
      <c r="C7911" s="16"/>
      <c r="D7911" s="15"/>
      <c r="F7911" s="15"/>
      <c r="G7911" s="26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8"/>
      <c r="X7911" s="28"/>
      <c r="Y7911" s="28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28"/>
      <c r="AS7911" s="28"/>
      <c r="AT7911" s="28"/>
    </row>
    <row r="7912">
      <c r="A7912" s="14"/>
      <c r="B7912" s="15"/>
      <c r="C7912" s="16"/>
      <c r="D7912" s="15"/>
      <c r="F7912" s="15"/>
      <c r="G7912" s="26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8"/>
      <c r="X7912" s="28"/>
      <c r="Y7912" s="28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28"/>
      <c r="AS7912" s="28"/>
      <c r="AT7912" s="28"/>
    </row>
    <row r="7913">
      <c r="A7913" s="14"/>
      <c r="B7913" s="15"/>
      <c r="C7913" s="16"/>
      <c r="D7913" s="15"/>
      <c r="F7913" s="15"/>
      <c r="G7913" s="26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8"/>
      <c r="X7913" s="28"/>
      <c r="Y7913" s="28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28"/>
      <c r="AS7913" s="28"/>
      <c r="AT7913" s="28"/>
    </row>
    <row r="7914">
      <c r="A7914" s="14"/>
      <c r="B7914" s="15"/>
      <c r="C7914" s="16"/>
      <c r="D7914" s="15"/>
      <c r="F7914" s="15"/>
      <c r="G7914" s="26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8"/>
      <c r="X7914" s="28"/>
      <c r="Y7914" s="28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28"/>
      <c r="AS7914" s="28"/>
      <c r="AT7914" s="28"/>
    </row>
    <row r="7915">
      <c r="A7915" s="14"/>
      <c r="B7915" s="15"/>
      <c r="C7915" s="16"/>
      <c r="D7915" s="15"/>
      <c r="F7915" s="15"/>
      <c r="G7915" s="26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8"/>
      <c r="X7915" s="28"/>
      <c r="Y7915" s="28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28"/>
      <c r="AS7915" s="28"/>
      <c r="AT7915" s="28"/>
    </row>
    <row r="7916">
      <c r="A7916" s="14"/>
      <c r="B7916" s="15"/>
      <c r="C7916" s="16"/>
      <c r="D7916" s="15"/>
      <c r="F7916" s="15"/>
      <c r="G7916" s="26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8"/>
      <c r="X7916" s="28"/>
      <c r="Y7916" s="28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28"/>
      <c r="AS7916" s="28"/>
      <c r="AT7916" s="28"/>
    </row>
    <row r="7917">
      <c r="A7917" s="14"/>
      <c r="B7917" s="15"/>
      <c r="C7917" s="16"/>
      <c r="D7917" s="15"/>
      <c r="F7917" s="15"/>
      <c r="G7917" s="26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8"/>
      <c r="X7917" s="28"/>
      <c r="Y7917" s="28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28"/>
      <c r="AS7917" s="28"/>
      <c r="AT7917" s="28"/>
    </row>
    <row r="7918">
      <c r="A7918" s="14"/>
      <c r="B7918" s="15"/>
      <c r="C7918" s="16"/>
      <c r="D7918" s="15"/>
      <c r="F7918" s="15"/>
      <c r="G7918" s="26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8"/>
      <c r="X7918" s="28"/>
      <c r="Y7918" s="28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28"/>
      <c r="AS7918" s="28"/>
      <c r="AT7918" s="28"/>
    </row>
    <row r="7919">
      <c r="A7919" s="14"/>
      <c r="B7919" s="15"/>
      <c r="C7919" s="16"/>
      <c r="D7919" s="15"/>
      <c r="F7919" s="15"/>
      <c r="G7919" s="26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8"/>
      <c r="X7919" s="28"/>
      <c r="Y7919" s="28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28"/>
      <c r="AS7919" s="28"/>
      <c r="AT7919" s="28"/>
    </row>
    <row r="7920">
      <c r="A7920" s="14"/>
      <c r="B7920" s="15"/>
      <c r="C7920" s="16"/>
      <c r="D7920" s="15"/>
      <c r="F7920" s="15"/>
      <c r="G7920" s="26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8"/>
      <c r="X7920" s="28"/>
      <c r="Y7920" s="28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28"/>
      <c r="AS7920" s="28"/>
      <c r="AT7920" s="28"/>
    </row>
    <row r="7921">
      <c r="A7921" s="14"/>
      <c r="B7921" s="15"/>
      <c r="C7921" s="16"/>
      <c r="D7921" s="15"/>
      <c r="F7921" s="15"/>
      <c r="G7921" s="26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8"/>
      <c r="X7921" s="28"/>
      <c r="Y7921" s="28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28"/>
      <c r="AS7921" s="28"/>
      <c r="AT7921" s="28"/>
    </row>
    <row r="7922">
      <c r="A7922" s="14"/>
      <c r="B7922" s="15"/>
      <c r="C7922" s="16"/>
      <c r="D7922" s="15"/>
      <c r="F7922" s="15"/>
      <c r="G7922" s="26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8"/>
      <c r="X7922" s="28"/>
      <c r="Y7922" s="28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28"/>
      <c r="AS7922" s="28"/>
      <c r="AT7922" s="28"/>
    </row>
    <row r="7923">
      <c r="A7923" s="14"/>
      <c r="B7923" s="15"/>
      <c r="C7923" s="16"/>
      <c r="D7923" s="15"/>
      <c r="F7923" s="15"/>
      <c r="G7923" s="26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8"/>
      <c r="X7923" s="28"/>
      <c r="Y7923" s="28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28"/>
      <c r="AS7923" s="28"/>
      <c r="AT7923" s="28"/>
    </row>
    <row r="7924">
      <c r="A7924" s="14"/>
      <c r="B7924" s="15"/>
      <c r="C7924" s="16"/>
      <c r="D7924" s="15"/>
      <c r="F7924" s="15"/>
      <c r="G7924" s="26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8"/>
      <c r="X7924" s="28"/>
      <c r="Y7924" s="28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28"/>
      <c r="AS7924" s="28"/>
      <c r="AT7924" s="28"/>
    </row>
    <row r="7925">
      <c r="A7925" s="14"/>
      <c r="B7925" s="15"/>
      <c r="C7925" s="16"/>
      <c r="D7925" s="15"/>
      <c r="F7925" s="15"/>
      <c r="G7925" s="26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8"/>
      <c r="X7925" s="28"/>
      <c r="Y7925" s="28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28"/>
      <c r="AS7925" s="28"/>
      <c r="AT7925" s="28"/>
    </row>
    <row r="7926">
      <c r="A7926" s="14"/>
      <c r="B7926" s="15"/>
      <c r="C7926" s="16"/>
      <c r="D7926" s="15"/>
      <c r="F7926" s="15"/>
      <c r="G7926" s="26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8"/>
      <c r="X7926" s="28"/>
      <c r="Y7926" s="28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28"/>
      <c r="AS7926" s="28"/>
      <c r="AT7926" s="28"/>
    </row>
    <row r="7927">
      <c r="A7927" s="14"/>
      <c r="B7927" s="15"/>
      <c r="C7927" s="16"/>
      <c r="D7927" s="15"/>
      <c r="F7927" s="15"/>
      <c r="G7927" s="26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8"/>
      <c r="X7927" s="28"/>
      <c r="Y7927" s="28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28"/>
      <c r="AS7927" s="28"/>
      <c r="AT7927" s="28"/>
    </row>
    <row r="7928">
      <c r="A7928" s="14"/>
      <c r="B7928" s="15"/>
      <c r="C7928" s="16"/>
      <c r="D7928" s="15"/>
      <c r="F7928" s="15"/>
      <c r="G7928" s="26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8"/>
      <c r="X7928" s="28"/>
      <c r="Y7928" s="28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28"/>
      <c r="AS7928" s="28"/>
      <c r="AT7928" s="28"/>
    </row>
    <row r="7929">
      <c r="A7929" s="14"/>
      <c r="B7929" s="15"/>
      <c r="C7929" s="16"/>
      <c r="D7929" s="15"/>
      <c r="F7929" s="15"/>
      <c r="G7929" s="26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8"/>
      <c r="X7929" s="28"/>
      <c r="Y7929" s="28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28"/>
      <c r="AS7929" s="28"/>
      <c r="AT7929" s="28"/>
    </row>
    <row r="7930">
      <c r="A7930" s="14"/>
      <c r="B7930" s="15"/>
      <c r="C7930" s="16"/>
      <c r="D7930" s="15"/>
      <c r="F7930" s="15"/>
      <c r="G7930" s="26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8"/>
      <c r="X7930" s="28"/>
      <c r="Y7930" s="28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28"/>
      <c r="AS7930" s="28"/>
      <c r="AT7930" s="28"/>
    </row>
    <row r="7931">
      <c r="A7931" s="14"/>
      <c r="B7931" s="15"/>
      <c r="C7931" s="16"/>
      <c r="D7931" s="15"/>
      <c r="F7931" s="15"/>
      <c r="G7931" s="26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8"/>
      <c r="X7931" s="28"/>
      <c r="Y7931" s="28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28"/>
      <c r="AS7931" s="28"/>
      <c r="AT7931" s="28"/>
    </row>
    <row r="7932">
      <c r="A7932" s="14"/>
      <c r="B7932" s="15"/>
      <c r="C7932" s="16"/>
      <c r="D7932" s="15"/>
      <c r="F7932" s="15"/>
      <c r="G7932" s="26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8"/>
      <c r="X7932" s="28"/>
      <c r="Y7932" s="28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28"/>
      <c r="AS7932" s="28"/>
      <c r="AT7932" s="28"/>
    </row>
    <row r="7933">
      <c r="A7933" s="14"/>
      <c r="B7933" s="15"/>
      <c r="C7933" s="16"/>
      <c r="D7933" s="15"/>
      <c r="F7933" s="15"/>
      <c r="G7933" s="26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8"/>
      <c r="X7933" s="28"/>
      <c r="Y7933" s="28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28"/>
      <c r="AS7933" s="28"/>
      <c r="AT7933" s="28"/>
    </row>
    <row r="7934">
      <c r="A7934" s="14"/>
      <c r="B7934" s="15"/>
      <c r="C7934" s="16"/>
      <c r="D7934" s="15"/>
      <c r="F7934" s="15"/>
      <c r="G7934" s="26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8"/>
      <c r="X7934" s="28"/>
      <c r="Y7934" s="28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28"/>
      <c r="AS7934" s="28"/>
      <c r="AT7934" s="28"/>
    </row>
    <row r="7935">
      <c r="A7935" s="14"/>
      <c r="B7935" s="15"/>
      <c r="C7935" s="16"/>
      <c r="D7935" s="15"/>
      <c r="F7935" s="15"/>
      <c r="G7935" s="26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8"/>
      <c r="X7935" s="28"/>
      <c r="Y7935" s="28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28"/>
      <c r="AS7935" s="28"/>
      <c r="AT7935" s="28"/>
    </row>
    <row r="7936">
      <c r="A7936" s="14"/>
      <c r="B7936" s="15"/>
      <c r="C7936" s="16"/>
      <c r="D7936" s="15"/>
      <c r="F7936" s="15"/>
      <c r="G7936" s="26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8"/>
      <c r="X7936" s="28"/>
      <c r="Y7936" s="28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28"/>
      <c r="AS7936" s="28"/>
      <c r="AT7936" s="28"/>
    </row>
    <row r="7937">
      <c r="A7937" s="14"/>
      <c r="B7937" s="15"/>
      <c r="C7937" s="16"/>
      <c r="D7937" s="15"/>
      <c r="F7937" s="15"/>
      <c r="G7937" s="26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8"/>
      <c r="X7937" s="28"/>
      <c r="Y7937" s="28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28"/>
      <c r="AS7937" s="28"/>
      <c r="AT7937" s="28"/>
    </row>
    <row r="7938">
      <c r="A7938" s="14"/>
      <c r="B7938" s="15"/>
      <c r="C7938" s="16"/>
      <c r="D7938" s="15"/>
      <c r="F7938" s="15"/>
      <c r="G7938" s="26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8"/>
      <c r="X7938" s="28"/>
      <c r="Y7938" s="28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28"/>
      <c r="AS7938" s="28"/>
      <c r="AT7938" s="28"/>
    </row>
    <row r="7939">
      <c r="A7939" s="14"/>
      <c r="B7939" s="15"/>
      <c r="C7939" s="16"/>
      <c r="D7939" s="15"/>
      <c r="F7939" s="15"/>
      <c r="G7939" s="26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8"/>
      <c r="X7939" s="28"/>
      <c r="Y7939" s="28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28"/>
      <c r="AS7939" s="28"/>
      <c r="AT7939" s="28"/>
    </row>
    <row r="7940">
      <c r="A7940" s="14"/>
      <c r="B7940" s="15"/>
      <c r="C7940" s="16"/>
      <c r="D7940" s="15"/>
      <c r="F7940" s="15"/>
      <c r="G7940" s="26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8"/>
      <c r="X7940" s="28"/>
      <c r="Y7940" s="28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28"/>
      <c r="AS7940" s="28"/>
      <c r="AT7940" s="28"/>
    </row>
    <row r="7941">
      <c r="A7941" s="14"/>
      <c r="B7941" s="15"/>
      <c r="C7941" s="16"/>
      <c r="D7941" s="15"/>
      <c r="F7941" s="15"/>
      <c r="G7941" s="26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8"/>
      <c r="X7941" s="28"/>
      <c r="Y7941" s="28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28"/>
      <c r="AS7941" s="28"/>
      <c r="AT7941" s="28"/>
    </row>
    <row r="7942">
      <c r="A7942" s="14"/>
      <c r="B7942" s="15"/>
      <c r="C7942" s="16"/>
      <c r="D7942" s="15"/>
      <c r="F7942" s="15"/>
      <c r="G7942" s="26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8"/>
      <c r="X7942" s="28"/>
      <c r="Y7942" s="28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28"/>
      <c r="AS7942" s="28"/>
      <c r="AT7942" s="28"/>
    </row>
    <row r="7943">
      <c r="A7943" s="14"/>
      <c r="B7943" s="15"/>
      <c r="C7943" s="16"/>
      <c r="D7943" s="15"/>
      <c r="F7943" s="15"/>
      <c r="G7943" s="26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8"/>
      <c r="X7943" s="28"/>
      <c r="Y7943" s="28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28"/>
      <c r="AS7943" s="28"/>
      <c r="AT7943" s="28"/>
    </row>
    <row r="7944">
      <c r="A7944" s="14"/>
      <c r="B7944" s="15"/>
      <c r="C7944" s="16"/>
      <c r="D7944" s="15"/>
      <c r="F7944" s="15"/>
      <c r="G7944" s="26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8"/>
      <c r="X7944" s="28"/>
      <c r="Y7944" s="28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28"/>
      <c r="AS7944" s="28"/>
      <c r="AT7944" s="28"/>
    </row>
    <row r="7945">
      <c r="A7945" s="14"/>
      <c r="B7945" s="15"/>
      <c r="C7945" s="16"/>
      <c r="D7945" s="15"/>
      <c r="F7945" s="15"/>
      <c r="G7945" s="26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8"/>
      <c r="X7945" s="28"/>
      <c r="Y7945" s="28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28"/>
      <c r="AS7945" s="28"/>
      <c r="AT7945" s="28"/>
    </row>
    <row r="7946">
      <c r="A7946" s="14"/>
      <c r="B7946" s="15"/>
      <c r="C7946" s="16"/>
      <c r="D7946" s="15"/>
      <c r="F7946" s="15"/>
      <c r="G7946" s="26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8"/>
      <c r="X7946" s="28"/>
      <c r="Y7946" s="28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28"/>
      <c r="AS7946" s="28"/>
      <c r="AT7946" s="28"/>
    </row>
    <row r="7947">
      <c r="A7947" s="14"/>
      <c r="B7947" s="15"/>
      <c r="C7947" s="16"/>
      <c r="D7947" s="15"/>
      <c r="F7947" s="15"/>
      <c r="G7947" s="26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8"/>
      <c r="X7947" s="28"/>
      <c r="Y7947" s="28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28"/>
      <c r="AS7947" s="28"/>
      <c r="AT7947" s="28"/>
    </row>
    <row r="7948">
      <c r="A7948" s="14"/>
      <c r="B7948" s="15"/>
      <c r="C7948" s="16"/>
      <c r="D7948" s="15"/>
      <c r="F7948" s="15"/>
      <c r="G7948" s="26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8"/>
      <c r="X7948" s="28"/>
      <c r="Y7948" s="28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28"/>
      <c r="AS7948" s="28"/>
      <c r="AT7948" s="28"/>
    </row>
    <row r="7949">
      <c r="A7949" s="14"/>
      <c r="B7949" s="15"/>
      <c r="C7949" s="16"/>
      <c r="D7949" s="15"/>
      <c r="F7949" s="15"/>
      <c r="G7949" s="26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8"/>
      <c r="X7949" s="28"/>
      <c r="Y7949" s="28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28"/>
      <c r="AS7949" s="28"/>
      <c r="AT7949" s="28"/>
    </row>
    <row r="7950">
      <c r="A7950" s="14"/>
      <c r="B7950" s="15"/>
      <c r="C7950" s="16"/>
      <c r="D7950" s="15"/>
      <c r="F7950" s="15"/>
      <c r="G7950" s="26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8"/>
      <c r="X7950" s="28"/>
      <c r="Y7950" s="28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28"/>
      <c r="AS7950" s="28"/>
      <c r="AT7950" s="28"/>
    </row>
    <row r="7951">
      <c r="A7951" s="14"/>
      <c r="B7951" s="15"/>
      <c r="C7951" s="16"/>
      <c r="D7951" s="15"/>
      <c r="F7951" s="15"/>
      <c r="G7951" s="26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8"/>
      <c r="X7951" s="28"/>
      <c r="Y7951" s="28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28"/>
      <c r="AS7951" s="28"/>
      <c r="AT7951" s="28"/>
    </row>
    <row r="7952">
      <c r="A7952" s="14"/>
      <c r="B7952" s="15"/>
      <c r="C7952" s="16"/>
      <c r="D7952" s="15"/>
      <c r="F7952" s="15"/>
      <c r="G7952" s="26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28"/>
      <c r="AS7952" s="28"/>
      <c r="AT7952" s="28"/>
    </row>
    <row r="7953">
      <c r="A7953" s="14"/>
      <c r="B7953" s="15"/>
      <c r="C7953" s="16"/>
      <c r="D7953" s="15"/>
      <c r="F7953" s="15"/>
      <c r="G7953" s="26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8"/>
      <c r="X7953" s="28"/>
      <c r="Y7953" s="28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28"/>
      <c r="AS7953" s="28"/>
      <c r="AT7953" s="28"/>
    </row>
    <row r="7954">
      <c r="A7954" s="14"/>
      <c r="B7954" s="15"/>
      <c r="C7954" s="16"/>
      <c r="D7954" s="15"/>
      <c r="F7954" s="15"/>
      <c r="G7954" s="26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8"/>
      <c r="X7954" s="28"/>
      <c r="Y7954" s="28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28"/>
      <c r="AS7954" s="28"/>
      <c r="AT7954" s="28"/>
    </row>
    <row r="7955">
      <c r="A7955" s="14"/>
      <c r="B7955" s="15"/>
      <c r="C7955" s="16"/>
      <c r="D7955" s="15"/>
      <c r="F7955" s="15"/>
      <c r="G7955" s="26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8"/>
      <c r="X7955" s="28"/>
      <c r="Y7955" s="28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28"/>
      <c r="AS7955" s="28"/>
      <c r="AT7955" s="28"/>
    </row>
    <row r="7956">
      <c r="A7956" s="14"/>
      <c r="B7956" s="15"/>
      <c r="C7956" s="16"/>
      <c r="D7956" s="15"/>
      <c r="F7956" s="15"/>
      <c r="G7956" s="26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8"/>
      <c r="X7956" s="28"/>
      <c r="Y7956" s="28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28"/>
      <c r="AS7956" s="28"/>
      <c r="AT7956" s="28"/>
    </row>
    <row r="7957">
      <c r="A7957" s="14"/>
      <c r="B7957" s="15"/>
      <c r="C7957" s="16"/>
      <c r="D7957" s="15"/>
      <c r="F7957" s="15"/>
      <c r="G7957" s="26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8"/>
      <c r="X7957" s="28"/>
      <c r="Y7957" s="28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28"/>
      <c r="AS7957" s="28"/>
      <c r="AT7957" s="28"/>
    </row>
    <row r="7958">
      <c r="A7958" s="14"/>
      <c r="B7958" s="15"/>
      <c r="C7958" s="16"/>
      <c r="D7958" s="15"/>
      <c r="F7958" s="15"/>
      <c r="G7958" s="26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8"/>
      <c r="X7958" s="28"/>
      <c r="Y7958" s="28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28"/>
      <c r="AS7958" s="28"/>
      <c r="AT7958" s="28"/>
    </row>
    <row r="7959">
      <c r="A7959" s="14"/>
      <c r="B7959" s="15"/>
      <c r="C7959" s="16"/>
      <c r="D7959" s="15"/>
      <c r="F7959" s="15"/>
      <c r="G7959" s="26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8"/>
      <c r="X7959" s="28"/>
      <c r="Y7959" s="28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28"/>
      <c r="AS7959" s="28"/>
      <c r="AT7959" s="28"/>
    </row>
    <row r="7960">
      <c r="A7960" s="14"/>
      <c r="B7960" s="15"/>
      <c r="C7960" s="16"/>
      <c r="D7960" s="15"/>
      <c r="F7960" s="15"/>
      <c r="G7960" s="26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8"/>
      <c r="X7960" s="28"/>
      <c r="Y7960" s="28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28"/>
      <c r="AS7960" s="28"/>
      <c r="AT7960" s="28"/>
    </row>
    <row r="7961">
      <c r="A7961" s="14"/>
      <c r="B7961" s="15"/>
      <c r="C7961" s="16"/>
      <c r="D7961" s="15"/>
      <c r="F7961" s="15"/>
      <c r="G7961" s="26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8"/>
      <c r="X7961" s="28"/>
      <c r="Y7961" s="28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28"/>
      <c r="AS7961" s="28"/>
      <c r="AT7961" s="28"/>
    </row>
    <row r="7962">
      <c r="A7962" s="14"/>
      <c r="B7962" s="15"/>
      <c r="C7962" s="16"/>
      <c r="D7962" s="15"/>
      <c r="F7962" s="15"/>
      <c r="G7962" s="26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8"/>
      <c r="X7962" s="28"/>
      <c r="Y7962" s="28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28"/>
      <c r="AS7962" s="28"/>
      <c r="AT7962" s="28"/>
    </row>
    <row r="7963">
      <c r="A7963" s="14"/>
      <c r="B7963" s="15"/>
      <c r="C7963" s="16"/>
      <c r="D7963" s="15"/>
      <c r="F7963" s="15"/>
      <c r="G7963" s="26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8"/>
      <c r="X7963" s="28"/>
      <c r="Y7963" s="28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28"/>
      <c r="AS7963" s="28"/>
      <c r="AT7963" s="28"/>
    </row>
    <row r="7964">
      <c r="A7964" s="14"/>
      <c r="B7964" s="15"/>
      <c r="C7964" s="16"/>
      <c r="D7964" s="15"/>
      <c r="F7964" s="15"/>
      <c r="G7964" s="26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8"/>
      <c r="X7964" s="28"/>
      <c r="Y7964" s="28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28"/>
      <c r="AS7964" s="28"/>
      <c r="AT7964" s="28"/>
    </row>
    <row r="7965">
      <c r="A7965" s="14"/>
      <c r="B7965" s="15"/>
      <c r="C7965" s="16"/>
      <c r="D7965" s="15"/>
      <c r="F7965" s="15"/>
      <c r="G7965" s="26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8"/>
      <c r="X7965" s="28"/>
      <c r="Y7965" s="28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28"/>
      <c r="AS7965" s="28"/>
      <c r="AT7965" s="28"/>
    </row>
    <row r="7966">
      <c r="A7966" s="14"/>
      <c r="B7966" s="15"/>
      <c r="C7966" s="16"/>
      <c r="D7966" s="15"/>
      <c r="F7966" s="15"/>
      <c r="G7966" s="26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8"/>
      <c r="X7966" s="28"/>
      <c r="Y7966" s="28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28"/>
      <c r="AS7966" s="28"/>
      <c r="AT7966" s="28"/>
    </row>
    <row r="7967">
      <c r="A7967" s="14"/>
      <c r="B7967" s="15"/>
      <c r="C7967" s="16"/>
      <c r="D7967" s="15"/>
      <c r="F7967" s="15"/>
      <c r="G7967" s="26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8"/>
      <c r="X7967" s="28"/>
      <c r="Y7967" s="28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28"/>
      <c r="AS7967" s="28"/>
      <c r="AT7967" s="28"/>
    </row>
    <row r="7968">
      <c r="A7968" s="14"/>
      <c r="B7968" s="15"/>
      <c r="C7968" s="16"/>
      <c r="D7968" s="15"/>
      <c r="F7968" s="15"/>
      <c r="G7968" s="26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8"/>
      <c r="X7968" s="28"/>
      <c r="Y7968" s="28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28"/>
      <c r="AS7968" s="28"/>
      <c r="AT7968" s="28"/>
    </row>
    <row r="7969">
      <c r="A7969" s="14"/>
      <c r="B7969" s="15"/>
      <c r="C7969" s="16"/>
      <c r="D7969" s="15"/>
      <c r="F7969" s="15"/>
      <c r="G7969" s="26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8"/>
      <c r="X7969" s="28"/>
      <c r="Y7969" s="28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28"/>
      <c r="AS7969" s="28"/>
      <c r="AT7969" s="28"/>
    </row>
    <row r="7970">
      <c r="A7970" s="14"/>
      <c r="B7970" s="15"/>
      <c r="C7970" s="16"/>
      <c r="D7970" s="15"/>
      <c r="F7970" s="15"/>
      <c r="G7970" s="26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8"/>
      <c r="X7970" s="28"/>
      <c r="Y7970" s="28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28"/>
      <c r="AS7970" s="28"/>
      <c r="AT7970" s="28"/>
    </row>
    <row r="7971">
      <c r="A7971" s="14"/>
      <c r="B7971" s="15"/>
      <c r="C7971" s="16"/>
      <c r="D7971" s="15"/>
      <c r="F7971" s="15"/>
      <c r="G7971" s="26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8"/>
      <c r="X7971" s="28"/>
      <c r="Y7971" s="28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28"/>
      <c r="AS7971" s="28"/>
      <c r="AT7971" s="28"/>
    </row>
    <row r="7972">
      <c r="A7972" s="14"/>
      <c r="B7972" s="15"/>
      <c r="C7972" s="16"/>
      <c r="D7972" s="15"/>
      <c r="F7972" s="15"/>
      <c r="G7972" s="26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8"/>
      <c r="X7972" s="28"/>
      <c r="Y7972" s="28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28"/>
      <c r="AS7972" s="28"/>
      <c r="AT7972" s="28"/>
    </row>
    <row r="7973">
      <c r="A7973" s="14"/>
      <c r="B7973" s="15"/>
      <c r="C7973" s="16"/>
      <c r="D7973" s="15"/>
      <c r="F7973" s="15"/>
      <c r="G7973" s="26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8"/>
      <c r="X7973" s="28"/>
      <c r="Y7973" s="28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28"/>
      <c r="AS7973" s="28"/>
      <c r="AT7973" s="28"/>
    </row>
    <row r="7974">
      <c r="A7974" s="14"/>
      <c r="B7974" s="15"/>
      <c r="C7974" s="16"/>
      <c r="D7974" s="15"/>
      <c r="F7974" s="15"/>
      <c r="G7974" s="26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8"/>
      <c r="X7974" s="28"/>
      <c r="Y7974" s="28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28"/>
      <c r="AS7974" s="28"/>
      <c r="AT7974" s="28"/>
    </row>
    <row r="7975">
      <c r="A7975" s="14"/>
      <c r="B7975" s="15"/>
      <c r="C7975" s="16"/>
      <c r="D7975" s="15"/>
      <c r="F7975" s="15"/>
      <c r="G7975" s="26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8"/>
      <c r="X7975" s="28"/>
      <c r="Y7975" s="28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28"/>
      <c r="AS7975" s="28"/>
      <c r="AT7975" s="28"/>
    </row>
    <row r="7976">
      <c r="A7976" s="14"/>
      <c r="B7976" s="15"/>
      <c r="C7976" s="16"/>
      <c r="D7976" s="15"/>
      <c r="F7976" s="15"/>
      <c r="G7976" s="26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8"/>
      <c r="X7976" s="28"/>
      <c r="Y7976" s="28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28"/>
      <c r="AS7976" s="28"/>
      <c r="AT7976" s="28"/>
    </row>
    <row r="7977">
      <c r="A7977" s="14"/>
      <c r="B7977" s="15"/>
      <c r="C7977" s="16"/>
      <c r="D7977" s="15"/>
      <c r="F7977" s="15"/>
      <c r="G7977" s="26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8"/>
      <c r="X7977" s="28"/>
      <c r="Y7977" s="28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28"/>
      <c r="AS7977" s="28"/>
      <c r="AT7977" s="28"/>
    </row>
    <row r="7978">
      <c r="A7978" s="14"/>
      <c r="B7978" s="15"/>
      <c r="C7978" s="16"/>
      <c r="D7978" s="15"/>
      <c r="F7978" s="15"/>
      <c r="G7978" s="26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8"/>
      <c r="X7978" s="28"/>
      <c r="Y7978" s="28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28"/>
      <c r="AS7978" s="28"/>
      <c r="AT7978" s="28"/>
    </row>
    <row r="7979">
      <c r="A7979" s="14"/>
      <c r="B7979" s="15"/>
      <c r="C7979" s="16"/>
      <c r="D7979" s="15"/>
      <c r="F7979" s="15"/>
      <c r="G7979" s="26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8"/>
      <c r="X7979" s="28"/>
      <c r="Y7979" s="28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28"/>
      <c r="AS7979" s="28"/>
      <c r="AT7979" s="28"/>
    </row>
    <row r="7980">
      <c r="A7980" s="14"/>
      <c r="B7980" s="15"/>
      <c r="C7980" s="16"/>
      <c r="D7980" s="15"/>
      <c r="F7980" s="15"/>
      <c r="G7980" s="26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8"/>
      <c r="X7980" s="28"/>
      <c r="Y7980" s="28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28"/>
      <c r="AS7980" s="28"/>
      <c r="AT7980" s="28"/>
    </row>
    <row r="7981">
      <c r="A7981" s="14"/>
      <c r="B7981" s="15"/>
      <c r="C7981" s="16"/>
      <c r="D7981" s="15"/>
      <c r="F7981" s="15"/>
      <c r="G7981" s="26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8"/>
      <c r="X7981" s="28"/>
      <c r="Y7981" s="28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28"/>
      <c r="AS7981" s="28"/>
      <c r="AT7981" s="28"/>
    </row>
    <row r="7982">
      <c r="A7982" s="14"/>
      <c r="B7982" s="15"/>
      <c r="C7982" s="16"/>
      <c r="D7982" s="15"/>
      <c r="F7982" s="15"/>
      <c r="G7982" s="26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8"/>
      <c r="X7982" s="28"/>
      <c r="Y7982" s="28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28"/>
      <c r="AS7982" s="28"/>
      <c r="AT7982" s="28"/>
    </row>
    <row r="7983">
      <c r="A7983" s="14"/>
      <c r="B7983" s="15"/>
      <c r="C7983" s="16"/>
      <c r="D7983" s="15"/>
      <c r="F7983" s="15"/>
      <c r="G7983" s="26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8"/>
      <c r="X7983" s="28"/>
      <c r="Y7983" s="28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28"/>
      <c r="AS7983" s="28"/>
      <c r="AT7983" s="28"/>
    </row>
    <row r="7984">
      <c r="A7984" s="14"/>
      <c r="B7984" s="15"/>
      <c r="C7984" s="16"/>
      <c r="D7984" s="15"/>
      <c r="F7984" s="15"/>
      <c r="G7984" s="26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8"/>
      <c r="X7984" s="28"/>
      <c r="Y7984" s="28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28"/>
      <c r="AS7984" s="28"/>
      <c r="AT7984" s="28"/>
    </row>
    <row r="7985">
      <c r="A7985" s="14"/>
      <c r="B7985" s="15"/>
      <c r="C7985" s="16"/>
      <c r="D7985" s="15"/>
      <c r="F7985" s="15"/>
      <c r="G7985" s="26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8"/>
      <c r="X7985" s="28"/>
      <c r="Y7985" s="28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28"/>
      <c r="AS7985" s="28"/>
      <c r="AT7985" s="28"/>
    </row>
    <row r="7986">
      <c r="A7986" s="14"/>
      <c r="B7986" s="15"/>
      <c r="C7986" s="16"/>
      <c r="D7986" s="15"/>
      <c r="F7986" s="15"/>
      <c r="G7986" s="26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8"/>
      <c r="X7986" s="28"/>
      <c r="Y7986" s="28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28"/>
      <c r="AS7986" s="28"/>
      <c r="AT7986" s="28"/>
    </row>
    <row r="7987">
      <c r="A7987" s="14"/>
      <c r="B7987" s="15"/>
      <c r="C7987" s="16"/>
      <c r="D7987" s="15"/>
      <c r="F7987" s="15"/>
      <c r="G7987" s="26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8"/>
      <c r="X7987" s="28"/>
      <c r="Y7987" s="28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28"/>
      <c r="AS7987" s="28"/>
      <c r="AT7987" s="28"/>
    </row>
    <row r="7988">
      <c r="A7988" s="14"/>
      <c r="B7988" s="15"/>
      <c r="C7988" s="16"/>
      <c r="D7988" s="15"/>
      <c r="F7988" s="15"/>
      <c r="G7988" s="26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8"/>
      <c r="X7988" s="28"/>
      <c r="Y7988" s="28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28"/>
      <c r="AS7988" s="28"/>
      <c r="AT7988" s="28"/>
    </row>
    <row r="7989">
      <c r="A7989" s="14"/>
      <c r="B7989" s="15"/>
      <c r="C7989" s="16"/>
      <c r="D7989" s="15"/>
      <c r="F7989" s="15"/>
      <c r="G7989" s="26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8"/>
      <c r="X7989" s="28"/>
      <c r="Y7989" s="28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28"/>
      <c r="AS7989" s="28"/>
      <c r="AT7989" s="28"/>
    </row>
    <row r="7990">
      <c r="A7990" s="14"/>
      <c r="B7990" s="15"/>
      <c r="C7990" s="16"/>
      <c r="D7990" s="15"/>
      <c r="F7990" s="15"/>
      <c r="G7990" s="26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8"/>
      <c r="X7990" s="28"/>
      <c r="Y7990" s="28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28"/>
      <c r="AS7990" s="28"/>
      <c r="AT7990" s="28"/>
    </row>
    <row r="7991">
      <c r="A7991" s="14"/>
      <c r="B7991" s="15"/>
      <c r="C7991" s="16"/>
      <c r="D7991" s="15"/>
      <c r="F7991" s="15"/>
      <c r="G7991" s="26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8"/>
      <c r="X7991" s="28"/>
      <c r="Y7991" s="28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28"/>
      <c r="AS7991" s="28"/>
      <c r="AT7991" s="28"/>
    </row>
    <row r="7992">
      <c r="A7992" s="14"/>
      <c r="B7992" s="15"/>
      <c r="C7992" s="16"/>
      <c r="D7992" s="15"/>
      <c r="F7992" s="15"/>
      <c r="G7992" s="26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8"/>
      <c r="X7992" s="28"/>
      <c r="Y7992" s="28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28"/>
      <c r="AS7992" s="28"/>
      <c r="AT7992" s="28"/>
    </row>
    <row r="7993">
      <c r="A7993" s="14"/>
      <c r="B7993" s="15"/>
      <c r="C7993" s="16"/>
      <c r="D7993" s="15"/>
      <c r="F7993" s="15"/>
      <c r="G7993" s="26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8"/>
      <c r="X7993" s="28"/>
      <c r="Y7993" s="28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28"/>
      <c r="AS7993" s="28"/>
      <c r="AT7993" s="28"/>
    </row>
    <row r="7994">
      <c r="A7994" s="14"/>
      <c r="B7994" s="15"/>
      <c r="C7994" s="16"/>
      <c r="D7994" s="15"/>
      <c r="F7994" s="15"/>
      <c r="G7994" s="26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8"/>
      <c r="X7994" s="28"/>
      <c r="Y7994" s="28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28"/>
      <c r="AS7994" s="28"/>
      <c r="AT7994" s="28"/>
    </row>
    <row r="7995">
      <c r="A7995" s="14"/>
      <c r="B7995" s="15"/>
      <c r="C7995" s="16"/>
      <c r="D7995" s="15"/>
      <c r="F7995" s="15"/>
      <c r="G7995" s="26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8"/>
      <c r="X7995" s="28"/>
      <c r="Y7995" s="28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28"/>
      <c r="AS7995" s="28"/>
      <c r="AT7995" s="28"/>
    </row>
    <row r="7996">
      <c r="A7996" s="14"/>
      <c r="B7996" s="15"/>
      <c r="C7996" s="16"/>
      <c r="D7996" s="15"/>
      <c r="F7996" s="15"/>
      <c r="G7996" s="26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8"/>
      <c r="X7996" s="28"/>
      <c r="Y7996" s="28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28"/>
      <c r="AS7996" s="28"/>
      <c r="AT7996" s="28"/>
    </row>
    <row r="7997">
      <c r="A7997" s="14"/>
      <c r="B7997" s="15"/>
      <c r="C7997" s="16"/>
      <c r="D7997" s="15"/>
      <c r="F7997" s="15"/>
      <c r="G7997" s="26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8"/>
      <c r="X7997" s="28"/>
      <c r="Y7997" s="28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28"/>
      <c r="AS7997" s="28"/>
      <c r="AT7997" s="28"/>
    </row>
    <row r="7998">
      <c r="A7998" s="14"/>
      <c r="B7998" s="15"/>
      <c r="C7998" s="16"/>
      <c r="D7998" s="15"/>
      <c r="F7998" s="15"/>
      <c r="G7998" s="26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8"/>
      <c r="X7998" s="28"/>
      <c r="Y7998" s="28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28"/>
      <c r="AS7998" s="28"/>
      <c r="AT7998" s="28"/>
    </row>
    <row r="7999">
      <c r="A7999" s="14"/>
      <c r="B7999" s="15"/>
      <c r="C7999" s="16"/>
      <c r="D7999" s="15"/>
      <c r="F7999" s="15"/>
      <c r="G7999" s="26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8"/>
      <c r="X7999" s="28"/>
      <c r="Y7999" s="28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28"/>
      <c r="AS7999" s="28"/>
      <c r="AT7999" s="28"/>
    </row>
    <row r="8000">
      <c r="A8000" s="14"/>
      <c r="B8000" s="15"/>
      <c r="C8000" s="16"/>
      <c r="D8000" s="15"/>
      <c r="F8000" s="15"/>
      <c r="G8000" s="26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8"/>
      <c r="X8000" s="28"/>
      <c r="Y8000" s="28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28"/>
      <c r="AS8000" s="28"/>
      <c r="AT8000" s="28"/>
    </row>
    <row r="8001">
      <c r="A8001" s="14"/>
      <c r="B8001" s="15"/>
      <c r="C8001" s="16"/>
      <c r="D8001" s="15"/>
      <c r="F8001" s="15"/>
      <c r="G8001" s="26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8"/>
      <c r="X8001" s="28"/>
      <c r="Y8001" s="28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28"/>
      <c r="AS8001" s="28"/>
      <c r="AT8001" s="28"/>
    </row>
    <row r="8002">
      <c r="A8002" s="14"/>
      <c r="B8002" s="15"/>
      <c r="C8002" s="16"/>
      <c r="D8002" s="15"/>
      <c r="F8002" s="15"/>
      <c r="G8002" s="26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8"/>
      <c r="X8002" s="28"/>
      <c r="Y8002" s="28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28"/>
      <c r="AS8002" s="28"/>
      <c r="AT8002" s="28"/>
    </row>
    <row r="8003">
      <c r="A8003" s="14"/>
      <c r="B8003" s="15"/>
      <c r="C8003" s="16"/>
      <c r="D8003" s="15"/>
      <c r="F8003" s="15"/>
      <c r="G8003" s="26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8"/>
      <c r="X8003" s="28"/>
      <c r="Y8003" s="28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28"/>
      <c r="AS8003" s="28"/>
      <c r="AT8003" s="28"/>
    </row>
    <row r="8004">
      <c r="A8004" s="14"/>
      <c r="B8004" s="15"/>
      <c r="C8004" s="16"/>
      <c r="D8004" s="15"/>
      <c r="F8004" s="15"/>
      <c r="G8004" s="26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8"/>
      <c r="X8004" s="28"/>
      <c r="Y8004" s="28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28"/>
      <c r="AS8004" s="28"/>
      <c r="AT8004" s="28"/>
    </row>
    <row r="8005">
      <c r="A8005" s="14"/>
      <c r="B8005" s="15"/>
      <c r="C8005" s="16"/>
      <c r="D8005" s="15"/>
      <c r="F8005" s="15"/>
      <c r="G8005" s="26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8"/>
      <c r="X8005" s="28"/>
      <c r="Y8005" s="28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28"/>
      <c r="AS8005" s="28"/>
      <c r="AT8005" s="28"/>
    </row>
    <row r="8006">
      <c r="A8006" s="14"/>
      <c r="B8006" s="15"/>
      <c r="C8006" s="16"/>
      <c r="D8006" s="15"/>
      <c r="F8006" s="15"/>
      <c r="G8006" s="26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8"/>
      <c r="X8006" s="28"/>
      <c r="Y8006" s="28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28"/>
      <c r="AS8006" s="28"/>
      <c r="AT8006" s="28"/>
    </row>
    <row r="8007">
      <c r="A8007" s="14"/>
      <c r="B8007" s="15"/>
      <c r="C8007" s="16"/>
      <c r="D8007" s="15"/>
      <c r="F8007" s="15"/>
      <c r="G8007" s="26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8"/>
      <c r="X8007" s="28"/>
      <c r="Y8007" s="28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28"/>
      <c r="AS8007" s="28"/>
      <c r="AT8007" s="28"/>
    </row>
    <row r="8008">
      <c r="A8008" s="14"/>
      <c r="B8008" s="15"/>
      <c r="C8008" s="16"/>
      <c r="D8008" s="15"/>
      <c r="F8008" s="15"/>
      <c r="G8008" s="26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8"/>
      <c r="X8008" s="28"/>
      <c r="Y8008" s="28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28"/>
      <c r="AS8008" s="28"/>
      <c r="AT8008" s="28"/>
    </row>
    <row r="8009">
      <c r="A8009" s="14"/>
      <c r="B8009" s="15"/>
      <c r="C8009" s="16"/>
      <c r="D8009" s="15"/>
      <c r="F8009" s="15"/>
      <c r="G8009" s="26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8"/>
      <c r="X8009" s="28"/>
      <c r="Y8009" s="28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28"/>
      <c r="AS8009" s="28"/>
      <c r="AT8009" s="28"/>
    </row>
    <row r="8010">
      <c r="A8010" s="14"/>
      <c r="B8010" s="15"/>
      <c r="C8010" s="16"/>
      <c r="D8010" s="15"/>
      <c r="F8010" s="15"/>
      <c r="G8010" s="26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8"/>
      <c r="X8010" s="28"/>
      <c r="Y8010" s="28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28"/>
      <c r="AS8010" s="28"/>
      <c r="AT8010" s="28"/>
    </row>
    <row r="8011">
      <c r="A8011" s="14"/>
      <c r="B8011" s="15"/>
      <c r="C8011" s="16"/>
      <c r="D8011" s="15"/>
      <c r="F8011" s="15"/>
      <c r="G8011" s="26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8"/>
      <c r="X8011" s="28"/>
      <c r="Y8011" s="28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28"/>
      <c r="AS8011" s="28"/>
      <c r="AT8011" s="28"/>
    </row>
    <row r="8012">
      <c r="A8012" s="14"/>
      <c r="B8012" s="15"/>
      <c r="C8012" s="16"/>
      <c r="D8012" s="15"/>
      <c r="F8012" s="15"/>
      <c r="G8012" s="26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8"/>
      <c r="X8012" s="28"/>
      <c r="Y8012" s="28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28"/>
      <c r="AS8012" s="28"/>
      <c r="AT8012" s="28"/>
    </row>
    <row r="8013">
      <c r="A8013" s="14"/>
      <c r="B8013" s="15"/>
      <c r="C8013" s="16"/>
      <c r="D8013" s="15"/>
      <c r="F8013" s="15"/>
      <c r="G8013" s="26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8"/>
      <c r="X8013" s="28"/>
      <c r="Y8013" s="28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28"/>
      <c r="AS8013" s="28"/>
      <c r="AT8013" s="28"/>
    </row>
    <row r="8014">
      <c r="A8014" s="14"/>
      <c r="B8014" s="15"/>
      <c r="C8014" s="16"/>
      <c r="D8014" s="15"/>
      <c r="F8014" s="15"/>
      <c r="G8014" s="26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8"/>
      <c r="X8014" s="28"/>
      <c r="Y8014" s="28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28"/>
      <c r="AS8014" s="28"/>
      <c r="AT8014" s="28"/>
    </row>
    <row r="8015">
      <c r="A8015" s="14"/>
      <c r="B8015" s="15"/>
      <c r="C8015" s="16"/>
      <c r="D8015" s="15"/>
      <c r="F8015" s="15"/>
      <c r="G8015" s="26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8"/>
      <c r="X8015" s="28"/>
      <c r="Y8015" s="28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28"/>
      <c r="AS8015" s="28"/>
      <c r="AT8015" s="28"/>
    </row>
    <row r="8016">
      <c r="A8016" s="14"/>
      <c r="B8016" s="15"/>
      <c r="C8016" s="16"/>
      <c r="D8016" s="15"/>
      <c r="F8016" s="15"/>
      <c r="G8016" s="26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8"/>
      <c r="X8016" s="28"/>
      <c r="Y8016" s="28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28"/>
      <c r="AS8016" s="28"/>
      <c r="AT8016" s="28"/>
    </row>
    <row r="8017">
      <c r="A8017" s="14"/>
      <c r="B8017" s="15"/>
      <c r="C8017" s="16"/>
      <c r="D8017" s="15"/>
      <c r="F8017" s="15"/>
      <c r="G8017" s="26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8"/>
      <c r="X8017" s="28"/>
      <c r="Y8017" s="28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28"/>
      <c r="AS8017" s="28"/>
      <c r="AT8017" s="28"/>
    </row>
    <row r="8018">
      <c r="A8018" s="14"/>
      <c r="B8018" s="15"/>
      <c r="C8018" s="16"/>
      <c r="D8018" s="15"/>
      <c r="F8018" s="15"/>
      <c r="G8018" s="26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8"/>
      <c r="X8018" s="28"/>
      <c r="Y8018" s="28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28"/>
      <c r="AS8018" s="28"/>
      <c r="AT8018" s="28"/>
    </row>
    <row r="8019">
      <c r="A8019" s="14"/>
      <c r="B8019" s="15"/>
      <c r="C8019" s="16"/>
      <c r="D8019" s="15"/>
      <c r="F8019" s="15"/>
      <c r="G8019" s="26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8"/>
      <c r="X8019" s="28"/>
      <c r="Y8019" s="28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28"/>
      <c r="AS8019" s="28"/>
      <c r="AT8019" s="28"/>
    </row>
    <row r="8020">
      <c r="A8020" s="14"/>
      <c r="B8020" s="15"/>
      <c r="C8020" s="16"/>
      <c r="D8020" s="15"/>
      <c r="F8020" s="15"/>
      <c r="G8020" s="26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8"/>
      <c r="X8020" s="28"/>
      <c r="Y8020" s="28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28"/>
      <c r="AS8020" s="28"/>
      <c r="AT8020" s="28"/>
    </row>
    <row r="8021">
      <c r="A8021" s="14"/>
      <c r="B8021" s="15"/>
      <c r="C8021" s="16"/>
      <c r="D8021" s="15"/>
      <c r="F8021" s="15"/>
      <c r="G8021" s="26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8"/>
      <c r="X8021" s="28"/>
      <c r="Y8021" s="28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28"/>
      <c r="AS8021" s="28"/>
      <c r="AT8021" s="28"/>
    </row>
    <row r="8022">
      <c r="A8022" s="14"/>
      <c r="B8022" s="15"/>
      <c r="C8022" s="16"/>
      <c r="D8022" s="15"/>
      <c r="F8022" s="15"/>
      <c r="G8022" s="26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8"/>
      <c r="X8022" s="28"/>
      <c r="Y8022" s="28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28"/>
      <c r="AS8022" s="28"/>
      <c r="AT8022" s="28"/>
    </row>
    <row r="8023">
      <c r="A8023" s="14"/>
      <c r="B8023" s="15"/>
      <c r="C8023" s="16"/>
      <c r="D8023" s="15"/>
      <c r="F8023" s="15"/>
      <c r="G8023" s="26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8"/>
      <c r="X8023" s="28"/>
      <c r="Y8023" s="28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28"/>
      <c r="AS8023" s="28"/>
      <c r="AT8023" s="28"/>
    </row>
    <row r="8024">
      <c r="A8024" s="14"/>
      <c r="B8024" s="15"/>
      <c r="C8024" s="16"/>
      <c r="D8024" s="15"/>
      <c r="F8024" s="15"/>
      <c r="G8024" s="26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8"/>
      <c r="X8024" s="28"/>
      <c r="Y8024" s="28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28"/>
      <c r="AS8024" s="28"/>
      <c r="AT8024" s="28"/>
    </row>
    <row r="8025">
      <c r="A8025" s="14"/>
      <c r="B8025" s="15"/>
      <c r="C8025" s="16"/>
      <c r="D8025" s="15"/>
      <c r="F8025" s="15"/>
      <c r="G8025" s="26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8"/>
      <c r="X8025" s="28"/>
      <c r="Y8025" s="28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28"/>
      <c r="AS8025" s="28"/>
      <c r="AT8025" s="28"/>
    </row>
    <row r="8026">
      <c r="A8026" s="14"/>
      <c r="B8026" s="15"/>
      <c r="C8026" s="16"/>
      <c r="D8026" s="15"/>
      <c r="F8026" s="15"/>
      <c r="G8026" s="26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8"/>
      <c r="X8026" s="28"/>
      <c r="Y8026" s="28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28"/>
      <c r="AS8026" s="28"/>
      <c r="AT8026" s="28"/>
    </row>
    <row r="8027">
      <c r="A8027" s="14"/>
      <c r="B8027" s="15"/>
      <c r="C8027" s="16"/>
      <c r="D8027" s="15"/>
      <c r="F8027" s="15"/>
      <c r="G8027" s="26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8"/>
      <c r="X8027" s="28"/>
      <c r="Y8027" s="28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28"/>
      <c r="AS8027" s="28"/>
      <c r="AT8027" s="28"/>
    </row>
    <row r="8028">
      <c r="A8028" s="14"/>
      <c r="B8028" s="15"/>
      <c r="C8028" s="16"/>
      <c r="D8028" s="15"/>
      <c r="F8028" s="15"/>
      <c r="G8028" s="26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8"/>
      <c r="X8028" s="28"/>
      <c r="Y8028" s="28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28"/>
      <c r="AS8028" s="28"/>
      <c r="AT8028" s="28"/>
    </row>
    <row r="8029">
      <c r="A8029" s="14"/>
      <c r="B8029" s="15"/>
      <c r="C8029" s="16"/>
      <c r="D8029" s="15"/>
      <c r="F8029" s="15"/>
      <c r="G8029" s="26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8"/>
      <c r="X8029" s="28"/>
      <c r="Y8029" s="28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28"/>
      <c r="AS8029" s="28"/>
      <c r="AT8029" s="28"/>
    </row>
    <row r="8030">
      <c r="A8030" s="14"/>
      <c r="B8030" s="15"/>
      <c r="C8030" s="16"/>
      <c r="D8030" s="15"/>
      <c r="F8030" s="15"/>
      <c r="G8030" s="26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8"/>
      <c r="X8030" s="28"/>
      <c r="Y8030" s="28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28"/>
      <c r="AS8030" s="28"/>
      <c r="AT8030" s="28"/>
    </row>
    <row r="8031">
      <c r="A8031" s="14"/>
      <c r="B8031" s="15"/>
      <c r="C8031" s="16"/>
      <c r="D8031" s="15"/>
      <c r="F8031" s="15"/>
      <c r="G8031" s="26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8"/>
      <c r="X8031" s="28"/>
      <c r="Y8031" s="28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28"/>
      <c r="AS8031" s="28"/>
      <c r="AT8031" s="28"/>
    </row>
    <row r="8032">
      <c r="A8032" s="14"/>
      <c r="B8032" s="15"/>
      <c r="C8032" s="16"/>
      <c r="D8032" s="15"/>
      <c r="F8032" s="15"/>
      <c r="G8032" s="26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8"/>
      <c r="X8032" s="28"/>
      <c r="Y8032" s="28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28"/>
      <c r="AS8032" s="28"/>
      <c r="AT8032" s="28"/>
    </row>
    <row r="8033">
      <c r="A8033" s="14"/>
      <c r="B8033" s="15"/>
      <c r="C8033" s="16"/>
      <c r="D8033" s="15"/>
      <c r="F8033" s="15"/>
      <c r="G8033" s="26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8"/>
      <c r="X8033" s="28"/>
      <c r="Y8033" s="28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28"/>
      <c r="AS8033" s="28"/>
      <c r="AT8033" s="28"/>
    </row>
    <row r="8034">
      <c r="A8034" s="14"/>
      <c r="B8034" s="15"/>
      <c r="C8034" s="16"/>
      <c r="D8034" s="15"/>
      <c r="F8034" s="15"/>
      <c r="G8034" s="26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8"/>
      <c r="X8034" s="28"/>
      <c r="Y8034" s="28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28"/>
      <c r="AS8034" s="28"/>
      <c r="AT8034" s="28"/>
    </row>
    <row r="8035">
      <c r="A8035" s="14"/>
      <c r="B8035" s="15"/>
      <c r="C8035" s="16"/>
      <c r="D8035" s="15"/>
      <c r="F8035" s="15"/>
      <c r="G8035" s="26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8"/>
      <c r="X8035" s="28"/>
      <c r="Y8035" s="28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28"/>
      <c r="AS8035" s="28"/>
      <c r="AT8035" s="28"/>
    </row>
    <row r="8036">
      <c r="A8036" s="14"/>
      <c r="B8036" s="15"/>
      <c r="C8036" s="16"/>
      <c r="D8036" s="15"/>
      <c r="F8036" s="15"/>
      <c r="G8036" s="26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8"/>
      <c r="X8036" s="28"/>
      <c r="Y8036" s="28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28"/>
      <c r="AS8036" s="28"/>
      <c r="AT8036" s="28"/>
    </row>
    <row r="8037">
      <c r="A8037" s="14"/>
      <c r="B8037" s="15"/>
      <c r="C8037" s="16"/>
      <c r="D8037" s="15"/>
      <c r="F8037" s="15"/>
      <c r="G8037" s="26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8"/>
      <c r="X8037" s="28"/>
      <c r="Y8037" s="28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28"/>
      <c r="AS8037" s="28"/>
      <c r="AT8037" s="28"/>
    </row>
    <row r="8038">
      <c r="A8038" s="14"/>
      <c r="B8038" s="15"/>
      <c r="C8038" s="16"/>
      <c r="D8038" s="15"/>
      <c r="F8038" s="15"/>
      <c r="G8038" s="26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28"/>
      <c r="AS8038" s="28"/>
      <c r="AT8038" s="28"/>
    </row>
    <row r="8039">
      <c r="A8039" s="14"/>
      <c r="B8039" s="15"/>
      <c r="C8039" s="16"/>
      <c r="D8039" s="15"/>
      <c r="F8039" s="15"/>
      <c r="G8039" s="26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8"/>
      <c r="X8039" s="28"/>
      <c r="Y8039" s="28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28"/>
      <c r="AS8039" s="28"/>
      <c r="AT8039" s="28"/>
    </row>
    <row r="8040">
      <c r="A8040" s="14"/>
      <c r="B8040" s="15"/>
      <c r="C8040" s="16"/>
      <c r="D8040" s="15"/>
      <c r="F8040" s="15"/>
      <c r="G8040" s="26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8"/>
      <c r="X8040" s="28"/>
      <c r="Y8040" s="28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28"/>
      <c r="AS8040" s="28"/>
      <c r="AT8040" s="28"/>
    </row>
    <row r="8041">
      <c r="A8041" s="14"/>
      <c r="B8041" s="15"/>
      <c r="C8041" s="16"/>
      <c r="D8041" s="15"/>
      <c r="F8041" s="15"/>
      <c r="G8041" s="26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8"/>
      <c r="X8041" s="28"/>
      <c r="Y8041" s="28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28"/>
      <c r="AS8041" s="28"/>
      <c r="AT8041" s="28"/>
    </row>
    <row r="8042">
      <c r="A8042" s="14"/>
      <c r="B8042" s="15"/>
      <c r="C8042" s="16"/>
      <c r="D8042" s="15"/>
      <c r="F8042" s="15"/>
      <c r="G8042" s="26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8"/>
      <c r="X8042" s="28"/>
      <c r="Y8042" s="28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28"/>
      <c r="AS8042" s="28"/>
      <c r="AT8042" s="28"/>
    </row>
    <row r="8043">
      <c r="A8043" s="14"/>
      <c r="B8043" s="15"/>
      <c r="C8043" s="16"/>
      <c r="D8043" s="15"/>
      <c r="F8043" s="15"/>
      <c r="G8043" s="26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8"/>
      <c r="X8043" s="28"/>
      <c r="Y8043" s="28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28"/>
      <c r="AS8043" s="28"/>
      <c r="AT8043" s="28"/>
    </row>
    <row r="8044">
      <c r="A8044" s="14"/>
      <c r="B8044" s="15"/>
      <c r="C8044" s="16"/>
      <c r="D8044" s="15"/>
      <c r="F8044" s="15"/>
      <c r="G8044" s="26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8"/>
      <c r="X8044" s="28"/>
      <c r="Y8044" s="28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28"/>
      <c r="AS8044" s="28"/>
      <c r="AT8044" s="28"/>
    </row>
    <row r="8045">
      <c r="A8045" s="14"/>
      <c r="B8045" s="15"/>
      <c r="C8045" s="16"/>
      <c r="D8045" s="15"/>
      <c r="F8045" s="15"/>
      <c r="G8045" s="26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8"/>
      <c r="X8045" s="28"/>
      <c r="Y8045" s="28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28"/>
      <c r="AS8045" s="28"/>
      <c r="AT8045" s="28"/>
    </row>
    <row r="8046">
      <c r="A8046" s="14"/>
      <c r="B8046" s="15"/>
      <c r="C8046" s="16"/>
      <c r="D8046" s="15"/>
      <c r="F8046" s="15"/>
      <c r="G8046" s="26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8"/>
      <c r="X8046" s="28"/>
      <c r="Y8046" s="28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28"/>
      <c r="AS8046" s="28"/>
      <c r="AT8046" s="28"/>
    </row>
    <row r="8047">
      <c r="A8047" s="14"/>
      <c r="B8047" s="15"/>
      <c r="C8047" s="16"/>
      <c r="D8047" s="15"/>
      <c r="F8047" s="15"/>
      <c r="G8047" s="26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8"/>
      <c r="X8047" s="28"/>
      <c r="Y8047" s="28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28"/>
      <c r="AS8047" s="28"/>
      <c r="AT8047" s="28"/>
    </row>
    <row r="8048">
      <c r="A8048" s="14"/>
      <c r="B8048" s="15"/>
      <c r="C8048" s="16"/>
      <c r="D8048" s="15"/>
      <c r="F8048" s="15"/>
      <c r="G8048" s="26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8"/>
      <c r="X8048" s="28"/>
      <c r="Y8048" s="28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28"/>
      <c r="AS8048" s="28"/>
      <c r="AT8048" s="28"/>
    </row>
    <row r="8049">
      <c r="A8049" s="14"/>
      <c r="B8049" s="15"/>
      <c r="C8049" s="16"/>
      <c r="D8049" s="15"/>
      <c r="F8049" s="15"/>
      <c r="G8049" s="26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8"/>
      <c r="X8049" s="28"/>
      <c r="Y8049" s="28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28"/>
      <c r="AS8049" s="28"/>
      <c r="AT8049" s="28"/>
    </row>
    <row r="8050">
      <c r="A8050" s="14"/>
      <c r="B8050" s="15"/>
      <c r="C8050" s="16"/>
      <c r="D8050" s="15"/>
      <c r="F8050" s="15"/>
      <c r="G8050" s="26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8"/>
      <c r="X8050" s="28"/>
      <c r="Y8050" s="28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28"/>
      <c r="AS8050" s="28"/>
      <c r="AT8050" s="28"/>
    </row>
    <row r="8051">
      <c r="A8051" s="14"/>
      <c r="B8051" s="15"/>
      <c r="C8051" s="16"/>
      <c r="D8051" s="15"/>
      <c r="F8051" s="15"/>
      <c r="G8051" s="26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8"/>
      <c r="X8051" s="28"/>
      <c r="Y8051" s="28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28"/>
      <c r="AS8051" s="28"/>
      <c r="AT8051" s="28"/>
    </row>
    <row r="8052">
      <c r="A8052" s="14"/>
      <c r="B8052" s="15"/>
      <c r="C8052" s="16"/>
      <c r="D8052" s="15"/>
      <c r="F8052" s="15"/>
      <c r="G8052" s="26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8"/>
      <c r="X8052" s="28"/>
      <c r="Y8052" s="28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28"/>
      <c r="AS8052" s="28"/>
      <c r="AT8052" s="28"/>
    </row>
    <row r="8053">
      <c r="A8053" s="14"/>
      <c r="B8053" s="15"/>
      <c r="C8053" s="16"/>
      <c r="D8053" s="15"/>
      <c r="F8053" s="15"/>
      <c r="G8053" s="26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8"/>
      <c r="X8053" s="28"/>
      <c r="Y8053" s="28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28"/>
      <c r="AS8053" s="28"/>
      <c r="AT8053" s="28"/>
    </row>
    <row r="8054">
      <c r="A8054" s="14"/>
      <c r="B8054" s="15"/>
      <c r="C8054" s="16"/>
      <c r="D8054" s="15"/>
      <c r="F8054" s="15"/>
      <c r="G8054" s="26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8"/>
      <c r="X8054" s="28"/>
      <c r="Y8054" s="28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28"/>
      <c r="AS8054" s="28"/>
      <c r="AT8054" s="28"/>
    </row>
    <row r="8055">
      <c r="A8055" s="14"/>
      <c r="B8055" s="15"/>
      <c r="C8055" s="16"/>
      <c r="D8055" s="15"/>
      <c r="F8055" s="15"/>
      <c r="G8055" s="26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8"/>
      <c r="X8055" s="28"/>
      <c r="Y8055" s="28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28"/>
      <c r="AS8055" s="28"/>
      <c r="AT8055" s="28"/>
    </row>
    <row r="8056">
      <c r="A8056" s="14"/>
      <c r="B8056" s="15"/>
      <c r="C8056" s="16"/>
      <c r="D8056" s="15"/>
      <c r="F8056" s="15"/>
      <c r="G8056" s="26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8"/>
      <c r="X8056" s="28"/>
      <c r="Y8056" s="28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28"/>
      <c r="AS8056" s="28"/>
      <c r="AT8056" s="28"/>
    </row>
    <row r="8057">
      <c r="A8057" s="14"/>
      <c r="B8057" s="15"/>
      <c r="C8057" s="16"/>
      <c r="D8057" s="15"/>
      <c r="F8057" s="15"/>
      <c r="G8057" s="26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8"/>
      <c r="X8057" s="28"/>
      <c r="Y8057" s="28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28"/>
      <c r="AS8057" s="28"/>
      <c r="AT8057" s="28"/>
    </row>
    <row r="8058">
      <c r="A8058" s="14"/>
      <c r="B8058" s="15"/>
      <c r="C8058" s="16"/>
      <c r="D8058" s="15"/>
      <c r="F8058" s="15"/>
      <c r="G8058" s="26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8"/>
      <c r="X8058" s="28"/>
      <c r="Y8058" s="28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28"/>
      <c r="AS8058" s="28"/>
      <c r="AT8058" s="28"/>
    </row>
    <row r="8059">
      <c r="A8059" s="14"/>
      <c r="B8059" s="15"/>
      <c r="C8059" s="16"/>
      <c r="D8059" s="15"/>
      <c r="F8059" s="15"/>
      <c r="G8059" s="26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8"/>
      <c r="X8059" s="28"/>
      <c r="Y8059" s="28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28"/>
      <c r="AS8059" s="28"/>
      <c r="AT8059" s="28"/>
    </row>
    <row r="8060">
      <c r="A8060" s="14"/>
      <c r="B8060" s="15"/>
      <c r="C8060" s="16"/>
      <c r="D8060" s="15"/>
      <c r="F8060" s="15"/>
      <c r="G8060" s="26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8"/>
      <c r="X8060" s="28"/>
      <c r="Y8060" s="28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28"/>
      <c r="AS8060" s="28"/>
      <c r="AT8060" s="28"/>
    </row>
    <row r="8061">
      <c r="A8061" s="14"/>
      <c r="B8061" s="15"/>
      <c r="C8061" s="16"/>
      <c r="D8061" s="15"/>
      <c r="F8061" s="15"/>
      <c r="G8061" s="26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8"/>
      <c r="X8061" s="28"/>
      <c r="Y8061" s="28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28"/>
      <c r="AS8061" s="28"/>
      <c r="AT8061" s="28"/>
    </row>
    <row r="8062">
      <c r="A8062" s="14"/>
      <c r="B8062" s="15"/>
      <c r="C8062" s="16"/>
      <c r="D8062" s="15"/>
      <c r="F8062" s="15"/>
      <c r="G8062" s="26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8"/>
      <c r="X8062" s="28"/>
      <c r="Y8062" s="28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28"/>
      <c r="AS8062" s="28"/>
      <c r="AT8062" s="28"/>
    </row>
    <row r="8063">
      <c r="A8063" s="14"/>
      <c r="B8063" s="15"/>
      <c r="C8063" s="16"/>
      <c r="D8063" s="15"/>
      <c r="F8063" s="15"/>
      <c r="G8063" s="26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8"/>
      <c r="X8063" s="28"/>
      <c r="Y8063" s="28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28"/>
      <c r="AS8063" s="28"/>
      <c r="AT8063" s="28"/>
    </row>
    <row r="8064">
      <c r="A8064" s="14"/>
      <c r="B8064" s="15"/>
      <c r="C8064" s="16"/>
      <c r="D8064" s="15"/>
      <c r="F8064" s="15"/>
      <c r="G8064" s="26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8"/>
      <c r="X8064" s="28"/>
      <c r="Y8064" s="28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28"/>
      <c r="AS8064" s="28"/>
      <c r="AT8064" s="28"/>
    </row>
    <row r="8065">
      <c r="A8065" s="14"/>
      <c r="B8065" s="15"/>
      <c r="C8065" s="16"/>
      <c r="D8065" s="15"/>
      <c r="F8065" s="15"/>
      <c r="G8065" s="26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8"/>
      <c r="X8065" s="28"/>
      <c r="Y8065" s="28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28"/>
      <c r="AS8065" s="28"/>
      <c r="AT8065" s="28"/>
    </row>
    <row r="8066">
      <c r="A8066" s="14"/>
      <c r="B8066" s="15"/>
      <c r="C8066" s="16"/>
      <c r="D8066" s="15"/>
      <c r="F8066" s="15"/>
      <c r="G8066" s="26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8"/>
      <c r="X8066" s="28"/>
      <c r="Y8066" s="28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28"/>
      <c r="AS8066" s="28"/>
      <c r="AT8066" s="28"/>
    </row>
    <row r="8067">
      <c r="A8067" s="14"/>
      <c r="B8067" s="15"/>
      <c r="C8067" s="16"/>
      <c r="D8067" s="15"/>
      <c r="F8067" s="15"/>
      <c r="G8067" s="26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8"/>
      <c r="X8067" s="28"/>
      <c r="Y8067" s="28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28"/>
      <c r="AS8067" s="28"/>
      <c r="AT8067" s="28"/>
    </row>
    <row r="8068">
      <c r="A8068" s="14"/>
      <c r="B8068" s="15"/>
      <c r="C8068" s="16"/>
      <c r="D8068" s="15"/>
      <c r="F8068" s="15"/>
      <c r="G8068" s="26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8"/>
      <c r="X8068" s="28"/>
      <c r="Y8068" s="28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28"/>
      <c r="AS8068" s="28"/>
      <c r="AT8068" s="28"/>
    </row>
    <row r="8069">
      <c r="A8069" s="14"/>
      <c r="B8069" s="15"/>
      <c r="C8069" s="16"/>
      <c r="D8069" s="15"/>
      <c r="F8069" s="15"/>
      <c r="G8069" s="26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8"/>
      <c r="X8069" s="28"/>
      <c r="Y8069" s="28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28"/>
      <c r="AS8069" s="28"/>
      <c r="AT8069" s="28"/>
    </row>
    <row r="8070">
      <c r="A8070" s="14"/>
      <c r="B8070" s="15"/>
      <c r="C8070" s="16"/>
      <c r="D8070" s="15"/>
      <c r="F8070" s="15"/>
      <c r="G8070" s="26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8"/>
      <c r="X8070" s="28"/>
      <c r="Y8070" s="28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28"/>
      <c r="AS8070" s="28"/>
      <c r="AT8070" s="28"/>
    </row>
    <row r="8071">
      <c r="A8071" s="14"/>
      <c r="B8071" s="15"/>
      <c r="C8071" s="16"/>
      <c r="D8071" s="15"/>
      <c r="F8071" s="15"/>
      <c r="G8071" s="26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8"/>
      <c r="X8071" s="28"/>
      <c r="Y8071" s="28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28"/>
      <c r="AS8071" s="28"/>
      <c r="AT8071" s="28"/>
    </row>
    <row r="8072">
      <c r="A8072" s="14"/>
      <c r="B8072" s="15"/>
      <c r="C8072" s="16"/>
      <c r="D8072" s="15"/>
      <c r="F8072" s="15"/>
      <c r="G8072" s="26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8"/>
      <c r="X8072" s="28"/>
      <c r="Y8072" s="28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28"/>
      <c r="AS8072" s="28"/>
      <c r="AT8072" s="28"/>
    </row>
    <row r="8073">
      <c r="A8073" s="14"/>
      <c r="B8073" s="15"/>
      <c r="C8073" s="16"/>
      <c r="D8073" s="15"/>
      <c r="F8073" s="15"/>
      <c r="G8073" s="26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8"/>
      <c r="X8073" s="28"/>
      <c r="Y8073" s="28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28"/>
      <c r="AS8073" s="28"/>
      <c r="AT8073" s="28"/>
    </row>
    <row r="8074">
      <c r="A8074" s="14"/>
      <c r="B8074" s="15"/>
      <c r="C8074" s="16"/>
      <c r="D8074" s="15"/>
      <c r="F8074" s="15"/>
      <c r="G8074" s="26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8"/>
      <c r="X8074" s="28"/>
      <c r="Y8074" s="28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28"/>
      <c r="AS8074" s="28"/>
      <c r="AT8074" s="28"/>
    </row>
    <row r="8075">
      <c r="A8075" s="14"/>
      <c r="B8075" s="15"/>
      <c r="C8075" s="16"/>
      <c r="D8075" s="15"/>
      <c r="F8075" s="15"/>
      <c r="G8075" s="26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8"/>
      <c r="X8075" s="28"/>
      <c r="Y8075" s="28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28"/>
      <c r="AS8075" s="28"/>
      <c r="AT8075" s="28"/>
    </row>
    <row r="8076">
      <c r="A8076" s="14"/>
      <c r="B8076" s="15"/>
      <c r="C8076" s="16"/>
      <c r="D8076" s="15"/>
      <c r="F8076" s="15"/>
      <c r="G8076" s="26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8"/>
      <c r="X8076" s="28"/>
      <c r="Y8076" s="28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28"/>
      <c r="AS8076" s="28"/>
      <c r="AT8076" s="28"/>
    </row>
    <row r="8077">
      <c r="A8077" s="14"/>
      <c r="B8077" s="15"/>
      <c r="C8077" s="16"/>
      <c r="D8077" s="15"/>
      <c r="F8077" s="15"/>
      <c r="G8077" s="26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8"/>
      <c r="X8077" s="28"/>
      <c r="Y8077" s="28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28"/>
      <c r="AS8077" s="28"/>
      <c r="AT8077" s="28"/>
    </row>
    <row r="8078">
      <c r="A8078" s="14"/>
      <c r="B8078" s="15"/>
      <c r="C8078" s="16"/>
      <c r="D8078" s="15"/>
      <c r="F8078" s="15"/>
      <c r="G8078" s="26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8"/>
      <c r="X8078" s="28"/>
      <c r="Y8078" s="28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28"/>
      <c r="AS8078" s="28"/>
      <c r="AT8078" s="28"/>
    </row>
    <row r="8079">
      <c r="A8079" s="14"/>
      <c r="B8079" s="15"/>
      <c r="C8079" s="16"/>
      <c r="D8079" s="15"/>
      <c r="F8079" s="15"/>
      <c r="G8079" s="26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8"/>
      <c r="X8079" s="28"/>
      <c r="Y8079" s="28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28"/>
      <c r="AS8079" s="28"/>
      <c r="AT8079" s="28"/>
    </row>
    <row r="8080">
      <c r="A8080" s="14"/>
      <c r="B8080" s="15"/>
      <c r="C8080" s="16"/>
      <c r="D8080" s="15"/>
      <c r="F8080" s="15"/>
      <c r="G8080" s="26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8"/>
      <c r="X8080" s="28"/>
      <c r="Y8080" s="28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28"/>
      <c r="AS8080" s="28"/>
      <c r="AT8080" s="28"/>
    </row>
    <row r="8081">
      <c r="A8081" s="14"/>
      <c r="B8081" s="15"/>
      <c r="C8081" s="16"/>
      <c r="D8081" s="15"/>
      <c r="F8081" s="15"/>
      <c r="G8081" s="26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8"/>
      <c r="X8081" s="28"/>
      <c r="Y8081" s="28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28"/>
      <c r="AS8081" s="28"/>
      <c r="AT8081" s="28"/>
    </row>
    <row r="8082">
      <c r="A8082" s="14"/>
      <c r="B8082" s="15"/>
      <c r="C8082" s="16"/>
      <c r="D8082" s="15"/>
      <c r="F8082" s="15"/>
      <c r="G8082" s="26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8"/>
      <c r="X8082" s="28"/>
      <c r="Y8082" s="28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28"/>
      <c r="AS8082" s="28"/>
      <c r="AT8082" s="28"/>
    </row>
    <row r="8083">
      <c r="A8083" s="14"/>
      <c r="B8083" s="15"/>
      <c r="C8083" s="16"/>
      <c r="D8083" s="15"/>
      <c r="F8083" s="15"/>
      <c r="G8083" s="26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8"/>
      <c r="X8083" s="28"/>
      <c r="Y8083" s="28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28"/>
      <c r="AS8083" s="28"/>
      <c r="AT8083" s="28"/>
    </row>
    <row r="8084">
      <c r="A8084" s="14"/>
      <c r="B8084" s="15"/>
      <c r="C8084" s="16"/>
      <c r="D8084" s="15"/>
      <c r="F8084" s="15"/>
      <c r="G8084" s="26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8"/>
      <c r="X8084" s="28"/>
      <c r="Y8084" s="28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28"/>
      <c r="AS8084" s="28"/>
      <c r="AT8084" s="28"/>
    </row>
    <row r="8085">
      <c r="A8085" s="14"/>
      <c r="B8085" s="15"/>
      <c r="C8085" s="16"/>
      <c r="D8085" s="15"/>
      <c r="F8085" s="15"/>
      <c r="G8085" s="26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8"/>
      <c r="X8085" s="28"/>
      <c r="Y8085" s="28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28"/>
      <c r="AS8085" s="28"/>
      <c r="AT8085" s="28"/>
    </row>
    <row r="8086">
      <c r="A8086" s="14"/>
      <c r="B8086" s="15"/>
      <c r="C8086" s="16"/>
      <c r="D8086" s="15"/>
      <c r="F8086" s="15"/>
      <c r="G8086" s="26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8"/>
      <c r="X8086" s="28"/>
      <c r="Y8086" s="28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28"/>
      <c r="AS8086" s="28"/>
      <c r="AT8086" s="28"/>
    </row>
    <row r="8087">
      <c r="A8087" s="14"/>
      <c r="B8087" s="15"/>
      <c r="C8087" s="16"/>
      <c r="D8087" s="15"/>
      <c r="F8087" s="15"/>
      <c r="G8087" s="26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8"/>
      <c r="X8087" s="28"/>
      <c r="Y8087" s="28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28"/>
      <c r="AS8087" s="28"/>
      <c r="AT8087" s="28"/>
    </row>
    <row r="8088">
      <c r="A8088" s="14"/>
      <c r="B8088" s="15"/>
      <c r="C8088" s="16"/>
      <c r="D8088" s="15"/>
      <c r="F8088" s="15"/>
      <c r="G8088" s="26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8"/>
      <c r="X8088" s="28"/>
      <c r="Y8088" s="28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28"/>
      <c r="AS8088" s="28"/>
      <c r="AT8088" s="28"/>
    </row>
    <row r="8089">
      <c r="A8089" s="14"/>
      <c r="B8089" s="15"/>
      <c r="C8089" s="16"/>
      <c r="D8089" s="15"/>
      <c r="F8089" s="15"/>
      <c r="G8089" s="26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8"/>
      <c r="X8089" s="28"/>
      <c r="Y8089" s="28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28"/>
      <c r="AS8089" s="28"/>
      <c r="AT8089" s="28"/>
    </row>
    <row r="8090">
      <c r="A8090" s="14"/>
      <c r="B8090" s="15"/>
      <c r="C8090" s="16"/>
      <c r="D8090" s="15"/>
      <c r="F8090" s="15"/>
      <c r="G8090" s="26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8"/>
      <c r="X8090" s="28"/>
      <c r="Y8090" s="28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28"/>
      <c r="AS8090" s="28"/>
      <c r="AT8090" s="28"/>
    </row>
    <row r="8091">
      <c r="A8091" s="14"/>
      <c r="B8091" s="15"/>
      <c r="C8091" s="16"/>
      <c r="D8091" s="15"/>
      <c r="F8091" s="15"/>
      <c r="G8091" s="26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8"/>
      <c r="X8091" s="28"/>
      <c r="Y8091" s="28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28"/>
      <c r="AS8091" s="28"/>
      <c r="AT8091" s="28"/>
    </row>
    <row r="8092">
      <c r="A8092" s="14"/>
      <c r="B8092" s="15"/>
      <c r="C8092" s="16"/>
      <c r="D8092" s="15"/>
      <c r="F8092" s="15"/>
      <c r="G8092" s="26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8"/>
      <c r="X8092" s="28"/>
      <c r="Y8092" s="28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28"/>
      <c r="AS8092" s="28"/>
      <c r="AT8092" s="28"/>
    </row>
    <row r="8093">
      <c r="A8093" s="14"/>
      <c r="B8093" s="15"/>
      <c r="C8093" s="16"/>
      <c r="D8093" s="15"/>
      <c r="F8093" s="15"/>
      <c r="G8093" s="26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8"/>
      <c r="X8093" s="28"/>
      <c r="Y8093" s="28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28"/>
      <c r="AS8093" s="28"/>
      <c r="AT8093" s="28"/>
    </row>
    <row r="8094">
      <c r="A8094" s="14"/>
      <c r="B8094" s="15"/>
      <c r="C8094" s="16"/>
      <c r="D8094" s="15"/>
      <c r="F8094" s="15"/>
      <c r="G8094" s="26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8"/>
      <c r="X8094" s="28"/>
      <c r="Y8094" s="28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28"/>
      <c r="AS8094" s="28"/>
      <c r="AT8094" s="28"/>
    </row>
    <row r="8095">
      <c r="A8095" s="14"/>
      <c r="B8095" s="15"/>
      <c r="C8095" s="16"/>
      <c r="D8095" s="15"/>
      <c r="F8095" s="15"/>
      <c r="G8095" s="26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8"/>
      <c r="X8095" s="28"/>
      <c r="Y8095" s="28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28"/>
      <c r="AS8095" s="28"/>
      <c r="AT8095" s="28"/>
    </row>
    <row r="8096">
      <c r="A8096" s="14"/>
      <c r="B8096" s="15"/>
      <c r="C8096" s="16"/>
      <c r="D8096" s="15"/>
      <c r="F8096" s="15"/>
      <c r="G8096" s="26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8"/>
      <c r="X8096" s="28"/>
      <c r="Y8096" s="28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28"/>
      <c r="AS8096" s="28"/>
      <c r="AT8096" s="28"/>
    </row>
    <row r="8097">
      <c r="A8097" s="14"/>
      <c r="B8097" s="15"/>
      <c r="C8097" s="16"/>
      <c r="D8097" s="15"/>
      <c r="F8097" s="15"/>
      <c r="G8097" s="26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8"/>
      <c r="X8097" s="28"/>
      <c r="Y8097" s="28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28"/>
      <c r="AS8097" s="28"/>
      <c r="AT8097" s="28"/>
    </row>
    <row r="8098">
      <c r="A8098" s="14"/>
      <c r="B8098" s="15"/>
      <c r="C8098" s="16"/>
      <c r="D8098" s="15"/>
      <c r="F8098" s="15"/>
      <c r="G8098" s="26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8"/>
      <c r="X8098" s="28"/>
      <c r="Y8098" s="28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28"/>
      <c r="AS8098" s="28"/>
      <c r="AT8098" s="28"/>
    </row>
    <row r="8099">
      <c r="A8099" s="14"/>
      <c r="B8099" s="15"/>
      <c r="C8099" s="16"/>
      <c r="D8099" s="15"/>
      <c r="F8099" s="15"/>
      <c r="G8099" s="26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8"/>
      <c r="X8099" s="28"/>
      <c r="Y8099" s="28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28"/>
      <c r="AS8099" s="28"/>
      <c r="AT8099" s="28"/>
    </row>
    <row r="8100">
      <c r="A8100" s="14"/>
      <c r="B8100" s="15"/>
      <c r="C8100" s="16"/>
      <c r="D8100" s="15"/>
      <c r="F8100" s="15"/>
      <c r="G8100" s="26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8"/>
      <c r="X8100" s="28"/>
      <c r="Y8100" s="28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28"/>
      <c r="AS8100" s="28"/>
      <c r="AT8100" s="28"/>
    </row>
    <row r="8101">
      <c r="A8101" s="14"/>
      <c r="B8101" s="15"/>
      <c r="C8101" s="16"/>
      <c r="D8101" s="15"/>
      <c r="F8101" s="15"/>
      <c r="G8101" s="26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8"/>
      <c r="X8101" s="28"/>
      <c r="Y8101" s="28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28"/>
      <c r="AS8101" s="28"/>
      <c r="AT8101" s="28"/>
    </row>
    <row r="8102">
      <c r="A8102" s="14"/>
      <c r="B8102" s="15"/>
      <c r="C8102" s="16"/>
      <c r="D8102" s="15"/>
      <c r="F8102" s="15"/>
      <c r="G8102" s="26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8"/>
      <c r="X8102" s="28"/>
      <c r="Y8102" s="28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28"/>
      <c r="AS8102" s="28"/>
      <c r="AT8102" s="28"/>
    </row>
    <row r="8103">
      <c r="A8103" s="14"/>
      <c r="B8103" s="15"/>
      <c r="C8103" s="16"/>
      <c r="D8103" s="15"/>
      <c r="F8103" s="15"/>
      <c r="G8103" s="26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8"/>
      <c r="X8103" s="28"/>
      <c r="Y8103" s="28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28"/>
      <c r="AS8103" s="28"/>
      <c r="AT8103" s="28"/>
    </row>
    <row r="8104">
      <c r="A8104" s="14"/>
      <c r="B8104" s="15"/>
      <c r="C8104" s="16"/>
      <c r="D8104" s="15"/>
      <c r="F8104" s="15"/>
      <c r="G8104" s="26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8"/>
      <c r="X8104" s="28"/>
      <c r="Y8104" s="28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28"/>
      <c r="AS8104" s="28"/>
      <c r="AT8104" s="28"/>
    </row>
    <row r="8105">
      <c r="A8105" s="14"/>
      <c r="B8105" s="15"/>
      <c r="C8105" s="16"/>
      <c r="D8105" s="15"/>
      <c r="F8105" s="15"/>
      <c r="G8105" s="26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8"/>
      <c r="X8105" s="28"/>
      <c r="Y8105" s="28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28"/>
      <c r="AS8105" s="28"/>
      <c r="AT8105" s="28"/>
    </row>
    <row r="8106">
      <c r="A8106" s="14"/>
      <c r="B8106" s="15"/>
      <c r="C8106" s="16"/>
      <c r="D8106" s="15"/>
      <c r="F8106" s="15"/>
      <c r="G8106" s="26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8"/>
      <c r="X8106" s="28"/>
      <c r="Y8106" s="28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28"/>
      <c r="AS8106" s="28"/>
      <c r="AT8106" s="28"/>
    </row>
    <row r="8107">
      <c r="A8107" s="14"/>
      <c r="B8107" s="15"/>
      <c r="C8107" s="16"/>
      <c r="D8107" s="15"/>
      <c r="F8107" s="15"/>
      <c r="G8107" s="26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8"/>
      <c r="X8107" s="28"/>
      <c r="Y8107" s="28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28"/>
      <c r="AS8107" s="28"/>
      <c r="AT8107" s="28"/>
    </row>
    <row r="8108">
      <c r="A8108" s="14"/>
      <c r="B8108" s="15"/>
      <c r="C8108" s="16"/>
      <c r="D8108" s="15"/>
      <c r="F8108" s="15"/>
      <c r="G8108" s="26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8"/>
      <c r="X8108" s="28"/>
      <c r="Y8108" s="28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28"/>
      <c r="AS8108" s="28"/>
      <c r="AT8108" s="28"/>
    </row>
    <row r="8109">
      <c r="A8109" s="14"/>
      <c r="B8109" s="15"/>
      <c r="C8109" s="16"/>
      <c r="D8109" s="15"/>
      <c r="F8109" s="15"/>
      <c r="G8109" s="26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8"/>
      <c r="X8109" s="28"/>
      <c r="Y8109" s="28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28"/>
      <c r="AS8109" s="28"/>
      <c r="AT8109" s="28"/>
    </row>
    <row r="8110">
      <c r="A8110" s="14"/>
      <c r="B8110" s="15"/>
      <c r="C8110" s="16"/>
      <c r="D8110" s="15"/>
      <c r="F8110" s="15"/>
      <c r="G8110" s="26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8"/>
      <c r="X8110" s="28"/>
      <c r="Y8110" s="28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28"/>
      <c r="AS8110" s="28"/>
      <c r="AT8110" s="28"/>
    </row>
    <row r="8111">
      <c r="A8111" s="14"/>
      <c r="B8111" s="15"/>
      <c r="C8111" s="16"/>
      <c r="D8111" s="15"/>
      <c r="F8111" s="15"/>
      <c r="G8111" s="26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8"/>
      <c r="X8111" s="28"/>
      <c r="Y8111" s="28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28"/>
      <c r="AS8111" s="28"/>
      <c r="AT8111" s="28"/>
    </row>
    <row r="8112">
      <c r="A8112" s="14"/>
      <c r="B8112" s="15"/>
      <c r="C8112" s="16"/>
      <c r="D8112" s="15"/>
      <c r="F8112" s="15"/>
      <c r="G8112" s="26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8"/>
      <c r="X8112" s="28"/>
      <c r="Y8112" s="28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28"/>
      <c r="AS8112" s="28"/>
      <c r="AT8112" s="28"/>
    </row>
    <row r="8113">
      <c r="A8113" s="14"/>
      <c r="B8113" s="15"/>
      <c r="C8113" s="16"/>
      <c r="D8113" s="15"/>
      <c r="F8113" s="15"/>
      <c r="G8113" s="26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8"/>
      <c r="X8113" s="28"/>
      <c r="Y8113" s="28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28"/>
      <c r="AS8113" s="28"/>
      <c r="AT8113" s="28"/>
    </row>
    <row r="8114">
      <c r="A8114" s="14"/>
      <c r="B8114" s="15"/>
      <c r="C8114" s="16"/>
      <c r="D8114" s="15"/>
      <c r="F8114" s="15"/>
      <c r="G8114" s="26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8"/>
      <c r="X8114" s="28"/>
      <c r="Y8114" s="28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28"/>
      <c r="AS8114" s="28"/>
      <c r="AT8114" s="28"/>
    </row>
    <row r="8115">
      <c r="A8115" s="14"/>
      <c r="B8115" s="15"/>
      <c r="C8115" s="16"/>
      <c r="D8115" s="15"/>
      <c r="F8115" s="15"/>
      <c r="G8115" s="26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8"/>
      <c r="X8115" s="28"/>
      <c r="Y8115" s="28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28"/>
      <c r="AS8115" s="28"/>
      <c r="AT8115" s="28"/>
    </row>
    <row r="8116">
      <c r="A8116" s="14"/>
      <c r="B8116" s="15"/>
      <c r="C8116" s="16"/>
      <c r="D8116" s="15"/>
      <c r="F8116" s="15"/>
      <c r="G8116" s="26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8"/>
      <c r="X8116" s="28"/>
      <c r="Y8116" s="28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28"/>
      <c r="AS8116" s="28"/>
      <c r="AT8116" s="28"/>
    </row>
    <row r="8117">
      <c r="A8117" s="14"/>
      <c r="B8117" s="15"/>
      <c r="C8117" s="16"/>
      <c r="D8117" s="15"/>
      <c r="F8117" s="15"/>
      <c r="G8117" s="26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8"/>
      <c r="X8117" s="28"/>
      <c r="Y8117" s="28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28"/>
      <c r="AS8117" s="28"/>
      <c r="AT8117" s="28"/>
    </row>
    <row r="8118">
      <c r="A8118" s="14"/>
      <c r="B8118" s="15"/>
      <c r="C8118" s="16"/>
      <c r="D8118" s="15"/>
      <c r="F8118" s="15"/>
      <c r="G8118" s="26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8"/>
      <c r="X8118" s="28"/>
      <c r="Y8118" s="28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28"/>
      <c r="AS8118" s="28"/>
      <c r="AT8118" s="28"/>
    </row>
    <row r="8119">
      <c r="A8119" s="14"/>
      <c r="B8119" s="15"/>
      <c r="C8119" s="16"/>
      <c r="D8119" s="15"/>
      <c r="F8119" s="15"/>
      <c r="G8119" s="26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8"/>
      <c r="X8119" s="28"/>
      <c r="Y8119" s="28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28"/>
      <c r="AS8119" s="28"/>
      <c r="AT8119" s="28"/>
    </row>
    <row r="8120">
      <c r="A8120" s="14"/>
      <c r="B8120" s="15"/>
      <c r="C8120" s="16"/>
      <c r="D8120" s="15"/>
      <c r="F8120" s="15"/>
      <c r="G8120" s="26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8"/>
      <c r="X8120" s="28"/>
      <c r="Y8120" s="28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28"/>
      <c r="AS8120" s="28"/>
      <c r="AT8120" s="28"/>
    </row>
    <row r="8121">
      <c r="A8121" s="14"/>
      <c r="B8121" s="15"/>
      <c r="C8121" s="16"/>
      <c r="D8121" s="15"/>
      <c r="F8121" s="15"/>
      <c r="G8121" s="26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8"/>
      <c r="X8121" s="28"/>
      <c r="Y8121" s="28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28"/>
      <c r="AS8121" s="28"/>
      <c r="AT8121" s="28"/>
    </row>
    <row r="8122">
      <c r="A8122" s="14"/>
      <c r="B8122" s="15"/>
      <c r="C8122" s="16"/>
      <c r="D8122" s="15"/>
      <c r="F8122" s="15"/>
      <c r="G8122" s="26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8"/>
      <c r="X8122" s="28"/>
      <c r="Y8122" s="28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28"/>
      <c r="AS8122" s="28"/>
      <c r="AT8122" s="28"/>
    </row>
    <row r="8123">
      <c r="A8123" s="14"/>
      <c r="B8123" s="15"/>
      <c r="C8123" s="16"/>
      <c r="D8123" s="15"/>
      <c r="F8123" s="15"/>
      <c r="G8123" s="26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8"/>
      <c r="X8123" s="28"/>
      <c r="Y8123" s="28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28"/>
      <c r="AS8123" s="28"/>
      <c r="AT8123" s="28"/>
    </row>
    <row r="8124">
      <c r="A8124" s="14"/>
      <c r="B8124" s="15"/>
      <c r="C8124" s="16"/>
      <c r="D8124" s="15"/>
      <c r="F8124" s="15"/>
      <c r="G8124" s="26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8"/>
      <c r="X8124" s="28"/>
      <c r="Y8124" s="28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28"/>
      <c r="AS8124" s="28"/>
      <c r="AT8124" s="28"/>
    </row>
    <row r="8125">
      <c r="A8125" s="14"/>
      <c r="B8125" s="15"/>
      <c r="C8125" s="16"/>
      <c r="D8125" s="15"/>
      <c r="F8125" s="15"/>
      <c r="G8125" s="26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8"/>
      <c r="X8125" s="28"/>
      <c r="Y8125" s="28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28"/>
      <c r="AS8125" s="28"/>
      <c r="AT8125" s="28"/>
    </row>
    <row r="8126">
      <c r="A8126" s="14"/>
      <c r="B8126" s="15"/>
      <c r="C8126" s="16"/>
      <c r="D8126" s="15"/>
      <c r="F8126" s="15"/>
      <c r="G8126" s="26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8"/>
      <c r="X8126" s="28"/>
      <c r="Y8126" s="28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28"/>
      <c r="AS8126" s="28"/>
      <c r="AT8126" s="28"/>
    </row>
    <row r="8127">
      <c r="A8127" s="14"/>
      <c r="B8127" s="15"/>
      <c r="C8127" s="16"/>
      <c r="D8127" s="15"/>
      <c r="F8127" s="15"/>
      <c r="G8127" s="26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8"/>
      <c r="X8127" s="28"/>
      <c r="Y8127" s="28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28"/>
      <c r="AS8127" s="28"/>
      <c r="AT8127" s="28"/>
    </row>
    <row r="8128">
      <c r="A8128" s="14"/>
      <c r="B8128" s="15"/>
      <c r="C8128" s="16"/>
      <c r="D8128" s="15"/>
      <c r="F8128" s="15"/>
      <c r="G8128" s="26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8"/>
      <c r="X8128" s="28"/>
      <c r="Y8128" s="28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28"/>
      <c r="AS8128" s="28"/>
      <c r="AT8128" s="28"/>
    </row>
    <row r="8129">
      <c r="A8129" s="14"/>
      <c r="B8129" s="15"/>
      <c r="C8129" s="16"/>
      <c r="D8129" s="15"/>
      <c r="F8129" s="15"/>
      <c r="G8129" s="26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8"/>
      <c r="X8129" s="28"/>
      <c r="Y8129" s="28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28"/>
      <c r="AS8129" s="28"/>
      <c r="AT8129" s="28"/>
    </row>
    <row r="8130">
      <c r="A8130" s="14"/>
      <c r="B8130" s="15"/>
      <c r="C8130" s="16"/>
      <c r="D8130" s="15"/>
      <c r="F8130" s="15"/>
      <c r="G8130" s="26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8"/>
      <c r="X8130" s="28"/>
      <c r="Y8130" s="28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28"/>
      <c r="AS8130" s="28"/>
      <c r="AT8130" s="28"/>
    </row>
    <row r="8131">
      <c r="A8131" s="14"/>
      <c r="B8131" s="15"/>
      <c r="C8131" s="16"/>
      <c r="D8131" s="15"/>
      <c r="F8131" s="15"/>
      <c r="G8131" s="26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8"/>
      <c r="X8131" s="28"/>
      <c r="Y8131" s="28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28"/>
      <c r="AS8131" s="28"/>
      <c r="AT8131" s="28"/>
    </row>
    <row r="8132">
      <c r="A8132" s="14"/>
      <c r="B8132" s="15"/>
      <c r="C8132" s="16"/>
      <c r="D8132" s="15"/>
      <c r="F8132" s="15"/>
      <c r="G8132" s="26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8"/>
      <c r="X8132" s="28"/>
      <c r="Y8132" s="28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28"/>
      <c r="AS8132" s="28"/>
      <c r="AT8132" s="28"/>
    </row>
    <row r="8133">
      <c r="A8133" s="14"/>
      <c r="B8133" s="15"/>
      <c r="C8133" s="16"/>
      <c r="D8133" s="15"/>
      <c r="F8133" s="15"/>
      <c r="G8133" s="26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8"/>
      <c r="X8133" s="28"/>
      <c r="Y8133" s="28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28"/>
      <c r="AS8133" s="28"/>
      <c r="AT8133" s="28"/>
    </row>
    <row r="8134">
      <c r="A8134" s="14"/>
      <c r="B8134" s="15"/>
      <c r="C8134" s="16"/>
      <c r="D8134" s="15"/>
      <c r="F8134" s="15"/>
      <c r="G8134" s="26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8"/>
      <c r="X8134" s="28"/>
      <c r="Y8134" s="28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28"/>
      <c r="AS8134" s="28"/>
      <c r="AT8134" s="28"/>
    </row>
    <row r="8135">
      <c r="A8135" s="14"/>
      <c r="B8135" s="15"/>
      <c r="C8135" s="16"/>
      <c r="D8135" s="15"/>
      <c r="F8135" s="15"/>
      <c r="G8135" s="26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8"/>
      <c r="X8135" s="28"/>
      <c r="Y8135" s="28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28"/>
      <c r="AS8135" s="28"/>
      <c r="AT8135" s="28"/>
    </row>
    <row r="8136">
      <c r="A8136" s="14"/>
      <c r="B8136" s="15"/>
      <c r="C8136" s="16"/>
      <c r="D8136" s="15"/>
      <c r="F8136" s="15"/>
      <c r="G8136" s="26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8"/>
      <c r="X8136" s="28"/>
      <c r="Y8136" s="28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28"/>
      <c r="AS8136" s="28"/>
      <c r="AT8136" s="28"/>
    </row>
    <row r="8137">
      <c r="A8137" s="14"/>
      <c r="B8137" s="15"/>
      <c r="C8137" s="16"/>
      <c r="D8137" s="15"/>
      <c r="F8137" s="15"/>
      <c r="G8137" s="26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8"/>
      <c r="X8137" s="28"/>
      <c r="Y8137" s="28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28"/>
      <c r="AS8137" s="28"/>
      <c r="AT8137" s="28"/>
    </row>
    <row r="8138">
      <c r="A8138" s="14"/>
      <c r="B8138" s="15"/>
      <c r="C8138" s="16"/>
      <c r="D8138" s="15"/>
      <c r="F8138" s="15"/>
      <c r="G8138" s="26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8"/>
      <c r="X8138" s="28"/>
      <c r="Y8138" s="28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28"/>
      <c r="AS8138" s="28"/>
      <c r="AT8138" s="28"/>
    </row>
    <row r="8139">
      <c r="A8139" s="14"/>
      <c r="B8139" s="15"/>
      <c r="C8139" s="16"/>
      <c r="D8139" s="15"/>
      <c r="F8139" s="15"/>
      <c r="G8139" s="26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8"/>
      <c r="X8139" s="28"/>
      <c r="Y8139" s="28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28"/>
      <c r="AS8139" s="28"/>
      <c r="AT8139" s="28"/>
    </row>
    <row r="8140">
      <c r="A8140" s="14"/>
      <c r="B8140" s="15"/>
      <c r="C8140" s="16"/>
      <c r="D8140" s="15"/>
      <c r="F8140" s="15"/>
      <c r="G8140" s="26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8"/>
      <c r="X8140" s="28"/>
      <c r="Y8140" s="28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28"/>
      <c r="AS8140" s="28"/>
      <c r="AT8140" s="28"/>
    </row>
    <row r="8141">
      <c r="A8141" s="14"/>
      <c r="B8141" s="15"/>
      <c r="C8141" s="16"/>
      <c r="D8141" s="15"/>
      <c r="F8141" s="15"/>
      <c r="G8141" s="26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8"/>
      <c r="X8141" s="28"/>
      <c r="Y8141" s="28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28"/>
      <c r="AS8141" s="28"/>
      <c r="AT8141" s="28"/>
    </row>
    <row r="8142">
      <c r="A8142" s="14"/>
      <c r="B8142" s="15"/>
      <c r="C8142" s="16"/>
      <c r="D8142" s="15"/>
      <c r="F8142" s="15"/>
      <c r="G8142" s="26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8"/>
      <c r="X8142" s="28"/>
      <c r="Y8142" s="28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28"/>
      <c r="AS8142" s="28"/>
      <c r="AT8142" s="28"/>
    </row>
    <row r="8143">
      <c r="A8143" s="14"/>
      <c r="B8143" s="15"/>
      <c r="C8143" s="16"/>
      <c r="D8143" s="15"/>
      <c r="F8143" s="15"/>
      <c r="G8143" s="26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8"/>
      <c r="X8143" s="28"/>
      <c r="Y8143" s="28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28"/>
      <c r="AS8143" s="28"/>
      <c r="AT8143" s="28"/>
    </row>
    <row r="8144">
      <c r="A8144" s="14"/>
      <c r="B8144" s="15"/>
      <c r="C8144" s="16"/>
      <c r="D8144" s="15"/>
      <c r="F8144" s="15"/>
      <c r="G8144" s="26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8"/>
      <c r="X8144" s="28"/>
      <c r="Y8144" s="28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28"/>
      <c r="AS8144" s="28"/>
      <c r="AT8144" s="28"/>
    </row>
    <row r="8145">
      <c r="A8145" s="14"/>
      <c r="B8145" s="15"/>
      <c r="C8145" s="16"/>
      <c r="D8145" s="15"/>
      <c r="F8145" s="15"/>
      <c r="G8145" s="26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8"/>
      <c r="X8145" s="28"/>
      <c r="Y8145" s="28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28"/>
      <c r="AS8145" s="28"/>
      <c r="AT8145" s="28"/>
    </row>
    <row r="8146">
      <c r="A8146" s="14"/>
      <c r="B8146" s="15"/>
      <c r="C8146" s="16"/>
      <c r="D8146" s="15"/>
      <c r="F8146" s="15"/>
      <c r="G8146" s="26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8"/>
      <c r="X8146" s="28"/>
      <c r="Y8146" s="28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28"/>
      <c r="AS8146" s="28"/>
      <c r="AT8146" s="28"/>
    </row>
    <row r="8147">
      <c r="A8147" s="14"/>
      <c r="B8147" s="15"/>
      <c r="C8147" s="16"/>
      <c r="D8147" s="15"/>
      <c r="F8147" s="15"/>
      <c r="G8147" s="26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8"/>
      <c r="X8147" s="28"/>
      <c r="Y8147" s="28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28"/>
      <c r="AS8147" s="28"/>
      <c r="AT8147" s="28"/>
    </row>
    <row r="8148">
      <c r="A8148" s="14"/>
      <c r="B8148" s="15"/>
      <c r="C8148" s="16"/>
      <c r="D8148" s="15"/>
      <c r="F8148" s="15"/>
      <c r="G8148" s="26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8"/>
      <c r="X8148" s="28"/>
      <c r="Y8148" s="28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28"/>
      <c r="AS8148" s="28"/>
      <c r="AT8148" s="28"/>
    </row>
    <row r="8149">
      <c r="A8149" s="14"/>
      <c r="B8149" s="15"/>
      <c r="C8149" s="16"/>
      <c r="D8149" s="15"/>
      <c r="F8149" s="15"/>
      <c r="G8149" s="26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8"/>
      <c r="X8149" s="28"/>
      <c r="Y8149" s="28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28"/>
      <c r="AS8149" s="28"/>
      <c r="AT8149" s="28"/>
    </row>
    <row r="8150">
      <c r="A8150" s="14"/>
      <c r="B8150" s="15"/>
      <c r="C8150" s="16"/>
      <c r="D8150" s="15"/>
      <c r="F8150" s="15"/>
      <c r="G8150" s="26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8"/>
      <c r="X8150" s="28"/>
      <c r="Y8150" s="28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28"/>
      <c r="AS8150" s="28"/>
      <c r="AT8150" s="28"/>
    </row>
    <row r="8151">
      <c r="A8151" s="14"/>
      <c r="B8151" s="15"/>
      <c r="C8151" s="16"/>
      <c r="D8151" s="15"/>
      <c r="F8151" s="15"/>
      <c r="G8151" s="26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8"/>
      <c r="X8151" s="28"/>
      <c r="Y8151" s="28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28"/>
      <c r="AS8151" s="28"/>
      <c r="AT8151" s="28"/>
    </row>
    <row r="8152">
      <c r="A8152" s="14"/>
      <c r="B8152" s="15"/>
      <c r="C8152" s="16"/>
      <c r="D8152" s="15"/>
      <c r="F8152" s="15"/>
      <c r="G8152" s="26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8"/>
      <c r="X8152" s="28"/>
      <c r="Y8152" s="28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28"/>
      <c r="AS8152" s="28"/>
      <c r="AT8152" s="28"/>
    </row>
    <row r="8153">
      <c r="A8153" s="14"/>
      <c r="B8153" s="15"/>
      <c r="C8153" s="16"/>
      <c r="D8153" s="15"/>
      <c r="F8153" s="15"/>
      <c r="G8153" s="26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8"/>
      <c r="X8153" s="28"/>
      <c r="Y8153" s="28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28"/>
      <c r="AS8153" s="28"/>
      <c r="AT8153" s="28"/>
    </row>
    <row r="8154">
      <c r="A8154" s="14"/>
      <c r="B8154" s="15"/>
      <c r="C8154" s="16"/>
      <c r="D8154" s="15"/>
      <c r="F8154" s="15"/>
      <c r="G8154" s="26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8"/>
      <c r="X8154" s="28"/>
      <c r="Y8154" s="28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28"/>
      <c r="AS8154" s="28"/>
      <c r="AT8154" s="28"/>
    </row>
    <row r="8155">
      <c r="A8155" s="14"/>
      <c r="B8155" s="15"/>
      <c r="C8155" s="16"/>
      <c r="D8155" s="15"/>
      <c r="F8155" s="15"/>
      <c r="G8155" s="26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8"/>
      <c r="X8155" s="28"/>
      <c r="Y8155" s="28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28"/>
      <c r="AS8155" s="28"/>
      <c r="AT8155" s="28"/>
    </row>
    <row r="8156">
      <c r="A8156" s="14"/>
      <c r="B8156" s="15"/>
      <c r="C8156" s="16"/>
      <c r="D8156" s="15"/>
      <c r="F8156" s="15"/>
      <c r="G8156" s="26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8"/>
      <c r="X8156" s="28"/>
      <c r="Y8156" s="28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28"/>
      <c r="AS8156" s="28"/>
      <c r="AT8156" s="28"/>
    </row>
    <row r="8157">
      <c r="A8157" s="14"/>
      <c r="B8157" s="15"/>
      <c r="C8157" s="16"/>
      <c r="D8157" s="15"/>
      <c r="F8157" s="15"/>
      <c r="G8157" s="26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8"/>
      <c r="X8157" s="28"/>
      <c r="Y8157" s="28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28"/>
      <c r="AS8157" s="28"/>
      <c r="AT8157" s="28"/>
    </row>
    <row r="8158">
      <c r="A8158" s="14"/>
      <c r="B8158" s="15"/>
      <c r="C8158" s="16"/>
      <c r="D8158" s="15"/>
      <c r="F8158" s="15"/>
      <c r="G8158" s="26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8"/>
      <c r="X8158" s="28"/>
      <c r="Y8158" s="28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28"/>
      <c r="AS8158" s="28"/>
      <c r="AT8158" s="28"/>
    </row>
    <row r="8159">
      <c r="A8159" s="14"/>
      <c r="B8159" s="15"/>
      <c r="C8159" s="16"/>
      <c r="D8159" s="15"/>
      <c r="F8159" s="15"/>
      <c r="G8159" s="26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8"/>
      <c r="X8159" s="28"/>
      <c r="Y8159" s="28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28"/>
      <c r="AS8159" s="28"/>
      <c r="AT8159" s="28"/>
    </row>
    <row r="8160">
      <c r="A8160" s="14"/>
      <c r="B8160" s="15"/>
      <c r="C8160" s="16"/>
      <c r="D8160" s="15"/>
      <c r="F8160" s="15"/>
      <c r="G8160" s="26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8"/>
      <c r="X8160" s="28"/>
      <c r="Y8160" s="28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28"/>
      <c r="AS8160" s="28"/>
      <c r="AT8160" s="28"/>
    </row>
    <row r="8161">
      <c r="A8161" s="14"/>
      <c r="B8161" s="15"/>
      <c r="C8161" s="16"/>
      <c r="D8161" s="15"/>
      <c r="F8161" s="15"/>
      <c r="G8161" s="26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8"/>
      <c r="X8161" s="28"/>
      <c r="Y8161" s="28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28"/>
      <c r="AS8161" s="28"/>
      <c r="AT8161" s="28"/>
    </row>
    <row r="8162">
      <c r="A8162" s="14"/>
      <c r="B8162" s="15"/>
      <c r="C8162" s="16"/>
      <c r="D8162" s="15"/>
      <c r="F8162" s="15"/>
      <c r="G8162" s="26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8"/>
      <c r="X8162" s="28"/>
      <c r="Y8162" s="28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28"/>
      <c r="AS8162" s="28"/>
      <c r="AT8162" s="28"/>
    </row>
    <row r="8163">
      <c r="A8163" s="14"/>
      <c r="B8163" s="15"/>
      <c r="C8163" s="16"/>
      <c r="D8163" s="15"/>
      <c r="F8163" s="15"/>
      <c r="G8163" s="26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8"/>
      <c r="X8163" s="28"/>
      <c r="Y8163" s="28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28"/>
      <c r="AS8163" s="28"/>
      <c r="AT8163" s="28"/>
    </row>
    <row r="8164">
      <c r="A8164" s="14"/>
      <c r="B8164" s="15"/>
      <c r="C8164" s="16"/>
      <c r="D8164" s="15"/>
      <c r="F8164" s="15"/>
      <c r="G8164" s="26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8"/>
      <c r="X8164" s="28"/>
      <c r="Y8164" s="28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28"/>
      <c r="AS8164" s="28"/>
      <c r="AT8164" s="28"/>
    </row>
    <row r="8165">
      <c r="A8165" s="14"/>
      <c r="B8165" s="15"/>
      <c r="C8165" s="16"/>
      <c r="D8165" s="15"/>
      <c r="F8165" s="15"/>
      <c r="G8165" s="26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8"/>
      <c r="X8165" s="28"/>
      <c r="Y8165" s="28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28"/>
      <c r="AS8165" s="28"/>
      <c r="AT8165" s="28"/>
    </row>
    <row r="8166">
      <c r="A8166" s="14"/>
      <c r="B8166" s="15"/>
      <c r="C8166" s="16"/>
      <c r="D8166" s="15"/>
      <c r="F8166" s="15"/>
      <c r="G8166" s="26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8"/>
      <c r="X8166" s="28"/>
      <c r="Y8166" s="28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28"/>
      <c r="AS8166" s="28"/>
      <c r="AT8166" s="28"/>
    </row>
    <row r="8167">
      <c r="A8167" s="14"/>
      <c r="B8167" s="15"/>
      <c r="C8167" s="16"/>
      <c r="D8167" s="15"/>
      <c r="F8167" s="15"/>
      <c r="G8167" s="26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8"/>
      <c r="X8167" s="28"/>
      <c r="Y8167" s="28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28"/>
      <c r="AS8167" s="28"/>
      <c r="AT8167" s="28"/>
    </row>
    <row r="8168">
      <c r="A8168" s="14"/>
      <c r="B8168" s="15"/>
      <c r="C8168" s="16"/>
      <c r="D8168" s="15"/>
      <c r="F8168" s="15"/>
      <c r="G8168" s="26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8"/>
      <c r="X8168" s="28"/>
      <c r="Y8168" s="28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28"/>
      <c r="AS8168" s="28"/>
      <c r="AT8168" s="28"/>
    </row>
    <row r="8169">
      <c r="A8169" s="14"/>
      <c r="B8169" s="15"/>
      <c r="C8169" s="16"/>
      <c r="D8169" s="15"/>
      <c r="F8169" s="15"/>
      <c r="G8169" s="26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8"/>
      <c r="X8169" s="28"/>
      <c r="Y8169" s="28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28"/>
      <c r="AS8169" s="28"/>
      <c r="AT8169" s="28"/>
    </row>
    <row r="8170">
      <c r="A8170" s="14"/>
      <c r="B8170" s="15"/>
      <c r="C8170" s="16"/>
      <c r="D8170" s="15"/>
      <c r="F8170" s="15"/>
      <c r="G8170" s="26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8"/>
      <c r="X8170" s="28"/>
      <c r="Y8170" s="28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28"/>
      <c r="AS8170" s="28"/>
      <c r="AT8170" s="28"/>
    </row>
    <row r="8171">
      <c r="A8171" s="14"/>
      <c r="B8171" s="15"/>
      <c r="C8171" s="16"/>
      <c r="D8171" s="15"/>
      <c r="F8171" s="15"/>
      <c r="G8171" s="26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8"/>
      <c r="X8171" s="28"/>
      <c r="Y8171" s="28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28"/>
      <c r="AS8171" s="28"/>
      <c r="AT8171" s="28"/>
    </row>
    <row r="8172">
      <c r="A8172" s="14"/>
      <c r="B8172" s="15"/>
      <c r="C8172" s="16"/>
      <c r="D8172" s="15"/>
      <c r="F8172" s="15"/>
      <c r="G8172" s="26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8"/>
      <c r="X8172" s="28"/>
      <c r="Y8172" s="28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28"/>
      <c r="AS8172" s="28"/>
      <c r="AT8172" s="28"/>
    </row>
    <row r="8173">
      <c r="A8173" s="14"/>
      <c r="B8173" s="15"/>
      <c r="C8173" s="16"/>
      <c r="D8173" s="15"/>
      <c r="F8173" s="15"/>
      <c r="G8173" s="26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8"/>
      <c r="X8173" s="28"/>
      <c r="Y8173" s="28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28"/>
      <c r="AS8173" s="28"/>
      <c r="AT8173" s="28"/>
    </row>
    <row r="8174">
      <c r="A8174" s="14"/>
      <c r="B8174" s="15"/>
      <c r="C8174" s="16"/>
      <c r="D8174" s="15"/>
      <c r="F8174" s="15"/>
      <c r="G8174" s="26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8"/>
      <c r="X8174" s="28"/>
      <c r="Y8174" s="28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28"/>
      <c r="AS8174" s="28"/>
      <c r="AT8174" s="28"/>
    </row>
    <row r="8175">
      <c r="A8175" s="14"/>
      <c r="B8175" s="15"/>
      <c r="C8175" s="16"/>
      <c r="D8175" s="15"/>
      <c r="F8175" s="15"/>
      <c r="G8175" s="26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8"/>
      <c r="X8175" s="28"/>
      <c r="Y8175" s="28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28"/>
      <c r="AS8175" s="28"/>
      <c r="AT8175" s="28"/>
    </row>
    <row r="8176">
      <c r="A8176" s="14"/>
      <c r="B8176" s="15"/>
      <c r="C8176" s="16"/>
      <c r="D8176" s="15"/>
      <c r="F8176" s="15"/>
      <c r="G8176" s="26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8"/>
      <c r="X8176" s="28"/>
      <c r="Y8176" s="28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28"/>
      <c r="AS8176" s="28"/>
      <c r="AT8176" s="28"/>
    </row>
    <row r="8177">
      <c r="A8177" s="14"/>
      <c r="B8177" s="15"/>
      <c r="C8177" s="16"/>
      <c r="D8177" s="15"/>
      <c r="F8177" s="15"/>
      <c r="G8177" s="26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8"/>
      <c r="X8177" s="28"/>
      <c r="Y8177" s="28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28"/>
      <c r="AS8177" s="28"/>
      <c r="AT8177" s="28"/>
    </row>
    <row r="8178">
      <c r="A8178" s="14"/>
      <c r="B8178" s="15"/>
      <c r="C8178" s="16"/>
      <c r="D8178" s="15"/>
      <c r="F8178" s="15"/>
      <c r="G8178" s="26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8"/>
      <c r="X8178" s="28"/>
      <c r="Y8178" s="28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28"/>
      <c r="AS8178" s="28"/>
      <c r="AT8178" s="28"/>
    </row>
    <row r="8179">
      <c r="A8179" s="14"/>
      <c r="B8179" s="15"/>
      <c r="C8179" s="16"/>
      <c r="D8179" s="15"/>
      <c r="F8179" s="15"/>
      <c r="G8179" s="26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8"/>
      <c r="X8179" s="28"/>
      <c r="Y8179" s="28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28"/>
      <c r="AS8179" s="28"/>
      <c r="AT8179" s="28"/>
    </row>
    <row r="8180">
      <c r="A8180" s="14"/>
      <c r="B8180" s="15"/>
      <c r="C8180" s="16"/>
      <c r="D8180" s="15"/>
      <c r="F8180" s="15"/>
      <c r="G8180" s="26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8"/>
      <c r="X8180" s="28"/>
      <c r="Y8180" s="28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28"/>
      <c r="AS8180" s="28"/>
      <c r="AT8180" s="28"/>
    </row>
    <row r="8181">
      <c r="A8181" s="14"/>
      <c r="B8181" s="15"/>
      <c r="C8181" s="16"/>
      <c r="D8181" s="15"/>
      <c r="F8181" s="15"/>
      <c r="G8181" s="26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8"/>
      <c r="X8181" s="28"/>
      <c r="Y8181" s="28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28"/>
      <c r="AS8181" s="28"/>
      <c r="AT8181" s="28"/>
    </row>
    <row r="8182">
      <c r="A8182" s="14"/>
      <c r="B8182" s="15"/>
      <c r="C8182" s="16"/>
      <c r="D8182" s="15"/>
      <c r="F8182" s="15"/>
      <c r="G8182" s="26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8"/>
      <c r="X8182" s="28"/>
      <c r="Y8182" s="28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28"/>
      <c r="AS8182" s="28"/>
      <c r="AT8182" s="28"/>
    </row>
    <row r="8183">
      <c r="A8183" s="14"/>
      <c r="B8183" s="15"/>
      <c r="C8183" s="16"/>
      <c r="D8183" s="15"/>
      <c r="F8183" s="15"/>
      <c r="G8183" s="26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8"/>
      <c r="X8183" s="28"/>
      <c r="Y8183" s="28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28"/>
      <c r="AS8183" s="28"/>
      <c r="AT8183" s="28"/>
    </row>
    <row r="8184">
      <c r="A8184" s="14"/>
      <c r="B8184" s="15"/>
      <c r="C8184" s="16"/>
      <c r="D8184" s="15"/>
      <c r="F8184" s="15"/>
      <c r="G8184" s="26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8"/>
      <c r="X8184" s="28"/>
      <c r="Y8184" s="28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28"/>
      <c r="AS8184" s="28"/>
      <c r="AT8184" s="28"/>
    </row>
    <row r="8185">
      <c r="A8185" s="14"/>
      <c r="B8185" s="15"/>
      <c r="C8185" s="16"/>
      <c r="D8185" s="15"/>
      <c r="F8185" s="15"/>
      <c r="G8185" s="26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8"/>
      <c r="X8185" s="28"/>
      <c r="Y8185" s="28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28"/>
      <c r="AS8185" s="28"/>
      <c r="AT8185" s="28"/>
    </row>
    <row r="8186">
      <c r="A8186" s="14"/>
      <c r="B8186" s="15"/>
      <c r="C8186" s="16"/>
      <c r="D8186" s="15"/>
      <c r="F8186" s="15"/>
      <c r="G8186" s="26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8"/>
      <c r="X8186" s="28"/>
      <c r="Y8186" s="28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28"/>
      <c r="AS8186" s="28"/>
      <c r="AT8186" s="28"/>
    </row>
    <row r="8187">
      <c r="A8187" s="14"/>
      <c r="B8187" s="15"/>
      <c r="C8187" s="16"/>
      <c r="D8187" s="15"/>
      <c r="F8187" s="15"/>
      <c r="G8187" s="26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8"/>
      <c r="X8187" s="28"/>
      <c r="Y8187" s="28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28"/>
      <c r="AS8187" s="28"/>
      <c r="AT8187" s="28"/>
    </row>
    <row r="8188">
      <c r="A8188" s="14"/>
      <c r="B8188" s="15"/>
      <c r="C8188" s="16"/>
      <c r="D8188" s="15"/>
      <c r="F8188" s="15"/>
      <c r="G8188" s="26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8"/>
      <c r="X8188" s="28"/>
      <c r="Y8188" s="28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28"/>
      <c r="AS8188" s="28"/>
      <c r="AT8188" s="28"/>
    </row>
    <row r="8189">
      <c r="A8189" s="14"/>
      <c r="B8189" s="15"/>
      <c r="C8189" s="16"/>
      <c r="D8189" s="15"/>
      <c r="F8189" s="15"/>
      <c r="G8189" s="26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8"/>
      <c r="X8189" s="28"/>
      <c r="Y8189" s="28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28"/>
      <c r="AS8189" s="28"/>
      <c r="AT8189" s="28"/>
    </row>
    <row r="8190">
      <c r="A8190" s="14"/>
      <c r="B8190" s="15"/>
      <c r="C8190" s="16"/>
      <c r="D8190" s="15"/>
      <c r="F8190" s="15"/>
      <c r="G8190" s="26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8"/>
      <c r="X8190" s="28"/>
      <c r="Y8190" s="28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28"/>
      <c r="AS8190" s="28"/>
      <c r="AT8190" s="28"/>
    </row>
    <row r="8191">
      <c r="A8191" s="14"/>
      <c r="B8191" s="15"/>
      <c r="C8191" s="16"/>
      <c r="D8191" s="15"/>
      <c r="F8191" s="15"/>
      <c r="G8191" s="26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8"/>
      <c r="X8191" s="28"/>
      <c r="Y8191" s="28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28"/>
      <c r="AS8191" s="28"/>
      <c r="AT8191" s="28"/>
    </row>
    <row r="8192">
      <c r="A8192" s="14"/>
      <c r="B8192" s="15"/>
      <c r="C8192" s="16"/>
      <c r="D8192" s="15"/>
      <c r="F8192" s="15"/>
      <c r="G8192" s="26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28"/>
      <c r="AS8192" s="28"/>
      <c r="AT8192" s="28"/>
    </row>
    <row r="8193">
      <c r="A8193" s="14"/>
      <c r="B8193" s="15"/>
      <c r="C8193" s="16"/>
      <c r="D8193" s="15"/>
      <c r="F8193" s="15"/>
      <c r="G8193" s="26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8"/>
      <c r="X8193" s="28"/>
      <c r="Y8193" s="28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28"/>
      <c r="AS8193" s="28"/>
      <c r="AT8193" s="28"/>
    </row>
    <row r="8194">
      <c r="A8194" s="14"/>
      <c r="B8194" s="15"/>
      <c r="C8194" s="16"/>
      <c r="D8194" s="15"/>
      <c r="F8194" s="15"/>
      <c r="G8194" s="26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8"/>
      <c r="X8194" s="28"/>
      <c r="Y8194" s="28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28"/>
      <c r="AS8194" s="28"/>
      <c r="AT8194" s="28"/>
    </row>
    <row r="8195">
      <c r="A8195" s="14"/>
      <c r="B8195" s="15"/>
      <c r="C8195" s="16"/>
      <c r="D8195" s="15"/>
      <c r="F8195" s="15"/>
      <c r="G8195" s="26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8"/>
      <c r="X8195" s="28"/>
      <c r="Y8195" s="28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28"/>
      <c r="AS8195" s="28"/>
      <c r="AT8195" s="28"/>
    </row>
    <row r="8196">
      <c r="A8196" s="14"/>
      <c r="B8196" s="15"/>
      <c r="C8196" s="16"/>
      <c r="D8196" s="15"/>
      <c r="F8196" s="15"/>
      <c r="G8196" s="26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8"/>
      <c r="X8196" s="28"/>
      <c r="Y8196" s="28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28"/>
      <c r="AS8196" s="28"/>
      <c r="AT8196" s="28"/>
    </row>
    <row r="8197">
      <c r="A8197" s="14"/>
      <c r="B8197" s="15"/>
      <c r="C8197" s="16"/>
      <c r="D8197" s="15"/>
      <c r="F8197" s="15"/>
      <c r="G8197" s="26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8"/>
      <c r="X8197" s="28"/>
      <c r="Y8197" s="28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28"/>
      <c r="AS8197" s="28"/>
      <c r="AT8197" s="28"/>
    </row>
    <row r="8198">
      <c r="A8198" s="14"/>
      <c r="B8198" s="15"/>
      <c r="C8198" s="16"/>
      <c r="D8198" s="15"/>
      <c r="F8198" s="15"/>
      <c r="G8198" s="26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8"/>
      <c r="X8198" s="28"/>
      <c r="Y8198" s="28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28"/>
      <c r="AS8198" s="28"/>
      <c r="AT8198" s="28"/>
    </row>
    <row r="8199">
      <c r="A8199" s="14"/>
      <c r="B8199" s="15"/>
      <c r="C8199" s="16"/>
      <c r="D8199" s="15"/>
      <c r="F8199" s="15"/>
      <c r="G8199" s="26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8"/>
      <c r="X8199" s="28"/>
      <c r="Y8199" s="28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28"/>
      <c r="AS8199" s="28"/>
      <c r="AT8199" s="28"/>
    </row>
    <row r="8200">
      <c r="A8200" s="14"/>
      <c r="B8200" s="15"/>
      <c r="C8200" s="16"/>
      <c r="D8200" s="15"/>
      <c r="F8200" s="15"/>
      <c r="G8200" s="26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8"/>
      <c r="X8200" s="28"/>
      <c r="Y8200" s="28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28"/>
      <c r="AS8200" s="28"/>
      <c r="AT8200" s="28"/>
    </row>
    <row r="8201">
      <c r="A8201" s="14"/>
      <c r="B8201" s="15"/>
      <c r="C8201" s="16"/>
      <c r="D8201" s="15"/>
      <c r="F8201" s="15"/>
      <c r="G8201" s="26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8"/>
      <c r="X8201" s="28"/>
      <c r="Y8201" s="28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28"/>
      <c r="AS8201" s="28"/>
      <c r="AT8201" s="28"/>
    </row>
    <row r="8202">
      <c r="A8202" s="14"/>
      <c r="B8202" s="15"/>
      <c r="C8202" s="16"/>
      <c r="D8202" s="15"/>
      <c r="F8202" s="15"/>
      <c r="G8202" s="26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8"/>
      <c r="X8202" s="28"/>
      <c r="Y8202" s="28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28"/>
      <c r="AS8202" s="28"/>
      <c r="AT8202" s="28"/>
    </row>
    <row r="8203">
      <c r="A8203" s="14"/>
      <c r="B8203" s="15"/>
      <c r="C8203" s="16"/>
      <c r="D8203" s="15"/>
      <c r="F8203" s="15"/>
      <c r="G8203" s="26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8"/>
      <c r="X8203" s="28"/>
      <c r="Y8203" s="28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28"/>
      <c r="AS8203" s="28"/>
      <c r="AT8203" s="28"/>
    </row>
    <row r="8204">
      <c r="A8204" s="14"/>
      <c r="B8204" s="15"/>
      <c r="C8204" s="16"/>
      <c r="D8204" s="15"/>
      <c r="F8204" s="15"/>
      <c r="G8204" s="26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8"/>
      <c r="X8204" s="28"/>
      <c r="Y8204" s="28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28"/>
      <c r="AS8204" s="28"/>
      <c r="AT8204" s="28"/>
    </row>
    <row r="8205">
      <c r="A8205" s="14"/>
      <c r="B8205" s="15"/>
      <c r="C8205" s="16"/>
      <c r="D8205" s="15"/>
      <c r="F8205" s="15"/>
      <c r="G8205" s="26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8"/>
      <c r="X8205" s="28"/>
      <c r="Y8205" s="28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28"/>
      <c r="AS8205" s="28"/>
      <c r="AT8205" s="28"/>
    </row>
    <row r="8206">
      <c r="A8206" s="17"/>
      <c r="B8206" s="18"/>
      <c r="C8206" s="19"/>
      <c r="D8206" s="18"/>
      <c r="F8206" s="18"/>
      <c r="G8206" s="31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8"/>
      <c r="X8206" s="28"/>
      <c r="Y8206" s="28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28"/>
      <c r="AS8206" s="28"/>
      <c r="AT8206" s="2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2" t="s">
        <v>3207</v>
      </c>
      <c r="B1" s="33" t="s">
        <v>5</v>
      </c>
      <c r="C1" s="33" t="s">
        <v>8</v>
      </c>
      <c r="D1" s="33" t="s">
        <v>33</v>
      </c>
      <c r="E1" s="33" t="s">
        <v>35</v>
      </c>
      <c r="F1" s="33" t="s">
        <v>44</v>
      </c>
      <c r="G1" s="33" t="s">
        <v>50</v>
      </c>
      <c r="H1" s="33" t="s">
        <v>106</v>
      </c>
      <c r="I1" s="33" t="s">
        <v>126</v>
      </c>
      <c r="J1" s="33" t="s">
        <v>142</v>
      </c>
      <c r="K1" s="33" t="s">
        <v>241</v>
      </c>
      <c r="L1" s="33" t="s">
        <v>353</v>
      </c>
      <c r="M1" s="33" t="s">
        <v>362</v>
      </c>
      <c r="N1" s="33" t="s">
        <v>375</v>
      </c>
      <c r="O1" s="33" t="s">
        <v>627</v>
      </c>
      <c r="P1" s="33" t="s">
        <v>629</v>
      </c>
      <c r="Q1" s="33" t="s">
        <v>634</v>
      </c>
      <c r="R1" s="33" t="s">
        <v>636</v>
      </c>
      <c r="S1" s="33" t="s">
        <v>643</v>
      </c>
      <c r="T1" s="33" t="s">
        <v>649</v>
      </c>
      <c r="U1" s="33" t="s">
        <v>931</v>
      </c>
      <c r="V1" s="33" t="s">
        <v>955</v>
      </c>
      <c r="W1" s="33" t="s">
        <v>1005</v>
      </c>
      <c r="X1" s="33" t="s">
        <v>1054</v>
      </c>
      <c r="Y1" s="33" t="s">
        <v>1060</v>
      </c>
      <c r="Z1" s="33" t="s">
        <v>1065</v>
      </c>
      <c r="AA1" s="33" t="s">
        <v>1148</v>
      </c>
      <c r="AB1" s="33" t="s">
        <v>1151</v>
      </c>
      <c r="AC1" s="33" t="s">
        <v>1238</v>
      </c>
      <c r="AD1" s="33" t="s">
        <v>1568</v>
      </c>
      <c r="AE1" s="33" t="s">
        <v>1577</v>
      </c>
      <c r="AF1" s="33" t="s">
        <v>1580</v>
      </c>
      <c r="AG1" s="33" t="s">
        <v>1582</v>
      </c>
      <c r="AH1" s="33" t="s">
        <v>1650</v>
      </c>
      <c r="AI1" s="33" t="s">
        <v>2039</v>
      </c>
      <c r="AJ1" s="33" t="s">
        <v>2055</v>
      </c>
      <c r="AK1" s="33" t="s">
        <v>2125</v>
      </c>
    </row>
    <row r="2">
      <c r="A2" s="33">
        <v>75230.0</v>
      </c>
      <c r="B2" s="33">
        <v>5180.0</v>
      </c>
      <c r="C2" s="33">
        <v>5216.0</v>
      </c>
      <c r="D2" s="33">
        <v>1800.0</v>
      </c>
      <c r="E2" s="33">
        <v>50.0</v>
      </c>
      <c r="F2" s="33">
        <v>0.0</v>
      </c>
      <c r="G2" s="33">
        <v>500.0</v>
      </c>
      <c r="H2" s="33">
        <v>0.0</v>
      </c>
      <c r="I2" s="33">
        <v>0.0</v>
      </c>
      <c r="J2" s="33">
        <v>0.0</v>
      </c>
      <c r="K2" s="33">
        <v>0.0</v>
      </c>
      <c r="L2" s="33">
        <v>0.0</v>
      </c>
      <c r="M2" s="33">
        <v>0.0</v>
      </c>
      <c r="N2" s="33">
        <v>150.0</v>
      </c>
      <c r="O2" s="33">
        <v>1000.0</v>
      </c>
      <c r="P2" s="33">
        <v>500.0</v>
      </c>
      <c r="Q2" s="33">
        <v>52383.0</v>
      </c>
      <c r="R2" s="33">
        <v>204.0</v>
      </c>
      <c r="S2" s="33">
        <v>0.0</v>
      </c>
      <c r="T2" s="33">
        <v>7444.7</v>
      </c>
      <c r="U2" s="33">
        <v>250.0</v>
      </c>
      <c r="V2" s="33">
        <v>0.0</v>
      </c>
      <c r="W2" s="33">
        <v>4150.0</v>
      </c>
      <c r="X2" s="33">
        <v>0.0</v>
      </c>
      <c r="Y2" s="33">
        <v>500.0</v>
      </c>
      <c r="Z2" s="33">
        <v>78125.0</v>
      </c>
      <c r="AA2" s="33">
        <v>1750.0</v>
      </c>
      <c r="AB2" s="33">
        <v>3750.0</v>
      </c>
      <c r="AC2" s="33">
        <v>1100.0</v>
      </c>
      <c r="AD2" s="33">
        <v>0.0</v>
      </c>
      <c r="AE2" s="33">
        <v>0.0</v>
      </c>
      <c r="AF2" s="33">
        <v>0.0</v>
      </c>
      <c r="AG2" s="33">
        <v>0.0</v>
      </c>
      <c r="AH2" s="33">
        <v>25.0</v>
      </c>
      <c r="AI2" s="33">
        <v>0.0</v>
      </c>
      <c r="AJ2" s="33">
        <v>500.0</v>
      </c>
      <c r="AK2" s="33">
        <v>2000.0</v>
      </c>
    </row>
    <row r="3">
      <c r="A3" s="33">
        <v>75209.0</v>
      </c>
      <c r="B3" s="33">
        <v>4425.0</v>
      </c>
      <c r="C3" s="33">
        <v>0.0</v>
      </c>
      <c r="D3" s="33">
        <v>2600.0</v>
      </c>
      <c r="E3" s="33">
        <v>1350.0</v>
      </c>
      <c r="F3" s="33">
        <v>0.0</v>
      </c>
      <c r="G3" s="33">
        <v>2500.0</v>
      </c>
      <c r="H3" s="33">
        <v>0.0</v>
      </c>
      <c r="I3" s="33">
        <v>200.0</v>
      </c>
      <c r="J3" s="33">
        <v>350.0</v>
      </c>
      <c r="K3" s="33">
        <v>0.0</v>
      </c>
      <c r="L3" s="33">
        <v>0.0</v>
      </c>
      <c r="M3" s="33">
        <v>0.0</v>
      </c>
      <c r="N3" s="33">
        <v>500.0</v>
      </c>
      <c r="O3" s="33">
        <v>0.0</v>
      </c>
      <c r="P3" s="33">
        <v>0.0</v>
      </c>
      <c r="Q3" s="33">
        <v>2200.0</v>
      </c>
      <c r="R3" s="33">
        <v>0.0</v>
      </c>
      <c r="S3" s="33">
        <v>2000.0</v>
      </c>
      <c r="T3" s="33">
        <v>4299.7</v>
      </c>
      <c r="U3" s="33">
        <v>600.0</v>
      </c>
      <c r="V3" s="33">
        <v>0.0</v>
      </c>
      <c r="W3" s="33">
        <v>3600.0</v>
      </c>
      <c r="X3" s="33">
        <v>0.0</v>
      </c>
      <c r="Y3" s="33">
        <v>350.0</v>
      </c>
      <c r="Z3" s="33">
        <v>27450.0</v>
      </c>
      <c r="AA3" s="33">
        <v>0.0</v>
      </c>
      <c r="AB3" s="33">
        <v>0.0</v>
      </c>
      <c r="AC3" s="33">
        <v>600.0</v>
      </c>
      <c r="AD3" s="33">
        <v>3000.0</v>
      </c>
      <c r="AE3" s="33">
        <v>0.0</v>
      </c>
      <c r="AF3" s="33">
        <v>0.0</v>
      </c>
      <c r="AG3" s="33">
        <v>0.0</v>
      </c>
      <c r="AH3" s="33">
        <v>1000.0</v>
      </c>
      <c r="AI3" s="33">
        <v>0.0</v>
      </c>
      <c r="AJ3" s="33">
        <v>0.0</v>
      </c>
      <c r="AK3" s="33">
        <v>0.0</v>
      </c>
    </row>
    <row r="4">
      <c r="A4" s="33">
        <v>75218.0</v>
      </c>
      <c r="B4" s="33">
        <v>0.0</v>
      </c>
      <c r="C4" s="33">
        <v>2000.0</v>
      </c>
      <c r="D4" s="33">
        <v>0.0</v>
      </c>
      <c r="E4" s="33">
        <v>350.0</v>
      </c>
      <c r="F4" s="33">
        <v>0.0</v>
      </c>
      <c r="G4" s="33">
        <v>450.0</v>
      </c>
      <c r="H4" s="33">
        <v>0.0</v>
      </c>
      <c r="I4" s="33">
        <v>0.0</v>
      </c>
      <c r="J4" s="33">
        <v>750.0</v>
      </c>
      <c r="K4" s="33">
        <v>0.0</v>
      </c>
      <c r="L4" s="33">
        <v>0.0</v>
      </c>
      <c r="M4" s="33">
        <v>0.0</v>
      </c>
      <c r="N4" s="33">
        <v>25.0</v>
      </c>
      <c r="O4" s="33">
        <v>1000.0</v>
      </c>
      <c r="P4" s="33">
        <v>0.0</v>
      </c>
      <c r="Q4" s="33">
        <v>1100.0</v>
      </c>
      <c r="R4" s="33">
        <v>1252.0</v>
      </c>
      <c r="S4" s="33">
        <v>0.0</v>
      </c>
      <c r="T4" s="33">
        <v>700.0</v>
      </c>
      <c r="U4" s="33">
        <v>0.0</v>
      </c>
      <c r="V4" s="33">
        <v>0.0</v>
      </c>
      <c r="W4" s="33">
        <v>5900.0</v>
      </c>
      <c r="X4" s="33">
        <v>0.0</v>
      </c>
      <c r="Y4" s="33">
        <v>357.94</v>
      </c>
      <c r="Z4" s="33">
        <v>4450.0</v>
      </c>
      <c r="AA4" s="33">
        <v>350.0</v>
      </c>
      <c r="AB4" s="33">
        <v>50.0</v>
      </c>
      <c r="AC4" s="33">
        <v>1250.0</v>
      </c>
      <c r="AD4" s="33">
        <v>0.0</v>
      </c>
      <c r="AE4" s="33">
        <v>0.0</v>
      </c>
      <c r="AF4" s="33">
        <v>0.0</v>
      </c>
      <c r="AG4" s="33">
        <v>0.0</v>
      </c>
      <c r="AH4" s="33">
        <v>0.0</v>
      </c>
      <c r="AI4" s="33">
        <v>0.0</v>
      </c>
      <c r="AJ4" s="33">
        <v>586.5</v>
      </c>
      <c r="AK4" s="33">
        <v>0.0</v>
      </c>
    </row>
    <row r="5">
      <c r="A5" s="33">
        <v>75244.0</v>
      </c>
      <c r="B5" s="33">
        <v>2750.0</v>
      </c>
      <c r="C5" s="33">
        <v>0.0</v>
      </c>
      <c r="D5" s="33">
        <v>100.0</v>
      </c>
      <c r="E5" s="33">
        <v>0.0</v>
      </c>
      <c r="F5" s="33">
        <v>0.0</v>
      </c>
      <c r="G5" s="33">
        <v>50.0</v>
      </c>
      <c r="H5" s="33">
        <v>0.0</v>
      </c>
      <c r="I5" s="33">
        <v>0.0</v>
      </c>
      <c r="J5" s="33">
        <v>0.0</v>
      </c>
      <c r="K5" s="33">
        <v>0.0</v>
      </c>
      <c r="L5" s="33">
        <v>0.0</v>
      </c>
      <c r="M5" s="33">
        <v>0.0</v>
      </c>
      <c r="N5" s="33">
        <v>0.0</v>
      </c>
      <c r="O5" s="33">
        <v>0.0</v>
      </c>
      <c r="P5" s="33">
        <v>0.0</v>
      </c>
      <c r="Q5" s="33">
        <v>0.0</v>
      </c>
      <c r="R5" s="33">
        <v>102.0</v>
      </c>
      <c r="S5" s="33">
        <v>0.0</v>
      </c>
      <c r="T5" s="33">
        <v>2000.0</v>
      </c>
      <c r="U5" s="33">
        <v>750.0</v>
      </c>
      <c r="V5" s="33">
        <v>1000.0</v>
      </c>
      <c r="W5" s="33">
        <v>1000.0</v>
      </c>
      <c r="X5" s="33">
        <v>0.0</v>
      </c>
      <c r="Y5" s="33">
        <v>50.0</v>
      </c>
      <c r="Z5" s="33">
        <v>600.0</v>
      </c>
      <c r="AA5" s="33">
        <v>1000.0</v>
      </c>
      <c r="AB5" s="33">
        <v>500.0</v>
      </c>
      <c r="AC5" s="33">
        <v>0.0</v>
      </c>
      <c r="AD5" s="33">
        <v>0.0</v>
      </c>
      <c r="AE5" s="33">
        <v>0.0</v>
      </c>
      <c r="AF5" s="33">
        <v>0.0</v>
      </c>
      <c r="AG5" s="33">
        <v>250.0</v>
      </c>
      <c r="AH5" s="33">
        <v>0.0</v>
      </c>
      <c r="AI5" s="33">
        <v>0.0</v>
      </c>
      <c r="AJ5" s="33">
        <v>0.0</v>
      </c>
      <c r="AK5" s="33">
        <v>0.0</v>
      </c>
    </row>
    <row r="6">
      <c r="A6" s="33">
        <v>75203.0</v>
      </c>
      <c r="B6" s="33">
        <v>250.0</v>
      </c>
      <c r="C6" s="33">
        <v>0.0</v>
      </c>
      <c r="D6" s="33">
        <v>500.0</v>
      </c>
      <c r="E6" s="33">
        <v>50.0</v>
      </c>
      <c r="F6" s="33">
        <v>0.0</v>
      </c>
      <c r="G6" s="33">
        <v>750.0</v>
      </c>
      <c r="H6" s="33">
        <v>340.0</v>
      </c>
      <c r="I6" s="33">
        <v>0.0</v>
      </c>
      <c r="J6" s="33">
        <v>0.0</v>
      </c>
      <c r="K6" s="33">
        <v>0.0</v>
      </c>
      <c r="L6" s="33">
        <v>0.0</v>
      </c>
      <c r="M6" s="33">
        <v>0.0</v>
      </c>
      <c r="N6" s="33">
        <v>0.0</v>
      </c>
      <c r="O6" s="33">
        <v>0.0</v>
      </c>
      <c r="P6" s="33">
        <v>0.0</v>
      </c>
      <c r="Q6" s="33">
        <v>0.0</v>
      </c>
      <c r="R6" s="33">
        <v>0.0</v>
      </c>
      <c r="S6" s="33">
        <v>0.0</v>
      </c>
      <c r="T6" s="33">
        <v>1449.7</v>
      </c>
      <c r="U6" s="33">
        <v>0.0</v>
      </c>
      <c r="V6" s="33">
        <v>0.0</v>
      </c>
      <c r="W6" s="33">
        <v>100.0</v>
      </c>
      <c r="X6" s="33">
        <v>0.0</v>
      </c>
      <c r="Y6" s="33">
        <v>0.0</v>
      </c>
      <c r="Z6" s="33">
        <v>250.0</v>
      </c>
      <c r="AA6" s="33">
        <v>100.0</v>
      </c>
      <c r="AB6" s="33">
        <v>1000.0</v>
      </c>
      <c r="AC6" s="33">
        <v>100.0</v>
      </c>
      <c r="AD6" s="33">
        <v>0.0</v>
      </c>
      <c r="AE6" s="33">
        <v>0.0</v>
      </c>
      <c r="AF6" s="33">
        <v>0.0</v>
      </c>
      <c r="AG6" s="33">
        <v>0.0</v>
      </c>
      <c r="AH6" s="33">
        <v>200.0</v>
      </c>
      <c r="AI6" s="33">
        <v>0.0</v>
      </c>
      <c r="AJ6" s="33">
        <v>0.0</v>
      </c>
      <c r="AK6" s="33">
        <v>0.0</v>
      </c>
    </row>
    <row r="7">
      <c r="A7" s="33">
        <v>75248.0</v>
      </c>
      <c r="B7" s="33">
        <v>25.0</v>
      </c>
      <c r="C7" s="33">
        <v>0.0</v>
      </c>
      <c r="D7" s="33">
        <v>2500.0</v>
      </c>
      <c r="E7" s="33">
        <v>1050.0</v>
      </c>
      <c r="F7" s="33">
        <v>0.0</v>
      </c>
      <c r="G7" s="33">
        <v>250.0</v>
      </c>
      <c r="H7" s="33">
        <v>0.0</v>
      </c>
      <c r="I7" s="33">
        <v>0.0</v>
      </c>
      <c r="J7" s="33">
        <v>0.0</v>
      </c>
      <c r="K7" s="33">
        <v>0.0</v>
      </c>
      <c r="L7" s="33">
        <v>0.0</v>
      </c>
      <c r="M7" s="33">
        <v>0.0</v>
      </c>
      <c r="N7" s="33">
        <v>500.0</v>
      </c>
      <c r="O7" s="33">
        <v>0.0</v>
      </c>
      <c r="P7" s="33">
        <v>0.0</v>
      </c>
      <c r="Q7" s="33">
        <v>4515.0</v>
      </c>
      <c r="R7" s="33">
        <v>75.0</v>
      </c>
      <c r="S7" s="33">
        <v>0.0</v>
      </c>
      <c r="T7" s="33">
        <v>500.0</v>
      </c>
      <c r="U7" s="33">
        <v>0.0</v>
      </c>
      <c r="V7" s="33">
        <v>0.0</v>
      </c>
      <c r="W7" s="33">
        <v>600.0</v>
      </c>
      <c r="X7" s="33">
        <v>0.0</v>
      </c>
      <c r="Y7" s="33">
        <v>0.0</v>
      </c>
      <c r="Z7" s="33">
        <v>11050.0</v>
      </c>
      <c r="AA7" s="33">
        <v>0.0</v>
      </c>
      <c r="AB7" s="33">
        <v>0.0</v>
      </c>
      <c r="AC7" s="33">
        <v>0.0</v>
      </c>
      <c r="AD7" s="33">
        <v>0.0</v>
      </c>
      <c r="AE7" s="33">
        <v>0.0</v>
      </c>
      <c r="AF7" s="33">
        <v>0.0</v>
      </c>
      <c r="AG7" s="33">
        <v>0.0</v>
      </c>
      <c r="AH7" s="33">
        <v>0.0</v>
      </c>
      <c r="AI7" s="33">
        <v>0.0</v>
      </c>
      <c r="AJ7" s="33">
        <v>0.0</v>
      </c>
      <c r="AK7" s="33">
        <v>4000.0</v>
      </c>
    </row>
    <row r="8">
      <c r="A8" s="33">
        <v>75048.0</v>
      </c>
      <c r="B8" s="33">
        <v>500.0</v>
      </c>
      <c r="C8" s="33">
        <v>0.0</v>
      </c>
      <c r="D8" s="33">
        <v>0.0</v>
      </c>
      <c r="E8" s="33">
        <v>1000.0</v>
      </c>
      <c r="F8" s="33">
        <v>0.0</v>
      </c>
      <c r="G8" s="33">
        <v>0.0</v>
      </c>
      <c r="H8" s="33">
        <v>0.0</v>
      </c>
      <c r="I8" s="33">
        <v>0.0</v>
      </c>
      <c r="J8" s="33">
        <v>0.0</v>
      </c>
      <c r="K8" s="33">
        <v>0.0</v>
      </c>
      <c r="L8" s="33">
        <v>0.0</v>
      </c>
      <c r="M8" s="33">
        <v>0.0</v>
      </c>
      <c r="N8" s="33">
        <v>0.0</v>
      </c>
      <c r="O8" s="33">
        <v>0.0</v>
      </c>
      <c r="P8" s="33">
        <v>2000.0</v>
      </c>
      <c r="Q8" s="33">
        <v>250.0</v>
      </c>
      <c r="R8" s="33">
        <v>0.0</v>
      </c>
      <c r="S8" s="33">
        <v>0.0</v>
      </c>
      <c r="T8" s="33">
        <v>0.0</v>
      </c>
      <c r="U8" s="33">
        <v>0.0</v>
      </c>
      <c r="V8" s="33">
        <v>0.0</v>
      </c>
      <c r="W8" s="33">
        <v>0.0</v>
      </c>
      <c r="X8" s="33">
        <v>0.0</v>
      </c>
      <c r="Y8" s="33">
        <v>250.0</v>
      </c>
      <c r="Z8" s="33">
        <v>1000.0</v>
      </c>
      <c r="AA8" s="33">
        <v>0.0</v>
      </c>
      <c r="AB8" s="33">
        <v>0.0</v>
      </c>
      <c r="AC8" s="33">
        <v>0.0</v>
      </c>
      <c r="AD8" s="33">
        <v>0.0</v>
      </c>
      <c r="AE8" s="33">
        <v>0.0</v>
      </c>
      <c r="AF8" s="33">
        <v>0.0</v>
      </c>
      <c r="AG8" s="33">
        <v>0.0</v>
      </c>
      <c r="AH8" s="33">
        <v>0.0</v>
      </c>
      <c r="AI8" s="33">
        <v>0.0</v>
      </c>
      <c r="AJ8" s="33">
        <v>0.0</v>
      </c>
      <c r="AK8" s="33">
        <v>0.0</v>
      </c>
    </row>
    <row r="9">
      <c r="A9" s="33">
        <v>75220.0</v>
      </c>
      <c r="B9" s="33">
        <v>6610.0</v>
      </c>
      <c r="C9" s="33">
        <v>0.0</v>
      </c>
      <c r="D9" s="33">
        <v>2500.0</v>
      </c>
      <c r="E9" s="33">
        <v>3556.0</v>
      </c>
      <c r="F9" s="33">
        <v>0.0</v>
      </c>
      <c r="G9" s="33">
        <v>1650.0</v>
      </c>
      <c r="H9" s="33">
        <v>0.0</v>
      </c>
      <c r="I9" s="33">
        <v>0.0</v>
      </c>
      <c r="J9" s="33">
        <v>0.0</v>
      </c>
      <c r="K9" s="33">
        <v>0.0</v>
      </c>
      <c r="L9" s="33">
        <v>0.0</v>
      </c>
      <c r="M9" s="33">
        <v>0.0</v>
      </c>
      <c r="N9" s="33">
        <v>1250.0</v>
      </c>
      <c r="O9" s="33">
        <v>0.0</v>
      </c>
      <c r="P9" s="33">
        <v>0.0</v>
      </c>
      <c r="Q9" s="33">
        <v>6350.0</v>
      </c>
      <c r="R9" s="33">
        <v>0.0</v>
      </c>
      <c r="S9" s="33">
        <v>0.0</v>
      </c>
      <c r="T9" s="33">
        <v>1142.2</v>
      </c>
      <c r="U9" s="33">
        <v>0.0</v>
      </c>
      <c r="V9" s="33">
        <v>0.0</v>
      </c>
      <c r="W9" s="33">
        <v>1150.0</v>
      </c>
      <c r="X9" s="33">
        <v>0.0</v>
      </c>
      <c r="Y9" s="33">
        <v>1500.0</v>
      </c>
      <c r="Z9" s="33">
        <v>42500.0</v>
      </c>
      <c r="AA9" s="33">
        <v>2100.0</v>
      </c>
      <c r="AB9" s="33">
        <v>0.0</v>
      </c>
      <c r="AC9" s="33">
        <v>0.0</v>
      </c>
      <c r="AD9" s="33">
        <v>8000.0</v>
      </c>
      <c r="AE9" s="33">
        <v>0.0</v>
      </c>
      <c r="AF9" s="33">
        <v>0.0</v>
      </c>
      <c r="AG9" s="33">
        <v>0.0</v>
      </c>
      <c r="AH9" s="33">
        <v>0.0</v>
      </c>
      <c r="AI9" s="33">
        <v>0.0</v>
      </c>
      <c r="AJ9" s="33">
        <v>0.0</v>
      </c>
      <c r="AK9" s="33">
        <v>6000.0</v>
      </c>
    </row>
    <row r="10">
      <c r="A10" s="33">
        <v>75201.0</v>
      </c>
      <c r="B10" s="33">
        <v>1500.0</v>
      </c>
      <c r="C10" s="33">
        <v>0.0</v>
      </c>
      <c r="D10" s="33">
        <v>1500.0</v>
      </c>
      <c r="E10" s="33">
        <v>8450.0</v>
      </c>
      <c r="F10" s="33">
        <v>0.0</v>
      </c>
      <c r="G10" s="33">
        <v>3477.0</v>
      </c>
      <c r="H10" s="33">
        <v>250.0</v>
      </c>
      <c r="I10" s="33">
        <v>0.0</v>
      </c>
      <c r="J10" s="33">
        <v>0.0</v>
      </c>
      <c r="K10" s="33">
        <v>0.0</v>
      </c>
      <c r="L10" s="33">
        <v>0.0</v>
      </c>
      <c r="M10" s="33">
        <v>0.0</v>
      </c>
      <c r="N10" s="33">
        <v>2450.0</v>
      </c>
      <c r="O10" s="33">
        <v>2000.0</v>
      </c>
      <c r="P10" s="33">
        <v>1000.0</v>
      </c>
      <c r="Q10" s="33">
        <v>4200.0</v>
      </c>
      <c r="R10" s="33">
        <v>200.0</v>
      </c>
      <c r="S10" s="33">
        <v>0.0</v>
      </c>
      <c r="T10" s="33">
        <v>29802.300000000003</v>
      </c>
      <c r="U10" s="33">
        <v>0.0</v>
      </c>
      <c r="V10" s="33">
        <v>0.0</v>
      </c>
      <c r="W10" s="33">
        <v>6500.0</v>
      </c>
      <c r="X10" s="33">
        <v>0.0</v>
      </c>
      <c r="Y10" s="33">
        <v>7867.88</v>
      </c>
      <c r="Z10" s="33">
        <v>84150.0</v>
      </c>
      <c r="AA10" s="33">
        <v>1250.0</v>
      </c>
      <c r="AB10" s="33">
        <v>7750.0</v>
      </c>
      <c r="AC10" s="33">
        <v>3025.0</v>
      </c>
      <c r="AD10" s="33">
        <v>0.0</v>
      </c>
      <c r="AE10" s="33">
        <v>0.0</v>
      </c>
      <c r="AF10" s="33">
        <v>0.0</v>
      </c>
      <c r="AG10" s="33">
        <v>0.0</v>
      </c>
      <c r="AH10" s="33">
        <v>0.0</v>
      </c>
      <c r="AI10" s="33">
        <v>0.0</v>
      </c>
      <c r="AJ10" s="33">
        <v>2000.0</v>
      </c>
      <c r="AK10" s="33">
        <v>2000.0</v>
      </c>
    </row>
    <row r="11">
      <c r="A11" s="33">
        <v>75229.0</v>
      </c>
      <c r="B11" s="33">
        <v>15205.0</v>
      </c>
      <c r="C11" s="33">
        <v>2000.0</v>
      </c>
      <c r="D11" s="33">
        <v>1750.0</v>
      </c>
      <c r="E11" s="33">
        <v>5250.0</v>
      </c>
      <c r="F11" s="33">
        <v>0.0</v>
      </c>
      <c r="G11" s="33">
        <v>1150.0</v>
      </c>
      <c r="H11" s="33">
        <v>0.0</v>
      </c>
      <c r="I11" s="33">
        <v>0.0</v>
      </c>
      <c r="J11" s="33">
        <v>0.0</v>
      </c>
      <c r="K11" s="33">
        <v>0.0</v>
      </c>
      <c r="L11" s="33">
        <v>500.0</v>
      </c>
      <c r="M11" s="33">
        <v>0.0</v>
      </c>
      <c r="N11" s="33">
        <v>1500.0</v>
      </c>
      <c r="O11" s="33">
        <v>0.0</v>
      </c>
      <c r="P11" s="33">
        <v>0.0</v>
      </c>
      <c r="Q11" s="33">
        <v>9675.0</v>
      </c>
      <c r="R11" s="33">
        <v>0.0</v>
      </c>
      <c r="S11" s="33">
        <v>4000.0</v>
      </c>
      <c r="T11" s="33">
        <v>5214.7</v>
      </c>
      <c r="U11" s="33">
        <v>1020.0</v>
      </c>
      <c r="V11" s="33">
        <v>0.0</v>
      </c>
      <c r="W11" s="33">
        <v>5700.0</v>
      </c>
      <c r="X11" s="33">
        <v>0.0</v>
      </c>
      <c r="Y11" s="33">
        <v>1000.0</v>
      </c>
      <c r="Z11" s="33">
        <v>50100.0</v>
      </c>
      <c r="AA11" s="33">
        <v>3450.0</v>
      </c>
      <c r="AB11" s="33">
        <v>3000.0</v>
      </c>
      <c r="AC11" s="33">
        <v>0.0</v>
      </c>
      <c r="AD11" s="33">
        <v>0.0</v>
      </c>
      <c r="AE11" s="33">
        <v>0.0</v>
      </c>
      <c r="AF11" s="33">
        <v>0.0</v>
      </c>
      <c r="AG11" s="33">
        <v>0.0</v>
      </c>
      <c r="AH11" s="33">
        <v>0.0</v>
      </c>
      <c r="AI11" s="33">
        <v>0.0</v>
      </c>
      <c r="AJ11" s="33">
        <v>0.0</v>
      </c>
      <c r="AK11" s="33">
        <v>0.0</v>
      </c>
    </row>
    <row r="12">
      <c r="A12" s="33">
        <v>75223.0</v>
      </c>
      <c r="B12" s="33">
        <v>150.0</v>
      </c>
      <c r="C12" s="33">
        <v>0.0</v>
      </c>
      <c r="D12" s="33">
        <v>0.0</v>
      </c>
      <c r="E12" s="33">
        <v>600.0</v>
      </c>
      <c r="F12" s="33">
        <v>0.0</v>
      </c>
      <c r="G12" s="33">
        <v>950.0</v>
      </c>
      <c r="H12" s="33">
        <v>0.0</v>
      </c>
      <c r="I12" s="33">
        <v>0.0</v>
      </c>
      <c r="J12" s="33">
        <v>0.0</v>
      </c>
      <c r="K12" s="33">
        <v>0.0</v>
      </c>
      <c r="L12" s="33">
        <v>0.0</v>
      </c>
      <c r="M12" s="33">
        <v>0.0</v>
      </c>
      <c r="N12" s="33">
        <v>1850.0</v>
      </c>
      <c r="O12" s="33">
        <v>0.0</v>
      </c>
      <c r="P12" s="33">
        <v>0.0</v>
      </c>
      <c r="Q12" s="33">
        <v>150.0</v>
      </c>
      <c r="R12" s="33">
        <v>0.0</v>
      </c>
      <c r="S12" s="33">
        <v>0.0</v>
      </c>
      <c r="T12" s="33">
        <v>1300.0</v>
      </c>
      <c r="U12" s="33">
        <v>0.0</v>
      </c>
      <c r="V12" s="33">
        <v>0.0</v>
      </c>
      <c r="W12" s="33">
        <v>850.0</v>
      </c>
      <c r="X12" s="33">
        <v>0.0</v>
      </c>
      <c r="Y12" s="33">
        <v>3242.23</v>
      </c>
      <c r="Z12" s="33">
        <v>1000.0</v>
      </c>
      <c r="AA12" s="33">
        <v>950.0</v>
      </c>
      <c r="AB12" s="33">
        <v>0.0</v>
      </c>
      <c r="AC12" s="33">
        <v>0.0</v>
      </c>
      <c r="AD12" s="33">
        <v>0.0</v>
      </c>
      <c r="AE12" s="33">
        <v>0.0</v>
      </c>
      <c r="AF12" s="33">
        <v>0.0</v>
      </c>
      <c r="AG12" s="33">
        <v>0.0</v>
      </c>
      <c r="AH12" s="33">
        <v>0.0</v>
      </c>
      <c r="AI12" s="33">
        <v>0.0</v>
      </c>
      <c r="AJ12" s="33">
        <v>0.0</v>
      </c>
      <c r="AK12" s="33">
        <v>0.0</v>
      </c>
    </row>
    <row r="13">
      <c r="A13" s="33">
        <v>75219.0</v>
      </c>
      <c r="B13" s="33">
        <v>4525.0</v>
      </c>
      <c r="C13" s="33">
        <v>2000.0</v>
      </c>
      <c r="D13" s="33">
        <v>4100.0</v>
      </c>
      <c r="E13" s="33">
        <v>4077.0</v>
      </c>
      <c r="F13" s="33">
        <v>0.0</v>
      </c>
      <c r="G13" s="33">
        <v>2300.0</v>
      </c>
      <c r="H13" s="33">
        <v>0.0</v>
      </c>
      <c r="I13" s="33">
        <v>0.0</v>
      </c>
      <c r="J13" s="33">
        <v>0.0</v>
      </c>
      <c r="K13" s="33">
        <v>0.0</v>
      </c>
      <c r="L13" s="33">
        <v>0.0</v>
      </c>
      <c r="M13" s="33">
        <v>0.0</v>
      </c>
      <c r="N13" s="33">
        <v>3375.0</v>
      </c>
      <c r="O13" s="33">
        <v>0.0</v>
      </c>
      <c r="P13" s="33">
        <v>1100.0</v>
      </c>
      <c r="Q13" s="33">
        <v>6050.0</v>
      </c>
      <c r="R13" s="33">
        <v>0.0</v>
      </c>
      <c r="S13" s="33">
        <v>4000.0</v>
      </c>
      <c r="T13" s="33">
        <v>7648.95</v>
      </c>
      <c r="U13" s="33">
        <v>0.0</v>
      </c>
      <c r="V13" s="33">
        <v>0.0</v>
      </c>
      <c r="W13" s="33">
        <v>3000.0</v>
      </c>
      <c r="X13" s="33">
        <v>0.0</v>
      </c>
      <c r="Y13" s="33">
        <v>14144.859999999997</v>
      </c>
      <c r="Z13" s="33">
        <v>52800.0</v>
      </c>
      <c r="AA13" s="33">
        <v>150.0</v>
      </c>
      <c r="AB13" s="33">
        <v>3250.0</v>
      </c>
      <c r="AC13" s="33">
        <v>500.0</v>
      </c>
      <c r="AD13" s="33">
        <v>0.0</v>
      </c>
      <c r="AE13" s="33">
        <v>0.0</v>
      </c>
      <c r="AF13" s="33">
        <v>0.0</v>
      </c>
      <c r="AG13" s="33">
        <v>0.0</v>
      </c>
      <c r="AH13" s="33">
        <v>4000.0</v>
      </c>
      <c r="AI13" s="33">
        <v>0.0</v>
      </c>
      <c r="AJ13" s="33">
        <v>0.0</v>
      </c>
      <c r="AK13" s="33">
        <v>0.0</v>
      </c>
    </row>
    <row r="14">
      <c r="A14" s="33">
        <v>75225.0</v>
      </c>
      <c r="B14" s="33">
        <v>10075.0</v>
      </c>
      <c r="C14" s="33">
        <v>0.0</v>
      </c>
      <c r="D14" s="33">
        <v>4750.0</v>
      </c>
      <c r="E14" s="33">
        <v>150.0</v>
      </c>
      <c r="F14" s="33">
        <v>0.0</v>
      </c>
      <c r="G14" s="33">
        <v>200.0</v>
      </c>
      <c r="H14" s="33">
        <v>0.0</v>
      </c>
      <c r="I14" s="33">
        <v>0.0</v>
      </c>
      <c r="J14" s="33">
        <v>0.0</v>
      </c>
      <c r="K14" s="33">
        <v>0.0</v>
      </c>
      <c r="L14" s="33">
        <v>0.0</v>
      </c>
      <c r="M14" s="33">
        <v>0.0</v>
      </c>
      <c r="N14" s="33">
        <v>500.0</v>
      </c>
      <c r="O14" s="33">
        <v>0.0</v>
      </c>
      <c r="P14" s="33">
        <v>0.0</v>
      </c>
      <c r="Q14" s="33">
        <v>7228.18</v>
      </c>
      <c r="R14" s="33">
        <v>0.0</v>
      </c>
      <c r="S14" s="33">
        <v>0.0</v>
      </c>
      <c r="T14" s="33">
        <v>8799.4</v>
      </c>
      <c r="U14" s="33">
        <v>0.0</v>
      </c>
      <c r="V14" s="33">
        <v>3000.0</v>
      </c>
      <c r="W14" s="33">
        <v>3000.0</v>
      </c>
      <c r="X14" s="33">
        <v>0.0</v>
      </c>
      <c r="Y14" s="33">
        <v>3530.76</v>
      </c>
      <c r="Z14" s="33">
        <v>48895.0</v>
      </c>
      <c r="AA14" s="33">
        <v>100.0</v>
      </c>
      <c r="AB14" s="33">
        <v>1750.0</v>
      </c>
      <c r="AC14" s="33">
        <v>1000.0</v>
      </c>
      <c r="AD14" s="33">
        <v>0.0</v>
      </c>
      <c r="AE14" s="33">
        <v>0.0</v>
      </c>
      <c r="AF14" s="33">
        <v>0.0</v>
      </c>
      <c r="AG14" s="33">
        <v>0.0</v>
      </c>
      <c r="AH14" s="33">
        <v>0.0</v>
      </c>
      <c r="AI14" s="33">
        <v>0.0</v>
      </c>
      <c r="AJ14" s="33">
        <v>1100.0</v>
      </c>
      <c r="AK14" s="33">
        <v>0.0</v>
      </c>
    </row>
    <row r="15">
      <c r="A15" s="33">
        <v>75231.0</v>
      </c>
      <c r="B15" s="33">
        <v>780.0</v>
      </c>
      <c r="C15" s="33">
        <v>0.0</v>
      </c>
      <c r="D15" s="33">
        <v>125.0</v>
      </c>
      <c r="E15" s="33">
        <v>250.0</v>
      </c>
      <c r="F15" s="33">
        <v>0.0</v>
      </c>
      <c r="G15" s="33">
        <v>100.0</v>
      </c>
      <c r="H15" s="33">
        <v>350.0</v>
      </c>
      <c r="I15" s="33">
        <v>0.0</v>
      </c>
      <c r="J15" s="33">
        <v>100.0</v>
      </c>
      <c r="K15" s="33">
        <v>0.0</v>
      </c>
      <c r="L15" s="33">
        <v>100.0</v>
      </c>
      <c r="M15" s="33">
        <v>0.0</v>
      </c>
      <c r="N15" s="33">
        <v>0.0</v>
      </c>
      <c r="O15" s="33">
        <v>0.0</v>
      </c>
      <c r="P15" s="33">
        <v>0.0</v>
      </c>
      <c r="Q15" s="33">
        <v>2780.0</v>
      </c>
      <c r="R15" s="33">
        <v>325.0</v>
      </c>
      <c r="S15" s="33">
        <v>0.0</v>
      </c>
      <c r="T15" s="33">
        <v>1424.7</v>
      </c>
      <c r="U15" s="33">
        <v>200.0</v>
      </c>
      <c r="V15" s="33">
        <v>0.0</v>
      </c>
      <c r="W15" s="33">
        <v>250.0</v>
      </c>
      <c r="X15" s="33">
        <v>0.0</v>
      </c>
      <c r="Y15" s="33">
        <v>1500.0</v>
      </c>
      <c r="Z15" s="33">
        <v>5050.0</v>
      </c>
      <c r="AA15" s="33">
        <v>100.0</v>
      </c>
      <c r="AB15" s="33">
        <v>0.0</v>
      </c>
      <c r="AC15" s="33">
        <v>5625.0</v>
      </c>
      <c r="AD15" s="33">
        <v>2000.0</v>
      </c>
      <c r="AE15" s="33">
        <v>0.0</v>
      </c>
      <c r="AF15" s="33">
        <v>0.0</v>
      </c>
      <c r="AG15" s="33">
        <v>0.0</v>
      </c>
      <c r="AH15" s="33">
        <v>0.0</v>
      </c>
      <c r="AI15" s="33">
        <v>0.0</v>
      </c>
      <c r="AJ15" s="33">
        <v>200.0</v>
      </c>
      <c r="AK15" s="33">
        <v>0.0</v>
      </c>
    </row>
    <row r="16">
      <c r="A16" s="33">
        <v>75226.0</v>
      </c>
      <c r="B16" s="33">
        <v>0.0</v>
      </c>
      <c r="C16" s="33">
        <v>0.0</v>
      </c>
      <c r="D16" s="33">
        <v>0.0</v>
      </c>
      <c r="E16" s="33">
        <v>2000.0</v>
      </c>
      <c r="F16" s="33">
        <v>0.0</v>
      </c>
      <c r="G16" s="33">
        <v>500.0</v>
      </c>
      <c r="H16" s="33">
        <v>0.0</v>
      </c>
      <c r="I16" s="33">
        <v>0.0</v>
      </c>
      <c r="J16" s="33">
        <v>0.0</v>
      </c>
      <c r="K16" s="33">
        <v>0.0</v>
      </c>
      <c r="L16" s="33">
        <v>0.0</v>
      </c>
      <c r="M16" s="33">
        <v>0.0</v>
      </c>
      <c r="N16" s="33">
        <v>500.0</v>
      </c>
      <c r="O16" s="33">
        <v>0.0</v>
      </c>
      <c r="P16" s="33">
        <v>0.0</v>
      </c>
      <c r="Q16" s="33">
        <v>0.0</v>
      </c>
      <c r="R16" s="33">
        <v>25.0</v>
      </c>
      <c r="S16" s="33">
        <v>0.0</v>
      </c>
      <c r="T16" s="33">
        <v>2549.7</v>
      </c>
      <c r="U16" s="33">
        <v>0.0</v>
      </c>
      <c r="V16" s="33">
        <v>0.0</v>
      </c>
      <c r="W16" s="33">
        <v>1350.0</v>
      </c>
      <c r="X16" s="33">
        <v>0.0</v>
      </c>
      <c r="Y16" s="33">
        <v>0.0</v>
      </c>
      <c r="Z16" s="33">
        <v>750.0</v>
      </c>
      <c r="AA16" s="33">
        <v>0.0</v>
      </c>
      <c r="AB16" s="33">
        <v>0.0</v>
      </c>
      <c r="AC16" s="33">
        <v>0.0</v>
      </c>
      <c r="AD16" s="33">
        <v>0.0</v>
      </c>
      <c r="AE16" s="33">
        <v>0.0</v>
      </c>
      <c r="AF16" s="33">
        <v>0.0</v>
      </c>
      <c r="AG16" s="33">
        <v>0.0</v>
      </c>
      <c r="AH16" s="33">
        <v>25.0</v>
      </c>
      <c r="AI16" s="33">
        <v>0.0</v>
      </c>
      <c r="AJ16" s="33">
        <v>0.0</v>
      </c>
      <c r="AK16" s="33">
        <v>0.0</v>
      </c>
    </row>
    <row r="17">
      <c r="A17" s="33">
        <v>78746.0</v>
      </c>
      <c r="B17" s="33">
        <v>0.0</v>
      </c>
      <c r="C17" s="33">
        <v>0.0</v>
      </c>
      <c r="D17" s="33">
        <v>0.0</v>
      </c>
      <c r="E17" s="33">
        <v>2000.0</v>
      </c>
      <c r="F17" s="33">
        <v>0.0</v>
      </c>
      <c r="G17" s="33">
        <v>0.0</v>
      </c>
      <c r="H17" s="33">
        <v>0.0</v>
      </c>
      <c r="I17" s="33">
        <v>0.0</v>
      </c>
      <c r="J17" s="33">
        <v>0.0</v>
      </c>
      <c r="K17" s="33">
        <v>0.0</v>
      </c>
      <c r="L17" s="33">
        <v>0.0</v>
      </c>
      <c r="M17" s="33">
        <v>0.0</v>
      </c>
      <c r="N17" s="33">
        <v>0.0</v>
      </c>
      <c r="O17" s="33">
        <v>0.0</v>
      </c>
      <c r="P17" s="33">
        <v>0.0</v>
      </c>
      <c r="Q17" s="33">
        <v>0.0</v>
      </c>
      <c r="R17" s="33">
        <v>0.0</v>
      </c>
      <c r="S17" s="33">
        <v>0.0</v>
      </c>
      <c r="T17" s="33">
        <v>2374.7</v>
      </c>
      <c r="U17" s="33">
        <v>0.0</v>
      </c>
      <c r="V17" s="33">
        <v>0.0</v>
      </c>
      <c r="W17" s="33">
        <v>0.0</v>
      </c>
      <c r="X17" s="33">
        <v>0.0</v>
      </c>
      <c r="Y17" s="33">
        <v>0.0</v>
      </c>
      <c r="Z17" s="33">
        <v>7200.0</v>
      </c>
      <c r="AA17" s="33">
        <v>0.0</v>
      </c>
      <c r="AB17" s="33">
        <v>0.0</v>
      </c>
      <c r="AC17" s="33">
        <v>0.0</v>
      </c>
      <c r="AD17" s="33">
        <v>0.0</v>
      </c>
      <c r="AE17" s="33">
        <v>0.0</v>
      </c>
      <c r="AF17" s="33">
        <v>0.0</v>
      </c>
      <c r="AG17" s="33">
        <v>0.0</v>
      </c>
      <c r="AH17" s="33">
        <v>0.0</v>
      </c>
      <c r="AI17" s="33">
        <v>0.0</v>
      </c>
      <c r="AJ17" s="33">
        <v>0.0</v>
      </c>
      <c r="AK17" s="33">
        <v>0.0</v>
      </c>
    </row>
    <row r="18">
      <c r="A18" s="33">
        <v>78727.0</v>
      </c>
      <c r="B18" s="33">
        <v>0.0</v>
      </c>
      <c r="C18" s="33">
        <v>0.0</v>
      </c>
      <c r="D18" s="33">
        <v>0.0</v>
      </c>
      <c r="E18" s="33">
        <v>2000.0</v>
      </c>
      <c r="F18" s="33">
        <v>0.0</v>
      </c>
      <c r="G18" s="33">
        <v>0.0</v>
      </c>
      <c r="H18" s="33">
        <v>0.0</v>
      </c>
      <c r="I18" s="33">
        <v>0.0</v>
      </c>
      <c r="J18" s="33">
        <v>0.0</v>
      </c>
      <c r="K18" s="33">
        <v>0.0</v>
      </c>
      <c r="L18" s="33">
        <v>0.0</v>
      </c>
      <c r="M18" s="33">
        <v>0.0</v>
      </c>
      <c r="N18" s="33">
        <v>0.0</v>
      </c>
      <c r="O18" s="33">
        <v>0.0</v>
      </c>
      <c r="P18" s="33">
        <v>0.0</v>
      </c>
      <c r="Q18" s="33">
        <v>0.0</v>
      </c>
      <c r="R18" s="33">
        <v>0.0</v>
      </c>
      <c r="S18" s="33">
        <v>0.0</v>
      </c>
      <c r="T18" s="33">
        <v>2500.0</v>
      </c>
      <c r="U18" s="33">
        <v>0.0</v>
      </c>
      <c r="V18" s="33">
        <v>0.0</v>
      </c>
      <c r="W18" s="33">
        <v>0.0</v>
      </c>
      <c r="X18" s="33">
        <v>0.0</v>
      </c>
      <c r="Y18" s="33">
        <v>0.0</v>
      </c>
      <c r="Z18" s="33">
        <v>0.0</v>
      </c>
      <c r="AA18" s="33">
        <v>0.0</v>
      </c>
      <c r="AB18" s="33">
        <v>0.0</v>
      </c>
      <c r="AC18" s="33">
        <v>0.0</v>
      </c>
      <c r="AD18" s="33">
        <v>0.0</v>
      </c>
      <c r="AE18" s="33">
        <v>0.0</v>
      </c>
      <c r="AF18" s="33">
        <v>0.0</v>
      </c>
      <c r="AG18" s="33">
        <v>0.0</v>
      </c>
      <c r="AH18" s="33">
        <v>0.0</v>
      </c>
      <c r="AI18" s="33">
        <v>0.0</v>
      </c>
      <c r="AJ18" s="33">
        <v>0.0</v>
      </c>
      <c r="AK18" s="33">
        <v>0.0</v>
      </c>
    </row>
    <row r="19">
      <c r="A19" s="33">
        <v>78664.0</v>
      </c>
      <c r="B19" s="33">
        <v>0.0</v>
      </c>
      <c r="C19" s="33">
        <v>0.0</v>
      </c>
      <c r="D19" s="33">
        <v>0.0</v>
      </c>
      <c r="E19" s="33">
        <v>2000.0</v>
      </c>
      <c r="F19" s="33">
        <v>0.0</v>
      </c>
      <c r="G19" s="33">
        <v>0.0</v>
      </c>
      <c r="H19" s="33">
        <v>10.0</v>
      </c>
      <c r="I19" s="33">
        <v>0.0</v>
      </c>
      <c r="J19" s="33">
        <v>0.0</v>
      </c>
      <c r="K19" s="33">
        <v>0.0</v>
      </c>
      <c r="L19" s="33">
        <v>0.0</v>
      </c>
      <c r="M19" s="33">
        <v>0.0</v>
      </c>
      <c r="N19" s="33">
        <v>0.0</v>
      </c>
      <c r="O19" s="33">
        <v>0.0</v>
      </c>
      <c r="P19" s="33">
        <v>0.0</v>
      </c>
      <c r="Q19" s="33">
        <v>0.0</v>
      </c>
      <c r="R19" s="33">
        <v>0.0</v>
      </c>
      <c r="S19" s="33">
        <v>0.0</v>
      </c>
      <c r="T19" s="33">
        <v>2374.7</v>
      </c>
      <c r="U19" s="33">
        <v>0.0</v>
      </c>
      <c r="V19" s="33">
        <v>0.0</v>
      </c>
      <c r="W19" s="33">
        <v>0.0</v>
      </c>
      <c r="X19" s="33">
        <v>0.0</v>
      </c>
      <c r="Y19" s="33">
        <v>0.0</v>
      </c>
      <c r="Z19" s="33">
        <v>0.0</v>
      </c>
      <c r="AA19" s="33">
        <v>0.0</v>
      </c>
      <c r="AB19" s="33">
        <v>0.0</v>
      </c>
      <c r="AC19" s="33">
        <v>0.0</v>
      </c>
      <c r="AD19" s="33">
        <v>0.0</v>
      </c>
      <c r="AE19" s="33">
        <v>0.0</v>
      </c>
      <c r="AF19" s="33">
        <v>0.0</v>
      </c>
      <c r="AG19" s="33">
        <v>0.0</v>
      </c>
      <c r="AH19" s="33">
        <v>0.0</v>
      </c>
      <c r="AI19" s="33">
        <v>0.0</v>
      </c>
      <c r="AJ19" s="33">
        <v>0.0</v>
      </c>
      <c r="AK19" s="33">
        <v>0.0</v>
      </c>
    </row>
    <row r="20">
      <c r="A20" s="33">
        <v>75024.0</v>
      </c>
      <c r="B20" s="33">
        <v>0.0</v>
      </c>
      <c r="C20" s="33">
        <v>0.0</v>
      </c>
      <c r="D20" s="33">
        <v>0.0</v>
      </c>
      <c r="E20" s="33">
        <v>2000.0</v>
      </c>
      <c r="F20" s="33">
        <v>0.0</v>
      </c>
      <c r="G20" s="33">
        <v>0.0</v>
      </c>
      <c r="H20" s="33">
        <v>0.0</v>
      </c>
      <c r="I20" s="33">
        <v>0.0</v>
      </c>
      <c r="J20" s="33">
        <v>0.0</v>
      </c>
      <c r="K20" s="33">
        <v>0.0</v>
      </c>
      <c r="L20" s="33">
        <v>0.0</v>
      </c>
      <c r="M20" s="33">
        <v>0.0</v>
      </c>
      <c r="N20" s="33">
        <v>0.0</v>
      </c>
      <c r="O20" s="33">
        <v>0.0</v>
      </c>
      <c r="P20" s="33">
        <v>0.0</v>
      </c>
      <c r="Q20" s="33">
        <v>118.0</v>
      </c>
      <c r="R20" s="33">
        <v>0.0</v>
      </c>
      <c r="S20" s="33">
        <v>0.0</v>
      </c>
      <c r="T20" s="33">
        <v>2374.7</v>
      </c>
      <c r="U20" s="33">
        <v>0.0</v>
      </c>
      <c r="V20" s="33">
        <v>2000.0</v>
      </c>
      <c r="W20" s="33">
        <v>0.0</v>
      </c>
      <c r="X20" s="33">
        <v>0.0</v>
      </c>
      <c r="Y20" s="33">
        <v>0.0</v>
      </c>
      <c r="Z20" s="33">
        <v>500.0</v>
      </c>
      <c r="AA20" s="33">
        <v>0.0</v>
      </c>
      <c r="AB20" s="33">
        <v>0.0</v>
      </c>
      <c r="AC20" s="33">
        <v>0.0</v>
      </c>
      <c r="AD20" s="33">
        <v>0.0</v>
      </c>
      <c r="AE20" s="33">
        <v>0.0</v>
      </c>
      <c r="AF20" s="33">
        <v>0.0</v>
      </c>
      <c r="AG20" s="33">
        <v>0.0</v>
      </c>
      <c r="AH20" s="33">
        <v>0.0</v>
      </c>
      <c r="AI20" s="33">
        <v>0.0</v>
      </c>
      <c r="AJ20" s="33">
        <v>0.0</v>
      </c>
      <c r="AK20" s="33">
        <v>0.0</v>
      </c>
    </row>
    <row r="21">
      <c r="A21" s="33">
        <v>75001.0</v>
      </c>
      <c r="B21" s="33">
        <v>0.0</v>
      </c>
      <c r="C21" s="33">
        <v>0.0</v>
      </c>
      <c r="D21" s="33">
        <v>0.0</v>
      </c>
      <c r="E21" s="33">
        <v>500.0</v>
      </c>
      <c r="F21" s="33">
        <v>0.0</v>
      </c>
      <c r="G21" s="33">
        <v>100.0</v>
      </c>
      <c r="H21" s="33">
        <v>0.0</v>
      </c>
      <c r="I21" s="33">
        <v>0.0</v>
      </c>
      <c r="J21" s="33">
        <v>0.0</v>
      </c>
      <c r="K21" s="33">
        <v>0.0</v>
      </c>
      <c r="L21" s="33">
        <v>0.0</v>
      </c>
      <c r="M21" s="33">
        <v>0.0</v>
      </c>
      <c r="N21" s="33">
        <v>0.0</v>
      </c>
      <c r="O21" s="33">
        <v>0.0</v>
      </c>
      <c r="P21" s="33">
        <v>0.0</v>
      </c>
      <c r="Q21" s="33">
        <v>0.0</v>
      </c>
      <c r="R21" s="33">
        <v>0.0</v>
      </c>
      <c r="S21" s="33">
        <v>0.0</v>
      </c>
      <c r="T21" s="33">
        <v>500.0</v>
      </c>
      <c r="U21" s="33">
        <v>0.0</v>
      </c>
      <c r="V21" s="33">
        <v>0.0</v>
      </c>
      <c r="W21" s="33">
        <v>0.0</v>
      </c>
      <c r="X21" s="33">
        <v>0.0</v>
      </c>
      <c r="Y21" s="33">
        <v>0.0</v>
      </c>
      <c r="Z21" s="33">
        <v>1000.0</v>
      </c>
      <c r="AA21" s="33">
        <v>300.0</v>
      </c>
      <c r="AB21" s="33">
        <v>700.0</v>
      </c>
      <c r="AC21" s="33">
        <v>0.0</v>
      </c>
      <c r="AD21" s="33">
        <v>0.0</v>
      </c>
      <c r="AE21" s="33">
        <v>0.0</v>
      </c>
      <c r="AF21" s="33">
        <v>0.0</v>
      </c>
      <c r="AG21" s="33">
        <v>0.0</v>
      </c>
      <c r="AH21" s="33">
        <v>0.0</v>
      </c>
      <c r="AI21" s="33">
        <v>0.0</v>
      </c>
      <c r="AJ21" s="33">
        <v>0.0</v>
      </c>
      <c r="AK21" s="33">
        <v>0.0</v>
      </c>
    </row>
    <row r="22">
      <c r="A22" s="33">
        <v>75206.0</v>
      </c>
      <c r="B22" s="33">
        <v>150.0</v>
      </c>
      <c r="C22" s="33">
        <v>0.0</v>
      </c>
      <c r="D22" s="33">
        <v>0.0</v>
      </c>
      <c r="E22" s="33">
        <v>600.0</v>
      </c>
      <c r="F22" s="33">
        <v>2000.0</v>
      </c>
      <c r="G22" s="33">
        <v>1200.0</v>
      </c>
      <c r="H22" s="33">
        <v>500.0</v>
      </c>
      <c r="I22" s="33">
        <v>0.0</v>
      </c>
      <c r="J22" s="33">
        <v>1.0</v>
      </c>
      <c r="K22" s="33">
        <v>0.0</v>
      </c>
      <c r="L22" s="33">
        <v>250.0</v>
      </c>
      <c r="M22" s="33">
        <v>0.0</v>
      </c>
      <c r="N22" s="33">
        <v>650.0</v>
      </c>
      <c r="O22" s="33">
        <v>1300.0</v>
      </c>
      <c r="P22" s="33">
        <v>500.0</v>
      </c>
      <c r="Q22" s="33">
        <v>100.0</v>
      </c>
      <c r="R22" s="33">
        <v>102.0</v>
      </c>
      <c r="S22" s="33">
        <v>4000.0</v>
      </c>
      <c r="T22" s="33">
        <v>4285.04</v>
      </c>
      <c r="U22" s="33">
        <v>3000.0</v>
      </c>
      <c r="V22" s="33">
        <v>0.0</v>
      </c>
      <c r="W22" s="33">
        <v>2350.0</v>
      </c>
      <c r="X22" s="33">
        <v>0.0</v>
      </c>
      <c r="Y22" s="33">
        <v>4856.33</v>
      </c>
      <c r="Z22" s="33">
        <v>5920.0</v>
      </c>
      <c r="AA22" s="33">
        <v>2485.0</v>
      </c>
      <c r="AB22" s="33">
        <v>1200.0</v>
      </c>
      <c r="AC22" s="33">
        <v>1000.0</v>
      </c>
      <c r="AD22" s="33">
        <v>0.0</v>
      </c>
      <c r="AE22" s="33">
        <v>0.0</v>
      </c>
      <c r="AF22" s="33">
        <v>0.0</v>
      </c>
      <c r="AG22" s="33">
        <v>0.0</v>
      </c>
      <c r="AH22" s="33">
        <v>2000.0</v>
      </c>
      <c r="AI22" s="33">
        <v>0.0</v>
      </c>
      <c r="AJ22" s="33">
        <v>100.0</v>
      </c>
      <c r="AK22" s="33">
        <v>0.0</v>
      </c>
    </row>
    <row r="23">
      <c r="A23" s="33">
        <v>75165.0</v>
      </c>
      <c r="B23" s="33">
        <v>0.0</v>
      </c>
      <c r="C23" s="33">
        <v>0.0</v>
      </c>
      <c r="D23" s="33">
        <v>0.0</v>
      </c>
      <c r="E23" s="33">
        <v>0.0</v>
      </c>
      <c r="F23" s="33">
        <v>200.0</v>
      </c>
      <c r="G23" s="33">
        <v>0.0</v>
      </c>
      <c r="H23" s="33">
        <v>0.0</v>
      </c>
      <c r="I23" s="33">
        <v>0.0</v>
      </c>
      <c r="J23" s="33">
        <v>0.0</v>
      </c>
      <c r="K23" s="33">
        <v>0.0</v>
      </c>
      <c r="L23" s="33">
        <v>0.0</v>
      </c>
      <c r="M23" s="33">
        <v>0.0</v>
      </c>
      <c r="N23" s="33">
        <v>0.0</v>
      </c>
      <c r="O23" s="33">
        <v>0.0</v>
      </c>
      <c r="P23" s="33">
        <v>0.0</v>
      </c>
      <c r="Q23" s="33">
        <v>0.0</v>
      </c>
      <c r="R23" s="33">
        <v>0.0</v>
      </c>
      <c r="S23" s="33">
        <v>0.0</v>
      </c>
      <c r="T23" s="33">
        <v>0.0</v>
      </c>
      <c r="U23" s="33">
        <v>0.0</v>
      </c>
      <c r="V23" s="33">
        <v>0.0</v>
      </c>
      <c r="W23" s="33">
        <v>0.0</v>
      </c>
      <c r="X23" s="33">
        <v>0.0</v>
      </c>
      <c r="Y23" s="33">
        <v>0.0</v>
      </c>
      <c r="Z23" s="33">
        <v>0.0</v>
      </c>
      <c r="AA23" s="33">
        <v>0.0</v>
      </c>
      <c r="AB23" s="33">
        <v>0.0</v>
      </c>
      <c r="AC23" s="33">
        <v>0.0</v>
      </c>
      <c r="AD23" s="33">
        <v>0.0</v>
      </c>
      <c r="AE23" s="33">
        <v>0.0</v>
      </c>
      <c r="AF23" s="33">
        <v>0.0</v>
      </c>
      <c r="AG23" s="33">
        <v>0.0</v>
      </c>
      <c r="AH23" s="33">
        <v>0.0</v>
      </c>
      <c r="AI23" s="33">
        <v>0.0</v>
      </c>
      <c r="AJ23" s="33">
        <v>0.0</v>
      </c>
      <c r="AK23" s="33">
        <v>0.0</v>
      </c>
    </row>
    <row r="24">
      <c r="A24" s="33">
        <v>76179.0</v>
      </c>
      <c r="B24" s="33">
        <v>0.0</v>
      </c>
      <c r="C24" s="33">
        <v>0.0</v>
      </c>
      <c r="D24" s="33">
        <v>0.0</v>
      </c>
      <c r="E24" s="33">
        <v>0.0</v>
      </c>
      <c r="F24" s="33">
        <v>50.0</v>
      </c>
      <c r="G24" s="33">
        <v>0.0</v>
      </c>
      <c r="H24" s="33">
        <v>0.0</v>
      </c>
      <c r="I24" s="33">
        <v>0.0</v>
      </c>
      <c r="J24" s="33">
        <v>0.0</v>
      </c>
      <c r="K24" s="33">
        <v>0.0</v>
      </c>
      <c r="L24" s="33">
        <v>0.0</v>
      </c>
      <c r="M24" s="33">
        <v>0.0</v>
      </c>
      <c r="N24" s="33">
        <v>0.0</v>
      </c>
      <c r="O24" s="33">
        <v>0.0</v>
      </c>
      <c r="P24" s="33">
        <v>0.0</v>
      </c>
      <c r="Q24" s="33">
        <v>0.0</v>
      </c>
      <c r="R24" s="33">
        <v>0.0</v>
      </c>
      <c r="S24" s="33">
        <v>0.0</v>
      </c>
      <c r="T24" s="33">
        <v>0.0</v>
      </c>
      <c r="U24" s="33">
        <v>0.0</v>
      </c>
      <c r="V24" s="33">
        <v>0.0</v>
      </c>
      <c r="W24" s="33">
        <v>0.0</v>
      </c>
      <c r="X24" s="33">
        <v>0.0</v>
      </c>
      <c r="Y24" s="33">
        <v>0.0</v>
      </c>
      <c r="Z24" s="33">
        <v>0.0</v>
      </c>
      <c r="AA24" s="33">
        <v>0.0</v>
      </c>
      <c r="AB24" s="33">
        <v>0.0</v>
      </c>
      <c r="AC24" s="33">
        <v>0.0</v>
      </c>
      <c r="AD24" s="33">
        <v>0.0</v>
      </c>
      <c r="AE24" s="33">
        <v>0.0</v>
      </c>
      <c r="AF24" s="33">
        <v>0.0</v>
      </c>
      <c r="AG24" s="33">
        <v>0.0</v>
      </c>
      <c r="AH24" s="33">
        <v>100.0</v>
      </c>
      <c r="AI24" s="33">
        <v>0.0</v>
      </c>
      <c r="AJ24" s="33">
        <v>0.0</v>
      </c>
      <c r="AK24" s="33">
        <v>0.0</v>
      </c>
    </row>
    <row r="25">
      <c r="A25" s="33">
        <v>75237.0</v>
      </c>
      <c r="B25" s="33">
        <v>0.0</v>
      </c>
      <c r="C25" s="33">
        <v>0.0</v>
      </c>
      <c r="D25" s="33">
        <v>0.0</v>
      </c>
      <c r="E25" s="33">
        <v>500.0</v>
      </c>
      <c r="F25" s="33">
        <v>500.0</v>
      </c>
      <c r="G25" s="33">
        <v>0.0</v>
      </c>
      <c r="H25" s="33">
        <v>60.0</v>
      </c>
      <c r="I25" s="33">
        <v>0.0</v>
      </c>
      <c r="J25" s="33">
        <v>0.0</v>
      </c>
      <c r="K25" s="33">
        <v>0.0</v>
      </c>
      <c r="L25" s="33">
        <v>0.0</v>
      </c>
      <c r="M25" s="33">
        <v>0.0</v>
      </c>
      <c r="N25" s="33">
        <v>0.0</v>
      </c>
      <c r="O25" s="33">
        <v>0.0</v>
      </c>
      <c r="P25" s="33">
        <v>0.0</v>
      </c>
      <c r="Q25" s="33">
        <v>0.0</v>
      </c>
      <c r="R25" s="33">
        <v>0.0</v>
      </c>
      <c r="S25" s="33">
        <v>0.0</v>
      </c>
      <c r="T25" s="33">
        <v>0.0</v>
      </c>
      <c r="U25" s="33">
        <v>0.0</v>
      </c>
      <c r="V25" s="33">
        <v>0.0</v>
      </c>
      <c r="W25" s="33">
        <v>0.0</v>
      </c>
      <c r="X25" s="33">
        <v>0.0</v>
      </c>
      <c r="Y25" s="33">
        <v>0.0</v>
      </c>
      <c r="Z25" s="33">
        <v>2160.0</v>
      </c>
      <c r="AA25" s="33">
        <v>0.0</v>
      </c>
      <c r="AB25" s="33">
        <v>1000.0</v>
      </c>
      <c r="AC25" s="33">
        <v>0.0</v>
      </c>
      <c r="AD25" s="33">
        <v>0.0</v>
      </c>
      <c r="AE25" s="33">
        <v>0.0</v>
      </c>
      <c r="AF25" s="33">
        <v>0.0</v>
      </c>
      <c r="AG25" s="33">
        <v>0.0</v>
      </c>
      <c r="AH25" s="33">
        <v>0.0</v>
      </c>
      <c r="AI25" s="33">
        <v>0.0</v>
      </c>
      <c r="AJ25" s="33">
        <v>0.0</v>
      </c>
      <c r="AK25" s="33">
        <v>0.0</v>
      </c>
    </row>
    <row r="26">
      <c r="A26" s="33">
        <v>75115.0</v>
      </c>
      <c r="B26" s="33">
        <v>0.0</v>
      </c>
      <c r="C26" s="33">
        <v>0.0</v>
      </c>
      <c r="D26" s="33">
        <v>200.0</v>
      </c>
      <c r="E26" s="33">
        <v>850.0</v>
      </c>
      <c r="F26" s="33">
        <v>0.0</v>
      </c>
      <c r="G26" s="33">
        <v>4800.0</v>
      </c>
      <c r="H26" s="33">
        <v>275.0</v>
      </c>
      <c r="I26" s="33">
        <v>0.0</v>
      </c>
      <c r="J26" s="33">
        <v>0.0</v>
      </c>
      <c r="K26" s="33">
        <v>0.0</v>
      </c>
      <c r="L26" s="33">
        <v>1800.0</v>
      </c>
      <c r="M26" s="33">
        <v>400.0</v>
      </c>
      <c r="N26" s="33">
        <v>1000.0</v>
      </c>
      <c r="O26" s="33">
        <v>0.0</v>
      </c>
      <c r="P26" s="33">
        <v>0.0</v>
      </c>
      <c r="Q26" s="33">
        <v>0.0</v>
      </c>
      <c r="R26" s="33">
        <v>0.0</v>
      </c>
      <c r="S26" s="33">
        <v>0.0</v>
      </c>
      <c r="T26" s="33">
        <v>2000.0</v>
      </c>
      <c r="U26" s="33">
        <v>0.0</v>
      </c>
      <c r="V26" s="33">
        <v>0.0</v>
      </c>
      <c r="W26" s="33">
        <v>0.0</v>
      </c>
      <c r="X26" s="33">
        <v>0.0</v>
      </c>
      <c r="Y26" s="33">
        <v>0.0</v>
      </c>
      <c r="Z26" s="33">
        <v>7210.0</v>
      </c>
      <c r="AA26" s="33">
        <v>0.0</v>
      </c>
      <c r="AB26" s="33">
        <v>6500.0</v>
      </c>
      <c r="AC26" s="33">
        <v>0.0</v>
      </c>
      <c r="AD26" s="33">
        <v>0.0</v>
      </c>
      <c r="AE26" s="33">
        <v>0.0</v>
      </c>
      <c r="AF26" s="33">
        <v>0.0</v>
      </c>
      <c r="AG26" s="33">
        <v>0.0</v>
      </c>
      <c r="AH26" s="33">
        <v>0.0</v>
      </c>
      <c r="AI26" s="33">
        <v>0.0</v>
      </c>
      <c r="AJ26" s="33">
        <v>0.0</v>
      </c>
      <c r="AK26" s="33">
        <v>0.0</v>
      </c>
    </row>
    <row r="27">
      <c r="A27" s="33">
        <v>75204.0</v>
      </c>
      <c r="B27" s="33">
        <v>1250.0</v>
      </c>
      <c r="C27" s="33">
        <v>0.0</v>
      </c>
      <c r="D27" s="33">
        <v>500.0</v>
      </c>
      <c r="E27" s="33">
        <v>1650.0</v>
      </c>
      <c r="F27" s="33">
        <v>0.0</v>
      </c>
      <c r="G27" s="33">
        <v>2150.0</v>
      </c>
      <c r="H27" s="33">
        <v>20.0</v>
      </c>
      <c r="I27" s="33">
        <v>0.0</v>
      </c>
      <c r="J27" s="33">
        <v>0.0</v>
      </c>
      <c r="K27" s="33">
        <v>0.0</v>
      </c>
      <c r="L27" s="33">
        <v>0.0</v>
      </c>
      <c r="M27" s="33">
        <v>0.0</v>
      </c>
      <c r="N27" s="33">
        <v>2275.0</v>
      </c>
      <c r="O27" s="33">
        <v>0.0</v>
      </c>
      <c r="P27" s="33">
        <v>0.0</v>
      </c>
      <c r="Q27" s="33">
        <v>825.0</v>
      </c>
      <c r="R27" s="33">
        <v>0.0</v>
      </c>
      <c r="S27" s="33">
        <v>0.0</v>
      </c>
      <c r="T27" s="33">
        <v>3924.7</v>
      </c>
      <c r="U27" s="33">
        <v>0.0</v>
      </c>
      <c r="V27" s="33">
        <v>0.0</v>
      </c>
      <c r="W27" s="33">
        <v>2200.0</v>
      </c>
      <c r="X27" s="33">
        <v>0.0</v>
      </c>
      <c r="Y27" s="33">
        <v>4221.84</v>
      </c>
      <c r="Z27" s="33">
        <v>12050.0</v>
      </c>
      <c r="AA27" s="33">
        <v>50.0</v>
      </c>
      <c r="AB27" s="33">
        <v>1000.0</v>
      </c>
      <c r="AC27" s="33">
        <v>1250.0</v>
      </c>
      <c r="AD27" s="33">
        <v>0.0</v>
      </c>
      <c r="AE27" s="33">
        <v>0.0</v>
      </c>
      <c r="AF27" s="33">
        <v>0.0</v>
      </c>
      <c r="AG27" s="33">
        <v>0.0</v>
      </c>
      <c r="AH27" s="33">
        <v>0.0</v>
      </c>
      <c r="AI27" s="33">
        <v>0.0</v>
      </c>
      <c r="AJ27" s="33">
        <v>0.0</v>
      </c>
      <c r="AK27" s="33">
        <v>0.0</v>
      </c>
    </row>
    <row r="28">
      <c r="A28" s="33">
        <v>76226.0</v>
      </c>
      <c r="B28" s="33">
        <v>0.0</v>
      </c>
      <c r="C28" s="33">
        <v>0.0</v>
      </c>
      <c r="D28" s="33">
        <v>0.0</v>
      </c>
      <c r="E28" s="33">
        <v>0.0</v>
      </c>
      <c r="F28" s="33">
        <v>0.0</v>
      </c>
      <c r="G28" s="33">
        <v>1000.0</v>
      </c>
      <c r="H28" s="33">
        <v>0.0</v>
      </c>
      <c r="I28" s="33">
        <v>0.0</v>
      </c>
      <c r="J28" s="33">
        <v>0.0</v>
      </c>
      <c r="K28" s="33">
        <v>0.0</v>
      </c>
      <c r="L28" s="33">
        <v>0.0</v>
      </c>
      <c r="M28" s="33">
        <v>0.0</v>
      </c>
      <c r="N28" s="33">
        <v>0.0</v>
      </c>
      <c r="O28" s="33">
        <v>0.0</v>
      </c>
      <c r="P28" s="33">
        <v>0.0</v>
      </c>
      <c r="Q28" s="33">
        <v>0.0</v>
      </c>
      <c r="R28" s="33">
        <v>0.0</v>
      </c>
      <c r="S28" s="33">
        <v>0.0</v>
      </c>
      <c r="T28" s="33">
        <v>948.0</v>
      </c>
      <c r="U28" s="33">
        <v>0.0</v>
      </c>
      <c r="V28" s="33">
        <v>0.0</v>
      </c>
      <c r="W28" s="33">
        <v>1000.0</v>
      </c>
      <c r="X28" s="33">
        <v>0.0</v>
      </c>
      <c r="Y28" s="33">
        <v>0.0</v>
      </c>
      <c r="Z28" s="33">
        <v>5000.0</v>
      </c>
      <c r="AA28" s="33">
        <v>0.0</v>
      </c>
      <c r="AB28" s="33">
        <v>0.0</v>
      </c>
      <c r="AC28" s="33">
        <v>100.0</v>
      </c>
      <c r="AD28" s="33">
        <v>0.0</v>
      </c>
      <c r="AE28" s="33">
        <v>0.0</v>
      </c>
      <c r="AF28" s="33">
        <v>0.0</v>
      </c>
      <c r="AG28" s="33">
        <v>0.0</v>
      </c>
      <c r="AH28" s="33">
        <v>0.0</v>
      </c>
      <c r="AI28" s="33">
        <v>0.0</v>
      </c>
      <c r="AJ28" s="33">
        <v>0.0</v>
      </c>
      <c r="AK28" s="33">
        <v>0.0</v>
      </c>
    </row>
    <row r="29">
      <c r="A29" s="33">
        <v>75382.0</v>
      </c>
      <c r="B29" s="33">
        <v>0.0</v>
      </c>
      <c r="C29" s="33">
        <v>0.0</v>
      </c>
      <c r="D29" s="33">
        <v>0.0</v>
      </c>
      <c r="E29" s="33">
        <v>0.0</v>
      </c>
      <c r="F29" s="33">
        <v>0.0</v>
      </c>
      <c r="G29" s="33">
        <v>100.0</v>
      </c>
      <c r="H29" s="33">
        <v>0.0</v>
      </c>
      <c r="I29" s="33">
        <v>0.0</v>
      </c>
      <c r="J29" s="33">
        <v>0.0</v>
      </c>
      <c r="K29" s="33">
        <v>0.0</v>
      </c>
      <c r="L29" s="33">
        <v>0.0</v>
      </c>
      <c r="M29" s="33">
        <v>0.0</v>
      </c>
      <c r="N29" s="33">
        <v>0.0</v>
      </c>
      <c r="O29" s="33">
        <v>0.0</v>
      </c>
      <c r="P29" s="33">
        <v>0.0</v>
      </c>
      <c r="Q29" s="33">
        <v>0.0</v>
      </c>
      <c r="R29" s="33">
        <v>0.0</v>
      </c>
      <c r="S29" s="33">
        <v>0.0</v>
      </c>
      <c r="T29" s="33">
        <v>0.0</v>
      </c>
      <c r="U29" s="33">
        <v>0.0</v>
      </c>
      <c r="V29" s="33">
        <v>0.0</v>
      </c>
      <c r="W29" s="33">
        <v>0.0</v>
      </c>
      <c r="X29" s="33">
        <v>0.0</v>
      </c>
      <c r="Y29" s="33">
        <v>0.0</v>
      </c>
      <c r="Z29" s="33">
        <v>0.0</v>
      </c>
      <c r="AA29" s="33">
        <v>0.0</v>
      </c>
      <c r="AB29" s="33">
        <v>0.0</v>
      </c>
      <c r="AC29" s="33">
        <v>0.0</v>
      </c>
      <c r="AD29" s="33">
        <v>0.0</v>
      </c>
      <c r="AE29" s="33">
        <v>0.0</v>
      </c>
      <c r="AF29" s="33">
        <v>0.0</v>
      </c>
      <c r="AG29" s="33">
        <v>0.0</v>
      </c>
      <c r="AH29" s="33">
        <v>0.0</v>
      </c>
      <c r="AI29" s="33">
        <v>0.0</v>
      </c>
      <c r="AJ29" s="33">
        <v>0.0</v>
      </c>
      <c r="AK29" s="33">
        <v>0.0</v>
      </c>
    </row>
    <row r="30">
      <c r="A30" s="33">
        <v>75228.0</v>
      </c>
      <c r="B30" s="33">
        <v>250.0</v>
      </c>
      <c r="C30" s="33">
        <v>0.0</v>
      </c>
      <c r="D30" s="33">
        <v>0.0</v>
      </c>
      <c r="E30" s="33">
        <v>0.0</v>
      </c>
      <c r="F30" s="33">
        <v>0.0</v>
      </c>
      <c r="G30" s="33">
        <v>3150.0</v>
      </c>
      <c r="H30" s="33">
        <v>0.0</v>
      </c>
      <c r="I30" s="33">
        <v>0.0</v>
      </c>
      <c r="J30" s="33">
        <v>0.0</v>
      </c>
      <c r="K30" s="33">
        <v>0.0</v>
      </c>
      <c r="L30" s="33">
        <v>0.0</v>
      </c>
      <c r="M30" s="33">
        <v>0.0</v>
      </c>
      <c r="N30" s="33">
        <v>175.0</v>
      </c>
      <c r="O30" s="33">
        <v>0.0</v>
      </c>
      <c r="P30" s="33">
        <v>0.0</v>
      </c>
      <c r="Q30" s="33">
        <v>50.0</v>
      </c>
      <c r="R30" s="33">
        <v>1930.0</v>
      </c>
      <c r="S30" s="33">
        <v>0.0</v>
      </c>
      <c r="T30" s="33">
        <v>1550.0</v>
      </c>
      <c r="U30" s="33">
        <v>0.0</v>
      </c>
      <c r="V30" s="33">
        <v>0.0</v>
      </c>
      <c r="W30" s="33">
        <v>1100.0</v>
      </c>
      <c r="X30" s="33">
        <v>0.0</v>
      </c>
      <c r="Y30" s="33">
        <v>50.0</v>
      </c>
      <c r="Z30" s="33">
        <v>585.0</v>
      </c>
      <c r="AA30" s="33">
        <v>50.0</v>
      </c>
      <c r="AB30" s="33">
        <v>0.0</v>
      </c>
      <c r="AC30" s="33">
        <v>0.0</v>
      </c>
      <c r="AD30" s="33">
        <v>0.0</v>
      </c>
      <c r="AE30" s="33">
        <v>0.0</v>
      </c>
      <c r="AF30" s="33">
        <v>0.0</v>
      </c>
      <c r="AG30" s="33">
        <v>0.0</v>
      </c>
      <c r="AH30" s="33">
        <v>0.0</v>
      </c>
      <c r="AI30" s="33">
        <v>0.0</v>
      </c>
      <c r="AJ30" s="33">
        <v>0.0</v>
      </c>
      <c r="AK30" s="33">
        <v>0.0</v>
      </c>
    </row>
    <row r="31">
      <c r="A31" s="33">
        <v>75227.0</v>
      </c>
      <c r="B31" s="33">
        <v>0.0</v>
      </c>
      <c r="C31" s="33">
        <v>0.0</v>
      </c>
      <c r="D31" s="33">
        <v>150.0</v>
      </c>
      <c r="E31" s="33">
        <v>0.0</v>
      </c>
      <c r="F31" s="33">
        <v>0.0</v>
      </c>
      <c r="G31" s="33">
        <v>1125.0</v>
      </c>
      <c r="H31" s="33">
        <v>25.0</v>
      </c>
      <c r="I31" s="33">
        <v>0.0</v>
      </c>
      <c r="J31" s="33">
        <v>0.0</v>
      </c>
      <c r="K31" s="33">
        <v>0.0</v>
      </c>
      <c r="L31" s="33">
        <v>0.0</v>
      </c>
      <c r="M31" s="33">
        <v>0.0</v>
      </c>
      <c r="N31" s="33">
        <v>100.0</v>
      </c>
      <c r="O31" s="33">
        <v>100.0</v>
      </c>
      <c r="P31" s="33">
        <v>0.0</v>
      </c>
      <c r="Q31" s="33">
        <v>50.0</v>
      </c>
      <c r="R31" s="33">
        <v>0.0</v>
      </c>
      <c r="S31" s="33">
        <v>0.0</v>
      </c>
      <c r="T31" s="33">
        <v>0.0</v>
      </c>
      <c r="U31" s="33">
        <v>0.0</v>
      </c>
      <c r="V31" s="33">
        <v>0.0</v>
      </c>
      <c r="W31" s="33">
        <v>200.0</v>
      </c>
      <c r="X31" s="33">
        <v>0.0</v>
      </c>
      <c r="Y31" s="33">
        <v>0.0</v>
      </c>
      <c r="Z31" s="33">
        <v>100.0</v>
      </c>
      <c r="AA31" s="33">
        <v>0.0</v>
      </c>
      <c r="AB31" s="33">
        <v>0.0</v>
      </c>
      <c r="AC31" s="33">
        <v>0.0</v>
      </c>
      <c r="AD31" s="33">
        <v>2000.0</v>
      </c>
      <c r="AE31" s="33">
        <v>0.0</v>
      </c>
      <c r="AF31" s="33">
        <v>0.0</v>
      </c>
      <c r="AG31" s="33">
        <v>0.0</v>
      </c>
      <c r="AH31" s="33">
        <v>0.0</v>
      </c>
      <c r="AI31" s="33">
        <v>0.0</v>
      </c>
      <c r="AJ31" s="33">
        <v>0.0</v>
      </c>
      <c r="AK31" s="33">
        <v>0.0</v>
      </c>
    </row>
    <row r="32">
      <c r="A32" s="33">
        <v>75002.0</v>
      </c>
      <c r="B32" s="33">
        <v>0.0</v>
      </c>
      <c r="C32" s="33">
        <v>0.0</v>
      </c>
      <c r="D32" s="33">
        <v>100.0</v>
      </c>
      <c r="E32" s="33">
        <v>0.0</v>
      </c>
      <c r="F32" s="33">
        <v>0.0</v>
      </c>
      <c r="G32" s="33">
        <v>400.0</v>
      </c>
      <c r="H32" s="33">
        <v>0.0</v>
      </c>
      <c r="I32" s="33">
        <v>0.0</v>
      </c>
      <c r="J32" s="33">
        <v>0.0</v>
      </c>
      <c r="K32" s="33">
        <v>0.0</v>
      </c>
      <c r="L32" s="33">
        <v>0.0</v>
      </c>
      <c r="M32" s="33">
        <v>0.0</v>
      </c>
      <c r="N32" s="33">
        <v>0.0</v>
      </c>
      <c r="O32" s="33">
        <v>0.0</v>
      </c>
      <c r="P32" s="33">
        <v>0.0</v>
      </c>
      <c r="Q32" s="33">
        <v>0.0</v>
      </c>
      <c r="R32" s="33">
        <v>0.0</v>
      </c>
      <c r="S32" s="33">
        <v>0.0</v>
      </c>
      <c r="T32" s="33">
        <v>0.0</v>
      </c>
      <c r="U32" s="33">
        <v>0.0</v>
      </c>
      <c r="V32" s="33">
        <v>0.0</v>
      </c>
      <c r="W32" s="33">
        <v>1000.0</v>
      </c>
      <c r="X32" s="33">
        <v>0.0</v>
      </c>
      <c r="Y32" s="33">
        <v>500.0</v>
      </c>
      <c r="Z32" s="33">
        <v>0.0</v>
      </c>
      <c r="AA32" s="33">
        <v>0.0</v>
      </c>
      <c r="AB32" s="33">
        <v>500.0</v>
      </c>
      <c r="AC32" s="33">
        <v>0.0</v>
      </c>
      <c r="AD32" s="33">
        <v>0.0</v>
      </c>
      <c r="AE32" s="33">
        <v>0.0</v>
      </c>
      <c r="AF32" s="33">
        <v>0.0</v>
      </c>
      <c r="AG32" s="33">
        <v>0.0</v>
      </c>
      <c r="AH32" s="33">
        <v>0.0</v>
      </c>
      <c r="AI32" s="33">
        <v>0.0</v>
      </c>
      <c r="AJ32" s="33">
        <v>0.0</v>
      </c>
      <c r="AK32" s="33">
        <v>0.0</v>
      </c>
    </row>
    <row r="33">
      <c r="A33" s="33">
        <v>75202.0</v>
      </c>
      <c r="B33" s="33">
        <v>0.0</v>
      </c>
      <c r="C33" s="33">
        <v>0.0</v>
      </c>
      <c r="D33" s="33">
        <v>1.0</v>
      </c>
      <c r="E33" s="33">
        <v>100.0</v>
      </c>
      <c r="F33" s="33">
        <v>0.0</v>
      </c>
      <c r="G33" s="33">
        <v>450.0</v>
      </c>
      <c r="H33" s="33">
        <v>0.0</v>
      </c>
      <c r="I33" s="33">
        <v>0.0</v>
      </c>
      <c r="J33" s="33">
        <v>0.0</v>
      </c>
      <c r="K33" s="33">
        <v>0.0</v>
      </c>
      <c r="L33" s="33">
        <v>0.0</v>
      </c>
      <c r="M33" s="33">
        <v>0.0</v>
      </c>
      <c r="N33" s="33">
        <v>100.0</v>
      </c>
      <c r="O33" s="33">
        <v>0.0</v>
      </c>
      <c r="P33" s="33">
        <v>0.0</v>
      </c>
      <c r="Q33" s="33">
        <v>250.0</v>
      </c>
      <c r="R33" s="33">
        <v>51.0</v>
      </c>
      <c r="S33" s="33">
        <v>0.0</v>
      </c>
      <c r="T33" s="33">
        <v>200.0</v>
      </c>
      <c r="U33" s="33">
        <v>0.0</v>
      </c>
      <c r="V33" s="33">
        <v>0.0</v>
      </c>
      <c r="W33" s="33">
        <v>0.0</v>
      </c>
      <c r="X33" s="33">
        <v>0.0</v>
      </c>
      <c r="Y33" s="33">
        <v>0.0</v>
      </c>
      <c r="Z33" s="33">
        <v>5100.0</v>
      </c>
      <c r="AA33" s="33">
        <v>0.0</v>
      </c>
      <c r="AB33" s="33">
        <v>1000.0</v>
      </c>
      <c r="AC33" s="33">
        <v>0.0</v>
      </c>
      <c r="AD33" s="33">
        <v>0.0</v>
      </c>
      <c r="AE33" s="33">
        <v>0.0</v>
      </c>
      <c r="AF33" s="33">
        <v>0.0</v>
      </c>
      <c r="AG33" s="33">
        <v>0.0</v>
      </c>
      <c r="AH33" s="33">
        <v>0.0</v>
      </c>
      <c r="AI33" s="33">
        <v>0.0</v>
      </c>
      <c r="AJ33" s="33">
        <v>0.0</v>
      </c>
      <c r="AK33" s="33">
        <v>0.0</v>
      </c>
    </row>
    <row r="34">
      <c r="A34" s="33">
        <v>75207.0</v>
      </c>
      <c r="B34" s="33">
        <v>1000.0</v>
      </c>
      <c r="C34" s="33">
        <v>0.0</v>
      </c>
      <c r="D34" s="33">
        <v>0.0</v>
      </c>
      <c r="E34" s="33">
        <v>1530.0</v>
      </c>
      <c r="F34" s="33">
        <v>0.0</v>
      </c>
      <c r="G34" s="33">
        <v>1050.0</v>
      </c>
      <c r="H34" s="33">
        <v>50.0</v>
      </c>
      <c r="I34" s="33">
        <v>0.0</v>
      </c>
      <c r="J34" s="33">
        <v>0.0</v>
      </c>
      <c r="K34" s="33">
        <v>0.0</v>
      </c>
      <c r="L34" s="33">
        <v>0.0</v>
      </c>
      <c r="M34" s="33">
        <v>0.0</v>
      </c>
      <c r="N34" s="33">
        <v>0.0</v>
      </c>
      <c r="O34" s="33">
        <v>0.0</v>
      </c>
      <c r="P34" s="33">
        <v>200.0</v>
      </c>
      <c r="Q34" s="33">
        <v>250.0</v>
      </c>
      <c r="R34" s="33">
        <v>0.0</v>
      </c>
      <c r="S34" s="33">
        <v>0.0</v>
      </c>
      <c r="T34" s="33">
        <v>2750.0</v>
      </c>
      <c r="U34" s="33">
        <v>0.0</v>
      </c>
      <c r="V34" s="33">
        <v>0.0</v>
      </c>
      <c r="W34" s="33">
        <v>2000.0</v>
      </c>
      <c r="X34" s="33">
        <v>0.0</v>
      </c>
      <c r="Y34" s="33">
        <v>0.0</v>
      </c>
      <c r="Z34" s="33">
        <v>17600.0</v>
      </c>
      <c r="AA34" s="33">
        <v>0.0</v>
      </c>
      <c r="AB34" s="33">
        <v>0.0</v>
      </c>
      <c r="AC34" s="33">
        <v>0.0</v>
      </c>
      <c r="AD34" s="33">
        <v>0.0</v>
      </c>
      <c r="AE34" s="33">
        <v>0.0</v>
      </c>
      <c r="AF34" s="33">
        <v>0.0</v>
      </c>
      <c r="AG34" s="33">
        <v>0.0</v>
      </c>
      <c r="AH34" s="33">
        <v>0.0</v>
      </c>
      <c r="AI34" s="33">
        <v>0.0</v>
      </c>
      <c r="AJ34" s="33">
        <v>0.0</v>
      </c>
      <c r="AK34" s="33">
        <v>0.0</v>
      </c>
    </row>
    <row r="35">
      <c r="A35" s="33">
        <v>75088.0</v>
      </c>
      <c r="B35" s="33">
        <v>0.0</v>
      </c>
      <c r="C35" s="33">
        <v>0.0</v>
      </c>
      <c r="D35" s="33">
        <v>0.0</v>
      </c>
      <c r="E35" s="33">
        <v>50.0</v>
      </c>
      <c r="F35" s="33">
        <v>0.0</v>
      </c>
      <c r="G35" s="33">
        <v>1000.0</v>
      </c>
      <c r="H35" s="33">
        <v>0.0</v>
      </c>
      <c r="I35" s="33">
        <v>0.0</v>
      </c>
      <c r="J35" s="33">
        <v>0.0</v>
      </c>
      <c r="K35" s="33">
        <v>0.0</v>
      </c>
      <c r="L35" s="33">
        <v>0.0</v>
      </c>
      <c r="M35" s="33">
        <v>0.0</v>
      </c>
      <c r="N35" s="33">
        <v>1000.0</v>
      </c>
      <c r="O35" s="33">
        <v>0.0</v>
      </c>
      <c r="P35" s="33">
        <v>300.0</v>
      </c>
      <c r="Q35" s="33">
        <v>0.0</v>
      </c>
      <c r="R35" s="33">
        <v>0.0</v>
      </c>
      <c r="S35" s="33">
        <v>0.0</v>
      </c>
      <c r="T35" s="33">
        <v>0.0</v>
      </c>
      <c r="U35" s="33">
        <v>0.0</v>
      </c>
      <c r="V35" s="33">
        <v>0.0</v>
      </c>
      <c r="W35" s="33">
        <v>0.0</v>
      </c>
      <c r="X35" s="33">
        <v>0.0</v>
      </c>
      <c r="Y35" s="33">
        <v>0.0</v>
      </c>
      <c r="Z35" s="33">
        <v>0.0</v>
      </c>
      <c r="AA35" s="33">
        <v>100.0</v>
      </c>
      <c r="AB35" s="33">
        <v>0.0</v>
      </c>
      <c r="AC35" s="33">
        <v>0.0</v>
      </c>
      <c r="AD35" s="33">
        <v>0.0</v>
      </c>
      <c r="AE35" s="33">
        <v>0.0</v>
      </c>
      <c r="AF35" s="33">
        <v>0.0</v>
      </c>
      <c r="AG35" s="33">
        <v>0.0</v>
      </c>
      <c r="AH35" s="33">
        <v>0.0</v>
      </c>
      <c r="AI35" s="33">
        <v>0.0</v>
      </c>
      <c r="AJ35" s="33">
        <v>0.0</v>
      </c>
      <c r="AK35" s="33">
        <v>0.0</v>
      </c>
    </row>
    <row r="36">
      <c r="A36" s="33">
        <v>75137.0</v>
      </c>
      <c r="B36" s="33">
        <v>0.0</v>
      </c>
      <c r="C36" s="33">
        <v>0.0</v>
      </c>
      <c r="D36" s="33">
        <v>250.0</v>
      </c>
      <c r="E36" s="33">
        <v>200.0</v>
      </c>
      <c r="F36" s="33">
        <v>0.0</v>
      </c>
      <c r="G36" s="33">
        <v>100.0</v>
      </c>
      <c r="H36" s="33">
        <v>150.0</v>
      </c>
      <c r="I36" s="33">
        <v>0.0</v>
      </c>
      <c r="J36" s="33">
        <v>0.0</v>
      </c>
      <c r="K36" s="33">
        <v>0.0</v>
      </c>
      <c r="L36" s="33">
        <v>0.0</v>
      </c>
      <c r="M36" s="33">
        <v>0.0</v>
      </c>
      <c r="N36" s="33">
        <v>0.0</v>
      </c>
      <c r="O36" s="33">
        <v>100.0</v>
      </c>
      <c r="P36" s="33">
        <v>0.0</v>
      </c>
      <c r="Q36" s="33">
        <v>0.0</v>
      </c>
      <c r="R36" s="33">
        <v>0.0</v>
      </c>
      <c r="S36" s="33">
        <v>0.0</v>
      </c>
      <c r="T36" s="33">
        <v>0.0</v>
      </c>
      <c r="U36" s="33">
        <v>0.0</v>
      </c>
      <c r="V36" s="33">
        <v>0.0</v>
      </c>
      <c r="W36" s="33">
        <v>0.0</v>
      </c>
      <c r="X36" s="33">
        <v>0.0</v>
      </c>
      <c r="Y36" s="33">
        <v>0.0</v>
      </c>
      <c r="Z36" s="33">
        <v>750.0</v>
      </c>
      <c r="AA36" s="33">
        <v>500.0</v>
      </c>
      <c r="AB36" s="33">
        <v>0.0</v>
      </c>
      <c r="AC36" s="33">
        <v>0.0</v>
      </c>
      <c r="AD36" s="33">
        <v>0.0</v>
      </c>
      <c r="AE36" s="33">
        <v>0.0</v>
      </c>
      <c r="AF36" s="33">
        <v>0.0</v>
      </c>
      <c r="AG36" s="33">
        <v>0.0</v>
      </c>
      <c r="AH36" s="33">
        <v>70.0</v>
      </c>
      <c r="AI36" s="33">
        <v>0.0</v>
      </c>
      <c r="AJ36" s="33">
        <v>0.0</v>
      </c>
      <c r="AK36" s="33">
        <v>0.0</v>
      </c>
    </row>
    <row r="37">
      <c r="A37" s="33">
        <v>75208.0</v>
      </c>
      <c r="B37" s="33">
        <v>0.0</v>
      </c>
      <c r="C37" s="33">
        <v>0.0</v>
      </c>
      <c r="D37" s="33">
        <v>0.0</v>
      </c>
      <c r="E37" s="33">
        <v>3525.0</v>
      </c>
      <c r="F37" s="33">
        <v>0.0</v>
      </c>
      <c r="G37" s="33">
        <v>2600.0</v>
      </c>
      <c r="H37" s="33">
        <v>7140.0</v>
      </c>
      <c r="I37" s="33">
        <v>0.0</v>
      </c>
      <c r="J37" s="33">
        <v>0.0</v>
      </c>
      <c r="K37" s="33">
        <v>0.0</v>
      </c>
      <c r="L37" s="33">
        <v>0.0</v>
      </c>
      <c r="M37" s="33">
        <v>0.0</v>
      </c>
      <c r="N37" s="33">
        <v>2550.0</v>
      </c>
      <c r="O37" s="33">
        <v>0.0</v>
      </c>
      <c r="P37" s="33">
        <v>2100.0</v>
      </c>
      <c r="Q37" s="33">
        <v>2725.0</v>
      </c>
      <c r="R37" s="33">
        <v>0.0</v>
      </c>
      <c r="S37" s="33">
        <v>0.0</v>
      </c>
      <c r="T37" s="33">
        <v>44424.75999999999</v>
      </c>
      <c r="U37" s="33">
        <v>0.0</v>
      </c>
      <c r="V37" s="33">
        <v>0.0</v>
      </c>
      <c r="W37" s="33">
        <v>5700.0</v>
      </c>
      <c r="X37" s="33">
        <v>2000.0</v>
      </c>
      <c r="Y37" s="33">
        <v>353.48</v>
      </c>
      <c r="Z37" s="33">
        <v>4300.0</v>
      </c>
      <c r="AA37" s="33">
        <v>500.0</v>
      </c>
      <c r="AB37" s="33">
        <v>3050.0</v>
      </c>
      <c r="AC37" s="33">
        <v>0.0</v>
      </c>
      <c r="AD37" s="33">
        <v>1000.0</v>
      </c>
      <c r="AE37" s="33">
        <v>0.0</v>
      </c>
      <c r="AF37" s="33">
        <v>0.0</v>
      </c>
      <c r="AG37" s="33">
        <v>0.0</v>
      </c>
      <c r="AH37" s="33">
        <v>0.0</v>
      </c>
      <c r="AI37" s="33">
        <v>0.0</v>
      </c>
      <c r="AJ37" s="33">
        <v>0.0</v>
      </c>
      <c r="AK37" s="33">
        <v>0.0</v>
      </c>
    </row>
    <row r="38">
      <c r="A38" s="33">
        <v>77493.0</v>
      </c>
      <c r="B38" s="33">
        <v>0.0</v>
      </c>
      <c r="C38" s="33">
        <v>0.0</v>
      </c>
      <c r="D38" s="33">
        <v>0.0</v>
      </c>
      <c r="E38" s="33">
        <v>1000.0</v>
      </c>
      <c r="F38" s="33">
        <v>0.0</v>
      </c>
      <c r="G38" s="33">
        <v>1000.0</v>
      </c>
      <c r="H38" s="33">
        <v>0.0</v>
      </c>
      <c r="I38" s="33">
        <v>0.0</v>
      </c>
      <c r="J38" s="33">
        <v>0.0</v>
      </c>
      <c r="K38" s="33">
        <v>0.0</v>
      </c>
      <c r="L38" s="33">
        <v>0.0</v>
      </c>
      <c r="M38" s="33">
        <v>0.0</v>
      </c>
      <c r="N38" s="33">
        <v>1000.0</v>
      </c>
      <c r="O38" s="33">
        <v>0.0</v>
      </c>
      <c r="P38" s="33">
        <v>0.0</v>
      </c>
      <c r="Q38" s="33">
        <v>0.0</v>
      </c>
      <c r="R38" s="33">
        <v>0.0</v>
      </c>
      <c r="S38" s="33">
        <v>0.0</v>
      </c>
      <c r="T38" s="33">
        <v>0.0</v>
      </c>
      <c r="U38" s="33">
        <v>0.0</v>
      </c>
      <c r="V38" s="33">
        <v>0.0</v>
      </c>
      <c r="W38" s="33">
        <v>0.0</v>
      </c>
      <c r="X38" s="33">
        <v>0.0</v>
      </c>
      <c r="Y38" s="33">
        <v>0.0</v>
      </c>
      <c r="Z38" s="33">
        <v>0.0</v>
      </c>
      <c r="AA38" s="33">
        <v>0.0</v>
      </c>
      <c r="AB38" s="33">
        <v>1000.0</v>
      </c>
      <c r="AC38" s="33">
        <v>1000.0</v>
      </c>
      <c r="AD38" s="33">
        <v>0.0</v>
      </c>
      <c r="AE38" s="33">
        <v>0.0</v>
      </c>
      <c r="AF38" s="33">
        <v>0.0</v>
      </c>
      <c r="AG38" s="33">
        <v>0.0</v>
      </c>
      <c r="AH38" s="33">
        <v>0.0</v>
      </c>
      <c r="AI38" s="33">
        <v>0.0</v>
      </c>
      <c r="AJ38" s="33">
        <v>0.0</v>
      </c>
      <c r="AK38" s="33">
        <v>0.0</v>
      </c>
    </row>
    <row r="39">
      <c r="A39" s="33">
        <v>76051.0</v>
      </c>
      <c r="B39" s="33">
        <v>0.0</v>
      </c>
      <c r="C39" s="33">
        <v>0.0</v>
      </c>
      <c r="D39" s="33">
        <v>0.0</v>
      </c>
      <c r="E39" s="33">
        <v>150.0</v>
      </c>
      <c r="F39" s="33">
        <v>0.0</v>
      </c>
      <c r="G39" s="33">
        <v>2100.0</v>
      </c>
      <c r="H39" s="33">
        <v>0.0</v>
      </c>
      <c r="I39" s="33">
        <v>0.0</v>
      </c>
      <c r="J39" s="33">
        <v>0.0</v>
      </c>
      <c r="K39" s="33">
        <v>0.0</v>
      </c>
      <c r="L39" s="33">
        <v>0.0</v>
      </c>
      <c r="M39" s="33">
        <v>0.0</v>
      </c>
      <c r="N39" s="33">
        <v>2000.0</v>
      </c>
      <c r="O39" s="33">
        <v>0.0</v>
      </c>
      <c r="P39" s="33">
        <v>0.0</v>
      </c>
      <c r="Q39" s="33">
        <v>0.0</v>
      </c>
      <c r="R39" s="33">
        <v>0.0</v>
      </c>
      <c r="S39" s="33">
        <v>0.0</v>
      </c>
      <c r="T39" s="33">
        <v>0.0</v>
      </c>
      <c r="U39" s="33">
        <v>0.0</v>
      </c>
      <c r="V39" s="33">
        <v>0.0</v>
      </c>
      <c r="W39" s="33">
        <v>500.0</v>
      </c>
      <c r="X39" s="33">
        <v>0.0</v>
      </c>
      <c r="Y39" s="33">
        <v>1000.0</v>
      </c>
      <c r="Z39" s="33">
        <v>0.0</v>
      </c>
      <c r="AA39" s="33">
        <v>0.0</v>
      </c>
      <c r="AB39" s="33">
        <v>1000.0</v>
      </c>
      <c r="AC39" s="33">
        <v>2000.0</v>
      </c>
      <c r="AD39" s="33">
        <v>0.0</v>
      </c>
      <c r="AE39" s="33">
        <v>0.0</v>
      </c>
      <c r="AF39" s="33">
        <v>0.0</v>
      </c>
      <c r="AG39" s="33">
        <v>0.0</v>
      </c>
      <c r="AH39" s="33">
        <v>0.0</v>
      </c>
      <c r="AI39" s="33">
        <v>0.0</v>
      </c>
      <c r="AJ39" s="33">
        <v>0.0</v>
      </c>
      <c r="AK39" s="33">
        <v>0.0</v>
      </c>
    </row>
    <row r="40">
      <c r="A40" s="33">
        <v>75360.0</v>
      </c>
      <c r="B40" s="33">
        <v>0.0</v>
      </c>
      <c r="C40" s="33">
        <v>0.0</v>
      </c>
      <c r="D40" s="33">
        <v>0.0</v>
      </c>
      <c r="E40" s="33">
        <v>2000.0</v>
      </c>
      <c r="F40" s="33">
        <v>0.0</v>
      </c>
      <c r="G40" s="33">
        <v>1000.0</v>
      </c>
      <c r="H40" s="33">
        <v>0.0</v>
      </c>
      <c r="I40" s="33">
        <v>0.0</v>
      </c>
      <c r="J40" s="33">
        <v>0.0</v>
      </c>
      <c r="K40" s="33">
        <v>0.0</v>
      </c>
      <c r="L40" s="33">
        <v>0.0</v>
      </c>
      <c r="M40" s="33">
        <v>0.0</v>
      </c>
      <c r="N40" s="33">
        <v>0.0</v>
      </c>
      <c r="O40" s="33">
        <v>2000.0</v>
      </c>
      <c r="P40" s="33">
        <v>0.0</v>
      </c>
      <c r="Q40" s="33">
        <v>0.0</v>
      </c>
      <c r="R40" s="33">
        <v>0.0</v>
      </c>
      <c r="S40" s="33">
        <v>0.0</v>
      </c>
      <c r="T40" s="33">
        <v>0.0</v>
      </c>
      <c r="U40" s="33">
        <v>0.0</v>
      </c>
      <c r="V40" s="33">
        <v>0.0</v>
      </c>
      <c r="W40" s="33">
        <v>0.0</v>
      </c>
      <c r="X40" s="33">
        <v>0.0</v>
      </c>
      <c r="Y40" s="33">
        <v>1000.0</v>
      </c>
      <c r="Z40" s="33">
        <v>0.0</v>
      </c>
      <c r="AA40" s="33">
        <v>0.0</v>
      </c>
      <c r="AB40" s="33">
        <v>1000.0</v>
      </c>
      <c r="AC40" s="33">
        <v>1000.0</v>
      </c>
      <c r="AD40" s="33">
        <v>0.0</v>
      </c>
      <c r="AE40" s="33">
        <v>0.0</v>
      </c>
      <c r="AF40" s="33">
        <v>0.0</v>
      </c>
      <c r="AG40" s="33">
        <v>0.0</v>
      </c>
      <c r="AH40" s="33">
        <v>0.0</v>
      </c>
      <c r="AI40" s="33">
        <v>0.0</v>
      </c>
      <c r="AJ40" s="33">
        <v>0.0</v>
      </c>
      <c r="AK40" s="33">
        <v>0.0</v>
      </c>
    </row>
    <row r="41">
      <c r="A41" s="33">
        <v>75210.0</v>
      </c>
      <c r="B41" s="33">
        <v>0.0</v>
      </c>
      <c r="C41" s="33">
        <v>0.0</v>
      </c>
      <c r="D41" s="33">
        <v>0.0</v>
      </c>
      <c r="E41" s="33">
        <v>100.0</v>
      </c>
      <c r="F41" s="33">
        <v>0.0</v>
      </c>
      <c r="G41" s="33">
        <v>1250.0</v>
      </c>
      <c r="H41" s="33">
        <v>0.0</v>
      </c>
      <c r="I41" s="33">
        <v>0.0</v>
      </c>
      <c r="J41" s="33">
        <v>0.0</v>
      </c>
      <c r="K41" s="33">
        <v>0.0</v>
      </c>
      <c r="L41" s="33">
        <v>0.0</v>
      </c>
      <c r="M41" s="33">
        <v>0.0</v>
      </c>
      <c r="N41" s="33">
        <v>0.0</v>
      </c>
      <c r="O41" s="33">
        <v>0.0</v>
      </c>
      <c r="P41" s="33">
        <v>0.0</v>
      </c>
      <c r="Q41" s="33">
        <v>0.0</v>
      </c>
      <c r="R41" s="33">
        <v>0.0</v>
      </c>
      <c r="S41" s="33">
        <v>0.0</v>
      </c>
      <c r="T41" s="33">
        <v>0.0</v>
      </c>
      <c r="U41" s="33">
        <v>0.0</v>
      </c>
      <c r="V41" s="33">
        <v>0.0</v>
      </c>
      <c r="W41" s="33">
        <v>500.0</v>
      </c>
      <c r="X41" s="33">
        <v>0.0</v>
      </c>
      <c r="Y41" s="33">
        <v>0.0</v>
      </c>
      <c r="Z41" s="33">
        <v>0.0</v>
      </c>
      <c r="AA41" s="33">
        <v>0.0</v>
      </c>
      <c r="AB41" s="33">
        <v>100.0</v>
      </c>
      <c r="AC41" s="33">
        <v>0.0</v>
      </c>
      <c r="AD41" s="33">
        <v>0.0</v>
      </c>
      <c r="AE41" s="33">
        <v>0.0</v>
      </c>
      <c r="AF41" s="33">
        <v>0.0</v>
      </c>
      <c r="AG41" s="33">
        <v>0.0</v>
      </c>
      <c r="AH41" s="33">
        <v>0.0</v>
      </c>
      <c r="AI41" s="33">
        <v>0.0</v>
      </c>
      <c r="AJ41" s="33">
        <v>0.0</v>
      </c>
      <c r="AK41" s="33">
        <v>0.0</v>
      </c>
    </row>
    <row r="42">
      <c r="A42" s="33">
        <v>78645.0</v>
      </c>
      <c r="B42" s="33">
        <v>0.0</v>
      </c>
      <c r="C42" s="33">
        <v>0.0</v>
      </c>
      <c r="D42" s="33">
        <v>0.0</v>
      </c>
      <c r="E42" s="33">
        <v>1000.0</v>
      </c>
      <c r="F42" s="33">
        <v>0.0</v>
      </c>
      <c r="G42" s="33">
        <v>250.0</v>
      </c>
      <c r="H42" s="33">
        <v>0.0</v>
      </c>
      <c r="I42" s="33">
        <v>0.0</v>
      </c>
      <c r="J42" s="33">
        <v>0.0</v>
      </c>
      <c r="K42" s="33">
        <v>0.0</v>
      </c>
      <c r="L42" s="33">
        <v>0.0</v>
      </c>
      <c r="M42" s="33">
        <v>0.0</v>
      </c>
      <c r="N42" s="33">
        <v>0.0</v>
      </c>
      <c r="O42" s="33">
        <v>0.0</v>
      </c>
      <c r="P42" s="33">
        <v>0.0</v>
      </c>
      <c r="Q42" s="33">
        <v>0.0</v>
      </c>
      <c r="R42" s="33">
        <v>0.0</v>
      </c>
      <c r="S42" s="33">
        <v>0.0</v>
      </c>
      <c r="T42" s="33">
        <v>0.0</v>
      </c>
      <c r="U42" s="33">
        <v>0.0</v>
      </c>
      <c r="V42" s="33">
        <v>0.0</v>
      </c>
      <c r="W42" s="33">
        <v>0.0</v>
      </c>
      <c r="X42" s="33">
        <v>0.0</v>
      </c>
      <c r="Y42" s="33">
        <v>0.0</v>
      </c>
      <c r="Z42" s="33">
        <v>0.0</v>
      </c>
      <c r="AA42" s="33">
        <v>0.0</v>
      </c>
      <c r="AB42" s="33">
        <v>0.0</v>
      </c>
      <c r="AC42" s="33">
        <v>0.0</v>
      </c>
      <c r="AD42" s="33">
        <v>0.0</v>
      </c>
      <c r="AE42" s="33">
        <v>0.0</v>
      </c>
      <c r="AF42" s="33">
        <v>0.0</v>
      </c>
      <c r="AG42" s="33">
        <v>0.0</v>
      </c>
      <c r="AH42" s="33">
        <v>0.0</v>
      </c>
      <c r="AI42" s="33">
        <v>0.0</v>
      </c>
      <c r="AJ42" s="33">
        <v>0.0</v>
      </c>
      <c r="AK42" s="33">
        <v>0.0</v>
      </c>
    </row>
    <row r="43">
      <c r="A43" s="33">
        <v>76702.0</v>
      </c>
      <c r="B43" s="33">
        <v>0.0</v>
      </c>
      <c r="C43" s="33">
        <v>0.0</v>
      </c>
      <c r="D43" s="33">
        <v>0.0</v>
      </c>
      <c r="E43" s="33">
        <v>0.0</v>
      </c>
      <c r="F43" s="33">
        <v>0.0</v>
      </c>
      <c r="G43" s="33">
        <v>50.0</v>
      </c>
      <c r="H43" s="33">
        <v>0.0</v>
      </c>
      <c r="I43" s="33">
        <v>0.0</v>
      </c>
      <c r="J43" s="33">
        <v>0.0</v>
      </c>
      <c r="K43" s="33">
        <v>0.0</v>
      </c>
      <c r="L43" s="33">
        <v>0.0</v>
      </c>
      <c r="M43" s="33">
        <v>0.0</v>
      </c>
      <c r="N43" s="33">
        <v>0.0</v>
      </c>
      <c r="O43" s="33">
        <v>0.0</v>
      </c>
      <c r="P43" s="33">
        <v>0.0</v>
      </c>
      <c r="Q43" s="33">
        <v>0.0</v>
      </c>
      <c r="R43" s="33">
        <v>0.0</v>
      </c>
      <c r="S43" s="33">
        <v>0.0</v>
      </c>
      <c r="T43" s="33">
        <v>0.0</v>
      </c>
      <c r="U43" s="33">
        <v>0.0</v>
      </c>
      <c r="V43" s="33">
        <v>0.0</v>
      </c>
      <c r="W43" s="33">
        <v>0.0</v>
      </c>
      <c r="X43" s="33">
        <v>0.0</v>
      </c>
      <c r="Y43" s="33">
        <v>0.0</v>
      </c>
      <c r="Z43" s="33">
        <v>0.0</v>
      </c>
      <c r="AA43" s="33">
        <v>0.0</v>
      </c>
      <c r="AB43" s="33">
        <v>0.0</v>
      </c>
      <c r="AC43" s="33">
        <v>0.0</v>
      </c>
      <c r="AD43" s="33">
        <v>0.0</v>
      </c>
      <c r="AE43" s="33">
        <v>0.0</v>
      </c>
      <c r="AF43" s="33">
        <v>0.0</v>
      </c>
      <c r="AG43" s="33">
        <v>0.0</v>
      </c>
      <c r="AH43" s="33">
        <v>0.0</v>
      </c>
      <c r="AI43" s="33">
        <v>0.0</v>
      </c>
      <c r="AJ43" s="33">
        <v>0.0</v>
      </c>
      <c r="AK43" s="33">
        <v>0.0</v>
      </c>
    </row>
    <row r="44">
      <c r="A44" s="33">
        <v>78723.0</v>
      </c>
      <c r="B44" s="33">
        <v>0.0</v>
      </c>
      <c r="C44" s="33">
        <v>0.0</v>
      </c>
      <c r="D44" s="33">
        <v>0.0</v>
      </c>
      <c r="E44" s="33">
        <v>0.0</v>
      </c>
      <c r="F44" s="33">
        <v>0.0</v>
      </c>
      <c r="G44" s="33">
        <v>100.0</v>
      </c>
      <c r="H44" s="33">
        <v>0.0</v>
      </c>
      <c r="I44" s="33">
        <v>0.0</v>
      </c>
      <c r="J44" s="33">
        <v>0.0</v>
      </c>
      <c r="K44" s="33">
        <v>0.0</v>
      </c>
      <c r="L44" s="33">
        <v>0.0</v>
      </c>
      <c r="M44" s="33">
        <v>0.0</v>
      </c>
      <c r="N44" s="33">
        <v>0.0</v>
      </c>
      <c r="O44" s="33">
        <v>250.0</v>
      </c>
      <c r="P44" s="33">
        <v>0.0</v>
      </c>
      <c r="Q44" s="33">
        <v>0.0</v>
      </c>
      <c r="R44" s="33">
        <v>0.0</v>
      </c>
      <c r="S44" s="33">
        <v>0.0</v>
      </c>
      <c r="T44" s="33">
        <v>0.0</v>
      </c>
      <c r="U44" s="33">
        <v>0.0</v>
      </c>
      <c r="V44" s="33">
        <v>0.0</v>
      </c>
      <c r="W44" s="33">
        <v>0.0</v>
      </c>
      <c r="X44" s="33">
        <v>0.0</v>
      </c>
      <c r="Y44" s="33">
        <v>0.0</v>
      </c>
      <c r="Z44" s="33">
        <v>0.0</v>
      </c>
      <c r="AA44" s="33">
        <v>0.0</v>
      </c>
      <c r="AB44" s="33">
        <v>0.0</v>
      </c>
      <c r="AC44" s="33">
        <v>0.0</v>
      </c>
      <c r="AD44" s="33">
        <v>0.0</v>
      </c>
      <c r="AE44" s="33">
        <v>0.0</v>
      </c>
      <c r="AF44" s="33">
        <v>0.0</v>
      </c>
      <c r="AG44" s="33">
        <v>0.0</v>
      </c>
      <c r="AH44" s="33">
        <v>0.0</v>
      </c>
      <c r="AI44" s="33">
        <v>0.0</v>
      </c>
      <c r="AJ44" s="33">
        <v>0.0</v>
      </c>
      <c r="AK44" s="33">
        <v>0.0</v>
      </c>
    </row>
    <row r="45">
      <c r="A45" s="33">
        <v>75205.0</v>
      </c>
      <c r="B45" s="33">
        <v>4550.0</v>
      </c>
      <c r="C45" s="33">
        <v>1000.0</v>
      </c>
      <c r="D45" s="33">
        <v>7750.0</v>
      </c>
      <c r="E45" s="33">
        <v>3000.0</v>
      </c>
      <c r="F45" s="33">
        <v>0.0</v>
      </c>
      <c r="G45" s="33">
        <v>5800.0</v>
      </c>
      <c r="H45" s="33">
        <v>0.0</v>
      </c>
      <c r="I45" s="33">
        <v>0.0</v>
      </c>
      <c r="J45" s="33">
        <v>0.0</v>
      </c>
      <c r="K45" s="33">
        <v>0.0</v>
      </c>
      <c r="L45" s="33">
        <v>0.0</v>
      </c>
      <c r="M45" s="33">
        <v>0.0</v>
      </c>
      <c r="N45" s="33">
        <v>5000.0</v>
      </c>
      <c r="O45" s="33">
        <v>0.0</v>
      </c>
      <c r="P45" s="33">
        <v>0.0</v>
      </c>
      <c r="Q45" s="33">
        <v>1750.0</v>
      </c>
      <c r="R45" s="33">
        <v>0.0</v>
      </c>
      <c r="S45" s="33">
        <v>0.0</v>
      </c>
      <c r="T45" s="33">
        <v>19996.700000000004</v>
      </c>
      <c r="U45" s="33">
        <v>100.0</v>
      </c>
      <c r="V45" s="33">
        <v>0.0</v>
      </c>
      <c r="W45" s="33">
        <v>15000.0</v>
      </c>
      <c r="X45" s="33">
        <v>0.0</v>
      </c>
      <c r="Y45" s="33">
        <v>2420.38</v>
      </c>
      <c r="Z45" s="33">
        <v>70000.0</v>
      </c>
      <c r="AA45" s="33">
        <v>2500.0</v>
      </c>
      <c r="AB45" s="33">
        <v>4250.0</v>
      </c>
      <c r="AC45" s="33">
        <v>350.0</v>
      </c>
      <c r="AD45" s="33">
        <v>0.0</v>
      </c>
      <c r="AE45" s="33">
        <v>0.0</v>
      </c>
      <c r="AF45" s="33">
        <v>0.0</v>
      </c>
      <c r="AG45" s="33">
        <v>0.0</v>
      </c>
      <c r="AH45" s="33">
        <v>0.0</v>
      </c>
      <c r="AI45" s="33">
        <v>0.0</v>
      </c>
      <c r="AJ45" s="33">
        <v>2000.0</v>
      </c>
      <c r="AK45" s="33">
        <v>4000.0</v>
      </c>
    </row>
    <row r="46">
      <c r="A46" s="33">
        <v>75082.0</v>
      </c>
      <c r="B46" s="33">
        <v>0.0</v>
      </c>
      <c r="C46" s="33">
        <v>0.0</v>
      </c>
      <c r="D46" s="33">
        <v>0.0</v>
      </c>
      <c r="E46" s="33">
        <v>0.0</v>
      </c>
      <c r="F46" s="33">
        <v>0.0</v>
      </c>
      <c r="G46" s="33">
        <v>250.0</v>
      </c>
      <c r="H46" s="33">
        <v>0.0</v>
      </c>
      <c r="I46" s="33">
        <v>0.0</v>
      </c>
      <c r="J46" s="33">
        <v>0.0</v>
      </c>
      <c r="K46" s="33">
        <v>0.0</v>
      </c>
      <c r="L46" s="33">
        <v>0.0</v>
      </c>
      <c r="M46" s="33">
        <v>0.0</v>
      </c>
      <c r="N46" s="33">
        <v>0.0</v>
      </c>
      <c r="O46" s="33">
        <v>0.0</v>
      </c>
      <c r="P46" s="33">
        <v>0.0</v>
      </c>
      <c r="Q46" s="33">
        <v>0.0</v>
      </c>
      <c r="R46" s="33">
        <v>0.0</v>
      </c>
      <c r="S46" s="33">
        <v>0.0</v>
      </c>
      <c r="T46" s="33">
        <v>25.0</v>
      </c>
      <c r="U46" s="33">
        <v>0.0</v>
      </c>
      <c r="V46" s="33">
        <v>0.0</v>
      </c>
      <c r="W46" s="33">
        <v>0.0</v>
      </c>
      <c r="X46" s="33">
        <v>0.0</v>
      </c>
      <c r="Y46" s="33">
        <v>0.0</v>
      </c>
      <c r="Z46" s="33">
        <v>0.0</v>
      </c>
      <c r="AA46" s="33">
        <v>0.0</v>
      </c>
      <c r="AB46" s="33">
        <v>1000.0</v>
      </c>
      <c r="AC46" s="33">
        <v>100.0</v>
      </c>
      <c r="AD46" s="33">
        <v>0.0</v>
      </c>
      <c r="AE46" s="33">
        <v>0.0</v>
      </c>
      <c r="AF46" s="33">
        <v>0.0</v>
      </c>
      <c r="AG46" s="33">
        <v>0.0</v>
      </c>
      <c r="AH46" s="33">
        <v>0.0</v>
      </c>
      <c r="AI46" s="33">
        <v>0.0</v>
      </c>
      <c r="AJ46" s="33">
        <v>0.0</v>
      </c>
      <c r="AK46" s="33">
        <v>0.0</v>
      </c>
    </row>
    <row r="47">
      <c r="A47" s="33">
        <v>75215.0</v>
      </c>
      <c r="B47" s="33">
        <v>500.0</v>
      </c>
      <c r="C47" s="33">
        <v>0.0</v>
      </c>
      <c r="D47" s="33">
        <v>500.0</v>
      </c>
      <c r="E47" s="33">
        <v>1150.0</v>
      </c>
      <c r="F47" s="33">
        <v>0.0</v>
      </c>
      <c r="G47" s="33">
        <v>2150.0</v>
      </c>
      <c r="H47" s="33">
        <v>6.0</v>
      </c>
      <c r="I47" s="33">
        <v>0.0</v>
      </c>
      <c r="J47" s="33">
        <v>0.0</v>
      </c>
      <c r="K47" s="33">
        <v>1000.0</v>
      </c>
      <c r="L47" s="33">
        <v>650.0</v>
      </c>
      <c r="M47" s="33">
        <v>0.0</v>
      </c>
      <c r="N47" s="33">
        <v>920.0</v>
      </c>
      <c r="O47" s="33">
        <v>0.0</v>
      </c>
      <c r="P47" s="33">
        <v>0.0</v>
      </c>
      <c r="Q47" s="33">
        <v>500.0</v>
      </c>
      <c r="R47" s="33">
        <v>0.0</v>
      </c>
      <c r="S47" s="33">
        <v>0.0</v>
      </c>
      <c r="T47" s="33">
        <v>2087.2</v>
      </c>
      <c r="U47" s="33">
        <v>0.0</v>
      </c>
      <c r="V47" s="33">
        <v>0.0</v>
      </c>
      <c r="W47" s="33">
        <v>700.0</v>
      </c>
      <c r="X47" s="33">
        <v>0.0</v>
      </c>
      <c r="Y47" s="33">
        <v>0.0</v>
      </c>
      <c r="Z47" s="33">
        <v>1700.0</v>
      </c>
      <c r="AA47" s="33">
        <v>0.0</v>
      </c>
      <c r="AB47" s="33">
        <v>1450.0</v>
      </c>
      <c r="AC47" s="33">
        <v>0.0</v>
      </c>
      <c r="AD47" s="33">
        <v>500.0</v>
      </c>
      <c r="AE47" s="33">
        <v>0.0</v>
      </c>
      <c r="AF47" s="33">
        <v>0.0</v>
      </c>
      <c r="AG47" s="33">
        <v>0.0</v>
      </c>
      <c r="AH47" s="33">
        <v>0.0</v>
      </c>
      <c r="AI47" s="33">
        <v>0.0</v>
      </c>
      <c r="AJ47" s="33">
        <v>0.0</v>
      </c>
      <c r="AK47" s="33">
        <v>1000.0</v>
      </c>
    </row>
    <row r="48">
      <c r="A48" s="33">
        <v>59715.0</v>
      </c>
      <c r="B48" s="33">
        <v>0.0</v>
      </c>
      <c r="C48" s="33">
        <v>0.0</v>
      </c>
      <c r="D48" s="33">
        <v>0.0</v>
      </c>
      <c r="E48" s="33">
        <v>0.0</v>
      </c>
      <c r="F48" s="33">
        <v>0.0</v>
      </c>
      <c r="G48" s="33">
        <v>1000.0</v>
      </c>
      <c r="H48" s="33">
        <v>0.0</v>
      </c>
      <c r="I48" s="33">
        <v>0.0</v>
      </c>
      <c r="J48" s="33">
        <v>0.0</v>
      </c>
      <c r="K48" s="33">
        <v>0.0</v>
      </c>
      <c r="L48" s="33">
        <v>0.0</v>
      </c>
      <c r="M48" s="33">
        <v>0.0</v>
      </c>
      <c r="N48" s="33">
        <v>0.0</v>
      </c>
      <c r="O48" s="33">
        <v>0.0</v>
      </c>
      <c r="P48" s="33">
        <v>0.0</v>
      </c>
      <c r="Q48" s="33">
        <v>0.0</v>
      </c>
      <c r="R48" s="33">
        <v>0.0</v>
      </c>
      <c r="S48" s="33">
        <v>0.0</v>
      </c>
      <c r="T48" s="33">
        <v>0.0</v>
      </c>
      <c r="U48" s="33">
        <v>0.0</v>
      </c>
      <c r="V48" s="33">
        <v>0.0</v>
      </c>
      <c r="W48" s="33">
        <v>0.0</v>
      </c>
      <c r="X48" s="33">
        <v>0.0</v>
      </c>
      <c r="Y48" s="33">
        <v>0.0</v>
      </c>
      <c r="Z48" s="33">
        <v>0.0</v>
      </c>
      <c r="AA48" s="33">
        <v>0.0</v>
      </c>
      <c r="AB48" s="33">
        <v>0.0</v>
      </c>
      <c r="AC48" s="33">
        <v>0.0</v>
      </c>
      <c r="AD48" s="33">
        <v>0.0</v>
      </c>
      <c r="AE48" s="33">
        <v>0.0</v>
      </c>
      <c r="AF48" s="33">
        <v>0.0</v>
      </c>
      <c r="AG48" s="33">
        <v>0.0</v>
      </c>
      <c r="AH48" s="33">
        <v>0.0</v>
      </c>
      <c r="AI48" s="33">
        <v>0.0</v>
      </c>
      <c r="AJ48" s="33">
        <v>0.0</v>
      </c>
      <c r="AK48" s="33">
        <v>0.0</v>
      </c>
    </row>
    <row r="49">
      <c r="A49" s="33">
        <v>75238.0</v>
      </c>
      <c r="B49" s="33">
        <v>500.0</v>
      </c>
      <c r="C49" s="33">
        <v>0.0</v>
      </c>
      <c r="D49" s="33">
        <v>250.0</v>
      </c>
      <c r="E49" s="33">
        <v>0.0</v>
      </c>
      <c r="F49" s="33">
        <v>0.0</v>
      </c>
      <c r="G49" s="33">
        <v>0.0</v>
      </c>
      <c r="H49" s="33">
        <v>0.0</v>
      </c>
      <c r="I49" s="33">
        <v>0.0</v>
      </c>
      <c r="J49" s="33">
        <v>0.0</v>
      </c>
      <c r="K49" s="33">
        <v>0.0</v>
      </c>
      <c r="L49" s="33">
        <v>0.0</v>
      </c>
      <c r="M49" s="33">
        <v>0.0</v>
      </c>
      <c r="N49" s="33">
        <v>100.0</v>
      </c>
      <c r="O49" s="33">
        <v>500.0</v>
      </c>
      <c r="P49" s="33">
        <v>0.0</v>
      </c>
      <c r="Q49" s="33">
        <v>1500.0</v>
      </c>
      <c r="R49" s="33">
        <v>2504.0</v>
      </c>
      <c r="S49" s="33">
        <v>0.0</v>
      </c>
      <c r="T49" s="33">
        <v>1949.7</v>
      </c>
      <c r="U49" s="33">
        <v>0.0</v>
      </c>
      <c r="V49" s="33">
        <v>2960.0</v>
      </c>
      <c r="W49" s="33">
        <v>250.0</v>
      </c>
      <c r="X49" s="33">
        <v>0.0</v>
      </c>
      <c r="Y49" s="33">
        <v>51.99</v>
      </c>
      <c r="Z49" s="33">
        <v>1315.0</v>
      </c>
      <c r="AA49" s="33">
        <v>750.0</v>
      </c>
      <c r="AB49" s="33">
        <v>500.0</v>
      </c>
      <c r="AC49" s="33">
        <v>20200.0</v>
      </c>
      <c r="AD49" s="33">
        <v>0.0</v>
      </c>
      <c r="AE49" s="33">
        <v>0.0</v>
      </c>
      <c r="AF49" s="33">
        <v>0.0</v>
      </c>
      <c r="AG49" s="33">
        <v>0.0</v>
      </c>
      <c r="AH49" s="33">
        <v>0.0</v>
      </c>
      <c r="AI49" s="33">
        <v>0.0</v>
      </c>
      <c r="AJ49" s="33">
        <v>50.0</v>
      </c>
      <c r="AK49" s="33">
        <v>0.0</v>
      </c>
    </row>
    <row r="50">
      <c r="A50" s="33">
        <v>76088.0</v>
      </c>
      <c r="B50" s="33">
        <v>1000.0</v>
      </c>
      <c r="C50" s="33">
        <v>0.0</v>
      </c>
      <c r="D50" s="33">
        <v>0.0</v>
      </c>
      <c r="E50" s="33">
        <v>0.0</v>
      </c>
      <c r="F50" s="33">
        <v>0.0</v>
      </c>
      <c r="G50" s="33">
        <v>0.0</v>
      </c>
      <c r="H50" s="33">
        <v>0.0</v>
      </c>
      <c r="I50" s="33">
        <v>0.0</v>
      </c>
      <c r="J50" s="33">
        <v>0.0</v>
      </c>
      <c r="K50" s="33">
        <v>0.0</v>
      </c>
      <c r="L50" s="33">
        <v>0.0</v>
      </c>
      <c r="M50" s="33">
        <v>0.0</v>
      </c>
      <c r="N50" s="33">
        <v>0.0</v>
      </c>
      <c r="O50" s="33">
        <v>0.0</v>
      </c>
      <c r="P50" s="33">
        <v>0.0</v>
      </c>
      <c r="Q50" s="33">
        <v>0.0</v>
      </c>
      <c r="R50" s="33">
        <v>0.0</v>
      </c>
      <c r="S50" s="33">
        <v>0.0</v>
      </c>
      <c r="T50" s="33">
        <v>0.0</v>
      </c>
      <c r="U50" s="33">
        <v>0.0</v>
      </c>
      <c r="V50" s="33">
        <v>0.0</v>
      </c>
      <c r="W50" s="33">
        <v>0.0</v>
      </c>
      <c r="X50" s="33">
        <v>0.0</v>
      </c>
      <c r="Y50" s="33">
        <v>0.0</v>
      </c>
      <c r="Z50" s="33">
        <v>0.0</v>
      </c>
      <c r="AA50" s="33">
        <v>0.0</v>
      </c>
      <c r="AB50" s="33">
        <v>0.0</v>
      </c>
      <c r="AC50" s="33">
        <v>0.0</v>
      </c>
      <c r="AD50" s="33">
        <v>0.0</v>
      </c>
      <c r="AE50" s="33">
        <v>0.0</v>
      </c>
      <c r="AF50" s="33">
        <v>0.0</v>
      </c>
      <c r="AG50" s="33">
        <v>0.0</v>
      </c>
      <c r="AH50" s="33">
        <v>0.0</v>
      </c>
      <c r="AI50" s="33">
        <v>0.0</v>
      </c>
      <c r="AJ50" s="33">
        <v>0.0</v>
      </c>
      <c r="AK50" s="33">
        <v>0.0</v>
      </c>
    </row>
    <row r="51">
      <c r="A51" s="33">
        <v>75217.0</v>
      </c>
      <c r="B51" s="33">
        <v>0.0</v>
      </c>
      <c r="C51" s="33">
        <v>0.0</v>
      </c>
      <c r="D51" s="33">
        <v>0.0</v>
      </c>
      <c r="E51" s="33">
        <v>50.0</v>
      </c>
      <c r="F51" s="33">
        <v>0.0</v>
      </c>
      <c r="G51" s="33">
        <v>0.0</v>
      </c>
      <c r="H51" s="33">
        <v>140.0</v>
      </c>
      <c r="I51" s="33">
        <v>0.0</v>
      </c>
      <c r="J51" s="33">
        <v>0.0</v>
      </c>
      <c r="K51" s="33">
        <v>0.0</v>
      </c>
      <c r="L51" s="33">
        <v>0.0</v>
      </c>
      <c r="M51" s="33">
        <v>0.0</v>
      </c>
      <c r="N51" s="33">
        <v>0.0</v>
      </c>
      <c r="O51" s="33">
        <v>55.0</v>
      </c>
      <c r="P51" s="33">
        <v>2500.0</v>
      </c>
      <c r="Q51" s="33">
        <v>0.0</v>
      </c>
      <c r="R51" s="33">
        <v>0.0</v>
      </c>
      <c r="S51" s="33">
        <v>1200.0</v>
      </c>
      <c r="T51" s="33">
        <v>0.0</v>
      </c>
      <c r="U51" s="33">
        <v>0.0</v>
      </c>
      <c r="V51" s="33">
        <v>0.0</v>
      </c>
      <c r="W51" s="33">
        <v>0.0</v>
      </c>
      <c r="X51" s="33">
        <v>0.0</v>
      </c>
      <c r="Y51" s="33">
        <v>0.0</v>
      </c>
      <c r="Z51" s="33">
        <v>650.0</v>
      </c>
      <c r="AA51" s="33">
        <v>0.0</v>
      </c>
      <c r="AB51" s="33">
        <v>0.0</v>
      </c>
      <c r="AC51" s="33">
        <v>0.0</v>
      </c>
      <c r="AD51" s="33">
        <v>0.0</v>
      </c>
      <c r="AE51" s="33">
        <v>0.0</v>
      </c>
      <c r="AF51" s="33">
        <v>0.0</v>
      </c>
      <c r="AG51" s="33">
        <v>0.0</v>
      </c>
      <c r="AH51" s="33">
        <v>25.0</v>
      </c>
      <c r="AI51" s="33">
        <v>0.0</v>
      </c>
      <c r="AJ51" s="33">
        <v>0.0</v>
      </c>
      <c r="AK51" s="33">
        <v>0.0</v>
      </c>
    </row>
    <row r="52">
      <c r="A52" s="33">
        <v>75249.0</v>
      </c>
      <c r="B52" s="33">
        <v>0.0</v>
      </c>
      <c r="C52" s="33">
        <v>0.0</v>
      </c>
      <c r="D52" s="33">
        <v>250.0</v>
      </c>
      <c r="E52" s="33">
        <v>0.0</v>
      </c>
      <c r="F52" s="33">
        <v>0.0</v>
      </c>
      <c r="G52" s="33">
        <v>0.0</v>
      </c>
      <c r="H52" s="33">
        <v>35.0</v>
      </c>
      <c r="I52" s="33">
        <v>0.0</v>
      </c>
      <c r="J52" s="33">
        <v>0.0</v>
      </c>
      <c r="K52" s="33">
        <v>0.0</v>
      </c>
      <c r="L52" s="33">
        <v>0.0</v>
      </c>
      <c r="M52" s="33">
        <v>0.0</v>
      </c>
      <c r="N52" s="33">
        <v>0.0</v>
      </c>
      <c r="O52" s="33">
        <v>0.0</v>
      </c>
      <c r="P52" s="33">
        <v>0.0</v>
      </c>
      <c r="Q52" s="33">
        <v>0.0</v>
      </c>
      <c r="R52" s="33">
        <v>0.0</v>
      </c>
      <c r="S52" s="33">
        <v>0.0</v>
      </c>
      <c r="T52" s="33">
        <v>0.0</v>
      </c>
      <c r="U52" s="33">
        <v>0.0</v>
      </c>
      <c r="V52" s="33">
        <v>0.0</v>
      </c>
      <c r="W52" s="33">
        <v>0.0</v>
      </c>
      <c r="X52" s="33">
        <v>0.0</v>
      </c>
      <c r="Y52" s="33">
        <v>0.0</v>
      </c>
      <c r="Z52" s="33">
        <v>1000.0</v>
      </c>
      <c r="AA52" s="33">
        <v>0.0</v>
      </c>
      <c r="AB52" s="33">
        <v>0.0</v>
      </c>
      <c r="AC52" s="33">
        <v>0.0</v>
      </c>
      <c r="AD52" s="33">
        <v>0.0</v>
      </c>
      <c r="AE52" s="33">
        <v>0.0</v>
      </c>
      <c r="AF52" s="33">
        <v>0.0</v>
      </c>
      <c r="AG52" s="33">
        <v>0.0</v>
      </c>
      <c r="AH52" s="33">
        <v>0.0</v>
      </c>
      <c r="AI52" s="33">
        <v>0.0</v>
      </c>
      <c r="AJ52" s="33">
        <v>0.0</v>
      </c>
      <c r="AK52" s="33">
        <v>0.0</v>
      </c>
    </row>
    <row r="53">
      <c r="A53" s="33">
        <v>75233.0</v>
      </c>
      <c r="B53" s="33">
        <v>0.0</v>
      </c>
      <c r="C53" s="33">
        <v>0.0</v>
      </c>
      <c r="D53" s="33">
        <v>700.0</v>
      </c>
      <c r="E53" s="33">
        <v>0.0</v>
      </c>
      <c r="F53" s="33">
        <v>0.0</v>
      </c>
      <c r="G53" s="33">
        <v>0.0</v>
      </c>
      <c r="H53" s="33">
        <v>310.0</v>
      </c>
      <c r="I53" s="33">
        <v>0.0</v>
      </c>
      <c r="J53" s="33">
        <v>0.0</v>
      </c>
      <c r="K53" s="33">
        <v>0.0</v>
      </c>
      <c r="L53" s="33">
        <v>0.0</v>
      </c>
      <c r="M53" s="33">
        <v>0.0</v>
      </c>
      <c r="N53" s="33">
        <v>100.0</v>
      </c>
      <c r="O53" s="33">
        <v>0.0</v>
      </c>
      <c r="P53" s="33">
        <v>0.0</v>
      </c>
      <c r="Q53" s="33">
        <v>0.0</v>
      </c>
      <c r="R53" s="33">
        <v>0.0</v>
      </c>
      <c r="S53" s="33">
        <v>0.0</v>
      </c>
      <c r="T53" s="33">
        <v>500.0</v>
      </c>
      <c r="U53" s="33">
        <v>0.0</v>
      </c>
      <c r="V53" s="33">
        <v>0.0</v>
      </c>
      <c r="W53" s="33">
        <v>0.0</v>
      </c>
      <c r="X53" s="33">
        <v>0.0</v>
      </c>
      <c r="Y53" s="33">
        <v>0.0</v>
      </c>
      <c r="Z53" s="33">
        <v>250.0</v>
      </c>
      <c r="AA53" s="33">
        <v>0.0</v>
      </c>
      <c r="AB53" s="33">
        <v>0.0</v>
      </c>
      <c r="AC53" s="33">
        <v>0.0</v>
      </c>
      <c r="AD53" s="33">
        <v>0.0</v>
      </c>
      <c r="AE53" s="33">
        <v>0.0</v>
      </c>
      <c r="AF53" s="33">
        <v>0.0</v>
      </c>
      <c r="AG53" s="33">
        <v>0.0</v>
      </c>
      <c r="AH53" s="33">
        <v>0.0</v>
      </c>
      <c r="AI53" s="33">
        <v>0.0</v>
      </c>
      <c r="AJ53" s="33">
        <v>0.0</v>
      </c>
      <c r="AK53" s="33">
        <v>0.0</v>
      </c>
    </row>
    <row r="54">
      <c r="A54" s="33">
        <v>75160.0</v>
      </c>
      <c r="B54" s="33">
        <v>0.0</v>
      </c>
      <c r="C54" s="33">
        <v>0.0</v>
      </c>
      <c r="D54" s="33">
        <v>0.0</v>
      </c>
      <c r="E54" s="33">
        <v>0.0</v>
      </c>
      <c r="F54" s="33">
        <v>0.0</v>
      </c>
      <c r="G54" s="33">
        <v>0.0</v>
      </c>
      <c r="H54" s="33">
        <v>40.0</v>
      </c>
      <c r="I54" s="33">
        <v>0.0</v>
      </c>
      <c r="J54" s="33">
        <v>0.0</v>
      </c>
      <c r="K54" s="33">
        <v>0.0</v>
      </c>
      <c r="L54" s="33">
        <v>0.0</v>
      </c>
      <c r="M54" s="33">
        <v>0.0</v>
      </c>
      <c r="N54" s="33">
        <v>0.0</v>
      </c>
      <c r="O54" s="33">
        <v>0.0</v>
      </c>
      <c r="P54" s="33">
        <v>0.0</v>
      </c>
      <c r="Q54" s="33">
        <v>0.0</v>
      </c>
      <c r="R54" s="33">
        <v>0.0</v>
      </c>
      <c r="S54" s="33">
        <v>0.0</v>
      </c>
      <c r="T54" s="33">
        <v>0.0</v>
      </c>
      <c r="U54" s="33">
        <v>0.0</v>
      </c>
      <c r="V54" s="33">
        <v>0.0</v>
      </c>
      <c r="W54" s="33">
        <v>0.0</v>
      </c>
      <c r="X54" s="33">
        <v>0.0</v>
      </c>
      <c r="Y54" s="33">
        <v>0.0</v>
      </c>
      <c r="Z54" s="33">
        <v>0.0</v>
      </c>
      <c r="AA54" s="33">
        <v>0.0</v>
      </c>
      <c r="AB54" s="33">
        <v>0.0</v>
      </c>
      <c r="AC54" s="33">
        <v>0.0</v>
      </c>
      <c r="AD54" s="33">
        <v>0.0</v>
      </c>
      <c r="AE54" s="33">
        <v>0.0</v>
      </c>
      <c r="AF54" s="33">
        <v>0.0</v>
      </c>
      <c r="AG54" s="33">
        <v>0.0</v>
      </c>
      <c r="AH54" s="33">
        <v>0.0</v>
      </c>
      <c r="AI54" s="33">
        <v>0.0</v>
      </c>
      <c r="AJ54" s="33">
        <v>0.0</v>
      </c>
      <c r="AK54" s="33">
        <v>0.0</v>
      </c>
    </row>
    <row r="55">
      <c r="A55" s="33">
        <v>75216.0</v>
      </c>
      <c r="B55" s="33">
        <v>0.0</v>
      </c>
      <c r="C55" s="33">
        <v>0.0</v>
      </c>
      <c r="D55" s="33">
        <v>0.0</v>
      </c>
      <c r="E55" s="33">
        <v>0.0</v>
      </c>
      <c r="F55" s="33">
        <v>0.0</v>
      </c>
      <c r="G55" s="33">
        <v>0.0</v>
      </c>
      <c r="H55" s="33">
        <v>120.0</v>
      </c>
      <c r="I55" s="33">
        <v>0.0</v>
      </c>
      <c r="J55" s="33">
        <v>0.0</v>
      </c>
      <c r="K55" s="33">
        <v>0.0</v>
      </c>
      <c r="L55" s="33">
        <v>0.0</v>
      </c>
      <c r="M55" s="33">
        <v>0.0</v>
      </c>
      <c r="N55" s="33">
        <v>0.0</v>
      </c>
      <c r="O55" s="33">
        <v>0.0</v>
      </c>
      <c r="P55" s="33">
        <v>0.0</v>
      </c>
      <c r="Q55" s="33">
        <v>0.0</v>
      </c>
      <c r="R55" s="33">
        <v>0.0</v>
      </c>
      <c r="S55" s="33">
        <v>0.0</v>
      </c>
      <c r="T55" s="33">
        <v>0.0</v>
      </c>
      <c r="U55" s="33">
        <v>0.0</v>
      </c>
      <c r="V55" s="33">
        <v>0.0</v>
      </c>
      <c r="W55" s="33">
        <v>100.0</v>
      </c>
      <c r="X55" s="33">
        <v>0.0</v>
      </c>
      <c r="Y55" s="33">
        <v>0.0</v>
      </c>
      <c r="Z55" s="33">
        <v>50.0</v>
      </c>
      <c r="AA55" s="33">
        <v>0.0</v>
      </c>
      <c r="AB55" s="33">
        <v>200.0</v>
      </c>
      <c r="AC55" s="33">
        <v>0.0</v>
      </c>
      <c r="AD55" s="33">
        <v>0.0</v>
      </c>
      <c r="AE55" s="33">
        <v>0.0</v>
      </c>
      <c r="AF55" s="33">
        <v>0.0</v>
      </c>
      <c r="AG55" s="33">
        <v>0.0</v>
      </c>
      <c r="AH55" s="33">
        <v>450.0</v>
      </c>
      <c r="AI55" s="33">
        <v>0.0</v>
      </c>
      <c r="AJ55" s="33">
        <v>0.0</v>
      </c>
      <c r="AK55" s="33">
        <v>0.0</v>
      </c>
    </row>
    <row r="56">
      <c r="A56" s="33">
        <v>75040.0</v>
      </c>
      <c r="B56" s="33">
        <v>0.0</v>
      </c>
      <c r="C56" s="33">
        <v>0.0</v>
      </c>
      <c r="D56" s="33">
        <v>0.0</v>
      </c>
      <c r="E56" s="33">
        <v>0.0</v>
      </c>
      <c r="F56" s="33">
        <v>0.0</v>
      </c>
      <c r="G56" s="33">
        <v>0.0</v>
      </c>
      <c r="H56" s="33">
        <v>210.0</v>
      </c>
      <c r="I56" s="33">
        <v>0.0</v>
      </c>
      <c r="J56" s="33">
        <v>0.0</v>
      </c>
      <c r="K56" s="33">
        <v>0.0</v>
      </c>
      <c r="L56" s="33">
        <v>0.0</v>
      </c>
      <c r="M56" s="33">
        <v>200.0</v>
      </c>
      <c r="N56" s="33">
        <v>0.0</v>
      </c>
      <c r="O56" s="33">
        <v>0.0</v>
      </c>
      <c r="P56" s="33">
        <v>0.0</v>
      </c>
      <c r="Q56" s="33">
        <v>0.0</v>
      </c>
      <c r="R56" s="33">
        <v>0.0</v>
      </c>
      <c r="S56" s="33">
        <v>0.0</v>
      </c>
      <c r="T56" s="33">
        <v>0.0</v>
      </c>
      <c r="U56" s="33">
        <v>0.0</v>
      </c>
      <c r="V56" s="33">
        <v>0.0</v>
      </c>
      <c r="W56" s="33">
        <v>0.0</v>
      </c>
      <c r="X56" s="33">
        <v>0.0</v>
      </c>
      <c r="Y56" s="33">
        <v>0.0</v>
      </c>
      <c r="Z56" s="33">
        <v>0.0</v>
      </c>
      <c r="AA56" s="33">
        <v>0.0</v>
      </c>
      <c r="AB56" s="33">
        <v>0.0</v>
      </c>
      <c r="AC56" s="33">
        <v>0.0</v>
      </c>
      <c r="AD56" s="33">
        <v>0.0</v>
      </c>
      <c r="AE56" s="33">
        <v>0.0</v>
      </c>
      <c r="AF56" s="33">
        <v>0.0</v>
      </c>
      <c r="AG56" s="33">
        <v>0.0</v>
      </c>
      <c r="AH56" s="33">
        <v>0.0</v>
      </c>
      <c r="AI56" s="33">
        <v>0.0</v>
      </c>
      <c r="AJ56" s="33">
        <v>0.0</v>
      </c>
      <c r="AK56" s="33">
        <v>0.0</v>
      </c>
    </row>
    <row r="57">
      <c r="A57" s="33">
        <v>76705.0</v>
      </c>
      <c r="B57" s="33">
        <v>0.0</v>
      </c>
      <c r="C57" s="33">
        <v>0.0</v>
      </c>
      <c r="D57" s="33">
        <v>0.0</v>
      </c>
      <c r="E57" s="33">
        <v>0.0</v>
      </c>
      <c r="F57" s="33">
        <v>0.0</v>
      </c>
      <c r="G57" s="33">
        <v>0.0</v>
      </c>
      <c r="H57" s="33">
        <v>500.0</v>
      </c>
      <c r="I57" s="33">
        <v>0.0</v>
      </c>
      <c r="J57" s="33">
        <v>0.0</v>
      </c>
      <c r="K57" s="33">
        <v>0.0</v>
      </c>
      <c r="L57" s="33">
        <v>0.0</v>
      </c>
      <c r="M57" s="33">
        <v>0.0</v>
      </c>
      <c r="N57" s="33">
        <v>0.0</v>
      </c>
      <c r="O57" s="33">
        <v>0.0</v>
      </c>
      <c r="P57" s="33">
        <v>0.0</v>
      </c>
      <c r="Q57" s="33">
        <v>0.0</v>
      </c>
      <c r="R57" s="33">
        <v>0.0</v>
      </c>
      <c r="S57" s="33">
        <v>0.0</v>
      </c>
      <c r="T57" s="33">
        <v>0.0</v>
      </c>
      <c r="U57" s="33">
        <v>0.0</v>
      </c>
      <c r="V57" s="33">
        <v>0.0</v>
      </c>
      <c r="W57" s="33">
        <v>0.0</v>
      </c>
      <c r="X57" s="33">
        <v>0.0</v>
      </c>
      <c r="Y57" s="33">
        <v>0.0</v>
      </c>
      <c r="Z57" s="33">
        <v>0.0</v>
      </c>
      <c r="AA57" s="33">
        <v>0.0</v>
      </c>
      <c r="AB57" s="33">
        <v>0.0</v>
      </c>
      <c r="AC57" s="33">
        <v>0.0</v>
      </c>
      <c r="AD57" s="33">
        <v>0.0</v>
      </c>
      <c r="AE57" s="33">
        <v>0.0</v>
      </c>
      <c r="AF57" s="33">
        <v>0.0</v>
      </c>
      <c r="AG57" s="33">
        <v>0.0</v>
      </c>
      <c r="AH57" s="33">
        <v>0.0</v>
      </c>
      <c r="AI57" s="33">
        <v>0.0</v>
      </c>
      <c r="AJ57" s="33">
        <v>0.0</v>
      </c>
      <c r="AK57" s="33">
        <v>0.0</v>
      </c>
    </row>
    <row r="58">
      <c r="A58" s="33">
        <v>75211.0</v>
      </c>
      <c r="B58" s="33">
        <v>0.0</v>
      </c>
      <c r="C58" s="33">
        <v>0.0</v>
      </c>
      <c r="D58" s="33">
        <v>0.0</v>
      </c>
      <c r="E58" s="33">
        <v>2150.0</v>
      </c>
      <c r="F58" s="33">
        <v>0.0</v>
      </c>
      <c r="G58" s="33">
        <v>0.0</v>
      </c>
      <c r="H58" s="33">
        <v>4270.0</v>
      </c>
      <c r="I58" s="33">
        <v>0.0</v>
      </c>
      <c r="J58" s="33">
        <v>0.0</v>
      </c>
      <c r="K58" s="33">
        <v>0.0</v>
      </c>
      <c r="L58" s="33">
        <v>0.0</v>
      </c>
      <c r="M58" s="33">
        <v>200.0</v>
      </c>
      <c r="N58" s="33">
        <v>0.0</v>
      </c>
      <c r="O58" s="33">
        <v>0.0</v>
      </c>
      <c r="P58" s="33">
        <v>0.0</v>
      </c>
      <c r="Q58" s="33">
        <v>1000.0</v>
      </c>
      <c r="R58" s="33">
        <v>0.0</v>
      </c>
      <c r="S58" s="33">
        <v>0.0</v>
      </c>
      <c r="T58" s="33">
        <v>2925.0</v>
      </c>
      <c r="U58" s="33">
        <v>0.0</v>
      </c>
      <c r="V58" s="33">
        <v>0.0</v>
      </c>
      <c r="W58" s="33">
        <v>0.0</v>
      </c>
      <c r="X58" s="33">
        <v>0.0</v>
      </c>
      <c r="Y58" s="33">
        <v>0.0</v>
      </c>
      <c r="Z58" s="33">
        <v>10.0</v>
      </c>
      <c r="AA58" s="33">
        <v>0.0</v>
      </c>
      <c r="AB58" s="33">
        <v>0.0</v>
      </c>
      <c r="AC58" s="33">
        <v>0.0</v>
      </c>
      <c r="AD58" s="33">
        <v>4500.0</v>
      </c>
      <c r="AE58" s="33">
        <v>0.0</v>
      </c>
      <c r="AF58" s="33">
        <v>0.0</v>
      </c>
      <c r="AG58" s="33">
        <v>0.0</v>
      </c>
      <c r="AH58" s="33">
        <v>0.0</v>
      </c>
      <c r="AI58" s="33">
        <v>0.0</v>
      </c>
      <c r="AJ58" s="33">
        <v>0.0</v>
      </c>
      <c r="AK58" s="33">
        <v>0.0</v>
      </c>
    </row>
    <row r="59">
      <c r="A59" s="33">
        <v>75104.0</v>
      </c>
      <c r="B59" s="33">
        <v>0.0</v>
      </c>
      <c r="C59" s="33">
        <v>0.0</v>
      </c>
      <c r="D59" s="33">
        <v>0.0</v>
      </c>
      <c r="E59" s="33">
        <v>0.0</v>
      </c>
      <c r="F59" s="33">
        <v>0.0</v>
      </c>
      <c r="G59" s="33">
        <v>0.0</v>
      </c>
      <c r="H59" s="33">
        <v>610.0</v>
      </c>
      <c r="I59" s="33">
        <v>250.0</v>
      </c>
      <c r="J59" s="33">
        <v>0.0</v>
      </c>
      <c r="K59" s="33">
        <v>0.0</v>
      </c>
      <c r="L59" s="33">
        <v>0.0</v>
      </c>
      <c r="M59" s="33">
        <v>0.0</v>
      </c>
      <c r="N59" s="33">
        <v>0.0</v>
      </c>
      <c r="O59" s="33">
        <v>0.0</v>
      </c>
      <c r="P59" s="33">
        <v>0.0</v>
      </c>
      <c r="Q59" s="33">
        <v>0.0</v>
      </c>
      <c r="R59" s="33">
        <v>0.0</v>
      </c>
      <c r="S59" s="33">
        <v>0.0</v>
      </c>
      <c r="T59" s="33">
        <v>0.0</v>
      </c>
      <c r="U59" s="33">
        <v>0.0</v>
      </c>
      <c r="V59" s="33">
        <v>0.0</v>
      </c>
      <c r="W59" s="33">
        <v>0.0</v>
      </c>
      <c r="X59" s="33">
        <v>0.0</v>
      </c>
      <c r="Y59" s="33">
        <v>0.0</v>
      </c>
      <c r="Z59" s="33">
        <v>300.0</v>
      </c>
      <c r="AA59" s="33">
        <v>0.0</v>
      </c>
      <c r="AB59" s="33">
        <v>0.0</v>
      </c>
      <c r="AC59" s="33">
        <v>0.0</v>
      </c>
      <c r="AD59" s="33">
        <v>0.0</v>
      </c>
      <c r="AE59" s="33">
        <v>0.0</v>
      </c>
      <c r="AF59" s="33">
        <v>0.0</v>
      </c>
      <c r="AG59" s="33">
        <v>0.0</v>
      </c>
      <c r="AH59" s="33">
        <v>0.0</v>
      </c>
      <c r="AI59" s="33">
        <v>0.0</v>
      </c>
      <c r="AJ59" s="33">
        <v>0.0</v>
      </c>
      <c r="AK59" s="33">
        <v>0.0</v>
      </c>
    </row>
    <row r="60">
      <c r="A60" s="33">
        <v>75773.0</v>
      </c>
      <c r="B60" s="33">
        <v>0.0</v>
      </c>
      <c r="C60" s="33">
        <v>0.0</v>
      </c>
      <c r="D60" s="33">
        <v>0.0</v>
      </c>
      <c r="E60" s="33">
        <v>0.0</v>
      </c>
      <c r="F60" s="33">
        <v>0.0</v>
      </c>
      <c r="G60" s="33">
        <v>0.0</v>
      </c>
      <c r="H60" s="33">
        <v>0.0</v>
      </c>
      <c r="I60" s="33">
        <v>100.0</v>
      </c>
      <c r="J60" s="33">
        <v>0.0</v>
      </c>
      <c r="K60" s="33">
        <v>0.0</v>
      </c>
      <c r="L60" s="33">
        <v>0.0</v>
      </c>
      <c r="M60" s="33">
        <v>0.0</v>
      </c>
      <c r="N60" s="33">
        <v>0.0</v>
      </c>
      <c r="O60" s="33">
        <v>0.0</v>
      </c>
      <c r="P60" s="33">
        <v>0.0</v>
      </c>
      <c r="Q60" s="33">
        <v>0.0</v>
      </c>
      <c r="R60" s="33">
        <v>0.0</v>
      </c>
      <c r="S60" s="33">
        <v>0.0</v>
      </c>
      <c r="T60" s="33">
        <v>0.0</v>
      </c>
      <c r="U60" s="33">
        <v>0.0</v>
      </c>
      <c r="V60" s="33">
        <v>0.0</v>
      </c>
      <c r="W60" s="33">
        <v>0.0</v>
      </c>
      <c r="X60" s="33">
        <v>0.0</v>
      </c>
      <c r="Y60" s="33">
        <v>0.0</v>
      </c>
      <c r="Z60" s="33">
        <v>0.0</v>
      </c>
      <c r="AA60" s="33">
        <v>0.0</v>
      </c>
      <c r="AB60" s="33">
        <v>0.0</v>
      </c>
      <c r="AC60" s="33">
        <v>0.0</v>
      </c>
      <c r="AD60" s="33">
        <v>0.0</v>
      </c>
      <c r="AE60" s="33">
        <v>0.0</v>
      </c>
      <c r="AF60" s="33">
        <v>0.0</v>
      </c>
      <c r="AG60" s="33">
        <v>0.0</v>
      </c>
      <c r="AH60" s="33">
        <v>0.0</v>
      </c>
      <c r="AI60" s="33">
        <v>0.0</v>
      </c>
      <c r="AJ60" s="33">
        <v>0.0</v>
      </c>
      <c r="AK60" s="33">
        <v>0.0</v>
      </c>
    </row>
    <row r="61">
      <c r="A61" s="33">
        <v>75240.0</v>
      </c>
      <c r="B61" s="33">
        <v>0.0</v>
      </c>
      <c r="C61" s="33">
        <v>0.0</v>
      </c>
      <c r="D61" s="33">
        <v>0.0</v>
      </c>
      <c r="E61" s="33">
        <v>0.0</v>
      </c>
      <c r="F61" s="33">
        <v>0.0</v>
      </c>
      <c r="G61" s="33">
        <v>0.0</v>
      </c>
      <c r="H61" s="33">
        <v>0.0</v>
      </c>
      <c r="I61" s="33">
        <v>1000.0</v>
      </c>
      <c r="J61" s="33">
        <v>0.0</v>
      </c>
      <c r="K61" s="33">
        <v>0.0</v>
      </c>
      <c r="L61" s="33">
        <v>0.0</v>
      </c>
      <c r="M61" s="33">
        <v>0.0</v>
      </c>
      <c r="N61" s="33">
        <v>0.0</v>
      </c>
      <c r="O61" s="33">
        <v>0.0</v>
      </c>
      <c r="P61" s="33">
        <v>2000.0</v>
      </c>
      <c r="Q61" s="33">
        <v>3700.0</v>
      </c>
      <c r="R61" s="33">
        <v>0.0</v>
      </c>
      <c r="S61" s="33">
        <v>0.0</v>
      </c>
      <c r="T61" s="33">
        <v>2000.0</v>
      </c>
      <c r="U61" s="33">
        <v>0.0</v>
      </c>
      <c r="V61" s="33">
        <v>400.0</v>
      </c>
      <c r="W61" s="33">
        <v>0.0</v>
      </c>
      <c r="X61" s="33">
        <v>0.0</v>
      </c>
      <c r="Y61" s="33">
        <v>0.0</v>
      </c>
      <c r="Z61" s="33">
        <v>16700.0</v>
      </c>
      <c r="AA61" s="33">
        <v>0.0</v>
      </c>
      <c r="AB61" s="33">
        <v>200.0</v>
      </c>
      <c r="AC61" s="33">
        <v>0.0</v>
      </c>
      <c r="AD61" s="33">
        <v>0.0</v>
      </c>
      <c r="AE61" s="33">
        <v>0.0</v>
      </c>
      <c r="AF61" s="33">
        <v>0.0</v>
      </c>
      <c r="AG61" s="33">
        <v>0.0</v>
      </c>
      <c r="AH61" s="33">
        <v>0.0</v>
      </c>
      <c r="AI61" s="33">
        <v>0.0</v>
      </c>
      <c r="AJ61" s="33">
        <v>0.0</v>
      </c>
      <c r="AK61" s="33">
        <v>0.0</v>
      </c>
    </row>
    <row r="62">
      <c r="A62" s="33">
        <v>75043.0</v>
      </c>
      <c r="B62" s="33">
        <v>0.0</v>
      </c>
      <c r="C62" s="33">
        <v>0.0</v>
      </c>
      <c r="D62" s="33">
        <v>0.0</v>
      </c>
      <c r="E62" s="33">
        <v>0.0</v>
      </c>
      <c r="F62" s="33">
        <v>0.0</v>
      </c>
      <c r="G62" s="33">
        <v>0.0</v>
      </c>
      <c r="H62" s="33">
        <v>590.0</v>
      </c>
      <c r="I62" s="33">
        <v>50.0</v>
      </c>
      <c r="J62" s="33">
        <v>0.0</v>
      </c>
      <c r="K62" s="33">
        <v>0.0</v>
      </c>
      <c r="L62" s="33">
        <v>0.0</v>
      </c>
      <c r="M62" s="33">
        <v>0.0</v>
      </c>
      <c r="N62" s="33">
        <v>0.0</v>
      </c>
      <c r="O62" s="33">
        <v>0.0</v>
      </c>
      <c r="P62" s="33">
        <v>0.0</v>
      </c>
      <c r="Q62" s="33">
        <v>0.0</v>
      </c>
      <c r="R62" s="33">
        <v>0.0</v>
      </c>
      <c r="S62" s="33">
        <v>0.0</v>
      </c>
      <c r="T62" s="33">
        <v>0.0</v>
      </c>
      <c r="U62" s="33">
        <v>0.0</v>
      </c>
      <c r="V62" s="33">
        <v>0.0</v>
      </c>
      <c r="W62" s="33">
        <v>0.0</v>
      </c>
      <c r="X62" s="33">
        <v>0.0</v>
      </c>
      <c r="Y62" s="33">
        <v>0.0</v>
      </c>
      <c r="Z62" s="33">
        <v>5050.0</v>
      </c>
      <c r="AA62" s="33">
        <v>0.0</v>
      </c>
      <c r="AB62" s="33">
        <v>0.0</v>
      </c>
      <c r="AC62" s="33">
        <v>0.0</v>
      </c>
      <c r="AD62" s="33">
        <v>0.0</v>
      </c>
      <c r="AE62" s="33">
        <v>0.0</v>
      </c>
      <c r="AF62" s="33">
        <v>0.0</v>
      </c>
      <c r="AG62" s="33">
        <v>0.0</v>
      </c>
      <c r="AH62" s="33">
        <v>0.0</v>
      </c>
      <c r="AI62" s="33">
        <v>0.0</v>
      </c>
      <c r="AJ62" s="33">
        <v>0.0</v>
      </c>
      <c r="AK62" s="33">
        <v>0.0</v>
      </c>
    </row>
    <row r="63">
      <c r="A63" s="33">
        <v>75241.0</v>
      </c>
      <c r="B63" s="33">
        <v>0.0</v>
      </c>
      <c r="C63" s="33">
        <v>0.0</v>
      </c>
      <c r="D63" s="33">
        <v>100.0</v>
      </c>
      <c r="E63" s="33">
        <v>50.0</v>
      </c>
      <c r="F63" s="33">
        <v>0.0</v>
      </c>
      <c r="G63" s="33">
        <v>0.0</v>
      </c>
      <c r="H63" s="33">
        <v>0.0</v>
      </c>
      <c r="I63" s="33">
        <v>500.0</v>
      </c>
      <c r="J63" s="33">
        <v>0.0</v>
      </c>
      <c r="K63" s="33">
        <v>0.0</v>
      </c>
      <c r="L63" s="33">
        <v>0.0</v>
      </c>
      <c r="M63" s="33">
        <v>190.0</v>
      </c>
      <c r="N63" s="33">
        <v>0.0</v>
      </c>
      <c r="O63" s="33">
        <v>0.0</v>
      </c>
      <c r="P63" s="33">
        <v>0.0</v>
      </c>
      <c r="Q63" s="33">
        <v>0.0</v>
      </c>
      <c r="R63" s="33">
        <v>0.0</v>
      </c>
      <c r="S63" s="33">
        <v>0.0</v>
      </c>
      <c r="T63" s="33">
        <v>0.0</v>
      </c>
      <c r="U63" s="33">
        <v>0.0</v>
      </c>
      <c r="V63" s="33">
        <v>0.0</v>
      </c>
      <c r="W63" s="33">
        <v>0.0</v>
      </c>
      <c r="X63" s="33">
        <v>0.0</v>
      </c>
      <c r="Y63" s="33">
        <v>0.0</v>
      </c>
      <c r="Z63" s="33">
        <v>20.0</v>
      </c>
      <c r="AA63" s="33">
        <v>500.0</v>
      </c>
      <c r="AB63" s="33">
        <v>200.0</v>
      </c>
      <c r="AC63" s="33">
        <v>0.0</v>
      </c>
      <c r="AD63" s="33">
        <v>0.0</v>
      </c>
      <c r="AE63" s="33">
        <v>0.0</v>
      </c>
      <c r="AF63" s="33">
        <v>0.0</v>
      </c>
      <c r="AG63" s="33">
        <v>0.0</v>
      </c>
      <c r="AH63" s="33">
        <v>0.0</v>
      </c>
      <c r="AI63" s="33">
        <v>0.0</v>
      </c>
      <c r="AJ63" s="33">
        <v>0.0</v>
      </c>
      <c r="AK63" s="33">
        <v>0.0</v>
      </c>
    </row>
    <row r="64">
      <c r="A64" s="33">
        <v>75251.0</v>
      </c>
      <c r="B64" s="33">
        <v>0.0</v>
      </c>
      <c r="C64" s="33">
        <v>200.0</v>
      </c>
      <c r="D64" s="33">
        <v>0.0</v>
      </c>
      <c r="E64" s="33">
        <v>0.0</v>
      </c>
      <c r="F64" s="33">
        <v>0.0</v>
      </c>
      <c r="G64" s="33">
        <v>500.0</v>
      </c>
      <c r="H64" s="33">
        <v>0.0</v>
      </c>
      <c r="I64" s="33">
        <v>0.0</v>
      </c>
      <c r="J64" s="33">
        <v>0.0</v>
      </c>
      <c r="K64" s="33">
        <v>0.0</v>
      </c>
      <c r="L64" s="33">
        <v>0.0</v>
      </c>
      <c r="M64" s="33">
        <v>0.0</v>
      </c>
      <c r="N64" s="33">
        <v>0.0</v>
      </c>
      <c r="O64" s="33">
        <v>0.0</v>
      </c>
      <c r="P64" s="33">
        <v>0.0</v>
      </c>
      <c r="Q64" s="33">
        <v>0.0</v>
      </c>
      <c r="R64" s="33">
        <v>0.0</v>
      </c>
      <c r="S64" s="33">
        <v>0.0</v>
      </c>
      <c r="T64" s="33">
        <v>0.0</v>
      </c>
      <c r="U64" s="33">
        <v>0.0</v>
      </c>
      <c r="V64" s="33">
        <v>0.0</v>
      </c>
      <c r="W64" s="33">
        <v>0.0</v>
      </c>
      <c r="X64" s="33">
        <v>0.0</v>
      </c>
      <c r="Y64" s="33">
        <v>0.0</v>
      </c>
      <c r="Z64" s="33">
        <v>0.0</v>
      </c>
      <c r="AA64" s="33">
        <v>0.0</v>
      </c>
      <c r="AB64" s="33">
        <v>0.0</v>
      </c>
      <c r="AC64" s="33">
        <v>0.0</v>
      </c>
      <c r="AD64" s="33">
        <v>0.0</v>
      </c>
      <c r="AE64" s="33">
        <v>0.0</v>
      </c>
      <c r="AF64" s="33">
        <v>0.0</v>
      </c>
      <c r="AG64" s="33">
        <v>0.0</v>
      </c>
      <c r="AH64" s="33">
        <v>0.0</v>
      </c>
      <c r="AI64" s="33">
        <v>0.0</v>
      </c>
      <c r="AJ64" s="33">
        <v>0.0</v>
      </c>
      <c r="AK64" s="33">
        <v>0.0</v>
      </c>
    </row>
    <row r="65">
      <c r="A65" s="33">
        <v>75214.0</v>
      </c>
      <c r="B65" s="33">
        <v>1150.0</v>
      </c>
      <c r="C65" s="33">
        <v>0.0</v>
      </c>
      <c r="D65" s="33">
        <v>1350.0</v>
      </c>
      <c r="E65" s="33">
        <v>1600.0</v>
      </c>
      <c r="F65" s="33">
        <v>0.0</v>
      </c>
      <c r="G65" s="33">
        <v>1200.0</v>
      </c>
      <c r="H65" s="33">
        <v>300.0</v>
      </c>
      <c r="I65" s="33">
        <v>0.0</v>
      </c>
      <c r="J65" s="33">
        <v>0.0</v>
      </c>
      <c r="K65" s="33">
        <v>4000.0</v>
      </c>
      <c r="L65" s="33">
        <v>250.0</v>
      </c>
      <c r="M65" s="33">
        <v>0.0</v>
      </c>
      <c r="N65" s="33">
        <v>5075.0</v>
      </c>
      <c r="O65" s="33">
        <v>0.0</v>
      </c>
      <c r="P65" s="33">
        <v>0.0</v>
      </c>
      <c r="Q65" s="33">
        <v>1550.0</v>
      </c>
      <c r="R65" s="33">
        <v>1417.0</v>
      </c>
      <c r="S65" s="33">
        <v>0.0</v>
      </c>
      <c r="T65" s="33">
        <v>8493.5</v>
      </c>
      <c r="U65" s="33">
        <v>0.0</v>
      </c>
      <c r="V65" s="33">
        <v>0.0</v>
      </c>
      <c r="W65" s="33">
        <v>28675.0</v>
      </c>
      <c r="X65" s="33">
        <v>0.0</v>
      </c>
      <c r="Y65" s="33">
        <v>9591.409999999994</v>
      </c>
      <c r="Z65" s="33">
        <v>11050.0</v>
      </c>
      <c r="AA65" s="33">
        <v>2175.0</v>
      </c>
      <c r="AB65" s="33">
        <v>550.0</v>
      </c>
      <c r="AC65" s="33">
        <v>300.0</v>
      </c>
      <c r="AD65" s="33">
        <v>0.0</v>
      </c>
      <c r="AE65" s="33">
        <v>0.0</v>
      </c>
      <c r="AF65" s="33">
        <v>0.0</v>
      </c>
      <c r="AG65" s="33">
        <v>0.0</v>
      </c>
      <c r="AH65" s="33">
        <v>0.0</v>
      </c>
      <c r="AI65" s="33">
        <v>0.0</v>
      </c>
      <c r="AJ65" s="33">
        <v>0.0</v>
      </c>
      <c r="AK65" s="33">
        <v>0.0</v>
      </c>
    </row>
    <row r="66">
      <c r="A66" s="33">
        <v>75067.0</v>
      </c>
      <c r="B66" s="33">
        <v>0.0</v>
      </c>
      <c r="C66" s="33">
        <v>0.0</v>
      </c>
      <c r="D66" s="33">
        <v>0.0</v>
      </c>
      <c r="E66" s="33">
        <v>1000.0</v>
      </c>
      <c r="F66" s="33">
        <v>0.0</v>
      </c>
      <c r="G66" s="33">
        <v>1000.0</v>
      </c>
      <c r="H66" s="33">
        <v>50.0</v>
      </c>
      <c r="I66" s="33">
        <v>0.0</v>
      </c>
      <c r="J66" s="33">
        <v>0.0</v>
      </c>
      <c r="K66" s="33">
        <v>0.0</v>
      </c>
      <c r="L66" s="33">
        <v>0.0</v>
      </c>
      <c r="M66" s="33">
        <v>300.0</v>
      </c>
      <c r="N66" s="33">
        <v>1000.0</v>
      </c>
      <c r="O66" s="33">
        <v>1000.0</v>
      </c>
      <c r="P66" s="33">
        <v>0.0</v>
      </c>
      <c r="Q66" s="33">
        <v>0.0</v>
      </c>
      <c r="R66" s="33">
        <v>0.0</v>
      </c>
      <c r="S66" s="33">
        <v>0.0</v>
      </c>
      <c r="T66" s="33">
        <v>949.7</v>
      </c>
      <c r="U66" s="33">
        <v>0.0</v>
      </c>
      <c r="V66" s="33">
        <v>0.0</v>
      </c>
      <c r="W66" s="33">
        <v>0.0</v>
      </c>
      <c r="X66" s="33">
        <v>0.0</v>
      </c>
      <c r="Y66" s="33">
        <v>1000.0</v>
      </c>
      <c r="Z66" s="33">
        <v>0.0</v>
      </c>
      <c r="AA66" s="33">
        <v>0.0</v>
      </c>
      <c r="AB66" s="33">
        <v>0.0</v>
      </c>
      <c r="AC66" s="33">
        <v>0.0</v>
      </c>
      <c r="AD66" s="33">
        <v>0.0</v>
      </c>
      <c r="AE66" s="33">
        <v>0.0</v>
      </c>
      <c r="AF66" s="33">
        <v>0.0</v>
      </c>
      <c r="AG66" s="33">
        <v>0.0</v>
      </c>
      <c r="AH66" s="33">
        <v>0.0</v>
      </c>
      <c r="AI66" s="33">
        <v>0.0</v>
      </c>
      <c r="AJ66" s="33">
        <v>0.0</v>
      </c>
      <c r="AK66" s="33">
        <v>0.0</v>
      </c>
    </row>
    <row r="67">
      <c r="A67" s="33">
        <v>75038.0</v>
      </c>
      <c r="B67" s="33">
        <v>100.0</v>
      </c>
      <c r="C67" s="33">
        <v>0.0</v>
      </c>
      <c r="D67" s="33">
        <v>0.0</v>
      </c>
      <c r="E67" s="33">
        <v>2000.0</v>
      </c>
      <c r="F67" s="33">
        <v>0.0</v>
      </c>
      <c r="G67" s="33">
        <v>0.0</v>
      </c>
      <c r="H67" s="33">
        <v>0.0</v>
      </c>
      <c r="I67" s="33">
        <v>0.0</v>
      </c>
      <c r="J67" s="33">
        <v>0.0</v>
      </c>
      <c r="K67" s="33">
        <v>0.0</v>
      </c>
      <c r="L67" s="33">
        <v>0.0</v>
      </c>
      <c r="M67" s="33">
        <v>0.0</v>
      </c>
      <c r="N67" s="33">
        <v>0.0</v>
      </c>
      <c r="O67" s="33">
        <v>0.0</v>
      </c>
      <c r="P67" s="33">
        <v>0.0</v>
      </c>
      <c r="Q67" s="33">
        <v>0.0</v>
      </c>
      <c r="R67" s="33">
        <v>0.0</v>
      </c>
      <c r="S67" s="33">
        <v>0.0</v>
      </c>
      <c r="T67" s="33">
        <v>0.0</v>
      </c>
      <c r="U67" s="33">
        <v>0.0</v>
      </c>
      <c r="V67" s="33">
        <v>0.0</v>
      </c>
      <c r="W67" s="33">
        <v>350.0</v>
      </c>
      <c r="X67" s="33">
        <v>0.0</v>
      </c>
      <c r="Y67" s="33">
        <v>0.0</v>
      </c>
      <c r="Z67" s="33">
        <v>3000.0</v>
      </c>
      <c r="AA67" s="33">
        <v>0.0</v>
      </c>
      <c r="AB67" s="33">
        <v>2500.0</v>
      </c>
      <c r="AC67" s="33">
        <v>0.0</v>
      </c>
      <c r="AD67" s="33">
        <v>0.0</v>
      </c>
      <c r="AE67" s="33">
        <v>0.0</v>
      </c>
      <c r="AF67" s="33">
        <v>0.0</v>
      </c>
      <c r="AG67" s="33">
        <v>0.0</v>
      </c>
      <c r="AH67" s="33">
        <v>0.0</v>
      </c>
      <c r="AI67" s="33">
        <v>0.0</v>
      </c>
      <c r="AJ67" s="33">
        <v>0.0</v>
      </c>
      <c r="AK67" s="33">
        <v>0.0</v>
      </c>
    </row>
    <row r="68">
      <c r="A68" s="33">
        <v>75292.0</v>
      </c>
      <c r="B68" s="33">
        <v>0.0</v>
      </c>
      <c r="C68" s="33">
        <v>0.0</v>
      </c>
      <c r="D68" s="33">
        <v>0.0</v>
      </c>
      <c r="E68" s="33">
        <v>500.0</v>
      </c>
      <c r="F68" s="33">
        <v>0.0</v>
      </c>
      <c r="G68" s="33">
        <v>0.0</v>
      </c>
      <c r="H68" s="33">
        <v>0.0</v>
      </c>
      <c r="I68" s="33">
        <v>0.0</v>
      </c>
      <c r="J68" s="33">
        <v>0.0</v>
      </c>
      <c r="K68" s="33">
        <v>0.0</v>
      </c>
      <c r="L68" s="33">
        <v>0.0</v>
      </c>
      <c r="M68" s="33">
        <v>0.0</v>
      </c>
      <c r="N68" s="33">
        <v>0.0</v>
      </c>
      <c r="O68" s="33">
        <v>0.0</v>
      </c>
      <c r="P68" s="33">
        <v>0.0</v>
      </c>
      <c r="Q68" s="33">
        <v>0.0</v>
      </c>
      <c r="R68" s="33">
        <v>0.0</v>
      </c>
      <c r="S68" s="33">
        <v>0.0</v>
      </c>
      <c r="T68" s="33">
        <v>0.0</v>
      </c>
      <c r="U68" s="33">
        <v>0.0</v>
      </c>
      <c r="V68" s="33">
        <v>0.0</v>
      </c>
      <c r="W68" s="33">
        <v>0.0</v>
      </c>
      <c r="X68" s="33">
        <v>0.0</v>
      </c>
      <c r="Y68" s="33">
        <v>0.0</v>
      </c>
      <c r="Z68" s="33">
        <v>0.0</v>
      </c>
      <c r="AA68" s="33">
        <v>0.0</v>
      </c>
      <c r="AB68" s="33">
        <v>0.0</v>
      </c>
      <c r="AC68" s="33">
        <v>0.0</v>
      </c>
      <c r="AD68" s="33">
        <v>0.0</v>
      </c>
      <c r="AE68" s="33">
        <v>0.0</v>
      </c>
      <c r="AF68" s="33">
        <v>0.0</v>
      </c>
      <c r="AG68" s="33">
        <v>0.0</v>
      </c>
      <c r="AH68" s="33">
        <v>0.0</v>
      </c>
      <c r="AI68" s="33">
        <v>0.0</v>
      </c>
      <c r="AJ68" s="33">
        <v>0.0</v>
      </c>
      <c r="AK68" s="33">
        <v>0.0</v>
      </c>
    </row>
    <row r="69">
      <c r="A69" s="33">
        <v>75246.0</v>
      </c>
      <c r="B69" s="33">
        <v>250.0</v>
      </c>
      <c r="C69" s="33">
        <v>0.0</v>
      </c>
      <c r="D69" s="33">
        <v>500.0</v>
      </c>
      <c r="E69" s="33">
        <v>100.0</v>
      </c>
      <c r="F69" s="33">
        <v>0.0</v>
      </c>
      <c r="G69" s="33">
        <v>0.0</v>
      </c>
      <c r="H69" s="33">
        <v>0.0</v>
      </c>
      <c r="I69" s="33">
        <v>0.0</v>
      </c>
      <c r="J69" s="33">
        <v>0.0</v>
      </c>
      <c r="K69" s="33">
        <v>0.0</v>
      </c>
      <c r="L69" s="33">
        <v>0.0</v>
      </c>
      <c r="M69" s="33">
        <v>0.0</v>
      </c>
      <c r="N69" s="33">
        <v>500.0</v>
      </c>
      <c r="O69" s="33">
        <v>0.0</v>
      </c>
      <c r="P69" s="33">
        <v>0.0</v>
      </c>
      <c r="Q69" s="33">
        <v>100.0</v>
      </c>
      <c r="R69" s="33">
        <v>0.0</v>
      </c>
      <c r="S69" s="33">
        <v>0.0</v>
      </c>
      <c r="T69" s="33">
        <v>0.0</v>
      </c>
      <c r="U69" s="33">
        <v>0.0</v>
      </c>
      <c r="V69" s="33">
        <v>0.0</v>
      </c>
      <c r="W69" s="33">
        <v>0.0</v>
      </c>
      <c r="X69" s="33">
        <v>0.0</v>
      </c>
      <c r="Y69" s="33">
        <v>200.0</v>
      </c>
      <c r="Z69" s="33">
        <v>0.0</v>
      </c>
      <c r="AA69" s="33">
        <v>150.0</v>
      </c>
      <c r="AB69" s="33">
        <v>0.0</v>
      </c>
      <c r="AC69" s="33">
        <v>0.0</v>
      </c>
      <c r="AD69" s="33">
        <v>0.0</v>
      </c>
      <c r="AE69" s="33">
        <v>0.0</v>
      </c>
      <c r="AF69" s="33">
        <v>0.0</v>
      </c>
      <c r="AG69" s="33">
        <v>0.0</v>
      </c>
      <c r="AH69" s="33">
        <v>0.0</v>
      </c>
      <c r="AI69" s="33">
        <v>0.0</v>
      </c>
      <c r="AJ69" s="33">
        <v>0.0</v>
      </c>
      <c r="AK69" s="33">
        <v>0.0</v>
      </c>
    </row>
    <row r="70">
      <c r="A70" s="33">
        <v>75212.0</v>
      </c>
      <c r="B70" s="33">
        <v>0.0</v>
      </c>
      <c r="C70" s="33">
        <v>0.0</v>
      </c>
      <c r="D70" s="33">
        <v>250.0</v>
      </c>
      <c r="E70" s="33">
        <v>2000.0</v>
      </c>
      <c r="F70" s="33">
        <v>0.0</v>
      </c>
      <c r="G70" s="33">
        <v>0.0</v>
      </c>
      <c r="H70" s="33">
        <v>1100.0</v>
      </c>
      <c r="I70" s="33">
        <v>0.0</v>
      </c>
      <c r="J70" s="33">
        <v>0.0</v>
      </c>
      <c r="K70" s="33">
        <v>0.0</v>
      </c>
      <c r="L70" s="33">
        <v>0.0</v>
      </c>
      <c r="M70" s="33">
        <v>0.0</v>
      </c>
      <c r="N70" s="33">
        <v>0.0</v>
      </c>
      <c r="O70" s="33">
        <v>0.0</v>
      </c>
      <c r="P70" s="33">
        <v>2500.0</v>
      </c>
      <c r="Q70" s="33">
        <v>0.0</v>
      </c>
      <c r="R70" s="33">
        <v>0.0</v>
      </c>
      <c r="S70" s="33">
        <v>0.0</v>
      </c>
      <c r="T70" s="33">
        <v>0.0</v>
      </c>
      <c r="U70" s="33">
        <v>0.0</v>
      </c>
      <c r="V70" s="33">
        <v>0.0</v>
      </c>
      <c r="W70" s="33">
        <v>0.0</v>
      </c>
      <c r="X70" s="33">
        <v>0.0</v>
      </c>
      <c r="Y70" s="33">
        <v>0.0</v>
      </c>
      <c r="Z70" s="33">
        <v>50.0</v>
      </c>
      <c r="AA70" s="33">
        <v>0.0</v>
      </c>
      <c r="AB70" s="33">
        <v>0.0</v>
      </c>
      <c r="AC70" s="33">
        <v>0.0</v>
      </c>
      <c r="AD70" s="33">
        <v>0.0</v>
      </c>
      <c r="AE70" s="33">
        <v>0.0</v>
      </c>
      <c r="AF70" s="33">
        <v>0.0</v>
      </c>
      <c r="AG70" s="33">
        <v>0.0</v>
      </c>
      <c r="AH70" s="33">
        <v>0.0</v>
      </c>
      <c r="AI70" s="33">
        <v>0.0</v>
      </c>
      <c r="AJ70" s="33">
        <v>0.0</v>
      </c>
      <c r="AK70" s="33">
        <v>0.0</v>
      </c>
    </row>
    <row r="71">
      <c r="A71" s="33">
        <v>75224.0</v>
      </c>
      <c r="B71" s="33">
        <v>0.0</v>
      </c>
      <c r="C71" s="33">
        <v>0.0</v>
      </c>
      <c r="D71" s="33">
        <v>0.0</v>
      </c>
      <c r="E71" s="33">
        <v>550.0</v>
      </c>
      <c r="F71" s="33">
        <v>0.0</v>
      </c>
      <c r="G71" s="33">
        <v>0.0</v>
      </c>
      <c r="H71" s="33">
        <v>4255.0</v>
      </c>
      <c r="I71" s="33">
        <v>0.0</v>
      </c>
      <c r="J71" s="33">
        <v>0.0</v>
      </c>
      <c r="K71" s="33">
        <v>0.0</v>
      </c>
      <c r="L71" s="33">
        <v>0.0</v>
      </c>
      <c r="M71" s="33">
        <v>0.0</v>
      </c>
      <c r="N71" s="33">
        <v>250.0</v>
      </c>
      <c r="O71" s="33">
        <v>0.0</v>
      </c>
      <c r="P71" s="33">
        <v>500.0</v>
      </c>
      <c r="Q71" s="33">
        <v>300.0</v>
      </c>
      <c r="R71" s="33">
        <v>0.0</v>
      </c>
      <c r="S71" s="33">
        <v>0.0</v>
      </c>
      <c r="T71" s="33">
        <v>5100.0</v>
      </c>
      <c r="U71" s="33">
        <v>0.0</v>
      </c>
      <c r="V71" s="33">
        <v>0.0</v>
      </c>
      <c r="W71" s="33">
        <v>0.0</v>
      </c>
      <c r="X71" s="33">
        <v>2200.0</v>
      </c>
      <c r="Y71" s="33">
        <v>0.0</v>
      </c>
      <c r="Z71" s="33">
        <v>950.0</v>
      </c>
      <c r="AA71" s="33">
        <v>0.0</v>
      </c>
      <c r="AB71" s="33">
        <v>0.0</v>
      </c>
      <c r="AC71" s="33">
        <v>0.0</v>
      </c>
      <c r="AD71" s="33">
        <v>0.0</v>
      </c>
      <c r="AE71" s="33">
        <v>0.0</v>
      </c>
      <c r="AF71" s="33">
        <v>0.0</v>
      </c>
      <c r="AG71" s="33">
        <v>0.0</v>
      </c>
      <c r="AH71" s="33">
        <v>15.0</v>
      </c>
      <c r="AI71" s="33">
        <v>0.0</v>
      </c>
      <c r="AJ71" s="33">
        <v>0.0</v>
      </c>
      <c r="AK71" s="33">
        <v>0.0</v>
      </c>
    </row>
    <row r="72">
      <c r="A72" s="33">
        <v>76023.0</v>
      </c>
      <c r="B72" s="33">
        <v>0.0</v>
      </c>
      <c r="C72" s="33">
        <v>0.0</v>
      </c>
      <c r="D72" s="33">
        <v>0.0</v>
      </c>
      <c r="E72" s="33">
        <v>1000.0</v>
      </c>
      <c r="F72" s="33">
        <v>0.0</v>
      </c>
      <c r="G72" s="33">
        <v>0.0</v>
      </c>
      <c r="H72" s="33">
        <v>0.0</v>
      </c>
      <c r="I72" s="33">
        <v>0.0</v>
      </c>
      <c r="J72" s="33">
        <v>0.0</v>
      </c>
      <c r="K72" s="33">
        <v>0.0</v>
      </c>
      <c r="L72" s="33">
        <v>0.0</v>
      </c>
      <c r="M72" s="33">
        <v>0.0</v>
      </c>
      <c r="N72" s="33">
        <v>0.0</v>
      </c>
      <c r="O72" s="33">
        <v>0.0</v>
      </c>
      <c r="P72" s="33">
        <v>0.0</v>
      </c>
      <c r="Q72" s="33">
        <v>0.0</v>
      </c>
      <c r="R72" s="33">
        <v>0.0</v>
      </c>
      <c r="S72" s="33">
        <v>0.0</v>
      </c>
      <c r="T72" s="33">
        <v>0.0</v>
      </c>
      <c r="U72" s="33">
        <v>0.0</v>
      </c>
      <c r="V72" s="33">
        <v>0.0</v>
      </c>
      <c r="W72" s="33">
        <v>0.0</v>
      </c>
      <c r="X72" s="33">
        <v>0.0</v>
      </c>
      <c r="Y72" s="33">
        <v>0.0</v>
      </c>
      <c r="Z72" s="33">
        <v>0.0</v>
      </c>
      <c r="AA72" s="33">
        <v>0.0</v>
      </c>
      <c r="AB72" s="33">
        <v>0.0</v>
      </c>
      <c r="AC72" s="33">
        <v>0.0</v>
      </c>
      <c r="AD72" s="33">
        <v>0.0</v>
      </c>
      <c r="AE72" s="33">
        <v>0.0</v>
      </c>
      <c r="AF72" s="33">
        <v>0.0</v>
      </c>
      <c r="AG72" s="33">
        <v>0.0</v>
      </c>
      <c r="AH72" s="33">
        <v>0.0</v>
      </c>
      <c r="AI72" s="33">
        <v>0.0</v>
      </c>
      <c r="AJ72" s="33">
        <v>0.0</v>
      </c>
      <c r="AK72" s="33">
        <v>0.0</v>
      </c>
    </row>
    <row r="73">
      <c r="A73" s="33">
        <v>75070.0</v>
      </c>
      <c r="B73" s="33">
        <v>0.0</v>
      </c>
      <c r="C73" s="33">
        <v>0.0</v>
      </c>
      <c r="D73" s="33">
        <v>0.0</v>
      </c>
      <c r="E73" s="33">
        <v>1250.0</v>
      </c>
      <c r="F73" s="33">
        <v>0.0</v>
      </c>
      <c r="G73" s="33">
        <v>0.0</v>
      </c>
      <c r="H73" s="33">
        <v>0.0</v>
      </c>
      <c r="I73" s="33">
        <v>0.0</v>
      </c>
      <c r="J73" s="33">
        <v>0.0</v>
      </c>
      <c r="K73" s="33">
        <v>0.0</v>
      </c>
      <c r="L73" s="33">
        <v>0.0</v>
      </c>
      <c r="M73" s="33">
        <v>0.0</v>
      </c>
      <c r="N73" s="33">
        <v>0.0</v>
      </c>
      <c r="O73" s="33">
        <v>0.0</v>
      </c>
      <c r="P73" s="33">
        <v>0.0</v>
      </c>
      <c r="Q73" s="33">
        <v>0.0</v>
      </c>
      <c r="R73" s="33">
        <v>250.0</v>
      </c>
      <c r="S73" s="33">
        <v>0.0</v>
      </c>
      <c r="T73" s="33">
        <v>2000.0</v>
      </c>
      <c r="U73" s="33">
        <v>0.0</v>
      </c>
      <c r="V73" s="33">
        <v>0.0</v>
      </c>
      <c r="W73" s="33">
        <v>0.0</v>
      </c>
      <c r="X73" s="33">
        <v>0.0</v>
      </c>
      <c r="Y73" s="33">
        <v>0.0</v>
      </c>
      <c r="Z73" s="33">
        <v>0.0</v>
      </c>
      <c r="AA73" s="33">
        <v>0.0</v>
      </c>
      <c r="AB73" s="33">
        <v>0.0</v>
      </c>
      <c r="AC73" s="33">
        <v>0.0</v>
      </c>
      <c r="AD73" s="33">
        <v>0.0</v>
      </c>
      <c r="AE73" s="33">
        <v>0.0</v>
      </c>
      <c r="AF73" s="33">
        <v>0.0</v>
      </c>
      <c r="AG73" s="33">
        <v>0.0</v>
      </c>
      <c r="AH73" s="33">
        <v>0.0</v>
      </c>
      <c r="AI73" s="33">
        <v>0.0</v>
      </c>
      <c r="AJ73" s="33">
        <v>0.0</v>
      </c>
      <c r="AK73" s="33">
        <v>0.0</v>
      </c>
    </row>
    <row r="74">
      <c r="A74" s="33">
        <v>75116.0</v>
      </c>
      <c r="B74" s="33">
        <v>0.0</v>
      </c>
      <c r="C74" s="33">
        <v>0.0</v>
      </c>
      <c r="D74" s="33">
        <v>0.0</v>
      </c>
      <c r="E74" s="33">
        <v>1000.0</v>
      </c>
      <c r="F74" s="33">
        <v>0.0</v>
      </c>
      <c r="G74" s="33">
        <v>0.0</v>
      </c>
      <c r="H74" s="33">
        <v>210.0</v>
      </c>
      <c r="I74" s="33">
        <v>0.0</v>
      </c>
      <c r="J74" s="33">
        <v>0.0</v>
      </c>
      <c r="K74" s="33">
        <v>0.0</v>
      </c>
      <c r="L74" s="33">
        <v>0.0</v>
      </c>
      <c r="M74" s="33">
        <v>0.0</v>
      </c>
      <c r="N74" s="33">
        <v>0.0</v>
      </c>
      <c r="O74" s="33">
        <v>0.0</v>
      </c>
      <c r="P74" s="33">
        <v>100.0</v>
      </c>
      <c r="Q74" s="33">
        <v>0.0</v>
      </c>
      <c r="R74" s="33">
        <v>0.0</v>
      </c>
      <c r="S74" s="33">
        <v>0.0</v>
      </c>
      <c r="T74" s="33">
        <v>250.0</v>
      </c>
      <c r="U74" s="33">
        <v>0.0</v>
      </c>
      <c r="V74" s="33">
        <v>0.0</v>
      </c>
      <c r="W74" s="33">
        <v>0.0</v>
      </c>
      <c r="X74" s="33">
        <v>500.0</v>
      </c>
      <c r="Y74" s="33">
        <v>0.0</v>
      </c>
      <c r="Z74" s="33">
        <v>0.0</v>
      </c>
      <c r="AA74" s="33">
        <v>0.0</v>
      </c>
      <c r="AB74" s="33">
        <v>1000.0</v>
      </c>
      <c r="AC74" s="33">
        <v>0.0</v>
      </c>
      <c r="AD74" s="33">
        <v>0.0</v>
      </c>
      <c r="AE74" s="33">
        <v>0.0</v>
      </c>
      <c r="AF74" s="33">
        <v>0.0</v>
      </c>
      <c r="AG74" s="33">
        <v>0.0</v>
      </c>
      <c r="AH74" s="33">
        <v>0.0</v>
      </c>
      <c r="AI74" s="33">
        <v>0.0</v>
      </c>
      <c r="AJ74" s="33">
        <v>0.0</v>
      </c>
      <c r="AK74" s="33">
        <v>0.0</v>
      </c>
    </row>
    <row r="75">
      <c r="A75" s="33">
        <v>78640.0</v>
      </c>
      <c r="B75" s="33">
        <v>0.0</v>
      </c>
      <c r="C75" s="33">
        <v>0.0</v>
      </c>
      <c r="D75" s="33">
        <v>0.0</v>
      </c>
      <c r="E75" s="33">
        <v>100.0</v>
      </c>
      <c r="F75" s="33">
        <v>0.0</v>
      </c>
      <c r="G75" s="33">
        <v>0.0</v>
      </c>
      <c r="H75" s="33">
        <v>100.0</v>
      </c>
      <c r="I75" s="33">
        <v>0.0</v>
      </c>
      <c r="J75" s="33">
        <v>0.0</v>
      </c>
      <c r="K75" s="33">
        <v>0.0</v>
      </c>
      <c r="L75" s="33">
        <v>0.0</v>
      </c>
      <c r="M75" s="33">
        <v>0.0</v>
      </c>
      <c r="N75" s="33">
        <v>0.0</v>
      </c>
      <c r="O75" s="33">
        <v>0.0</v>
      </c>
      <c r="P75" s="33">
        <v>0.0</v>
      </c>
      <c r="Q75" s="33">
        <v>0.0</v>
      </c>
      <c r="R75" s="33">
        <v>0.0</v>
      </c>
      <c r="S75" s="33">
        <v>0.0</v>
      </c>
      <c r="T75" s="33">
        <v>0.0</v>
      </c>
      <c r="U75" s="33">
        <v>0.0</v>
      </c>
      <c r="V75" s="33">
        <v>0.0</v>
      </c>
      <c r="W75" s="33">
        <v>0.0</v>
      </c>
      <c r="X75" s="33">
        <v>0.0</v>
      </c>
      <c r="Y75" s="33">
        <v>0.0</v>
      </c>
      <c r="Z75" s="33">
        <v>0.0</v>
      </c>
      <c r="AA75" s="33">
        <v>0.0</v>
      </c>
      <c r="AB75" s="33">
        <v>0.0</v>
      </c>
      <c r="AC75" s="33">
        <v>0.0</v>
      </c>
      <c r="AD75" s="33">
        <v>0.0</v>
      </c>
      <c r="AE75" s="33">
        <v>0.0</v>
      </c>
      <c r="AF75" s="33">
        <v>0.0</v>
      </c>
      <c r="AG75" s="33">
        <v>0.0</v>
      </c>
      <c r="AH75" s="33">
        <v>0.0</v>
      </c>
      <c r="AI75" s="33">
        <v>0.0</v>
      </c>
      <c r="AJ75" s="33">
        <v>0.0</v>
      </c>
      <c r="AK75" s="33">
        <v>0.0</v>
      </c>
    </row>
    <row r="76">
      <c r="A76" s="33">
        <v>75063.0</v>
      </c>
      <c r="B76" s="33">
        <v>0.0</v>
      </c>
      <c r="C76" s="33">
        <v>0.0</v>
      </c>
      <c r="D76" s="33">
        <v>0.0</v>
      </c>
      <c r="E76" s="33">
        <v>2200.0</v>
      </c>
      <c r="F76" s="33">
        <v>0.0</v>
      </c>
      <c r="G76" s="33">
        <v>0.0</v>
      </c>
      <c r="H76" s="33">
        <v>0.0</v>
      </c>
      <c r="I76" s="33">
        <v>0.0</v>
      </c>
      <c r="J76" s="33">
        <v>0.0</v>
      </c>
      <c r="K76" s="33">
        <v>0.0</v>
      </c>
      <c r="L76" s="33">
        <v>0.0</v>
      </c>
      <c r="M76" s="33">
        <v>0.0</v>
      </c>
      <c r="N76" s="33">
        <v>0.0</v>
      </c>
      <c r="O76" s="33">
        <v>0.0</v>
      </c>
      <c r="P76" s="33">
        <v>0.0</v>
      </c>
      <c r="Q76" s="33">
        <v>0.0</v>
      </c>
      <c r="R76" s="33">
        <v>0.0</v>
      </c>
      <c r="S76" s="33">
        <v>0.0</v>
      </c>
      <c r="T76" s="33">
        <v>474.7</v>
      </c>
      <c r="U76" s="33">
        <v>0.0</v>
      </c>
      <c r="V76" s="33">
        <v>0.0</v>
      </c>
      <c r="W76" s="33">
        <v>1000.0</v>
      </c>
      <c r="X76" s="33">
        <v>0.0</v>
      </c>
      <c r="Y76" s="33">
        <v>0.0</v>
      </c>
      <c r="Z76" s="33">
        <v>1000.0</v>
      </c>
      <c r="AA76" s="33">
        <v>0.0</v>
      </c>
      <c r="AB76" s="33">
        <v>1000.0</v>
      </c>
      <c r="AC76" s="33">
        <v>0.0</v>
      </c>
      <c r="AD76" s="33">
        <v>0.0</v>
      </c>
      <c r="AE76" s="33">
        <v>0.0</v>
      </c>
      <c r="AF76" s="33">
        <v>0.0</v>
      </c>
      <c r="AG76" s="33">
        <v>0.0</v>
      </c>
      <c r="AH76" s="33">
        <v>0.0</v>
      </c>
      <c r="AI76" s="33">
        <v>0.0</v>
      </c>
      <c r="AJ76" s="33">
        <v>0.0</v>
      </c>
      <c r="AK76" s="33">
        <v>0.0</v>
      </c>
    </row>
    <row r="77">
      <c r="A77" s="33">
        <v>75007.0</v>
      </c>
      <c r="B77" s="33">
        <v>500.0</v>
      </c>
      <c r="C77" s="33">
        <v>0.0</v>
      </c>
      <c r="D77" s="33">
        <v>0.0</v>
      </c>
      <c r="E77" s="33">
        <v>3500.0</v>
      </c>
      <c r="F77" s="33">
        <v>0.0</v>
      </c>
      <c r="G77" s="33">
        <v>0.0</v>
      </c>
      <c r="H77" s="33">
        <v>50.0</v>
      </c>
      <c r="I77" s="33">
        <v>0.0</v>
      </c>
      <c r="J77" s="33">
        <v>0.0</v>
      </c>
      <c r="K77" s="33">
        <v>0.0</v>
      </c>
      <c r="L77" s="33">
        <v>0.0</v>
      </c>
      <c r="M77" s="33">
        <v>0.0</v>
      </c>
      <c r="N77" s="33">
        <v>0.0</v>
      </c>
      <c r="O77" s="33">
        <v>0.0</v>
      </c>
      <c r="P77" s="33">
        <v>1000.0</v>
      </c>
      <c r="Q77" s="33">
        <v>0.0</v>
      </c>
      <c r="R77" s="33">
        <v>0.0</v>
      </c>
      <c r="S77" s="33">
        <v>0.0</v>
      </c>
      <c r="T77" s="33">
        <v>0.0</v>
      </c>
      <c r="U77" s="33">
        <v>0.0</v>
      </c>
      <c r="V77" s="33">
        <v>0.0</v>
      </c>
      <c r="W77" s="33">
        <v>0.0</v>
      </c>
      <c r="X77" s="33">
        <v>0.0</v>
      </c>
      <c r="Y77" s="33">
        <v>0.0</v>
      </c>
      <c r="Z77" s="33">
        <v>1250.0</v>
      </c>
      <c r="AA77" s="33">
        <v>0.0</v>
      </c>
      <c r="AB77" s="33">
        <v>500.0</v>
      </c>
      <c r="AC77" s="33">
        <v>0.0</v>
      </c>
      <c r="AD77" s="33">
        <v>0.0</v>
      </c>
      <c r="AE77" s="33">
        <v>0.0</v>
      </c>
      <c r="AF77" s="33">
        <v>0.0</v>
      </c>
      <c r="AG77" s="33">
        <v>0.0</v>
      </c>
      <c r="AH77" s="33">
        <v>0.0</v>
      </c>
      <c r="AI77" s="33">
        <v>0.0</v>
      </c>
      <c r="AJ77" s="33">
        <v>0.0</v>
      </c>
      <c r="AK77" s="33">
        <v>0.0</v>
      </c>
    </row>
    <row r="78">
      <c r="A78" s="33">
        <v>75019.0</v>
      </c>
      <c r="B78" s="33">
        <v>0.0</v>
      </c>
      <c r="C78" s="33">
        <v>0.0</v>
      </c>
      <c r="D78" s="33">
        <v>0.0</v>
      </c>
      <c r="E78" s="33">
        <v>1300.0</v>
      </c>
      <c r="F78" s="33">
        <v>0.0</v>
      </c>
      <c r="G78" s="33">
        <v>50.0</v>
      </c>
      <c r="H78" s="33">
        <v>0.0</v>
      </c>
      <c r="I78" s="33">
        <v>0.0</v>
      </c>
      <c r="J78" s="33">
        <v>0.0</v>
      </c>
      <c r="K78" s="33">
        <v>0.0</v>
      </c>
      <c r="L78" s="33">
        <v>0.0</v>
      </c>
      <c r="M78" s="33">
        <v>0.0</v>
      </c>
      <c r="N78" s="33">
        <v>1000.0</v>
      </c>
      <c r="O78" s="33">
        <v>0.0</v>
      </c>
      <c r="P78" s="33">
        <v>0.0</v>
      </c>
      <c r="Q78" s="33">
        <v>0.0</v>
      </c>
      <c r="R78" s="33">
        <v>10.0</v>
      </c>
      <c r="S78" s="33">
        <v>0.0</v>
      </c>
      <c r="T78" s="33">
        <v>0.0</v>
      </c>
      <c r="U78" s="33">
        <v>0.0</v>
      </c>
      <c r="V78" s="33">
        <v>0.0</v>
      </c>
      <c r="W78" s="33">
        <v>0.0</v>
      </c>
      <c r="X78" s="33">
        <v>0.0</v>
      </c>
      <c r="Y78" s="33">
        <v>0.0</v>
      </c>
      <c r="Z78" s="33">
        <v>1550.0</v>
      </c>
      <c r="AA78" s="33">
        <v>0.0</v>
      </c>
      <c r="AB78" s="33">
        <v>0.0</v>
      </c>
      <c r="AC78" s="33">
        <v>100.0</v>
      </c>
      <c r="AD78" s="33">
        <v>0.0</v>
      </c>
      <c r="AE78" s="33">
        <v>0.0</v>
      </c>
      <c r="AF78" s="33">
        <v>0.0</v>
      </c>
      <c r="AG78" s="33">
        <v>0.0</v>
      </c>
      <c r="AH78" s="33">
        <v>0.0</v>
      </c>
      <c r="AI78" s="33">
        <v>0.0</v>
      </c>
      <c r="AJ78" s="33">
        <v>0.0</v>
      </c>
      <c r="AK78" s="33">
        <v>0.0</v>
      </c>
    </row>
    <row r="79">
      <c r="A79" s="33">
        <v>75056.0</v>
      </c>
      <c r="B79" s="33">
        <v>0.0</v>
      </c>
      <c r="C79" s="33">
        <v>0.0</v>
      </c>
      <c r="D79" s="33">
        <v>0.0</v>
      </c>
      <c r="E79" s="33">
        <v>1000.0</v>
      </c>
      <c r="F79" s="33">
        <v>0.0</v>
      </c>
      <c r="G79" s="33">
        <v>0.0</v>
      </c>
      <c r="H79" s="33">
        <v>120.0</v>
      </c>
      <c r="I79" s="33">
        <v>0.0</v>
      </c>
      <c r="J79" s="33">
        <v>0.0</v>
      </c>
      <c r="K79" s="33">
        <v>0.0</v>
      </c>
      <c r="L79" s="33">
        <v>0.0</v>
      </c>
      <c r="M79" s="33">
        <v>0.0</v>
      </c>
      <c r="N79" s="33">
        <v>0.0</v>
      </c>
      <c r="O79" s="33">
        <v>0.0</v>
      </c>
      <c r="P79" s="33">
        <v>500.0</v>
      </c>
      <c r="Q79" s="33">
        <v>0.0</v>
      </c>
      <c r="R79" s="33">
        <v>0.0</v>
      </c>
      <c r="S79" s="33">
        <v>0.0</v>
      </c>
      <c r="T79" s="33">
        <v>0.0</v>
      </c>
      <c r="U79" s="33">
        <v>0.0</v>
      </c>
      <c r="V79" s="33">
        <v>0.0</v>
      </c>
      <c r="W79" s="33">
        <v>0.0</v>
      </c>
      <c r="X79" s="33">
        <v>0.0</v>
      </c>
      <c r="Y79" s="33">
        <v>0.0</v>
      </c>
      <c r="Z79" s="33">
        <v>0.0</v>
      </c>
      <c r="AA79" s="33">
        <v>0.0</v>
      </c>
      <c r="AB79" s="33">
        <v>0.0</v>
      </c>
      <c r="AC79" s="33">
        <v>0.0</v>
      </c>
      <c r="AD79" s="33">
        <v>0.0</v>
      </c>
      <c r="AE79" s="33">
        <v>0.0</v>
      </c>
      <c r="AF79" s="33">
        <v>0.0</v>
      </c>
      <c r="AG79" s="33">
        <v>0.0</v>
      </c>
      <c r="AH79" s="33">
        <v>0.0</v>
      </c>
      <c r="AI79" s="33">
        <v>0.0</v>
      </c>
      <c r="AJ79" s="33">
        <v>0.0</v>
      </c>
      <c r="AK79" s="33">
        <v>0.0</v>
      </c>
    </row>
    <row r="80">
      <c r="A80" s="33">
        <v>75035.0</v>
      </c>
      <c r="B80" s="33">
        <v>0.0</v>
      </c>
      <c r="C80" s="33">
        <v>0.0</v>
      </c>
      <c r="D80" s="33">
        <v>0.0</v>
      </c>
      <c r="E80" s="33">
        <v>1000.0</v>
      </c>
      <c r="F80" s="33">
        <v>0.0</v>
      </c>
      <c r="G80" s="33">
        <v>50.0</v>
      </c>
      <c r="H80" s="33">
        <v>0.0</v>
      </c>
      <c r="I80" s="33">
        <v>0.0</v>
      </c>
      <c r="J80" s="33">
        <v>0.0</v>
      </c>
      <c r="K80" s="33">
        <v>0.0</v>
      </c>
      <c r="L80" s="33">
        <v>0.0</v>
      </c>
      <c r="M80" s="33">
        <v>0.0</v>
      </c>
      <c r="N80" s="33">
        <v>0.0</v>
      </c>
      <c r="O80" s="33">
        <v>0.0</v>
      </c>
      <c r="P80" s="33">
        <v>0.0</v>
      </c>
      <c r="Q80" s="33">
        <v>25.0</v>
      </c>
      <c r="R80" s="33">
        <v>0.0</v>
      </c>
      <c r="S80" s="33">
        <v>0.0</v>
      </c>
      <c r="T80" s="33">
        <v>0.0</v>
      </c>
      <c r="U80" s="33">
        <v>0.0</v>
      </c>
      <c r="V80" s="33">
        <v>0.0</v>
      </c>
      <c r="W80" s="33">
        <v>0.0</v>
      </c>
      <c r="X80" s="33">
        <v>0.0</v>
      </c>
      <c r="Y80" s="33">
        <v>0.0</v>
      </c>
      <c r="Z80" s="33">
        <v>0.0</v>
      </c>
      <c r="AA80" s="33">
        <v>0.0</v>
      </c>
      <c r="AB80" s="33">
        <v>0.0</v>
      </c>
      <c r="AC80" s="33">
        <v>0.0</v>
      </c>
      <c r="AD80" s="33">
        <v>0.0</v>
      </c>
      <c r="AE80" s="33">
        <v>0.0</v>
      </c>
      <c r="AF80" s="33">
        <v>0.0</v>
      </c>
      <c r="AG80" s="33">
        <v>0.0</v>
      </c>
      <c r="AH80" s="33">
        <v>0.0</v>
      </c>
      <c r="AI80" s="33">
        <v>0.0</v>
      </c>
      <c r="AJ80" s="33">
        <v>0.0</v>
      </c>
      <c r="AK80" s="33">
        <v>0.0</v>
      </c>
    </row>
    <row r="81">
      <c r="A81" s="33">
        <v>75068.0</v>
      </c>
      <c r="B81" s="33">
        <v>100.0</v>
      </c>
      <c r="C81" s="33">
        <v>0.0</v>
      </c>
      <c r="D81" s="33">
        <v>0.0</v>
      </c>
      <c r="E81" s="33">
        <v>1000.0</v>
      </c>
      <c r="F81" s="33">
        <v>0.0</v>
      </c>
      <c r="G81" s="33">
        <v>0.0</v>
      </c>
      <c r="H81" s="33">
        <v>0.0</v>
      </c>
      <c r="I81" s="33">
        <v>0.0</v>
      </c>
      <c r="J81" s="33">
        <v>0.0</v>
      </c>
      <c r="K81" s="33">
        <v>0.0</v>
      </c>
      <c r="L81" s="33">
        <v>0.0</v>
      </c>
      <c r="M81" s="33">
        <v>0.0</v>
      </c>
      <c r="N81" s="33">
        <v>0.0</v>
      </c>
      <c r="O81" s="33">
        <v>0.0</v>
      </c>
      <c r="P81" s="33">
        <v>0.0</v>
      </c>
      <c r="Q81" s="33">
        <v>0.0</v>
      </c>
      <c r="R81" s="33">
        <v>0.0</v>
      </c>
      <c r="S81" s="33">
        <v>0.0</v>
      </c>
      <c r="T81" s="33">
        <v>0.0</v>
      </c>
      <c r="U81" s="33">
        <v>0.0</v>
      </c>
      <c r="V81" s="33">
        <v>0.0</v>
      </c>
      <c r="W81" s="33">
        <v>0.0</v>
      </c>
      <c r="X81" s="33">
        <v>0.0</v>
      </c>
      <c r="Y81" s="33">
        <v>0.0</v>
      </c>
      <c r="Z81" s="33">
        <v>0.0</v>
      </c>
      <c r="AA81" s="33">
        <v>0.0</v>
      </c>
      <c r="AB81" s="33">
        <v>0.0</v>
      </c>
      <c r="AC81" s="33">
        <v>0.0</v>
      </c>
      <c r="AD81" s="33">
        <v>0.0</v>
      </c>
      <c r="AE81" s="33">
        <v>0.0</v>
      </c>
      <c r="AF81" s="33">
        <v>0.0</v>
      </c>
      <c r="AG81" s="33">
        <v>0.0</v>
      </c>
      <c r="AH81" s="33">
        <v>0.0</v>
      </c>
      <c r="AI81" s="33">
        <v>0.0</v>
      </c>
      <c r="AJ81" s="33">
        <v>0.0</v>
      </c>
      <c r="AK81" s="33">
        <v>0.0</v>
      </c>
    </row>
    <row r="82">
      <c r="A82" s="33">
        <v>75010.0</v>
      </c>
      <c r="B82" s="33">
        <v>0.0</v>
      </c>
      <c r="C82" s="33">
        <v>0.0</v>
      </c>
      <c r="D82" s="33">
        <v>0.0</v>
      </c>
      <c r="E82" s="33">
        <v>1000.0</v>
      </c>
      <c r="F82" s="33">
        <v>0.0</v>
      </c>
      <c r="G82" s="33">
        <v>0.0</v>
      </c>
      <c r="H82" s="33">
        <v>0.0</v>
      </c>
      <c r="I82" s="33">
        <v>0.0</v>
      </c>
      <c r="J82" s="33">
        <v>0.0</v>
      </c>
      <c r="K82" s="33">
        <v>0.0</v>
      </c>
      <c r="L82" s="33">
        <v>0.0</v>
      </c>
      <c r="M82" s="33">
        <v>0.0</v>
      </c>
      <c r="N82" s="33">
        <v>0.0</v>
      </c>
      <c r="O82" s="33">
        <v>0.0</v>
      </c>
      <c r="P82" s="33">
        <v>0.0</v>
      </c>
      <c r="Q82" s="33">
        <v>0.0</v>
      </c>
      <c r="R82" s="33">
        <v>0.0</v>
      </c>
      <c r="S82" s="33">
        <v>0.0</v>
      </c>
      <c r="T82" s="33">
        <v>0.0</v>
      </c>
      <c r="U82" s="33">
        <v>0.0</v>
      </c>
      <c r="V82" s="33">
        <v>0.0</v>
      </c>
      <c r="W82" s="33">
        <v>0.0</v>
      </c>
      <c r="X82" s="33">
        <v>0.0</v>
      </c>
      <c r="Y82" s="33">
        <v>0.0</v>
      </c>
      <c r="Z82" s="33">
        <v>0.0</v>
      </c>
      <c r="AA82" s="33">
        <v>0.0</v>
      </c>
      <c r="AB82" s="33">
        <v>300.0</v>
      </c>
      <c r="AC82" s="33">
        <v>0.0</v>
      </c>
      <c r="AD82" s="33">
        <v>1000.0</v>
      </c>
      <c r="AE82" s="33">
        <v>0.0</v>
      </c>
      <c r="AF82" s="33">
        <v>0.0</v>
      </c>
      <c r="AG82" s="33">
        <v>0.0</v>
      </c>
      <c r="AH82" s="33">
        <v>0.0</v>
      </c>
      <c r="AI82" s="33">
        <v>0.0</v>
      </c>
      <c r="AJ82" s="33">
        <v>0.0</v>
      </c>
      <c r="AK82" s="33">
        <v>0.0</v>
      </c>
    </row>
    <row r="83">
      <c r="A83" s="33">
        <v>77063.0</v>
      </c>
      <c r="B83" s="33">
        <v>0.0</v>
      </c>
      <c r="C83" s="33">
        <v>0.0</v>
      </c>
      <c r="D83" s="33">
        <v>0.0</v>
      </c>
      <c r="E83" s="33">
        <v>1000.0</v>
      </c>
      <c r="F83" s="33">
        <v>0.0</v>
      </c>
      <c r="G83" s="33">
        <v>0.0</v>
      </c>
      <c r="H83" s="33">
        <v>0.0</v>
      </c>
      <c r="I83" s="33">
        <v>0.0</v>
      </c>
      <c r="J83" s="33">
        <v>0.0</v>
      </c>
      <c r="K83" s="33">
        <v>0.0</v>
      </c>
      <c r="L83" s="33">
        <v>0.0</v>
      </c>
      <c r="M83" s="33">
        <v>0.0</v>
      </c>
      <c r="N83" s="33">
        <v>0.0</v>
      </c>
      <c r="O83" s="33">
        <v>0.0</v>
      </c>
      <c r="P83" s="33">
        <v>0.0</v>
      </c>
      <c r="Q83" s="33">
        <v>0.0</v>
      </c>
      <c r="R83" s="33">
        <v>0.0</v>
      </c>
      <c r="S83" s="33">
        <v>0.0</v>
      </c>
      <c r="T83" s="33">
        <v>0.0</v>
      </c>
      <c r="U83" s="33">
        <v>0.0</v>
      </c>
      <c r="V83" s="33">
        <v>0.0</v>
      </c>
      <c r="W83" s="33">
        <v>0.0</v>
      </c>
      <c r="X83" s="33">
        <v>0.0</v>
      </c>
      <c r="Y83" s="33">
        <v>0.0</v>
      </c>
      <c r="Z83" s="33">
        <v>0.0</v>
      </c>
      <c r="AA83" s="33">
        <v>0.0</v>
      </c>
      <c r="AB83" s="33">
        <v>0.0</v>
      </c>
      <c r="AC83" s="33">
        <v>0.0</v>
      </c>
      <c r="AD83" s="33">
        <v>0.0</v>
      </c>
      <c r="AE83" s="33">
        <v>0.0</v>
      </c>
      <c r="AF83" s="33">
        <v>0.0</v>
      </c>
      <c r="AG83" s="33">
        <v>0.0</v>
      </c>
      <c r="AH83" s="33">
        <v>0.0</v>
      </c>
      <c r="AI83" s="33">
        <v>0.0</v>
      </c>
      <c r="AJ83" s="33">
        <v>0.0</v>
      </c>
      <c r="AK83" s="33">
        <v>0.0</v>
      </c>
    </row>
    <row r="84">
      <c r="A84" s="33">
        <v>75087.0</v>
      </c>
      <c r="B84" s="33">
        <v>0.0</v>
      </c>
      <c r="C84" s="33">
        <v>0.0</v>
      </c>
      <c r="D84" s="33">
        <v>0.0</v>
      </c>
      <c r="E84" s="33">
        <v>100.0</v>
      </c>
      <c r="F84" s="33">
        <v>0.0</v>
      </c>
      <c r="G84" s="33">
        <v>0.0</v>
      </c>
      <c r="H84" s="33">
        <v>0.0</v>
      </c>
      <c r="I84" s="33">
        <v>0.0</v>
      </c>
      <c r="J84" s="33">
        <v>0.0</v>
      </c>
      <c r="K84" s="33">
        <v>0.0</v>
      </c>
      <c r="L84" s="33">
        <v>0.0</v>
      </c>
      <c r="M84" s="33">
        <v>0.0</v>
      </c>
      <c r="N84" s="33">
        <v>0.0</v>
      </c>
      <c r="O84" s="33">
        <v>0.0</v>
      </c>
      <c r="P84" s="33">
        <v>0.0</v>
      </c>
      <c r="Q84" s="33">
        <v>0.0</v>
      </c>
      <c r="R84" s="33">
        <v>0.0</v>
      </c>
      <c r="S84" s="33">
        <v>0.0</v>
      </c>
      <c r="T84" s="33">
        <v>0.0</v>
      </c>
      <c r="U84" s="33">
        <v>0.0</v>
      </c>
      <c r="V84" s="33">
        <v>0.0</v>
      </c>
      <c r="W84" s="33">
        <v>0.0</v>
      </c>
      <c r="X84" s="33">
        <v>0.0</v>
      </c>
      <c r="Y84" s="33">
        <v>0.0</v>
      </c>
      <c r="Z84" s="33">
        <v>0.0</v>
      </c>
      <c r="AA84" s="33">
        <v>0.0</v>
      </c>
      <c r="AB84" s="33">
        <v>0.0</v>
      </c>
      <c r="AC84" s="33">
        <v>0.0</v>
      </c>
      <c r="AD84" s="33">
        <v>0.0</v>
      </c>
      <c r="AE84" s="33">
        <v>0.0</v>
      </c>
      <c r="AF84" s="33">
        <v>0.0</v>
      </c>
      <c r="AG84" s="33">
        <v>0.0</v>
      </c>
      <c r="AH84" s="33">
        <v>0.0</v>
      </c>
      <c r="AI84" s="33">
        <v>0.0</v>
      </c>
      <c r="AJ84" s="33">
        <v>0.0</v>
      </c>
      <c r="AK84" s="33">
        <v>0.0</v>
      </c>
    </row>
    <row r="85">
      <c r="A85" s="33">
        <v>75708.0</v>
      </c>
      <c r="B85" s="33">
        <v>0.0</v>
      </c>
      <c r="C85" s="33">
        <v>0.0</v>
      </c>
      <c r="D85" s="33">
        <v>0.0</v>
      </c>
      <c r="E85" s="33">
        <v>500.0</v>
      </c>
      <c r="F85" s="33">
        <v>0.0</v>
      </c>
      <c r="G85" s="33">
        <v>0.0</v>
      </c>
      <c r="H85" s="33">
        <v>0.0</v>
      </c>
      <c r="I85" s="33">
        <v>0.0</v>
      </c>
      <c r="J85" s="33">
        <v>0.0</v>
      </c>
      <c r="K85" s="33">
        <v>0.0</v>
      </c>
      <c r="L85" s="33">
        <v>0.0</v>
      </c>
      <c r="M85" s="33">
        <v>0.0</v>
      </c>
      <c r="N85" s="33">
        <v>0.0</v>
      </c>
      <c r="O85" s="33">
        <v>0.0</v>
      </c>
      <c r="P85" s="33">
        <v>0.0</v>
      </c>
      <c r="Q85" s="33">
        <v>0.0</v>
      </c>
      <c r="R85" s="33">
        <v>0.0</v>
      </c>
      <c r="S85" s="33">
        <v>0.0</v>
      </c>
      <c r="T85" s="33">
        <v>0.0</v>
      </c>
      <c r="U85" s="33">
        <v>0.0</v>
      </c>
      <c r="V85" s="33">
        <v>0.0</v>
      </c>
      <c r="W85" s="33">
        <v>0.0</v>
      </c>
      <c r="X85" s="33">
        <v>0.0</v>
      </c>
      <c r="Y85" s="33">
        <v>0.0</v>
      </c>
      <c r="Z85" s="33">
        <v>0.0</v>
      </c>
      <c r="AA85" s="33">
        <v>0.0</v>
      </c>
      <c r="AB85" s="33">
        <v>0.0</v>
      </c>
      <c r="AC85" s="33">
        <v>0.0</v>
      </c>
      <c r="AD85" s="33">
        <v>0.0</v>
      </c>
      <c r="AE85" s="33">
        <v>0.0</v>
      </c>
      <c r="AF85" s="33">
        <v>0.0</v>
      </c>
      <c r="AG85" s="33">
        <v>0.0</v>
      </c>
      <c r="AH85" s="33">
        <v>0.0</v>
      </c>
      <c r="AI85" s="33">
        <v>0.0</v>
      </c>
      <c r="AJ85" s="33">
        <v>0.0</v>
      </c>
      <c r="AK85" s="33">
        <v>0.0</v>
      </c>
    </row>
    <row r="86">
      <c r="A86" s="33">
        <v>75243.0</v>
      </c>
      <c r="B86" s="33">
        <v>0.0</v>
      </c>
      <c r="C86" s="33">
        <v>100.0</v>
      </c>
      <c r="D86" s="33">
        <v>500.0</v>
      </c>
      <c r="E86" s="33">
        <v>0.0</v>
      </c>
      <c r="F86" s="33">
        <v>0.0</v>
      </c>
      <c r="G86" s="33">
        <v>50.0</v>
      </c>
      <c r="H86" s="33">
        <v>100.0</v>
      </c>
      <c r="I86" s="33">
        <v>0.0</v>
      </c>
      <c r="J86" s="33">
        <v>0.0</v>
      </c>
      <c r="K86" s="33">
        <v>0.0</v>
      </c>
      <c r="L86" s="33">
        <v>0.0</v>
      </c>
      <c r="M86" s="33">
        <v>0.0</v>
      </c>
      <c r="N86" s="33">
        <v>520.0</v>
      </c>
      <c r="O86" s="33">
        <v>0.0</v>
      </c>
      <c r="P86" s="33">
        <v>0.0</v>
      </c>
      <c r="Q86" s="33">
        <v>0.0</v>
      </c>
      <c r="R86" s="33">
        <v>195.0</v>
      </c>
      <c r="S86" s="33">
        <v>0.0</v>
      </c>
      <c r="T86" s="33">
        <v>949.7</v>
      </c>
      <c r="U86" s="33">
        <v>50.0</v>
      </c>
      <c r="V86" s="33">
        <v>0.0</v>
      </c>
      <c r="W86" s="33">
        <v>0.0</v>
      </c>
      <c r="X86" s="33">
        <v>0.0</v>
      </c>
      <c r="Y86" s="33">
        <v>50.0</v>
      </c>
      <c r="Z86" s="33">
        <v>6300.0</v>
      </c>
      <c r="AA86" s="33">
        <v>100.0</v>
      </c>
      <c r="AB86" s="33">
        <v>0.0</v>
      </c>
      <c r="AC86" s="33">
        <v>6175.0</v>
      </c>
      <c r="AD86" s="33">
        <v>400.0</v>
      </c>
      <c r="AE86" s="33">
        <v>1000.0</v>
      </c>
      <c r="AF86" s="33">
        <v>0.0</v>
      </c>
      <c r="AG86" s="33">
        <v>0.0</v>
      </c>
      <c r="AH86" s="33">
        <v>0.0</v>
      </c>
      <c r="AI86" s="33">
        <v>0.0</v>
      </c>
      <c r="AJ86" s="33">
        <v>275.0</v>
      </c>
      <c r="AK86" s="33">
        <v>0.0</v>
      </c>
    </row>
    <row r="87">
      <c r="A87" s="33">
        <v>75232.0</v>
      </c>
      <c r="B87" s="33">
        <v>0.0</v>
      </c>
      <c r="C87" s="33">
        <v>0.0</v>
      </c>
      <c r="D87" s="33">
        <v>535.0</v>
      </c>
      <c r="E87" s="33">
        <v>0.0</v>
      </c>
      <c r="F87" s="33">
        <v>0.0</v>
      </c>
      <c r="G87" s="33">
        <v>0.0</v>
      </c>
      <c r="H87" s="33">
        <v>0.0</v>
      </c>
      <c r="I87" s="33">
        <v>0.0</v>
      </c>
      <c r="J87" s="33">
        <v>0.0</v>
      </c>
      <c r="K87" s="33">
        <v>0.0</v>
      </c>
      <c r="L87" s="33">
        <v>350.0</v>
      </c>
      <c r="M87" s="33">
        <v>100.0</v>
      </c>
      <c r="N87" s="33">
        <v>0.0</v>
      </c>
      <c r="O87" s="33">
        <v>0.0</v>
      </c>
      <c r="P87" s="33">
        <v>0.0</v>
      </c>
      <c r="Q87" s="33">
        <v>0.0</v>
      </c>
      <c r="R87" s="33">
        <v>0.0</v>
      </c>
      <c r="S87" s="33">
        <v>0.0</v>
      </c>
      <c r="T87" s="33">
        <v>250.0</v>
      </c>
      <c r="U87" s="33">
        <v>0.0</v>
      </c>
      <c r="V87" s="33">
        <v>0.0</v>
      </c>
      <c r="W87" s="33">
        <v>1000.0</v>
      </c>
      <c r="X87" s="33">
        <v>0.0</v>
      </c>
      <c r="Y87" s="33">
        <v>0.0</v>
      </c>
      <c r="Z87" s="33">
        <v>6000.0</v>
      </c>
      <c r="AA87" s="33">
        <v>0.0</v>
      </c>
      <c r="AB87" s="33">
        <v>2850.0</v>
      </c>
      <c r="AC87" s="33">
        <v>0.0</v>
      </c>
      <c r="AD87" s="33">
        <v>0.0</v>
      </c>
      <c r="AE87" s="33">
        <v>0.0</v>
      </c>
      <c r="AF87" s="33">
        <v>0.0</v>
      </c>
      <c r="AG87" s="33">
        <v>0.0</v>
      </c>
      <c r="AH87" s="33">
        <v>0.0</v>
      </c>
      <c r="AI87" s="33">
        <v>0.0</v>
      </c>
      <c r="AJ87" s="33">
        <v>0.0</v>
      </c>
      <c r="AK87" s="33">
        <v>0.0</v>
      </c>
    </row>
    <row r="88">
      <c r="A88" s="33">
        <v>76039.0</v>
      </c>
      <c r="B88" s="33">
        <v>0.0</v>
      </c>
      <c r="C88" s="33">
        <v>0.0</v>
      </c>
      <c r="D88" s="33">
        <v>25.0</v>
      </c>
      <c r="E88" s="33">
        <v>0.0</v>
      </c>
      <c r="F88" s="33">
        <v>0.0</v>
      </c>
      <c r="G88" s="33">
        <v>0.0</v>
      </c>
      <c r="H88" s="33">
        <v>0.0</v>
      </c>
      <c r="I88" s="33">
        <v>0.0</v>
      </c>
      <c r="J88" s="33">
        <v>0.0</v>
      </c>
      <c r="K88" s="33">
        <v>0.0</v>
      </c>
      <c r="L88" s="33">
        <v>0.0</v>
      </c>
      <c r="M88" s="33">
        <v>0.0</v>
      </c>
      <c r="N88" s="33">
        <v>0.0</v>
      </c>
      <c r="O88" s="33">
        <v>0.0</v>
      </c>
      <c r="P88" s="33">
        <v>0.0</v>
      </c>
      <c r="Q88" s="33">
        <v>0.0</v>
      </c>
      <c r="R88" s="33">
        <v>0.0</v>
      </c>
      <c r="S88" s="33">
        <v>0.0</v>
      </c>
      <c r="T88" s="33">
        <v>0.0</v>
      </c>
      <c r="U88" s="33">
        <v>0.0</v>
      </c>
      <c r="V88" s="33">
        <v>0.0</v>
      </c>
      <c r="W88" s="33">
        <v>0.0</v>
      </c>
      <c r="X88" s="33">
        <v>0.0</v>
      </c>
      <c r="Y88" s="33">
        <v>0.0</v>
      </c>
      <c r="Z88" s="33">
        <v>0.0</v>
      </c>
      <c r="AA88" s="33">
        <v>0.0</v>
      </c>
      <c r="AB88" s="33">
        <v>0.0</v>
      </c>
      <c r="AC88" s="33">
        <v>0.0</v>
      </c>
      <c r="AD88" s="33">
        <v>0.0</v>
      </c>
      <c r="AE88" s="33">
        <v>0.0</v>
      </c>
      <c r="AF88" s="33">
        <v>0.0</v>
      </c>
      <c r="AG88" s="33">
        <v>0.0</v>
      </c>
      <c r="AH88" s="33">
        <v>0.0</v>
      </c>
      <c r="AI88" s="33">
        <v>0.0</v>
      </c>
      <c r="AJ88" s="33">
        <v>0.0</v>
      </c>
      <c r="AK88" s="33">
        <v>0.0</v>
      </c>
    </row>
    <row r="89">
      <c r="A89" s="33">
        <v>75376.0</v>
      </c>
      <c r="B89" s="33">
        <v>250.0</v>
      </c>
      <c r="C89" s="33">
        <v>0.0</v>
      </c>
      <c r="D89" s="33">
        <v>250.0</v>
      </c>
      <c r="E89" s="33">
        <v>250.0</v>
      </c>
      <c r="F89" s="33">
        <v>0.0</v>
      </c>
      <c r="G89" s="33">
        <v>250.0</v>
      </c>
      <c r="H89" s="33">
        <v>0.0</v>
      </c>
      <c r="I89" s="33">
        <v>0.0</v>
      </c>
      <c r="J89" s="33">
        <v>0.0</v>
      </c>
      <c r="K89" s="33">
        <v>0.0</v>
      </c>
      <c r="L89" s="33">
        <v>0.0</v>
      </c>
      <c r="M89" s="33">
        <v>0.0</v>
      </c>
      <c r="N89" s="33">
        <v>0.0</v>
      </c>
      <c r="O89" s="33">
        <v>0.0</v>
      </c>
      <c r="P89" s="33">
        <v>0.0</v>
      </c>
      <c r="Q89" s="33">
        <v>0.0</v>
      </c>
      <c r="R89" s="33">
        <v>0.0</v>
      </c>
      <c r="S89" s="33">
        <v>0.0</v>
      </c>
      <c r="T89" s="33">
        <v>0.0</v>
      </c>
      <c r="U89" s="33">
        <v>0.0</v>
      </c>
      <c r="V89" s="33">
        <v>0.0</v>
      </c>
      <c r="W89" s="33">
        <v>250.0</v>
      </c>
      <c r="X89" s="33">
        <v>0.0</v>
      </c>
      <c r="Y89" s="33">
        <v>0.0</v>
      </c>
      <c r="Z89" s="33">
        <v>1000.0</v>
      </c>
      <c r="AA89" s="33">
        <v>0.0</v>
      </c>
      <c r="AB89" s="33">
        <v>2750.0</v>
      </c>
      <c r="AC89" s="33">
        <v>0.0</v>
      </c>
      <c r="AD89" s="33">
        <v>0.0</v>
      </c>
      <c r="AE89" s="33">
        <v>0.0</v>
      </c>
      <c r="AF89" s="33">
        <v>0.0</v>
      </c>
      <c r="AG89" s="33">
        <v>0.0</v>
      </c>
      <c r="AH89" s="33">
        <v>0.0</v>
      </c>
      <c r="AI89" s="33">
        <v>0.0</v>
      </c>
      <c r="AJ89" s="33">
        <v>0.0</v>
      </c>
      <c r="AK89" s="33">
        <v>0.0</v>
      </c>
    </row>
    <row r="90">
      <c r="A90" s="33">
        <v>75052.0</v>
      </c>
      <c r="B90" s="33">
        <v>0.0</v>
      </c>
      <c r="C90" s="33">
        <v>0.0</v>
      </c>
      <c r="D90" s="33">
        <v>0.0</v>
      </c>
      <c r="E90" s="33">
        <v>150.0</v>
      </c>
      <c r="F90" s="33">
        <v>0.0</v>
      </c>
      <c r="G90" s="33">
        <v>0.0</v>
      </c>
      <c r="H90" s="33">
        <v>0.0</v>
      </c>
      <c r="I90" s="33">
        <v>0.0</v>
      </c>
      <c r="J90" s="33">
        <v>0.0</v>
      </c>
      <c r="K90" s="33">
        <v>0.0</v>
      </c>
      <c r="L90" s="33">
        <v>0.0</v>
      </c>
      <c r="M90" s="33">
        <v>200.0</v>
      </c>
      <c r="N90" s="33">
        <v>100.0</v>
      </c>
      <c r="O90" s="33">
        <v>0.0</v>
      </c>
      <c r="P90" s="33">
        <v>0.0</v>
      </c>
      <c r="Q90" s="33">
        <v>0.0</v>
      </c>
      <c r="R90" s="33">
        <v>0.0</v>
      </c>
      <c r="S90" s="33">
        <v>0.0</v>
      </c>
      <c r="T90" s="33">
        <v>0.0</v>
      </c>
      <c r="U90" s="33">
        <v>0.0</v>
      </c>
      <c r="V90" s="33">
        <v>0.0</v>
      </c>
      <c r="W90" s="33">
        <v>0.0</v>
      </c>
      <c r="X90" s="33">
        <v>0.0</v>
      </c>
      <c r="Y90" s="33">
        <v>0.0</v>
      </c>
      <c r="Z90" s="33">
        <v>0.0</v>
      </c>
      <c r="AA90" s="33">
        <v>0.0</v>
      </c>
      <c r="AB90" s="33">
        <v>0.0</v>
      </c>
      <c r="AC90" s="33">
        <v>0.0</v>
      </c>
      <c r="AD90" s="33">
        <v>0.0</v>
      </c>
      <c r="AE90" s="33">
        <v>0.0</v>
      </c>
      <c r="AF90" s="33">
        <v>0.0</v>
      </c>
      <c r="AG90" s="33">
        <v>0.0</v>
      </c>
      <c r="AH90" s="33">
        <v>0.0</v>
      </c>
      <c r="AI90" s="33">
        <v>0.0</v>
      </c>
      <c r="AJ90" s="33">
        <v>0.0</v>
      </c>
      <c r="AK90" s="33">
        <v>0.0</v>
      </c>
    </row>
    <row r="91">
      <c r="A91" s="33">
        <v>75235.0</v>
      </c>
      <c r="B91" s="33">
        <v>1000.0</v>
      </c>
      <c r="C91" s="33">
        <v>0.0</v>
      </c>
      <c r="D91" s="33">
        <v>250.0</v>
      </c>
      <c r="E91" s="33">
        <v>2000.0</v>
      </c>
      <c r="F91" s="33">
        <v>0.0</v>
      </c>
      <c r="G91" s="33">
        <v>0.0</v>
      </c>
      <c r="H91" s="33">
        <v>100.0</v>
      </c>
      <c r="I91" s="33">
        <v>0.0</v>
      </c>
      <c r="J91" s="33">
        <v>0.0</v>
      </c>
      <c r="K91" s="33">
        <v>0.0</v>
      </c>
      <c r="L91" s="33">
        <v>0.0</v>
      </c>
      <c r="M91" s="33">
        <v>0.0</v>
      </c>
      <c r="N91" s="33">
        <v>2000.0</v>
      </c>
      <c r="O91" s="33">
        <v>0.0</v>
      </c>
      <c r="P91" s="33">
        <v>1000.0</v>
      </c>
      <c r="Q91" s="33">
        <v>0.0</v>
      </c>
      <c r="R91" s="33">
        <v>0.0</v>
      </c>
      <c r="S91" s="33">
        <v>0.0</v>
      </c>
      <c r="T91" s="33">
        <v>1550.0</v>
      </c>
      <c r="U91" s="33">
        <v>0.0</v>
      </c>
      <c r="V91" s="33">
        <v>0.0</v>
      </c>
      <c r="W91" s="33">
        <v>1500.0</v>
      </c>
      <c r="X91" s="33">
        <v>0.0</v>
      </c>
      <c r="Y91" s="33">
        <v>0.0</v>
      </c>
      <c r="Z91" s="33">
        <v>3050.0</v>
      </c>
      <c r="AA91" s="33">
        <v>0.0</v>
      </c>
      <c r="AB91" s="33">
        <v>2000.0</v>
      </c>
      <c r="AC91" s="33">
        <v>0.0</v>
      </c>
      <c r="AD91" s="33">
        <v>2000.0</v>
      </c>
      <c r="AE91" s="33">
        <v>0.0</v>
      </c>
      <c r="AF91" s="33">
        <v>0.0</v>
      </c>
      <c r="AG91" s="33">
        <v>0.0</v>
      </c>
      <c r="AH91" s="33">
        <v>0.0</v>
      </c>
      <c r="AI91" s="33">
        <v>0.0</v>
      </c>
      <c r="AJ91" s="33">
        <v>0.0</v>
      </c>
      <c r="AK91" s="33">
        <v>0.0</v>
      </c>
    </row>
    <row r="92">
      <c r="A92" s="33">
        <v>75072.0</v>
      </c>
      <c r="B92" s="33">
        <v>0.0</v>
      </c>
      <c r="C92" s="33">
        <v>0.0</v>
      </c>
      <c r="D92" s="33">
        <v>0.0</v>
      </c>
      <c r="E92" s="33">
        <v>0.0</v>
      </c>
      <c r="F92" s="33">
        <v>0.0</v>
      </c>
      <c r="G92" s="33">
        <v>0.0</v>
      </c>
      <c r="H92" s="33">
        <v>0.0</v>
      </c>
      <c r="I92" s="33">
        <v>0.0</v>
      </c>
      <c r="J92" s="33">
        <v>0.0</v>
      </c>
      <c r="K92" s="33">
        <v>0.0</v>
      </c>
      <c r="L92" s="33">
        <v>0.0</v>
      </c>
      <c r="M92" s="33">
        <v>0.0</v>
      </c>
      <c r="N92" s="33">
        <v>25.0</v>
      </c>
      <c r="O92" s="33">
        <v>0.0</v>
      </c>
      <c r="P92" s="33">
        <v>0.0</v>
      </c>
      <c r="Q92" s="33">
        <v>0.0</v>
      </c>
      <c r="R92" s="33">
        <v>0.0</v>
      </c>
      <c r="S92" s="33">
        <v>0.0</v>
      </c>
      <c r="T92" s="33">
        <v>0.0</v>
      </c>
      <c r="U92" s="33">
        <v>0.0</v>
      </c>
      <c r="V92" s="33">
        <v>0.0</v>
      </c>
      <c r="W92" s="33">
        <v>0.0</v>
      </c>
      <c r="X92" s="33">
        <v>0.0</v>
      </c>
      <c r="Y92" s="33">
        <v>0.0</v>
      </c>
      <c r="Z92" s="33">
        <v>0.0</v>
      </c>
      <c r="AA92" s="33">
        <v>0.0</v>
      </c>
      <c r="AB92" s="33">
        <v>0.0</v>
      </c>
      <c r="AC92" s="33">
        <v>0.0</v>
      </c>
      <c r="AD92" s="33">
        <v>0.0</v>
      </c>
      <c r="AE92" s="33">
        <v>0.0</v>
      </c>
      <c r="AF92" s="33">
        <v>0.0</v>
      </c>
      <c r="AG92" s="33">
        <v>0.0</v>
      </c>
      <c r="AH92" s="33">
        <v>0.0</v>
      </c>
      <c r="AI92" s="33">
        <v>0.0</v>
      </c>
      <c r="AJ92" s="33">
        <v>0.0</v>
      </c>
      <c r="AK92" s="33">
        <v>0.0</v>
      </c>
    </row>
    <row r="93">
      <c r="A93" s="33">
        <v>78163.0</v>
      </c>
      <c r="B93" s="33">
        <v>0.0</v>
      </c>
      <c r="C93" s="33">
        <v>0.0</v>
      </c>
      <c r="D93" s="33">
        <v>0.0</v>
      </c>
      <c r="E93" s="33">
        <v>0.0</v>
      </c>
      <c r="F93" s="33">
        <v>0.0</v>
      </c>
      <c r="G93" s="33">
        <v>0.0</v>
      </c>
      <c r="H93" s="33">
        <v>80.0</v>
      </c>
      <c r="I93" s="33">
        <v>0.0</v>
      </c>
      <c r="J93" s="33">
        <v>0.0</v>
      </c>
      <c r="K93" s="33">
        <v>0.0</v>
      </c>
      <c r="L93" s="33">
        <v>0.0</v>
      </c>
      <c r="M93" s="33">
        <v>0.0</v>
      </c>
      <c r="N93" s="33">
        <v>0.0</v>
      </c>
      <c r="O93" s="33">
        <v>0.0</v>
      </c>
      <c r="P93" s="33">
        <v>0.0</v>
      </c>
      <c r="Q93" s="33">
        <v>0.0</v>
      </c>
      <c r="R93" s="33">
        <v>0.0</v>
      </c>
      <c r="S93" s="33">
        <v>0.0</v>
      </c>
      <c r="T93" s="33">
        <v>0.0</v>
      </c>
      <c r="U93" s="33">
        <v>0.0</v>
      </c>
      <c r="V93" s="33">
        <v>0.0</v>
      </c>
      <c r="W93" s="33">
        <v>0.0</v>
      </c>
      <c r="X93" s="33">
        <v>0.0</v>
      </c>
      <c r="Y93" s="33">
        <v>0.0</v>
      </c>
      <c r="Z93" s="33">
        <v>0.0</v>
      </c>
      <c r="AA93" s="33">
        <v>0.0</v>
      </c>
      <c r="AB93" s="33">
        <v>0.0</v>
      </c>
      <c r="AC93" s="33">
        <v>0.0</v>
      </c>
      <c r="AD93" s="33">
        <v>0.0</v>
      </c>
      <c r="AE93" s="33">
        <v>0.0</v>
      </c>
      <c r="AF93" s="33">
        <v>0.0</v>
      </c>
      <c r="AG93" s="33">
        <v>0.0</v>
      </c>
      <c r="AH93" s="33">
        <v>0.0</v>
      </c>
      <c r="AI93" s="33">
        <v>0.0</v>
      </c>
      <c r="AJ93" s="33">
        <v>0.0</v>
      </c>
      <c r="AK93" s="33">
        <v>0.0</v>
      </c>
    </row>
    <row r="94">
      <c r="A94" s="33">
        <v>78045.0</v>
      </c>
      <c r="B94" s="33">
        <v>0.0</v>
      </c>
      <c r="C94" s="33">
        <v>0.0</v>
      </c>
      <c r="D94" s="33">
        <v>0.0</v>
      </c>
      <c r="E94" s="33">
        <v>0.0</v>
      </c>
      <c r="F94" s="33">
        <v>0.0</v>
      </c>
      <c r="G94" s="33">
        <v>0.0</v>
      </c>
      <c r="H94" s="33">
        <v>260.0</v>
      </c>
      <c r="I94" s="33">
        <v>0.0</v>
      </c>
      <c r="J94" s="33">
        <v>0.0</v>
      </c>
      <c r="K94" s="33">
        <v>0.0</v>
      </c>
      <c r="L94" s="33">
        <v>0.0</v>
      </c>
      <c r="M94" s="33">
        <v>0.0</v>
      </c>
      <c r="N94" s="33">
        <v>0.0</v>
      </c>
      <c r="O94" s="33">
        <v>0.0</v>
      </c>
      <c r="P94" s="33">
        <v>0.0</v>
      </c>
      <c r="Q94" s="33">
        <v>0.0</v>
      </c>
      <c r="R94" s="33">
        <v>0.0</v>
      </c>
      <c r="S94" s="33">
        <v>0.0</v>
      </c>
      <c r="T94" s="33">
        <v>0.0</v>
      </c>
      <c r="U94" s="33">
        <v>0.0</v>
      </c>
      <c r="V94" s="33">
        <v>0.0</v>
      </c>
      <c r="W94" s="33">
        <v>0.0</v>
      </c>
      <c r="X94" s="33">
        <v>0.0</v>
      </c>
      <c r="Y94" s="33">
        <v>0.0</v>
      </c>
      <c r="Z94" s="33">
        <v>0.0</v>
      </c>
      <c r="AA94" s="33">
        <v>0.0</v>
      </c>
      <c r="AB94" s="33">
        <v>0.0</v>
      </c>
      <c r="AC94" s="33">
        <v>0.0</v>
      </c>
      <c r="AD94" s="33">
        <v>0.0</v>
      </c>
      <c r="AE94" s="33">
        <v>0.0</v>
      </c>
      <c r="AF94" s="33">
        <v>0.0</v>
      </c>
      <c r="AG94" s="33">
        <v>0.0</v>
      </c>
      <c r="AH94" s="33">
        <v>0.0</v>
      </c>
      <c r="AI94" s="33">
        <v>0.0</v>
      </c>
      <c r="AJ94" s="33">
        <v>0.0</v>
      </c>
      <c r="AK94" s="33">
        <v>0.0</v>
      </c>
    </row>
    <row r="95">
      <c r="A95" s="33">
        <v>78744.0</v>
      </c>
      <c r="B95" s="33">
        <v>0.0</v>
      </c>
      <c r="C95" s="33">
        <v>0.0</v>
      </c>
      <c r="D95" s="33">
        <v>0.0</v>
      </c>
      <c r="E95" s="33">
        <v>0.0</v>
      </c>
      <c r="F95" s="33">
        <v>0.0</v>
      </c>
      <c r="G95" s="33">
        <v>0.0</v>
      </c>
      <c r="H95" s="33">
        <v>550.0</v>
      </c>
      <c r="I95" s="33">
        <v>0.0</v>
      </c>
      <c r="J95" s="33">
        <v>0.0</v>
      </c>
      <c r="K95" s="33">
        <v>0.0</v>
      </c>
      <c r="L95" s="33">
        <v>0.0</v>
      </c>
      <c r="M95" s="33">
        <v>0.0</v>
      </c>
      <c r="N95" s="33">
        <v>0.0</v>
      </c>
      <c r="O95" s="33">
        <v>0.0</v>
      </c>
      <c r="P95" s="33">
        <v>0.0</v>
      </c>
      <c r="Q95" s="33">
        <v>0.0</v>
      </c>
      <c r="R95" s="33">
        <v>0.0</v>
      </c>
      <c r="S95" s="33">
        <v>0.0</v>
      </c>
      <c r="T95" s="33">
        <v>0.0</v>
      </c>
      <c r="U95" s="33">
        <v>0.0</v>
      </c>
      <c r="V95" s="33">
        <v>0.0</v>
      </c>
      <c r="W95" s="33">
        <v>0.0</v>
      </c>
      <c r="X95" s="33">
        <v>0.0</v>
      </c>
      <c r="Y95" s="33">
        <v>0.0</v>
      </c>
      <c r="Z95" s="33">
        <v>0.0</v>
      </c>
      <c r="AA95" s="33">
        <v>0.0</v>
      </c>
      <c r="AB95" s="33">
        <v>0.0</v>
      </c>
      <c r="AC95" s="33">
        <v>0.0</v>
      </c>
      <c r="AD95" s="33">
        <v>0.0</v>
      </c>
      <c r="AE95" s="33">
        <v>0.0</v>
      </c>
      <c r="AF95" s="33">
        <v>0.0</v>
      </c>
      <c r="AG95" s="33">
        <v>0.0</v>
      </c>
      <c r="AH95" s="33">
        <v>0.0</v>
      </c>
      <c r="AI95" s="33">
        <v>0.0</v>
      </c>
      <c r="AJ95" s="33">
        <v>0.0</v>
      </c>
      <c r="AK95" s="33">
        <v>0.0</v>
      </c>
    </row>
    <row r="96">
      <c r="A96" s="33">
        <v>75672.0</v>
      </c>
      <c r="B96" s="33">
        <v>0.0</v>
      </c>
      <c r="C96" s="33">
        <v>0.0</v>
      </c>
      <c r="D96" s="33">
        <v>0.0</v>
      </c>
      <c r="E96" s="33">
        <v>0.0</v>
      </c>
      <c r="F96" s="33">
        <v>0.0</v>
      </c>
      <c r="G96" s="33">
        <v>0.0</v>
      </c>
      <c r="H96" s="33">
        <v>50.0</v>
      </c>
      <c r="I96" s="33">
        <v>0.0</v>
      </c>
      <c r="J96" s="33">
        <v>0.0</v>
      </c>
      <c r="K96" s="33">
        <v>0.0</v>
      </c>
      <c r="L96" s="33">
        <v>0.0</v>
      </c>
      <c r="M96" s="33">
        <v>0.0</v>
      </c>
      <c r="N96" s="33">
        <v>0.0</v>
      </c>
      <c r="O96" s="33">
        <v>0.0</v>
      </c>
      <c r="P96" s="33">
        <v>0.0</v>
      </c>
      <c r="Q96" s="33">
        <v>0.0</v>
      </c>
      <c r="R96" s="33">
        <v>0.0</v>
      </c>
      <c r="S96" s="33">
        <v>0.0</v>
      </c>
      <c r="T96" s="33">
        <v>0.0</v>
      </c>
      <c r="U96" s="33">
        <v>0.0</v>
      </c>
      <c r="V96" s="33">
        <v>0.0</v>
      </c>
      <c r="W96" s="33">
        <v>0.0</v>
      </c>
      <c r="X96" s="33">
        <v>0.0</v>
      </c>
      <c r="Y96" s="33">
        <v>0.0</v>
      </c>
      <c r="Z96" s="33">
        <v>0.0</v>
      </c>
      <c r="AA96" s="33">
        <v>0.0</v>
      </c>
      <c r="AB96" s="33">
        <v>0.0</v>
      </c>
      <c r="AC96" s="33">
        <v>0.0</v>
      </c>
      <c r="AD96" s="33">
        <v>0.0</v>
      </c>
      <c r="AE96" s="33">
        <v>0.0</v>
      </c>
      <c r="AF96" s="33">
        <v>0.0</v>
      </c>
      <c r="AG96" s="33">
        <v>0.0</v>
      </c>
      <c r="AH96" s="33">
        <v>0.0</v>
      </c>
      <c r="AI96" s="33">
        <v>0.0</v>
      </c>
      <c r="AJ96" s="33">
        <v>0.0</v>
      </c>
      <c r="AK96" s="33">
        <v>0.0</v>
      </c>
    </row>
    <row r="97">
      <c r="A97" s="33">
        <v>75254.0</v>
      </c>
      <c r="B97" s="33">
        <v>0.0</v>
      </c>
      <c r="C97" s="33">
        <v>0.0</v>
      </c>
      <c r="D97" s="33">
        <v>0.0</v>
      </c>
      <c r="E97" s="33">
        <v>0.0</v>
      </c>
      <c r="F97" s="33">
        <v>0.0</v>
      </c>
      <c r="G97" s="33">
        <v>100.0</v>
      </c>
      <c r="H97" s="33">
        <v>100.0</v>
      </c>
      <c r="I97" s="33">
        <v>0.0</v>
      </c>
      <c r="J97" s="33">
        <v>0.0</v>
      </c>
      <c r="K97" s="33">
        <v>0.0</v>
      </c>
      <c r="L97" s="33">
        <v>0.0</v>
      </c>
      <c r="M97" s="33">
        <v>0.0</v>
      </c>
      <c r="N97" s="33">
        <v>0.0</v>
      </c>
      <c r="O97" s="33">
        <v>0.0</v>
      </c>
      <c r="P97" s="33">
        <v>0.0</v>
      </c>
      <c r="Q97" s="33">
        <v>7505.0</v>
      </c>
      <c r="R97" s="33">
        <v>0.0</v>
      </c>
      <c r="S97" s="33">
        <v>0.0</v>
      </c>
      <c r="T97" s="33">
        <v>2949.7</v>
      </c>
      <c r="U97" s="33">
        <v>0.0</v>
      </c>
      <c r="V97" s="33">
        <v>0.0</v>
      </c>
      <c r="W97" s="33">
        <v>0.0</v>
      </c>
      <c r="X97" s="33">
        <v>0.0</v>
      </c>
      <c r="Y97" s="33">
        <v>0.0</v>
      </c>
      <c r="Z97" s="33">
        <v>3050.0</v>
      </c>
      <c r="AA97" s="33">
        <v>0.0</v>
      </c>
      <c r="AB97" s="33">
        <v>0.0</v>
      </c>
      <c r="AC97" s="33">
        <v>500.0</v>
      </c>
      <c r="AD97" s="33">
        <v>0.0</v>
      </c>
      <c r="AE97" s="33">
        <v>0.0</v>
      </c>
      <c r="AF97" s="33">
        <v>0.0</v>
      </c>
      <c r="AG97" s="33">
        <v>0.0</v>
      </c>
      <c r="AH97" s="33">
        <v>0.0</v>
      </c>
      <c r="AI97" s="33">
        <v>0.0</v>
      </c>
      <c r="AJ97" s="33">
        <v>0.0</v>
      </c>
      <c r="AK97" s="33">
        <v>0.0</v>
      </c>
    </row>
    <row r="98">
      <c r="A98" s="33">
        <v>78621.0</v>
      </c>
      <c r="B98" s="33">
        <v>0.0</v>
      </c>
      <c r="C98" s="33">
        <v>0.0</v>
      </c>
      <c r="D98" s="33">
        <v>0.0</v>
      </c>
      <c r="E98" s="33">
        <v>0.0</v>
      </c>
      <c r="F98" s="33">
        <v>0.0</v>
      </c>
      <c r="G98" s="33">
        <v>0.0</v>
      </c>
      <c r="H98" s="33">
        <v>100.0</v>
      </c>
      <c r="I98" s="33">
        <v>0.0</v>
      </c>
      <c r="J98" s="33">
        <v>0.0</v>
      </c>
      <c r="K98" s="33">
        <v>0.0</v>
      </c>
      <c r="L98" s="33">
        <v>0.0</v>
      </c>
      <c r="M98" s="33">
        <v>0.0</v>
      </c>
      <c r="N98" s="33">
        <v>0.0</v>
      </c>
      <c r="O98" s="33">
        <v>0.0</v>
      </c>
      <c r="P98" s="33">
        <v>0.0</v>
      </c>
      <c r="Q98" s="33">
        <v>0.0</v>
      </c>
      <c r="R98" s="33">
        <v>0.0</v>
      </c>
      <c r="S98" s="33">
        <v>0.0</v>
      </c>
      <c r="T98" s="33">
        <v>0.0</v>
      </c>
      <c r="U98" s="33">
        <v>0.0</v>
      </c>
      <c r="V98" s="33">
        <v>0.0</v>
      </c>
      <c r="W98" s="33">
        <v>0.0</v>
      </c>
      <c r="X98" s="33">
        <v>0.0</v>
      </c>
      <c r="Y98" s="33">
        <v>0.0</v>
      </c>
      <c r="Z98" s="33">
        <v>0.0</v>
      </c>
      <c r="AA98" s="33">
        <v>0.0</v>
      </c>
      <c r="AB98" s="33">
        <v>0.0</v>
      </c>
      <c r="AC98" s="33">
        <v>0.0</v>
      </c>
      <c r="AD98" s="33">
        <v>0.0</v>
      </c>
      <c r="AE98" s="33">
        <v>0.0</v>
      </c>
      <c r="AF98" s="33">
        <v>0.0</v>
      </c>
      <c r="AG98" s="33">
        <v>0.0</v>
      </c>
      <c r="AH98" s="33">
        <v>0.0</v>
      </c>
      <c r="AI98" s="33">
        <v>0.0</v>
      </c>
      <c r="AJ98" s="33">
        <v>0.0</v>
      </c>
      <c r="AK98" s="33">
        <v>0.0</v>
      </c>
    </row>
    <row r="99">
      <c r="A99" s="33">
        <v>77354.0</v>
      </c>
      <c r="B99" s="33">
        <v>0.0</v>
      </c>
      <c r="C99" s="33">
        <v>0.0</v>
      </c>
      <c r="D99" s="33">
        <v>0.0</v>
      </c>
      <c r="E99" s="33">
        <v>0.0</v>
      </c>
      <c r="F99" s="33">
        <v>0.0</v>
      </c>
      <c r="G99" s="33">
        <v>0.0</v>
      </c>
      <c r="H99" s="33">
        <v>100.0</v>
      </c>
      <c r="I99" s="33">
        <v>0.0</v>
      </c>
      <c r="J99" s="33">
        <v>0.0</v>
      </c>
      <c r="K99" s="33">
        <v>0.0</v>
      </c>
      <c r="L99" s="33">
        <v>0.0</v>
      </c>
      <c r="M99" s="33">
        <v>0.0</v>
      </c>
      <c r="N99" s="33">
        <v>0.0</v>
      </c>
      <c r="O99" s="33">
        <v>0.0</v>
      </c>
      <c r="P99" s="33">
        <v>0.0</v>
      </c>
      <c r="Q99" s="33">
        <v>0.0</v>
      </c>
      <c r="R99" s="33">
        <v>0.0</v>
      </c>
      <c r="S99" s="33">
        <v>0.0</v>
      </c>
      <c r="T99" s="33">
        <v>0.0</v>
      </c>
      <c r="U99" s="33">
        <v>0.0</v>
      </c>
      <c r="V99" s="33">
        <v>0.0</v>
      </c>
      <c r="W99" s="33">
        <v>0.0</v>
      </c>
      <c r="X99" s="33">
        <v>0.0</v>
      </c>
      <c r="Y99" s="33">
        <v>0.0</v>
      </c>
      <c r="Z99" s="33">
        <v>0.0</v>
      </c>
      <c r="AA99" s="33">
        <v>0.0</v>
      </c>
      <c r="AB99" s="33">
        <v>0.0</v>
      </c>
      <c r="AC99" s="33">
        <v>0.0</v>
      </c>
      <c r="AD99" s="33">
        <v>0.0</v>
      </c>
      <c r="AE99" s="33">
        <v>0.0</v>
      </c>
      <c r="AF99" s="33">
        <v>0.0</v>
      </c>
      <c r="AG99" s="33">
        <v>0.0</v>
      </c>
      <c r="AH99" s="33">
        <v>0.0</v>
      </c>
      <c r="AI99" s="33">
        <v>0.0</v>
      </c>
      <c r="AJ99" s="33">
        <v>0.0</v>
      </c>
      <c r="AK99" s="33">
        <v>0.0</v>
      </c>
    </row>
    <row r="100">
      <c r="A100" s="33">
        <v>79235.0</v>
      </c>
      <c r="B100" s="33">
        <v>0.0</v>
      </c>
      <c r="C100" s="33">
        <v>0.0</v>
      </c>
      <c r="D100" s="33">
        <v>0.0</v>
      </c>
      <c r="E100" s="33">
        <v>0.0</v>
      </c>
      <c r="F100" s="33">
        <v>0.0</v>
      </c>
      <c r="G100" s="33">
        <v>0.0</v>
      </c>
      <c r="H100" s="33">
        <v>250.0</v>
      </c>
      <c r="I100" s="33">
        <v>0.0</v>
      </c>
      <c r="J100" s="33">
        <v>0.0</v>
      </c>
      <c r="K100" s="33">
        <v>0.0</v>
      </c>
      <c r="L100" s="33">
        <v>0.0</v>
      </c>
      <c r="M100" s="33">
        <v>0.0</v>
      </c>
      <c r="N100" s="33">
        <v>0.0</v>
      </c>
      <c r="O100" s="33">
        <v>0.0</v>
      </c>
      <c r="P100" s="33">
        <v>0.0</v>
      </c>
      <c r="Q100" s="33">
        <v>0.0</v>
      </c>
      <c r="R100" s="33">
        <v>0.0</v>
      </c>
      <c r="S100" s="33">
        <v>0.0</v>
      </c>
      <c r="T100" s="33">
        <v>0.0</v>
      </c>
      <c r="U100" s="33">
        <v>0.0</v>
      </c>
      <c r="V100" s="33">
        <v>0.0</v>
      </c>
      <c r="W100" s="33">
        <v>0.0</v>
      </c>
      <c r="X100" s="33">
        <v>0.0</v>
      </c>
      <c r="Y100" s="33">
        <v>0.0</v>
      </c>
      <c r="Z100" s="33">
        <v>0.0</v>
      </c>
      <c r="AA100" s="33">
        <v>0.0</v>
      </c>
      <c r="AB100" s="33">
        <v>0.0</v>
      </c>
      <c r="AC100" s="33">
        <v>0.0</v>
      </c>
      <c r="AD100" s="33">
        <v>0.0</v>
      </c>
      <c r="AE100" s="33">
        <v>0.0</v>
      </c>
      <c r="AF100" s="33">
        <v>0.0</v>
      </c>
      <c r="AG100" s="33">
        <v>0.0</v>
      </c>
      <c r="AH100" s="33">
        <v>0.0</v>
      </c>
      <c r="AI100" s="33">
        <v>0.0</v>
      </c>
      <c r="AJ100" s="33">
        <v>0.0</v>
      </c>
      <c r="AK100" s="33">
        <v>0.0</v>
      </c>
    </row>
    <row r="101">
      <c r="A101" s="33">
        <v>75023.0</v>
      </c>
      <c r="B101" s="33">
        <v>0.0</v>
      </c>
      <c r="C101" s="33">
        <v>0.0</v>
      </c>
      <c r="D101" s="33">
        <v>0.0</v>
      </c>
      <c r="E101" s="33">
        <v>0.0</v>
      </c>
      <c r="F101" s="33">
        <v>0.0</v>
      </c>
      <c r="G101" s="33">
        <v>0.0</v>
      </c>
      <c r="H101" s="33">
        <v>1120.0</v>
      </c>
      <c r="I101" s="33">
        <v>0.0</v>
      </c>
      <c r="J101" s="33">
        <v>0.0</v>
      </c>
      <c r="K101" s="33">
        <v>0.0</v>
      </c>
      <c r="L101" s="33">
        <v>0.0</v>
      </c>
      <c r="M101" s="33">
        <v>0.0</v>
      </c>
      <c r="N101" s="33">
        <v>0.0</v>
      </c>
      <c r="O101" s="33">
        <v>0.0</v>
      </c>
      <c r="P101" s="33">
        <v>0.0</v>
      </c>
      <c r="Q101" s="33">
        <v>0.0</v>
      </c>
      <c r="R101" s="33">
        <v>0.0</v>
      </c>
      <c r="S101" s="33">
        <v>0.0</v>
      </c>
      <c r="T101" s="33">
        <v>0.0</v>
      </c>
      <c r="U101" s="33">
        <v>0.0</v>
      </c>
      <c r="V101" s="33">
        <v>0.0</v>
      </c>
      <c r="W101" s="33">
        <v>0.0</v>
      </c>
      <c r="X101" s="33">
        <v>0.0</v>
      </c>
      <c r="Y101" s="33">
        <v>0.0</v>
      </c>
      <c r="Z101" s="33">
        <v>0.0</v>
      </c>
      <c r="AA101" s="33">
        <v>0.0</v>
      </c>
      <c r="AB101" s="33">
        <v>0.0</v>
      </c>
      <c r="AC101" s="33">
        <v>0.0</v>
      </c>
      <c r="AD101" s="33">
        <v>0.0</v>
      </c>
      <c r="AE101" s="33">
        <v>0.0</v>
      </c>
      <c r="AF101" s="33">
        <v>0.0</v>
      </c>
      <c r="AG101" s="33">
        <v>0.0</v>
      </c>
      <c r="AH101" s="33">
        <v>0.0</v>
      </c>
      <c r="AI101" s="33">
        <v>0.0</v>
      </c>
      <c r="AJ101" s="33">
        <v>0.0</v>
      </c>
      <c r="AK101" s="33">
        <v>0.0</v>
      </c>
    </row>
    <row r="102">
      <c r="A102" s="33">
        <v>75042.0</v>
      </c>
      <c r="B102" s="33">
        <v>0.0</v>
      </c>
      <c r="C102" s="33">
        <v>0.0</v>
      </c>
      <c r="D102" s="33">
        <v>0.0</v>
      </c>
      <c r="E102" s="33">
        <v>0.0</v>
      </c>
      <c r="F102" s="33">
        <v>0.0</v>
      </c>
      <c r="G102" s="33">
        <v>0.0</v>
      </c>
      <c r="H102" s="33">
        <v>125.0</v>
      </c>
      <c r="I102" s="33">
        <v>0.0</v>
      </c>
      <c r="J102" s="33">
        <v>0.0</v>
      </c>
      <c r="K102" s="33">
        <v>0.0</v>
      </c>
      <c r="L102" s="33">
        <v>0.0</v>
      </c>
      <c r="M102" s="33">
        <v>0.0</v>
      </c>
      <c r="N102" s="33">
        <v>0.0</v>
      </c>
      <c r="O102" s="33">
        <v>0.0</v>
      </c>
      <c r="P102" s="33">
        <v>0.0</v>
      </c>
      <c r="Q102" s="33">
        <v>0.0</v>
      </c>
      <c r="R102" s="33">
        <v>51.0</v>
      </c>
      <c r="S102" s="33">
        <v>0.0</v>
      </c>
      <c r="T102" s="33">
        <v>0.0</v>
      </c>
      <c r="U102" s="33">
        <v>0.0</v>
      </c>
      <c r="V102" s="33">
        <v>0.0</v>
      </c>
      <c r="W102" s="33">
        <v>0.0</v>
      </c>
      <c r="X102" s="33">
        <v>0.0</v>
      </c>
      <c r="Y102" s="33">
        <v>0.0</v>
      </c>
      <c r="Z102" s="33">
        <v>0.0</v>
      </c>
      <c r="AA102" s="33">
        <v>0.0</v>
      </c>
      <c r="AB102" s="33">
        <v>0.0</v>
      </c>
      <c r="AC102" s="33">
        <v>0.0</v>
      </c>
      <c r="AD102" s="33">
        <v>0.0</v>
      </c>
      <c r="AE102" s="33">
        <v>0.0</v>
      </c>
      <c r="AF102" s="33">
        <v>0.0</v>
      </c>
      <c r="AG102" s="33">
        <v>0.0</v>
      </c>
      <c r="AH102" s="33">
        <v>0.0</v>
      </c>
      <c r="AI102" s="33">
        <v>0.0</v>
      </c>
      <c r="AJ102" s="33">
        <v>0.0</v>
      </c>
      <c r="AK102" s="33">
        <v>0.0</v>
      </c>
    </row>
    <row r="103">
      <c r="A103" s="33">
        <v>75142.0</v>
      </c>
      <c r="B103" s="33">
        <v>0.0</v>
      </c>
      <c r="C103" s="33">
        <v>0.0</v>
      </c>
      <c r="D103" s="33">
        <v>0.0</v>
      </c>
      <c r="E103" s="33">
        <v>0.0</v>
      </c>
      <c r="F103" s="33">
        <v>0.0</v>
      </c>
      <c r="G103" s="33">
        <v>0.0</v>
      </c>
      <c r="H103" s="33">
        <v>25.0</v>
      </c>
      <c r="I103" s="33">
        <v>0.0</v>
      </c>
      <c r="J103" s="33">
        <v>0.0</v>
      </c>
      <c r="K103" s="33">
        <v>0.0</v>
      </c>
      <c r="L103" s="33">
        <v>0.0</v>
      </c>
      <c r="M103" s="33">
        <v>0.0</v>
      </c>
      <c r="N103" s="33">
        <v>0.0</v>
      </c>
      <c r="O103" s="33">
        <v>0.0</v>
      </c>
      <c r="P103" s="33">
        <v>0.0</v>
      </c>
      <c r="Q103" s="33">
        <v>0.0</v>
      </c>
      <c r="R103" s="33">
        <v>0.0</v>
      </c>
      <c r="S103" s="33">
        <v>0.0</v>
      </c>
      <c r="T103" s="33">
        <v>0.0</v>
      </c>
      <c r="U103" s="33">
        <v>0.0</v>
      </c>
      <c r="V103" s="33">
        <v>0.0</v>
      </c>
      <c r="W103" s="33">
        <v>0.0</v>
      </c>
      <c r="X103" s="33">
        <v>0.0</v>
      </c>
      <c r="Y103" s="33">
        <v>0.0</v>
      </c>
      <c r="Z103" s="33">
        <v>0.0</v>
      </c>
      <c r="AA103" s="33">
        <v>0.0</v>
      </c>
      <c r="AB103" s="33">
        <v>0.0</v>
      </c>
      <c r="AC103" s="33">
        <v>0.0</v>
      </c>
      <c r="AD103" s="33">
        <v>0.0</v>
      </c>
      <c r="AE103" s="33">
        <v>0.0</v>
      </c>
      <c r="AF103" s="33">
        <v>0.0</v>
      </c>
      <c r="AG103" s="33">
        <v>0.0</v>
      </c>
      <c r="AH103" s="33">
        <v>0.0</v>
      </c>
      <c r="AI103" s="33">
        <v>0.0</v>
      </c>
      <c r="AJ103" s="33">
        <v>0.0</v>
      </c>
      <c r="AK103" s="33">
        <v>0.0</v>
      </c>
    </row>
    <row r="104">
      <c r="A104" s="33">
        <v>75054.0</v>
      </c>
      <c r="B104" s="33">
        <v>0.0</v>
      </c>
      <c r="C104" s="33">
        <v>0.0</v>
      </c>
      <c r="D104" s="33">
        <v>0.0</v>
      </c>
      <c r="E104" s="33">
        <v>0.0</v>
      </c>
      <c r="F104" s="33">
        <v>0.0</v>
      </c>
      <c r="G104" s="33">
        <v>0.0</v>
      </c>
      <c r="H104" s="33">
        <v>50.0</v>
      </c>
      <c r="I104" s="33">
        <v>0.0</v>
      </c>
      <c r="J104" s="33">
        <v>0.0</v>
      </c>
      <c r="K104" s="33">
        <v>0.0</v>
      </c>
      <c r="L104" s="33">
        <v>0.0</v>
      </c>
      <c r="M104" s="33">
        <v>0.0</v>
      </c>
      <c r="N104" s="33">
        <v>0.0</v>
      </c>
      <c r="O104" s="33">
        <v>0.0</v>
      </c>
      <c r="P104" s="33">
        <v>0.0</v>
      </c>
      <c r="Q104" s="33">
        <v>0.0</v>
      </c>
      <c r="R104" s="33">
        <v>0.0</v>
      </c>
      <c r="S104" s="33">
        <v>0.0</v>
      </c>
      <c r="T104" s="33">
        <v>0.0</v>
      </c>
      <c r="U104" s="33">
        <v>0.0</v>
      </c>
      <c r="V104" s="33">
        <v>0.0</v>
      </c>
      <c r="W104" s="33">
        <v>0.0</v>
      </c>
      <c r="X104" s="33">
        <v>0.0</v>
      </c>
      <c r="Y104" s="33">
        <v>0.0</v>
      </c>
      <c r="Z104" s="33">
        <v>250.0</v>
      </c>
      <c r="AA104" s="33">
        <v>0.0</v>
      </c>
      <c r="AB104" s="33">
        <v>0.0</v>
      </c>
      <c r="AC104" s="33">
        <v>0.0</v>
      </c>
      <c r="AD104" s="33">
        <v>0.0</v>
      </c>
      <c r="AE104" s="33">
        <v>0.0</v>
      </c>
      <c r="AF104" s="33">
        <v>0.0</v>
      </c>
      <c r="AG104" s="33">
        <v>0.0</v>
      </c>
      <c r="AH104" s="33">
        <v>0.0</v>
      </c>
      <c r="AI104" s="33">
        <v>0.0</v>
      </c>
      <c r="AJ104" s="33">
        <v>0.0</v>
      </c>
      <c r="AK104" s="33">
        <v>0.0</v>
      </c>
    </row>
    <row r="105">
      <c r="A105" s="33">
        <v>78660.0</v>
      </c>
      <c r="B105" s="33">
        <v>0.0</v>
      </c>
      <c r="C105" s="33">
        <v>0.0</v>
      </c>
      <c r="D105" s="33">
        <v>0.0</v>
      </c>
      <c r="E105" s="33">
        <v>0.0</v>
      </c>
      <c r="F105" s="33">
        <v>0.0</v>
      </c>
      <c r="G105" s="33">
        <v>0.0</v>
      </c>
      <c r="H105" s="33">
        <v>50.0</v>
      </c>
      <c r="I105" s="33">
        <v>0.0</v>
      </c>
      <c r="J105" s="33">
        <v>0.0</v>
      </c>
      <c r="K105" s="33">
        <v>0.0</v>
      </c>
      <c r="L105" s="33">
        <v>0.0</v>
      </c>
      <c r="M105" s="33">
        <v>0.0</v>
      </c>
      <c r="N105" s="33">
        <v>0.0</v>
      </c>
      <c r="O105" s="33">
        <v>0.0</v>
      </c>
      <c r="P105" s="33">
        <v>0.0</v>
      </c>
      <c r="Q105" s="33">
        <v>0.0</v>
      </c>
      <c r="R105" s="33">
        <v>0.0</v>
      </c>
      <c r="S105" s="33">
        <v>0.0</v>
      </c>
      <c r="T105" s="33">
        <v>0.0</v>
      </c>
      <c r="U105" s="33">
        <v>0.0</v>
      </c>
      <c r="V105" s="33">
        <v>0.0</v>
      </c>
      <c r="W105" s="33">
        <v>0.0</v>
      </c>
      <c r="X105" s="33">
        <v>0.0</v>
      </c>
      <c r="Y105" s="33">
        <v>0.0</v>
      </c>
      <c r="Z105" s="33">
        <v>0.0</v>
      </c>
      <c r="AA105" s="33">
        <v>0.0</v>
      </c>
      <c r="AB105" s="33">
        <v>0.0</v>
      </c>
      <c r="AC105" s="33">
        <v>0.0</v>
      </c>
      <c r="AD105" s="33">
        <v>0.0</v>
      </c>
      <c r="AE105" s="33">
        <v>0.0</v>
      </c>
      <c r="AF105" s="33">
        <v>0.0</v>
      </c>
      <c r="AG105" s="33">
        <v>0.0</v>
      </c>
      <c r="AH105" s="33">
        <v>0.0</v>
      </c>
      <c r="AI105" s="33">
        <v>0.0</v>
      </c>
      <c r="AJ105" s="33">
        <v>0.0</v>
      </c>
      <c r="AK105" s="33">
        <v>0.0</v>
      </c>
    </row>
    <row r="106">
      <c r="A106" s="33">
        <v>75280.0</v>
      </c>
      <c r="B106" s="33">
        <v>0.0</v>
      </c>
      <c r="C106" s="33">
        <v>0.0</v>
      </c>
      <c r="D106" s="33">
        <v>0.0</v>
      </c>
      <c r="E106" s="33">
        <v>0.0</v>
      </c>
      <c r="F106" s="33">
        <v>0.0</v>
      </c>
      <c r="G106" s="33">
        <v>0.0</v>
      </c>
      <c r="H106" s="33">
        <v>20.0</v>
      </c>
      <c r="I106" s="33">
        <v>0.0</v>
      </c>
      <c r="J106" s="33">
        <v>0.0</v>
      </c>
      <c r="K106" s="33">
        <v>0.0</v>
      </c>
      <c r="L106" s="33">
        <v>0.0</v>
      </c>
      <c r="M106" s="33">
        <v>0.0</v>
      </c>
      <c r="N106" s="33">
        <v>0.0</v>
      </c>
      <c r="O106" s="33">
        <v>0.0</v>
      </c>
      <c r="P106" s="33">
        <v>0.0</v>
      </c>
      <c r="Q106" s="33">
        <v>0.0</v>
      </c>
      <c r="R106" s="33">
        <v>0.0</v>
      </c>
      <c r="S106" s="33">
        <v>0.0</v>
      </c>
      <c r="T106" s="33">
        <v>0.0</v>
      </c>
      <c r="U106" s="33">
        <v>0.0</v>
      </c>
      <c r="V106" s="33">
        <v>0.0</v>
      </c>
      <c r="W106" s="33">
        <v>0.0</v>
      </c>
      <c r="X106" s="33">
        <v>0.0</v>
      </c>
      <c r="Y106" s="33">
        <v>0.0</v>
      </c>
      <c r="Z106" s="33">
        <v>0.0</v>
      </c>
      <c r="AA106" s="33">
        <v>0.0</v>
      </c>
      <c r="AB106" s="33">
        <v>0.0</v>
      </c>
      <c r="AC106" s="33">
        <v>0.0</v>
      </c>
      <c r="AD106" s="33">
        <v>0.0</v>
      </c>
      <c r="AE106" s="33">
        <v>0.0</v>
      </c>
      <c r="AF106" s="33">
        <v>0.0</v>
      </c>
      <c r="AG106" s="33">
        <v>0.0</v>
      </c>
      <c r="AH106" s="33">
        <v>0.0</v>
      </c>
      <c r="AI106" s="33">
        <v>0.0</v>
      </c>
      <c r="AJ106" s="33">
        <v>0.0</v>
      </c>
      <c r="AK106" s="33">
        <v>0.0</v>
      </c>
    </row>
    <row r="107">
      <c r="A107" s="33">
        <v>75180.0</v>
      </c>
      <c r="B107" s="33">
        <v>0.0</v>
      </c>
      <c r="C107" s="33">
        <v>0.0</v>
      </c>
      <c r="D107" s="33">
        <v>0.0</v>
      </c>
      <c r="E107" s="33">
        <v>0.0</v>
      </c>
      <c r="F107" s="33">
        <v>0.0</v>
      </c>
      <c r="G107" s="33">
        <v>0.0</v>
      </c>
      <c r="H107" s="33">
        <v>50.0</v>
      </c>
      <c r="I107" s="33">
        <v>0.0</v>
      </c>
      <c r="J107" s="33">
        <v>0.0</v>
      </c>
      <c r="K107" s="33">
        <v>0.0</v>
      </c>
      <c r="L107" s="33">
        <v>0.0</v>
      </c>
      <c r="M107" s="33">
        <v>0.0</v>
      </c>
      <c r="N107" s="33">
        <v>0.0</v>
      </c>
      <c r="O107" s="33">
        <v>0.0</v>
      </c>
      <c r="P107" s="33">
        <v>0.0</v>
      </c>
      <c r="Q107" s="33">
        <v>0.0</v>
      </c>
      <c r="R107" s="33">
        <v>0.0</v>
      </c>
      <c r="S107" s="33">
        <v>0.0</v>
      </c>
      <c r="T107" s="33">
        <v>0.0</v>
      </c>
      <c r="U107" s="33">
        <v>0.0</v>
      </c>
      <c r="V107" s="33">
        <v>0.0</v>
      </c>
      <c r="W107" s="33">
        <v>0.0</v>
      </c>
      <c r="X107" s="33">
        <v>0.0</v>
      </c>
      <c r="Y107" s="33">
        <v>0.0</v>
      </c>
      <c r="Z107" s="33">
        <v>50.0</v>
      </c>
      <c r="AA107" s="33">
        <v>0.0</v>
      </c>
      <c r="AB107" s="33">
        <v>0.0</v>
      </c>
      <c r="AC107" s="33">
        <v>0.0</v>
      </c>
      <c r="AD107" s="33">
        <v>0.0</v>
      </c>
      <c r="AE107" s="33">
        <v>0.0</v>
      </c>
      <c r="AF107" s="33">
        <v>0.0</v>
      </c>
      <c r="AG107" s="33">
        <v>0.0</v>
      </c>
      <c r="AH107" s="33">
        <v>0.0</v>
      </c>
      <c r="AI107" s="33">
        <v>0.0</v>
      </c>
      <c r="AJ107" s="33">
        <v>0.0</v>
      </c>
      <c r="AK107" s="33">
        <v>0.0</v>
      </c>
    </row>
    <row r="108">
      <c r="A108" s="33">
        <v>75081.0</v>
      </c>
      <c r="B108" s="33">
        <v>0.0</v>
      </c>
      <c r="C108" s="33">
        <v>0.0</v>
      </c>
      <c r="D108" s="33">
        <v>0.0</v>
      </c>
      <c r="E108" s="33">
        <v>0.0</v>
      </c>
      <c r="F108" s="33">
        <v>0.0</v>
      </c>
      <c r="G108" s="33">
        <v>0.0</v>
      </c>
      <c r="H108" s="33">
        <v>75.0</v>
      </c>
      <c r="I108" s="33">
        <v>0.0</v>
      </c>
      <c r="J108" s="33">
        <v>0.0</v>
      </c>
      <c r="K108" s="33">
        <v>0.0</v>
      </c>
      <c r="L108" s="33">
        <v>0.0</v>
      </c>
      <c r="M108" s="33">
        <v>0.0</v>
      </c>
      <c r="N108" s="33">
        <v>0.0</v>
      </c>
      <c r="O108" s="33">
        <v>0.0</v>
      </c>
      <c r="P108" s="33">
        <v>0.0</v>
      </c>
      <c r="Q108" s="33">
        <v>2200.0</v>
      </c>
      <c r="R108" s="33">
        <v>0.0</v>
      </c>
      <c r="S108" s="33">
        <v>0.0</v>
      </c>
      <c r="T108" s="33">
        <v>250.0</v>
      </c>
      <c r="U108" s="33">
        <v>0.0</v>
      </c>
      <c r="V108" s="33">
        <v>0.0</v>
      </c>
      <c r="W108" s="33">
        <v>0.0</v>
      </c>
      <c r="X108" s="33">
        <v>0.0</v>
      </c>
      <c r="Y108" s="33">
        <v>0.0</v>
      </c>
      <c r="Z108" s="33">
        <v>750.0</v>
      </c>
      <c r="AA108" s="33">
        <v>0.0</v>
      </c>
      <c r="AB108" s="33">
        <v>0.0</v>
      </c>
      <c r="AC108" s="33">
        <v>0.0</v>
      </c>
      <c r="AD108" s="33">
        <v>0.0</v>
      </c>
      <c r="AE108" s="33">
        <v>0.0</v>
      </c>
      <c r="AF108" s="33">
        <v>0.0</v>
      </c>
      <c r="AG108" s="33">
        <v>0.0</v>
      </c>
      <c r="AH108" s="33">
        <v>25.0</v>
      </c>
      <c r="AI108" s="33">
        <v>0.0</v>
      </c>
      <c r="AJ108" s="33">
        <v>0.0</v>
      </c>
      <c r="AK108" s="33">
        <v>0.0</v>
      </c>
    </row>
    <row r="109">
      <c r="A109" s="33">
        <v>76002.0</v>
      </c>
      <c r="B109" s="33">
        <v>0.0</v>
      </c>
      <c r="C109" s="33">
        <v>0.0</v>
      </c>
      <c r="D109" s="33">
        <v>0.0</v>
      </c>
      <c r="E109" s="33">
        <v>0.0</v>
      </c>
      <c r="F109" s="33">
        <v>0.0</v>
      </c>
      <c r="G109" s="33">
        <v>0.0</v>
      </c>
      <c r="H109" s="33">
        <v>50.0</v>
      </c>
      <c r="I109" s="33">
        <v>0.0</v>
      </c>
      <c r="J109" s="33">
        <v>0.0</v>
      </c>
      <c r="K109" s="33">
        <v>0.0</v>
      </c>
      <c r="L109" s="33">
        <v>0.0</v>
      </c>
      <c r="M109" s="33">
        <v>0.0</v>
      </c>
      <c r="N109" s="33">
        <v>0.0</v>
      </c>
      <c r="O109" s="33">
        <v>0.0</v>
      </c>
      <c r="P109" s="33">
        <v>0.0</v>
      </c>
      <c r="Q109" s="33">
        <v>0.0</v>
      </c>
      <c r="R109" s="33">
        <v>0.0</v>
      </c>
      <c r="S109" s="33">
        <v>0.0</v>
      </c>
      <c r="T109" s="33">
        <v>0.0</v>
      </c>
      <c r="U109" s="33">
        <v>0.0</v>
      </c>
      <c r="V109" s="33">
        <v>0.0</v>
      </c>
      <c r="W109" s="33">
        <v>0.0</v>
      </c>
      <c r="X109" s="33">
        <v>0.0</v>
      </c>
      <c r="Y109" s="33">
        <v>0.0</v>
      </c>
      <c r="Z109" s="33">
        <v>0.0</v>
      </c>
      <c r="AA109" s="33">
        <v>0.0</v>
      </c>
      <c r="AB109" s="33">
        <v>0.0</v>
      </c>
      <c r="AC109" s="33">
        <v>0.0</v>
      </c>
      <c r="AD109" s="33">
        <v>0.0</v>
      </c>
      <c r="AE109" s="33">
        <v>0.0</v>
      </c>
      <c r="AF109" s="33">
        <v>0.0</v>
      </c>
      <c r="AG109" s="33">
        <v>0.0</v>
      </c>
      <c r="AH109" s="33">
        <v>25.0</v>
      </c>
      <c r="AI109" s="33">
        <v>0.0</v>
      </c>
      <c r="AJ109" s="33">
        <v>0.0</v>
      </c>
      <c r="AK109" s="33">
        <v>0.0</v>
      </c>
    </row>
    <row r="110">
      <c r="A110" s="33">
        <v>78247.0</v>
      </c>
      <c r="B110" s="33">
        <v>0.0</v>
      </c>
      <c r="C110" s="33">
        <v>0.0</v>
      </c>
      <c r="D110" s="33">
        <v>0.0</v>
      </c>
      <c r="E110" s="33">
        <v>0.0</v>
      </c>
      <c r="F110" s="33">
        <v>0.0</v>
      </c>
      <c r="G110" s="33">
        <v>0.0</v>
      </c>
      <c r="H110" s="33">
        <v>115.0</v>
      </c>
      <c r="I110" s="33">
        <v>0.0</v>
      </c>
      <c r="J110" s="33">
        <v>0.0</v>
      </c>
      <c r="K110" s="33">
        <v>0.0</v>
      </c>
      <c r="L110" s="33">
        <v>0.0</v>
      </c>
      <c r="M110" s="33">
        <v>0.0</v>
      </c>
      <c r="N110" s="33">
        <v>0.0</v>
      </c>
      <c r="O110" s="33">
        <v>0.0</v>
      </c>
      <c r="P110" s="33">
        <v>0.0</v>
      </c>
      <c r="Q110" s="33">
        <v>0.0</v>
      </c>
      <c r="R110" s="33">
        <v>0.0</v>
      </c>
      <c r="S110" s="33">
        <v>0.0</v>
      </c>
      <c r="T110" s="33">
        <v>0.0</v>
      </c>
      <c r="U110" s="33">
        <v>0.0</v>
      </c>
      <c r="V110" s="33">
        <v>0.0</v>
      </c>
      <c r="W110" s="33">
        <v>0.0</v>
      </c>
      <c r="X110" s="33">
        <v>0.0</v>
      </c>
      <c r="Y110" s="33">
        <v>0.0</v>
      </c>
      <c r="Z110" s="33">
        <v>0.0</v>
      </c>
      <c r="AA110" s="33">
        <v>0.0</v>
      </c>
      <c r="AB110" s="33">
        <v>0.0</v>
      </c>
      <c r="AC110" s="33">
        <v>0.0</v>
      </c>
      <c r="AD110" s="33">
        <v>0.0</v>
      </c>
      <c r="AE110" s="33">
        <v>0.0</v>
      </c>
      <c r="AF110" s="33">
        <v>0.0</v>
      </c>
      <c r="AG110" s="33">
        <v>0.0</v>
      </c>
      <c r="AH110" s="33">
        <v>0.0</v>
      </c>
      <c r="AI110" s="33">
        <v>0.0</v>
      </c>
      <c r="AJ110" s="33">
        <v>0.0</v>
      </c>
      <c r="AK110" s="33">
        <v>0.0</v>
      </c>
    </row>
    <row r="111">
      <c r="A111" s="33">
        <v>77459.0</v>
      </c>
      <c r="B111" s="33">
        <v>0.0</v>
      </c>
      <c r="C111" s="33">
        <v>0.0</v>
      </c>
      <c r="D111" s="33">
        <v>0.0</v>
      </c>
      <c r="E111" s="33">
        <v>0.0</v>
      </c>
      <c r="F111" s="33">
        <v>0.0</v>
      </c>
      <c r="G111" s="33">
        <v>0.0</v>
      </c>
      <c r="H111" s="33">
        <v>20.0</v>
      </c>
      <c r="I111" s="33">
        <v>0.0</v>
      </c>
      <c r="J111" s="33">
        <v>0.0</v>
      </c>
      <c r="K111" s="33">
        <v>0.0</v>
      </c>
      <c r="L111" s="33">
        <v>0.0</v>
      </c>
      <c r="M111" s="33">
        <v>0.0</v>
      </c>
      <c r="N111" s="33">
        <v>0.0</v>
      </c>
      <c r="O111" s="33">
        <v>0.0</v>
      </c>
      <c r="P111" s="33">
        <v>0.0</v>
      </c>
      <c r="Q111" s="33">
        <v>0.0</v>
      </c>
      <c r="R111" s="33">
        <v>0.0</v>
      </c>
      <c r="S111" s="33">
        <v>0.0</v>
      </c>
      <c r="T111" s="33">
        <v>0.0</v>
      </c>
      <c r="U111" s="33">
        <v>0.0</v>
      </c>
      <c r="V111" s="33">
        <v>0.0</v>
      </c>
      <c r="W111" s="33">
        <v>0.0</v>
      </c>
      <c r="X111" s="33">
        <v>0.0</v>
      </c>
      <c r="Y111" s="33">
        <v>0.0</v>
      </c>
      <c r="Z111" s="33">
        <v>0.0</v>
      </c>
      <c r="AA111" s="33">
        <v>0.0</v>
      </c>
      <c r="AB111" s="33">
        <v>0.0</v>
      </c>
      <c r="AC111" s="33">
        <v>0.0</v>
      </c>
      <c r="AD111" s="33">
        <v>0.0</v>
      </c>
      <c r="AE111" s="33">
        <v>0.0</v>
      </c>
      <c r="AF111" s="33">
        <v>0.0</v>
      </c>
      <c r="AG111" s="33">
        <v>0.0</v>
      </c>
      <c r="AH111" s="33">
        <v>0.0</v>
      </c>
      <c r="AI111" s="33">
        <v>0.0</v>
      </c>
      <c r="AJ111" s="33">
        <v>0.0</v>
      </c>
      <c r="AK111" s="33">
        <v>0.0</v>
      </c>
    </row>
    <row r="112">
      <c r="A112" s="33">
        <v>75247.0</v>
      </c>
      <c r="B112" s="33">
        <v>0.0</v>
      </c>
      <c r="C112" s="33">
        <v>0.0</v>
      </c>
      <c r="D112" s="33">
        <v>0.0</v>
      </c>
      <c r="E112" s="33">
        <v>0.0</v>
      </c>
      <c r="F112" s="33">
        <v>0.0</v>
      </c>
      <c r="G112" s="33">
        <v>0.0</v>
      </c>
      <c r="H112" s="33">
        <v>1000.0</v>
      </c>
      <c r="I112" s="33">
        <v>0.0</v>
      </c>
      <c r="J112" s="33">
        <v>0.0</v>
      </c>
      <c r="K112" s="33">
        <v>0.0</v>
      </c>
      <c r="L112" s="33">
        <v>0.0</v>
      </c>
      <c r="M112" s="33">
        <v>0.0</v>
      </c>
      <c r="N112" s="33">
        <v>0.0</v>
      </c>
      <c r="O112" s="33">
        <v>0.0</v>
      </c>
      <c r="P112" s="33">
        <v>0.0</v>
      </c>
      <c r="Q112" s="33">
        <v>0.0</v>
      </c>
      <c r="R112" s="33">
        <v>0.0</v>
      </c>
      <c r="S112" s="33">
        <v>0.0</v>
      </c>
      <c r="T112" s="33">
        <v>250.0</v>
      </c>
      <c r="U112" s="33">
        <v>0.0</v>
      </c>
      <c r="V112" s="33">
        <v>0.0</v>
      </c>
      <c r="W112" s="33">
        <v>1000.0</v>
      </c>
      <c r="X112" s="33">
        <v>0.0</v>
      </c>
      <c r="Y112" s="33">
        <v>0.0</v>
      </c>
      <c r="Z112" s="33">
        <v>0.0</v>
      </c>
      <c r="AA112" s="33">
        <v>0.0</v>
      </c>
      <c r="AB112" s="33">
        <v>0.0</v>
      </c>
      <c r="AC112" s="33">
        <v>0.0</v>
      </c>
      <c r="AD112" s="33">
        <v>0.0</v>
      </c>
      <c r="AE112" s="33">
        <v>0.0</v>
      </c>
      <c r="AF112" s="33">
        <v>0.0</v>
      </c>
      <c r="AG112" s="33">
        <v>0.0</v>
      </c>
      <c r="AH112" s="33">
        <v>0.0</v>
      </c>
      <c r="AI112" s="33">
        <v>0.0</v>
      </c>
      <c r="AJ112" s="33">
        <v>0.0</v>
      </c>
      <c r="AK112" s="33">
        <v>0.0</v>
      </c>
    </row>
    <row r="113">
      <c r="A113" s="33">
        <v>79845.0</v>
      </c>
      <c r="B113" s="33">
        <v>0.0</v>
      </c>
      <c r="C113" s="33">
        <v>0.0</v>
      </c>
      <c r="D113" s="33">
        <v>0.0</v>
      </c>
      <c r="E113" s="33">
        <v>0.0</v>
      </c>
      <c r="F113" s="33">
        <v>0.0</v>
      </c>
      <c r="G113" s="33">
        <v>0.0</v>
      </c>
      <c r="H113" s="33">
        <v>50.0</v>
      </c>
      <c r="I113" s="33">
        <v>0.0</v>
      </c>
      <c r="J113" s="33">
        <v>0.0</v>
      </c>
      <c r="K113" s="33">
        <v>0.0</v>
      </c>
      <c r="L113" s="33">
        <v>0.0</v>
      </c>
      <c r="M113" s="33">
        <v>0.0</v>
      </c>
      <c r="N113" s="33">
        <v>0.0</v>
      </c>
      <c r="O113" s="33">
        <v>0.0</v>
      </c>
      <c r="P113" s="33">
        <v>0.0</v>
      </c>
      <c r="Q113" s="33">
        <v>0.0</v>
      </c>
      <c r="R113" s="33">
        <v>0.0</v>
      </c>
      <c r="S113" s="33">
        <v>0.0</v>
      </c>
      <c r="T113" s="33">
        <v>0.0</v>
      </c>
      <c r="U113" s="33">
        <v>0.0</v>
      </c>
      <c r="V113" s="33">
        <v>0.0</v>
      </c>
      <c r="W113" s="33">
        <v>0.0</v>
      </c>
      <c r="X113" s="33">
        <v>0.0</v>
      </c>
      <c r="Y113" s="33">
        <v>0.0</v>
      </c>
      <c r="Z113" s="33">
        <v>0.0</v>
      </c>
      <c r="AA113" s="33">
        <v>0.0</v>
      </c>
      <c r="AB113" s="33">
        <v>0.0</v>
      </c>
      <c r="AC113" s="33">
        <v>0.0</v>
      </c>
      <c r="AD113" s="33">
        <v>0.0</v>
      </c>
      <c r="AE113" s="33">
        <v>0.0</v>
      </c>
      <c r="AF113" s="33">
        <v>0.0</v>
      </c>
      <c r="AG113" s="33">
        <v>0.0</v>
      </c>
      <c r="AH113" s="33">
        <v>0.0</v>
      </c>
      <c r="AI113" s="33">
        <v>0.0</v>
      </c>
      <c r="AJ113" s="33">
        <v>0.0</v>
      </c>
      <c r="AK113" s="33">
        <v>0.0</v>
      </c>
    </row>
    <row r="114">
      <c r="A114" s="33">
        <v>76112.0</v>
      </c>
      <c r="B114" s="33">
        <v>0.0</v>
      </c>
      <c r="C114" s="33">
        <v>0.0</v>
      </c>
      <c r="D114" s="33">
        <v>0.0</v>
      </c>
      <c r="E114" s="33">
        <v>0.0</v>
      </c>
      <c r="F114" s="33">
        <v>0.0</v>
      </c>
      <c r="G114" s="33">
        <v>0.0</v>
      </c>
      <c r="H114" s="33">
        <v>25.0</v>
      </c>
      <c r="I114" s="33">
        <v>0.0</v>
      </c>
      <c r="J114" s="33">
        <v>0.0</v>
      </c>
      <c r="K114" s="33">
        <v>0.0</v>
      </c>
      <c r="L114" s="33">
        <v>0.0</v>
      </c>
      <c r="M114" s="33">
        <v>0.0</v>
      </c>
      <c r="N114" s="33">
        <v>0.0</v>
      </c>
      <c r="O114" s="33">
        <v>0.0</v>
      </c>
      <c r="P114" s="33">
        <v>0.0</v>
      </c>
      <c r="Q114" s="33">
        <v>0.0</v>
      </c>
      <c r="R114" s="33">
        <v>0.0</v>
      </c>
      <c r="S114" s="33">
        <v>0.0</v>
      </c>
      <c r="T114" s="33">
        <v>0.0</v>
      </c>
      <c r="U114" s="33">
        <v>0.0</v>
      </c>
      <c r="V114" s="33">
        <v>0.0</v>
      </c>
      <c r="W114" s="33">
        <v>0.0</v>
      </c>
      <c r="X114" s="33">
        <v>0.0</v>
      </c>
      <c r="Y114" s="33">
        <v>0.0</v>
      </c>
      <c r="Z114" s="33">
        <v>1000.0</v>
      </c>
      <c r="AA114" s="33">
        <v>0.0</v>
      </c>
      <c r="AB114" s="33">
        <v>0.0</v>
      </c>
      <c r="AC114" s="33">
        <v>0.0</v>
      </c>
      <c r="AD114" s="33">
        <v>0.0</v>
      </c>
      <c r="AE114" s="33">
        <v>0.0</v>
      </c>
      <c r="AF114" s="33">
        <v>0.0</v>
      </c>
      <c r="AG114" s="33">
        <v>0.0</v>
      </c>
      <c r="AH114" s="33">
        <v>0.0</v>
      </c>
      <c r="AI114" s="33">
        <v>0.0</v>
      </c>
      <c r="AJ114" s="33">
        <v>0.0</v>
      </c>
      <c r="AK114" s="33">
        <v>0.0</v>
      </c>
    </row>
    <row r="115">
      <c r="A115" s="33">
        <v>76126.0</v>
      </c>
      <c r="B115" s="33">
        <v>0.0</v>
      </c>
      <c r="C115" s="33">
        <v>0.0</v>
      </c>
      <c r="D115" s="33">
        <v>0.0</v>
      </c>
      <c r="E115" s="33">
        <v>0.0</v>
      </c>
      <c r="F115" s="33">
        <v>0.0</v>
      </c>
      <c r="G115" s="33">
        <v>0.0</v>
      </c>
      <c r="H115" s="33">
        <v>100.0</v>
      </c>
      <c r="I115" s="33">
        <v>0.0</v>
      </c>
      <c r="J115" s="33">
        <v>0.0</v>
      </c>
      <c r="K115" s="33">
        <v>0.0</v>
      </c>
      <c r="L115" s="33">
        <v>0.0</v>
      </c>
      <c r="M115" s="33">
        <v>0.0</v>
      </c>
      <c r="N115" s="33">
        <v>0.0</v>
      </c>
      <c r="O115" s="33">
        <v>0.0</v>
      </c>
      <c r="P115" s="33">
        <v>0.0</v>
      </c>
      <c r="Q115" s="33">
        <v>0.0</v>
      </c>
      <c r="R115" s="33">
        <v>0.0</v>
      </c>
      <c r="S115" s="33">
        <v>0.0</v>
      </c>
      <c r="T115" s="33">
        <v>0.0</v>
      </c>
      <c r="U115" s="33">
        <v>0.0</v>
      </c>
      <c r="V115" s="33">
        <v>0.0</v>
      </c>
      <c r="W115" s="33">
        <v>0.0</v>
      </c>
      <c r="X115" s="33">
        <v>0.0</v>
      </c>
      <c r="Y115" s="33">
        <v>0.0</v>
      </c>
      <c r="Z115" s="33">
        <v>1000.0</v>
      </c>
      <c r="AA115" s="33">
        <v>0.0</v>
      </c>
      <c r="AB115" s="33">
        <v>0.0</v>
      </c>
      <c r="AC115" s="33">
        <v>0.0</v>
      </c>
      <c r="AD115" s="33">
        <v>0.0</v>
      </c>
      <c r="AE115" s="33">
        <v>0.0</v>
      </c>
      <c r="AF115" s="33">
        <v>0.0</v>
      </c>
      <c r="AG115" s="33">
        <v>0.0</v>
      </c>
      <c r="AH115" s="33">
        <v>0.0</v>
      </c>
      <c r="AI115" s="33">
        <v>0.0</v>
      </c>
      <c r="AJ115" s="33">
        <v>0.0</v>
      </c>
      <c r="AK115" s="33">
        <v>0.0</v>
      </c>
    </row>
    <row r="116">
      <c r="A116" s="33">
        <v>75051.0</v>
      </c>
      <c r="B116" s="33">
        <v>0.0</v>
      </c>
      <c r="C116" s="33">
        <v>0.0</v>
      </c>
      <c r="D116" s="33">
        <v>0.0</v>
      </c>
      <c r="E116" s="33">
        <v>0.0</v>
      </c>
      <c r="F116" s="33">
        <v>0.0</v>
      </c>
      <c r="G116" s="33">
        <v>0.0</v>
      </c>
      <c r="H116" s="33">
        <v>500.0</v>
      </c>
      <c r="I116" s="33">
        <v>0.0</v>
      </c>
      <c r="J116" s="33">
        <v>0.0</v>
      </c>
      <c r="K116" s="33">
        <v>0.0</v>
      </c>
      <c r="L116" s="33">
        <v>0.0</v>
      </c>
      <c r="M116" s="33">
        <v>0.0</v>
      </c>
      <c r="N116" s="33">
        <v>0.0</v>
      </c>
      <c r="O116" s="33">
        <v>0.0</v>
      </c>
      <c r="P116" s="33">
        <v>0.0</v>
      </c>
      <c r="Q116" s="33">
        <v>0.0</v>
      </c>
      <c r="R116" s="33">
        <v>0.0</v>
      </c>
      <c r="S116" s="33">
        <v>0.0</v>
      </c>
      <c r="T116" s="33">
        <v>0.0</v>
      </c>
      <c r="U116" s="33">
        <v>0.0</v>
      </c>
      <c r="V116" s="33">
        <v>0.0</v>
      </c>
      <c r="W116" s="33">
        <v>0.0</v>
      </c>
      <c r="X116" s="33">
        <v>0.0</v>
      </c>
      <c r="Y116" s="33">
        <v>0.0</v>
      </c>
      <c r="Z116" s="33">
        <v>0.0</v>
      </c>
      <c r="AA116" s="33">
        <v>0.0</v>
      </c>
      <c r="AB116" s="33">
        <v>0.0</v>
      </c>
      <c r="AC116" s="33">
        <v>0.0</v>
      </c>
      <c r="AD116" s="33">
        <v>0.0</v>
      </c>
      <c r="AE116" s="33">
        <v>0.0</v>
      </c>
      <c r="AF116" s="33">
        <v>0.0</v>
      </c>
      <c r="AG116" s="33">
        <v>0.0</v>
      </c>
      <c r="AH116" s="33">
        <v>0.0</v>
      </c>
      <c r="AI116" s="33">
        <v>0.0</v>
      </c>
      <c r="AJ116" s="33">
        <v>0.0</v>
      </c>
      <c r="AK116" s="33">
        <v>0.0</v>
      </c>
    </row>
    <row r="117">
      <c r="A117" s="33">
        <v>75050.0</v>
      </c>
      <c r="B117" s="33">
        <v>0.0</v>
      </c>
      <c r="C117" s="33">
        <v>0.0</v>
      </c>
      <c r="D117" s="33">
        <v>0.0</v>
      </c>
      <c r="E117" s="33">
        <v>0.0</v>
      </c>
      <c r="F117" s="33">
        <v>0.0</v>
      </c>
      <c r="G117" s="33">
        <v>0.0</v>
      </c>
      <c r="H117" s="33">
        <v>75.0</v>
      </c>
      <c r="I117" s="33">
        <v>0.0</v>
      </c>
      <c r="J117" s="33">
        <v>0.0</v>
      </c>
      <c r="K117" s="33">
        <v>0.0</v>
      </c>
      <c r="L117" s="33">
        <v>0.0</v>
      </c>
      <c r="M117" s="33">
        <v>0.0</v>
      </c>
      <c r="N117" s="33">
        <v>0.0</v>
      </c>
      <c r="O117" s="33">
        <v>0.0</v>
      </c>
      <c r="P117" s="33">
        <v>0.0</v>
      </c>
      <c r="Q117" s="33">
        <v>0.0</v>
      </c>
      <c r="R117" s="33">
        <v>0.0</v>
      </c>
      <c r="S117" s="33">
        <v>0.0</v>
      </c>
      <c r="T117" s="33">
        <v>0.0</v>
      </c>
      <c r="U117" s="33">
        <v>0.0</v>
      </c>
      <c r="V117" s="33">
        <v>0.0</v>
      </c>
      <c r="W117" s="33">
        <v>0.0</v>
      </c>
      <c r="X117" s="33">
        <v>0.0</v>
      </c>
      <c r="Y117" s="33">
        <v>0.0</v>
      </c>
      <c r="Z117" s="33">
        <v>100.0</v>
      </c>
      <c r="AA117" s="33">
        <v>0.0</v>
      </c>
      <c r="AB117" s="33">
        <v>0.0</v>
      </c>
      <c r="AC117" s="33">
        <v>0.0</v>
      </c>
      <c r="AD117" s="33">
        <v>0.0</v>
      </c>
      <c r="AE117" s="33">
        <v>0.0</v>
      </c>
      <c r="AF117" s="33">
        <v>0.0</v>
      </c>
      <c r="AG117" s="33">
        <v>0.0</v>
      </c>
      <c r="AH117" s="33">
        <v>0.0</v>
      </c>
      <c r="AI117" s="33">
        <v>0.0</v>
      </c>
      <c r="AJ117" s="33">
        <v>0.0</v>
      </c>
      <c r="AK117" s="33">
        <v>0.0</v>
      </c>
    </row>
    <row r="118">
      <c r="A118" s="33">
        <v>75062.0</v>
      </c>
      <c r="B118" s="33">
        <v>0.0</v>
      </c>
      <c r="C118" s="33">
        <v>0.0</v>
      </c>
      <c r="D118" s="33">
        <v>0.0</v>
      </c>
      <c r="E118" s="33">
        <v>0.0</v>
      </c>
      <c r="F118" s="33">
        <v>0.0</v>
      </c>
      <c r="G118" s="33">
        <v>0.0</v>
      </c>
      <c r="H118" s="33">
        <v>400.0</v>
      </c>
      <c r="I118" s="33">
        <v>0.0</v>
      </c>
      <c r="J118" s="33">
        <v>0.0</v>
      </c>
      <c r="K118" s="33">
        <v>0.0</v>
      </c>
      <c r="L118" s="33">
        <v>0.0</v>
      </c>
      <c r="M118" s="33">
        <v>0.0</v>
      </c>
      <c r="N118" s="33">
        <v>0.0</v>
      </c>
      <c r="O118" s="33">
        <v>0.0</v>
      </c>
      <c r="P118" s="33">
        <v>0.0</v>
      </c>
      <c r="Q118" s="33">
        <v>200.0</v>
      </c>
      <c r="R118" s="33">
        <v>0.0</v>
      </c>
      <c r="S118" s="33">
        <v>0.0</v>
      </c>
      <c r="T118" s="33">
        <v>0.0</v>
      </c>
      <c r="U118" s="33">
        <v>0.0</v>
      </c>
      <c r="V118" s="33">
        <v>0.0</v>
      </c>
      <c r="W118" s="33">
        <v>0.0</v>
      </c>
      <c r="X118" s="33">
        <v>0.0</v>
      </c>
      <c r="Y118" s="33">
        <v>0.0</v>
      </c>
      <c r="Z118" s="33">
        <v>0.0</v>
      </c>
      <c r="AA118" s="33">
        <v>0.0</v>
      </c>
      <c r="AB118" s="33">
        <v>0.0</v>
      </c>
      <c r="AC118" s="33">
        <v>0.0</v>
      </c>
      <c r="AD118" s="33">
        <v>0.0</v>
      </c>
      <c r="AE118" s="33">
        <v>0.0</v>
      </c>
      <c r="AF118" s="33">
        <v>0.0</v>
      </c>
      <c r="AG118" s="33">
        <v>0.0</v>
      </c>
      <c r="AH118" s="33">
        <v>0.0</v>
      </c>
      <c r="AI118" s="33">
        <v>0.0</v>
      </c>
      <c r="AJ118" s="33">
        <v>0.0</v>
      </c>
      <c r="AK118" s="33">
        <v>0.0</v>
      </c>
    </row>
    <row r="119">
      <c r="A119" s="33">
        <v>78611.0</v>
      </c>
      <c r="B119" s="33">
        <v>0.0</v>
      </c>
      <c r="C119" s="33">
        <v>0.0</v>
      </c>
      <c r="D119" s="33">
        <v>0.0</v>
      </c>
      <c r="E119" s="33">
        <v>0.0</v>
      </c>
      <c r="F119" s="33">
        <v>0.0</v>
      </c>
      <c r="G119" s="33">
        <v>0.0</v>
      </c>
      <c r="H119" s="33">
        <v>100.0</v>
      </c>
      <c r="I119" s="33">
        <v>0.0</v>
      </c>
      <c r="J119" s="33">
        <v>0.0</v>
      </c>
      <c r="K119" s="33">
        <v>0.0</v>
      </c>
      <c r="L119" s="33">
        <v>0.0</v>
      </c>
      <c r="M119" s="33">
        <v>0.0</v>
      </c>
      <c r="N119" s="33">
        <v>0.0</v>
      </c>
      <c r="O119" s="33">
        <v>0.0</v>
      </c>
      <c r="P119" s="33">
        <v>0.0</v>
      </c>
      <c r="Q119" s="33">
        <v>0.0</v>
      </c>
      <c r="R119" s="33">
        <v>0.0</v>
      </c>
      <c r="S119" s="33">
        <v>0.0</v>
      </c>
      <c r="T119" s="33">
        <v>0.0</v>
      </c>
      <c r="U119" s="33">
        <v>0.0</v>
      </c>
      <c r="V119" s="33">
        <v>0.0</v>
      </c>
      <c r="W119" s="33">
        <v>0.0</v>
      </c>
      <c r="X119" s="33">
        <v>0.0</v>
      </c>
      <c r="Y119" s="33">
        <v>0.0</v>
      </c>
      <c r="Z119" s="33">
        <v>0.0</v>
      </c>
      <c r="AA119" s="33">
        <v>0.0</v>
      </c>
      <c r="AB119" s="33">
        <v>0.0</v>
      </c>
      <c r="AC119" s="33">
        <v>0.0</v>
      </c>
      <c r="AD119" s="33">
        <v>0.0</v>
      </c>
      <c r="AE119" s="33">
        <v>0.0</v>
      </c>
      <c r="AF119" s="33">
        <v>0.0</v>
      </c>
      <c r="AG119" s="33">
        <v>0.0</v>
      </c>
      <c r="AH119" s="33">
        <v>0.0</v>
      </c>
      <c r="AI119" s="33">
        <v>0.0</v>
      </c>
      <c r="AJ119" s="33">
        <v>0.0</v>
      </c>
      <c r="AK119" s="33">
        <v>0.0</v>
      </c>
    </row>
    <row r="120">
      <c r="A120" s="33">
        <v>76028.0</v>
      </c>
      <c r="B120" s="33">
        <v>0.0</v>
      </c>
      <c r="C120" s="33">
        <v>0.0</v>
      </c>
      <c r="D120" s="33">
        <v>0.0</v>
      </c>
      <c r="E120" s="33">
        <v>0.0</v>
      </c>
      <c r="F120" s="33">
        <v>0.0</v>
      </c>
      <c r="G120" s="33">
        <v>0.0</v>
      </c>
      <c r="H120" s="33">
        <v>100.0</v>
      </c>
      <c r="I120" s="33">
        <v>0.0</v>
      </c>
      <c r="J120" s="33">
        <v>0.0</v>
      </c>
      <c r="K120" s="33">
        <v>0.0</v>
      </c>
      <c r="L120" s="33">
        <v>0.0</v>
      </c>
      <c r="M120" s="33">
        <v>0.0</v>
      </c>
      <c r="N120" s="33">
        <v>0.0</v>
      </c>
      <c r="O120" s="33">
        <v>0.0</v>
      </c>
      <c r="P120" s="33">
        <v>0.0</v>
      </c>
      <c r="Q120" s="33">
        <v>0.0</v>
      </c>
      <c r="R120" s="33">
        <v>0.0</v>
      </c>
      <c r="S120" s="33">
        <v>0.0</v>
      </c>
      <c r="T120" s="33">
        <v>0.0</v>
      </c>
      <c r="U120" s="33">
        <v>0.0</v>
      </c>
      <c r="V120" s="33">
        <v>0.0</v>
      </c>
      <c r="W120" s="33">
        <v>0.0</v>
      </c>
      <c r="X120" s="33">
        <v>0.0</v>
      </c>
      <c r="Y120" s="33">
        <v>0.0</v>
      </c>
      <c r="Z120" s="33">
        <v>0.0</v>
      </c>
      <c r="AA120" s="33">
        <v>0.0</v>
      </c>
      <c r="AB120" s="33">
        <v>0.0</v>
      </c>
      <c r="AC120" s="33">
        <v>0.0</v>
      </c>
      <c r="AD120" s="33">
        <v>0.0</v>
      </c>
      <c r="AE120" s="33">
        <v>0.0</v>
      </c>
      <c r="AF120" s="33">
        <v>0.0</v>
      </c>
      <c r="AG120" s="33">
        <v>0.0</v>
      </c>
      <c r="AH120" s="33">
        <v>0.0</v>
      </c>
      <c r="AI120" s="33">
        <v>0.0</v>
      </c>
      <c r="AJ120" s="33">
        <v>0.0</v>
      </c>
      <c r="AK120" s="33">
        <v>0.0</v>
      </c>
    </row>
    <row r="121">
      <c r="A121" s="33">
        <v>75154.0</v>
      </c>
      <c r="B121" s="33">
        <v>0.0</v>
      </c>
      <c r="C121" s="33">
        <v>0.0</v>
      </c>
      <c r="D121" s="33">
        <v>0.0</v>
      </c>
      <c r="E121" s="33">
        <v>0.0</v>
      </c>
      <c r="F121" s="33">
        <v>0.0</v>
      </c>
      <c r="G121" s="33">
        <v>0.0</v>
      </c>
      <c r="H121" s="33">
        <v>500.0</v>
      </c>
      <c r="I121" s="33">
        <v>0.0</v>
      </c>
      <c r="J121" s="33">
        <v>0.0</v>
      </c>
      <c r="K121" s="33">
        <v>0.0</v>
      </c>
      <c r="L121" s="33">
        <v>0.0</v>
      </c>
      <c r="M121" s="33">
        <v>0.0</v>
      </c>
      <c r="N121" s="33">
        <v>0.0</v>
      </c>
      <c r="O121" s="33">
        <v>0.0</v>
      </c>
      <c r="P121" s="33">
        <v>0.0</v>
      </c>
      <c r="Q121" s="33">
        <v>0.0</v>
      </c>
      <c r="R121" s="33">
        <v>0.0</v>
      </c>
      <c r="S121" s="33">
        <v>0.0</v>
      </c>
      <c r="T121" s="33">
        <v>0.0</v>
      </c>
      <c r="U121" s="33">
        <v>0.0</v>
      </c>
      <c r="V121" s="33">
        <v>0.0</v>
      </c>
      <c r="W121" s="33">
        <v>0.0</v>
      </c>
      <c r="X121" s="33">
        <v>0.0</v>
      </c>
      <c r="Y121" s="33">
        <v>0.0</v>
      </c>
      <c r="Z121" s="33">
        <v>2025.0</v>
      </c>
      <c r="AA121" s="33">
        <v>0.0</v>
      </c>
      <c r="AB121" s="33">
        <v>0.0</v>
      </c>
      <c r="AC121" s="33">
        <v>0.0</v>
      </c>
      <c r="AD121" s="33">
        <v>0.0</v>
      </c>
      <c r="AE121" s="33">
        <v>0.0</v>
      </c>
      <c r="AF121" s="33">
        <v>0.0</v>
      </c>
      <c r="AG121" s="33">
        <v>0.0</v>
      </c>
      <c r="AH121" s="33">
        <v>25.0</v>
      </c>
      <c r="AI121" s="33">
        <v>0.0</v>
      </c>
      <c r="AJ121" s="33">
        <v>0.0</v>
      </c>
      <c r="AK121" s="33">
        <v>0.0</v>
      </c>
    </row>
    <row r="122">
      <c r="A122" s="33">
        <v>78333.0</v>
      </c>
      <c r="B122" s="33">
        <v>0.0</v>
      </c>
      <c r="C122" s="33">
        <v>0.0</v>
      </c>
      <c r="D122" s="33">
        <v>0.0</v>
      </c>
      <c r="E122" s="33">
        <v>0.0</v>
      </c>
      <c r="F122" s="33">
        <v>0.0</v>
      </c>
      <c r="G122" s="33">
        <v>0.0</v>
      </c>
      <c r="H122" s="33">
        <v>100.0</v>
      </c>
      <c r="I122" s="33">
        <v>0.0</v>
      </c>
      <c r="J122" s="33">
        <v>0.0</v>
      </c>
      <c r="K122" s="33">
        <v>0.0</v>
      </c>
      <c r="L122" s="33">
        <v>0.0</v>
      </c>
      <c r="M122" s="33">
        <v>0.0</v>
      </c>
      <c r="N122" s="33">
        <v>0.0</v>
      </c>
      <c r="O122" s="33">
        <v>0.0</v>
      </c>
      <c r="P122" s="33">
        <v>0.0</v>
      </c>
      <c r="Q122" s="33">
        <v>0.0</v>
      </c>
      <c r="R122" s="33">
        <v>0.0</v>
      </c>
      <c r="S122" s="33">
        <v>0.0</v>
      </c>
      <c r="T122" s="33">
        <v>0.0</v>
      </c>
      <c r="U122" s="33">
        <v>0.0</v>
      </c>
      <c r="V122" s="33">
        <v>0.0</v>
      </c>
      <c r="W122" s="33">
        <v>0.0</v>
      </c>
      <c r="X122" s="33">
        <v>0.0</v>
      </c>
      <c r="Y122" s="33">
        <v>0.0</v>
      </c>
      <c r="Z122" s="33">
        <v>0.0</v>
      </c>
      <c r="AA122" s="33">
        <v>0.0</v>
      </c>
      <c r="AB122" s="33">
        <v>0.0</v>
      </c>
      <c r="AC122" s="33">
        <v>0.0</v>
      </c>
      <c r="AD122" s="33">
        <v>0.0</v>
      </c>
      <c r="AE122" s="33">
        <v>0.0</v>
      </c>
      <c r="AF122" s="33">
        <v>0.0</v>
      </c>
      <c r="AG122" s="33">
        <v>0.0</v>
      </c>
      <c r="AH122" s="33">
        <v>0.0</v>
      </c>
      <c r="AI122" s="33">
        <v>0.0</v>
      </c>
      <c r="AJ122" s="33">
        <v>0.0</v>
      </c>
      <c r="AK122" s="33">
        <v>0.0</v>
      </c>
    </row>
    <row r="123">
      <c r="A123" s="33">
        <v>78599.0</v>
      </c>
      <c r="B123" s="33">
        <v>0.0</v>
      </c>
      <c r="C123" s="33">
        <v>0.0</v>
      </c>
      <c r="D123" s="33">
        <v>0.0</v>
      </c>
      <c r="E123" s="33">
        <v>0.0</v>
      </c>
      <c r="F123" s="33">
        <v>0.0</v>
      </c>
      <c r="G123" s="33">
        <v>0.0</v>
      </c>
      <c r="H123" s="33">
        <v>600.0</v>
      </c>
      <c r="I123" s="33">
        <v>0.0</v>
      </c>
      <c r="J123" s="33">
        <v>0.0</v>
      </c>
      <c r="K123" s="33">
        <v>0.0</v>
      </c>
      <c r="L123" s="33">
        <v>0.0</v>
      </c>
      <c r="M123" s="33">
        <v>0.0</v>
      </c>
      <c r="N123" s="33">
        <v>0.0</v>
      </c>
      <c r="O123" s="33">
        <v>0.0</v>
      </c>
      <c r="P123" s="33">
        <v>0.0</v>
      </c>
      <c r="Q123" s="33">
        <v>0.0</v>
      </c>
      <c r="R123" s="33">
        <v>0.0</v>
      </c>
      <c r="S123" s="33">
        <v>0.0</v>
      </c>
      <c r="T123" s="33">
        <v>0.0</v>
      </c>
      <c r="U123" s="33">
        <v>0.0</v>
      </c>
      <c r="V123" s="33">
        <v>0.0</v>
      </c>
      <c r="W123" s="33">
        <v>0.0</v>
      </c>
      <c r="X123" s="33">
        <v>0.0</v>
      </c>
      <c r="Y123" s="33">
        <v>0.0</v>
      </c>
      <c r="Z123" s="33">
        <v>0.0</v>
      </c>
      <c r="AA123" s="33">
        <v>0.0</v>
      </c>
      <c r="AB123" s="33">
        <v>0.0</v>
      </c>
      <c r="AC123" s="33">
        <v>0.0</v>
      </c>
      <c r="AD123" s="33">
        <v>0.0</v>
      </c>
      <c r="AE123" s="33">
        <v>0.0</v>
      </c>
      <c r="AF123" s="33">
        <v>0.0</v>
      </c>
      <c r="AG123" s="33">
        <v>0.0</v>
      </c>
      <c r="AH123" s="33">
        <v>0.0</v>
      </c>
      <c r="AI123" s="33">
        <v>0.0</v>
      </c>
      <c r="AJ123" s="33">
        <v>0.0</v>
      </c>
      <c r="AK123" s="33">
        <v>0.0</v>
      </c>
    </row>
    <row r="124">
      <c r="A124" s="33">
        <v>78747.0</v>
      </c>
      <c r="B124" s="33">
        <v>0.0</v>
      </c>
      <c r="C124" s="33">
        <v>0.0</v>
      </c>
      <c r="D124" s="33">
        <v>0.0</v>
      </c>
      <c r="E124" s="33">
        <v>0.0</v>
      </c>
      <c r="F124" s="33">
        <v>0.0</v>
      </c>
      <c r="G124" s="33">
        <v>0.0</v>
      </c>
      <c r="H124" s="33">
        <v>70.0</v>
      </c>
      <c r="I124" s="33">
        <v>0.0</v>
      </c>
      <c r="J124" s="33">
        <v>0.0</v>
      </c>
      <c r="K124" s="33">
        <v>0.0</v>
      </c>
      <c r="L124" s="33">
        <v>0.0</v>
      </c>
      <c r="M124" s="33">
        <v>0.0</v>
      </c>
      <c r="N124" s="33">
        <v>0.0</v>
      </c>
      <c r="O124" s="33">
        <v>0.0</v>
      </c>
      <c r="P124" s="33">
        <v>0.0</v>
      </c>
      <c r="Q124" s="33">
        <v>0.0</v>
      </c>
      <c r="R124" s="33">
        <v>0.0</v>
      </c>
      <c r="S124" s="33">
        <v>0.0</v>
      </c>
      <c r="T124" s="33">
        <v>0.0</v>
      </c>
      <c r="U124" s="33">
        <v>0.0</v>
      </c>
      <c r="V124" s="33">
        <v>0.0</v>
      </c>
      <c r="W124" s="33">
        <v>0.0</v>
      </c>
      <c r="X124" s="33">
        <v>0.0</v>
      </c>
      <c r="Y124" s="33">
        <v>0.0</v>
      </c>
      <c r="Z124" s="33">
        <v>0.0</v>
      </c>
      <c r="AA124" s="33">
        <v>0.0</v>
      </c>
      <c r="AB124" s="33">
        <v>0.0</v>
      </c>
      <c r="AC124" s="33">
        <v>0.0</v>
      </c>
      <c r="AD124" s="33">
        <v>0.0</v>
      </c>
      <c r="AE124" s="33">
        <v>0.0</v>
      </c>
      <c r="AF124" s="33">
        <v>0.0</v>
      </c>
      <c r="AG124" s="33">
        <v>0.0</v>
      </c>
      <c r="AH124" s="33">
        <v>0.0</v>
      </c>
      <c r="AI124" s="33">
        <v>0.0</v>
      </c>
      <c r="AJ124" s="33">
        <v>0.0</v>
      </c>
      <c r="AK124" s="33">
        <v>0.0</v>
      </c>
    </row>
    <row r="125">
      <c r="A125" s="33">
        <v>75150.0</v>
      </c>
      <c r="B125" s="33">
        <v>0.0</v>
      </c>
      <c r="C125" s="33">
        <v>0.0</v>
      </c>
      <c r="D125" s="33">
        <v>100.0</v>
      </c>
      <c r="E125" s="33">
        <v>0.0</v>
      </c>
      <c r="F125" s="33">
        <v>0.0</v>
      </c>
      <c r="G125" s="33">
        <v>0.0</v>
      </c>
      <c r="H125" s="33">
        <v>10.0</v>
      </c>
      <c r="I125" s="33">
        <v>0.0</v>
      </c>
      <c r="J125" s="33">
        <v>0.0</v>
      </c>
      <c r="K125" s="33">
        <v>0.0</v>
      </c>
      <c r="L125" s="33">
        <v>0.0</v>
      </c>
      <c r="M125" s="33">
        <v>0.0</v>
      </c>
      <c r="N125" s="33">
        <v>0.0</v>
      </c>
      <c r="O125" s="33">
        <v>0.0</v>
      </c>
      <c r="P125" s="33">
        <v>0.0</v>
      </c>
      <c r="Q125" s="33">
        <v>0.0</v>
      </c>
      <c r="R125" s="33">
        <v>0.0</v>
      </c>
      <c r="S125" s="33">
        <v>0.0</v>
      </c>
      <c r="T125" s="33">
        <v>0.0</v>
      </c>
      <c r="U125" s="33">
        <v>0.0</v>
      </c>
      <c r="V125" s="33">
        <v>0.0</v>
      </c>
      <c r="W125" s="33">
        <v>0.0</v>
      </c>
      <c r="X125" s="33">
        <v>0.0</v>
      </c>
      <c r="Y125" s="33">
        <v>0.0</v>
      </c>
      <c r="Z125" s="33">
        <v>0.0</v>
      </c>
      <c r="AA125" s="33">
        <v>0.0</v>
      </c>
      <c r="AB125" s="33">
        <v>0.0</v>
      </c>
      <c r="AC125" s="33">
        <v>0.0</v>
      </c>
      <c r="AD125" s="33">
        <v>0.0</v>
      </c>
      <c r="AE125" s="33">
        <v>0.0</v>
      </c>
      <c r="AF125" s="33">
        <v>0.0</v>
      </c>
      <c r="AG125" s="33">
        <v>0.0</v>
      </c>
      <c r="AH125" s="33">
        <v>0.0</v>
      </c>
      <c r="AI125" s="33">
        <v>0.0</v>
      </c>
      <c r="AJ125" s="33">
        <v>0.0</v>
      </c>
      <c r="AK125" s="33">
        <v>0.0</v>
      </c>
    </row>
    <row r="126">
      <c r="A126" s="33">
        <v>75167.0</v>
      </c>
      <c r="B126" s="33">
        <v>0.0</v>
      </c>
      <c r="C126" s="33">
        <v>0.0</v>
      </c>
      <c r="D126" s="33">
        <v>0.0</v>
      </c>
      <c r="E126" s="33">
        <v>0.0</v>
      </c>
      <c r="F126" s="33">
        <v>0.0</v>
      </c>
      <c r="G126" s="33">
        <v>0.0</v>
      </c>
      <c r="H126" s="33">
        <v>50.0</v>
      </c>
      <c r="I126" s="33">
        <v>0.0</v>
      </c>
      <c r="J126" s="33">
        <v>0.0</v>
      </c>
      <c r="K126" s="33">
        <v>0.0</v>
      </c>
      <c r="L126" s="33">
        <v>0.0</v>
      </c>
      <c r="M126" s="33">
        <v>0.0</v>
      </c>
      <c r="N126" s="33">
        <v>0.0</v>
      </c>
      <c r="O126" s="33">
        <v>0.0</v>
      </c>
      <c r="P126" s="33">
        <v>0.0</v>
      </c>
      <c r="Q126" s="33">
        <v>0.0</v>
      </c>
      <c r="R126" s="33">
        <v>0.0</v>
      </c>
      <c r="S126" s="33">
        <v>0.0</v>
      </c>
      <c r="T126" s="33">
        <v>0.0</v>
      </c>
      <c r="U126" s="33">
        <v>0.0</v>
      </c>
      <c r="V126" s="33">
        <v>0.0</v>
      </c>
      <c r="W126" s="33">
        <v>0.0</v>
      </c>
      <c r="X126" s="33">
        <v>0.0</v>
      </c>
      <c r="Y126" s="33">
        <v>0.0</v>
      </c>
      <c r="Z126" s="33">
        <v>0.0</v>
      </c>
      <c r="AA126" s="33">
        <v>0.0</v>
      </c>
      <c r="AB126" s="33">
        <v>0.0</v>
      </c>
      <c r="AC126" s="33">
        <v>0.0</v>
      </c>
      <c r="AD126" s="33">
        <v>0.0</v>
      </c>
      <c r="AE126" s="33">
        <v>0.0</v>
      </c>
      <c r="AF126" s="33">
        <v>0.0</v>
      </c>
      <c r="AG126" s="33">
        <v>0.0</v>
      </c>
      <c r="AH126" s="33">
        <v>0.0</v>
      </c>
      <c r="AI126" s="33">
        <v>0.0</v>
      </c>
      <c r="AJ126" s="33">
        <v>0.0</v>
      </c>
      <c r="AK126" s="33">
        <v>0.0</v>
      </c>
    </row>
    <row r="127">
      <c r="A127" s="33">
        <v>78626.0</v>
      </c>
      <c r="B127" s="33">
        <v>0.0</v>
      </c>
      <c r="C127" s="33">
        <v>0.0</v>
      </c>
      <c r="D127" s="33">
        <v>0.0</v>
      </c>
      <c r="E127" s="33">
        <v>0.0</v>
      </c>
      <c r="F127" s="33">
        <v>0.0</v>
      </c>
      <c r="G127" s="33">
        <v>0.0</v>
      </c>
      <c r="H127" s="33">
        <v>50.0</v>
      </c>
      <c r="I127" s="33">
        <v>0.0</v>
      </c>
      <c r="J127" s="33">
        <v>0.0</v>
      </c>
      <c r="K127" s="33">
        <v>0.0</v>
      </c>
      <c r="L127" s="33">
        <v>0.0</v>
      </c>
      <c r="M127" s="33">
        <v>0.0</v>
      </c>
      <c r="N127" s="33">
        <v>0.0</v>
      </c>
      <c r="O127" s="33">
        <v>0.0</v>
      </c>
      <c r="P127" s="33">
        <v>0.0</v>
      </c>
      <c r="Q127" s="33">
        <v>0.0</v>
      </c>
      <c r="R127" s="33">
        <v>0.0</v>
      </c>
      <c r="S127" s="33">
        <v>0.0</v>
      </c>
      <c r="T127" s="33">
        <v>0.0</v>
      </c>
      <c r="U127" s="33">
        <v>0.0</v>
      </c>
      <c r="V127" s="33">
        <v>0.0</v>
      </c>
      <c r="W127" s="33">
        <v>0.0</v>
      </c>
      <c r="X127" s="33">
        <v>0.0</v>
      </c>
      <c r="Y127" s="33">
        <v>0.0</v>
      </c>
      <c r="Z127" s="33">
        <v>0.0</v>
      </c>
      <c r="AA127" s="33">
        <v>0.0</v>
      </c>
      <c r="AB127" s="33">
        <v>0.0</v>
      </c>
      <c r="AC127" s="33">
        <v>0.0</v>
      </c>
      <c r="AD127" s="33">
        <v>0.0</v>
      </c>
      <c r="AE127" s="33">
        <v>0.0</v>
      </c>
      <c r="AF127" s="33">
        <v>0.0</v>
      </c>
      <c r="AG127" s="33">
        <v>0.0</v>
      </c>
      <c r="AH127" s="33">
        <v>0.0</v>
      </c>
      <c r="AI127" s="33">
        <v>0.0</v>
      </c>
      <c r="AJ127" s="33">
        <v>0.0</v>
      </c>
      <c r="AK127" s="33">
        <v>0.0</v>
      </c>
    </row>
    <row r="128">
      <c r="A128" s="33">
        <v>77338.0</v>
      </c>
      <c r="B128" s="33">
        <v>0.0</v>
      </c>
      <c r="C128" s="33">
        <v>0.0</v>
      </c>
      <c r="D128" s="33">
        <v>0.0</v>
      </c>
      <c r="E128" s="33">
        <v>0.0</v>
      </c>
      <c r="F128" s="33">
        <v>0.0</v>
      </c>
      <c r="G128" s="33">
        <v>0.0</v>
      </c>
      <c r="H128" s="33">
        <v>10.0</v>
      </c>
      <c r="I128" s="33">
        <v>0.0</v>
      </c>
      <c r="J128" s="33">
        <v>0.0</v>
      </c>
      <c r="K128" s="33">
        <v>0.0</v>
      </c>
      <c r="L128" s="33">
        <v>0.0</v>
      </c>
      <c r="M128" s="33">
        <v>0.0</v>
      </c>
      <c r="N128" s="33">
        <v>0.0</v>
      </c>
      <c r="O128" s="33">
        <v>0.0</v>
      </c>
      <c r="P128" s="33">
        <v>0.0</v>
      </c>
      <c r="Q128" s="33">
        <v>0.0</v>
      </c>
      <c r="R128" s="33">
        <v>0.0</v>
      </c>
      <c r="S128" s="33">
        <v>0.0</v>
      </c>
      <c r="T128" s="33">
        <v>0.0</v>
      </c>
      <c r="U128" s="33">
        <v>0.0</v>
      </c>
      <c r="V128" s="33">
        <v>0.0</v>
      </c>
      <c r="W128" s="33">
        <v>0.0</v>
      </c>
      <c r="X128" s="33">
        <v>0.0</v>
      </c>
      <c r="Y128" s="33">
        <v>0.0</v>
      </c>
      <c r="Z128" s="33">
        <v>0.0</v>
      </c>
      <c r="AA128" s="33">
        <v>0.0</v>
      </c>
      <c r="AB128" s="33">
        <v>0.0</v>
      </c>
      <c r="AC128" s="33">
        <v>0.0</v>
      </c>
      <c r="AD128" s="33">
        <v>0.0</v>
      </c>
      <c r="AE128" s="33">
        <v>0.0</v>
      </c>
      <c r="AF128" s="33">
        <v>0.0</v>
      </c>
      <c r="AG128" s="33">
        <v>0.0</v>
      </c>
      <c r="AH128" s="33">
        <v>0.0</v>
      </c>
      <c r="AI128" s="33">
        <v>0.0</v>
      </c>
      <c r="AJ128" s="33">
        <v>0.0</v>
      </c>
      <c r="AK128" s="33">
        <v>0.0</v>
      </c>
    </row>
    <row r="129">
      <c r="A129" s="33">
        <v>78753.0</v>
      </c>
      <c r="B129" s="33">
        <v>0.0</v>
      </c>
      <c r="C129" s="33">
        <v>0.0</v>
      </c>
      <c r="D129" s="33">
        <v>0.0</v>
      </c>
      <c r="E129" s="33">
        <v>0.0</v>
      </c>
      <c r="F129" s="33">
        <v>0.0</v>
      </c>
      <c r="G129" s="33">
        <v>0.0</v>
      </c>
      <c r="H129" s="33">
        <v>10.0</v>
      </c>
      <c r="I129" s="33">
        <v>0.0</v>
      </c>
      <c r="J129" s="33">
        <v>0.0</v>
      </c>
      <c r="K129" s="33">
        <v>0.0</v>
      </c>
      <c r="L129" s="33">
        <v>0.0</v>
      </c>
      <c r="M129" s="33">
        <v>0.0</v>
      </c>
      <c r="N129" s="33">
        <v>0.0</v>
      </c>
      <c r="O129" s="33">
        <v>0.0</v>
      </c>
      <c r="P129" s="33">
        <v>0.0</v>
      </c>
      <c r="Q129" s="33">
        <v>0.0</v>
      </c>
      <c r="R129" s="33">
        <v>0.0</v>
      </c>
      <c r="S129" s="33">
        <v>0.0</v>
      </c>
      <c r="T129" s="33">
        <v>0.0</v>
      </c>
      <c r="U129" s="33">
        <v>0.0</v>
      </c>
      <c r="V129" s="33">
        <v>0.0</v>
      </c>
      <c r="W129" s="33">
        <v>0.0</v>
      </c>
      <c r="X129" s="33">
        <v>0.0</v>
      </c>
      <c r="Y129" s="33">
        <v>0.0</v>
      </c>
      <c r="Z129" s="33">
        <v>0.0</v>
      </c>
      <c r="AA129" s="33">
        <v>0.0</v>
      </c>
      <c r="AB129" s="33">
        <v>0.0</v>
      </c>
      <c r="AC129" s="33">
        <v>0.0</v>
      </c>
      <c r="AD129" s="33">
        <v>0.0</v>
      </c>
      <c r="AE129" s="33">
        <v>0.0</v>
      </c>
      <c r="AF129" s="33">
        <v>0.0</v>
      </c>
      <c r="AG129" s="33">
        <v>0.0</v>
      </c>
      <c r="AH129" s="33">
        <v>0.0</v>
      </c>
      <c r="AI129" s="33">
        <v>0.0</v>
      </c>
      <c r="AJ129" s="33">
        <v>0.0</v>
      </c>
      <c r="AK129" s="33">
        <v>0.0</v>
      </c>
    </row>
    <row r="130">
      <c r="A130" s="33">
        <v>78584.0</v>
      </c>
      <c r="B130" s="33">
        <v>0.0</v>
      </c>
      <c r="C130" s="33">
        <v>0.0</v>
      </c>
      <c r="D130" s="33">
        <v>0.0</v>
      </c>
      <c r="E130" s="33">
        <v>0.0</v>
      </c>
      <c r="F130" s="33">
        <v>0.0</v>
      </c>
      <c r="G130" s="33">
        <v>0.0</v>
      </c>
      <c r="H130" s="33">
        <v>250.0</v>
      </c>
      <c r="I130" s="33">
        <v>0.0</v>
      </c>
      <c r="J130" s="33">
        <v>0.0</v>
      </c>
      <c r="K130" s="33">
        <v>0.0</v>
      </c>
      <c r="L130" s="33">
        <v>0.0</v>
      </c>
      <c r="M130" s="33">
        <v>0.0</v>
      </c>
      <c r="N130" s="33">
        <v>0.0</v>
      </c>
      <c r="O130" s="33">
        <v>0.0</v>
      </c>
      <c r="P130" s="33">
        <v>0.0</v>
      </c>
      <c r="Q130" s="33">
        <v>0.0</v>
      </c>
      <c r="R130" s="33">
        <v>0.0</v>
      </c>
      <c r="S130" s="33">
        <v>0.0</v>
      </c>
      <c r="T130" s="33">
        <v>0.0</v>
      </c>
      <c r="U130" s="33">
        <v>0.0</v>
      </c>
      <c r="V130" s="33">
        <v>0.0</v>
      </c>
      <c r="W130" s="33">
        <v>0.0</v>
      </c>
      <c r="X130" s="33">
        <v>0.0</v>
      </c>
      <c r="Y130" s="33">
        <v>0.0</v>
      </c>
      <c r="Z130" s="33">
        <v>0.0</v>
      </c>
      <c r="AA130" s="33">
        <v>0.0</v>
      </c>
      <c r="AB130" s="33">
        <v>0.0</v>
      </c>
      <c r="AC130" s="33">
        <v>0.0</v>
      </c>
      <c r="AD130" s="33">
        <v>0.0</v>
      </c>
      <c r="AE130" s="33">
        <v>0.0</v>
      </c>
      <c r="AF130" s="33">
        <v>0.0</v>
      </c>
      <c r="AG130" s="33">
        <v>0.0</v>
      </c>
      <c r="AH130" s="33">
        <v>0.0</v>
      </c>
      <c r="AI130" s="33">
        <v>0.0</v>
      </c>
      <c r="AJ130" s="33">
        <v>0.0</v>
      </c>
      <c r="AK130" s="33">
        <v>0.0</v>
      </c>
    </row>
    <row r="131">
      <c r="A131" s="33">
        <v>77004.0</v>
      </c>
      <c r="B131" s="33">
        <v>0.0</v>
      </c>
      <c r="C131" s="33">
        <v>0.0</v>
      </c>
      <c r="D131" s="33">
        <v>0.0</v>
      </c>
      <c r="E131" s="33">
        <v>0.0</v>
      </c>
      <c r="F131" s="33">
        <v>0.0</v>
      </c>
      <c r="G131" s="33">
        <v>0.0</v>
      </c>
      <c r="H131" s="33">
        <v>175.0</v>
      </c>
      <c r="I131" s="33">
        <v>0.0</v>
      </c>
      <c r="J131" s="33">
        <v>0.0</v>
      </c>
      <c r="K131" s="33">
        <v>0.0</v>
      </c>
      <c r="L131" s="33">
        <v>0.0</v>
      </c>
      <c r="M131" s="33">
        <v>0.0</v>
      </c>
      <c r="N131" s="33">
        <v>0.0</v>
      </c>
      <c r="O131" s="33">
        <v>0.0</v>
      </c>
      <c r="P131" s="33">
        <v>0.0</v>
      </c>
      <c r="Q131" s="33">
        <v>0.0</v>
      </c>
      <c r="R131" s="33">
        <v>0.0</v>
      </c>
      <c r="S131" s="33">
        <v>0.0</v>
      </c>
      <c r="T131" s="33">
        <v>0.0</v>
      </c>
      <c r="U131" s="33">
        <v>0.0</v>
      </c>
      <c r="V131" s="33">
        <v>0.0</v>
      </c>
      <c r="W131" s="33">
        <v>0.0</v>
      </c>
      <c r="X131" s="33">
        <v>0.0</v>
      </c>
      <c r="Y131" s="33">
        <v>0.0</v>
      </c>
      <c r="Z131" s="33">
        <v>1500.0</v>
      </c>
      <c r="AA131" s="33">
        <v>0.0</v>
      </c>
      <c r="AB131" s="33">
        <v>0.0</v>
      </c>
      <c r="AC131" s="33">
        <v>0.0</v>
      </c>
      <c r="AD131" s="33">
        <v>0.0</v>
      </c>
      <c r="AE131" s="33">
        <v>0.0</v>
      </c>
      <c r="AF131" s="33">
        <v>0.0</v>
      </c>
      <c r="AG131" s="33">
        <v>0.0</v>
      </c>
      <c r="AH131" s="33">
        <v>0.0</v>
      </c>
      <c r="AI131" s="33">
        <v>0.0</v>
      </c>
      <c r="AJ131" s="33">
        <v>0.0</v>
      </c>
      <c r="AK131" s="33">
        <v>0.0</v>
      </c>
    </row>
    <row r="132">
      <c r="A132" s="33">
        <v>78526.0</v>
      </c>
      <c r="B132" s="33">
        <v>0.0</v>
      </c>
      <c r="C132" s="33">
        <v>0.0</v>
      </c>
      <c r="D132" s="33">
        <v>0.0</v>
      </c>
      <c r="E132" s="33">
        <v>0.0</v>
      </c>
      <c r="F132" s="33">
        <v>0.0</v>
      </c>
      <c r="G132" s="33">
        <v>0.0</v>
      </c>
      <c r="H132" s="33">
        <v>100.0</v>
      </c>
      <c r="I132" s="33">
        <v>0.0</v>
      </c>
      <c r="J132" s="33">
        <v>0.0</v>
      </c>
      <c r="K132" s="33">
        <v>0.0</v>
      </c>
      <c r="L132" s="33">
        <v>0.0</v>
      </c>
      <c r="M132" s="33">
        <v>0.0</v>
      </c>
      <c r="N132" s="33">
        <v>0.0</v>
      </c>
      <c r="O132" s="33">
        <v>0.0</v>
      </c>
      <c r="P132" s="33">
        <v>0.0</v>
      </c>
      <c r="Q132" s="33">
        <v>0.0</v>
      </c>
      <c r="R132" s="33">
        <v>0.0</v>
      </c>
      <c r="S132" s="33">
        <v>0.0</v>
      </c>
      <c r="T132" s="33">
        <v>0.0</v>
      </c>
      <c r="U132" s="33">
        <v>0.0</v>
      </c>
      <c r="V132" s="33">
        <v>0.0</v>
      </c>
      <c r="W132" s="33">
        <v>0.0</v>
      </c>
      <c r="X132" s="33">
        <v>0.0</v>
      </c>
      <c r="Y132" s="33">
        <v>0.0</v>
      </c>
      <c r="Z132" s="33">
        <v>0.0</v>
      </c>
      <c r="AA132" s="33">
        <v>0.0</v>
      </c>
      <c r="AB132" s="33">
        <v>0.0</v>
      </c>
      <c r="AC132" s="33">
        <v>0.0</v>
      </c>
      <c r="AD132" s="33">
        <v>0.0</v>
      </c>
      <c r="AE132" s="33">
        <v>0.0</v>
      </c>
      <c r="AF132" s="33">
        <v>0.0</v>
      </c>
      <c r="AG132" s="33">
        <v>0.0</v>
      </c>
      <c r="AH132" s="33">
        <v>0.0</v>
      </c>
      <c r="AI132" s="33">
        <v>0.0</v>
      </c>
      <c r="AJ132" s="33">
        <v>0.0</v>
      </c>
      <c r="AK132" s="33">
        <v>0.0</v>
      </c>
    </row>
    <row r="133">
      <c r="A133" s="33">
        <v>78701.0</v>
      </c>
      <c r="B133" s="33">
        <v>0.0</v>
      </c>
      <c r="C133" s="33">
        <v>0.0</v>
      </c>
      <c r="D133" s="33">
        <v>0.0</v>
      </c>
      <c r="E133" s="33">
        <v>0.0</v>
      </c>
      <c r="F133" s="33">
        <v>0.0</v>
      </c>
      <c r="G133" s="33">
        <v>0.0</v>
      </c>
      <c r="H133" s="33">
        <v>0.0</v>
      </c>
      <c r="I133" s="33">
        <v>0.0</v>
      </c>
      <c r="J133" s="33">
        <v>0.0</v>
      </c>
      <c r="K133" s="33">
        <v>0.0</v>
      </c>
      <c r="L133" s="33">
        <v>0.0</v>
      </c>
      <c r="M133" s="33">
        <v>0.0</v>
      </c>
      <c r="N133" s="33">
        <v>0.0</v>
      </c>
      <c r="O133" s="33">
        <v>0.0</v>
      </c>
      <c r="P133" s="33">
        <v>0.0</v>
      </c>
      <c r="Q133" s="33">
        <v>0.0</v>
      </c>
      <c r="R133" s="33">
        <v>0.0</v>
      </c>
      <c r="S133" s="33">
        <v>0.0</v>
      </c>
      <c r="T133" s="33">
        <v>0.0</v>
      </c>
      <c r="U133" s="33">
        <v>0.0</v>
      </c>
      <c r="V133" s="33">
        <v>0.0</v>
      </c>
      <c r="W133" s="33">
        <v>0.0</v>
      </c>
      <c r="X133" s="33">
        <v>0.0</v>
      </c>
      <c r="Y133" s="33">
        <v>0.0</v>
      </c>
      <c r="Z133" s="33">
        <v>32500.0</v>
      </c>
      <c r="AA133" s="33">
        <v>0.0</v>
      </c>
      <c r="AB133" s="33">
        <v>0.0</v>
      </c>
      <c r="AC133" s="33">
        <v>0.0</v>
      </c>
      <c r="AD133" s="33">
        <v>0.0</v>
      </c>
      <c r="AE133" s="33">
        <v>0.0</v>
      </c>
      <c r="AF133" s="33">
        <v>0.0</v>
      </c>
      <c r="AG133" s="33">
        <v>0.0</v>
      </c>
      <c r="AH133" s="33">
        <v>0.0</v>
      </c>
      <c r="AI133" s="33">
        <v>0.0</v>
      </c>
      <c r="AJ133" s="33">
        <v>0.0</v>
      </c>
      <c r="AK133" s="33">
        <v>0.0</v>
      </c>
    </row>
    <row r="134">
      <c r="A134" s="33">
        <v>75222.0</v>
      </c>
      <c r="B134" s="33">
        <v>0.0</v>
      </c>
      <c r="C134" s="33">
        <v>0.0</v>
      </c>
      <c r="D134" s="33">
        <v>0.0</v>
      </c>
      <c r="E134" s="33">
        <v>0.0</v>
      </c>
      <c r="F134" s="33">
        <v>0.0</v>
      </c>
      <c r="G134" s="33">
        <v>500.0</v>
      </c>
      <c r="H134" s="33">
        <v>0.0</v>
      </c>
      <c r="I134" s="33">
        <v>0.0</v>
      </c>
      <c r="J134" s="33">
        <v>0.0</v>
      </c>
      <c r="K134" s="33">
        <v>0.0</v>
      </c>
      <c r="L134" s="33">
        <v>0.0</v>
      </c>
      <c r="M134" s="33">
        <v>0.0</v>
      </c>
      <c r="N134" s="33">
        <v>0.0</v>
      </c>
      <c r="O134" s="33">
        <v>0.0</v>
      </c>
      <c r="P134" s="33">
        <v>0.0</v>
      </c>
      <c r="Q134" s="33">
        <v>0.0</v>
      </c>
      <c r="R134" s="33">
        <v>0.0</v>
      </c>
      <c r="S134" s="33">
        <v>0.0</v>
      </c>
      <c r="T134" s="33">
        <v>900.0</v>
      </c>
      <c r="U134" s="33">
        <v>0.0</v>
      </c>
      <c r="V134" s="33">
        <v>0.0</v>
      </c>
      <c r="W134" s="33">
        <v>0.0</v>
      </c>
      <c r="X134" s="33">
        <v>0.0</v>
      </c>
      <c r="Y134" s="33">
        <v>0.0</v>
      </c>
      <c r="Z134" s="33">
        <v>0.0</v>
      </c>
      <c r="AA134" s="33">
        <v>0.0</v>
      </c>
      <c r="AB134" s="33">
        <v>0.0</v>
      </c>
      <c r="AC134" s="33">
        <v>0.0</v>
      </c>
      <c r="AD134" s="33">
        <v>0.0</v>
      </c>
      <c r="AE134" s="33">
        <v>0.0</v>
      </c>
      <c r="AF134" s="33">
        <v>0.0</v>
      </c>
      <c r="AG134" s="33">
        <v>0.0</v>
      </c>
      <c r="AH134" s="33">
        <v>0.0</v>
      </c>
      <c r="AI134" s="33">
        <v>0.0</v>
      </c>
      <c r="AJ134" s="33">
        <v>0.0</v>
      </c>
      <c r="AK134" s="33">
        <v>0.0</v>
      </c>
    </row>
    <row r="135">
      <c r="A135" s="33">
        <v>77098.0</v>
      </c>
      <c r="B135" s="33">
        <v>0.0</v>
      </c>
      <c r="C135" s="33">
        <v>0.0</v>
      </c>
      <c r="D135" s="33">
        <v>0.0</v>
      </c>
      <c r="E135" s="33">
        <v>0.0</v>
      </c>
      <c r="F135" s="33">
        <v>0.0</v>
      </c>
      <c r="G135" s="33">
        <v>0.0</v>
      </c>
      <c r="H135" s="33">
        <v>0.0</v>
      </c>
      <c r="I135" s="33">
        <v>0.0</v>
      </c>
      <c r="J135" s="33">
        <v>0.0</v>
      </c>
      <c r="K135" s="33">
        <v>0.0</v>
      </c>
      <c r="L135" s="33">
        <v>0.0</v>
      </c>
      <c r="M135" s="33">
        <v>0.0</v>
      </c>
      <c r="N135" s="33">
        <v>0.0</v>
      </c>
      <c r="O135" s="33">
        <v>0.0</v>
      </c>
      <c r="P135" s="33">
        <v>0.0</v>
      </c>
      <c r="Q135" s="33">
        <v>0.0</v>
      </c>
      <c r="R135" s="33">
        <v>0.0</v>
      </c>
      <c r="S135" s="33">
        <v>0.0</v>
      </c>
      <c r="T135" s="33">
        <v>500.0</v>
      </c>
      <c r="U135" s="33">
        <v>0.0</v>
      </c>
      <c r="V135" s="33">
        <v>0.0</v>
      </c>
      <c r="W135" s="33">
        <v>0.0</v>
      </c>
      <c r="X135" s="33">
        <v>0.0</v>
      </c>
      <c r="Y135" s="33">
        <v>0.0</v>
      </c>
      <c r="Z135" s="33">
        <v>2500.0</v>
      </c>
      <c r="AA135" s="33">
        <v>0.0</v>
      </c>
      <c r="AB135" s="33">
        <v>0.0</v>
      </c>
      <c r="AC135" s="33">
        <v>0.0</v>
      </c>
      <c r="AD135" s="33">
        <v>0.0</v>
      </c>
      <c r="AE135" s="33">
        <v>0.0</v>
      </c>
      <c r="AF135" s="33">
        <v>0.0</v>
      </c>
      <c r="AG135" s="33">
        <v>0.0</v>
      </c>
      <c r="AH135" s="33">
        <v>0.0</v>
      </c>
      <c r="AI135" s="33">
        <v>0.0</v>
      </c>
      <c r="AJ135" s="33">
        <v>0.0</v>
      </c>
      <c r="AK135" s="33">
        <v>0.0</v>
      </c>
    </row>
    <row r="136">
      <c r="A136" s="33">
        <v>78703.0</v>
      </c>
      <c r="B136" s="33">
        <v>0.0</v>
      </c>
      <c r="C136" s="33">
        <v>0.0</v>
      </c>
      <c r="D136" s="33">
        <v>0.0</v>
      </c>
      <c r="E136" s="33">
        <v>0.0</v>
      </c>
      <c r="F136" s="33">
        <v>0.0</v>
      </c>
      <c r="G136" s="33">
        <v>0.0</v>
      </c>
      <c r="H136" s="33">
        <v>0.0</v>
      </c>
      <c r="I136" s="33">
        <v>0.0</v>
      </c>
      <c r="J136" s="33">
        <v>0.0</v>
      </c>
      <c r="K136" s="33">
        <v>0.0</v>
      </c>
      <c r="L136" s="33">
        <v>0.0</v>
      </c>
      <c r="M136" s="33">
        <v>0.0</v>
      </c>
      <c r="N136" s="33">
        <v>0.0</v>
      </c>
      <c r="O136" s="33">
        <v>0.0</v>
      </c>
      <c r="P136" s="33">
        <v>0.0</v>
      </c>
      <c r="Q136" s="33">
        <v>0.0</v>
      </c>
      <c r="R136" s="33">
        <v>0.0</v>
      </c>
      <c r="S136" s="33">
        <v>0.0</v>
      </c>
      <c r="T136" s="33">
        <v>1750.0</v>
      </c>
      <c r="U136" s="33">
        <v>0.0</v>
      </c>
      <c r="V136" s="33">
        <v>0.0</v>
      </c>
      <c r="W136" s="33">
        <v>0.0</v>
      </c>
      <c r="X136" s="33">
        <v>0.0</v>
      </c>
      <c r="Y136" s="33">
        <v>0.0</v>
      </c>
      <c r="Z136" s="33">
        <v>3000.0</v>
      </c>
      <c r="AA136" s="33">
        <v>0.0</v>
      </c>
      <c r="AB136" s="33">
        <v>0.0</v>
      </c>
      <c r="AC136" s="33">
        <v>0.0</v>
      </c>
      <c r="AD136" s="33">
        <v>0.0</v>
      </c>
      <c r="AE136" s="33">
        <v>0.0</v>
      </c>
      <c r="AF136" s="33">
        <v>0.0</v>
      </c>
      <c r="AG136" s="33">
        <v>0.0</v>
      </c>
      <c r="AH136" s="33">
        <v>0.0</v>
      </c>
      <c r="AI136" s="33">
        <v>0.0</v>
      </c>
      <c r="AJ136" s="33">
        <v>0.0</v>
      </c>
      <c r="AK136" s="33">
        <v>0.0</v>
      </c>
    </row>
    <row r="137">
      <c r="A137" s="33">
        <v>75270.0</v>
      </c>
      <c r="B137" s="33">
        <v>0.0</v>
      </c>
      <c r="C137" s="33">
        <v>0.0</v>
      </c>
      <c r="D137" s="33">
        <v>0.0</v>
      </c>
      <c r="E137" s="33">
        <v>0.0</v>
      </c>
      <c r="F137" s="33">
        <v>0.0</v>
      </c>
      <c r="G137" s="33">
        <v>0.0</v>
      </c>
      <c r="H137" s="33">
        <v>0.0</v>
      </c>
      <c r="I137" s="33">
        <v>0.0</v>
      </c>
      <c r="J137" s="33">
        <v>0.0</v>
      </c>
      <c r="K137" s="33">
        <v>0.0</v>
      </c>
      <c r="L137" s="33">
        <v>0.0</v>
      </c>
      <c r="M137" s="33">
        <v>0.0</v>
      </c>
      <c r="N137" s="33">
        <v>50.0</v>
      </c>
      <c r="O137" s="33">
        <v>0.0</v>
      </c>
      <c r="P137" s="33">
        <v>0.0</v>
      </c>
      <c r="Q137" s="33">
        <v>0.0</v>
      </c>
      <c r="R137" s="33">
        <v>0.0</v>
      </c>
      <c r="S137" s="33">
        <v>0.0</v>
      </c>
      <c r="T137" s="33">
        <v>1000.0</v>
      </c>
      <c r="U137" s="33">
        <v>0.0</v>
      </c>
      <c r="V137" s="33">
        <v>0.0</v>
      </c>
      <c r="W137" s="33">
        <v>0.0</v>
      </c>
      <c r="X137" s="33">
        <v>0.0</v>
      </c>
      <c r="Y137" s="33">
        <v>0.0</v>
      </c>
      <c r="Z137" s="33">
        <v>0.0</v>
      </c>
      <c r="AA137" s="33">
        <v>0.0</v>
      </c>
      <c r="AB137" s="33">
        <v>0.0</v>
      </c>
      <c r="AC137" s="33">
        <v>0.0</v>
      </c>
      <c r="AD137" s="33">
        <v>0.0</v>
      </c>
      <c r="AE137" s="33">
        <v>0.0</v>
      </c>
      <c r="AF137" s="33">
        <v>0.0</v>
      </c>
      <c r="AG137" s="33">
        <v>0.0</v>
      </c>
      <c r="AH137" s="33">
        <v>0.0</v>
      </c>
      <c r="AI137" s="33">
        <v>0.0</v>
      </c>
      <c r="AJ137" s="33">
        <v>0.0</v>
      </c>
      <c r="AK137" s="33">
        <v>0.0</v>
      </c>
    </row>
    <row r="138">
      <c r="A138" s="33">
        <v>76063.0</v>
      </c>
      <c r="B138" s="33">
        <v>0.0</v>
      </c>
      <c r="C138" s="33">
        <v>0.0</v>
      </c>
      <c r="D138" s="33">
        <v>1100.0</v>
      </c>
      <c r="E138" s="33">
        <v>0.0</v>
      </c>
      <c r="F138" s="33">
        <v>0.0</v>
      </c>
      <c r="G138" s="33">
        <v>0.0</v>
      </c>
      <c r="H138" s="33">
        <v>0.0</v>
      </c>
      <c r="I138" s="33">
        <v>0.0</v>
      </c>
      <c r="J138" s="33">
        <v>0.0</v>
      </c>
      <c r="K138" s="33">
        <v>0.0</v>
      </c>
      <c r="L138" s="33">
        <v>0.0</v>
      </c>
      <c r="M138" s="33">
        <v>0.0</v>
      </c>
      <c r="N138" s="33">
        <v>0.0</v>
      </c>
      <c r="O138" s="33">
        <v>0.0</v>
      </c>
      <c r="P138" s="33">
        <v>0.0</v>
      </c>
      <c r="Q138" s="33">
        <v>0.0</v>
      </c>
      <c r="R138" s="33">
        <v>0.0</v>
      </c>
      <c r="S138" s="33">
        <v>0.0</v>
      </c>
      <c r="T138" s="33">
        <v>1500.0</v>
      </c>
      <c r="U138" s="33">
        <v>0.0</v>
      </c>
      <c r="V138" s="33">
        <v>0.0</v>
      </c>
      <c r="W138" s="33">
        <v>0.0</v>
      </c>
      <c r="X138" s="33">
        <v>0.0</v>
      </c>
      <c r="Y138" s="33">
        <v>0.0</v>
      </c>
      <c r="Z138" s="33">
        <v>50.0</v>
      </c>
      <c r="AA138" s="33">
        <v>0.0</v>
      </c>
      <c r="AB138" s="33">
        <v>500.0</v>
      </c>
      <c r="AC138" s="33">
        <v>0.0</v>
      </c>
      <c r="AD138" s="33">
        <v>0.0</v>
      </c>
      <c r="AE138" s="33">
        <v>0.0</v>
      </c>
      <c r="AF138" s="33">
        <v>0.0</v>
      </c>
      <c r="AG138" s="33">
        <v>0.0</v>
      </c>
      <c r="AH138" s="33">
        <v>0.0</v>
      </c>
      <c r="AI138" s="33">
        <v>0.0</v>
      </c>
      <c r="AJ138" s="33">
        <v>0.0</v>
      </c>
      <c r="AK138" s="33">
        <v>0.0</v>
      </c>
    </row>
    <row r="139">
      <c r="A139" s="33">
        <v>77027.0</v>
      </c>
      <c r="B139" s="33">
        <v>0.0</v>
      </c>
      <c r="C139" s="33">
        <v>0.0</v>
      </c>
      <c r="D139" s="33">
        <v>0.0</v>
      </c>
      <c r="E139" s="33">
        <v>0.0</v>
      </c>
      <c r="F139" s="33">
        <v>0.0</v>
      </c>
      <c r="G139" s="33">
        <v>0.0</v>
      </c>
      <c r="H139" s="33">
        <v>0.0</v>
      </c>
      <c r="I139" s="33">
        <v>0.0</v>
      </c>
      <c r="J139" s="33">
        <v>0.0</v>
      </c>
      <c r="K139" s="33">
        <v>0.0</v>
      </c>
      <c r="L139" s="33">
        <v>0.0</v>
      </c>
      <c r="M139" s="33">
        <v>0.0</v>
      </c>
      <c r="N139" s="33">
        <v>0.0</v>
      </c>
      <c r="O139" s="33">
        <v>0.0</v>
      </c>
      <c r="P139" s="33">
        <v>0.0</v>
      </c>
      <c r="Q139" s="33">
        <v>0.0</v>
      </c>
      <c r="R139" s="33">
        <v>0.0</v>
      </c>
      <c r="S139" s="33">
        <v>0.0</v>
      </c>
      <c r="T139" s="33">
        <v>25.0</v>
      </c>
      <c r="U139" s="33">
        <v>0.0</v>
      </c>
      <c r="V139" s="33">
        <v>0.0</v>
      </c>
      <c r="W139" s="33">
        <v>0.0</v>
      </c>
      <c r="X139" s="33">
        <v>0.0</v>
      </c>
      <c r="Y139" s="33">
        <v>0.0</v>
      </c>
      <c r="Z139" s="33">
        <v>1000.0</v>
      </c>
      <c r="AA139" s="33">
        <v>0.0</v>
      </c>
      <c r="AB139" s="33">
        <v>0.0</v>
      </c>
      <c r="AC139" s="33">
        <v>0.0</v>
      </c>
      <c r="AD139" s="33">
        <v>0.0</v>
      </c>
      <c r="AE139" s="33">
        <v>0.0</v>
      </c>
      <c r="AF139" s="33">
        <v>0.0</v>
      </c>
      <c r="AG139" s="33">
        <v>0.0</v>
      </c>
      <c r="AH139" s="33">
        <v>0.0</v>
      </c>
      <c r="AI139" s="33">
        <v>0.0</v>
      </c>
      <c r="AJ139" s="33">
        <v>0.0</v>
      </c>
      <c r="AK139" s="33">
        <v>0.0</v>
      </c>
    </row>
    <row r="140">
      <c r="A140" s="33">
        <v>78205.0</v>
      </c>
      <c r="B140" s="33">
        <v>0.0</v>
      </c>
      <c r="C140" s="33">
        <v>0.0</v>
      </c>
      <c r="D140" s="33">
        <v>0.0</v>
      </c>
      <c r="E140" s="33">
        <v>0.0</v>
      </c>
      <c r="F140" s="33">
        <v>0.0</v>
      </c>
      <c r="G140" s="33">
        <v>0.0</v>
      </c>
      <c r="H140" s="33">
        <v>0.0</v>
      </c>
      <c r="I140" s="33">
        <v>0.0</v>
      </c>
      <c r="J140" s="33">
        <v>0.0</v>
      </c>
      <c r="K140" s="33">
        <v>0.0</v>
      </c>
      <c r="L140" s="33">
        <v>0.0</v>
      </c>
      <c r="M140" s="33">
        <v>0.0</v>
      </c>
      <c r="N140" s="33">
        <v>0.0</v>
      </c>
      <c r="O140" s="33">
        <v>0.0</v>
      </c>
      <c r="P140" s="33">
        <v>0.0</v>
      </c>
      <c r="Q140" s="33">
        <v>0.0</v>
      </c>
      <c r="R140" s="33">
        <v>0.0</v>
      </c>
      <c r="S140" s="33">
        <v>0.0</v>
      </c>
      <c r="T140" s="33">
        <v>250.0</v>
      </c>
      <c r="U140" s="33">
        <v>0.0</v>
      </c>
      <c r="V140" s="33">
        <v>0.0</v>
      </c>
      <c r="W140" s="33">
        <v>0.0</v>
      </c>
      <c r="X140" s="33">
        <v>0.0</v>
      </c>
      <c r="Y140" s="33">
        <v>0.0</v>
      </c>
      <c r="Z140" s="33">
        <v>0.0</v>
      </c>
      <c r="AA140" s="33">
        <v>0.0</v>
      </c>
      <c r="AB140" s="33">
        <v>0.0</v>
      </c>
      <c r="AC140" s="33">
        <v>0.0</v>
      </c>
      <c r="AD140" s="33">
        <v>0.0</v>
      </c>
      <c r="AE140" s="33">
        <v>0.0</v>
      </c>
      <c r="AF140" s="33">
        <v>0.0</v>
      </c>
      <c r="AG140" s="33">
        <v>0.0</v>
      </c>
      <c r="AH140" s="33">
        <v>0.0</v>
      </c>
      <c r="AI140" s="33">
        <v>0.0</v>
      </c>
      <c r="AJ140" s="33">
        <v>0.0</v>
      </c>
      <c r="AK140" s="33">
        <v>0.0</v>
      </c>
    </row>
    <row r="141">
      <c r="A141" s="33">
        <v>75296.0</v>
      </c>
      <c r="B141" s="33">
        <v>0.0</v>
      </c>
      <c r="C141" s="33">
        <v>0.0</v>
      </c>
      <c r="D141" s="33">
        <v>0.0</v>
      </c>
      <c r="E141" s="33">
        <v>0.0</v>
      </c>
      <c r="F141" s="33">
        <v>0.0</v>
      </c>
      <c r="G141" s="33">
        <v>0.0</v>
      </c>
      <c r="H141" s="33">
        <v>0.0</v>
      </c>
      <c r="I141" s="33">
        <v>0.0</v>
      </c>
      <c r="J141" s="33">
        <v>0.0</v>
      </c>
      <c r="K141" s="33">
        <v>0.0</v>
      </c>
      <c r="L141" s="33">
        <v>0.0</v>
      </c>
      <c r="M141" s="33">
        <v>0.0</v>
      </c>
      <c r="N141" s="33">
        <v>0.0</v>
      </c>
      <c r="O141" s="33">
        <v>0.0</v>
      </c>
      <c r="P141" s="33">
        <v>0.0</v>
      </c>
      <c r="Q141" s="33">
        <v>0.0</v>
      </c>
      <c r="R141" s="33">
        <v>0.0</v>
      </c>
      <c r="S141" s="33">
        <v>0.0</v>
      </c>
      <c r="T141" s="33">
        <v>250.0</v>
      </c>
      <c r="U141" s="33">
        <v>0.0</v>
      </c>
      <c r="V141" s="33">
        <v>0.0</v>
      </c>
      <c r="W141" s="33">
        <v>0.0</v>
      </c>
      <c r="X141" s="33">
        <v>0.0</v>
      </c>
      <c r="Y141" s="33">
        <v>0.0</v>
      </c>
      <c r="Z141" s="33">
        <v>0.0</v>
      </c>
      <c r="AA141" s="33">
        <v>0.0</v>
      </c>
      <c r="AB141" s="33">
        <v>0.0</v>
      </c>
      <c r="AC141" s="33">
        <v>0.0</v>
      </c>
      <c r="AD141" s="33">
        <v>0.0</v>
      </c>
      <c r="AE141" s="33">
        <v>0.0</v>
      </c>
      <c r="AF141" s="33">
        <v>0.0</v>
      </c>
      <c r="AG141" s="33">
        <v>0.0</v>
      </c>
      <c r="AH141" s="33">
        <v>0.0</v>
      </c>
      <c r="AI141" s="33">
        <v>0.0</v>
      </c>
      <c r="AJ141" s="33">
        <v>0.0</v>
      </c>
      <c r="AK141" s="33">
        <v>0.0</v>
      </c>
    </row>
    <row r="142">
      <c r="A142" s="33">
        <v>77006.0</v>
      </c>
      <c r="B142" s="33">
        <v>0.0</v>
      </c>
      <c r="C142" s="33">
        <v>0.0</v>
      </c>
      <c r="D142" s="33">
        <v>0.0</v>
      </c>
      <c r="E142" s="33">
        <v>0.0</v>
      </c>
      <c r="F142" s="33">
        <v>0.0</v>
      </c>
      <c r="G142" s="33">
        <v>0.0</v>
      </c>
      <c r="H142" s="33">
        <v>0.0</v>
      </c>
      <c r="I142" s="33">
        <v>0.0</v>
      </c>
      <c r="J142" s="33">
        <v>0.0</v>
      </c>
      <c r="K142" s="33">
        <v>0.0</v>
      </c>
      <c r="L142" s="33">
        <v>0.0</v>
      </c>
      <c r="M142" s="33">
        <v>0.0</v>
      </c>
      <c r="N142" s="33">
        <v>0.0</v>
      </c>
      <c r="O142" s="33">
        <v>0.0</v>
      </c>
      <c r="P142" s="33">
        <v>0.0</v>
      </c>
      <c r="Q142" s="33">
        <v>0.0</v>
      </c>
      <c r="R142" s="33">
        <v>0.0</v>
      </c>
      <c r="S142" s="33">
        <v>0.0</v>
      </c>
      <c r="T142" s="33">
        <v>100.0</v>
      </c>
      <c r="U142" s="33">
        <v>0.0</v>
      </c>
      <c r="V142" s="33">
        <v>0.0</v>
      </c>
      <c r="W142" s="33">
        <v>0.0</v>
      </c>
      <c r="X142" s="33">
        <v>0.0</v>
      </c>
      <c r="Y142" s="33">
        <v>0.0</v>
      </c>
      <c r="Z142" s="33">
        <v>150.0</v>
      </c>
      <c r="AA142" s="33">
        <v>0.0</v>
      </c>
      <c r="AB142" s="33">
        <v>0.0</v>
      </c>
      <c r="AC142" s="33">
        <v>0.0</v>
      </c>
      <c r="AD142" s="33">
        <v>0.0</v>
      </c>
      <c r="AE142" s="33">
        <v>0.0</v>
      </c>
      <c r="AF142" s="33">
        <v>0.0</v>
      </c>
      <c r="AG142" s="33">
        <v>0.0</v>
      </c>
      <c r="AH142" s="33">
        <v>0.0</v>
      </c>
      <c r="AI142" s="33">
        <v>0.0</v>
      </c>
      <c r="AJ142" s="33">
        <v>0.0</v>
      </c>
      <c r="AK142" s="33">
        <v>0.0</v>
      </c>
    </row>
    <row r="143">
      <c r="A143" s="33">
        <v>75013.0</v>
      </c>
      <c r="B143" s="33">
        <v>0.0</v>
      </c>
      <c r="C143" s="33">
        <v>0.0</v>
      </c>
      <c r="D143" s="33">
        <v>0.0</v>
      </c>
      <c r="E143" s="33">
        <v>0.0</v>
      </c>
      <c r="F143" s="33">
        <v>0.0</v>
      </c>
      <c r="G143" s="33">
        <v>0.0</v>
      </c>
      <c r="H143" s="33">
        <v>0.0</v>
      </c>
      <c r="I143" s="33">
        <v>0.0</v>
      </c>
      <c r="J143" s="33">
        <v>0.0</v>
      </c>
      <c r="K143" s="33">
        <v>0.0</v>
      </c>
      <c r="L143" s="33">
        <v>0.0</v>
      </c>
      <c r="M143" s="33">
        <v>0.0</v>
      </c>
      <c r="N143" s="33">
        <v>0.0</v>
      </c>
      <c r="O143" s="33">
        <v>0.0</v>
      </c>
      <c r="P143" s="33">
        <v>0.0</v>
      </c>
      <c r="Q143" s="33">
        <v>0.0</v>
      </c>
      <c r="R143" s="33">
        <v>1000.0</v>
      </c>
      <c r="S143" s="33">
        <v>0.0</v>
      </c>
      <c r="T143" s="33">
        <v>1237.2</v>
      </c>
      <c r="U143" s="33">
        <v>0.0</v>
      </c>
      <c r="V143" s="33">
        <v>0.0</v>
      </c>
      <c r="W143" s="33">
        <v>0.0</v>
      </c>
      <c r="X143" s="33">
        <v>0.0</v>
      </c>
      <c r="Y143" s="33">
        <v>0.0</v>
      </c>
      <c r="Z143" s="33">
        <v>7750.0</v>
      </c>
      <c r="AA143" s="33">
        <v>0.0</v>
      </c>
      <c r="AB143" s="33">
        <v>0.0</v>
      </c>
      <c r="AC143" s="33">
        <v>0.0</v>
      </c>
      <c r="AD143" s="33">
        <v>0.0</v>
      </c>
      <c r="AE143" s="33">
        <v>0.0</v>
      </c>
      <c r="AF143" s="33">
        <v>0.0</v>
      </c>
      <c r="AG143" s="33">
        <v>0.0</v>
      </c>
      <c r="AH143" s="33">
        <v>0.0</v>
      </c>
      <c r="AI143" s="33">
        <v>0.0</v>
      </c>
      <c r="AJ143" s="33">
        <v>0.0</v>
      </c>
      <c r="AK143" s="33">
        <v>0.0</v>
      </c>
    </row>
    <row r="144">
      <c r="A144" s="33">
        <v>77007.0</v>
      </c>
      <c r="B144" s="33">
        <v>0.0</v>
      </c>
      <c r="C144" s="33">
        <v>0.0</v>
      </c>
      <c r="D144" s="33">
        <v>0.0</v>
      </c>
      <c r="E144" s="33">
        <v>0.0</v>
      </c>
      <c r="F144" s="33">
        <v>0.0</v>
      </c>
      <c r="G144" s="33">
        <v>0.0</v>
      </c>
      <c r="H144" s="33">
        <v>0.0</v>
      </c>
      <c r="I144" s="33">
        <v>0.0</v>
      </c>
      <c r="J144" s="33">
        <v>0.0</v>
      </c>
      <c r="K144" s="33">
        <v>0.0</v>
      </c>
      <c r="L144" s="33">
        <v>0.0</v>
      </c>
      <c r="M144" s="33">
        <v>0.0</v>
      </c>
      <c r="N144" s="33">
        <v>0.0</v>
      </c>
      <c r="O144" s="33">
        <v>0.0</v>
      </c>
      <c r="P144" s="33">
        <v>0.0</v>
      </c>
      <c r="Q144" s="33">
        <v>0.0</v>
      </c>
      <c r="R144" s="33">
        <v>0.0</v>
      </c>
      <c r="S144" s="33">
        <v>0.0</v>
      </c>
      <c r="T144" s="33">
        <v>125.0</v>
      </c>
      <c r="U144" s="33">
        <v>0.0</v>
      </c>
      <c r="V144" s="33">
        <v>0.0</v>
      </c>
      <c r="W144" s="33">
        <v>0.0</v>
      </c>
      <c r="X144" s="33">
        <v>0.0</v>
      </c>
      <c r="Y144" s="33">
        <v>0.0</v>
      </c>
      <c r="Z144" s="33">
        <v>0.0</v>
      </c>
      <c r="AA144" s="33">
        <v>0.0</v>
      </c>
      <c r="AB144" s="33">
        <v>0.0</v>
      </c>
      <c r="AC144" s="33">
        <v>1000.0</v>
      </c>
      <c r="AD144" s="33">
        <v>0.0</v>
      </c>
      <c r="AE144" s="33">
        <v>0.0</v>
      </c>
      <c r="AF144" s="33">
        <v>0.0</v>
      </c>
      <c r="AG144" s="33">
        <v>0.0</v>
      </c>
      <c r="AH144" s="33">
        <v>0.0</v>
      </c>
      <c r="AI144" s="33">
        <v>0.0</v>
      </c>
      <c r="AJ144" s="33">
        <v>0.0</v>
      </c>
      <c r="AK144" s="33">
        <v>0.0</v>
      </c>
    </row>
    <row r="145">
      <c r="A145" s="33">
        <v>75093.0</v>
      </c>
      <c r="B145" s="33">
        <v>2500.0</v>
      </c>
      <c r="C145" s="33">
        <v>0.0</v>
      </c>
      <c r="D145" s="33">
        <v>0.0</v>
      </c>
      <c r="E145" s="33">
        <v>0.0</v>
      </c>
      <c r="F145" s="33">
        <v>0.0</v>
      </c>
      <c r="G145" s="33">
        <v>0.0</v>
      </c>
      <c r="H145" s="33">
        <v>0.0</v>
      </c>
      <c r="I145" s="33">
        <v>0.0</v>
      </c>
      <c r="J145" s="33">
        <v>0.0</v>
      </c>
      <c r="K145" s="33">
        <v>0.0</v>
      </c>
      <c r="L145" s="33">
        <v>0.0</v>
      </c>
      <c r="M145" s="33">
        <v>0.0</v>
      </c>
      <c r="N145" s="33">
        <v>0.0</v>
      </c>
      <c r="O145" s="33">
        <v>0.0</v>
      </c>
      <c r="P145" s="33">
        <v>0.0</v>
      </c>
      <c r="Q145" s="33">
        <v>496.0</v>
      </c>
      <c r="R145" s="33">
        <v>0.0</v>
      </c>
      <c r="S145" s="33">
        <v>0.0</v>
      </c>
      <c r="T145" s="33">
        <v>4700.0</v>
      </c>
      <c r="U145" s="33">
        <v>0.0</v>
      </c>
      <c r="V145" s="33">
        <v>0.0</v>
      </c>
      <c r="W145" s="33">
        <v>2500.0</v>
      </c>
      <c r="X145" s="33">
        <v>0.0</v>
      </c>
      <c r="Y145" s="33">
        <v>31.4</v>
      </c>
      <c r="Z145" s="33">
        <v>0.0</v>
      </c>
      <c r="AA145" s="33">
        <v>0.0</v>
      </c>
      <c r="AB145" s="33">
        <v>300.0</v>
      </c>
      <c r="AC145" s="33">
        <v>0.0</v>
      </c>
      <c r="AD145" s="33">
        <v>0.0</v>
      </c>
      <c r="AE145" s="33">
        <v>0.0</v>
      </c>
      <c r="AF145" s="33">
        <v>0.0</v>
      </c>
      <c r="AG145" s="33">
        <v>0.0</v>
      </c>
      <c r="AH145" s="33">
        <v>0.0</v>
      </c>
      <c r="AI145" s="33">
        <v>0.0</v>
      </c>
      <c r="AJ145" s="33">
        <v>0.0</v>
      </c>
      <c r="AK145" s="33">
        <v>5000.0</v>
      </c>
    </row>
    <row r="146">
      <c r="A146" s="33">
        <v>76132.0</v>
      </c>
      <c r="B146" s="33">
        <v>0.0</v>
      </c>
      <c r="C146" s="33">
        <v>0.0</v>
      </c>
      <c r="D146" s="33">
        <v>0.0</v>
      </c>
      <c r="E146" s="33">
        <v>0.0</v>
      </c>
      <c r="F146" s="33">
        <v>0.0</v>
      </c>
      <c r="G146" s="33">
        <v>0.0</v>
      </c>
      <c r="H146" s="33">
        <v>0.0</v>
      </c>
      <c r="I146" s="33">
        <v>0.0</v>
      </c>
      <c r="J146" s="33">
        <v>0.0</v>
      </c>
      <c r="K146" s="33">
        <v>0.0</v>
      </c>
      <c r="L146" s="33">
        <v>0.0</v>
      </c>
      <c r="M146" s="33">
        <v>0.0</v>
      </c>
      <c r="N146" s="33">
        <v>0.0</v>
      </c>
      <c r="O146" s="33">
        <v>0.0</v>
      </c>
      <c r="P146" s="33">
        <v>0.0</v>
      </c>
      <c r="Q146" s="33">
        <v>0.0</v>
      </c>
      <c r="R146" s="33">
        <v>0.0</v>
      </c>
      <c r="S146" s="33">
        <v>0.0</v>
      </c>
      <c r="T146" s="33">
        <v>20.0</v>
      </c>
      <c r="U146" s="33">
        <v>0.0</v>
      </c>
      <c r="V146" s="33">
        <v>0.0</v>
      </c>
      <c r="W146" s="33">
        <v>0.0</v>
      </c>
      <c r="X146" s="33">
        <v>0.0</v>
      </c>
      <c r="Y146" s="33">
        <v>0.0</v>
      </c>
      <c r="Z146" s="33">
        <v>0.0</v>
      </c>
      <c r="AA146" s="33">
        <v>0.0</v>
      </c>
      <c r="AB146" s="33">
        <v>0.0</v>
      </c>
      <c r="AC146" s="33">
        <v>0.0</v>
      </c>
      <c r="AD146" s="33">
        <v>0.0</v>
      </c>
      <c r="AE146" s="33">
        <v>0.0</v>
      </c>
      <c r="AF146" s="33">
        <v>0.0</v>
      </c>
      <c r="AG146" s="33">
        <v>0.0</v>
      </c>
      <c r="AH146" s="33">
        <v>0.0</v>
      </c>
      <c r="AI146" s="33">
        <v>0.0</v>
      </c>
      <c r="AJ146" s="33">
        <v>0.0</v>
      </c>
      <c r="AK146" s="33">
        <v>0.0</v>
      </c>
    </row>
    <row r="147">
      <c r="A147" s="33">
        <v>75287.0</v>
      </c>
      <c r="B147" s="33">
        <v>0.0</v>
      </c>
      <c r="C147" s="33">
        <v>0.0</v>
      </c>
      <c r="D147" s="33">
        <v>100.0</v>
      </c>
      <c r="E147" s="33">
        <v>0.0</v>
      </c>
      <c r="F147" s="33">
        <v>0.0</v>
      </c>
      <c r="G147" s="33">
        <v>0.0</v>
      </c>
      <c r="H147" s="33">
        <v>0.0</v>
      </c>
      <c r="I147" s="33">
        <v>0.0</v>
      </c>
      <c r="J147" s="33">
        <v>0.0</v>
      </c>
      <c r="K147" s="33">
        <v>0.0</v>
      </c>
      <c r="L147" s="33">
        <v>0.0</v>
      </c>
      <c r="M147" s="33">
        <v>0.0</v>
      </c>
      <c r="N147" s="33">
        <v>0.0</v>
      </c>
      <c r="O147" s="33">
        <v>0.0</v>
      </c>
      <c r="P147" s="33">
        <v>0.0</v>
      </c>
      <c r="Q147" s="33">
        <v>1560.0</v>
      </c>
      <c r="R147" s="33">
        <v>25.0</v>
      </c>
      <c r="S147" s="33">
        <v>0.0</v>
      </c>
      <c r="T147" s="33">
        <v>0.0</v>
      </c>
      <c r="U147" s="33">
        <v>0.0</v>
      </c>
      <c r="V147" s="33">
        <v>0.0</v>
      </c>
      <c r="W147" s="33">
        <v>1000.0</v>
      </c>
      <c r="X147" s="33">
        <v>0.0</v>
      </c>
      <c r="Y147" s="33">
        <v>0.0</v>
      </c>
      <c r="Z147" s="33">
        <v>675.0</v>
      </c>
      <c r="AA147" s="33">
        <v>0.0</v>
      </c>
      <c r="AB147" s="33">
        <v>0.0</v>
      </c>
      <c r="AC147" s="33">
        <v>0.0</v>
      </c>
      <c r="AD147" s="33">
        <v>0.0</v>
      </c>
      <c r="AE147" s="33">
        <v>0.0</v>
      </c>
      <c r="AF147" s="33">
        <v>0.0</v>
      </c>
      <c r="AG147" s="33">
        <v>0.0</v>
      </c>
      <c r="AH147" s="33">
        <v>0.0</v>
      </c>
      <c r="AI147" s="33">
        <v>0.0</v>
      </c>
      <c r="AJ147" s="33">
        <v>0.0</v>
      </c>
      <c r="AK147" s="33">
        <v>0.0</v>
      </c>
    </row>
    <row r="148">
      <c r="A148" s="33">
        <v>78704.0</v>
      </c>
      <c r="B148" s="33">
        <v>0.0</v>
      </c>
      <c r="C148" s="33">
        <v>0.0</v>
      </c>
      <c r="D148" s="33">
        <v>0.0</v>
      </c>
      <c r="E148" s="33">
        <v>0.0</v>
      </c>
      <c r="F148" s="33">
        <v>0.0</v>
      </c>
      <c r="G148" s="33">
        <v>0.0</v>
      </c>
      <c r="H148" s="33">
        <v>0.0</v>
      </c>
      <c r="I148" s="33">
        <v>0.0</v>
      </c>
      <c r="J148" s="33">
        <v>0.0</v>
      </c>
      <c r="K148" s="33">
        <v>0.0</v>
      </c>
      <c r="L148" s="33">
        <v>0.0</v>
      </c>
      <c r="M148" s="33">
        <v>0.0</v>
      </c>
      <c r="N148" s="33">
        <v>0.0</v>
      </c>
      <c r="O148" s="33">
        <v>0.0</v>
      </c>
      <c r="P148" s="33">
        <v>0.0</v>
      </c>
      <c r="Q148" s="33">
        <v>180.0</v>
      </c>
      <c r="R148" s="33">
        <v>0.0</v>
      </c>
      <c r="S148" s="33">
        <v>0.0</v>
      </c>
      <c r="T148" s="33">
        <v>0.0</v>
      </c>
      <c r="U148" s="33">
        <v>0.0</v>
      </c>
      <c r="V148" s="33">
        <v>0.0</v>
      </c>
      <c r="W148" s="33">
        <v>0.0</v>
      </c>
      <c r="X148" s="33">
        <v>0.0</v>
      </c>
      <c r="Y148" s="33">
        <v>0.0</v>
      </c>
      <c r="Z148" s="33">
        <v>3000.0</v>
      </c>
      <c r="AA148" s="33">
        <v>0.0</v>
      </c>
      <c r="AB148" s="33">
        <v>0.0</v>
      </c>
      <c r="AC148" s="33">
        <v>0.0</v>
      </c>
      <c r="AD148" s="33">
        <v>0.0</v>
      </c>
      <c r="AE148" s="33">
        <v>0.0</v>
      </c>
      <c r="AF148" s="33">
        <v>0.0</v>
      </c>
      <c r="AG148" s="33">
        <v>0.0</v>
      </c>
      <c r="AH148" s="33">
        <v>0.0</v>
      </c>
      <c r="AI148" s="33">
        <v>0.0</v>
      </c>
      <c r="AJ148" s="33">
        <v>0.0</v>
      </c>
      <c r="AK148" s="33">
        <v>0.0</v>
      </c>
    </row>
    <row r="149">
      <c r="A149" s="33">
        <v>75380.0</v>
      </c>
      <c r="B149" s="33">
        <v>0.0</v>
      </c>
      <c r="C149" s="33">
        <v>0.0</v>
      </c>
      <c r="D149" s="33">
        <v>0.0</v>
      </c>
      <c r="E149" s="33">
        <v>0.0</v>
      </c>
      <c r="F149" s="33">
        <v>0.0</v>
      </c>
      <c r="G149" s="33">
        <v>0.0</v>
      </c>
      <c r="H149" s="33">
        <v>0.0</v>
      </c>
      <c r="I149" s="33">
        <v>0.0</v>
      </c>
      <c r="J149" s="33">
        <v>0.0</v>
      </c>
      <c r="K149" s="33">
        <v>0.0</v>
      </c>
      <c r="L149" s="33">
        <v>0.0</v>
      </c>
      <c r="M149" s="33">
        <v>0.0</v>
      </c>
      <c r="N149" s="33">
        <v>0.0</v>
      </c>
      <c r="O149" s="33">
        <v>0.0</v>
      </c>
      <c r="P149" s="33">
        <v>0.0</v>
      </c>
      <c r="Q149" s="33">
        <v>1000.0</v>
      </c>
      <c r="R149" s="33">
        <v>0.0</v>
      </c>
      <c r="S149" s="33">
        <v>0.0</v>
      </c>
      <c r="T149" s="33">
        <v>0.0</v>
      </c>
      <c r="U149" s="33">
        <v>0.0</v>
      </c>
      <c r="V149" s="33">
        <v>0.0</v>
      </c>
      <c r="W149" s="33">
        <v>0.0</v>
      </c>
      <c r="X149" s="33">
        <v>0.0</v>
      </c>
      <c r="Y149" s="33">
        <v>0.0</v>
      </c>
      <c r="Z149" s="33">
        <v>10000.0</v>
      </c>
      <c r="AA149" s="33">
        <v>0.0</v>
      </c>
      <c r="AB149" s="33">
        <v>0.0</v>
      </c>
      <c r="AC149" s="33">
        <v>0.0</v>
      </c>
      <c r="AD149" s="33">
        <v>0.0</v>
      </c>
      <c r="AE149" s="33">
        <v>0.0</v>
      </c>
      <c r="AF149" s="33">
        <v>0.0</v>
      </c>
      <c r="AG149" s="33">
        <v>0.0</v>
      </c>
      <c r="AH149" s="33">
        <v>0.0</v>
      </c>
      <c r="AI149" s="33">
        <v>0.0</v>
      </c>
      <c r="AJ149" s="33">
        <v>0.0</v>
      </c>
      <c r="AK149" s="33">
        <v>0.0</v>
      </c>
    </row>
    <row r="150">
      <c r="A150" s="33">
        <v>75367.0</v>
      </c>
      <c r="B150" s="33">
        <v>0.0</v>
      </c>
      <c r="C150" s="33">
        <v>0.0</v>
      </c>
      <c r="D150" s="33">
        <v>0.0</v>
      </c>
      <c r="E150" s="33">
        <v>0.0</v>
      </c>
      <c r="F150" s="33">
        <v>0.0</v>
      </c>
      <c r="G150" s="33">
        <v>0.0</v>
      </c>
      <c r="H150" s="33">
        <v>0.0</v>
      </c>
      <c r="I150" s="33">
        <v>0.0</v>
      </c>
      <c r="J150" s="33">
        <v>0.0</v>
      </c>
      <c r="K150" s="33">
        <v>0.0</v>
      </c>
      <c r="L150" s="33">
        <v>0.0</v>
      </c>
      <c r="M150" s="33">
        <v>0.0</v>
      </c>
      <c r="N150" s="33">
        <v>0.0</v>
      </c>
      <c r="O150" s="33">
        <v>0.0</v>
      </c>
      <c r="P150" s="33">
        <v>0.0</v>
      </c>
      <c r="Q150" s="33">
        <v>400.0</v>
      </c>
      <c r="R150" s="33">
        <v>0.0</v>
      </c>
      <c r="S150" s="33">
        <v>0.0</v>
      </c>
      <c r="T150" s="33">
        <v>0.0</v>
      </c>
      <c r="U150" s="33">
        <v>0.0</v>
      </c>
      <c r="V150" s="33">
        <v>0.0</v>
      </c>
      <c r="W150" s="33">
        <v>2000.0</v>
      </c>
      <c r="X150" s="33">
        <v>0.0</v>
      </c>
      <c r="Y150" s="33">
        <v>0.0</v>
      </c>
      <c r="Z150" s="33">
        <v>0.0</v>
      </c>
      <c r="AA150" s="33">
        <v>0.0</v>
      </c>
      <c r="AB150" s="33">
        <v>0.0</v>
      </c>
      <c r="AC150" s="33">
        <v>0.0</v>
      </c>
      <c r="AD150" s="33">
        <v>0.0</v>
      </c>
      <c r="AE150" s="33">
        <v>0.0</v>
      </c>
      <c r="AF150" s="33">
        <v>0.0</v>
      </c>
      <c r="AG150" s="33">
        <v>0.0</v>
      </c>
      <c r="AH150" s="33">
        <v>0.0</v>
      </c>
      <c r="AI150" s="33">
        <v>0.0</v>
      </c>
      <c r="AJ150" s="33">
        <v>0.0</v>
      </c>
      <c r="AK150" s="33">
        <v>0.0</v>
      </c>
    </row>
    <row r="151">
      <c r="A151" s="33">
        <v>75039.0</v>
      </c>
      <c r="B151" s="33">
        <v>0.0</v>
      </c>
      <c r="C151" s="33">
        <v>0.0</v>
      </c>
      <c r="D151" s="33">
        <v>0.0</v>
      </c>
      <c r="E151" s="33">
        <v>0.0</v>
      </c>
      <c r="F151" s="33">
        <v>0.0</v>
      </c>
      <c r="G151" s="33">
        <v>0.0</v>
      </c>
      <c r="H151" s="33">
        <v>0.0</v>
      </c>
      <c r="I151" s="33">
        <v>0.0</v>
      </c>
      <c r="J151" s="33">
        <v>0.0</v>
      </c>
      <c r="K151" s="33">
        <v>0.0</v>
      </c>
      <c r="L151" s="33">
        <v>0.0</v>
      </c>
      <c r="M151" s="33">
        <v>0.0</v>
      </c>
      <c r="N151" s="33">
        <v>0.0</v>
      </c>
      <c r="O151" s="33">
        <v>0.0</v>
      </c>
      <c r="P151" s="33">
        <v>500.0</v>
      </c>
      <c r="Q151" s="33">
        <v>500.0</v>
      </c>
      <c r="R151" s="33">
        <v>0.0</v>
      </c>
      <c r="S151" s="33">
        <v>0.0</v>
      </c>
      <c r="T151" s="33">
        <v>0.0</v>
      </c>
      <c r="U151" s="33">
        <v>0.0</v>
      </c>
      <c r="V151" s="33">
        <v>0.0</v>
      </c>
      <c r="W151" s="33">
        <v>50.0</v>
      </c>
      <c r="X151" s="33">
        <v>0.0</v>
      </c>
      <c r="Y151" s="33">
        <v>0.0</v>
      </c>
      <c r="Z151" s="33">
        <v>300.0</v>
      </c>
      <c r="AA151" s="33">
        <v>0.0</v>
      </c>
      <c r="AB151" s="33">
        <v>0.0</v>
      </c>
      <c r="AC151" s="33">
        <v>0.0</v>
      </c>
      <c r="AD151" s="33">
        <v>2000.0</v>
      </c>
      <c r="AE151" s="33">
        <v>0.0</v>
      </c>
      <c r="AF151" s="33">
        <v>0.0</v>
      </c>
      <c r="AG151" s="33">
        <v>0.0</v>
      </c>
      <c r="AH151" s="33">
        <v>0.0</v>
      </c>
      <c r="AI151" s="33">
        <v>0.0</v>
      </c>
      <c r="AJ151" s="33">
        <v>0.0</v>
      </c>
      <c r="AK151" s="33">
        <v>0.0</v>
      </c>
    </row>
    <row r="152">
      <c r="A152" s="33">
        <v>75006.0</v>
      </c>
      <c r="B152" s="33">
        <v>0.0</v>
      </c>
      <c r="C152" s="33">
        <v>0.0</v>
      </c>
      <c r="D152" s="33">
        <v>0.0</v>
      </c>
      <c r="E152" s="33">
        <v>0.0</v>
      </c>
      <c r="F152" s="33">
        <v>0.0</v>
      </c>
      <c r="G152" s="33">
        <v>0.0</v>
      </c>
      <c r="H152" s="33">
        <v>0.0</v>
      </c>
      <c r="I152" s="33">
        <v>0.0</v>
      </c>
      <c r="J152" s="33">
        <v>0.0</v>
      </c>
      <c r="K152" s="33">
        <v>0.0</v>
      </c>
      <c r="L152" s="33">
        <v>0.0</v>
      </c>
      <c r="M152" s="33">
        <v>0.0</v>
      </c>
      <c r="N152" s="33">
        <v>0.0</v>
      </c>
      <c r="O152" s="33">
        <v>0.0</v>
      </c>
      <c r="P152" s="33">
        <v>500.0</v>
      </c>
      <c r="Q152" s="33">
        <v>0.0</v>
      </c>
      <c r="R152" s="33">
        <v>0.0</v>
      </c>
      <c r="S152" s="33">
        <v>0.0</v>
      </c>
      <c r="T152" s="33">
        <v>0.0</v>
      </c>
      <c r="U152" s="33">
        <v>0.0</v>
      </c>
      <c r="V152" s="33">
        <v>0.0</v>
      </c>
      <c r="W152" s="33">
        <v>0.0</v>
      </c>
      <c r="X152" s="33">
        <v>0.0</v>
      </c>
      <c r="Y152" s="33">
        <v>0.0</v>
      </c>
      <c r="Z152" s="33">
        <v>250.0</v>
      </c>
      <c r="AA152" s="33">
        <v>0.0</v>
      </c>
      <c r="AB152" s="33">
        <v>0.0</v>
      </c>
      <c r="AC152" s="33">
        <v>0.0</v>
      </c>
      <c r="AD152" s="33">
        <v>0.0</v>
      </c>
      <c r="AE152" s="33">
        <v>0.0</v>
      </c>
      <c r="AF152" s="33">
        <v>0.0</v>
      </c>
      <c r="AG152" s="33">
        <v>0.0</v>
      </c>
      <c r="AH152" s="33">
        <v>25.0</v>
      </c>
      <c r="AI152" s="33">
        <v>0.0</v>
      </c>
      <c r="AJ152" s="33">
        <v>0.0</v>
      </c>
      <c r="AK152" s="33">
        <v>0.0</v>
      </c>
    </row>
    <row r="153">
      <c r="A153" s="33">
        <v>75034.0</v>
      </c>
      <c r="B153" s="33">
        <v>0.0</v>
      </c>
      <c r="C153" s="33">
        <v>0.0</v>
      </c>
      <c r="D153" s="33">
        <v>0.0</v>
      </c>
      <c r="E153" s="33">
        <v>0.0</v>
      </c>
      <c r="F153" s="33">
        <v>0.0</v>
      </c>
      <c r="G153" s="33">
        <v>0.0</v>
      </c>
      <c r="H153" s="33">
        <v>0.0</v>
      </c>
      <c r="I153" s="33">
        <v>0.0</v>
      </c>
      <c r="J153" s="33">
        <v>0.0</v>
      </c>
      <c r="K153" s="33">
        <v>0.0</v>
      </c>
      <c r="L153" s="33">
        <v>0.0</v>
      </c>
      <c r="M153" s="33">
        <v>0.0</v>
      </c>
      <c r="N153" s="33">
        <v>0.0</v>
      </c>
      <c r="O153" s="33">
        <v>0.0</v>
      </c>
      <c r="P153" s="33">
        <v>1000.0</v>
      </c>
      <c r="Q153" s="33">
        <v>0.0</v>
      </c>
      <c r="R153" s="33">
        <v>0.0</v>
      </c>
      <c r="S153" s="33">
        <v>0.0</v>
      </c>
      <c r="T153" s="33">
        <v>0.0</v>
      </c>
      <c r="U153" s="33">
        <v>0.0</v>
      </c>
      <c r="V153" s="33">
        <v>0.0</v>
      </c>
      <c r="W153" s="33">
        <v>1000.0</v>
      </c>
      <c r="X153" s="33">
        <v>0.0</v>
      </c>
      <c r="Y153" s="33">
        <v>2000.0</v>
      </c>
      <c r="Z153" s="33">
        <v>2500.0</v>
      </c>
      <c r="AA153" s="33">
        <v>0.0</v>
      </c>
      <c r="AB153" s="33">
        <v>500.0</v>
      </c>
      <c r="AC153" s="33">
        <v>0.0</v>
      </c>
      <c r="AD153" s="33">
        <v>0.0</v>
      </c>
      <c r="AE153" s="33">
        <v>0.0</v>
      </c>
      <c r="AF153" s="33">
        <v>0.0</v>
      </c>
      <c r="AG153" s="33">
        <v>0.0</v>
      </c>
      <c r="AH153" s="33">
        <v>0.0</v>
      </c>
      <c r="AI153" s="33">
        <v>0.0</v>
      </c>
      <c r="AJ153" s="33">
        <v>0.0</v>
      </c>
      <c r="AK153" s="33">
        <v>0.0</v>
      </c>
    </row>
    <row r="154">
      <c r="A154" s="33">
        <v>75080.0</v>
      </c>
      <c r="B154" s="33">
        <v>0.0</v>
      </c>
      <c r="C154" s="33">
        <v>0.0</v>
      </c>
      <c r="D154" s="33">
        <v>0.0</v>
      </c>
      <c r="E154" s="33">
        <v>0.0</v>
      </c>
      <c r="F154" s="33">
        <v>0.0</v>
      </c>
      <c r="G154" s="33">
        <v>0.0</v>
      </c>
      <c r="H154" s="33">
        <v>0.0</v>
      </c>
      <c r="I154" s="33">
        <v>0.0</v>
      </c>
      <c r="J154" s="33">
        <v>0.0</v>
      </c>
      <c r="K154" s="33">
        <v>0.0</v>
      </c>
      <c r="L154" s="33">
        <v>0.0</v>
      </c>
      <c r="M154" s="33">
        <v>0.0</v>
      </c>
      <c r="N154" s="33">
        <v>0.0</v>
      </c>
      <c r="O154" s="33">
        <v>0.0</v>
      </c>
      <c r="P154" s="33">
        <v>1000.0</v>
      </c>
      <c r="Q154" s="33">
        <v>200.0</v>
      </c>
      <c r="R154" s="33">
        <v>0.0</v>
      </c>
      <c r="S154" s="33">
        <v>0.0</v>
      </c>
      <c r="T154" s="33">
        <v>0.0</v>
      </c>
      <c r="U154" s="33">
        <v>0.0</v>
      </c>
      <c r="V154" s="33">
        <v>0.0</v>
      </c>
      <c r="W154" s="33">
        <v>0.0</v>
      </c>
      <c r="X154" s="33">
        <v>0.0</v>
      </c>
      <c r="Y154" s="33">
        <v>100.0</v>
      </c>
      <c r="Z154" s="33">
        <v>0.0</v>
      </c>
      <c r="AA154" s="33">
        <v>0.0</v>
      </c>
      <c r="AB154" s="33">
        <v>400.0</v>
      </c>
      <c r="AC154" s="33">
        <v>0.0</v>
      </c>
      <c r="AD154" s="33">
        <v>0.0</v>
      </c>
      <c r="AE154" s="33">
        <v>0.0</v>
      </c>
      <c r="AF154" s="33">
        <v>0.0</v>
      </c>
      <c r="AG154" s="33">
        <v>0.0</v>
      </c>
      <c r="AH154" s="33">
        <v>0.0</v>
      </c>
      <c r="AI154" s="33">
        <v>0.0</v>
      </c>
      <c r="AJ154" s="33">
        <v>0.0</v>
      </c>
      <c r="AK154" s="33">
        <v>0.0</v>
      </c>
    </row>
    <row r="155">
      <c r="A155" s="33">
        <v>75234.0</v>
      </c>
      <c r="B155" s="33">
        <v>25.0</v>
      </c>
      <c r="C155" s="33">
        <v>0.0</v>
      </c>
      <c r="D155" s="33">
        <v>0.0</v>
      </c>
      <c r="E155" s="33">
        <v>0.0</v>
      </c>
      <c r="F155" s="33">
        <v>0.0</v>
      </c>
      <c r="G155" s="33">
        <v>0.0</v>
      </c>
      <c r="H155" s="33">
        <v>0.0</v>
      </c>
      <c r="I155" s="33">
        <v>0.0</v>
      </c>
      <c r="J155" s="33">
        <v>0.0</v>
      </c>
      <c r="K155" s="33">
        <v>0.0</v>
      </c>
      <c r="L155" s="33">
        <v>0.0</v>
      </c>
      <c r="M155" s="33">
        <v>0.0</v>
      </c>
      <c r="N155" s="33">
        <v>0.0</v>
      </c>
      <c r="O155" s="33">
        <v>0.0</v>
      </c>
      <c r="P155" s="33">
        <v>0.0</v>
      </c>
      <c r="Q155" s="33">
        <v>0.0</v>
      </c>
      <c r="R155" s="33">
        <v>0.0</v>
      </c>
      <c r="S155" s="33">
        <v>0.0</v>
      </c>
      <c r="T155" s="33">
        <v>1949.7</v>
      </c>
      <c r="U155" s="33">
        <v>710.0</v>
      </c>
      <c r="V155" s="33">
        <v>0.0</v>
      </c>
      <c r="W155" s="33">
        <v>50.0</v>
      </c>
      <c r="X155" s="33">
        <v>0.0</v>
      </c>
      <c r="Y155" s="33">
        <v>0.0</v>
      </c>
      <c r="Z155" s="33">
        <v>1100.0</v>
      </c>
      <c r="AA155" s="33">
        <v>0.0</v>
      </c>
      <c r="AB155" s="33">
        <v>0.0</v>
      </c>
      <c r="AC155" s="33">
        <v>0.0</v>
      </c>
      <c r="AD155" s="33">
        <v>0.0</v>
      </c>
      <c r="AE155" s="33">
        <v>0.0</v>
      </c>
      <c r="AF155" s="33">
        <v>0.0</v>
      </c>
      <c r="AG155" s="33">
        <v>0.0</v>
      </c>
      <c r="AH155" s="33">
        <v>0.0</v>
      </c>
      <c r="AI155" s="33">
        <v>0.0</v>
      </c>
      <c r="AJ155" s="33">
        <v>0.0</v>
      </c>
      <c r="AK155" s="33">
        <v>0.0</v>
      </c>
    </row>
    <row r="156">
      <c r="A156" s="33">
        <v>75075.0</v>
      </c>
      <c r="B156" s="33">
        <v>0.0</v>
      </c>
      <c r="C156" s="33">
        <v>0.0</v>
      </c>
      <c r="D156" s="33">
        <v>0.0</v>
      </c>
      <c r="E156" s="33">
        <v>0.0</v>
      </c>
      <c r="F156" s="33">
        <v>0.0</v>
      </c>
      <c r="G156" s="33">
        <v>0.0</v>
      </c>
      <c r="H156" s="33">
        <v>0.0</v>
      </c>
      <c r="I156" s="33">
        <v>0.0</v>
      </c>
      <c r="J156" s="33">
        <v>0.0</v>
      </c>
      <c r="K156" s="33">
        <v>0.0</v>
      </c>
      <c r="L156" s="33">
        <v>0.0</v>
      </c>
      <c r="M156" s="33">
        <v>0.0</v>
      </c>
      <c r="N156" s="33">
        <v>0.0</v>
      </c>
      <c r="O156" s="33">
        <v>0.0</v>
      </c>
      <c r="P156" s="33">
        <v>0.0</v>
      </c>
      <c r="Q156" s="33">
        <v>100.0</v>
      </c>
      <c r="R156" s="33">
        <v>0.0</v>
      </c>
      <c r="S156" s="33">
        <v>0.0</v>
      </c>
      <c r="T156" s="33">
        <v>0.0</v>
      </c>
      <c r="U156" s="33">
        <v>1000.0</v>
      </c>
      <c r="V156" s="33">
        <v>0.0</v>
      </c>
      <c r="W156" s="33">
        <v>0.0</v>
      </c>
      <c r="X156" s="33">
        <v>0.0</v>
      </c>
      <c r="Y156" s="33">
        <v>0.0</v>
      </c>
      <c r="Z156" s="33">
        <v>0.0</v>
      </c>
      <c r="AA156" s="33">
        <v>0.0</v>
      </c>
      <c r="AB156" s="33">
        <v>0.0</v>
      </c>
      <c r="AC156" s="33">
        <v>0.0</v>
      </c>
      <c r="AD156" s="33">
        <v>0.0</v>
      </c>
      <c r="AE156" s="33">
        <v>0.0</v>
      </c>
      <c r="AF156" s="33">
        <v>0.0</v>
      </c>
      <c r="AG156" s="33">
        <v>0.0</v>
      </c>
      <c r="AH156" s="33">
        <v>0.0</v>
      </c>
      <c r="AI156" s="33">
        <v>0.0</v>
      </c>
      <c r="AJ156" s="33">
        <v>0.0</v>
      </c>
      <c r="AK156" s="33">
        <v>0.0</v>
      </c>
    </row>
    <row r="157">
      <c r="A157" s="33">
        <v>78232.0</v>
      </c>
      <c r="B157" s="33">
        <v>0.0</v>
      </c>
      <c r="C157" s="33">
        <v>0.0</v>
      </c>
      <c r="D157" s="33">
        <v>0.0</v>
      </c>
      <c r="E157" s="33">
        <v>0.0</v>
      </c>
      <c r="F157" s="33">
        <v>0.0</v>
      </c>
      <c r="G157" s="33">
        <v>0.0</v>
      </c>
      <c r="H157" s="33">
        <v>0.0</v>
      </c>
      <c r="I157" s="33">
        <v>0.0</v>
      </c>
      <c r="J157" s="33">
        <v>0.0</v>
      </c>
      <c r="K157" s="33">
        <v>0.0</v>
      </c>
      <c r="L157" s="33">
        <v>0.0</v>
      </c>
      <c r="M157" s="33">
        <v>0.0</v>
      </c>
      <c r="N157" s="33">
        <v>0.0</v>
      </c>
      <c r="O157" s="33">
        <v>0.0</v>
      </c>
      <c r="P157" s="33">
        <v>500.0</v>
      </c>
      <c r="Q157" s="33">
        <v>0.0</v>
      </c>
      <c r="R157" s="33">
        <v>0.0</v>
      </c>
      <c r="S157" s="33">
        <v>0.0</v>
      </c>
      <c r="T157" s="33">
        <v>0.0</v>
      </c>
      <c r="U157" s="33">
        <v>0.0</v>
      </c>
      <c r="V157" s="33">
        <v>0.0</v>
      </c>
      <c r="W157" s="33">
        <v>0.0</v>
      </c>
      <c r="X157" s="33">
        <v>0.0</v>
      </c>
      <c r="Y157" s="33">
        <v>0.0</v>
      </c>
      <c r="Z157" s="33">
        <v>0.0</v>
      </c>
      <c r="AA157" s="33">
        <v>0.0</v>
      </c>
      <c r="AB157" s="33">
        <v>0.0</v>
      </c>
      <c r="AC157" s="33">
        <v>0.0</v>
      </c>
      <c r="AD157" s="33">
        <v>0.0</v>
      </c>
      <c r="AE157" s="33">
        <v>0.0</v>
      </c>
      <c r="AF157" s="33">
        <v>0.0</v>
      </c>
      <c r="AG157" s="33">
        <v>0.0</v>
      </c>
      <c r="AH157" s="33">
        <v>0.0</v>
      </c>
      <c r="AI157" s="33">
        <v>0.0</v>
      </c>
      <c r="AJ157" s="33">
        <v>0.0</v>
      </c>
      <c r="AK157" s="33">
        <v>0.0</v>
      </c>
    </row>
    <row r="158">
      <c r="A158" s="33">
        <v>75152.0</v>
      </c>
      <c r="B158" s="33">
        <v>0.0</v>
      </c>
      <c r="C158" s="33">
        <v>0.0</v>
      </c>
      <c r="D158" s="33">
        <v>0.0</v>
      </c>
      <c r="E158" s="33">
        <v>0.0</v>
      </c>
      <c r="F158" s="33">
        <v>0.0</v>
      </c>
      <c r="G158" s="33">
        <v>0.0</v>
      </c>
      <c r="H158" s="33">
        <v>0.0</v>
      </c>
      <c r="I158" s="33">
        <v>0.0</v>
      </c>
      <c r="J158" s="33">
        <v>0.0</v>
      </c>
      <c r="K158" s="33">
        <v>0.0</v>
      </c>
      <c r="L158" s="33">
        <v>0.0</v>
      </c>
      <c r="M158" s="33">
        <v>0.0</v>
      </c>
      <c r="N158" s="33">
        <v>0.0</v>
      </c>
      <c r="O158" s="33">
        <v>0.0</v>
      </c>
      <c r="P158" s="33">
        <v>0.0</v>
      </c>
      <c r="Q158" s="33">
        <v>0.0</v>
      </c>
      <c r="R158" s="33">
        <v>0.0</v>
      </c>
      <c r="S158" s="33">
        <v>0.0</v>
      </c>
      <c r="T158" s="33">
        <v>0.0</v>
      </c>
      <c r="U158" s="33">
        <v>2000.0</v>
      </c>
      <c r="V158" s="33">
        <v>0.0</v>
      </c>
      <c r="W158" s="33">
        <v>0.0</v>
      </c>
      <c r="X158" s="33">
        <v>0.0</v>
      </c>
      <c r="Y158" s="33">
        <v>0.0</v>
      </c>
      <c r="Z158" s="33">
        <v>0.0</v>
      </c>
      <c r="AA158" s="33">
        <v>0.0</v>
      </c>
      <c r="AB158" s="33">
        <v>0.0</v>
      </c>
      <c r="AC158" s="33">
        <v>0.0</v>
      </c>
      <c r="AD158" s="33">
        <v>0.0</v>
      </c>
      <c r="AE158" s="33">
        <v>0.0</v>
      </c>
      <c r="AF158" s="33">
        <v>0.0</v>
      </c>
      <c r="AG158" s="33">
        <v>0.0</v>
      </c>
      <c r="AH158" s="33">
        <v>0.0</v>
      </c>
      <c r="AI158" s="33">
        <v>0.0</v>
      </c>
      <c r="AJ158" s="33">
        <v>0.0</v>
      </c>
      <c r="AK158" s="33">
        <v>0.0</v>
      </c>
    </row>
    <row r="159">
      <c r="A159" s="33">
        <v>78504.0</v>
      </c>
      <c r="B159" s="33">
        <v>0.0</v>
      </c>
      <c r="C159" s="33">
        <v>0.0</v>
      </c>
      <c r="D159" s="33">
        <v>0.0</v>
      </c>
      <c r="E159" s="33">
        <v>0.0</v>
      </c>
      <c r="F159" s="33">
        <v>0.0</v>
      </c>
      <c r="G159" s="33">
        <v>0.0</v>
      </c>
      <c r="H159" s="33">
        <v>0.0</v>
      </c>
      <c r="I159" s="33">
        <v>0.0</v>
      </c>
      <c r="J159" s="33">
        <v>0.0</v>
      </c>
      <c r="K159" s="33">
        <v>0.0</v>
      </c>
      <c r="L159" s="33">
        <v>0.0</v>
      </c>
      <c r="M159" s="33">
        <v>0.0</v>
      </c>
      <c r="N159" s="33">
        <v>0.0</v>
      </c>
      <c r="O159" s="33">
        <v>0.0</v>
      </c>
      <c r="P159" s="33">
        <v>300.0</v>
      </c>
      <c r="Q159" s="33">
        <v>0.0</v>
      </c>
      <c r="R159" s="33">
        <v>0.0</v>
      </c>
      <c r="S159" s="33">
        <v>0.0</v>
      </c>
      <c r="T159" s="33">
        <v>0.0</v>
      </c>
      <c r="U159" s="33">
        <v>0.0</v>
      </c>
      <c r="V159" s="33">
        <v>0.0</v>
      </c>
      <c r="W159" s="33">
        <v>0.0</v>
      </c>
      <c r="X159" s="33">
        <v>0.0</v>
      </c>
      <c r="Y159" s="33">
        <v>0.0</v>
      </c>
      <c r="Z159" s="33">
        <v>0.0</v>
      </c>
      <c r="AA159" s="33">
        <v>0.0</v>
      </c>
      <c r="AB159" s="33">
        <v>0.0</v>
      </c>
      <c r="AC159" s="33">
        <v>0.0</v>
      </c>
      <c r="AD159" s="33">
        <v>0.0</v>
      </c>
      <c r="AE159" s="33">
        <v>0.0</v>
      </c>
      <c r="AF159" s="33">
        <v>0.0</v>
      </c>
      <c r="AG159" s="33">
        <v>0.0</v>
      </c>
      <c r="AH159" s="33">
        <v>0.0</v>
      </c>
      <c r="AI159" s="33">
        <v>0.0</v>
      </c>
      <c r="AJ159" s="33">
        <v>0.0</v>
      </c>
      <c r="AK159" s="33">
        <v>0.0</v>
      </c>
    </row>
    <row r="160">
      <c r="A160" s="33">
        <v>76010.0</v>
      </c>
      <c r="B160" s="33">
        <v>0.0</v>
      </c>
      <c r="C160" s="33">
        <v>0.0</v>
      </c>
      <c r="D160" s="33">
        <v>0.0</v>
      </c>
      <c r="E160" s="33">
        <v>0.0</v>
      </c>
      <c r="F160" s="33">
        <v>0.0</v>
      </c>
      <c r="G160" s="33">
        <v>0.0</v>
      </c>
      <c r="H160" s="33">
        <v>0.0</v>
      </c>
      <c r="I160" s="33">
        <v>0.0</v>
      </c>
      <c r="J160" s="33">
        <v>0.0</v>
      </c>
      <c r="K160" s="33">
        <v>0.0</v>
      </c>
      <c r="L160" s="33">
        <v>0.0</v>
      </c>
      <c r="M160" s="33">
        <v>0.0</v>
      </c>
      <c r="N160" s="33">
        <v>0.0</v>
      </c>
      <c r="O160" s="33">
        <v>0.0</v>
      </c>
      <c r="P160" s="33">
        <v>0.0</v>
      </c>
      <c r="Q160" s="33">
        <v>0.0</v>
      </c>
      <c r="R160" s="33">
        <v>0.0</v>
      </c>
      <c r="S160" s="33">
        <v>0.0</v>
      </c>
      <c r="T160" s="33">
        <v>0.0</v>
      </c>
      <c r="U160" s="33">
        <v>0.0</v>
      </c>
      <c r="V160" s="33">
        <v>4000.0</v>
      </c>
      <c r="W160" s="33">
        <v>0.0</v>
      </c>
      <c r="X160" s="33">
        <v>0.0</v>
      </c>
      <c r="Y160" s="33">
        <v>0.0</v>
      </c>
      <c r="Z160" s="33">
        <v>0.0</v>
      </c>
      <c r="AA160" s="33">
        <v>0.0</v>
      </c>
      <c r="AB160" s="33">
        <v>0.0</v>
      </c>
      <c r="AC160" s="33">
        <v>0.0</v>
      </c>
      <c r="AD160" s="33">
        <v>0.0</v>
      </c>
      <c r="AE160" s="33">
        <v>0.0</v>
      </c>
      <c r="AF160" s="33">
        <v>0.0</v>
      </c>
      <c r="AG160" s="33">
        <v>0.0</v>
      </c>
      <c r="AH160" s="33">
        <v>0.0</v>
      </c>
      <c r="AI160" s="33">
        <v>0.0</v>
      </c>
      <c r="AJ160" s="33">
        <v>0.0</v>
      </c>
      <c r="AK160" s="33">
        <v>0.0</v>
      </c>
    </row>
    <row r="161">
      <c r="A161" s="33">
        <v>77024.0</v>
      </c>
      <c r="B161" s="33">
        <v>1000.0</v>
      </c>
      <c r="C161" s="33">
        <v>0.0</v>
      </c>
      <c r="D161" s="33">
        <v>0.0</v>
      </c>
      <c r="E161" s="33">
        <v>0.0</v>
      </c>
      <c r="F161" s="33">
        <v>0.0</v>
      </c>
      <c r="G161" s="33">
        <v>1000.0</v>
      </c>
      <c r="H161" s="33">
        <v>0.0</v>
      </c>
      <c r="I161" s="33">
        <v>0.0</v>
      </c>
      <c r="J161" s="33">
        <v>0.0</v>
      </c>
      <c r="K161" s="33">
        <v>0.0</v>
      </c>
      <c r="L161" s="33">
        <v>0.0</v>
      </c>
      <c r="M161" s="33">
        <v>0.0</v>
      </c>
      <c r="N161" s="33">
        <v>1000.0</v>
      </c>
      <c r="O161" s="33">
        <v>0.0</v>
      </c>
      <c r="P161" s="33">
        <v>0.0</v>
      </c>
      <c r="Q161" s="33">
        <v>0.0</v>
      </c>
      <c r="R161" s="33">
        <v>0.0</v>
      </c>
      <c r="S161" s="33">
        <v>0.0</v>
      </c>
      <c r="T161" s="33">
        <v>1000.0</v>
      </c>
      <c r="U161" s="33">
        <v>0.0</v>
      </c>
      <c r="V161" s="33">
        <v>800.0</v>
      </c>
      <c r="W161" s="33">
        <v>1000.0</v>
      </c>
      <c r="X161" s="33">
        <v>0.0</v>
      </c>
      <c r="Y161" s="33">
        <v>0.0</v>
      </c>
      <c r="Z161" s="33">
        <v>2250.0</v>
      </c>
      <c r="AA161" s="33">
        <v>0.0</v>
      </c>
      <c r="AB161" s="33">
        <v>1000.0</v>
      </c>
      <c r="AC161" s="33">
        <v>0.0</v>
      </c>
      <c r="AD161" s="33">
        <v>0.0</v>
      </c>
      <c r="AE161" s="33">
        <v>0.0</v>
      </c>
      <c r="AF161" s="33">
        <v>0.0</v>
      </c>
      <c r="AG161" s="33">
        <v>0.0</v>
      </c>
      <c r="AH161" s="33">
        <v>0.0</v>
      </c>
      <c r="AI161" s="33">
        <v>0.0</v>
      </c>
      <c r="AJ161" s="33">
        <v>0.0</v>
      </c>
      <c r="AK161" s="33">
        <v>0.0</v>
      </c>
    </row>
    <row r="162">
      <c r="A162" s="33">
        <v>75252.0</v>
      </c>
      <c r="B162" s="33">
        <v>0.0</v>
      </c>
      <c r="C162" s="33">
        <v>0.0</v>
      </c>
      <c r="D162" s="33">
        <v>0.0</v>
      </c>
      <c r="E162" s="33">
        <v>0.0</v>
      </c>
      <c r="F162" s="33">
        <v>0.0</v>
      </c>
      <c r="G162" s="33">
        <v>0.0</v>
      </c>
      <c r="H162" s="33">
        <v>0.0</v>
      </c>
      <c r="I162" s="33">
        <v>0.0</v>
      </c>
      <c r="J162" s="33">
        <v>0.0</v>
      </c>
      <c r="K162" s="33">
        <v>0.0</v>
      </c>
      <c r="L162" s="33">
        <v>0.0</v>
      </c>
      <c r="M162" s="33">
        <v>0.0</v>
      </c>
      <c r="N162" s="33">
        <v>500.0</v>
      </c>
      <c r="O162" s="33">
        <v>0.0</v>
      </c>
      <c r="P162" s="33">
        <v>0.0</v>
      </c>
      <c r="Q162" s="33">
        <v>850.0</v>
      </c>
      <c r="R162" s="33">
        <v>0.0</v>
      </c>
      <c r="S162" s="33">
        <v>0.0</v>
      </c>
      <c r="T162" s="33">
        <v>1000.0</v>
      </c>
      <c r="U162" s="33">
        <v>0.0</v>
      </c>
      <c r="V162" s="33">
        <v>2000.0</v>
      </c>
      <c r="W162" s="33">
        <v>0.0</v>
      </c>
      <c r="X162" s="33">
        <v>0.0</v>
      </c>
      <c r="Y162" s="33">
        <v>0.0</v>
      </c>
      <c r="Z162" s="33">
        <v>3135.0</v>
      </c>
      <c r="AA162" s="33">
        <v>0.0</v>
      </c>
      <c r="AB162" s="33">
        <v>800.0</v>
      </c>
      <c r="AC162" s="33">
        <v>0.0</v>
      </c>
      <c r="AD162" s="33">
        <v>0.0</v>
      </c>
      <c r="AE162" s="33">
        <v>0.0</v>
      </c>
      <c r="AF162" s="33">
        <v>0.0</v>
      </c>
      <c r="AG162" s="33">
        <v>0.0</v>
      </c>
      <c r="AH162" s="33">
        <v>0.0</v>
      </c>
      <c r="AI162" s="33">
        <v>0.0</v>
      </c>
      <c r="AJ162" s="33">
        <v>0.0</v>
      </c>
      <c r="AK162" s="33">
        <v>2000.0</v>
      </c>
    </row>
    <row r="163">
      <c r="A163" s="33">
        <v>76107.0</v>
      </c>
      <c r="B163" s="33">
        <v>0.0</v>
      </c>
      <c r="C163" s="33">
        <v>0.0</v>
      </c>
      <c r="D163" s="33">
        <v>0.0</v>
      </c>
      <c r="E163" s="33">
        <v>0.0</v>
      </c>
      <c r="F163" s="33">
        <v>0.0</v>
      </c>
      <c r="G163" s="33">
        <v>0.0</v>
      </c>
      <c r="H163" s="33">
        <v>0.0</v>
      </c>
      <c r="I163" s="33">
        <v>0.0</v>
      </c>
      <c r="J163" s="33">
        <v>0.0</v>
      </c>
      <c r="K163" s="33">
        <v>0.0</v>
      </c>
      <c r="L163" s="33">
        <v>0.0</v>
      </c>
      <c r="M163" s="33">
        <v>0.0</v>
      </c>
      <c r="N163" s="33">
        <v>0.0</v>
      </c>
      <c r="O163" s="33">
        <v>0.0</v>
      </c>
      <c r="P163" s="33">
        <v>0.0</v>
      </c>
      <c r="Q163" s="33">
        <v>0.0</v>
      </c>
      <c r="R163" s="33">
        <v>0.0</v>
      </c>
      <c r="S163" s="33">
        <v>0.0</v>
      </c>
      <c r="T163" s="33">
        <v>949.7</v>
      </c>
      <c r="U163" s="33">
        <v>0.0</v>
      </c>
      <c r="V163" s="33">
        <v>2000.0</v>
      </c>
      <c r="W163" s="33">
        <v>0.0</v>
      </c>
      <c r="X163" s="33">
        <v>0.0</v>
      </c>
      <c r="Y163" s="33">
        <v>0.0</v>
      </c>
      <c r="Z163" s="33">
        <v>0.0</v>
      </c>
      <c r="AA163" s="33">
        <v>0.0</v>
      </c>
      <c r="AB163" s="33">
        <v>250.0</v>
      </c>
      <c r="AC163" s="33">
        <v>0.0</v>
      </c>
      <c r="AD163" s="33">
        <v>0.0</v>
      </c>
      <c r="AE163" s="33">
        <v>0.0</v>
      </c>
      <c r="AF163" s="33">
        <v>0.0</v>
      </c>
      <c r="AG163" s="33">
        <v>0.0</v>
      </c>
      <c r="AH163" s="33">
        <v>0.0</v>
      </c>
      <c r="AI163" s="33">
        <v>0.0</v>
      </c>
      <c r="AJ163" s="33">
        <v>0.0</v>
      </c>
      <c r="AK163" s="33">
        <v>0.0</v>
      </c>
    </row>
    <row r="164">
      <c r="A164" s="33">
        <v>75149.0</v>
      </c>
      <c r="B164" s="33">
        <v>0.0</v>
      </c>
      <c r="C164" s="33">
        <v>0.0</v>
      </c>
      <c r="D164" s="33">
        <v>0.0</v>
      </c>
      <c r="E164" s="33">
        <v>0.0</v>
      </c>
      <c r="F164" s="33">
        <v>0.0</v>
      </c>
      <c r="G164" s="33">
        <v>0.0</v>
      </c>
      <c r="H164" s="33">
        <v>0.0</v>
      </c>
      <c r="I164" s="33">
        <v>0.0</v>
      </c>
      <c r="J164" s="33">
        <v>0.0</v>
      </c>
      <c r="K164" s="33">
        <v>0.0</v>
      </c>
      <c r="L164" s="33">
        <v>0.0</v>
      </c>
      <c r="M164" s="33">
        <v>0.0</v>
      </c>
      <c r="N164" s="33">
        <v>0.0</v>
      </c>
      <c r="O164" s="33">
        <v>0.0</v>
      </c>
      <c r="P164" s="33">
        <v>0.0</v>
      </c>
      <c r="Q164" s="33">
        <v>0.0</v>
      </c>
      <c r="R164" s="33">
        <v>50.0</v>
      </c>
      <c r="S164" s="33">
        <v>0.0</v>
      </c>
      <c r="T164" s="33">
        <v>0.0</v>
      </c>
      <c r="U164" s="33">
        <v>0.0</v>
      </c>
      <c r="V164" s="33">
        <v>0.0</v>
      </c>
      <c r="W164" s="33">
        <v>0.0</v>
      </c>
      <c r="X164" s="33">
        <v>0.0</v>
      </c>
      <c r="Y164" s="33">
        <v>0.0</v>
      </c>
      <c r="Z164" s="33">
        <v>0.0</v>
      </c>
      <c r="AA164" s="33">
        <v>0.0</v>
      </c>
      <c r="AB164" s="33">
        <v>0.0</v>
      </c>
      <c r="AC164" s="33">
        <v>0.0</v>
      </c>
      <c r="AD164" s="33">
        <v>0.0</v>
      </c>
      <c r="AE164" s="33">
        <v>0.0</v>
      </c>
      <c r="AF164" s="33">
        <v>0.0</v>
      </c>
      <c r="AG164" s="33">
        <v>0.0</v>
      </c>
      <c r="AH164" s="33">
        <v>0.0</v>
      </c>
      <c r="AI164" s="33">
        <v>0.0</v>
      </c>
      <c r="AJ164" s="33">
        <v>0.0</v>
      </c>
      <c r="AK164" s="33">
        <v>0.0</v>
      </c>
    </row>
    <row r="165">
      <c r="A165" s="33">
        <v>75236.0</v>
      </c>
      <c r="B165" s="33">
        <v>0.0</v>
      </c>
      <c r="C165" s="33">
        <v>0.0</v>
      </c>
      <c r="D165" s="33">
        <v>0.0</v>
      </c>
      <c r="E165" s="33">
        <v>0.0</v>
      </c>
      <c r="F165" s="33">
        <v>0.0</v>
      </c>
      <c r="G165" s="33">
        <v>0.0</v>
      </c>
      <c r="H165" s="33">
        <v>0.0</v>
      </c>
      <c r="I165" s="33">
        <v>0.0</v>
      </c>
      <c r="J165" s="33">
        <v>0.0</v>
      </c>
      <c r="K165" s="33">
        <v>0.0</v>
      </c>
      <c r="L165" s="33">
        <v>0.0</v>
      </c>
      <c r="M165" s="33">
        <v>0.0</v>
      </c>
      <c r="N165" s="33">
        <v>0.0</v>
      </c>
      <c r="O165" s="33">
        <v>0.0</v>
      </c>
      <c r="P165" s="33">
        <v>0.0</v>
      </c>
      <c r="Q165" s="33">
        <v>0.0</v>
      </c>
      <c r="R165" s="33">
        <v>0.0</v>
      </c>
      <c r="S165" s="33">
        <v>0.0</v>
      </c>
      <c r="T165" s="33">
        <v>0.0</v>
      </c>
      <c r="U165" s="33">
        <v>0.0</v>
      </c>
      <c r="V165" s="33">
        <v>0.0</v>
      </c>
      <c r="W165" s="33">
        <v>0.0</v>
      </c>
      <c r="X165" s="33">
        <v>0.0</v>
      </c>
      <c r="Y165" s="33">
        <v>0.0</v>
      </c>
      <c r="Z165" s="33">
        <v>5450.0</v>
      </c>
      <c r="AA165" s="33">
        <v>0.0</v>
      </c>
      <c r="AB165" s="33">
        <v>0.0</v>
      </c>
      <c r="AC165" s="33">
        <v>0.0</v>
      </c>
      <c r="AD165" s="33">
        <v>1000.0</v>
      </c>
      <c r="AE165" s="33">
        <v>0.0</v>
      </c>
      <c r="AF165" s="33">
        <v>0.0</v>
      </c>
      <c r="AG165" s="33">
        <v>0.0</v>
      </c>
      <c r="AH165" s="33">
        <v>0.0</v>
      </c>
      <c r="AI165" s="33">
        <v>0.0</v>
      </c>
      <c r="AJ165" s="33">
        <v>0.0</v>
      </c>
      <c r="AK165" s="33">
        <v>0.0</v>
      </c>
    </row>
    <row r="166">
      <c r="A166" s="33">
        <v>75372.0</v>
      </c>
      <c r="B166" s="33">
        <v>0.0</v>
      </c>
      <c r="C166" s="33">
        <v>0.0</v>
      </c>
      <c r="D166" s="33">
        <v>0.0</v>
      </c>
      <c r="E166" s="33">
        <v>0.0</v>
      </c>
      <c r="F166" s="33">
        <v>0.0</v>
      </c>
      <c r="G166" s="33">
        <v>0.0</v>
      </c>
      <c r="H166" s="33">
        <v>0.0</v>
      </c>
      <c r="I166" s="33">
        <v>0.0</v>
      </c>
      <c r="J166" s="33">
        <v>0.0</v>
      </c>
      <c r="K166" s="33">
        <v>0.0</v>
      </c>
      <c r="L166" s="33">
        <v>0.0</v>
      </c>
      <c r="M166" s="33">
        <v>0.0</v>
      </c>
      <c r="N166" s="33">
        <v>0.0</v>
      </c>
      <c r="O166" s="33">
        <v>0.0</v>
      </c>
      <c r="P166" s="33">
        <v>0.0</v>
      </c>
      <c r="Q166" s="33">
        <v>0.0</v>
      </c>
      <c r="R166" s="33">
        <v>0.0</v>
      </c>
      <c r="S166" s="33">
        <v>0.0</v>
      </c>
      <c r="T166" s="33">
        <v>0.0</v>
      </c>
      <c r="U166" s="33">
        <v>0.0</v>
      </c>
      <c r="V166" s="33">
        <v>0.0</v>
      </c>
      <c r="W166" s="33">
        <v>0.0</v>
      </c>
      <c r="X166" s="33">
        <v>0.0</v>
      </c>
      <c r="Y166" s="33">
        <v>0.0</v>
      </c>
      <c r="Z166" s="33">
        <v>400.0</v>
      </c>
      <c r="AA166" s="33">
        <v>0.0</v>
      </c>
      <c r="AB166" s="33">
        <v>0.0</v>
      </c>
      <c r="AC166" s="33">
        <v>0.0</v>
      </c>
      <c r="AD166" s="33">
        <v>0.0</v>
      </c>
      <c r="AE166" s="33">
        <v>0.0</v>
      </c>
      <c r="AF166" s="33">
        <v>0.0</v>
      </c>
      <c r="AG166" s="33">
        <v>0.0</v>
      </c>
      <c r="AH166" s="33">
        <v>0.0</v>
      </c>
      <c r="AI166" s="33">
        <v>0.0</v>
      </c>
      <c r="AJ166" s="33">
        <v>0.0</v>
      </c>
      <c r="AK166" s="33">
        <v>0.0</v>
      </c>
    </row>
    <row r="167">
      <c r="A167" s="33">
        <v>76244.0</v>
      </c>
      <c r="B167" s="33">
        <v>0.0</v>
      </c>
      <c r="C167" s="33">
        <v>0.0</v>
      </c>
      <c r="D167" s="33">
        <v>0.0</v>
      </c>
      <c r="E167" s="33">
        <v>0.0</v>
      </c>
      <c r="F167" s="33">
        <v>0.0</v>
      </c>
      <c r="G167" s="33">
        <v>0.0</v>
      </c>
      <c r="H167" s="33">
        <v>0.0</v>
      </c>
      <c r="I167" s="33">
        <v>0.0</v>
      </c>
      <c r="J167" s="33">
        <v>0.0</v>
      </c>
      <c r="K167" s="33">
        <v>0.0</v>
      </c>
      <c r="L167" s="33">
        <v>0.0</v>
      </c>
      <c r="M167" s="33">
        <v>0.0</v>
      </c>
      <c r="N167" s="33">
        <v>0.0</v>
      </c>
      <c r="O167" s="33">
        <v>0.0</v>
      </c>
      <c r="P167" s="33">
        <v>0.0</v>
      </c>
      <c r="Q167" s="33">
        <v>0.0</v>
      </c>
      <c r="R167" s="33">
        <v>0.0</v>
      </c>
      <c r="S167" s="33">
        <v>0.0</v>
      </c>
      <c r="T167" s="33">
        <v>0.0</v>
      </c>
      <c r="U167" s="33">
        <v>0.0</v>
      </c>
      <c r="V167" s="33">
        <v>0.0</v>
      </c>
      <c r="W167" s="33">
        <v>0.0</v>
      </c>
      <c r="X167" s="33">
        <v>0.0</v>
      </c>
      <c r="Y167" s="33">
        <v>0.0</v>
      </c>
      <c r="Z167" s="33">
        <v>0.0</v>
      </c>
      <c r="AA167" s="33">
        <v>2000.0</v>
      </c>
      <c r="AB167" s="33">
        <v>0.0</v>
      </c>
      <c r="AC167" s="33">
        <v>0.0</v>
      </c>
      <c r="AD167" s="33">
        <v>0.0</v>
      </c>
      <c r="AE167" s="33">
        <v>0.0</v>
      </c>
      <c r="AF167" s="33">
        <v>0.0</v>
      </c>
      <c r="AG167" s="33">
        <v>0.0</v>
      </c>
      <c r="AH167" s="33">
        <v>0.0</v>
      </c>
      <c r="AI167" s="33">
        <v>0.0</v>
      </c>
      <c r="AJ167" s="33">
        <v>0.0</v>
      </c>
      <c r="AK167" s="33">
        <v>0.0</v>
      </c>
    </row>
    <row r="168">
      <c r="A168" s="33">
        <v>75014.0</v>
      </c>
      <c r="B168" s="33">
        <v>0.0</v>
      </c>
      <c r="C168" s="33">
        <v>0.0</v>
      </c>
      <c r="D168" s="33">
        <v>0.0</v>
      </c>
      <c r="E168" s="33">
        <v>0.0</v>
      </c>
      <c r="F168" s="33">
        <v>0.0</v>
      </c>
      <c r="G168" s="33">
        <v>0.0</v>
      </c>
      <c r="H168" s="33">
        <v>0.0</v>
      </c>
      <c r="I168" s="33">
        <v>0.0</v>
      </c>
      <c r="J168" s="33">
        <v>0.0</v>
      </c>
      <c r="K168" s="33">
        <v>0.0</v>
      </c>
      <c r="L168" s="33">
        <v>0.0</v>
      </c>
      <c r="M168" s="33">
        <v>0.0</v>
      </c>
      <c r="N168" s="33">
        <v>0.0</v>
      </c>
      <c r="O168" s="33">
        <v>0.0</v>
      </c>
      <c r="P168" s="33">
        <v>0.0</v>
      </c>
      <c r="Q168" s="33">
        <v>0.0</v>
      </c>
      <c r="R168" s="33">
        <v>0.0</v>
      </c>
      <c r="S168" s="33">
        <v>0.0</v>
      </c>
      <c r="T168" s="33">
        <v>0.0</v>
      </c>
      <c r="U168" s="33">
        <v>0.0</v>
      </c>
      <c r="V168" s="33">
        <v>0.0</v>
      </c>
      <c r="W168" s="33">
        <v>0.0</v>
      </c>
      <c r="X168" s="33">
        <v>0.0</v>
      </c>
      <c r="Y168" s="33">
        <v>0.0</v>
      </c>
      <c r="Z168" s="33">
        <v>0.0</v>
      </c>
      <c r="AA168" s="33">
        <v>0.0</v>
      </c>
      <c r="AB168" s="33">
        <v>500.0</v>
      </c>
      <c r="AC168" s="33">
        <v>0.0</v>
      </c>
      <c r="AD168" s="33">
        <v>0.0</v>
      </c>
      <c r="AE168" s="33">
        <v>0.0</v>
      </c>
      <c r="AF168" s="33">
        <v>0.0</v>
      </c>
      <c r="AG168" s="33">
        <v>0.0</v>
      </c>
      <c r="AH168" s="33">
        <v>0.0</v>
      </c>
      <c r="AI168" s="33">
        <v>0.0</v>
      </c>
      <c r="AJ168" s="33">
        <v>0.0</v>
      </c>
      <c r="AK168" s="33">
        <v>0.0</v>
      </c>
    </row>
    <row r="169">
      <c r="A169" s="33">
        <v>11111.0</v>
      </c>
      <c r="B169" s="33">
        <v>0.0</v>
      </c>
      <c r="C169" s="33">
        <v>0.0</v>
      </c>
      <c r="D169" s="33">
        <v>0.0</v>
      </c>
      <c r="E169" s="33">
        <v>0.0</v>
      </c>
      <c r="F169" s="33">
        <v>0.0</v>
      </c>
      <c r="G169" s="33">
        <v>0.0</v>
      </c>
      <c r="H169" s="33">
        <v>0.0</v>
      </c>
      <c r="I169" s="33">
        <v>0.0</v>
      </c>
      <c r="J169" s="33">
        <v>0.0</v>
      </c>
      <c r="K169" s="33">
        <v>0.0</v>
      </c>
      <c r="L169" s="33">
        <v>0.0</v>
      </c>
      <c r="M169" s="33">
        <v>0.0</v>
      </c>
      <c r="N169" s="33">
        <v>0.0</v>
      </c>
      <c r="O169" s="33">
        <v>250.0</v>
      </c>
      <c r="P169" s="33">
        <v>0.0</v>
      </c>
      <c r="Q169" s="33">
        <v>0.0</v>
      </c>
      <c r="R169" s="33">
        <v>0.0</v>
      </c>
      <c r="S169" s="33">
        <v>0.0</v>
      </c>
      <c r="T169" s="33">
        <v>0.0</v>
      </c>
      <c r="U169" s="33">
        <v>0.0</v>
      </c>
      <c r="V169" s="33">
        <v>0.0</v>
      </c>
      <c r="W169" s="33">
        <v>0.0</v>
      </c>
      <c r="X169" s="33">
        <v>0.0</v>
      </c>
      <c r="Y169" s="33">
        <v>0.0</v>
      </c>
      <c r="Z169" s="33">
        <v>0.0</v>
      </c>
      <c r="AA169" s="33">
        <v>0.0</v>
      </c>
      <c r="AB169" s="33">
        <v>0.0</v>
      </c>
      <c r="AC169" s="33">
        <v>0.0</v>
      </c>
      <c r="AD169" s="33">
        <v>0.0</v>
      </c>
      <c r="AE169" s="33">
        <v>0.0</v>
      </c>
      <c r="AF169" s="33">
        <v>0.0</v>
      </c>
      <c r="AG169" s="33">
        <v>0.0</v>
      </c>
      <c r="AH169" s="33">
        <v>0.0</v>
      </c>
      <c r="AI169" s="33">
        <v>0.0</v>
      </c>
      <c r="AJ169" s="33">
        <v>0.0</v>
      </c>
      <c r="AK169" s="33">
        <v>0.0</v>
      </c>
    </row>
    <row r="170">
      <c r="A170" s="33">
        <v>75134.0</v>
      </c>
      <c r="B170" s="33">
        <v>0.0</v>
      </c>
      <c r="C170" s="33">
        <v>0.0</v>
      </c>
      <c r="D170" s="33">
        <v>0.0</v>
      </c>
      <c r="E170" s="33">
        <v>0.0</v>
      </c>
      <c r="F170" s="33">
        <v>0.0</v>
      </c>
      <c r="G170" s="33">
        <v>0.0</v>
      </c>
      <c r="H170" s="33">
        <v>0.0</v>
      </c>
      <c r="I170" s="33">
        <v>0.0</v>
      </c>
      <c r="J170" s="33">
        <v>0.0</v>
      </c>
      <c r="K170" s="33">
        <v>0.0</v>
      </c>
      <c r="L170" s="33">
        <v>0.0</v>
      </c>
      <c r="M170" s="33">
        <v>0.0</v>
      </c>
      <c r="N170" s="33">
        <v>0.0</v>
      </c>
      <c r="O170" s="33">
        <v>1000.0</v>
      </c>
      <c r="P170" s="33">
        <v>0.0</v>
      </c>
      <c r="Q170" s="33">
        <v>0.0</v>
      </c>
      <c r="R170" s="33">
        <v>0.0</v>
      </c>
      <c r="S170" s="33">
        <v>0.0</v>
      </c>
      <c r="T170" s="33">
        <v>0.0</v>
      </c>
      <c r="U170" s="33">
        <v>0.0</v>
      </c>
      <c r="V170" s="33">
        <v>0.0</v>
      </c>
      <c r="W170" s="33">
        <v>0.0</v>
      </c>
      <c r="X170" s="33">
        <v>0.0</v>
      </c>
      <c r="Y170" s="33">
        <v>0.0</v>
      </c>
      <c r="Z170" s="33">
        <v>400.0</v>
      </c>
      <c r="AA170" s="33">
        <v>0.0</v>
      </c>
      <c r="AB170" s="33">
        <v>1000.0</v>
      </c>
      <c r="AC170" s="33">
        <v>0.0</v>
      </c>
      <c r="AD170" s="33">
        <v>0.0</v>
      </c>
      <c r="AE170" s="33">
        <v>0.0</v>
      </c>
      <c r="AF170" s="33">
        <v>0.0</v>
      </c>
      <c r="AG170" s="33">
        <v>0.0</v>
      </c>
      <c r="AH170" s="33">
        <v>0.0</v>
      </c>
      <c r="AI170" s="33">
        <v>0.0</v>
      </c>
      <c r="AJ170" s="33">
        <v>0.0</v>
      </c>
      <c r="AK170" s="33">
        <v>0.0</v>
      </c>
    </row>
    <row r="171">
      <c r="A171" s="33">
        <v>75315.0</v>
      </c>
      <c r="B171" s="33">
        <v>0.0</v>
      </c>
      <c r="C171" s="33">
        <v>0.0</v>
      </c>
      <c r="D171" s="33">
        <v>0.0</v>
      </c>
      <c r="E171" s="33">
        <v>0.0</v>
      </c>
      <c r="F171" s="33">
        <v>0.0</v>
      </c>
      <c r="G171" s="33">
        <v>0.0</v>
      </c>
      <c r="H171" s="33">
        <v>0.0</v>
      </c>
      <c r="I171" s="33">
        <v>0.0</v>
      </c>
      <c r="J171" s="33">
        <v>0.0</v>
      </c>
      <c r="K171" s="33">
        <v>0.0</v>
      </c>
      <c r="L171" s="33">
        <v>0.0</v>
      </c>
      <c r="M171" s="33">
        <v>0.0</v>
      </c>
      <c r="N171" s="33">
        <v>0.0</v>
      </c>
      <c r="O171" s="33">
        <v>0.0</v>
      </c>
      <c r="P171" s="33">
        <v>0.0</v>
      </c>
      <c r="Q171" s="33">
        <v>100.0</v>
      </c>
      <c r="R171" s="33">
        <v>0.0</v>
      </c>
      <c r="S171" s="33">
        <v>0.0</v>
      </c>
      <c r="T171" s="33">
        <v>0.0</v>
      </c>
      <c r="U171" s="33">
        <v>0.0</v>
      </c>
      <c r="V171" s="33">
        <v>0.0</v>
      </c>
      <c r="W171" s="33">
        <v>0.0</v>
      </c>
      <c r="X171" s="33">
        <v>0.0</v>
      </c>
      <c r="Y171" s="33">
        <v>0.0</v>
      </c>
      <c r="Z171" s="33">
        <v>0.0</v>
      </c>
      <c r="AA171" s="33">
        <v>0.0</v>
      </c>
      <c r="AB171" s="33">
        <v>0.0</v>
      </c>
      <c r="AC171" s="33">
        <v>0.0</v>
      </c>
      <c r="AD171" s="33">
        <v>0.0</v>
      </c>
      <c r="AE171" s="33">
        <v>0.0</v>
      </c>
      <c r="AF171" s="33">
        <v>0.0</v>
      </c>
      <c r="AG171" s="33">
        <v>0.0</v>
      </c>
      <c r="AH171" s="33">
        <v>0.0</v>
      </c>
      <c r="AI171" s="33">
        <v>0.0</v>
      </c>
      <c r="AJ171" s="33">
        <v>0.0</v>
      </c>
      <c r="AK171" s="33">
        <v>0.0</v>
      </c>
    </row>
    <row r="172">
      <c r="A172" s="33">
        <v>75098.0</v>
      </c>
      <c r="B172" s="33">
        <v>0.0</v>
      </c>
      <c r="C172" s="33">
        <v>0.0</v>
      </c>
      <c r="D172" s="33">
        <v>0.0</v>
      </c>
      <c r="E172" s="33">
        <v>0.0</v>
      </c>
      <c r="F172" s="33">
        <v>0.0</v>
      </c>
      <c r="G172" s="33">
        <v>0.0</v>
      </c>
      <c r="H172" s="33">
        <v>0.0</v>
      </c>
      <c r="I172" s="33">
        <v>0.0</v>
      </c>
      <c r="J172" s="33">
        <v>0.0</v>
      </c>
      <c r="K172" s="33">
        <v>0.0</v>
      </c>
      <c r="L172" s="33">
        <v>0.0</v>
      </c>
      <c r="M172" s="33">
        <v>0.0</v>
      </c>
      <c r="N172" s="33">
        <v>0.0</v>
      </c>
      <c r="O172" s="33">
        <v>0.0</v>
      </c>
      <c r="P172" s="33">
        <v>0.0</v>
      </c>
      <c r="Q172" s="33">
        <v>0.0</v>
      </c>
      <c r="R172" s="33">
        <v>0.0</v>
      </c>
      <c r="S172" s="33">
        <v>0.0</v>
      </c>
      <c r="T172" s="33">
        <v>0.0</v>
      </c>
      <c r="U172" s="33">
        <v>0.0</v>
      </c>
      <c r="V172" s="33">
        <v>0.0</v>
      </c>
      <c r="W172" s="33">
        <v>0.0</v>
      </c>
      <c r="X172" s="33">
        <v>0.0</v>
      </c>
      <c r="Y172" s="33">
        <v>0.0</v>
      </c>
      <c r="Z172" s="33">
        <v>5000.0</v>
      </c>
      <c r="AA172" s="33">
        <v>0.0</v>
      </c>
      <c r="AB172" s="33">
        <v>1000.0</v>
      </c>
      <c r="AC172" s="33">
        <v>0.0</v>
      </c>
      <c r="AD172" s="33">
        <v>0.0</v>
      </c>
      <c r="AE172" s="33">
        <v>0.0</v>
      </c>
      <c r="AF172" s="33">
        <v>0.0</v>
      </c>
      <c r="AG172" s="33">
        <v>0.0</v>
      </c>
      <c r="AH172" s="33">
        <v>0.0</v>
      </c>
      <c r="AI172" s="33">
        <v>0.0</v>
      </c>
      <c r="AJ172" s="33">
        <v>0.0</v>
      </c>
      <c r="AK172" s="33">
        <v>0.0</v>
      </c>
    </row>
    <row r="173">
      <c r="A173" s="33">
        <v>75185.0</v>
      </c>
      <c r="B173" s="33">
        <v>0.0</v>
      </c>
      <c r="C173" s="33">
        <v>0.0</v>
      </c>
      <c r="D173" s="33">
        <v>0.0</v>
      </c>
      <c r="E173" s="33">
        <v>0.0</v>
      </c>
      <c r="F173" s="33">
        <v>0.0</v>
      </c>
      <c r="G173" s="33">
        <v>0.0</v>
      </c>
      <c r="H173" s="33">
        <v>0.0</v>
      </c>
      <c r="I173" s="33">
        <v>0.0</v>
      </c>
      <c r="J173" s="33">
        <v>0.0</v>
      </c>
      <c r="K173" s="33">
        <v>0.0</v>
      </c>
      <c r="L173" s="33">
        <v>0.0</v>
      </c>
      <c r="M173" s="33">
        <v>0.0</v>
      </c>
      <c r="N173" s="33">
        <v>0.0</v>
      </c>
      <c r="O173" s="33">
        <v>0.0</v>
      </c>
      <c r="P173" s="33">
        <v>0.0</v>
      </c>
      <c r="Q173" s="33">
        <v>0.0</v>
      </c>
      <c r="R173" s="33">
        <v>0.0</v>
      </c>
      <c r="S173" s="33">
        <v>0.0</v>
      </c>
      <c r="T173" s="33">
        <v>0.0</v>
      </c>
      <c r="U173" s="33">
        <v>0.0</v>
      </c>
      <c r="V173" s="33">
        <v>0.0</v>
      </c>
      <c r="W173" s="33">
        <v>0.0</v>
      </c>
      <c r="X173" s="33">
        <v>0.0</v>
      </c>
      <c r="Y173" s="33">
        <v>0.0</v>
      </c>
      <c r="Z173" s="33">
        <v>50.0</v>
      </c>
      <c r="AA173" s="33">
        <v>0.0</v>
      </c>
      <c r="AB173" s="33">
        <v>200.0</v>
      </c>
      <c r="AC173" s="33">
        <v>0.0</v>
      </c>
      <c r="AD173" s="33">
        <v>0.0</v>
      </c>
      <c r="AE173" s="33">
        <v>0.0</v>
      </c>
      <c r="AF173" s="33">
        <v>0.0</v>
      </c>
      <c r="AG173" s="33">
        <v>0.0</v>
      </c>
      <c r="AH173" s="33">
        <v>0.0</v>
      </c>
      <c r="AI173" s="33">
        <v>0.0</v>
      </c>
      <c r="AJ173" s="33">
        <v>0.0</v>
      </c>
      <c r="AK173" s="33">
        <v>0.0</v>
      </c>
    </row>
    <row r="174">
      <c r="A174" s="33">
        <v>75028.0</v>
      </c>
      <c r="B174" s="33">
        <v>0.0</v>
      </c>
      <c r="C174" s="33">
        <v>0.0</v>
      </c>
      <c r="D174" s="33">
        <v>0.0</v>
      </c>
      <c r="E174" s="33">
        <v>0.0</v>
      </c>
      <c r="F174" s="33">
        <v>0.0</v>
      </c>
      <c r="G174" s="33">
        <v>0.0</v>
      </c>
      <c r="H174" s="33">
        <v>0.0</v>
      </c>
      <c r="I174" s="33">
        <v>0.0</v>
      </c>
      <c r="J174" s="33">
        <v>0.0</v>
      </c>
      <c r="K174" s="33">
        <v>0.0</v>
      </c>
      <c r="L174" s="33">
        <v>0.0</v>
      </c>
      <c r="M174" s="33">
        <v>0.0</v>
      </c>
      <c r="N174" s="33">
        <v>0.0</v>
      </c>
      <c r="O174" s="33">
        <v>0.0</v>
      </c>
      <c r="P174" s="33">
        <v>0.0</v>
      </c>
      <c r="Q174" s="33">
        <v>0.0</v>
      </c>
      <c r="R174" s="33">
        <v>0.0</v>
      </c>
      <c r="S174" s="33">
        <v>0.0</v>
      </c>
      <c r="T174" s="33">
        <v>500.0</v>
      </c>
      <c r="U174" s="33">
        <v>0.0</v>
      </c>
      <c r="V174" s="33">
        <v>0.0</v>
      </c>
      <c r="W174" s="33">
        <v>0.0</v>
      </c>
      <c r="X174" s="33">
        <v>0.0</v>
      </c>
      <c r="Y174" s="33">
        <v>0.0</v>
      </c>
      <c r="Z174" s="33">
        <v>1000.0</v>
      </c>
      <c r="AA174" s="33">
        <v>0.0</v>
      </c>
      <c r="AB174" s="33">
        <v>1000.0</v>
      </c>
      <c r="AC174" s="33">
        <v>0.0</v>
      </c>
      <c r="AD174" s="33">
        <v>0.0</v>
      </c>
      <c r="AE174" s="33">
        <v>0.0</v>
      </c>
      <c r="AF174" s="33">
        <v>0.0</v>
      </c>
      <c r="AG174" s="33">
        <v>0.0</v>
      </c>
      <c r="AH174" s="33">
        <v>0.0</v>
      </c>
      <c r="AI174" s="33">
        <v>0.0</v>
      </c>
      <c r="AJ174" s="33">
        <v>0.0</v>
      </c>
      <c r="AK174" s="33">
        <v>0.0</v>
      </c>
    </row>
    <row r="175">
      <c r="A175" s="33">
        <v>76017.0</v>
      </c>
      <c r="B175" s="33">
        <v>0.0</v>
      </c>
      <c r="C175" s="33">
        <v>0.0</v>
      </c>
      <c r="D175" s="33">
        <v>0.0</v>
      </c>
      <c r="E175" s="33">
        <v>0.0</v>
      </c>
      <c r="F175" s="33">
        <v>0.0</v>
      </c>
      <c r="G175" s="33">
        <v>0.0</v>
      </c>
      <c r="H175" s="33">
        <v>0.0</v>
      </c>
      <c r="I175" s="33">
        <v>0.0</v>
      </c>
      <c r="J175" s="33">
        <v>0.0</v>
      </c>
      <c r="K175" s="33">
        <v>0.0</v>
      </c>
      <c r="L175" s="33">
        <v>0.0</v>
      </c>
      <c r="M175" s="33">
        <v>0.0</v>
      </c>
      <c r="N175" s="33">
        <v>0.0</v>
      </c>
      <c r="O175" s="33">
        <v>0.0</v>
      </c>
      <c r="P175" s="33">
        <v>0.0</v>
      </c>
      <c r="Q175" s="33">
        <v>0.0</v>
      </c>
      <c r="R175" s="33">
        <v>0.0</v>
      </c>
      <c r="S175" s="33">
        <v>0.0</v>
      </c>
      <c r="T175" s="33">
        <v>0.0</v>
      </c>
      <c r="U175" s="33">
        <v>0.0</v>
      </c>
      <c r="V175" s="33">
        <v>0.0</v>
      </c>
      <c r="W175" s="33">
        <v>0.0</v>
      </c>
      <c r="X175" s="33">
        <v>0.0</v>
      </c>
      <c r="Y175" s="33">
        <v>0.0</v>
      </c>
      <c r="Z175" s="33">
        <v>0.0</v>
      </c>
      <c r="AA175" s="33">
        <v>0.0</v>
      </c>
      <c r="AB175" s="33">
        <v>200.0</v>
      </c>
      <c r="AC175" s="33">
        <v>0.0</v>
      </c>
      <c r="AD175" s="33">
        <v>0.0</v>
      </c>
      <c r="AE175" s="33">
        <v>0.0</v>
      </c>
      <c r="AF175" s="33">
        <v>0.0</v>
      </c>
      <c r="AG175" s="33">
        <v>0.0</v>
      </c>
      <c r="AH175" s="33">
        <v>0.0</v>
      </c>
      <c r="AI175" s="33">
        <v>0.0</v>
      </c>
      <c r="AJ175" s="33">
        <v>0.0</v>
      </c>
      <c r="AK175" s="33">
        <v>0.0</v>
      </c>
    </row>
    <row r="176">
      <c r="A176" s="33">
        <v>75025.0</v>
      </c>
      <c r="B176" s="33">
        <v>0.0</v>
      </c>
      <c r="C176" s="33">
        <v>0.0</v>
      </c>
      <c r="D176" s="33">
        <v>0.0</v>
      </c>
      <c r="E176" s="33">
        <v>0.0</v>
      </c>
      <c r="F176" s="33">
        <v>0.0</v>
      </c>
      <c r="G176" s="33">
        <v>0.0</v>
      </c>
      <c r="H176" s="33">
        <v>0.0</v>
      </c>
      <c r="I176" s="33">
        <v>0.0</v>
      </c>
      <c r="J176" s="33">
        <v>0.0</v>
      </c>
      <c r="K176" s="33">
        <v>0.0</v>
      </c>
      <c r="L176" s="33">
        <v>0.0</v>
      </c>
      <c r="M176" s="33">
        <v>0.0</v>
      </c>
      <c r="N176" s="33">
        <v>0.0</v>
      </c>
      <c r="O176" s="33">
        <v>0.0</v>
      </c>
      <c r="P176" s="33">
        <v>0.0</v>
      </c>
      <c r="Q176" s="33">
        <v>0.0</v>
      </c>
      <c r="R176" s="33">
        <v>0.0</v>
      </c>
      <c r="S176" s="33">
        <v>0.0</v>
      </c>
      <c r="T176" s="33">
        <v>0.0</v>
      </c>
      <c r="U176" s="33">
        <v>0.0</v>
      </c>
      <c r="V176" s="33">
        <v>0.0</v>
      </c>
      <c r="W176" s="33">
        <v>0.0</v>
      </c>
      <c r="X176" s="33">
        <v>0.0</v>
      </c>
      <c r="Y176" s="33">
        <v>0.0</v>
      </c>
      <c r="Z176" s="33">
        <v>0.0</v>
      </c>
      <c r="AA176" s="33">
        <v>0.0</v>
      </c>
      <c r="AB176" s="33">
        <v>100.0</v>
      </c>
      <c r="AC176" s="33">
        <v>0.0</v>
      </c>
      <c r="AD176" s="33">
        <v>0.0</v>
      </c>
      <c r="AE176" s="33">
        <v>0.0</v>
      </c>
      <c r="AF176" s="33">
        <v>0.0</v>
      </c>
      <c r="AG176" s="33">
        <v>0.0</v>
      </c>
      <c r="AH176" s="33">
        <v>1000.0</v>
      </c>
      <c r="AI176" s="33">
        <v>0.0</v>
      </c>
      <c r="AJ176" s="33">
        <v>0.0</v>
      </c>
      <c r="AK176" s="33">
        <v>0.0</v>
      </c>
    </row>
    <row r="177">
      <c r="A177" s="33">
        <v>75103.0</v>
      </c>
      <c r="B177" s="33">
        <v>0.0</v>
      </c>
      <c r="C177" s="33">
        <v>0.0</v>
      </c>
      <c r="D177" s="33">
        <v>0.0</v>
      </c>
      <c r="E177" s="33">
        <v>0.0</v>
      </c>
      <c r="F177" s="33">
        <v>0.0</v>
      </c>
      <c r="G177" s="33">
        <v>0.0</v>
      </c>
      <c r="H177" s="33">
        <v>0.0</v>
      </c>
      <c r="I177" s="33">
        <v>0.0</v>
      </c>
      <c r="J177" s="33">
        <v>0.0</v>
      </c>
      <c r="K177" s="33">
        <v>0.0</v>
      </c>
      <c r="L177" s="33">
        <v>0.0</v>
      </c>
      <c r="M177" s="33">
        <v>0.0</v>
      </c>
      <c r="N177" s="33">
        <v>0.0</v>
      </c>
      <c r="O177" s="33">
        <v>0.0</v>
      </c>
      <c r="P177" s="33">
        <v>0.0</v>
      </c>
      <c r="Q177" s="33">
        <v>0.0</v>
      </c>
      <c r="R177" s="33">
        <v>0.0</v>
      </c>
      <c r="S177" s="33">
        <v>0.0</v>
      </c>
      <c r="T177" s="33">
        <v>0.0</v>
      </c>
      <c r="U177" s="33">
        <v>0.0</v>
      </c>
      <c r="V177" s="33">
        <v>0.0</v>
      </c>
      <c r="W177" s="33">
        <v>0.0</v>
      </c>
      <c r="X177" s="33">
        <v>0.0</v>
      </c>
      <c r="Y177" s="33">
        <v>309.43</v>
      </c>
      <c r="Z177" s="33">
        <v>0.0</v>
      </c>
      <c r="AA177" s="33">
        <v>0.0</v>
      </c>
      <c r="AB177" s="33">
        <v>0.0</v>
      </c>
      <c r="AC177" s="33">
        <v>0.0</v>
      </c>
      <c r="AD177" s="33">
        <v>0.0</v>
      </c>
      <c r="AE177" s="33">
        <v>0.0</v>
      </c>
      <c r="AF177" s="33">
        <v>0.0</v>
      </c>
      <c r="AG177" s="33">
        <v>0.0</v>
      </c>
      <c r="AH177" s="33">
        <v>0.0</v>
      </c>
      <c r="AI177" s="33">
        <v>0.0</v>
      </c>
      <c r="AJ177" s="33">
        <v>0.0</v>
      </c>
      <c r="AK177" s="33">
        <v>0.0</v>
      </c>
    </row>
    <row r="178">
      <c r="A178" s="33">
        <v>76248.0</v>
      </c>
      <c r="B178" s="33">
        <v>0.0</v>
      </c>
      <c r="C178" s="33">
        <v>0.0</v>
      </c>
      <c r="D178" s="33">
        <v>0.0</v>
      </c>
      <c r="E178" s="33">
        <v>0.0</v>
      </c>
      <c r="F178" s="33">
        <v>0.0</v>
      </c>
      <c r="G178" s="33">
        <v>0.0</v>
      </c>
      <c r="H178" s="33">
        <v>0.0</v>
      </c>
      <c r="I178" s="33">
        <v>0.0</v>
      </c>
      <c r="J178" s="33">
        <v>0.0</v>
      </c>
      <c r="K178" s="33">
        <v>0.0</v>
      </c>
      <c r="L178" s="33">
        <v>0.0</v>
      </c>
      <c r="M178" s="33">
        <v>0.0</v>
      </c>
      <c r="N178" s="33">
        <v>0.0</v>
      </c>
      <c r="O178" s="33">
        <v>0.0</v>
      </c>
      <c r="P178" s="33">
        <v>0.0</v>
      </c>
      <c r="Q178" s="33">
        <v>0.0</v>
      </c>
      <c r="R178" s="33">
        <v>0.0</v>
      </c>
      <c r="S178" s="33">
        <v>0.0</v>
      </c>
      <c r="T178" s="33">
        <v>0.0</v>
      </c>
      <c r="U178" s="33">
        <v>0.0</v>
      </c>
      <c r="V178" s="33">
        <v>0.0</v>
      </c>
      <c r="W178" s="33">
        <v>0.0</v>
      </c>
      <c r="X178" s="33">
        <v>0.0</v>
      </c>
      <c r="Y178" s="33">
        <v>0.0</v>
      </c>
      <c r="Z178" s="33">
        <v>0.0</v>
      </c>
      <c r="AA178" s="33">
        <v>500.0</v>
      </c>
      <c r="AB178" s="33">
        <v>0.0</v>
      </c>
      <c r="AC178" s="33">
        <v>0.0</v>
      </c>
      <c r="AD178" s="33">
        <v>0.0</v>
      </c>
      <c r="AE178" s="33">
        <v>0.0</v>
      </c>
      <c r="AF178" s="33">
        <v>0.0</v>
      </c>
      <c r="AG178" s="33">
        <v>0.0</v>
      </c>
      <c r="AH178" s="33">
        <v>0.0</v>
      </c>
      <c r="AI178" s="33">
        <v>0.0</v>
      </c>
      <c r="AJ178" s="33">
        <v>0.0</v>
      </c>
      <c r="AK178" s="33">
        <v>0.0</v>
      </c>
    </row>
    <row r="179">
      <c r="A179" s="33">
        <v>75078.0</v>
      </c>
      <c r="B179" s="33">
        <v>0.0</v>
      </c>
      <c r="C179" s="33">
        <v>0.0</v>
      </c>
      <c r="D179" s="33">
        <v>0.0</v>
      </c>
      <c r="E179" s="33">
        <v>0.0</v>
      </c>
      <c r="F179" s="33">
        <v>0.0</v>
      </c>
      <c r="G179" s="33">
        <v>0.0</v>
      </c>
      <c r="H179" s="33">
        <v>0.0</v>
      </c>
      <c r="I179" s="33">
        <v>0.0</v>
      </c>
      <c r="J179" s="33">
        <v>0.0</v>
      </c>
      <c r="K179" s="33">
        <v>0.0</v>
      </c>
      <c r="L179" s="33">
        <v>0.0</v>
      </c>
      <c r="M179" s="33">
        <v>0.0</v>
      </c>
      <c r="N179" s="33">
        <v>0.0</v>
      </c>
      <c r="O179" s="33">
        <v>0.0</v>
      </c>
      <c r="P179" s="33">
        <v>0.0</v>
      </c>
      <c r="Q179" s="33">
        <v>0.0</v>
      </c>
      <c r="R179" s="33">
        <v>0.0</v>
      </c>
      <c r="S179" s="33">
        <v>0.0</v>
      </c>
      <c r="T179" s="33">
        <v>1000.0</v>
      </c>
      <c r="U179" s="33">
        <v>0.0</v>
      </c>
      <c r="V179" s="33">
        <v>0.0</v>
      </c>
      <c r="W179" s="33">
        <v>0.0</v>
      </c>
      <c r="X179" s="33">
        <v>0.0</v>
      </c>
      <c r="Y179" s="33">
        <v>0.0</v>
      </c>
      <c r="Z179" s="33">
        <v>0.0</v>
      </c>
      <c r="AA179" s="33">
        <v>100.0</v>
      </c>
      <c r="AB179" s="33">
        <v>100.0</v>
      </c>
      <c r="AC179" s="33">
        <v>0.0</v>
      </c>
      <c r="AD179" s="33">
        <v>0.0</v>
      </c>
      <c r="AE179" s="33">
        <v>0.0</v>
      </c>
      <c r="AF179" s="33">
        <v>0.0</v>
      </c>
      <c r="AG179" s="33">
        <v>0.0</v>
      </c>
      <c r="AH179" s="33">
        <v>0.0</v>
      </c>
      <c r="AI179" s="33">
        <v>0.0</v>
      </c>
      <c r="AJ179" s="33">
        <v>0.0</v>
      </c>
      <c r="AK179" s="33">
        <v>0.0</v>
      </c>
    </row>
    <row r="180">
      <c r="A180" s="33">
        <v>75357.0</v>
      </c>
      <c r="B180" s="33">
        <v>0.0</v>
      </c>
      <c r="C180" s="33">
        <v>0.0</v>
      </c>
      <c r="D180" s="33">
        <v>0.0</v>
      </c>
      <c r="E180" s="33">
        <v>0.0</v>
      </c>
      <c r="F180" s="33">
        <v>0.0</v>
      </c>
      <c r="G180" s="33">
        <v>0.0</v>
      </c>
      <c r="H180" s="33">
        <v>0.0</v>
      </c>
      <c r="I180" s="33">
        <v>0.0</v>
      </c>
      <c r="J180" s="33">
        <v>0.0</v>
      </c>
      <c r="K180" s="33">
        <v>0.0</v>
      </c>
      <c r="L180" s="33">
        <v>0.0</v>
      </c>
      <c r="M180" s="33">
        <v>0.0</v>
      </c>
      <c r="N180" s="33">
        <v>0.0</v>
      </c>
      <c r="O180" s="33">
        <v>0.0</v>
      </c>
      <c r="P180" s="33">
        <v>0.0</v>
      </c>
      <c r="Q180" s="33">
        <v>0.0</v>
      </c>
      <c r="R180" s="33">
        <v>0.0</v>
      </c>
      <c r="S180" s="33">
        <v>0.0</v>
      </c>
      <c r="T180" s="33">
        <v>0.0</v>
      </c>
      <c r="U180" s="33">
        <v>0.0</v>
      </c>
      <c r="V180" s="33">
        <v>0.0</v>
      </c>
      <c r="W180" s="33">
        <v>0.0</v>
      </c>
      <c r="X180" s="33">
        <v>0.0</v>
      </c>
      <c r="Y180" s="33">
        <v>0.0</v>
      </c>
      <c r="Z180" s="33">
        <v>0.0</v>
      </c>
      <c r="AA180" s="33">
        <v>200.0</v>
      </c>
      <c r="AB180" s="33">
        <v>0.0</v>
      </c>
      <c r="AC180" s="33">
        <v>0.0</v>
      </c>
      <c r="AD180" s="33">
        <v>0.0</v>
      </c>
      <c r="AE180" s="33">
        <v>0.0</v>
      </c>
      <c r="AF180" s="33">
        <v>0.0</v>
      </c>
      <c r="AG180" s="33">
        <v>0.0</v>
      </c>
      <c r="AH180" s="33">
        <v>0.0</v>
      </c>
      <c r="AI180" s="33">
        <v>0.0</v>
      </c>
      <c r="AJ180" s="33">
        <v>0.0</v>
      </c>
      <c r="AK180" s="33">
        <v>0.0</v>
      </c>
    </row>
    <row r="181">
      <c r="A181" s="33">
        <v>75702.0</v>
      </c>
      <c r="B181" s="33">
        <v>0.0</v>
      </c>
      <c r="C181" s="33">
        <v>0.0</v>
      </c>
      <c r="D181" s="33">
        <v>0.0</v>
      </c>
      <c r="E181" s="33">
        <v>0.0</v>
      </c>
      <c r="F181" s="33">
        <v>0.0</v>
      </c>
      <c r="G181" s="33">
        <v>0.0</v>
      </c>
      <c r="H181" s="33">
        <v>0.0</v>
      </c>
      <c r="I181" s="33">
        <v>0.0</v>
      </c>
      <c r="J181" s="33">
        <v>0.0</v>
      </c>
      <c r="K181" s="33">
        <v>0.0</v>
      </c>
      <c r="L181" s="33">
        <v>0.0</v>
      </c>
      <c r="M181" s="33">
        <v>0.0</v>
      </c>
      <c r="N181" s="33">
        <v>0.0</v>
      </c>
      <c r="O181" s="33">
        <v>0.0</v>
      </c>
      <c r="P181" s="33">
        <v>0.0</v>
      </c>
      <c r="Q181" s="33">
        <v>0.0</v>
      </c>
      <c r="R181" s="33">
        <v>0.0</v>
      </c>
      <c r="S181" s="33">
        <v>0.0</v>
      </c>
      <c r="T181" s="33">
        <v>189.4</v>
      </c>
      <c r="U181" s="33">
        <v>0.0</v>
      </c>
      <c r="V181" s="33">
        <v>0.0</v>
      </c>
      <c r="W181" s="33">
        <v>0.0</v>
      </c>
      <c r="X181" s="33">
        <v>0.0</v>
      </c>
      <c r="Y181" s="33">
        <v>0.0</v>
      </c>
      <c r="Z181" s="33">
        <v>0.0</v>
      </c>
      <c r="AA181" s="33">
        <v>0.0</v>
      </c>
      <c r="AB181" s="33">
        <v>0.0</v>
      </c>
      <c r="AC181" s="33">
        <v>0.0</v>
      </c>
      <c r="AD181" s="33">
        <v>0.0</v>
      </c>
      <c r="AE181" s="33">
        <v>0.0</v>
      </c>
      <c r="AF181" s="33">
        <v>0.0</v>
      </c>
      <c r="AG181" s="33">
        <v>0.0</v>
      </c>
      <c r="AH181" s="33">
        <v>0.0</v>
      </c>
      <c r="AI181" s="33">
        <v>0.0</v>
      </c>
      <c r="AJ181" s="33">
        <v>0.0</v>
      </c>
      <c r="AK181" s="33">
        <v>0.0</v>
      </c>
    </row>
    <row r="182">
      <c r="A182" s="33">
        <v>75061.0</v>
      </c>
      <c r="B182" s="33">
        <v>0.0</v>
      </c>
      <c r="C182" s="33">
        <v>0.0</v>
      </c>
      <c r="D182" s="33">
        <v>0.0</v>
      </c>
      <c r="E182" s="33">
        <v>0.0</v>
      </c>
      <c r="F182" s="33">
        <v>0.0</v>
      </c>
      <c r="G182" s="33">
        <v>0.0</v>
      </c>
      <c r="H182" s="33">
        <v>0.0</v>
      </c>
      <c r="I182" s="33">
        <v>0.0</v>
      </c>
      <c r="J182" s="33">
        <v>0.0</v>
      </c>
      <c r="K182" s="33">
        <v>4000.0</v>
      </c>
      <c r="L182" s="33">
        <v>0.0</v>
      </c>
      <c r="M182" s="33">
        <v>0.0</v>
      </c>
      <c r="N182" s="33">
        <v>0.0</v>
      </c>
      <c r="O182" s="33">
        <v>0.0</v>
      </c>
      <c r="P182" s="33">
        <v>0.0</v>
      </c>
      <c r="Q182" s="33">
        <v>0.0</v>
      </c>
      <c r="R182" s="33">
        <v>0.0</v>
      </c>
      <c r="S182" s="33">
        <v>0.0</v>
      </c>
      <c r="T182" s="33">
        <v>737.2</v>
      </c>
      <c r="U182" s="33">
        <v>0.0</v>
      </c>
      <c r="V182" s="33">
        <v>0.0</v>
      </c>
      <c r="W182" s="33">
        <v>0.0</v>
      </c>
      <c r="X182" s="33">
        <v>0.0</v>
      </c>
      <c r="Y182" s="33">
        <v>0.0</v>
      </c>
      <c r="Z182" s="33">
        <v>0.0</v>
      </c>
      <c r="AA182" s="33">
        <v>0.0</v>
      </c>
      <c r="AB182" s="33">
        <v>0.0</v>
      </c>
      <c r="AC182" s="33">
        <v>0.0</v>
      </c>
      <c r="AD182" s="33">
        <v>0.0</v>
      </c>
      <c r="AE182" s="33">
        <v>0.0</v>
      </c>
      <c r="AF182" s="33">
        <v>0.0</v>
      </c>
      <c r="AG182" s="33">
        <v>0.0</v>
      </c>
      <c r="AH182" s="33">
        <v>0.0</v>
      </c>
      <c r="AI182" s="33">
        <v>0.0</v>
      </c>
      <c r="AJ182" s="33">
        <v>0.0</v>
      </c>
      <c r="AK182" s="33">
        <v>0.0</v>
      </c>
    </row>
    <row r="183">
      <c r="A183" s="33">
        <v>78760.0</v>
      </c>
      <c r="B183" s="33">
        <v>1000.0</v>
      </c>
      <c r="C183" s="33">
        <v>0.0</v>
      </c>
      <c r="D183" s="33">
        <v>0.0</v>
      </c>
      <c r="E183" s="33">
        <v>1000.0</v>
      </c>
      <c r="F183" s="33">
        <v>0.0</v>
      </c>
      <c r="G183" s="33">
        <v>1000.0</v>
      </c>
      <c r="H183" s="33">
        <v>0.0</v>
      </c>
      <c r="I183" s="33">
        <v>0.0</v>
      </c>
      <c r="J183" s="33">
        <v>0.0</v>
      </c>
      <c r="K183" s="33">
        <v>0.0</v>
      </c>
      <c r="L183" s="33">
        <v>0.0</v>
      </c>
      <c r="M183" s="33">
        <v>0.0</v>
      </c>
      <c r="N183" s="33">
        <v>1000.0</v>
      </c>
      <c r="O183" s="33">
        <v>0.0</v>
      </c>
      <c r="P183" s="33">
        <v>0.0</v>
      </c>
      <c r="Q183" s="33">
        <v>0.0</v>
      </c>
      <c r="R183" s="33">
        <v>0.0</v>
      </c>
      <c r="S183" s="33">
        <v>0.0</v>
      </c>
      <c r="T183" s="33">
        <v>1000.0</v>
      </c>
      <c r="U183" s="33">
        <v>0.0</v>
      </c>
      <c r="V183" s="33">
        <v>0.0</v>
      </c>
      <c r="W183" s="33">
        <v>1000.0</v>
      </c>
      <c r="X183" s="33">
        <v>0.0</v>
      </c>
      <c r="Y183" s="33">
        <v>0.0</v>
      </c>
      <c r="Z183" s="33">
        <v>0.0</v>
      </c>
      <c r="AA183" s="33">
        <v>0.0</v>
      </c>
      <c r="AB183" s="33">
        <v>1000.0</v>
      </c>
      <c r="AC183" s="33">
        <v>0.0</v>
      </c>
      <c r="AD183" s="33">
        <v>0.0</v>
      </c>
      <c r="AE183" s="33">
        <v>0.0</v>
      </c>
      <c r="AF183" s="33">
        <v>0.0</v>
      </c>
      <c r="AG183" s="33">
        <v>0.0</v>
      </c>
      <c r="AH183" s="33">
        <v>0.0</v>
      </c>
      <c r="AI183" s="33">
        <v>0.0</v>
      </c>
      <c r="AJ183" s="33">
        <v>0.0</v>
      </c>
      <c r="AK183" s="33">
        <v>0.0</v>
      </c>
    </row>
    <row r="184">
      <c r="A184" s="33">
        <v>76501.0</v>
      </c>
      <c r="B184" s="33">
        <v>0.0</v>
      </c>
      <c r="C184" s="33">
        <v>0.0</v>
      </c>
      <c r="D184" s="33">
        <v>0.0</v>
      </c>
      <c r="E184" s="33">
        <v>0.0</v>
      </c>
      <c r="F184" s="33">
        <v>0.0</v>
      </c>
      <c r="G184" s="33">
        <v>0.0</v>
      </c>
      <c r="H184" s="33">
        <v>0.0</v>
      </c>
      <c r="I184" s="33">
        <v>0.0</v>
      </c>
      <c r="J184" s="33">
        <v>0.0</v>
      </c>
      <c r="K184" s="33">
        <v>0.0</v>
      </c>
      <c r="L184" s="33">
        <v>0.0</v>
      </c>
      <c r="M184" s="33">
        <v>0.0</v>
      </c>
      <c r="N184" s="33">
        <v>0.0</v>
      </c>
      <c r="O184" s="33">
        <v>0.0</v>
      </c>
      <c r="P184" s="33">
        <v>0.0</v>
      </c>
      <c r="Q184" s="33">
        <v>0.0</v>
      </c>
      <c r="R184" s="33">
        <v>0.0</v>
      </c>
      <c r="S184" s="33">
        <v>0.0</v>
      </c>
      <c r="T184" s="33">
        <v>1000.0</v>
      </c>
      <c r="U184" s="33">
        <v>0.0</v>
      </c>
      <c r="V184" s="33">
        <v>0.0</v>
      </c>
      <c r="W184" s="33">
        <v>0.0</v>
      </c>
      <c r="X184" s="33">
        <v>0.0</v>
      </c>
      <c r="Y184" s="33">
        <v>0.0</v>
      </c>
      <c r="Z184" s="33">
        <v>0.0</v>
      </c>
      <c r="AA184" s="33">
        <v>0.0</v>
      </c>
      <c r="AB184" s="33">
        <v>0.0</v>
      </c>
      <c r="AC184" s="33">
        <v>0.0</v>
      </c>
      <c r="AD184" s="33">
        <v>0.0</v>
      </c>
      <c r="AE184" s="33">
        <v>0.0</v>
      </c>
      <c r="AF184" s="33">
        <v>0.0</v>
      </c>
      <c r="AG184" s="33">
        <v>0.0</v>
      </c>
      <c r="AH184" s="33">
        <v>0.0</v>
      </c>
      <c r="AI184" s="33">
        <v>0.0</v>
      </c>
      <c r="AJ184" s="33">
        <v>0.0</v>
      </c>
      <c r="AK184" s="33">
        <v>0.0</v>
      </c>
    </row>
    <row r="185">
      <c r="A185" s="33">
        <v>76065.0</v>
      </c>
      <c r="B185" s="33">
        <v>0.0</v>
      </c>
      <c r="C185" s="33">
        <v>0.0</v>
      </c>
      <c r="D185" s="33">
        <v>0.0</v>
      </c>
      <c r="E185" s="33">
        <v>0.0</v>
      </c>
      <c r="F185" s="33">
        <v>0.0</v>
      </c>
      <c r="G185" s="33">
        <v>75.0</v>
      </c>
      <c r="H185" s="33">
        <v>50.0</v>
      </c>
      <c r="I185" s="33">
        <v>0.0</v>
      </c>
      <c r="J185" s="33">
        <v>0.0</v>
      </c>
      <c r="K185" s="33">
        <v>0.0</v>
      </c>
      <c r="L185" s="33">
        <v>0.0</v>
      </c>
      <c r="M185" s="33">
        <v>0.0</v>
      </c>
      <c r="N185" s="33">
        <v>0.0</v>
      </c>
      <c r="O185" s="33">
        <v>0.0</v>
      </c>
      <c r="P185" s="33">
        <v>0.0</v>
      </c>
      <c r="Q185" s="33">
        <v>0.0</v>
      </c>
      <c r="R185" s="33">
        <v>0.0</v>
      </c>
      <c r="S185" s="33">
        <v>0.0</v>
      </c>
      <c r="T185" s="33">
        <v>500.0</v>
      </c>
      <c r="U185" s="33">
        <v>0.0</v>
      </c>
      <c r="V185" s="33">
        <v>0.0</v>
      </c>
      <c r="W185" s="33">
        <v>0.0</v>
      </c>
      <c r="X185" s="33">
        <v>0.0</v>
      </c>
      <c r="Y185" s="33">
        <v>0.0</v>
      </c>
      <c r="Z185" s="33">
        <v>0.0</v>
      </c>
      <c r="AA185" s="33">
        <v>0.0</v>
      </c>
      <c r="AB185" s="33">
        <v>0.0</v>
      </c>
      <c r="AC185" s="33">
        <v>0.0</v>
      </c>
      <c r="AD185" s="33">
        <v>0.0</v>
      </c>
      <c r="AE185" s="33">
        <v>0.0</v>
      </c>
      <c r="AF185" s="33">
        <v>0.0</v>
      </c>
      <c r="AG185" s="33">
        <v>0.0</v>
      </c>
      <c r="AH185" s="33">
        <v>100.0</v>
      </c>
      <c r="AI185" s="33">
        <v>0.0</v>
      </c>
      <c r="AJ185" s="33">
        <v>0.0</v>
      </c>
      <c r="AK185" s="33">
        <v>0.0</v>
      </c>
    </row>
    <row r="186">
      <c r="A186" s="33">
        <v>75089.0</v>
      </c>
      <c r="B186" s="33">
        <v>0.0</v>
      </c>
      <c r="C186" s="33">
        <v>0.0</v>
      </c>
      <c r="D186" s="33">
        <v>0.0</v>
      </c>
      <c r="E186" s="33">
        <v>0.0</v>
      </c>
      <c r="F186" s="33">
        <v>0.0</v>
      </c>
      <c r="G186" s="33">
        <v>0.0</v>
      </c>
      <c r="H186" s="33">
        <v>0.0</v>
      </c>
      <c r="I186" s="33">
        <v>0.0</v>
      </c>
      <c r="J186" s="33">
        <v>0.0</v>
      </c>
      <c r="K186" s="33">
        <v>0.0</v>
      </c>
      <c r="L186" s="33">
        <v>0.0</v>
      </c>
      <c r="M186" s="33">
        <v>0.0</v>
      </c>
      <c r="N186" s="33">
        <v>0.0</v>
      </c>
      <c r="O186" s="33">
        <v>0.0</v>
      </c>
      <c r="P186" s="33">
        <v>0.0</v>
      </c>
      <c r="Q186" s="33">
        <v>0.0</v>
      </c>
      <c r="R186" s="33">
        <v>0.0</v>
      </c>
      <c r="S186" s="33">
        <v>0.0</v>
      </c>
      <c r="T186" s="33">
        <v>50.0</v>
      </c>
      <c r="U186" s="33">
        <v>0.0</v>
      </c>
      <c r="V186" s="33">
        <v>0.0</v>
      </c>
      <c r="W186" s="33">
        <v>0.0</v>
      </c>
      <c r="X186" s="33">
        <v>0.0</v>
      </c>
      <c r="Y186" s="33">
        <v>0.0</v>
      </c>
      <c r="Z186" s="33">
        <v>0.0</v>
      </c>
      <c r="AA186" s="33">
        <v>0.0</v>
      </c>
      <c r="AB186" s="33">
        <v>0.0</v>
      </c>
      <c r="AC186" s="33">
        <v>0.0</v>
      </c>
      <c r="AD186" s="33">
        <v>0.0</v>
      </c>
      <c r="AE186" s="33">
        <v>0.0</v>
      </c>
      <c r="AF186" s="33">
        <v>0.0</v>
      </c>
      <c r="AG186" s="33">
        <v>0.0</v>
      </c>
      <c r="AH186" s="33">
        <v>0.0</v>
      </c>
      <c r="AI186" s="33">
        <v>0.0</v>
      </c>
      <c r="AJ186" s="33">
        <v>0.0</v>
      </c>
      <c r="AK186" s="33">
        <v>0.0</v>
      </c>
    </row>
    <row r="187">
      <c r="A187" s="33">
        <v>77005.0</v>
      </c>
      <c r="B187" s="33">
        <v>0.0</v>
      </c>
      <c r="C187" s="33">
        <v>0.0</v>
      </c>
      <c r="D187" s="33">
        <v>0.0</v>
      </c>
      <c r="E187" s="33">
        <v>0.0</v>
      </c>
      <c r="F187" s="33">
        <v>0.0</v>
      </c>
      <c r="G187" s="33">
        <v>0.0</v>
      </c>
      <c r="H187" s="33">
        <v>0.0</v>
      </c>
      <c r="I187" s="33">
        <v>0.0</v>
      </c>
      <c r="J187" s="33">
        <v>0.0</v>
      </c>
      <c r="K187" s="33">
        <v>0.0</v>
      </c>
      <c r="L187" s="33">
        <v>0.0</v>
      </c>
      <c r="M187" s="33">
        <v>0.0</v>
      </c>
      <c r="N187" s="33">
        <v>0.0</v>
      </c>
      <c r="O187" s="33">
        <v>0.0</v>
      </c>
      <c r="P187" s="33">
        <v>0.0</v>
      </c>
      <c r="Q187" s="33">
        <v>0.0</v>
      </c>
      <c r="R187" s="33">
        <v>0.0</v>
      </c>
      <c r="S187" s="33">
        <v>0.0</v>
      </c>
      <c r="T187" s="33">
        <v>250.0</v>
      </c>
      <c r="U187" s="33">
        <v>0.0</v>
      </c>
      <c r="V187" s="33">
        <v>0.0</v>
      </c>
      <c r="W187" s="33">
        <v>0.0</v>
      </c>
      <c r="X187" s="33">
        <v>0.0</v>
      </c>
      <c r="Y187" s="33">
        <v>0.0</v>
      </c>
      <c r="Z187" s="33">
        <v>2000.0</v>
      </c>
      <c r="AA187" s="33">
        <v>0.0</v>
      </c>
      <c r="AB187" s="33">
        <v>0.0</v>
      </c>
      <c r="AC187" s="33">
        <v>0.0</v>
      </c>
      <c r="AD187" s="33">
        <v>0.0</v>
      </c>
      <c r="AE187" s="33">
        <v>0.0</v>
      </c>
      <c r="AF187" s="33">
        <v>0.0</v>
      </c>
      <c r="AG187" s="33">
        <v>0.0</v>
      </c>
      <c r="AH187" s="33">
        <v>0.0</v>
      </c>
      <c r="AI187" s="33">
        <v>0.0</v>
      </c>
      <c r="AJ187" s="33">
        <v>0.0</v>
      </c>
      <c r="AK187" s="33">
        <v>0.0</v>
      </c>
    </row>
    <row r="188">
      <c r="A188" s="33">
        <v>75057.0</v>
      </c>
      <c r="B188" s="33">
        <v>0.0</v>
      </c>
      <c r="C188" s="33">
        <v>0.0</v>
      </c>
      <c r="D188" s="33">
        <v>0.0</v>
      </c>
      <c r="E188" s="33">
        <v>0.0</v>
      </c>
      <c r="F188" s="33">
        <v>0.0</v>
      </c>
      <c r="G188" s="33">
        <v>1000.0</v>
      </c>
      <c r="H188" s="33">
        <v>0.0</v>
      </c>
      <c r="I188" s="33">
        <v>0.0</v>
      </c>
      <c r="J188" s="33">
        <v>0.0</v>
      </c>
      <c r="K188" s="33">
        <v>0.0</v>
      </c>
      <c r="L188" s="33">
        <v>0.0</v>
      </c>
      <c r="M188" s="33">
        <v>0.0</v>
      </c>
      <c r="N188" s="33">
        <v>0.0</v>
      </c>
      <c r="O188" s="33">
        <v>0.0</v>
      </c>
      <c r="P188" s="33">
        <v>0.0</v>
      </c>
      <c r="Q188" s="33">
        <v>0.0</v>
      </c>
      <c r="R188" s="33">
        <v>0.0</v>
      </c>
      <c r="S188" s="33">
        <v>0.0</v>
      </c>
      <c r="T188" s="33">
        <v>3900.0</v>
      </c>
      <c r="U188" s="33">
        <v>0.0</v>
      </c>
      <c r="V188" s="33">
        <v>0.0</v>
      </c>
      <c r="W188" s="33">
        <v>2000.0</v>
      </c>
      <c r="X188" s="33">
        <v>0.0</v>
      </c>
      <c r="Y188" s="33">
        <v>0.0</v>
      </c>
      <c r="Z188" s="33">
        <v>5050.0</v>
      </c>
      <c r="AA188" s="33">
        <v>0.0</v>
      </c>
      <c r="AB188" s="33">
        <v>0.0</v>
      </c>
      <c r="AC188" s="33">
        <v>0.0</v>
      </c>
      <c r="AD188" s="33">
        <v>0.0</v>
      </c>
      <c r="AE188" s="33">
        <v>0.0</v>
      </c>
      <c r="AF188" s="33">
        <v>0.0</v>
      </c>
      <c r="AG188" s="33">
        <v>0.0</v>
      </c>
      <c r="AH188" s="33">
        <v>0.0</v>
      </c>
      <c r="AI188" s="33">
        <v>0.0</v>
      </c>
      <c r="AJ188" s="33">
        <v>0.0</v>
      </c>
      <c r="AK188" s="33">
        <v>0.0</v>
      </c>
    </row>
    <row r="189">
      <c r="A189" s="33">
        <v>75065.0</v>
      </c>
      <c r="B189" s="33">
        <v>0.0</v>
      </c>
      <c r="C189" s="33">
        <v>0.0</v>
      </c>
      <c r="D189" s="33">
        <v>0.0</v>
      </c>
      <c r="E189" s="33">
        <v>0.0</v>
      </c>
      <c r="F189" s="33">
        <v>0.0</v>
      </c>
      <c r="G189" s="33">
        <v>0.0</v>
      </c>
      <c r="H189" s="33">
        <v>0.0</v>
      </c>
      <c r="I189" s="33">
        <v>0.0</v>
      </c>
      <c r="J189" s="33">
        <v>0.0</v>
      </c>
      <c r="K189" s="33">
        <v>0.0</v>
      </c>
      <c r="L189" s="33">
        <v>0.0</v>
      </c>
      <c r="M189" s="33">
        <v>0.0</v>
      </c>
      <c r="N189" s="33">
        <v>1000.0</v>
      </c>
      <c r="O189" s="33">
        <v>0.0</v>
      </c>
      <c r="P189" s="33">
        <v>0.0</v>
      </c>
      <c r="Q189" s="33">
        <v>0.0</v>
      </c>
      <c r="R189" s="33">
        <v>0.0</v>
      </c>
      <c r="S189" s="33">
        <v>0.0</v>
      </c>
      <c r="T189" s="33">
        <v>0.0</v>
      </c>
      <c r="U189" s="33">
        <v>0.0</v>
      </c>
      <c r="V189" s="33">
        <v>0.0</v>
      </c>
      <c r="W189" s="33">
        <v>0.0</v>
      </c>
      <c r="X189" s="33">
        <v>0.0</v>
      </c>
      <c r="Y189" s="33">
        <v>0.0</v>
      </c>
      <c r="Z189" s="33">
        <v>0.0</v>
      </c>
      <c r="AA189" s="33">
        <v>0.0</v>
      </c>
      <c r="AB189" s="33">
        <v>0.0</v>
      </c>
      <c r="AC189" s="33">
        <v>0.0</v>
      </c>
      <c r="AD189" s="33">
        <v>0.0</v>
      </c>
      <c r="AE189" s="33">
        <v>0.0</v>
      </c>
      <c r="AF189" s="33">
        <v>0.0</v>
      </c>
      <c r="AG189" s="33">
        <v>0.0</v>
      </c>
      <c r="AH189" s="33">
        <v>0.0</v>
      </c>
      <c r="AI189" s="33">
        <v>0.0</v>
      </c>
      <c r="AJ189" s="33">
        <v>0.0</v>
      </c>
      <c r="AK189" s="33">
        <v>0.0</v>
      </c>
    </row>
    <row r="190">
      <c r="A190" s="33">
        <v>77072.0</v>
      </c>
      <c r="B190" s="33">
        <v>0.0</v>
      </c>
      <c r="C190" s="33">
        <v>0.0</v>
      </c>
      <c r="D190" s="33">
        <v>0.0</v>
      </c>
      <c r="E190" s="33">
        <v>0.0</v>
      </c>
      <c r="F190" s="33">
        <v>0.0</v>
      </c>
      <c r="G190" s="33">
        <v>0.0</v>
      </c>
      <c r="H190" s="33">
        <v>0.0</v>
      </c>
      <c r="I190" s="33">
        <v>0.0</v>
      </c>
      <c r="J190" s="33">
        <v>0.0</v>
      </c>
      <c r="K190" s="33">
        <v>0.0</v>
      </c>
      <c r="L190" s="33">
        <v>0.0</v>
      </c>
      <c r="M190" s="33">
        <v>0.0</v>
      </c>
      <c r="N190" s="33">
        <v>1000.0</v>
      </c>
      <c r="O190" s="33">
        <v>0.0</v>
      </c>
      <c r="P190" s="33">
        <v>0.0</v>
      </c>
      <c r="Q190" s="33">
        <v>0.0</v>
      </c>
      <c r="R190" s="33">
        <v>0.0</v>
      </c>
      <c r="S190" s="33">
        <v>0.0</v>
      </c>
      <c r="T190" s="33">
        <v>0.0</v>
      </c>
      <c r="U190" s="33">
        <v>0.0</v>
      </c>
      <c r="V190" s="33">
        <v>0.0</v>
      </c>
      <c r="W190" s="33">
        <v>0.0</v>
      </c>
      <c r="X190" s="33">
        <v>0.0</v>
      </c>
      <c r="Y190" s="33">
        <v>0.0</v>
      </c>
      <c r="Z190" s="33">
        <v>0.0</v>
      </c>
      <c r="AA190" s="33">
        <v>0.0</v>
      </c>
      <c r="AB190" s="33">
        <v>0.0</v>
      </c>
      <c r="AC190" s="33">
        <v>0.0</v>
      </c>
      <c r="AD190" s="33">
        <v>0.0</v>
      </c>
      <c r="AE190" s="33">
        <v>0.0</v>
      </c>
      <c r="AF190" s="33">
        <v>0.0</v>
      </c>
      <c r="AG190" s="33">
        <v>0.0</v>
      </c>
      <c r="AH190" s="33">
        <v>0.0</v>
      </c>
      <c r="AI190" s="33">
        <v>0.0</v>
      </c>
      <c r="AJ190" s="33">
        <v>0.0</v>
      </c>
      <c r="AK190" s="33">
        <v>0.0</v>
      </c>
    </row>
    <row r="191">
      <c r="A191" s="33">
        <v>77046.0</v>
      </c>
      <c r="B191" s="33">
        <v>0.0</v>
      </c>
      <c r="C191" s="33">
        <v>0.0</v>
      </c>
      <c r="D191" s="33">
        <v>0.0</v>
      </c>
      <c r="E191" s="33">
        <v>0.0</v>
      </c>
      <c r="F191" s="33">
        <v>0.0</v>
      </c>
      <c r="G191" s="33">
        <v>0.0</v>
      </c>
      <c r="H191" s="33">
        <v>0.0</v>
      </c>
      <c r="I191" s="33">
        <v>0.0</v>
      </c>
      <c r="J191" s="33">
        <v>0.0</v>
      </c>
      <c r="K191" s="33">
        <v>0.0</v>
      </c>
      <c r="L191" s="33">
        <v>1000.0</v>
      </c>
      <c r="M191" s="33">
        <v>0.0</v>
      </c>
      <c r="N191" s="33">
        <v>0.0</v>
      </c>
      <c r="O191" s="33">
        <v>0.0</v>
      </c>
      <c r="P191" s="33">
        <v>0.0</v>
      </c>
      <c r="Q191" s="33">
        <v>0.0</v>
      </c>
      <c r="R191" s="33">
        <v>0.0</v>
      </c>
      <c r="S191" s="33">
        <v>0.0</v>
      </c>
      <c r="T191" s="33">
        <v>0.0</v>
      </c>
      <c r="U191" s="33">
        <v>0.0</v>
      </c>
      <c r="V191" s="33">
        <v>0.0</v>
      </c>
      <c r="W191" s="33">
        <v>1000.0</v>
      </c>
      <c r="X191" s="33">
        <v>0.0</v>
      </c>
      <c r="Y191" s="33">
        <v>0.0</v>
      </c>
      <c r="Z191" s="33">
        <v>0.0</v>
      </c>
      <c r="AA191" s="33">
        <v>0.0</v>
      </c>
      <c r="AB191" s="33">
        <v>0.0</v>
      </c>
      <c r="AC191" s="33">
        <v>0.0</v>
      </c>
      <c r="AD191" s="33">
        <v>0.0</v>
      </c>
      <c r="AE191" s="33">
        <v>0.0</v>
      </c>
      <c r="AF191" s="33">
        <v>0.0</v>
      </c>
      <c r="AG191" s="33">
        <v>0.0</v>
      </c>
      <c r="AH191" s="33">
        <v>0.0</v>
      </c>
      <c r="AI191" s="33">
        <v>0.0</v>
      </c>
      <c r="AJ191" s="33">
        <v>0.0</v>
      </c>
      <c r="AK191" s="33">
        <v>0.0</v>
      </c>
    </row>
    <row r="192">
      <c r="A192" s="33">
        <v>75831.0</v>
      </c>
      <c r="B192" s="33">
        <v>0.0</v>
      </c>
      <c r="C192" s="33">
        <v>0.0</v>
      </c>
      <c r="D192" s="33">
        <v>0.0</v>
      </c>
      <c r="E192" s="33">
        <v>0.0</v>
      </c>
      <c r="F192" s="33">
        <v>0.0</v>
      </c>
      <c r="G192" s="33">
        <v>0.0</v>
      </c>
      <c r="H192" s="33">
        <v>0.0</v>
      </c>
      <c r="I192" s="33">
        <v>0.0</v>
      </c>
      <c r="J192" s="33">
        <v>0.0</v>
      </c>
      <c r="K192" s="33">
        <v>0.0</v>
      </c>
      <c r="L192" s="33">
        <v>1000.0</v>
      </c>
      <c r="M192" s="33">
        <v>0.0</v>
      </c>
      <c r="N192" s="33">
        <v>0.0</v>
      </c>
      <c r="O192" s="33">
        <v>0.0</v>
      </c>
      <c r="P192" s="33">
        <v>0.0</v>
      </c>
      <c r="Q192" s="33">
        <v>0.0</v>
      </c>
      <c r="R192" s="33">
        <v>0.0</v>
      </c>
      <c r="S192" s="33">
        <v>0.0</v>
      </c>
      <c r="T192" s="33">
        <v>0.0</v>
      </c>
      <c r="U192" s="33">
        <v>0.0</v>
      </c>
      <c r="V192" s="33">
        <v>0.0</v>
      </c>
      <c r="W192" s="33">
        <v>0.0</v>
      </c>
      <c r="X192" s="33">
        <v>0.0</v>
      </c>
      <c r="Y192" s="33">
        <v>0.0</v>
      </c>
      <c r="Z192" s="33">
        <v>0.0</v>
      </c>
      <c r="AA192" s="33">
        <v>0.0</v>
      </c>
      <c r="AB192" s="33">
        <v>0.0</v>
      </c>
      <c r="AC192" s="33">
        <v>0.0</v>
      </c>
      <c r="AD192" s="33">
        <v>0.0</v>
      </c>
      <c r="AE192" s="33">
        <v>0.0</v>
      </c>
      <c r="AF192" s="33">
        <v>0.0</v>
      </c>
      <c r="AG192" s="33">
        <v>0.0</v>
      </c>
      <c r="AH192" s="33">
        <v>0.0</v>
      </c>
      <c r="AI192" s="33">
        <v>0.0</v>
      </c>
      <c r="AJ192" s="33">
        <v>0.0</v>
      </c>
      <c r="AK192" s="33">
        <v>0.0</v>
      </c>
    </row>
    <row r="193">
      <c r="A193" s="33">
        <v>77777.0</v>
      </c>
      <c r="B193" s="33">
        <v>0.0</v>
      </c>
      <c r="C193" s="33">
        <v>0.0</v>
      </c>
      <c r="D193" s="33">
        <v>0.0</v>
      </c>
      <c r="E193" s="33">
        <v>0.0</v>
      </c>
      <c r="F193" s="33">
        <v>0.0</v>
      </c>
      <c r="G193" s="33">
        <v>0.0</v>
      </c>
      <c r="H193" s="33">
        <v>0.0</v>
      </c>
      <c r="I193" s="33">
        <v>0.0</v>
      </c>
      <c r="J193" s="33">
        <v>0.0</v>
      </c>
      <c r="K193" s="33">
        <v>0.0</v>
      </c>
      <c r="L193" s="33">
        <v>0.0</v>
      </c>
      <c r="M193" s="33">
        <v>0.0</v>
      </c>
      <c r="N193" s="33">
        <v>0.0</v>
      </c>
      <c r="O193" s="33">
        <v>0.0</v>
      </c>
      <c r="P193" s="33">
        <v>0.0</v>
      </c>
      <c r="Q193" s="33">
        <v>0.0</v>
      </c>
      <c r="R193" s="33">
        <v>0.0</v>
      </c>
      <c r="S193" s="33">
        <v>0.0</v>
      </c>
      <c r="T193" s="33">
        <v>0.0</v>
      </c>
      <c r="U193" s="33">
        <v>0.0</v>
      </c>
      <c r="V193" s="33">
        <v>0.0</v>
      </c>
      <c r="W193" s="33">
        <v>0.0</v>
      </c>
      <c r="X193" s="33">
        <v>0.0</v>
      </c>
      <c r="Y193" s="33">
        <v>0.0</v>
      </c>
      <c r="Z193" s="33">
        <v>0.0</v>
      </c>
      <c r="AA193" s="33">
        <v>0.0</v>
      </c>
      <c r="AB193" s="33">
        <v>0.0</v>
      </c>
      <c r="AC193" s="33">
        <v>0.0</v>
      </c>
      <c r="AD193" s="33">
        <v>0.0</v>
      </c>
      <c r="AE193" s="33">
        <v>0.0</v>
      </c>
      <c r="AF193" s="33">
        <v>100.0</v>
      </c>
      <c r="AG193" s="33">
        <v>0.0</v>
      </c>
      <c r="AH193" s="33">
        <v>0.0</v>
      </c>
      <c r="AI193" s="33">
        <v>0.0</v>
      </c>
      <c r="AJ193" s="33">
        <v>0.0</v>
      </c>
      <c r="AK193" s="33">
        <v>0.0</v>
      </c>
    </row>
    <row r="194">
      <c r="A194" s="33">
        <v>75156.0</v>
      </c>
      <c r="B194" s="33">
        <v>0.0</v>
      </c>
      <c r="C194" s="33">
        <v>0.0</v>
      </c>
      <c r="D194" s="33">
        <v>0.0</v>
      </c>
      <c r="E194" s="33">
        <v>0.0</v>
      </c>
      <c r="F194" s="33">
        <v>0.0</v>
      </c>
      <c r="G194" s="33">
        <v>0.0</v>
      </c>
      <c r="H194" s="33">
        <v>0.0</v>
      </c>
      <c r="I194" s="33">
        <v>0.0</v>
      </c>
      <c r="J194" s="33">
        <v>0.0</v>
      </c>
      <c r="K194" s="33">
        <v>0.0</v>
      </c>
      <c r="L194" s="33">
        <v>0.0</v>
      </c>
      <c r="M194" s="33">
        <v>0.0</v>
      </c>
      <c r="N194" s="33">
        <v>0.0</v>
      </c>
      <c r="O194" s="33">
        <v>0.0</v>
      </c>
      <c r="P194" s="33">
        <v>0.0</v>
      </c>
      <c r="Q194" s="33">
        <v>0.0</v>
      </c>
      <c r="R194" s="33">
        <v>0.0</v>
      </c>
      <c r="S194" s="33">
        <v>0.0</v>
      </c>
      <c r="T194" s="33">
        <v>0.0</v>
      </c>
      <c r="U194" s="33">
        <v>0.0</v>
      </c>
      <c r="V194" s="33">
        <v>0.0</v>
      </c>
      <c r="W194" s="33">
        <v>0.0</v>
      </c>
      <c r="X194" s="33">
        <v>0.0</v>
      </c>
      <c r="Y194" s="33">
        <v>0.0</v>
      </c>
      <c r="Z194" s="33">
        <v>0.0</v>
      </c>
      <c r="AA194" s="33">
        <v>0.0</v>
      </c>
      <c r="AB194" s="33">
        <v>0.0</v>
      </c>
      <c r="AC194" s="33">
        <v>500.0</v>
      </c>
      <c r="AD194" s="33">
        <v>0.0</v>
      </c>
      <c r="AE194" s="33">
        <v>0.0</v>
      </c>
      <c r="AF194" s="33">
        <v>0.0</v>
      </c>
      <c r="AG194" s="33">
        <v>0.0</v>
      </c>
      <c r="AH194" s="33">
        <v>0.0</v>
      </c>
      <c r="AI194" s="33">
        <v>0.0</v>
      </c>
      <c r="AJ194" s="33">
        <v>0.0</v>
      </c>
      <c r="AK194" s="33">
        <v>0.0</v>
      </c>
    </row>
    <row r="195">
      <c r="A195" s="33">
        <v>75374.0</v>
      </c>
      <c r="B195" s="33">
        <v>0.0</v>
      </c>
      <c r="C195" s="33">
        <v>0.0</v>
      </c>
      <c r="D195" s="33">
        <v>0.0</v>
      </c>
      <c r="E195" s="33">
        <v>0.0</v>
      </c>
      <c r="F195" s="33">
        <v>0.0</v>
      </c>
      <c r="G195" s="33">
        <v>0.0</v>
      </c>
      <c r="H195" s="33">
        <v>0.0</v>
      </c>
      <c r="I195" s="33">
        <v>0.0</v>
      </c>
      <c r="J195" s="33">
        <v>0.0</v>
      </c>
      <c r="K195" s="33">
        <v>0.0</v>
      </c>
      <c r="L195" s="33">
        <v>0.0</v>
      </c>
      <c r="M195" s="33">
        <v>0.0</v>
      </c>
      <c r="N195" s="33">
        <v>0.0</v>
      </c>
      <c r="O195" s="33">
        <v>0.0</v>
      </c>
      <c r="P195" s="33">
        <v>0.0</v>
      </c>
      <c r="Q195" s="33">
        <v>0.0</v>
      </c>
      <c r="R195" s="33">
        <v>0.0</v>
      </c>
      <c r="S195" s="33">
        <v>0.0</v>
      </c>
      <c r="T195" s="33">
        <v>0.0</v>
      </c>
      <c r="U195" s="33">
        <v>0.0</v>
      </c>
      <c r="V195" s="33">
        <v>0.0</v>
      </c>
      <c r="W195" s="33">
        <v>0.0</v>
      </c>
      <c r="X195" s="33">
        <v>0.0</v>
      </c>
      <c r="Y195" s="33">
        <v>0.0</v>
      </c>
      <c r="Z195" s="33">
        <v>0.0</v>
      </c>
      <c r="AA195" s="33">
        <v>0.0</v>
      </c>
      <c r="AB195" s="33">
        <v>0.0</v>
      </c>
      <c r="AC195" s="33">
        <v>250.0</v>
      </c>
      <c r="AD195" s="33">
        <v>0.0</v>
      </c>
      <c r="AE195" s="33">
        <v>0.0</v>
      </c>
      <c r="AF195" s="33">
        <v>0.0</v>
      </c>
      <c r="AG195" s="33">
        <v>0.0</v>
      </c>
      <c r="AH195" s="33">
        <v>0.0</v>
      </c>
      <c r="AI195" s="33">
        <v>0.0</v>
      </c>
      <c r="AJ195" s="33">
        <v>0.0</v>
      </c>
      <c r="AK195" s="33">
        <v>0.0</v>
      </c>
    </row>
    <row r="196">
      <c r="A196" s="33">
        <v>76134.0</v>
      </c>
      <c r="B196" s="33">
        <v>0.0</v>
      </c>
      <c r="C196" s="33">
        <v>0.0</v>
      </c>
      <c r="D196" s="33">
        <v>0.0</v>
      </c>
      <c r="E196" s="33">
        <v>0.0</v>
      </c>
      <c r="F196" s="33">
        <v>0.0</v>
      </c>
      <c r="G196" s="33">
        <v>0.0</v>
      </c>
      <c r="H196" s="33">
        <v>0.0</v>
      </c>
      <c r="I196" s="33">
        <v>0.0</v>
      </c>
      <c r="J196" s="33">
        <v>0.0</v>
      </c>
      <c r="K196" s="33">
        <v>0.0</v>
      </c>
      <c r="L196" s="33">
        <v>0.0</v>
      </c>
      <c r="M196" s="33">
        <v>0.0</v>
      </c>
      <c r="N196" s="33">
        <v>0.0</v>
      </c>
      <c r="O196" s="33">
        <v>0.0</v>
      </c>
      <c r="P196" s="33">
        <v>0.0</v>
      </c>
      <c r="Q196" s="33">
        <v>0.0</v>
      </c>
      <c r="R196" s="33">
        <v>0.0</v>
      </c>
      <c r="S196" s="33">
        <v>0.0</v>
      </c>
      <c r="T196" s="33">
        <v>0.0</v>
      </c>
      <c r="U196" s="33">
        <v>0.0</v>
      </c>
      <c r="V196" s="33">
        <v>0.0</v>
      </c>
      <c r="W196" s="33">
        <v>0.0</v>
      </c>
      <c r="X196" s="33">
        <v>0.0</v>
      </c>
      <c r="Y196" s="33">
        <v>0.0</v>
      </c>
      <c r="Z196" s="33">
        <v>0.0</v>
      </c>
      <c r="AA196" s="33">
        <v>0.0</v>
      </c>
      <c r="AB196" s="33">
        <v>0.0</v>
      </c>
      <c r="AC196" s="33">
        <v>0.0</v>
      </c>
      <c r="AD196" s="33">
        <v>0.0</v>
      </c>
      <c r="AE196" s="33">
        <v>0.0</v>
      </c>
      <c r="AF196" s="33">
        <v>0.0</v>
      </c>
      <c r="AG196" s="33">
        <v>0.0</v>
      </c>
      <c r="AH196" s="33">
        <v>25.0</v>
      </c>
      <c r="AI196" s="33">
        <v>0.0</v>
      </c>
      <c r="AJ196" s="33">
        <v>0.0</v>
      </c>
      <c r="AK196" s="33">
        <v>0.0</v>
      </c>
    </row>
    <row r="197">
      <c r="A197" s="33">
        <v>75407.0</v>
      </c>
      <c r="B197" s="33">
        <v>0.0</v>
      </c>
      <c r="C197" s="33">
        <v>0.0</v>
      </c>
      <c r="D197" s="33">
        <v>0.0</v>
      </c>
      <c r="E197" s="33">
        <v>0.0</v>
      </c>
      <c r="F197" s="33">
        <v>0.0</v>
      </c>
      <c r="G197" s="33">
        <v>0.0</v>
      </c>
      <c r="H197" s="33">
        <v>0.0</v>
      </c>
      <c r="I197" s="33">
        <v>0.0</v>
      </c>
      <c r="J197" s="33">
        <v>0.0</v>
      </c>
      <c r="K197" s="33">
        <v>0.0</v>
      </c>
      <c r="L197" s="33">
        <v>0.0</v>
      </c>
      <c r="M197" s="33">
        <v>0.0</v>
      </c>
      <c r="N197" s="33">
        <v>0.0</v>
      </c>
      <c r="O197" s="33">
        <v>0.0</v>
      </c>
      <c r="P197" s="33">
        <v>0.0</v>
      </c>
      <c r="Q197" s="33">
        <v>0.0</v>
      </c>
      <c r="R197" s="33">
        <v>0.0</v>
      </c>
      <c r="S197" s="33">
        <v>0.0</v>
      </c>
      <c r="T197" s="33">
        <v>0.0</v>
      </c>
      <c r="U197" s="33">
        <v>0.0</v>
      </c>
      <c r="V197" s="33">
        <v>0.0</v>
      </c>
      <c r="W197" s="33">
        <v>0.0</v>
      </c>
      <c r="X197" s="33">
        <v>0.0</v>
      </c>
      <c r="Y197" s="33">
        <v>0.0</v>
      </c>
      <c r="Z197" s="33">
        <v>0.0</v>
      </c>
      <c r="AA197" s="33">
        <v>0.0</v>
      </c>
      <c r="AB197" s="33">
        <v>0.0</v>
      </c>
      <c r="AC197" s="33">
        <v>0.0</v>
      </c>
      <c r="AD197" s="33">
        <v>0.0</v>
      </c>
      <c r="AE197" s="33">
        <v>0.0</v>
      </c>
      <c r="AF197" s="33">
        <v>0.0</v>
      </c>
      <c r="AG197" s="33">
        <v>0.0</v>
      </c>
      <c r="AH197" s="33">
        <v>25.0</v>
      </c>
      <c r="AI197" s="33">
        <v>0.0</v>
      </c>
      <c r="AJ197" s="33">
        <v>0.0</v>
      </c>
      <c r="AK197" s="33">
        <v>0.0</v>
      </c>
    </row>
    <row r="198">
      <c r="A198" s="33">
        <v>75339.0</v>
      </c>
      <c r="B198" s="33">
        <v>0.0</v>
      </c>
      <c r="C198" s="33">
        <v>0.0</v>
      </c>
      <c r="D198" s="33">
        <v>0.0</v>
      </c>
      <c r="E198" s="33">
        <v>0.0</v>
      </c>
      <c r="F198" s="33">
        <v>0.0</v>
      </c>
      <c r="G198" s="33">
        <v>0.0</v>
      </c>
      <c r="H198" s="33">
        <v>0.0</v>
      </c>
      <c r="I198" s="33">
        <v>0.0</v>
      </c>
      <c r="J198" s="33">
        <v>0.0</v>
      </c>
      <c r="K198" s="33">
        <v>0.0</v>
      </c>
      <c r="L198" s="33">
        <v>0.0</v>
      </c>
      <c r="M198" s="33">
        <v>0.0</v>
      </c>
      <c r="N198" s="33">
        <v>0.0</v>
      </c>
      <c r="O198" s="33">
        <v>0.0</v>
      </c>
      <c r="P198" s="33">
        <v>0.0</v>
      </c>
      <c r="Q198" s="33">
        <v>100.0</v>
      </c>
      <c r="R198" s="33">
        <v>0.0</v>
      </c>
      <c r="S198" s="33">
        <v>0.0</v>
      </c>
      <c r="T198" s="33">
        <v>0.0</v>
      </c>
      <c r="U198" s="33">
        <v>0.0</v>
      </c>
      <c r="V198" s="33">
        <v>0.0</v>
      </c>
      <c r="W198" s="33">
        <v>0.0</v>
      </c>
      <c r="X198" s="33">
        <v>0.0</v>
      </c>
      <c r="Y198" s="33">
        <v>0.0</v>
      </c>
      <c r="Z198" s="33">
        <v>0.0</v>
      </c>
      <c r="AA198" s="33">
        <v>0.0</v>
      </c>
      <c r="AB198" s="33">
        <v>0.0</v>
      </c>
      <c r="AC198" s="33">
        <v>0.0</v>
      </c>
      <c r="AD198" s="33">
        <v>0.0</v>
      </c>
      <c r="AE198" s="33">
        <v>0.0</v>
      </c>
      <c r="AF198" s="33">
        <v>0.0</v>
      </c>
      <c r="AG198" s="33">
        <v>0.0</v>
      </c>
      <c r="AH198" s="33">
        <v>1000.0</v>
      </c>
      <c r="AI198" s="33">
        <v>0.0</v>
      </c>
      <c r="AJ198" s="33">
        <v>0.0</v>
      </c>
      <c r="AK198" s="33">
        <v>0.0</v>
      </c>
    </row>
    <row r="199">
      <c r="A199" s="33">
        <v>75044.0</v>
      </c>
      <c r="B199" s="33">
        <v>2000.0</v>
      </c>
      <c r="C199" s="33">
        <v>0.0</v>
      </c>
      <c r="D199" s="33">
        <v>0.0</v>
      </c>
      <c r="E199" s="33">
        <v>0.0</v>
      </c>
      <c r="F199" s="33">
        <v>0.0</v>
      </c>
      <c r="G199" s="33">
        <v>100.0</v>
      </c>
      <c r="H199" s="33">
        <v>0.0</v>
      </c>
      <c r="I199" s="33">
        <v>0.0</v>
      </c>
      <c r="J199" s="33">
        <v>0.0</v>
      </c>
      <c r="K199" s="33">
        <v>0.0</v>
      </c>
      <c r="L199" s="33">
        <v>0.0</v>
      </c>
      <c r="M199" s="33">
        <v>0.0</v>
      </c>
      <c r="N199" s="33">
        <v>0.0</v>
      </c>
      <c r="O199" s="33">
        <v>0.0</v>
      </c>
      <c r="P199" s="33">
        <v>0.0</v>
      </c>
      <c r="Q199" s="33">
        <v>0.0</v>
      </c>
      <c r="R199" s="33">
        <v>0.0</v>
      </c>
      <c r="S199" s="33">
        <v>0.0</v>
      </c>
      <c r="T199" s="33">
        <v>0.0</v>
      </c>
      <c r="U199" s="33">
        <v>0.0</v>
      </c>
      <c r="V199" s="33">
        <v>0.0</v>
      </c>
      <c r="W199" s="33">
        <v>0.0</v>
      </c>
      <c r="X199" s="33">
        <v>0.0</v>
      </c>
      <c r="Y199" s="33">
        <v>0.0</v>
      </c>
      <c r="Z199" s="33">
        <v>0.0</v>
      </c>
      <c r="AA199" s="33">
        <v>0.0</v>
      </c>
      <c r="AB199" s="33">
        <v>0.0</v>
      </c>
      <c r="AC199" s="33">
        <v>0.0</v>
      </c>
      <c r="AD199" s="33">
        <v>0.0</v>
      </c>
      <c r="AE199" s="33">
        <v>0.0</v>
      </c>
      <c r="AF199" s="33">
        <v>0.0</v>
      </c>
      <c r="AG199" s="33">
        <v>0.0</v>
      </c>
      <c r="AH199" s="33">
        <v>0.0</v>
      </c>
      <c r="AI199" s="33">
        <v>0.0</v>
      </c>
      <c r="AJ199" s="33">
        <v>0.0</v>
      </c>
      <c r="AK199" s="33">
        <v>0.0</v>
      </c>
    </row>
    <row r="200">
      <c r="A200" s="33">
        <v>76001.0</v>
      </c>
      <c r="B200" s="33">
        <v>0.0</v>
      </c>
      <c r="C200" s="33">
        <v>0.0</v>
      </c>
      <c r="D200" s="33">
        <v>0.0</v>
      </c>
      <c r="E200" s="33">
        <v>0.0</v>
      </c>
      <c r="F200" s="33">
        <v>0.0</v>
      </c>
      <c r="G200" s="33">
        <v>200.0</v>
      </c>
      <c r="H200" s="33">
        <v>0.0</v>
      </c>
      <c r="I200" s="33">
        <v>0.0</v>
      </c>
      <c r="J200" s="33">
        <v>0.0</v>
      </c>
      <c r="K200" s="33">
        <v>0.0</v>
      </c>
      <c r="L200" s="33">
        <v>0.0</v>
      </c>
      <c r="M200" s="33">
        <v>0.0</v>
      </c>
      <c r="N200" s="33">
        <v>0.0</v>
      </c>
      <c r="O200" s="33">
        <v>0.0</v>
      </c>
      <c r="P200" s="33">
        <v>0.0</v>
      </c>
      <c r="Q200" s="33">
        <v>0.0</v>
      </c>
      <c r="R200" s="33">
        <v>0.0</v>
      </c>
      <c r="S200" s="33">
        <v>0.0</v>
      </c>
      <c r="T200" s="33">
        <v>0.0</v>
      </c>
      <c r="U200" s="33">
        <v>0.0</v>
      </c>
      <c r="V200" s="33">
        <v>0.0</v>
      </c>
      <c r="W200" s="33">
        <v>0.0</v>
      </c>
      <c r="X200" s="33">
        <v>0.0</v>
      </c>
      <c r="Y200" s="33">
        <v>0.0</v>
      </c>
      <c r="Z200" s="33">
        <v>0.0</v>
      </c>
      <c r="AA200" s="33">
        <v>0.0</v>
      </c>
      <c r="AB200" s="33">
        <v>0.0</v>
      </c>
      <c r="AC200" s="33">
        <v>0.0</v>
      </c>
      <c r="AD200" s="33">
        <v>0.0</v>
      </c>
      <c r="AE200" s="33">
        <v>0.0</v>
      </c>
      <c r="AF200" s="33">
        <v>0.0</v>
      </c>
      <c r="AG200" s="33">
        <v>0.0</v>
      </c>
      <c r="AH200" s="33">
        <v>0.0</v>
      </c>
      <c r="AI200" s="33">
        <v>0.0</v>
      </c>
      <c r="AJ200" s="33">
        <v>0.0</v>
      </c>
      <c r="AK200" s="33">
        <v>0.0</v>
      </c>
    </row>
    <row r="201">
      <c r="A201" s="33">
        <v>76653.0</v>
      </c>
      <c r="B201" s="33">
        <v>0.0</v>
      </c>
      <c r="C201" s="33">
        <v>0.0</v>
      </c>
      <c r="D201" s="33">
        <v>0.0</v>
      </c>
      <c r="E201" s="33">
        <v>0.0</v>
      </c>
      <c r="F201" s="33">
        <v>0.0</v>
      </c>
      <c r="G201" s="33">
        <v>500.0</v>
      </c>
      <c r="H201" s="33">
        <v>0.0</v>
      </c>
      <c r="I201" s="33">
        <v>0.0</v>
      </c>
      <c r="J201" s="33">
        <v>0.0</v>
      </c>
      <c r="K201" s="33">
        <v>0.0</v>
      </c>
      <c r="L201" s="33">
        <v>0.0</v>
      </c>
      <c r="M201" s="33">
        <v>0.0</v>
      </c>
      <c r="N201" s="33">
        <v>0.0</v>
      </c>
      <c r="O201" s="33">
        <v>0.0</v>
      </c>
      <c r="P201" s="33">
        <v>0.0</v>
      </c>
      <c r="Q201" s="33">
        <v>0.0</v>
      </c>
      <c r="R201" s="33">
        <v>0.0</v>
      </c>
      <c r="S201" s="33">
        <v>0.0</v>
      </c>
      <c r="T201" s="33">
        <v>0.0</v>
      </c>
      <c r="U201" s="33">
        <v>0.0</v>
      </c>
      <c r="V201" s="33">
        <v>0.0</v>
      </c>
      <c r="W201" s="33">
        <v>0.0</v>
      </c>
      <c r="X201" s="33">
        <v>0.0</v>
      </c>
      <c r="Y201" s="33">
        <v>0.0</v>
      </c>
      <c r="Z201" s="33">
        <v>0.0</v>
      </c>
      <c r="AA201" s="33">
        <v>0.0</v>
      </c>
      <c r="AB201" s="33">
        <v>0.0</v>
      </c>
      <c r="AC201" s="33">
        <v>0.0</v>
      </c>
      <c r="AD201" s="33">
        <v>0.0</v>
      </c>
      <c r="AE201" s="33">
        <v>0.0</v>
      </c>
      <c r="AF201" s="33">
        <v>0.0</v>
      </c>
      <c r="AG201" s="33">
        <v>0.0</v>
      </c>
      <c r="AH201" s="33">
        <v>0.0</v>
      </c>
      <c r="AI201" s="33">
        <v>0.0</v>
      </c>
      <c r="AJ201" s="33">
        <v>0.0</v>
      </c>
      <c r="AK201" s="33">
        <v>0.0</v>
      </c>
    </row>
    <row r="202">
      <c r="A202" s="33">
        <v>78748.0</v>
      </c>
      <c r="B202" s="33">
        <v>0.0</v>
      </c>
      <c r="C202" s="33">
        <v>0.0</v>
      </c>
      <c r="D202" s="33">
        <v>0.0</v>
      </c>
      <c r="E202" s="33">
        <v>0.0</v>
      </c>
      <c r="F202" s="33">
        <v>0.0</v>
      </c>
      <c r="G202" s="33">
        <v>100.0</v>
      </c>
      <c r="H202" s="33">
        <v>0.0</v>
      </c>
      <c r="I202" s="33">
        <v>0.0</v>
      </c>
      <c r="J202" s="33">
        <v>0.0</v>
      </c>
      <c r="K202" s="33">
        <v>0.0</v>
      </c>
      <c r="L202" s="33">
        <v>0.0</v>
      </c>
      <c r="M202" s="33">
        <v>0.0</v>
      </c>
      <c r="N202" s="33">
        <v>0.0</v>
      </c>
      <c r="O202" s="33">
        <v>0.0</v>
      </c>
      <c r="P202" s="33">
        <v>0.0</v>
      </c>
      <c r="Q202" s="33">
        <v>0.0</v>
      </c>
      <c r="R202" s="33">
        <v>0.0</v>
      </c>
      <c r="S202" s="33">
        <v>0.0</v>
      </c>
      <c r="T202" s="33">
        <v>0.0</v>
      </c>
      <c r="U202" s="33">
        <v>0.0</v>
      </c>
      <c r="V202" s="33">
        <v>0.0</v>
      </c>
      <c r="W202" s="33">
        <v>100.0</v>
      </c>
      <c r="X202" s="33">
        <v>0.0</v>
      </c>
      <c r="Y202" s="33">
        <v>0.0</v>
      </c>
      <c r="Z202" s="33">
        <v>0.0</v>
      </c>
      <c r="AA202" s="33">
        <v>0.0</v>
      </c>
      <c r="AB202" s="33">
        <v>0.0</v>
      </c>
      <c r="AC202" s="33">
        <v>0.0</v>
      </c>
      <c r="AD202" s="33">
        <v>0.0</v>
      </c>
      <c r="AE202" s="33">
        <v>0.0</v>
      </c>
      <c r="AF202" s="33">
        <v>0.0</v>
      </c>
      <c r="AG202" s="33">
        <v>0.0</v>
      </c>
      <c r="AH202" s="33">
        <v>0.0</v>
      </c>
      <c r="AI202" s="33">
        <v>0.0</v>
      </c>
      <c r="AJ202" s="33">
        <v>0.0</v>
      </c>
      <c r="AK202" s="33">
        <v>0.0</v>
      </c>
    </row>
    <row r="203">
      <c r="A203" s="33">
        <v>76209.0</v>
      </c>
      <c r="B203" s="33">
        <v>0.0</v>
      </c>
      <c r="C203" s="33">
        <v>0.0</v>
      </c>
      <c r="D203" s="33">
        <v>0.0</v>
      </c>
      <c r="E203" s="33">
        <v>0.0</v>
      </c>
      <c r="F203" s="33">
        <v>0.0</v>
      </c>
      <c r="G203" s="33">
        <v>100.0</v>
      </c>
      <c r="H203" s="33">
        <v>0.0</v>
      </c>
      <c r="I203" s="33">
        <v>0.0</v>
      </c>
      <c r="J203" s="33">
        <v>0.0</v>
      </c>
      <c r="K203" s="33">
        <v>0.0</v>
      </c>
      <c r="L203" s="33">
        <v>0.0</v>
      </c>
      <c r="M203" s="33">
        <v>0.0</v>
      </c>
      <c r="N203" s="33">
        <v>0.0</v>
      </c>
      <c r="O203" s="33">
        <v>0.0</v>
      </c>
      <c r="P203" s="33">
        <v>0.0</v>
      </c>
      <c r="Q203" s="33">
        <v>0.0</v>
      </c>
      <c r="R203" s="33">
        <v>0.0</v>
      </c>
      <c r="S203" s="33">
        <v>0.0</v>
      </c>
      <c r="T203" s="33">
        <v>0.0</v>
      </c>
      <c r="U203" s="33">
        <v>0.0</v>
      </c>
      <c r="V203" s="33">
        <v>0.0</v>
      </c>
      <c r="W203" s="33">
        <v>0.0</v>
      </c>
      <c r="X203" s="33">
        <v>0.0</v>
      </c>
      <c r="Y203" s="33">
        <v>0.0</v>
      </c>
      <c r="Z203" s="33">
        <v>0.0</v>
      </c>
      <c r="AA203" s="33">
        <v>0.0</v>
      </c>
      <c r="AB203" s="33">
        <v>0.0</v>
      </c>
      <c r="AC203" s="33">
        <v>0.0</v>
      </c>
      <c r="AD203" s="33">
        <v>0.0</v>
      </c>
      <c r="AE203" s="33">
        <v>0.0</v>
      </c>
      <c r="AF203" s="33">
        <v>0.0</v>
      </c>
      <c r="AG203" s="33">
        <v>0.0</v>
      </c>
      <c r="AH203" s="33">
        <v>0.0</v>
      </c>
      <c r="AI203" s="33">
        <v>0.0</v>
      </c>
      <c r="AJ203" s="33">
        <v>0.0</v>
      </c>
      <c r="AK203" s="33">
        <v>0.0</v>
      </c>
    </row>
    <row r="204">
      <c r="A204" s="33">
        <v>77055.0</v>
      </c>
      <c r="B204" s="33">
        <v>0.0</v>
      </c>
      <c r="C204" s="33">
        <v>0.0</v>
      </c>
      <c r="D204" s="33">
        <v>0.0</v>
      </c>
      <c r="E204" s="33">
        <v>1000.0</v>
      </c>
      <c r="F204" s="33">
        <v>0.0</v>
      </c>
      <c r="G204" s="33">
        <v>0.0</v>
      </c>
      <c r="H204" s="33">
        <v>0.0</v>
      </c>
      <c r="I204" s="33">
        <v>0.0</v>
      </c>
      <c r="J204" s="33">
        <v>0.0</v>
      </c>
      <c r="K204" s="33">
        <v>0.0</v>
      </c>
      <c r="L204" s="33">
        <v>0.0</v>
      </c>
      <c r="M204" s="33">
        <v>0.0</v>
      </c>
      <c r="N204" s="33">
        <v>0.0</v>
      </c>
      <c r="O204" s="33">
        <v>0.0</v>
      </c>
      <c r="P204" s="33">
        <v>0.0</v>
      </c>
      <c r="Q204" s="33">
        <v>0.0</v>
      </c>
      <c r="R204" s="33">
        <v>0.0</v>
      </c>
      <c r="S204" s="33">
        <v>0.0</v>
      </c>
      <c r="T204" s="33">
        <v>0.0</v>
      </c>
      <c r="U204" s="33">
        <v>0.0</v>
      </c>
      <c r="V204" s="33">
        <v>0.0</v>
      </c>
      <c r="W204" s="33">
        <v>0.0</v>
      </c>
      <c r="X204" s="33">
        <v>0.0</v>
      </c>
      <c r="Y204" s="33">
        <v>0.0</v>
      </c>
      <c r="Z204" s="33">
        <v>0.0</v>
      </c>
      <c r="AA204" s="33">
        <v>0.0</v>
      </c>
      <c r="AB204" s="33">
        <v>0.0</v>
      </c>
      <c r="AC204" s="33">
        <v>0.0</v>
      </c>
      <c r="AD204" s="33">
        <v>0.0</v>
      </c>
      <c r="AE204" s="33">
        <v>0.0</v>
      </c>
      <c r="AF204" s="33">
        <v>0.0</v>
      </c>
      <c r="AG204" s="33">
        <v>0.0</v>
      </c>
      <c r="AH204" s="33">
        <v>0.0</v>
      </c>
      <c r="AI204" s="33">
        <v>0.0</v>
      </c>
      <c r="AJ204" s="33">
        <v>0.0</v>
      </c>
      <c r="AK204" s="33">
        <v>0.0</v>
      </c>
    </row>
    <row r="205">
      <c r="A205" s="33">
        <v>75092.0</v>
      </c>
      <c r="B205" s="33">
        <v>100.0</v>
      </c>
      <c r="C205" s="33">
        <v>0.0</v>
      </c>
      <c r="D205" s="33">
        <v>0.0</v>
      </c>
      <c r="E205" s="33">
        <v>0.0</v>
      </c>
      <c r="F205" s="33">
        <v>0.0</v>
      </c>
      <c r="G205" s="33">
        <v>0.0</v>
      </c>
      <c r="H205" s="33">
        <v>0.0</v>
      </c>
      <c r="I205" s="33">
        <v>0.0</v>
      </c>
      <c r="J205" s="33">
        <v>0.0</v>
      </c>
      <c r="K205" s="33">
        <v>0.0</v>
      </c>
      <c r="L205" s="33">
        <v>0.0</v>
      </c>
      <c r="M205" s="33">
        <v>0.0</v>
      </c>
      <c r="N205" s="33">
        <v>0.0</v>
      </c>
      <c r="O205" s="33">
        <v>0.0</v>
      </c>
      <c r="P205" s="33">
        <v>0.0</v>
      </c>
      <c r="Q205" s="33">
        <v>0.0</v>
      </c>
      <c r="R205" s="33">
        <v>0.0</v>
      </c>
      <c r="S205" s="33">
        <v>0.0</v>
      </c>
      <c r="T205" s="33">
        <v>0.0</v>
      </c>
      <c r="U205" s="33">
        <v>0.0</v>
      </c>
      <c r="V205" s="33">
        <v>0.0</v>
      </c>
      <c r="W205" s="33">
        <v>0.0</v>
      </c>
      <c r="X205" s="33">
        <v>0.0</v>
      </c>
      <c r="Y205" s="33">
        <v>0.0</v>
      </c>
      <c r="Z205" s="33">
        <v>0.0</v>
      </c>
      <c r="AA205" s="33">
        <v>0.0</v>
      </c>
      <c r="AB205" s="33">
        <v>0.0</v>
      </c>
      <c r="AC205" s="33">
        <v>0.0</v>
      </c>
      <c r="AD205" s="33">
        <v>0.0</v>
      </c>
      <c r="AE205" s="33">
        <v>0.0</v>
      </c>
      <c r="AF205" s="33">
        <v>0.0</v>
      </c>
      <c r="AG205" s="33">
        <v>0.0</v>
      </c>
      <c r="AH205" s="33">
        <v>0.0</v>
      </c>
      <c r="AI205" s="33">
        <v>0.0</v>
      </c>
      <c r="AJ205" s="33">
        <v>0.0</v>
      </c>
      <c r="AK205" s="33">
        <v>0.0</v>
      </c>
    </row>
    <row r="206">
      <c r="A206" s="33">
        <v>77073.0</v>
      </c>
      <c r="B206" s="33">
        <v>0.0</v>
      </c>
      <c r="C206" s="33">
        <v>0.0</v>
      </c>
      <c r="D206" s="33">
        <v>0.0</v>
      </c>
      <c r="E206" s="33">
        <v>0.0</v>
      </c>
      <c r="F206" s="33">
        <v>0.0</v>
      </c>
      <c r="G206" s="33">
        <v>0.0</v>
      </c>
      <c r="H206" s="33">
        <v>0.0</v>
      </c>
      <c r="I206" s="33">
        <v>0.0</v>
      </c>
      <c r="J206" s="33">
        <v>0.0</v>
      </c>
      <c r="K206" s="33">
        <v>0.0</v>
      </c>
      <c r="L206" s="33">
        <v>0.0</v>
      </c>
      <c r="M206" s="33">
        <v>0.0</v>
      </c>
      <c r="N206" s="33">
        <v>0.0</v>
      </c>
      <c r="O206" s="33">
        <v>1000.0</v>
      </c>
      <c r="P206" s="33">
        <v>0.0</v>
      </c>
      <c r="Q206" s="33">
        <v>0.0</v>
      </c>
      <c r="R206" s="33">
        <v>0.0</v>
      </c>
      <c r="S206" s="33">
        <v>0.0</v>
      </c>
      <c r="T206" s="33">
        <v>0.0</v>
      </c>
      <c r="U206" s="33">
        <v>0.0</v>
      </c>
      <c r="V206" s="33">
        <v>0.0</v>
      </c>
      <c r="W206" s="33">
        <v>0.0</v>
      </c>
      <c r="X206" s="33">
        <v>0.0</v>
      </c>
      <c r="Y206" s="33">
        <v>0.0</v>
      </c>
      <c r="Z206" s="33">
        <v>0.0</v>
      </c>
      <c r="AA206" s="33">
        <v>0.0</v>
      </c>
      <c r="AB206" s="33">
        <v>1000.0</v>
      </c>
      <c r="AC206" s="33">
        <v>0.0</v>
      </c>
      <c r="AD206" s="33">
        <v>0.0</v>
      </c>
      <c r="AE206" s="33">
        <v>0.0</v>
      </c>
      <c r="AF206" s="33">
        <v>0.0</v>
      </c>
      <c r="AG206" s="33">
        <v>0.0</v>
      </c>
      <c r="AH206" s="33">
        <v>0.0</v>
      </c>
      <c r="AI206" s="33">
        <v>0.0</v>
      </c>
      <c r="AJ206" s="33">
        <v>0.0</v>
      </c>
      <c r="AK206" s="33">
        <v>0.0</v>
      </c>
    </row>
    <row r="207">
      <c r="A207" s="33">
        <v>76110.0</v>
      </c>
      <c r="B207" s="33">
        <v>0.0</v>
      </c>
      <c r="C207" s="33">
        <v>0.0</v>
      </c>
      <c r="D207" s="33">
        <v>0.0</v>
      </c>
      <c r="E207" s="33">
        <v>0.0</v>
      </c>
      <c r="F207" s="33">
        <v>0.0</v>
      </c>
      <c r="G207" s="33">
        <v>0.0</v>
      </c>
      <c r="H207" s="33">
        <v>0.0</v>
      </c>
      <c r="I207" s="33">
        <v>0.0</v>
      </c>
      <c r="J207" s="33">
        <v>0.0</v>
      </c>
      <c r="K207" s="33">
        <v>0.0</v>
      </c>
      <c r="L207" s="33">
        <v>0.0</v>
      </c>
      <c r="M207" s="33">
        <v>0.0</v>
      </c>
      <c r="N207" s="33">
        <v>0.0</v>
      </c>
      <c r="O207" s="33">
        <v>0.0</v>
      </c>
      <c r="P207" s="33">
        <v>0.0</v>
      </c>
      <c r="Q207" s="33">
        <v>0.0</v>
      </c>
      <c r="R207" s="33">
        <v>0.0</v>
      </c>
      <c r="S207" s="33">
        <v>0.0</v>
      </c>
      <c r="T207" s="33">
        <v>474.7</v>
      </c>
      <c r="U207" s="33">
        <v>0.0</v>
      </c>
      <c r="V207" s="33">
        <v>0.0</v>
      </c>
      <c r="W207" s="33">
        <v>0.0</v>
      </c>
      <c r="X207" s="33">
        <v>0.0</v>
      </c>
      <c r="Y207" s="33">
        <v>0.0</v>
      </c>
      <c r="Z207" s="33">
        <v>0.0</v>
      </c>
      <c r="AA207" s="33">
        <v>0.0</v>
      </c>
      <c r="AB207" s="33">
        <v>0.0</v>
      </c>
      <c r="AC207" s="33">
        <v>0.0</v>
      </c>
      <c r="AD207" s="33">
        <v>0.0</v>
      </c>
      <c r="AE207" s="33">
        <v>0.0</v>
      </c>
      <c r="AF207" s="33">
        <v>0.0</v>
      </c>
      <c r="AG207" s="33">
        <v>0.0</v>
      </c>
      <c r="AH207" s="33">
        <v>0.0</v>
      </c>
      <c r="AI207" s="33">
        <v>0.0</v>
      </c>
      <c r="AJ207" s="33">
        <v>0.0</v>
      </c>
      <c r="AK207" s="33">
        <v>0.0</v>
      </c>
    </row>
    <row r="208">
      <c r="A208" s="33">
        <v>76092.0</v>
      </c>
      <c r="B208" s="33">
        <v>0.0</v>
      </c>
      <c r="C208" s="33">
        <v>0.0</v>
      </c>
      <c r="D208" s="33">
        <v>0.0</v>
      </c>
      <c r="E208" s="33">
        <v>0.0</v>
      </c>
      <c r="F208" s="33">
        <v>0.0</v>
      </c>
      <c r="G208" s="33">
        <v>0.0</v>
      </c>
      <c r="H208" s="33">
        <v>0.0</v>
      </c>
      <c r="I208" s="33">
        <v>0.0</v>
      </c>
      <c r="J208" s="33">
        <v>0.0</v>
      </c>
      <c r="K208" s="33">
        <v>0.0</v>
      </c>
      <c r="L208" s="33">
        <v>0.0</v>
      </c>
      <c r="M208" s="33">
        <v>0.0</v>
      </c>
      <c r="N208" s="33">
        <v>0.0</v>
      </c>
      <c r="O208" s="33">
        <v>0.0</v>
      </c>
      <c r="P208" s="33">
        <v>0.0</v>
      </c>
      <c r="Q208" s="33">
        <v>0.0</v>
      </c>
      <c r="R208" s="33">
        <v>0.0</v>
      </c>
      <c r="S208" s="33">
        <v>0.0</v>
      </c>
      <c r="T208" s="33">
        <v>1000.0</v>
      </c>
      <c r="U208" s="33">
        <v>0.0</v>
      </c>
      <c r="V208" s="33">
        <v>0.0</v>
      </c>
      <c r="W208" s="33">
        <v>0.0</v>
      </c>
      <c r="X208" s="33">
        <v>0.0</v>
      </c>
      <c r="Y208" s="33">
        <v>0.0</v>
      </c>
      <c r="Z208" s="33">
        <v>0.0</v>
      </c>
      <c r="AA208" s="33">
        <v>0.0</v>
      </c>
      <c r="AB208" s="33">
        <v>0.0</v>
      </c>
      <c r="AC208" s="33">
        <v>0.0</v>
      </c>
      <c r="AD208" s="33">
        <v>0.0</v>
      </c>
      <c r="AE208" s="33">
        <v>0.0</v>
      </c>
      <c r="AF208" s="33">
        <v>0.0</v>
      </c>
      <c r="AG208" s="33">
        <v>0.0</v>
      </c>
      <c r="AH208" s="33">
        <v>0.0</v>
      </c>
      <c r="AI208" s="33">
        <v>0.0</v>
      </c>
      <c r="AJ208" s="33">
        <v>0.0</v>
      </c>
      <c r="AK208" s="33">
        <v>0.0</v>
      </c>
    </row>
    <row r="209">
      <c r="A209" s="33">
        <v>76104.0</v>
      </c>
      <c r="B209" s="33">
        <v>0.0</v>
      </c>
      <c r="C209" s="33">
        <v>0.0</v>
      </c>
      <c r="D209" s="33">
        <v>0.0</v>
      </c>
      <c r="E209" s="33">
        <v>0.0</v>
      </c>
      <c r="F209" s="33">
        <v>0.0</v>
      </c>
      <c r="G209" s="33">
        <v>0.0</v>
      </c>
      <c r="H209" s="33">
        <v>0.0</v>
      </c>
      <c r="I209" s="33">
        <v>0.0</v>
      </c>
      <c r="J209" s="33">
        <v>0.0</v>
      </c>
      <c r="K209" s="33">
        <v>0.0</v>
      </c>
      <c r="L209" s="33">
        <v>0.0</v>
      </c>
      <c r="M209" s="33">
        <v>0.0</v>
      </c>
      <c r="N209" s="33">
        <v>0.0</v>
      </c>
      <c r="O209" s="33">
        <v>0.0</v>
      </c>
      <c r="P209" s="33">
        <v>0.0</v>
      </c>
      <c r="Q209" s="33">
        <v>0.0</v>
      </c>
      <c r="R209" s="33">
        <v>0.0</v>
      </c>
      <c r="S209" s="33">
        <v>0.0</v>
      </c>
      <c r="T209" s="33">
        <v>1000.0</v>
      </c>
      <c r="U209" s="33">
        <v>0.0</v>
      </c>
      <c r="V209" s="33">
        <v>0.0</v>
      </c>
      <c r="W209" s="33">
        <v>0.0</v>
      </c>
      <c r="X209" s="33">
        <v>0.0</v>
      </c>
      <c r="Y209" s="33">
        <v>0.0</v>
      </c>
      <c r="Z209" s="33">
        <v>0.0</v>
      </c>
      <c r="AA209" s="33">
        <v>0.0</v>
      </c>
      <c r="AB209" s="33">
        <v>0.0</v>
      </c>
      <c r="AC209" s="33">
        <v>0.0</v>
      </c>
      <c r="AD209" s="33">
        <v>0.0</v>
      </c>
      <c r="AE209" s="33">
        <v>0.0</v>
      </c>
      <c r="AF209" s="33">
        <v>0.0</v>
      </c>
      <c r="AG209" s="33">
        <v>0.0</v>
      </c>
      <c r="AH209" s="33">
        <v>0.0</v>
      </c>
      <c r="AI209" s="33">
        <v>0.0</v>
      </c>
      <c r="AJ209" s="33">
        <v>0.0</v>
      </c>
      <c r="AK209" s="33">
        <v>0.0</v>
      </c>
    </row>
    <row r="210">
      <c r="A210" s="33">
        <v>76712.0</v>
      </c>
      <c r="B210" s="33">
        <v>0.0</v>
      </c>
      <c r="C210" s="33">
        <v>0.0</v>
      </c>
      <c r="D210" s="33">
        <v>0.0</v>
      </c>
      <c r="E210" s="33">
        <v>0.0</v>
      </c>
      <c r="F210" s="33">
        <v>0.0</v>
      </c>
      <c r="G210" s="33">
        <v>0.0</v>
      </c>
      <c r="H210" s="33">
        <v>0.0</v>
      </c>
      <c r="I210" s="33">
        <v>0.0</v>
      </c>
      <c r="J210" s="33">
        <v>0.0</v>
      </c>
      <c r="K210" s="33">
        <v>0.0</v>
      </c>
      <c r="L210" s="33">
        <v>0.0</v>
      </c>
      <c r="M210" s="33">
        <v>0.0</v>
      </c>
      <c r="N210" s="33">
        <v>0.0</v>
      </c>
      <c r="O210" s="33">
        <v>0.0</v>
      </c>
      <c r="P210" s="33">
        <v>0.0</v>
      </c>
      <c r="Q210" s="33">
        <v>0.0</v>
      </c>
      <c r="R210" s="33">
        <v>0.0</v>
      </c>
      <c r="S210" s="33">
        <v>0.0</v>
      </c>
      <c r="T210" s="33">
        <v>0.0</v>
      </c>
      <c r="U210" s="33">
        <v>0.0</v>
      </c>
      <c r="V210" s="33">
        <v>0.0</v>
      </c>
      <c r="W210" s="33">
        <v>250.0</v>
      </c>
      <c r="X210" s="33">
        <v>0.0</v>
      </c>
      <c r="Y210" s="33">
        <v>0.0</v>
      </c>
      <c r="Z210" s="33">
        <v>0.0</v>
      </c>
      <c r="AA210" s="33">
        <v>0.0</v>
      </c>
      <c r="AB210" s="33">
        <v>0.0</v>
      </c>
      <c r="AC210" s="33">
        <v>0.0</v>
      </c>
      <c r="AD210" s="33">
        <v>0.0</v>
      </c>
      <c r="AE210" s="33">
        <v>0.0</v>
      </c>
      <c r="AF210" s="33">
        <v>0.0</v>
      </c>
      <c r="AG210" s="33">
        <v>0.0</v>
      </c>
      <c r="AH210" s="33">
        <v>0.0</v>
      </c>
      <c r="AI210" s="33">
        <v>0.0</v>
      </c>
      <c r="AJ210" s="33">
        <v>0.0</v>
      </c>
      <c r="AK210" s="33">
        <v>0.0</v>
      </c>
    </row>
    <row r="211">
      <c r="A211" s="33">
        <v>78610.0</v>
      </c>
      <c r="B211" s="33">
        <v>0.0</v>
      </c>
      <c r="C211" s="33">
        <v>0.0</v>
      </c>
      <c r="D211" s="33">
        <v>0.0</v>
      </c>
      <c r="E211" s="33">
        <v>0.0</v>
      </c>
      <c r="F211" s="33">
        <v>0.0</v>
      </c>
      <c r="G211" s="33">
        <v>0.0</v>
      </c>
      <c r="H211" s="33">
        <v>0.0</v>
      </c>
      <c r="I211" s="33">
        <v>0.0</v>
      </c>
      <c r="J211" s="33">
        <v>0.0</v>
      </c>
      <c r="K211" s="33">
        <v>0.0</v>
      </c>
      <c r="L211" s="33">
        <v>0.0</v>
      </c>
      <c r="M211" s="33">
        <v>0.0</v>
      </c>
      <c r="N211" s="33">
        <v>0.0</v>
      </c>
      <c r="O211" s="33">
        <v>0.0</v>
      </c>
      <c r="P211" s="33">
        <v>0.0</v>
      </c>
      <c r="Q211" s="33">
        <v>0.0</v>
      </c>
      <c r="R211" s="33">
        <v>0.0</v>
      </c>
      <c r="S211" s="33">
        <v>0.0</v>
      </c>
      <c r="T211" s="33">
        <v>0.0</v>
      </c>
      <c r="U211" s="33">
        <v>0.0</v>
      </c>
      <c r="V211" s="33">
        <v>0.0</v>
      </c>
      <c r="W211" s="33">
        <v>250.0</v>
      </c>
      <c r="X211" s="33">
        <v>0.0</v>
      </c>
      <c r="Y211" s="33">
        <v>0.0</v>
      </c>
      <c r="Z211" s="33">
        <v>1800.0</v>
      </c>
      <c r="AA211" s="33">
        <v>0.0</v>
      </c>
      <c r="AB211" s="33">
        <v>0.0</v>
      </c>
      <c r="AC211" s="33">
        <v>0.0</v>
      </c>
      <c r="AD211" s="33">
        <v>0.0</v>
      </c>
      <c r="AE211" s="33">
        <v>0.0</v>
      </c>
      <c r="AF211" s="33">
        <v>0.0</v>
      </c>
      <c r="AG211" s="33">
        <v>0.0</v>
      </c>
      <c r="AH211" s="33">
        <v>0.0</v>
      </c>
      <c r="AI211" s="33">
        <v>0.0</v>
      </c>
      <c r="AJ211" s="33">
        <v>0.0</v>
      </c>
      <c r="AK211" s="33">
        <v>0.0</v>
      </c>
    </row>
    <row r="212">
      <c r="A212" s="33">
        <v>78737.0</v>
      </c>
      <c r="B212" s="33">
        <v>0.0</v>
      </c>
      <c r="C212" s="33">
        <v>0.0</v>
      </c>
      <c r="D212" s="33">
        <v>0.0</v>
      </c>
      <c r="E212" s="33">
        <v>0.0</v>
      </c>
      <c r="F212" s="33">
        <v>0.0</v>
      </c>
      <c r="G212" s="33">
        <v>0.0</v>
      </c>
      <c r="H212" s="33">
        <v>0.0</v>
      </c>
      <c r="I212" s="33">
        <v>0.0</v>
      </c>
      <c r="J212" s="33">
        <v>0.0</v>
      </c>
      <c r="K212" s="33">
        <v>0.0</v>
      </c>
      <c r="L212" s="33">
        <v>0.0</v>
      </c>
      <c r="M212" s="33">
        <v>0.0</v>
      </c>
      <c r="N212" s="33">
        <v>0.0</v>
      </c>
      <c r="O212" s="33">
        <v>0.0</v>
      </c>
      <c r="P212" s="33">
        <v>0.0</v>
      </c>
      <c r="Q212" s="33">
        <v>0.0</v>
      </c>
      <c r="R212" s="33">
        <v>0.0</v>
      </c>
      <c r="S212" s="33">
        <v>0.0</v>
      </c>
      <c r="T212" s="33">
        <v>0.0</v>
      </c>
      <c r="U212" s="33">
        <v>0.0</v>
      </c>
      <c r="V212" s="33">
        <v>0.0</v>
      </c>
      <c r="W212" s="33">
        <v>120.0</v>
      </c>
      <c r="X212" s="33">
        <v>0.0</v>
      </c>
      <c r="Y212" s="33">
        <v>0.0</v>
      </c>
      <c r="Z212" s="33">
        <v>0.0</v>
      </c>
      <c r="AA212" s="33">
        <v>0.0</v>
      </c>
      <c r="AB212" s="33">
        <v>0.0</v>
      </c>
      <c r="AC212" s="33">
        <v>0.0</v>
      </c>
      <c r="AD212" s="33">
        <v>0.0</v>
      </c>
      <c r="AE212" s="33">
        <v>0.0</v>
      </c>
      <c r="AF212" s="33">
        <v>0.0</v>
      </c>
      <c r="AG212" s="33">
        <v>0.0</v>
      </c>
      <c r="AH212" s="33">
        <v>0.0</v>
      </c>
      <c r="AI212" s="33">
        <v>0.0</v>
      </c>
      <c r="AJ212" s="33">
        <v>0.0</v>
      </c>
      <c r="AK212" s="33">
        <v>0.0</v>
      </c>
    </row>
    <row r="213">
      <c r="A213" s="33">
        <v>76011.0</v>
      </c>
      <c r="B213" s="33">
        <v>0.0</v>
      </c>
      <c r="C213" s="33">
        <v>0.0</v>
      </c>
      <c r="D213" s="33">
        <v>0.0</v>
      </c>
      <c r="E213" s="33">
        <v>0.0</v>
      </c>
      <c r="F213" s="33">
        <v>0.0</v>
      </c>
      <c r="G213" s="33">
        <v>0.0</v>
      </c>
      <c r="H213" s="33">
        <v>0.0</v>
      </c>
      <c r="I213" s="33">
        <v>0.0</v>
      </c>
      <c r="J213" s="33">
        <v>0.0</v>
      </c>
      <c r="K213" s="33">
        <v>0.0</v>
      </c>
      <c r="L213" s="33">
        <v>0.0</v>
      </c>
      <c r="M213" s="33">
        <v>0.0</v>
      </c>
      <c r="N213" s="33">
        <v>0.0</v>
      </c>
      <c r="O213" s="33">
        <v>0.0</v>
      </c>
      <c r="P213" s="33">
        <v>0.0</v>
      </c>
      <c r="Q213" s="33">
        <v>0.0</v>
      </c>
      <c r="R213" s="33">
        <v>0.0</v>
      </c>
      <c r="S213" s="33">
        <v>0.0</v>
      </c>
      <c r="T213" s="33">
        <v>0.0</v>
      </c>
      <c r="U213" s="33">
        <v>0.0</v>
      </c>
      <c r="V213" s="33">
        <v>0.0</v>
      </c>
      <c r="W213" s="33">
        <v>100.0</v>
      </c>
      <c r="X213" s="33">
        <v>0.0</v>
      </c>
      <c r="Y213" s="33">
        <v>0.0</v>
      </c>
      <c r="Z213" s="33">
        <v>0.0</v>
      </c>
      <c r="AA213" s="33">
        <v>0.0</v>
      </c>
      <c r="AB213" s="33">
        <v>1000.0</v>
      </c>
      <c r="AC213" s="33">
        <v>0.0</v>
      </c>
      <c r="AD213" s="33">
        <v>0.0</v>
      </c>
      <c r="AE213" s="33">
        <v>0.0</v>
      </c>
      <c r="AF213" s="33">
        <v>0.0</v>
      </c>
      <c r="AG213" s="33">
        <v>0.0</v>
      </c>
      <c r="AH213" s="33">
        <v>0.0</v>
      </c>
      <c r="AI213" s="33">
        <v>0.0</v>
      </c>
      <c r="AJ213" s="33">
        <v>0.0</v>
      </c>
      <c r="AK213" s="33">
        <v>0.0</v>
      </c>
    </row>
    <row r="214">
      <c r="A214" s="33">
        <v>75022.0</v>
      </c>
      <c r="B214" s="33">
        <v>0.0</v>
      </c>
      <c r="C214" s="33">
        <v>0.0</v>
      </c>
      <c r="D214" s="33">
        <v>0.0</v>
      </c>
      <c r="E214" s="33">
        <v>0.0</v>
      </c>
      <c r="F214" s="33">
        <v>0.0</v>
      </c>
      <c r="G214" s="33">
        <v>0.0</v>
      </c>
      <c r="H214" s="33">
        <v>0.0</v>
      </c>
      <c r="I214" s="33">
        <v>0.0</v>
      </c>
      <c r="J214" s="33">
        <v>0.0</v>
      </c>
      <c r="K214" s="33">
        <v>0.0</v>
      </c>
      <c r="L214" s="33">
        <v>0.0</v>
      </c>
      <c r="M214" s="33">
        <v>0.0</v>
      </c>
      <c r="N214" s="33">
        <v>0.0</v>
      </c>
      <c r="O214" s="33">
        <v>0.0</v>
      </c>
      <c r="P214" s="33">
        <v>0.0</v>
      </c>
      <c r="Q214" s="33">
        <v>0.0</v>
      </c>
      <c r="R214" s="33">
        <v>51.0</v>
      </c>
      <c r="S214" s="33">
        <v>0.0</v>
      </c>
      <c r="T214" s="33">
        <v>500.0</v>
      </c>
      <c r="U214" s="33">
        <v>0.0</v>
      </c>
      <c r="V214" s="33">
        <v>0.0</v>
      </c>
      <c r="W214" s="33">
        <v>0.0</v>
      </c>
      <c r="X214" s="33">
        <v>0.0</v>
      </c>
      <c r="Y214" s="33">
        <v>0.0</v>
      </c>
      <c r="Z214" s="33">
        <v>4000.0</v>
      </c>
      <c r="AA214" s="33">
        <v>0.0</v>
      </c>
      <c r="AB214" s="33">
        <v>0.0</v>
      </c>
      <c r="AC214" s="33">
        <v>0.0</v>
      </c>
      <c r="AD214" s="33">
        <v>0.0</v>
      </c>
      <c r="AE214" s="33">
        <v>0.0</v>
      </c>
      <c r="AF214" s="33">
        <v>0.0</v>
      </c>
      <c r="AG214" s="33">
        <v>0.0</v>
      </c>
      <c r="AH214" s="33">
        <v>0.0</v>
      </c>
      <c r="AI214" s="33">
        <v>0.0</v>
      </c>
      <c r="AJ214" s="33">
        <v>0.0</v>
      </c>
      <c r="AK214" s="33">
        <v>0.0</v>
      </c>
    </row>
    <row r="215">
      <c r="A215" s="33">
        <v>76133.0</v>
      </c>
      <c r="B215" s="33">
        <v>0.0</v>
      </c>
      <c r="C215" s="33">
        <v>0.0</v>
      </c>
      <c r="D215" s="33">
        <v>0.0</v>
      </c>
      <c r="E215" s="33">
        <v>0.0</v>
      </c>
      <c r="F215" s="33">
        <v>0.0</v>
      </c>
      <c r="G215" s="33">
        <v>0.0</v>
      </c>
      <c r="H215" s="33">
        <v>0.0</v>
      </c>
      <c r="I215" s="33">
        <v>0.0</v>
      </c>
      <c r="J215" s="33">
        <v>0.0</v>
      </c>
      <c r="K215" s="33">
        <v>0.0</v>
      </c>
      <c r="L215" s="33">
        <v>0.0</v>
      </c>
      <c r="M215" s="33">
        <v>0.0</v>
      </c>
      <c r="N215" s="33">
        <v>0.0</v>
      </c>
      <c r="O215" s="33">
        <v>0.0</v>
      </c>
      <c r="P215" s="33">
        <v>0.0</v>
      </c>
      <c r="Q215" s="33">
        <v>0.0</v>
      </c>
      <c r="R215" s="33">
        <v>0.0</v>
      </c>
      <c r="S215" s="33">
        <v>0.0</v>
      </c>
      <c r="T215" s="33">
        <v>0.0</v>
      </c>
      <c r="U215" s="33">
        <v>0.0</v>
      </c>
      <c r="V215" s="33">
        <v>0.0</v>
      </c>
      <c r="W215" s="33">
        <v>0.0</v>
      </c>
      <c r="X215" s="33">
        <v>0.0</v>
      </c>
      <c r="Y215" s="33">
        <v>0.0</v>
      </c>
      <c r="Z215" s="33">
        <v>0.0</v>
      </c>
      <c r="AA215" s="33">
        <v>0.0</v>
      </c>
      <c r="AB215" s="33">
        <v>0.0</v>
      </c>
      <c r="AC215" s="33">
        <v>0.0</v>
      </c>
      <c r="AD215" s="33">
        <v>0.0</v>
      </c>
      <c r="AE215" s="33">
        <v>0.0</v>
      </c>
      <c r="AF215" s="33">
        <v>0.0</v>
      </c>
      <c r="AG215" s="33">
        <v>0.0</v>
      </c>
      <c r="AH215" s="33">
        <v>0.0</v>
      </c>
      <c r="AI215" s="33">
        <v>20.0</v>
      </c>
      <c r="AJ215" s="33">
        <v>0.0</v>
      </c>
      <c r="AK215" s="33">
        <v>0.0</v>
      </c>
    </row>
    <row r="216">
      <c r="A216" s="33">
        <v>79707.0</v>
      </c>
      <c r="B216" s="33">
        <v>0.0</v>
      </c>
      <c r="C216" s="33">
        <v>0.0</v>
      </c>
      <c r="D216" s="33">
        <v>0.0</v>
      </c>
      <c r="E216" s="33">
        <v>0.0</v>
      </c>
      <c r="F216" s="33">
        <v>0.0</v>
      </c>
      <c r="G216" s="33">
        <v>0.0</v>
      </c>
      <c r="H216" s="33">
        <v>0.0</v>
      </c>
      <c r="I216" s="33">
        <v>0.0</v>
      </c>
      <c r="J216" s="33">
        <v>0.0</v>
      </c>
      <c r="K216" s="33">
        <v>0.0</v>
      </c>
      <c r="L216" s="33">
        <v>0.0</v>
      </c>
      <c r="M216" s="33">
        <v>0.0</v>
      </c>
      <c r="N216" s="33">
        <v>0.0</v>
      </c>
      <c r="O216" s="33">
        <v>0.0</v>
      </c>
      <c r="P216" s="33">
        <v>0.0</v>
      </c>
      <c r="Q216" s="33">
        <v>0.0</v>
      </c>
      <c r="R216" s="33">
        <v>0.0</v>
      </c>
      <c r="S216" s="33">
        <v>0.0</v>
      </c>
      <c r="T216" s="33">
        <v>0.0</v>
      </c>
      <c r="U216" s="33">
        <v>0.0</v>
      </c>
      <c r="V216" s="33">
        <v>0.0</v>
      </c>
      <c r="W216" s="33">
        <v>5000.0</v>
      </c>
      <c r="X216" s="33">
        <v>0.0</v>
      </c>
      <c r="Y216" s="33">
        <v>0.0</v>
      </c>
      <c r="Z216" s="33">
        <v>0.0</v>
      </c>
      <c r="AA216" s="33">
        <v>0.0</v>
      </c>
      <c r="AB216" s="33">
        <v>0.0</v>
      </c>
      <c r="AC216" s="33">
        <v>0.0</v>
      </c>
      <c r="AD216" s="33">
        <v>0.0</v>
      </c>
      <c r="AE216" s="33">
        <v>0.0</v>
      </c>
      <c r="AF216" s="33">
        <v>0.0</v>
      </c>
      <c r="AG216" s="33">
        <v>0.0</v>
      </c>
      <c r="AH216" s="33">
        <v>0.0</v>
      </c>
      <c r="AI216" s="33">
        <v>0.0</v>
      </c>
      <c r="AJ216" s="33">
        <v>0.0</v>
      </c>
      <c r="AK216" s="33">
        <v>0.0</v>
      </c>
    </row>
    <row r="217">
      <c r="A217" s="33">
        <v>75094.0</v>
      </c>
      <c r="B217" s="33">
        <v>0.0</v>
      </c>
      <c r="C217" s="33">
        <v>0.0</v>
      </c>
      <c r="D217" s="33">
        <v>0.0</v>
      </c>
      <c r="E217" s="33">
        <v>0.0</v>
      </c>
      <c r="F217" s="33">
        <v>0.0</v>
      </c>
      <c r="G217" s="33">
        <v>0.0</v>
      </c>
      <c r="H217" s="33">
        <v>0.0</v>
      </c>
      <c r="I217" s="33">
        <v>0.0</v>
      </c>
      <c r="J217" s="33">
        <v>0.0</v>
      </c>
      <c r="K217" s="33">
        <v>0.0</v>
      </c>
      <c r="L217" s="33">
        <v>0.0</v>
      </c>
      <c r="M217" s="33">
        <v>0.0</v>
      </c>
      <c r="N217" s="33">
        <v>0.0</v>
      </c>
      <c r="O217" s="33">
        <v>0.0</v>
      </c>
      <c r="P217" s="33">
        <v>0.0</v>
      </c>
      <c r="Q217" s="33">
        <v>0.0</v>
      </c>
      <c r="R217" s="33">
        <v>0.0</v>
      </c>
      <c r="S217" s="33">
        <v>0.0</v>
      </c>
      <c r="T217" s="33">
        <v>0.0</v>
      </c>
      <c r="U217" s="33">
        <v>0.0</v>
      </c>
      <c r="V217" s="33">
        <v>0.0</v>
      </c>
      <c r="W217" s="33">
        <v>0.0</v>
      </c>
      <c r="X217" s="33">
        <v>0.0</v>
      </c>
      <c r="Y217" s="33">
        <v>0.0</v>
      </c>
      <c r="Z217" s="33">
        <v>0.0</v>
      </c>
      <c r="AA217" s="33">
        <v>0.0</v>
      </c>
      <c r="AB217" s="33">
        <v>1000.0</v>
      </c>
      <c r="AC217" s="33">
        <v>0.0</v>
      </c>
      <c r="AD217" s="33">
        <v>0.0</v>
      </c>
      <c r="AE217" s="33">
        <v>0.0</v>
      </c>
      <c r="AF217" s="33">
        <v>0.0</v>
      </c>
      <c r="AG217" s="33">
        <v>0.0</v>
      </c>
      <c r="AH217" s="33">
        <v>0.0</v>
      </c>
      <c r="AI217" s="33">
        <v>0.0</v>
      </c>
      <c r="AJ217" s="33">
        <v>0.0</v>
      </c>
      <c r="AK217" s="33">
        <v>0.0</v>
      </c>
    </row>
    <row r="218">
      <c r="A218" s="33">
        <v>77008.0</v>
      </c>
      <c r="B218" s="33">
        <v>0.0</v>
      </c>
      <c r="C218" s="33">
        <v>0.0</v>
      </c>
      <c r="D218" s="33">
        <v>0.0</v>
      </c>
      <c r="E218" s="33">
        <v>0.0</v>
      </c>
      <c r="F218" s="33">
        <v>0.0</v>
      </c>
      <c r="G218" s="33">
        <v>0.0</v>
      </c>
      <c r="H218" s="33">
        <v>0.0</v>
      </c>
      <c r="I218" s="33">
        <v>0.0</v>
      </c>
      <c r="J218" s="33">
        <v>0.0</v>
      </c>
      <c r="K218" s="33">
        <v>0.0</v>
      </c>
      <c r="L218" s="33">
        <v>0.0</v>
      </c>
      <c r="M218" s="33">
        <v>0.0</v>
      </c>
      <c r="N218" s="33">
        <v>0.0</v>
      </c>
      <c r="O218" s="33">
        <v>0.0</v>
      </c>
      <c r="P218" s="33">
        <v>0.0</v>
      </c>
      <c r="Q218" s="33">
        <v>0.0</v>
      </c>
      <c r="R218" s="33">
        <v>0.0</v>
      </c>
      <c r="S218" s="33">
        <v>0.0</v>
      </c>
      <c r="T218" s="33">
        <v>0.0</v>
      </c>
      <c r="U218" s="33">
        <v>0.0</v>
      </c>
      <c r="V218" s="33">
        <v>0.0</v>
      </c>
      <c r="W218" s="33">
        <v>0.0</v>
      </c>
      <c r="X218" s="33">
        <v>0.0</v>
      </c>
      <c r="Y218" s="33">
        <v>0.0</v>
      </c>
      <c r="Z218" s="33">
        <v>550.0</v>
      </c>
      <c r="AA218" s="33">
        <v>0.0</v>
      </c>
      <c r="AB218" s="33">
        <v>0.0</v>
      </c>
      <c r="AC218" s="33">
        <v>0.0</v>
      </c>
      <c r="AD218" s="33">
        <v>0.0</v>
      </c>
      <c r="AE218" s="33">
        <v>0.0</v>
      </c>
      <c r="AF218" s="33">
        <v>0.0</v>
      </c>
      <c r="AG218" s="33">
        <v>0.0</v>
      </c>
      <c r="AH218" s="33">
        <v>0.0</v>
      </c>
      <c r="AI218" s="33">
        <v>0.0</v>
      </c>
      <c r="AJ218" s="33">
        <v>0.0</v>
      </c>
      <c r="AK218" s="33">
        <v>0.0</v>
      </c>
    </row>
    <row r="219">
      <c r="A219" s="33">
        <v>77057.0</v>
      </c>
      <c r="B219" s="33">
        <v>0.0</v>
      </c>
      <c r="C219" s="33">
        <v>0.0</v>
      </c>
      <c r="D219" s="33">
        <v>0.0</v>
      </c>
      <c r="E219" s="33">
        <v>0.0</v>
      </c>
      <c r="F219" s="33">
        <v>0.0</v>
      </c>
      <c r="G219" s="33">
        <v>0.0</v>
      </c>
      <c r="H219" s="33">
        <v>0.0</v>
      </c>
      <c r="I219" s="33">
        <v>0.0</v>
      </c>
      <c r="J219" s="33">
        <v>0.0</v>
      </c>
      <c r="K219" s="33">
        <v>0.0</v>
      </c>
      <c r="L219" s="33">
        <v>0.0</v>
      </c>
      <c r="M219" s="33">
        <v>0.0</v>
      </c>
      <c r="N219" s="33">
        <v>0.0</v>
      </c>
      <c r="O219" s="33">
        <v>0.0</v>
      </c>
      <c r="P219" s="33">
        <v>0.0</v>
      </c>
      <c r="Q219" s="33">
        <v>0.0</v>
      </c>
      <c r="R219" s="33">
        <v>0.0</v>
      </c>
      <c r="S219" s="33">
        <v>0.0</v>
      </c>
      <c r="T219" s="33">
        <v>0.0</v>
      </c>
      <c r="U219" s="33">
        <v>0.0</v>
      </c>
      <c r="V219" s="33">
        <v>0.0</v>
      </c>
      <c r="W219" s="33">
        <v>0.0</v>
      </c>
      <c r="X219" s="33">
        <v>0.0</v>
      </c>
      <c r="Y219" s="33">
        <v>0.0</v>
      </c>
      <c r="Z219" s="33">
        <v>500.0</v>
      </c>
      <c r="AA219" s="33">
        <v>0.0</v>
      </c>
      <c r="AB219" s="33">
        <v>0.0</v>
      </c>
      <c r="AC219" s="33">
        <v>0.0</v>
      </c>
      <c r="AD219" s="33">
        <v>0.0</v>
      </c>
      <c r="AE219" s="33">
        <v>0.0</v>
      </c>
      <c r="AF219" s="33">
        <v>0.0</v>
      </c>
      <c r="AG219" s="33">
        <v>0.0</v>
      </c>
      <c r="AH219" s="33">
        <v>0.0</v>
      </c>
      <c r="AI219" s="33">
        <v>0.0</v>
      </c>
      <c r="AJ219" s="33">
        <v>0.0</v>
      </c>
      <c r="AK219" s="33">
        <v>0.0</v>
      </c>
    </row>
    <row r="220">
      <c r="A220" s="33">
        <v>77002.0</v>
      </c>
      <c r="B220" s="33">
        <v>0.0</v>
      </c>
      <c r="C220" s="33">
        <v>0.0</v>
      </c>
      <c r="D220" s="33">
        <v>0.0</v>
      </c>
      <c r="E220" s="33">
        <v>0.0</v>
      </c>
      <c r="F220" s="33">
        <v>0.0</v>
      </c>
      <c r="G220" s="33">
        <v>0.0</v>
      </c>
      <c r="H220" s="33">
        <v>0.0</v>
      </c>
      <c r="I220" s="33">
        <v>0.0</v>
      </c>
      <c r="J220" s="33">
        <v>0.0</v>
      </c>
      <c r="K220" s="33">
        <v>0.0</v>
      </c>
      <c r="L220" s="33">
        <v>0.0</v>
      </c>
      <c r="M220" s="33">
        <v>0.0</v>
      </c>
      <c r="N220" s="33">
        <v>0.0</v>
      </c>
      <c r="O220" s="33">
        <v>0.0</v>
      </c>
      <c r="P220" s="33">
        <v>0.0</v>
      </c>
      <c r="Q220" s="33">
        <v>0.0</v>
      </c>
      <c r="R220" s="33">
        <v>0.0</v>
      </c>
      <c r="S220" s="33">
        <v>0.0</v>
      </c>
      <c r="T220" s="33">
        <v>0.0</v>
      </c>
      <c r="U220" s="33">
        <v>0.0</v>
      </c>
      <c r="V220" s="33">
        <v>0.0</v>
      </c>
      <c r="W220" s="33">
        <v>0.0</v>
      </c>
      <c r="X220" s="33">
        <v>0.0</v>
      </c>
      <c r="Y220" s="33">
        <v>0.0</v>
      </c>
      <c r="Z220" s="33">
        <v>13550.0</v>
      </c>
      <c r="AA220" s="33">
        <v>0.0</v>
      </c>
      <c r="AB220" s="33">
        <v>0.0</v>
      </c>
      <c r="AC220" s="33">
        <v>0.0</v>
      </c>
      <c r="AD220" s="33">
        <v>0.0</v>
      </c>
      <c r="AE220" s="33">
        <v>0.0</v>
      </c>
      <c r="AF220" s="33">
        <v>0.0</v>
      </c>
      <c r="AG220" s="33">
        <v>0.0</v>
      </c>
      <c r="AH220" s="33">
        <v>0.0</v>
      </c>
      <c r="AI220" s="33">
        <v>0.0</v>
      </c>
      <c r="AJ220" s="33">
        <v>0.0</v>
      </c>
      <c r="AK220" s="33">
        <v>0.0</v>
      </c>
    </row>
    <row r="221">
      <c r="A221" s="33">
        <v>75182.0</v>
      </c>
      <c r="B221" s="33">
        <v>0.0</v>
      </c>
      <c r="C221" s="33">
        <v>0.0</v>
      </c>
      <c r="D221" s="33">
        <v>0.0</v>
      </c>
      <c r="E221" s="33">
        <v>0.0</v>
      </c>
      <c r="F221" s="33">
        <v>0.0</v>
      </c>
      <c r="G221" s="33">
        <v>0.0</v>
      </c>
      <c r="H221" s="33">
        <v>0.0</v>
      </c>
      <c r="I221" s="33">
        <v>0.0</v>
      </c>
      <c r="J221" s="33">
        <v>0.0</v>
      </c>
      <c r="K221" s="33">
        <v>0.0</v>
      </c>
      <c r="L221" s="33">
        <v>0.0</v>
      </c>
      <c r="M221" s="33">
        <v>0.0</v>
      </c>
      <c r="N221" s="33">
        <v>0.0</v>
      </c>
      <c r="O221" s="33">
        <v>0.0</v>
      </c>
      <c r="P221" s="33">
        <v>0.0</v>
      </c>
      <c r="Q221" s="33">
        <v>0.0</v>
      </c>
      <c r="R221" s="33">
        <v>0.0</v>
      </c>
      <c r="S221" s="33">
        <v>0.0</v>
      </c>
      <c r="T221" s="33">
        <v>0.0</v>
      </c>
      <c r="U221" s="33">
        <v>0.0</v>
      </c>
      <c r="V221" s="33">
        <v>0.0</v>
      </c>
      <c r="W221" s="33">
        <v>100.0</v>
      </c>
      <c r="X221" s="33">
        <v>0.0</v>
      </c>
      <c r="Y221" s="33">
        <v>0.0</v>
      </c>
      <c r="Z221" s="33">
        <v>2000.0</v>
      </c>
      <c r="AA221" s="33">
        <v>0.0</v>
      </c>
      <c r="AB221" s="33">
        <v>0.0</v>
      </c>
      <c r="AC221" s="33">
        <v>0.0</v>
      </c>
      <c r="AD221" s="33">
        <v>0.0</v>
      </c>
      <c r="AE221" s="33">
        <v>0.0</v>
      </c>
      <c r="AF221" s="33">
        <v>0.0</v>
      </c>
      <c r="AG221" s="33">
        <v>0.0</v>
      </c>
      <c r="AH221" s="33">
        <v>0.0</v>
      </c>
      <c r="AI221" s="33">
        <v>0.0</v>
      </c>
      <c r="AJ221" s="33">
        <v>0.0</v>
      </c>
      <c r="AK221" s="33">
        <v>0.0</v>
      </c>
    </row>
    <row r="222">
      <c r="A222" s="33">
        <v>76120.0</v>
      </c>
      <c r="B222" s="33">
        <v>0.0</v>
      </c>
      <c r="C222" s="33">
        <v>0.0</v>
      </c>
      <c r="D222" s="33">
        <v>0.0</v>
      </c>
      <c r="E222" s="33">
        <v>0.0</v>
      </c>
      <c r="F222" s="33">
        <v>0.0</v>
      </c>
      <c r="G222" s="33">
        <v>0.0</v>
      </c>
      <c r="H222" s="33">
        <v>0.0</v>
      </c>
      <c r="I222" s="33">
        <v>0.0</v>
      </c>
      <c r="J222" s="33">
        <v>0.0</v>
      </c>
      <c r="K222" s="33">
        <v>0.0</v>
      </c>
      <c r="L222" s="33">
        <v>0.0</v>
      </c>
      <c r="M222" s="33">
        <v>0.0</v>
      </c>
      <c r="N222" s="33">
        <v>0.0</v>
      </c>
      <c r="O222" s="33">
        <v>0.0</v>
      </c>
      <c r="P222" s="33">
        <v>0.0</v>
      </c>
      <c r="Q222" s="33">
        <v>0.0</v>
      </c>
      <c r="R222" s="33">
        <v>0.0</v>
      </c>
      <c r="S222" s="33">
        <v>0.0</v>
      </c>
      <c r="T222" s="33">
        <v>0.0</v>
      </c>
      <c r="U222" s="33">
        <v>0.0</v>
      </c>
      <c r="V222" s="33">
        <v>0.0</v>
      </c>
      <c r="W222" s="33">
        <v>0.0</v>
      </c>
      <c r="X222" s="33">
        <v>0.0</v>
      </c>
      <c r="Y222" s="33">
        <v>0.0</v>
      </c>
      <c r="Z222" s="33">
        <v>5250.0</v>
      </c>
      <c r="AA222" s="33">
        <v>0.0</v>
      </c>
      <c r="AB222" s="33">
        <v>0.0</v>
      </c>
      <c r="AC222" s="33">
        <v>0.0</v>
      </c>
      <c r="AD222" s="33">
        <v>0.0</v>
      </c>
      <c r="AE222" s="33">
        <v>0.0</v>
      </c>
      <c r="AF222" s="33">
        <v>0.0</v>
      </c>
      <c r="AG222" s="33">
        <v>0.0</v>
      </c>
      <c r="AH222" s="33">
        <v>0.0</v>
      </c>
      <c r="AI222" s="33">
        <v>0.0</v>
      </c>
      <c r="AJ222" s="33">
        <v>0.0</v>
      </c>
      <c r="AK222" s="33">
        <v>0.0</v>
      </c>
    </row>
    <row r="223">
      <c r="A223" s="33">
        <v>76710.0</v>
      </c>
      <c r="B223" s="33">
        <v>0.0</v>
      </c>
      <c r="C223" s="33">
        <v>0.0</v>
      </c>
      <c r="D223" s="33">
        <v>0.0</v>
      </c>
      <c r="E223" s="33">
        <v>0.0</v>
      </c>
      <c r="F223" s="33">
        <v>0.0</v>
      </c>
      <c r="G223" s="33">
        <v>0.0</v>
      </c>
      <c r="H223" s="33">
        <v>0.0</v>
      </c>
      <c r="I223" s="33">
        <v>0.0</v>
      </c>
      <c r="J223" s="33">
        <v>0.0</v>
      </c>
      <c r="K223" s="33">
        <v>0.0</v>
      </c>
      <c r="L223" s="33">
        <v>0.0</v>
      </c>
      <c r="M223" s="33">
        <v>0.0</v>
      </c>
      <c r="N223" s="33">
        <v>0.0</v>
      </c>
      <c r="O223" s="33">
        <v>0.0</v>
      </c>
      <c r="P223" s="33">
        <v>0.0</v>
      </c>
      <c r="Q223" s="33">
        <v>0.0</v>
      </c>
      <c r="R223" s="33">
        <v>0.0</v>
      </c>
      <c r="S223" s="33">
        <v>0.0</v>
      </c>
      <c r="T223" s="33">
        <v>0.0</v>
      </c>
      <c r="U223" s="33">
        <v>0.0</v>
      </c>
      <c r="V223" s="33">
        <v>0.0</v>
      </c>
      <c r="W223" s="33">
        <v>0.0</v>
      </c>
      <c r="X223" s="33">
        <v>0.0</v>
      </c>
      <c r="Y223" s="33">
        <v>0.0</v>
      </c>
      <c r="Z223" s="33">
        <v>7500.0</v>
      </c>
      <c r="AA223" s="33">
        <v>0.0</v>
      </c>
      <c r="AB223" s="33">
        <v>0.0</v>
      </c>
      <c r="AC223" s="33">
        <v>0.0</v>
      </c>
      <c r="AD223" s="33">
        <v>0.0</v>
      </c>
      <c r="AE223" s="33">
        <v>0.0</v>
      </c>
      <c r="AF223" s="33">
        <v>0.0</v>
      </c>
      <c r="AG223" s="33">
        <v>0.0</v>
      </c>
      <c r="AH223" s="33">
        <v>0.0</v>
      </c>
      <c r="AI223" s="33">
        <v>0.0</v>
      </c>
      <c r="AJ223" s="33">
        <v>0.0</v>
      </c>
      <c r="AK223" s="33">
        <v>0.0</v>
      </c>
    </row>
    <row r="224">
      <c r="A224" s="33">
        <v>77041.0</v>
      </c>
      <c r="B224" s="33">
        <v>0.0</v>
      </c>
      <c r="C224" s="33">
        <v>0.0</v>
      </c>
      <c r="D224" s="33">
        <v>0.0</v>
      </c>
      <c r="E224" s="33">
        <v>0.0</v>
      </c>
      <c r="F224" s="33">
        <v>0.0</v>
      </c>
      <c r="G224" s="33">
        <v>0.0</v>
      </c>
      <c r="H224" s="33">
        <v>0.0</v>
      </c>
      <c r="I224" s="33">
        <v>0.0</v>
      </c>
      <c r="J224" s="33">
        <v>0.0</v>
      </c>
      <c r="K224" s="33">
        <v>0.0</v>
      </c>
      <c r="L224" s="33">
        <v>0.0</v>
      </c>
      <c r="M224" s="33">
        <v>0.0</v>
      </c>
      <c r="N224" s="33">
        <v>0.0</v>
      </c>
      <c r="O224" s="33">
        <v>0.0</v>
      </c>
      <c r="P224" s="33">
        <v>0.0</v>
      </c>
      <c r="Q224" s="33">
        <v>0.0</v>
      </c>
      <c r="R224" s="33">
        <v>0.0</v>
      </c>
      <c r="S224" s="33">
        <v>0.0</v>
      </c>
      <c r="T224" s="33">
        <v>0.0</v>
      </c>
      <c r="U224" s="33">
        <v>0.0</v>
      </c>
      <c r="V224" s="33">
        <v>0.0</v>
      </c>
      <c r="W224" s="33">
        <v>0.0</v>
      </c>
      <c r="X224" s="33">
        <v>0.0</v>
      </c>
      <c r="Y224" s="33">
        <v>0.0</v>
      </c>
      <c r="Z224" s="33">
        <v>100.0</v>
      </c>
      <c r="AA224" s="33">
        <v>0.0</v>
      </c>
      <c r="AB224" s="33">
        <v>0.0</v>
      </c>
      <c r="AC224" s="33">
        <v>0.0</v>
      </c>
      <c r="AD224" s="33">
        <v>0.0</v>
      </c>
      <c r="AE224" s="33">
        <v>0.0</v>
      </c>
      <c r="AF224" s="33">
        <v>0.0</v>
      </c>
      <c r="AG224" s="33">
        <v>0.0</v>
      </c>
      <c r="AH224" s="33">
        <v>0.0</v>
      </c>
      <c r="AI224" s="33">
        <v>0.0</v>
      </c>
      <c r="AJ224" s="33">
        <v>0.0</v>
      </c>
      <c r="AK224" s="33">
        <v>0.0</v>
      </c>
    </row>
    <row r="225">
      <c r="A225" s="33">
        <v>78739.0</v>
      </c>
      <c r="B225" s="33">
        <v>0.0</v>
      </c>
      <c r="C225" s="33">
        <v>0.0</v>
      </c>
      <c r="D225" s="33">
        <v>0.0</v>
      </c>
      <c r="E225" s="33">
        <v>0.0</v>
      </c>
      <c r="F225" s="33">
        <v>0.0</v>
      </c>
      <c r="G225" s="33">
        <v>0.0</v>
      </c>
      <c r="H225" s="33">
        <v>0.0</v>
      </c>
      <c r="I225" s="33">
        <v>0.0</v>
      </c>
      <c r="J225" s="33">
        <v>0.0</v>
      </c>
      <c r="K225" s="33">
        <v>0.0</v>
      </c>
      <c r="L225" s="33">
        <v>0.0</v>
      </c>
      <c r="M225" s="33">
        <v>0.0</v>
      </c>
      <c r="N225" s="33">
        <v>0.0</v>
      </c>
      <c r="O225" s="33">
        <v>0.0</v>
      </c>
      <c r="P225" s="33">
        <v>0.0</v>
      </c>
      <c r="Q225" s="33">
        <v>0.0</v>
      </c>
      <c r="R225" s="33">
        <v>0.0</v>
      </c>
      <c r="S225" s="33">
        <v>0.0</v>
      </c>
      <c r="T225" s="33">
        <v>0.0</v>
      </c>
      <c r="U225" s="33">
        <v>0.0</v>
      </c>
      <c r="V225" s="33">
        <v>0.0</v>
      </c>
      <c r="W225" s="33">
        <v>0.0</v>
      </c>
      <c r="X225" s="33">
        <v>0.0</v>
      </c>
      <c r="Y225" s="33">
        <v>0.0</v>
      </c>
      <c r="Z225" s="33">
        <v>5000.0</v>
      </c>
      <c r="AA225" s="33">
        <v>0.0</v>
      </c>
      <c r="AB225" s="33">
        <v>0.0</v>
      </c>
      <c r="AC225" s="33">
        <v>0.0</v>
      </c>
      <c r="AD225" s="33">
        <v>0.0</v>
      </c>
      <c r="AE225" s="33">
        <v>0.0</v>
      </c>
      <c r="AF225" s="33">
        <v>0.0</v>
      </c>
      <c r="AG225" s="33">
        <v>0.0</v>
      </c>
      <c r="AH225" s="33">
        <v>0.0</v>
      </c>
      <c r="AI225" s="33">
        <v>0.0</v>
      </c>
      <c r="AJ225" s="33">
        <v>0.0</v>
      </c>
      <c r="AK225" s="33">
        <v>0.0</v>
      </c>
    </row>
    <row r="226">
      <c r="A226" s="33">
        <v>76227.0</v>
      </c>
      <c r="B226" s="33">
        <v>0.0</v>
      </c>
      <c r="C226" s="33">
        <v>0.0</v>
      </c>
      <c r="D226" s="33">
        <v>0.0</v>
      </c>
      <c r="E226" s="33">
        <v>0.0</v>
      </c>
      <c r="F226" s="33">
        <v>0.0</v>
      </c>
      <c r="G226" s="33">
        <v>0.0</v>
      </c>
      <c r="H226" s="33">
        <v>0.0</v>
      </c>
      <c r="I226" s="33">
        <v>0.0</v>
      </c>
      <c r="J226" s="33">
        <v>0.0</v>
      </c>
      <c r="K226" s="33">
        <v>0.0</v>
      </c>
      <c r="L226" s="33">
        <v>0.0</v>
      </c>
      <c r="M226" s="33">
        <v>0.0</v>
      </c>
      <c r="N226" s="33">
        <v>0.0</v>
      </c>
      <c r="O226" s="33">
        <v>0.0</v>
      </c>
      <c r="P226" s="33">
        <v>0.0</v>
      </c>
      <c r="Q226" s="33">
        <v>0.0</v>
      </c>
      <c r="R226" s="33">
        <v>0.0</v>
      </c>
      <c r="S226" s="33">
        <v>0.0</v>
      </c>
      <c r="T226" s="33">
        <v>0.0</v>
      </c>
      <c r="U226" s="33">
        <v>0.0</v>
      </c>
      <c r="V226" s="33">
        <v>0.0</v>
      </c>
      <c r="W226" s="33">
        <v>0.0</v>
      </c>
      <c r="X226" s="33">
        <v>0.0</v>
      </c>
      <c r="Y226" s="33">
        <v>0.0</v>
      </c>
      <c r="Z226" s="33">
        <v>500.0</v>
      </c>
      <c r="AA226" s="33">
        <v>0.0</v>
      </c>
      <c r="AB226" s="33">
        <v>0.0</v>
      </c>
      <c r="AC226" s="33">
        <v>0.0</v>
      </c>
      <c r="AD226" s="33">
        <v>0.0</v>
      </c>
      <c r="AE226" s="33">
        <v>0.0</v>
      </c>
      <c r="AF226" s="33">
        <v>0.0</v>
      </c>
      <c r="AG226" s="33">
        <v>0.0</v>
      </c>
      <c r="AH226" s="33">
        <v>0.0</v>
      </c>
      <c r="AI226" s="33">
        <v>0.0</v>
      </c>
      <c r="AJ226" s="33">
        <v>0.0</v>
      </c>
      <c r="AK226" s="33">
        <v>0.0</v>
      </c>
    </row>
    <row r="227">
      <c r="A227" s="33">
        <v>75146.0</v>
      </c>
      <c r="B227" s="33">
        <v>0.0</v>
      </c>
      <c r="C227" s="33">
        <v>0.0</v>
      </c>
      <c r="D227" s="33">
        <v>0.0</v>
      </c>
      <c r="E227" s="33">
        <v>0.0</v>
      </c>
      <c r="F227" s="33">
        <v>0.0</v>
      </c>
      <c r="G227" s="33">
        <v>0.0</v>
      </c>
      <c r="H227" s="33">
        <v>0.0</v>
      </c>
      <c r="I227" s="33">
        <v>0.0</v>
      </c>
      <c r="J227" s="33">
        <v>0.0</v>
      </c>
      <c r="K227" s="33">
        <v>0.0</v>
      </c>
      <c r="L227" s="33">
        <v>0.0</v>
      </c>
      <c r="M227" s="33">
        <v>0.0</v>
      </c>
      <c r="N227" s="33">
        <v>0.0</v>
      </c>
      <c r="O227" s="33">
        <v>0.0</v>
      </c>
      <c r="P227" s="33">
        <v>0.0</v>
      </c>
      <c r="Q227" s="33">
        <v>0.0</v>
      </c>
      <c r="R227" s="33">
        <v>0.0</v>
      </c>
      <c r="S227" s="33">
        <v>0.0</v>
      </c>
      <c r="T227" s="33">
        <v>0.0</v>
      </c>
      <c r="U227" s="33">
        <v>0.0</v>
      </c>
      <c r="V227" s="33">
        <v>0.0</v>
      </c>
      <c r="W227" s="33">
        <v>0.0</v>
      </c>
      <c r="X227" s="33">
        <v>0.0</v>
      </c>
      <c r="Y227" s="33">
        <v>0.0</v>
      </c>
      <c r="Z227" s="33">
        <v>200.0</v>
      </c>
      <c r="AA227" s="33">
        <v>0.0</v>
      </c>
      <c r="AB227" s="33">
        <v>0.0</v>
      </c>
      <c r="AC227" s="33">
        <v>0.0</v>
      </c>
      <c r="AD227" s="33">
        <v>0.0</v>
      </c>
      <c r="AE227" s="33">
        <v>0.0</v>
      </c>
      <c r="AF227" s="33">
        <v>0.0</v>
      </c>
      <c r="AG227" s="33">
        <v>0.0</v>
      </c>
      <c r="AH227" s="33">
        <v>0.0</v>
      </c>
      <c r="AI227" s="33">
        <v>0.0</v>
      </c>
      <c r="AJ227" s="33">
        <v>0.0</v>
      </c>
      <c r="AK227" s="33">
        <v>0.0</v>
      </c>
    </row>
    <row r="228">
      <c r="A228" s="33">
        <v>75009.0</v>
      </c>
      <c r="B228" s="33">
        <v>0.0</v>
      </c>
      <c r="C228" s="33">
        <v>0.0</v>
      </c>
      <c r="D228" s="33">
        <v>0.0</v>
      </c>
      <c r="E228" s="33">
        <v>100.0</v>
      </c>
      <c r="F228" s="33">
        <v>0.0</v>
      </c>
      <c r="G228" s="33">
        <v>0.0</v>
      </c>
      <c r="H228" s="33">
        <v>0.0</v>
      </c>
      <c r="I228" s="33">
        <v>0.0</v>
      </c>
      <c r="J228" s="33">
        <v>0.0</v>
      </c>
      <c r="K228" s="33">
        <v>0.0</v>
      </c>
      <c r="L228" s="33">
        <v>0.0</v>
      </c>
      <c r="M228" s="33">
        <v>0.0</v>
      </c>
      <c r="N228" s="33">
        <v>0.0</v>
      </c>
      <c r="O228" s="33">
        <v>0.0</v>
      </c>
      <c r="P228" s="33">
        <v>0.0</v>
      </c>
      <c r="Q228" s="33">
        <v>0.0</v>
      </c>
      <c r="R228" s="33">
        <v>0.0</v>
      </c>
      <c r="S228" s="33">
        <v>0.0</v>
      </c>
      <c r="T228" s="33">
        <v>0.0</v>
      </c>
      <c r="U228" s="33">
        <v>0.0</v>
      </c>
      <c r="V228" s="33">
        <v>0.0</v>
      </c>
      <c r="W228" s="33">
        <v>0.0</v>
      </c>
      <c r="X228" s="33">
        <v>0.0</v>
      </c>
      <c r="Y228" s="33">
        <v>0.0</v>
      </c>
      <c r="Z228" s="33">
        <v>100.0</v>
      </c>
      <c r="AA228" s="33">
        <v>0.0</v>
      </c>
      <c r="AB228" s="33">
        <v>0.0</v>
      </c>
      <c r="AC228" s="33">
        <v>0.0</v>
      </c>
      <c r="AD228" s="33">
        <v>0.0</v>
      </c>
      <c r="AE228" s="33">
        <v>0.0</v>
      </c>
      <c r="AF228" s="33">
        <v>0.0</v>
      </c>
      <c r="AG228" s="33">
        <v>0.0</v>
      </c>
      <c r="AH228" s="33">
        <v>0.0</v>
      </c>
      <c r="AI228" s="33">
        <v>0.0</v>
      </c>
      <c r="AJ228" s="33">
        <v>0.0</v>
      </c>
      <c r="AK228" s="33">
        <v>0.0</v>
      </c>
    </row>
    <row r="229">
      <c r="A229" s="33">
        <v>77021.0</v>
      </c>
      <c r="B229" s="33">
        <v>0.0</v>
      </c>
      <c r="C229" s="33">
        <v>0.0</v>
      </c>
      <c r="D229" s="33">
        <v>0.0</v>
      </c>
      <c r="E229" s="33">
        <v>0.0</v>
      </c>
      <c r="F229" s="33">
        <v>0.0</v>
      </c>
      <c r="G229" s="33">
        <v>0.0</v>
      </c>
      <c r="H229" s="33">
        <v>0.0</v>
      </c>
      <c r="I229" s="33">
        <v>0.0</v>
      </c>
      <c r="J229" s="33">
        <v>0.0</v>
      </c>
      <c r="K229" s="33">
        <v>0.0</v>
      </c>
      <c r="L229" s="33">
        <v>0.0</v>
      </c>
      <c r="M229" s="33">
        <v>0.0</v>
      </c>
      <c r="N229" s="33">
        <v>0.0</v>
      </c>
      <c r="O229" s="33">
        <v>0.0</v>
      </c>
      <c r="P229" s="33">
        <v>0.0</v>
      </c>
      <c r="Q229" s="33">
        <v>0.0</v>
      </c>
      <c r="R229" s="33">
        <v>0.0</v>
      </c>
      <c r="S229" s="33">
        <v>0.0</v>
      </c>
      <c r="T229" s="33">
        <v>0.0</v>
      </c>
      <c r="U229" s="33">
        <v>0.0</v>
      </c>
      <c r="V229" s="33">
        <v>0.0</v>
      </c>
      <c r="W229" s="33">
        <v>1000.0</v>
      </c>
      <c r="X229" s="33">
        <v>0.0</v>
      </c>
      <c r="Y229" s="33">
        <v>0.0</v>
      </c>
      <c r="Z229" s="33">
        <v>11000.0</v>
      </c>
      <c r="AA229" s="33">
        <v>0.0</v>
      </c>
      <c r="AB229" s="33">
        <v>0.0</v>
      </c>
      <c r="AC229" s="33">
        <v>0.0</v>
      </c>
      <c r="AD229" s="33">
        <v>0.0</v>
      </c>
      <c r="AE229" s="33">
        <v>0.0</v>
      </c>
      <c r="AF229" s="33">
        <v>0.0</v>
      </c>
      <c r="AG229" s="33">
        <v>0.0</v>
      </c>
      <c r="AH229" s="33">
        <v>0.0</v>
      </c>
      <c r="AI229" s="33">
        <v>0.0</v>
      </c>
      <c r="AJ229" s="33">
        <v>0.0</v>
      </c>
      <c r="AK229" s="33">
        <v>0.0</v>
      </c>
    </row>
    <row r="230">
      <c r="A230" s="33">
        <v>78731.0</v>
      </c>
      <c r="B230" s="33">
        <v>0.0</v>
      </c>
      <c r="C230" s="33">
        <v>0.0</v>
      </c>
      <c r="D230" s="33">
        <v>0.0</v>
      </c>
      <c r="E230" s="33">
        <v>0.0</v>
      </c>
      <c r="F230" s="33">
        <v>0.0</v>
      </c>
      <c r="G230" s="33">
        <v>0.0</v>
      </c>
      <c r="H230" s="33">
        <v>0.0</v>
      </c>
      <c r="I230" s="33">
        <v>0.0</v>
      </c>
      <c r="J230" s="33">
        <v>0.0</v>
      </c>
      <c r="K230" s="33">
        <v>0.0</v>
      </c>
      <c r="L230" s="33">
        <v>0.0</v>
      </c>
      <c r="M230" s="33">
        <v>0.0</v>
      </c>
      <c r="N230" s="33">
        <v>0.0</v>
      </c>
      <c r="O230" s="33">
        <v>0.0</v>
      </c>
      <c r="P230" s="33">
        <v>0.0</v>
      </c>
      <c r="Q230" s="33">
        <v>0.0</v>
      </c>
      <c r="R230" s="33">
        <v>0.0</v>
      </c>
      <c r="S230" s="33">
        <v>0.0</v>
      </c>
      <c r="T230" s="33">
        <v>0.0</v>
      </c>
      <c r="U230" s="33">
        <v>0.0</v>
      </c>
      <c r="V230" s="33">
        <v>0.0</v>
      </c>
      <c r="W230" s="33">
        <v>0.0</v>
      </c>
      <c r="X230" s="33">
        <v>0.0</v>
      </c>
      <c r="Y230" s="33">
        <v>0.0</v>
      </c>
      <c r="Z230" s="33">
        <v>0.0</v>
      </c>
      <c r="AA230" s="33">
        <v>0.0</v>
      </c>
      <c r="AB230" s="33">
        <v>0.0</v>
      </c>
      <c r="AC230" s="33">
        <v>1000.0</v>
      </c>
      <c r="AD230" s="33">
        <v>0.0</v>
      </c>
      <c r="AE230" s="33">
        <v>0.0</v>
      </c>
      <c r="AF230" s="33">
        <v>0.0</v>
      </c>
      <c r="AG230" s="33">
        <v>0.0</v>
      </c>
      <c r="AH230" s="33">
        <v>0.0</v>
      </c>
      <c r="AI230" s="33">
        <v>0.0</v>
      </c>
      <c r="AJ230" s="33">
        <v>0.0</v>
      </c>
      <c r="AK230" s="33">
        <v>0.0</v>
      </c>
    </row>
    <row r="231">
      <c r="A231" s="33">
        <v>78616.0</v>
      </c>
      <c r="B231" s="33">
        <v>0.0</v>
      </c>
      <c r="C231" s="33">
        <v>0.0</v>
      </c>
      <c r="D231" s="33">
        <v>0.0</v>
      </c>
      <c r="E231" s="33">
        <v>0.0</v>
      </c>
      <c r="F231" s="33">
        <v>0.0</v>
      </c>
      <c r="G231" s="33">
        <v>0.0</v>
      </c>
      <c r="H231" s="33">
        <v>0.0</v>
      </c>
      <c r="I231" s="33">
        <v>0.0</v>
      </c>
      <c r="J231" s="33">
        <v>0.0</v>
      </c>
      <c r="K231" s="33">
        <v>0.0</v>
      </c>
      <c r="L231" s="33">
        <v>0.0</v>
      </c>
      <c r="M231" s="33">
        <v>0.0</v>
      </c>
      <c r="N231" s="33">
        <v>0.0</v>
      </c>
      <c r="O231" s="33">
        <v>0.0</v>
      </c>
      <c r="P231" s="33">
        <v>0.0</v>
      </c>
      <c r="Q231" s="33">
        <v>0.0</v>
      </c>
      <c r="R231" s="33">
        <v>0.0</v>
      </c>
      <c r="S231" s="33">
        <v>0.0</v>
      </c>
      <c r="T231" s="33">
        <v>0.0</v>
      </c>
      <c r="U231" s="33">
        <v>0.0</v>
      </c>
      <c r="V231" s="33">
        <v>0.0</v>
      </c>
      <c r="W231" s="33">
        <v>0.0</v>
      </c>
      <c r="X231" s="33">
        <v>0.0</v>
      </c>
      <c r="Y231" s="33">
        <v>0.0</v>
      </c>
      <c r="Z231" s="33">
        <v>0.0</v>
      </c>
      <c r="AA231" s="33">
        <v>0.0</v>
      </c>
      <c r="AB231" s="33">
        <v>0.0</v>
      </c>
      <c r="AC231" s="33">
        <v>100.0</v>
      </c>
      <c r="AD231" s="33">
        <v>0.0</v>
      </c>
      <c r="AE231" s="33">
        <v>0.0</v>
      </c>
      <c r="AF231" s="33">
        <v>0.0</v>
      </c>
      <c r="AG231" s="33">
        <v>0.0</v>
      </c>
      <c r="AH231" s="33">
        <v>0.0</v>
      </c>
      <c r="AI231" s="33">
        <v>0.0</v>
      </c>
      <c r="AJ231" s="33">
        <v>0.0</v>
      </c>
      <c r="AK231" s="33">
        <v>0.0</v>
      </c>
    </row>
    <row r="232">
      <c r="A232" s="33">
        <v>76264.0</v>
      </c>
      <c r="B232" s="33">
        <v>0.0</v>
      </c>
      <c r="C232" s="33">
        <v>0.0</v>
      </c>
      <c r="D232" s="33">
        <v>0.0</v>
      </c>
      <c r="E232" s="33">
        <v>0.0</v>
      </c>
      <c r="F232" s="33">
        <v>0.0</v>
      </c>
      <c r="G232" s="33">
        <v>0.0</v>
      </c>
      <c r="H232" s="33">
        <v>0.0</v>
      </c>
      <c r="I232" s="33">
        <v>0.0</v>
      </c>
      <c r="J232" s="33">
        <v>0.0</v>
      </c>
      <c r="K232" s="33">
        <v>0.0</v>
      </c>
      <c r="L232" s="33">
        <v>0.0</v>
      </c>
      <c r="M232" s="33">
        <v>0.0</v>
      </c>
      <c r="N232" s="33">
        <v>0.0</v>
      </c>
      <c r="O232" s="33">
        <v>0.0</v>
      </c>
      <c r="P232" s="33">
        <v>0.0</v>
      </c>
      <c r="Q232" s="33">
        <v>0.0</v>
      </c>
      <c r="R232" s="33">
        <v>0.0</v>
      </c>
      <c r="S232" s="33">
        <v>0.0</v>
      </c>
      <c r="T232" s="33">
        <v>0.0</v>
      </c>
      <c r="U232" s="33">
        <v>0.0</v>
      </c>
      <c r="V232" s="33">
        <v>0.0</v>
      </c>
      <c r="W232" s="33">
        <v>0.0</v>
      </c>
      <c r="X232" s="33">
        <v>0.0</v>
      </c>
      <c r="Y232" s="33">
        <v>0.0</v>
      </c>
      <c r="Z232" s="33">
        <v>0.0</v>
      </c>
      <c r="AA232" s="33">
        <v>0.0</v>
      </c>
      <c r="AB232" s="33">
        <v>1000.0</v>
      </c>
      <c r="AC232" s="33">
        <v>0.0</v>
      </c>
      <c r="AD232" s="33">
        <v>0.0</v>
      </c>
      <c r="AE232" s="33">
        <v>0.0</v>
      </c>
      <c r="AF232" s="33">
        <v>0.0</v>
      </c>
      <c r="AG232" s="33">
        <v>0.0</v>
      </c>
      <c r="AH232" s="33">
        <v>0.0</v>
      </c>
      <c r="AI232" s="33">
        <v>0.0</v>
      </c>
      <c r="AJ232" s="33">
        <v>0.0</v>
      </c>
      <c r="AK232" s="33">
        <v>0.0</v>
      </c>
    </row>
    <row r="233">
      <c r="A233" s="33">
        <v>76040.0</v>
      </c>
      <c r="B233" s="33">
        <v>0.0</v>
      </c>
      <c r="C233" s="33">
        <v>0.0</v>
      </c>
      <c r="D233" s="33">
        <v>0.0</v>
      </c>
      <c r="E233" s="33">
        <v>0.0</v>
      </c>
      <c r="F233" s="33">
        <v>0.0</v>
      </c>
      <c r="G233" s="33">
        <v>0.0</v>
      </c>
      <c r="H233" s="33">
        <v>0.0</v>
      </c>
      <c r="I233" s="33">
        <v>0.0</v>
      </c>
      <c r="J233" s="33">
        <v>0.0</v>
      </c>
      <c r="K233" s="33">
        <v>0.0</v>
      </c>
      <c r="L233" s="33">
        <v>0.0</v>
      </c>
      <c r="M233" s="33">
        <v>0.0</v>
      </c>
      <c r="N233" s="33">
        <v>0.0</v>
      </c>
      <c r="O233" s="33">
        <v>0.0</v>
      </c>
      <c r="P233" s="33">
        <v>0.0</v>
      </c>
      <c r="Q233" s="33">
        <v>0.0</v>
      </c>
      <c r="R233" s="33">
        <v>0.0</v>
      </c>
      <c r="S233" s="33">
        <v>0.0</v>
      </c>
      <c r="T233" s="33">
        <v>500.0</v>
      </c>
      <c r="U233" s="33">
        <v>0.0</v>
      </c>
      <c r="V233" s="33">
        <v>0.0</v>
      </c>
      <c r="W233" s="33">
        <v>0.0</v>
      </c>
      <c r="X233" s="33">
        <v>0.0</v>
      </c>
      <c r="Y233" s="33">
        <v>0.0</v>
      </c>
      <c r="Z233" s="33">
        <v>5000.0</v>
      </c>
      <c r="AA233" s="33">
        <v>0.0</v>
      </c>
      <c r="AB233" s="33">
        <v>1250.0</v>
      </c>
      <c r="AC233" s="33">
        <v>0.0</v>
      </c>
      <c r="AD233" s="33">
        <v>0.0</v>
      </c>
      <c r="AE233" s="33">
        <v>0.0</v>
      </c>
      <c r="AF233" s="33">
        <v>0.0</v>
      </c>
      <c r="AG233" s="33">
        <v>0.0</v>
      </c>
      <c r="AH233" s="33">
        <v>0.0</v>
      </c>
      <c r="AI233" s="33">
        <v>0.0</v>
      </c>
      <c r="AJ233" s="33">
        <v>0.0</v>
      </c>
      <c r="AK233" s="33">
        <v>0.0</v>
      </c>
    </row>
    <row r="234">
      <c r="A234" s="33">
        <v>78759.0</v>
      </c>
      <c r="B234" s="33">
        <v>0.0</v>
      </c>
      <c r="C234" s="33">
        <v>0.0</v>
      </c>
      <c r="D234" s="33">
        <v>0.0</v>
      </c>
      <c r="E234" s="33">
        <v>0.0</v>
      </c>
      <c r="F234" s="33">
        <v>0.0</v>
      </c>
      <c r="G234" s="33">
        <v>0.0</v>
      </c>
      <c r="H234" s="33">
        <v>0.0</v>
      </c>
      <c r="I234" s="33">
        <v>0.0</v>
      </c>
      <c r="J234" s="33">
        <v>0.0</v>
      </c>
      <c r="K234" s="33">
        <v>0.0</v>
      </c>
      <c r="L234" s="33">
        <v>0.0</v>
      </c>
      <c r="M234" s="33">
        <v>0.0</v>
      </c>
      <c r="N234" s="33">
        <v>0.0</v>
      </c>
      <c r="O234" s="33">
        <v>0.0</v>
      </c>
      <c r="P234" s="33">
        <v>0.0</v>
      </c>
      <c r="Q234" s="33">
        <v>0.0</v>
      </c>
      <c r="R234" s="33">
        <v>0.0</v>
      </c>
      <c r="S234" s="33">
        <v>0.0</v>
      </c>
      <c r="T234" s="33">
        <v>0.0</v>
      </c>
      <c r="U234" s="33">
        <v>0.0</v>
      </c>
      <c r="V234" s="33">
        <v>0.0</v>
      </c>
      <c r="W234" s="33">
        <v>0.0</v>
      </c>
      <c r="X234" s="33">
        <v>0.0</v>
      </c>
      <c r="Y234" s="33">
        <v>0.0</v>
      </c>
      <c r="Z234" s="33">
        <v>0.0</v>
      </c>
      <c r="AA234" s="33">
        <v>0.0</v>
      </c>
      <c r="AB234" s="33">
        <v>0.0</v>
      </c>
      <c r="AC234" s="33">
        <v>100.0</v>
      </c>
      <c r="AD234" s="33">
        <v>0.0</v>
      </c>
      <c r="AE234" s="33">
        <v>0.0</v>
      </c>
      <c r="AF234" s="33">
        <v>0.0</v>
      </c>
      <c r="AG234" s="33">
        <v>0.0</v>
      </c>
      <c r="AH234" s="33">
        <v>0.0</v>
      </c>
      <c r="AI234" s="33">
        <v>0.0</v>
      </c>
      <c r="AJ234" s="33">
        <v>0.0</v>
      </c>
      <c r="AK234" s="33">
        <v>0.0</v>
      </c>
    </row>
    <row r="235">
      <c r="A235" s="33">
        <v>77434.0</v>
      </c>
      <c r="B235" s="33">
        <v>0.0</v>
      </c>
      <c r="C235" s="33">
        <v>0.0</v>
      </c>
      <c r="D235" s="33">
        <v>0.0</v>
      </c>
      <c r="E235" s="33">
        <v>0.0</v>
      </c>
      <c r="F235" s="33">
        <v>0.0</v>
      </c>
      <c r="G235" s="33">
        <v>0.0</v>
      </c>
      <c r="H235" s="33">
        <v>0.0</v>
      </c>
      <c r="I235" s="33">
        <v>0.0</v>
      </c>
      <c r="J235" s="33">
        <v>0.0</v>
      </c>
      <c r="K235" s="33">
        <v>0.0</v>
      </c>
      <c r="L235" s="33">
        <v>0.0</v>
      </c>
      <c r="M235" s="33">
        <v>0.0</v>
      </c>
      <c r="N235" s="33">
        <v>0.0</v>
      </c>
      <c r="O235" s="33">
        <v>0.0</v>
      </c>
      <c r="P235" s="33">
        <v>0.0</v>
      </c>
      <c r="Q235" s="33">
        <v>0.0</v>
      </c>
      <c r="R235" s="33">
        <v>0.0</v>
      </c>
      <c r="S235" s="33">
        <v>0.0</v>
      </c>
      <c r="T235" s="33">
        <v>0.0</v>
      </c>
      <c r="U235" s="33">
        <v>0.0</v>
      </c>
      <c r="V235" s="33">
        <v>0.0</v>
      </c>
      <c r="W235" s="33">
        <v>0.0</v>
      </c>
      <c r="X235" s="33">
        <v>0.0</v>
      </c>
      <c r="Y235" s="33">
        <v>0.0</v>
      </c>
      <c r="Z235" s="33">
        <v>500.0</v>
      </c>
      <c r="AA235" s="33">
        <v>0.0</v>
      </c>
      <c r="AB235" s="33">
        <v>0.0</v>
      </c>
      <c r="AC235" s="33">
        <v>0.0</v>
      </c>
      <c r="AD235" s="33">
        <v>0.0</v>
      </c>
      <c r="AE235" s="33">
        <v>0.0</v>
      </c>
      <c r="AF235" s="33">
        <v>0.0</v>
      </c>
      <c r="AG235" s="33">
        <v>0.0</v>
      </c>
      <c r="AH235" s="33">
        <v>0.0</v>
      </c>
      <c r="AI235" s="33">
        <v>0.0</v>
      </c>
      <c r="AJ235" s="33">
        <v>0.0</v>
      </c>
      <c r="AK235" s="33">
        <v>0.0</v>
      </c>
    </row>
    <row r="236">
      <c r="A236" s="33">
        <v>77019.0</v>
      </c>
      <c r="B236" s="33">
        <v>0.0</v>
      </c>
      <c r="C236" s="33">
        <v>0.0</v>
      </c>
      <c r="D236" s="33">
        <v>0.0</v>
      </c>
      <c r="E236" s="33">
        <v>0.0</v>
      </c>
      <c r="F236" s="33">
        <v>0.0</v>
      </c>
      <c r="G236" s="33">
        <v>0.0</v>
      </c>
      <c r="H236" s="33">
        <v>0.0</v>
      </c>
      <c r="I236" s="33">
        <v>0.0</v>
      </c>
      <c r="J236" s="33">
        <v>0.0</v>
      </c>
      <c r="K236" s="33">
        <v>0.0</v>
      </c>
      <c r="L236" s="33">
        <v>0.0</v>
      </c>
      <c r="M236" s="33">
        <v>0.0</v>
      </c>
      <c r="N236" s="33">
        <v>0.0</v>
      </c>
      <c r="O236" s="33">
        <v>0.0</v>
      </c>
      <c r="P236" s="33">
        <v>0.0</v>
      </c>
      <c r="Q236" s="33">
        <v>0.0</v>
      </c>
      <c r="R236" s="33">
        <v>0.0</v>
      </c>
      <c r="S236" s="33">
        <v>0.0</v>
      </c>
      <c r="T236" s="33">
        <v>0.0</v>
      </c>
      <c r="U236" s="33">
        <v>0.0</v>
      </c>
      <c r="V236" s="33">
        <v>0.0</v>
      </c>
      <c r="W236" s="33">
        <v>0.0</v>
      </c>
      <c r="X236" s="33">
        <v>0.0</v>
      </c>
      <c r="Y236" s="33">
        <v>0.0</v>
      </c>
      <c r="Z236" s="33">
        <v>3250.0</v>
      </c>
      <c r="AA236" s="33">
        <v>0.0</v>
      </c>
      <c r="AB236" s="33">
        <v>0.0</v>
      </c>
      <c r="AC236" s="33">
        <v>0.0</v>
      </c>
      <c r="AD236" s="33">
        <v>0.0</v>
      </c>
      <c r="AE236" s="33">
        <v>0.0</v>
      </c>
      <c r="AF236" s="33">
        <v>0.0</v>
      </c>
      <c r="AG236" s="33">
        <v>0.0</v>
      </c>
      <c r="AH236" s="33">
        <v>0.0</v>
      </c>
      <c r="AI236" s="33">
        <v>0.0</v>
      </c>
      <c r="AJ236" s="33">
        <v>0.0</v>
      </c>
      <c r="AK236" s="33">
        <v>0.0</v>
      </c>
    </row>
    <row r="237">
      <c r="A237" s="33">
        <v>787701.0</v>
      </c>
      <c r="B237" s="33">
        <v>0.0</v>
      </c>
      <c r="C237" s="33">
        <v>0.0</v>
      </c>
      <c r="D237" s="33">
        <v>0.0</v>
      </c>
      <c r="E237" s="33">
        <v>0.0</v>
      </c>
      <c r="F237" s="33">
        <v>0.0</v>
      </c>
      <c r="G237" s="33">
        <v>0.0</v>
      </c>
      <c r="H237" s="33">
        <v>0.0</v>
      </c>
      <c r="I237" s="33">
        <v>0.0</v>
      </c>
      <c r="J237" s="33">
        <v>0.0</v>
      </c>
      <c r="K237" s="33">
        <v>0.0</v>
      </c>
      <c r="L237" s="33">
        <v>0.0</v>
      </c>
      <c r="M237" s="33">
        <v>0.0</v>
      </c>
      <c r="N237" s="33">
        <v>0.0</v>
      </c>
      <c r="O237" s="33">
        <v>0.0</v>
      </c>
      <c r="P237" s="33">
        <v>0.0</v>
      </c>
      <c r="Q237" s="33">
        <v>0.0</v>
      </c>
      <c r="R237" s="33">
        <v>0.0</v>
      </c>
      <c r="S237" s="33">
        <v>0.0</v>
      </c>
      <c r="T237" s="33">
        <v>0.0</v>
      </c>
      <c r="U237" s="33">
        <v>0.0</v>
      </c>
      <c r="V237" s="33">
        <v>0.0</v>
      </c>
      <c r="W237" s="33">
        <v>0.0</v>
      </c>
      <c r="X237" s="33">
        <v>0.0</v>
      </c>
      <c r="Y237" s="33">
        <v>0.0</v>
      </c>
      <c r="Z237" s="33">
        <v>5000.0</v>
      </c>
      <c r="AA237" s="33">
        <v>0.0</v>
      </c>
      <c r="AB237" s="33">
        <v>0.0</v>
      </c>
      <c r="AC237" s="33">
        <v>0.0</v>
      </c>
      <c r="AD237" s="33">
        <v>0.0</v>
      </c>
      <c r="AE237" s="33">
        <v>0.0</v>
      </c>
      <c r="AF237" s="33">
        <v>0.0</v>
      </c>
      <c r="AG237" s="33">
        <v>0.0</v>
      </c>
      <c r="AH237" s="33">
        <v>0.0</v>
      </c>
      <c r="AI237" s="33">
        <v>0.0</v>
      </c>
      <c r="AJ237" s="33">
        <v>0.0</v>
      </c>
      <c r="AK237" s="33">
        <v>0.0</v>
      </c>
    </row>
    <row r="238">
      <c r="A238" s="33">
        <v>77010.0</v>
      </c>
      <c r="B238" s="33">
        <v>0.0</v>
      </c>
      <c r="C238" s="33">
        <v>0.0</v>
      </c>
      <c r="D238" s="33">
        <v>0.0</v>
      </c>
      <c r="E238" s="33">
        <v>0.0</v>
      </c>
      <c r="F238" s="33">
        <v>0.0</v>
      </c>
      <c r="G238" s="33">
        <v>0.0</v>
      </c>
      <c r="H238" s="33">
        <v>0.0</v>
      </c>
      <c r="I238" s="33">
        <v>0.0</v>
      </c>
      <c r="J238" s="33">
        <v>0.0</v>
      </c>
      <c r="K238" s="33">
        <v>0.0</v>
      </c>
      <c r="L238" s="33">
        <v>0.0</v>
      </c>
      <c r="M238" s="33">
        <v>0.0</v>
      </c>
      <c r="N238" s="33">
        <v>0.0</v>
      </c>
      <c r="O238" s="33">
        <v>0.0</v>
      </c>
      <c r="P238" s="33">
        <v>0.0</v>
      </c>
      <c r="Q238" s="33">
        <v>0.0</v>
      </c>
      <c r="R238" s="33">
        <v>0.0</v>
      </c>
      <c r="S238" s="33">
        <v>0.0</v>
      </c>
      <c r="T238" s="33">
        <v>0.0</v>
      </c>
      <c r="U238" s="33">
        <v>0.0</v>
      </c>
      <c r="V238" s="33">
        <v>0.0</v>
      </c>
      <c r="W238" s="33">
        <v>0.0</v>
      </c>
      <c r="X238" s="33">
        <v>0.0</v>
      </c>
      <c r="Y238" s="33">
        <v>0.0</v>
      </c>
      <c r="Z238" s="33">
        <v>2500.0</v>
      </c>
      <c r="AA238" s="33">
        <v>0.0</v>
      </c>
      <c r="AB238" s="33">
        <v>0.0</v>
      </c>
      <c r="AC238" s="33">
        <v>0.0</v>
      </c>
      <c r="AD238" s="33">
        <v>0.0</v>
      </c>
      <c r="AE238" s="33">
        <v>0.0</v>
      </c>
      <c r="AF238" s="33">
        <v>0.0</v>
      </c>
      <c r="AG238" s="33">
        <v>0.0</v>
      </c>
      <c r="AH238" s="33">
        <v>0.0</v>
      </c>
      <c r="AI238" s="33">
        <v>0.0</v>
      </c>
      <c r="AJ238" s="33">
        <v>0.0</v>
      </c>
      <c r="AK238" s="33">
        <v>0.0</v>
      </c>
    </row>
    <row r="239">
      <c r="A239" s="33">
        <v>77042.0</v>
      </c>
      <c r="B239" s="33">
        <v>0.0</v>
      </c>
      <c r="C239" s="33">
        <v>0.0</v>
      </c>
      <c r="D239" s="33">
        <v>0.0</v>
      </c>
      <c r="E239" s="33">
        <v>0.0</v>
      </c>
      <c r="F239" s="33">
        <v>0.0</v>
      </c>
      <c r="G239" s="33">
        <v>0.0</v>
      </c>
      <c r="H239" s="33">
        <v>0.0</v>
      </c>
      <c r="I239" s="33">
        <v>0.0</v>
      </c>
      <c r="J239" s="33">
        <v>0.0</v>
      </c>
      <c r="K239" s="33">
        <v>0.0</v>
      </c>
      <c r="L239" s="33">
        <v>0.0</v>
      </c>
      <c r="M239" s="33">
        <v>0.0</v>
      </c>
      <c r="N239" s="33">
        <v>0.0</v>
      </c>
      <c r="O239" s="33">
        <v>0.0</v>
      </c>
      <c r="P239" s="33">
        <v>0.0</v>
      </c>
      <c r="Q239" s="33">
        <v>0.0</v>
      </c>
      <c r="R239" s="33">
        <v>0.0</v>
      </c>
      <c r="S239" s="33">
        <v>0.0</v>
      </c>
      <c r="T239" s="33">
        <v>0.0</v>
      </c>
      <c r="U239" s="33">
        <v>0.0</v>
      </c>
      <c r="V239" s="33">
        <v>0.0</v>
      </c>
      <c r="W239" s="33">
        <v>0.0</v>
      </c>
      <c r="X239" s="33">
        <v>0.0</v>
      </c>
      <c r="Y239" s="33">
        <v>0.0</v>
      </c>
      <c r="Z239" s="33">
        <v>500.0</v>
      </c>
      <c r="AA239" s="33">
        <v>0.0</v>
      </c>
      <c r="AB239" s="33">
        <v>0.0</v>
      </c>
      <c r="AC239" s="33">
        <v>0.0</v>
      </c>
      <c r="AD239" s="33">
        <v>0.0</v>
      </c>
      <c r="AE239" s="33">
        <v>0.0</v>
      </c>
      <c r="AF239" s="33">
        <v>0.0</v>
      </c>
      <c r="AG239" s="33">
        <v>0.0</v>
      </c>
      <c r="AH239" s="33">
        <v>0.0</v>
      </c>
      <c r="AI239" s="33">
        <v>0.0</v>
      </c>
      <c r="AJ239" s="33">
        <v>0.0</v>
      </c>
      <c r="AK239" s="33">
        <v>0.0</v>
      </c>
    </row>
    <row r="240">
      <c r="A240" s="33">
        <v>78738.0</v>
      </c>
      <c r="B240" s="33">
        <v>0.0</v>
      </c>
      <c r="C240" s="33">
        <v>0.0</v>
      </c>
      <c r="D240" s="33">
        <v>0.0</v>
      </c>
      <c r="E240" s="33">
        <v>0.0</v>
      </c>
      <c r="F240" s="33">
        <v>0.0</v>
      </c>
      <c r="G240" s="33">
        <v>0.0</v>
      </c>
      <c r="H240" s="33">
        <v>0.0</v>
      </c>
      <c r="I240" s="33">
        <v>0.0</v>
      </c>
      <c r="J240" s="33">
        <v>0.0</v>
      </c>
      <c r="K240" s="33">
        <v>0.0</v>
      </c>
      <c r="L240" s="33">
        <v>0.0</v>
      </c>
      <c r="M240" s="33">
        <v>0.0</v>
      </c>
      <c r="N240" s="33">
        <v>0.0</v>
      </c>
      <c r="O240" s="33">
        <v>0.0</v>
      </c>
      <c r="P240" s="33">
        <v>0.0</v>
      </c>
      <c r="Q240" s="33">
        <v>0.0</v>
      </c>
      <c r="R240" s="33">
        <v>0.0</v>
      </c>
      <c r="S240" s="33">
        <v>0.0</v>
      </c>
      <c r="T240" s="33">
        <v>0.0</v>
      </c>
      <c r="U240" s="33">
        <v>0.0</v>
      </c>
      <c r="V240" s="33">
        <v>0.0</v>
      </c>
      <c r="W240" s="33">
        <v>0.0</v>
      </c>
      <c r="X240" s="33">
        <v>0.0</v>
      </c>
      <c r="Y240" s="33">
        <v>0.0</v>
      </c>
      <c r="Z240" s="33">
        <v>2000.0</v>
      </c>
      <c r="AA240" s="33">
        <v>0.0</v>
      </c>
      <c r="AB240" s="33">
        <v>0.0</v>
      </c>
      <c r="AC240" s="33">
        <v>0.0</v>
      </c>
      <c r="AD240" s="33">
        <v>0.0</v>
      </c>
      <c r="AE240" s="33">
        <v>0.0</v>
      </c>
      <c r="AF240" s="33">
        <v>0.0</v>
      </c>
      <c r="AG240" s="33">
        <v>0.0</v>
      </c>
      <c r="AH240" s="33">
        <v>0.0</v>
      </c>
      <c r="AI240" s="33">
        <v>0.0</v>
      </c>
      <c r="AJ240" s="33">
        <v>0.0</v>
      </c>
      <c r="AK240" s="33">
        <v>0.0</v>
      </c>
    </row>
    <row r="241">
      <c r="A241" s="33">
        <v>76448.0</v>
      </c>
      <c r="B241" s="33">
        <v>0.0</v>
      </c>
      <c r="C241" s="33">
        <v>0.0</v>
      </c>
      <c r="D241" s="33">
        <v>0.0</v>
      </c>
      <c r="E241" s="33">
        <v>0.0</v>
      </c>
      <c r="F241" s="33">
        <v>0.0</v>
      </c>
      <c r="G241" s="33">
        <v>0.0</v>
      </c>
      <c r="H241" s="33">
        <v>0.0</v>
      </c>
      <c r="I241" s="33">
        <v>0.0</v>
      </c>
      <c r="J241" s="33">
        <v>0.0</v>
      </c>
      <c r="K241" s="33">
        <v>0.0</v>
      </c>
      <c r="L241" s="33">
        <v>0.0</v>
      </c>
      <c r="M241" s="33">
        <v>0.0</v>
      </c>
      <c r="N241" s="33">
        <v>0.0</v>
      </c>
      <c r="O241" s="33">
        <v>0.0</v>
      </c>
      <c r="P241" s="33">
        <v>0.0</v>
      </c>
      <c r="Q241" s="33">
        <v>0.0</v>
      </c>
      <c r="R241" s="33">
        <v>0.0</v>
      </c>
      <c r="S241" s="33">
        <v>0.0</v>
      </c>
      <c r="T241" s="33">
        <v>0.0</v>
      </c>
      <c r="U241" s="33">
        <v>0.0</v>
      </c>
      <c r="V241" s="33">
        <v>0.0</v>
      </c>
      <c r="W241" s="33">
        <v>0.0</v>
      </c>
      <c r="X241" s="33">
        <v>0.0</v>
      </c>
      <c r="Y241" s="33">
        <v>0.0</v>
      </c>
      <c r="Z241" s="33">
        <v>1500.0</v>
      </c>
      <c r="AA241" s="33">
        <v>0.0</v>
      </c>
      <c r="AB241" s="33">
        <v>0.0</v>
      </c>
      <c r="AC241" s="33">
        <v>0.0</v>
      </c>
      <c r="AD241" s="33">
        <v>0.0</v>
      </c>
      <c r="AE241" s="33">
        <v>0.0</v>
      </c>
      <c r="AF241" s="33">
        <v>0.0</v>
      </c>
      <c r="AG241" s="33">
        <v>0.0</v>
      </c>
      <c r="AH241" s="33">
        <v>0.0</v>
      </c>
      <c r="AI241" s="33">
        <v>0.0</v>
      </c>
      <c r="AJ241" s="33">
        <v>0.0</v>
      </c>
      <c r="AK241" s="33">
        <v>0.0</v>
      </c>
    </row>
    <row r="242">
      <c r="A242" s="33">
        <v>77077.0</v>
      </c>
      <c r="B242" s="33">
        <v>0.0</v>
      </c>
      <c r="C242" s="33">
        <v>0.0</v>
      </c>
      <c r="D242" s="33">
        <v>0.0</v>
      </c>
      <c r="E242" s="33">
        <v>0.0</v>
      </c>
      <c r="F242" s="33">
        <v>0.0</v>
      </c>
      <c r="G242" s="33">
        <v>0.0</v>
      </c>
      <c r="H242" s="33">
        <v>0.0</v>
      </c>
      <c r="I242" s="33">
        <v>0.0</v>
      </c>
      <c r="J242" s="33">
        <v>0.0</v>
      </c>
      <c r="K242" s="33">
        <v>0.0</v>
      </c>
      <c r="L242" s="33">
        <v>0.0</v>
      </c>
      <c r="M242" s="33">
        <v>0.0</v>
      </c>
      <c r="N242" s="33">
        <v>0.0</v>
      </c>
      <c r="O242" s="33">
        <v>0.0</v>
      </c>
      <c r="P242" s="33">
        <v>0.0</v>
      </c>
      <c r="Q242" s="33">
        <v>0.0</v>
      </c>
      <c r="R242" s="33">
        <v>0.0</v>
      </c>
      <c r="S242" s="33">
        <v>0.0</v>
      </c>
      <c r="T242" s="33">
        <v>0.0</v>
      </c>
      <c r="U242" s="33">
        <v>0.0</v>
      </c>
      <c r="V242" s="33">
        <v>0.0</v>
      </c>
      <c r="W242" s="33">
        <v>0.0</v>
      </c>
      <c r="X242" s="33">
        <v>0.0</v>
      </c>
      <c r="Y242" s="33">
        <v>0.0</v>
      </c>
      <c r="Z242" s="33">
        <v>2000.0</v>
      </c>
      <c r="AA242" s="33">
        <v>0.0</v>
      </c>
      <c r="AB242" s="33">
        <v>0.0</v>
      </c>
      <c r="AC242" s="33">
        <v>0.0</v>
      </c>
      <c r="AD242" s="33">
        <v>0.0</v>
      </c>
      <c r="AE242" s="33">
        <v>0.0</v>
      </c>
      <c r="AF242" s="33">
        <v>0.0</v>
      </c>
      <c r="AG242" s="33">
        <v>0.0</v>
      </c>
      <c r="AH242" s="33">
        <v>0.0</v>
      </c>
      <c r="AI242" s="33">
        <v>0.0</v>
      </c>
      <c r="AJ242" s="33">
        <v>0.0</v>
      </c>
      <c r="AK242" s="33">
        <v>0.0</v>
      </c>
    </row>
    <row r="243">
      <c r="A243" s="33">
        <v>78768.0</v>
      </c>
      <c r="B243" s="33">
        <v>0.0</v>
      </c>
      <c r="C243" s="33">
        <v>0.0</v>
      </c>
      <c r="D243" s="33">
        <v>0.0</v>
      </c>
      <c r="E243" s="33">
        <v>0.0</v>
      </c>
      <c r="F243" s="33">
        <v>0.0</v>
      </c>
      <c r="G243" s="33">
        <v>0.0</v>
      </c>
      <c r="H243" s="33">
        <v>0.0</v>
      </c>
      <c r="I243" s="33">
        <v>0.0</v>
      </c>
      <c r="J243" s="33">
        <v>0.0</v>
      </c>
      <c r="K243" s="33">
        <v>0.0</v>
      </c>
      <c r="L243" s="33">
        <v>0.0</v>
      </c>
      <c r="M243" s="33">
        <v>0.0</v>
      </c>
      <c r="N243" s="33">
        <v>0.0</v>
      </c>
      <c r="O243" s="33">
        <v>0.0</v>
      </c>
      <c r="P243" s="33">
        <v>0.0</v>
      </c>
      <c r="Q243" s="33">
        <v>0.0</v>
      </c>
      <c r="R243" s="33">
        <v>0.0</v>
      </c>
      <c r="S243" s="33">
        <v>0.0</v>
      </c>
      <c r="T243" s="33">
        <v>2500.0</v>
      </c>
      <c r="U243" s="33">
        <v>0.0</v>
      </c>
      <c r="V243" s="33">
        <v>0.0</v>
      </c>
      <c r="W243" s="33">
        <v>2500.0</v>
      </c>
      <c r="X243" s="33">
        <v>0.0</v>
      </c>
      <c r="Y243" s="33">
        <v>0.0</v>
      </c>
      <c r="Z243" s="33">
        <v>10000.0</v>
      </c>
      <c r="AA243" s="33">
        <v>0.0</v>
      </c>
      <c r="AB243" s="33">
        <v>0.0</v>
      </c>
      <c r="AC243" s="33">
        <v>0.0</v>
      </c>
      <c r="AD243" s="33">
        <v>0.0</v>
      </c>
      <c r="AE243" s="33">
        <v>0.0</v>
      </c>
      <c r="AF243" s="33">
        <v>0.0</v>
      </c>
      <c r="AG243" s="33">
        <v>0.0</v>
      </c>
      <c r="AH243" s="33">
        <v>0.0</v>
      </c>
      <c r="AI243" s="33">
        <v>0.0</v>
      </c>
      <c r="AJ243" s="33">
        <v>0.0</v>
      </c>
      <c r="AK243" s="33">
        <v>2500.0</v>
      </c>
    </row>
    <row r="244">
      <c r="A244" s="33">
        <v>75016.0</v>
      </c>
      <c r="B244" s="33">
        <v>0.0</v>
      </c>
      <c r="C244" s="33">
        <v>0.0</v>
      </c>
      <c r="D244" s="33">
        <v>0.0</v>
      </c>
      <c r="E244" s="33">
        <v>0.0</v>
      </c>
      <c r="F244" s="33">
        <v>0.0</v>
      </c>
      <c r="G244" s="33">
        <v>0.0</v>
      </c>
      <c r="H244" s="33">
        <v>0.0</v>
      </c>
      <c r="I244" s="33">
        <v>0.0</v>
      </c>
      <c r="J244" s="33">
        <v>0.0</v>
      </c>
      <c r="K244" s="33">
        <v>0.0</v>
      </c>
      <c r="L244" s="33">
        <v>0.0</v>
      </c>
      <c r="M244" s="33">
        <v>0.0</v>
      </c>
      <c r="N244" s="33">
        <v>0.0</v>
      </c>
      <c r="O244" s="33">
        <v>0.0</v>
      </c>
      <c r="P244" s="33">
        <v>0.0</v>
      </c>
      <c r="Q244" s="33">
        <v>0.0</v>
      </c>
      <c r="R244" s="33">
        <v>0.0</v>
      </c>
      <c r="S244" s="33">
        <v>0.0</v>
      </c>
      <c r="T244" s="33">
        <v>0.0</v>
      </c>
      <c r="U244" s="33">
        <v>0.0</v>
      </c>
      <c r="V244" s="33">
        <v>0.0</v>
      </c>
      <c r="W244" s="33">
        <v>250.0</v>
      </c>
      <c r="X244" s="33">
        <v>0.0</v>
      </c>
      <c r="Y244" s="33">
        <v>0.0</v>
      </c>
      <c r="Z244" s="33">
        <v>0.0</v>
      </c>
      <c r="AA244" s="33">
        <v>0.0</v>
      </c>
      <c r="AB244" s="33">
        <v>0.0</v>
      </c>
      <c r="AC244" s="33">
        <v>0.0</v>
      </c>
      <c r="AD244" s="33">
        <v>0.0</v>
      </c>
      <c r="AE244" s="33">
        <v>0.0</v>
      </c>
      <c r="AF244" s="33">
        <v>0.0</v>
      </c>
      <c r="AG244" s="33">
        <v>0.0</v>
      </c>
      <c r="AH244" s="33">
        <v>0.0</v>
      </c>
      <c r="AI244" s="33">
        <v>0.0</v>
      </c>
      <c r="AJ244" s="33">
        <v>0.0</v>
      </c>
      <c r="AK244" s="33">
        <v>0.0</v>
      </c>
    </row>
    <row r="245">
      <c r="A245" s="33">
        <v>76225.0</v>
      </c>
      <c r="B245" s="33">
        <v>0.0</v>
      </c>
      <c r="C245" s="33">
        <v>0.0</v>
      </c>
      <c r="D245" s="33">
        <v>0.0</v>
      </c>
      <c r="E245" s="33">
        <v>1000.0</v>
      </c>
      <c r="F245" s="33">
        <v>0.0</v>
      </c>
      <c r="G245" s="33">
        <v>0.0</v>
      </c>
      <c r="H245" s="33">
        <v>0.0</v>
      </c>
      <c r="I245" s="33">
        <v>0.0</v>
      </c>
      <c r="J245" s="33">
        <v>0.0</v>
      </c>
      <c r="K245" s="33">
        <v>0.0</v>
      </c>
      <c r="L245" s="33">
        <v>0.0</v>
      </c>
      <c r="M245" s="33">
        <v>0.0</v>
      </c>
      <c r="N245" s="33">
        <v>0.0</v>
      </c>
      <c r="O245" s="33">
        <v>0.0</v>
      </c>
      <c r="P245" s="33">
        <v>0.0</v>
      </c>
      <c r="Q245" s="33">
        <v>0.0</v>
      </c>
      <c r="R245" s="33">
        <v>0.0</v>
      </c>
      <c r="S245" s="33">
        <v>0.0</v>
      </c>
      <c r="T245" s="33">
        <v>0.0</v>
      </c>
      <c r="U245" s="33">
        <v>0.0</v>
      </c>
      <c r="V245" s="33">
        <v>0.0</v>
      </c>
      <c r="W245" s="33">
        <v>0.0</v>
      </c>
      <c r="X245" s="33">
        <v>0.0</v>
      </c>
      <c r="Y245" s="33">
        <v>0.0</v>
      </c>
      <c r="Z245" s="33">
        <v>0.0</v>
      </c>
      <c r="AA245" s="33">
        <v>0.0</v>
      </c>
      <c r="AB245" s="33">
        <v>0.0</v>
      </c>
      <c r="AC245" s="33">
        <v>0.0</v>
      </c>
      <c r="AD245" s="33">
        <v>0.0</v>
      </c>
      <c r="AE245" s="33">
        <v>0.0</v>
      </c>
      <c r="AF245" s="33">
        <v>0.0</v>
      </c>
      <c r="AG245" s="33">
        <v>0.0</v>
      </c>
      <c r="AH245" s="33">
        <v>0.0</v>
      </c>
      <c r="AI245" s="33">
        <v>0.0</v>
      </c>
      <c r="AJ245" s="33">
        <v>0.0</v>
      </c>
      <c r="AK245" s="33">
        <v>0.0</v>
      </c>
    </row>
    <row r="246">
      <c r="A246" s="33">
        <v>12345.0</v>
      </c>
      <c r="B246" s="33">
        <v>0.0</v>
      </c>
      <c r="C246" s="33">
        <v>0.0</v>
      </c>
      <c r="D246" s="33">
        <v>0.0</v>
      </c>
      <c r="E246" s="33">
        <v>0.0</v>
      </c>
      <c r="F246" s="33">
        <v>0.0</v>
      </c>
      <c r="G246" s="33">
        <v>0.0</v>
      </c>
      <c r="H246" s="33">
        <v>0.0</v>
      </c>
      <c r="I246" s="33">
        <v>0.0</v>
      </c>
      <c r="J246" s="33">
        <v>0.0</v>
      </c>
      <c r="K246" s="33">
        <v>0.0</v>
      </c>
      <c r="L246" s="33">
        <v>0.0</v>
      </c>
      <c r="M246" s="33">
        <v>0.0</v>
      </c>
      <c r="N246" s="33">
        <v>0.0</v>
      </c>
      <c r="O246" s="33">
        <v>100.0</v>
      </c>
      <c r="P246" s="33">
        <v>0.0</v>
      </c>
      <c r="Q246" s="33">
        <v>0.0</v>
      </c>
      <c r="R246" s="33">
        <v>0.0</v>
      </c>
      <c r="S246" s="33">
        <v>0.0</v>
      </c>
      <c r="T246" s="33">
        <v>0.0</v>
      </c>
      <c r="U246" s="33">
        <v>0.0</v>
      </c>
      <c r="V246" s="33">
        <v>0.0</v>
      </c>
      <c r="W246" s="33">
        <v>0.0</v>
      </c>
      <c r="X246" s="33">
        <v>0.0</v>
      </c>
      <c r="Y246" s="33">
        <v>0.0</v>
      </c>
      <c r="Z246" s="33">
        <v>0.0</v>
      </c>
      <c r="AA246" s="33">
        <v>0.0</v>
      </c>
      <c r="AB246" s="33">
        <v>0.0</v>
      </c>
      <c r="AC246" s="33">
        <v>0.0</v>
      </c>
      <c r="AD246" s="33">
        <v>0.0</v>
      </c>
      <c r="AE246" s="33">
        <v>0.0</v>
      </c>
      <c r="AF246" s="33">
        <v>0.0</v>
      </c>
      <c r="AG246" s="33">
        <v>0.0</v>
      </c>
      <c r="AH246" s="33">
        <v>0.0</v>
      </c>
      <c r="AI246" s="33">
        <v>0.0</v>
      </c>
      <c r="AJ246" s="33">
        <v>0.0</v>
      </c>
      <c r="AK246" s="33">
        <v>0.0</v>
      </c>
    </row>
    <row r="247">
      <c r="A247" s="33">
        <v>78756.0</v>
      </c>
      <c r="B247" s="33">
        <v>0.0</v>
      </c>
      <c r="C247" s="33">
        <v>0.0</v>
      </c>
      <c r="D247" s="33">
        <v>0.0</v>
      </c>
      <c r="E247" s="33">
        <v>0.0</v>
      </c>
      <c r="F247" s="33">
        <v>0.0</v>
      </c>
      <c r="G247" s="33">
        <v>0.0</v>
      </c>
      <c r="H247" s="33">
        <v>0.0</v>
      </c>
      <c r="I247" s="33">
        <v>0.0</v>
      </c>
      <c r="J247" s="33">
        <v>0.0</v>
      </c>
      <c r="K247" s="33">
        <v>0.0</v>
      </c>
      <c r="L247" s="33">
        <v>0.0</v>
      </c>
      <c r="M247" s="33">
        <v>0.0</v>
      </c>
      <c r="N247" s="33">
        <v>0.0</v>
      </c>
      <c r="O247" s="33">
        <v>0.0</v>
      </c>
      <c r="P247" s="33">
        <v>0.0</v>
      </c>
      <c r="Q247" s="33">
        <v>0.0</v>
      </c>
      <c r="R247" s="33">
        <v>0.0</v>
      </c>
      <c r="S247" s="33">
        <v>0.0</v>
      </c>
      <c r="T247" s="33">
        <v>0.0</v>
      </c>
      <c r="U247" s="33">
        <v>0.0</v>
      </c>
      <c r="V247" s="33">
        <v>0.0</v>
      </c>
      <c r="W247" s="33">
        <v>0.0</v>
      </c>
      <c r="X247" s="33">
        <v>0.0</v>
      </c>
      <c r="Y247" s="33">
        <v>0.0</v>
      </c>
      <c r="Z247" s="33">
        <v>0.0</v>
      </c>
      <c r="AA247" s="33">
        <v>0.0</v>
      </c>
      <c r="AB247" s="33">
        <v>0.0</v>
      </c>
      <c r="AC247" s="33">
        <v>1000.0</v>
      </c>
      <c r="AD247" s="33">
        <v>0.0</v>
      </c>
      <c r="AE247" s="33">
        <v>0.0</v>
      </c>
      <c r="AF247" s="33">
        <v>0.0</v>
      </c>
      <c r="AG247" s="33">
        <v>0.0</v>
      </c>
      <c r="AH247" s="33">
        <v>0.0</v>
      </c>
      <c r="AI247" s="33">
        <v>0.0</v>
      </c>
      <c r="AJ247" s="33">
        <v>0.0</v>
      </c>
      <c r="AK247" s="33">
        <v>0.0</v>
      </c>
    </row>
    <row r="248">
      <c r="A248" s="33">
        <v>75033.0</v>
      </c>
      <c r="B248" s="33">
        <v>0.0</v>
      </c>
      <c r="C248" s="33">
        <v>0.0</v>
      </c>
      <c r="D248" s="33">
        <v>0.0</v>
      </c>
      <c r="E248" s="33">
        <v>0.0</v>
      </c>
      <c r="F248" s="33">
        <v>0.0</v>
      </c>
      <c r="G248" s="33">
        <v>0.0</v>
      </c>
      <c r="H248" s="33">
        <v>0.0</v>
      </c>
      <c r="I248" s="33">
        <v>0.0</v>
      </c>
      <c r="J248" s="33">
        <v>0.0</v>
      </c>
      <c r="K248" s="33">
        <v>0.0</v>
      </c>
      <c r="L248" s="33">
        <v>0.0</v>
      </c>
      <c r="M248" s="33">
        <v>0.0</v>
      </c>
      <c r="N248" s="33">
        <v>0.0</v>
      </c>
      <c r="O248" s="33">
        <v>0.0</v>
      </c>
      <c r="P248" s="33">
        <v>0.0</v>
      </c>
      <c r="Q248" s="33">
        <v>0.0</v>
      </c>
      <c r="R248" s="33">
        <v>0.0</v>
      </c>
      <c r="S248" s="33">
        <v>0.0</v>
      </c>
      <c r="T248" s="33">
        <v>0.0</v>
      </c>
      <c r="U248" s="33">
        <v>0.0</v>
      </c>
      <c r="V248" s="33">
        <v>0.0</v>
      </c>
      <c r="W248" s="33">
        <v>0.0</v>
      </c>
      <c r="X248" s="33">
        <v>0.0</v>
      </c>
      <c r="Y248" s="33">
        <v>0.0</v>
      </c>
      <c r="Z248" s="33">
        <v>500.0</v>
      </c>
      <c r="AA248" s="33">
        <v>0.0</v>
      </c>
      <c r="AB248" s="33">
        <v>0.0</v>
      </c>
      <c r="AC248" s="33">
        <v>0.0</v>
      </c>
      <c r="AD248" s="33">
        <v>0.0</v>
      </c>
      <c r="AE248" s="33">
        <v>0.0</v>
      </c>
      <c r="AF248" s="33">
        <v>0.0</v>
      </c>
      <c r="AG248" s="33">
        <v>0.0</v>
      </c>
      <c r="AH248" s="33">
        <v>0.0</v>
      </c>
      <c r="AI248" s="33">
        <v>0.0</v>
      </c>
      <c r="AJ248" s="33">
        <v>0.0</v>
      </c>
      <c r="AK248" s="33">
        <v>0.0</v>
      </c>
    </row>
    <row r="249">
      <c r="A249" s="33">
        <v>75069.0</v>
      </c>
      <c r="B249" s="33">
        <v>0.0</v>
      </c>
      <c r="C249" s="33">
        <v>0.0</v>
      </c>
      <c r="D249" s="33">
        <v>0.0</v>
      </c>
      <c r="E249" s="33">
        <v>0.0</v>
      </c>
      <c r="F249" s="33">
        <v>0.0</v>
      </c>
      <c r="G249" s="33">
        <v>0.0</v>
      </c>
      <c r="H249" s="33">
        <v>0.0</v>
      </c>
      <c r="I249" s="33">
        <v>0.0</v>
      </c>
      <c r="J249" s="33">
        <v>0.0</v>
      </c>
      <c r="K249" s="33">
        <v>0.0</v>
      </c>
      <c r="L249" s="33">
        <v>0.0</v>
      </c>
      <c r="M249" s="33">
        <v>0.0</v>
      </c>
      <c r="N249" s="33">
        <v>0.0</v>
      </c>
      <c r="O249" s="33">
        <v>0.0</v>
      </c>
      <c r="P249" s="33">
        <v>0.0</v>
      </c>
      <c r="Q249" s="33">
        <v>0.0</v>
      </c>
      <c r="R249" s="33">
        <v>0.0</v>
      </c>
      <c r="S249" s="33">
        <v>0.0</v>
      </c>
      <c r="T249" s="33">
        <v>0.0</v>
      </c>
      <c r="U249" s="33">
        <v>0.0</v>
      </c>
      <c r="V249" s="33">
        <v>0.0</v>
      </c>
      <c r="W249" s="33">
        <v>0.0</v>
      </c>
      <c r="X249" s="33">
        <v>0.0</v>
      </c>
      <c r="Y249" s="33">
        <v>0.0</v>
      </c>
      <c r="Z249" s="33">
        <v>250.0</v>
      </c>
      <c r="AA249" s="33">
        <v>0.0</v>
      </c>
      <c r="AB249" s="33">
        <v>0.0</v>
      </c>
      <c r="AC249" s="33">
        <v>0.0</v>
      </c>
      <c r="AD249" s="33">
        <v>0.0</v>
      </c>
      <c r="AE249" s="33">
        <v>0.0</v>
      </c>
      <c r="AF249" s="33">
        <v>0.0</v>
      </c>
      <c r="AG249" s="33">
        <v>0.0</v>
      </c>
      <c r="AH249" s="33">
        <v>0.0</v>
      </c>
      <c r="AI249" s="33">
        <v>0.0</v>
      </c>
      <c r="AJ249" s="33">
        <v>0.0</v>
      </c>
      <c r="AK249" s="33">
        <v>0.0</v>
      </c>
    </row>
    <row r="250">
      <c r="A250" s="33">
        <v>76034.0</v>
      </c>
      <c r="B250" s="33">
        <v>0.0</v>
      </c>
      <c r="C250" s="33">
        <v>0.0</v>
      </c>
      <c r="D250" s="33">
        <v>0.0</v>
      </c>
      <c r="E250" s="33">
        <v>0.0</v>
      </c>
      <c r="F250" s="33">
        <v>0.0</v>
      </c>
      <c r="G250" s="33">
        <v>0.0</v>
      </c>
      <c r="H250" s="33">
        <v>0.0</v>
      </c>
      <c r="I250" s="33">
        <v>0.0</v>
      </c>
      <c r="J250" s="33">
        <v>0.0</v>
      </c>
      <c r="K250" s="33">
        <v>0.0</v>
      </c>
      <c r="L250" s="33">
        <v>0.0</v>
      </c>
      <c r="M250" s="33">
        <v>0.0</v>
      </c>
      <c r="N250" s="33">
        <v>0.0</v>
      </c>
      <c r="O250" s="33">
        <v>0.0</v>
      </c>
      <c r="P250" s="33">
        <v>0.0</v>
      </c>
      <c r="Q250" s="33">
        <v>0.0</v>
      </c>
      <c r="R250" s="33">
        <v>0.0</v>
      </c>
      <c r="S250" s="33">
        <v>0.0</v>
      </c>
      <c r="T250" s="33">
        <v>0.0</v>
      </c>
      <c r="U250" s="33">
        <v>0.0</v>
      </c>
      <c r="V250" s="33">
        <v>0.0</v>
      </c>
      <c r="W250" s="33">
        <v>0.0</v>
      </c>
      <c r="X250" s="33">
        <v>0.0</v>
      </c>
      <c r="Y250" s="33">
        <v>0.0</v>
      </c>
      <c r="Z250" s="33">
        <v>250.0</v>
      </c>
      <c r="AA250" s="33">
        <v>0.0</v>
      </c>
      <c r="AB250" s="33">
        <v>0.0</v>
      </c>
      <c r="AC250" s="33">
        <v>0.0</v>
      </c>
      <c r="AD250" s="33">
        <v>0.0</v>
      </c>
      <c r="AE250" s="33">
        <v>0.0</v>
      </c>
      <c r="AF250" s="33">
        <v>0.0</v>
      </c>
      <c r="AG250" s="33">
        <v>0.0</v>
      </c>
      <c r="AH250" s="33">
        <v>0.0</v>
      </c>
      <c r="AI250" s="33">
        <v>0.0</v>
      </c>
      <c r="AJ250" s="33">
        <v>0.0</v>
      </c>
      <c r="AK250" s="33">
        <v>0.0</v>
      </c>
    </row>
    <row r="251">
      <c r="A251" s="33">
        <v>75071.0</v>
      </c>
      <c r="B251" s="33">
        <v>0.0</v>
      </c>
      <c r="C251" s="33">
        <v>0.0</v>
      </c>
      <c r="D251" s="33">
        <v>0.0</v>
      </c>
      <c r="E251" s="33">
        <v>0.0</v>
      </c>
      <c r="F251" s="33">
        <v>0.0</v>
      </c>
      <c r="G251" s="33">
        <v>0.0</v>
      </c>
      <c r="H251" s="33">
        <v>0.0</v>
      </c>
      <c r="I251" s="33">
        <v>0.0</v>
      </c>
      <c r="J251" s="33">
        <v>0.0</v>
      </c>
      <c r="K251" s="33">
        <v>0.0</v>
      </c>
      <c r="L251" s="33">
        <v>0.0</v>
      </c>
      <c r="M251" s="33">
        <v>0.0</v>
      </c>
      <c r="N251" s="33">
        <v>0.0</v>
      </c>
      <c r="O251" s="33">
        <v>0.0</v>
      </c>
      <c r="P251" s="33">
        <v>0.0</v>
      </c>
      <c r="Q251" s="33">
        <v>0.0</v>
      </c>
      <c r="R251" s="33">
        <v>0.0</v>
      </c>
      <c r="S251" s="33">
        <v>0.0</v>
      </c>
      <c r="T251" s="33">
        <v>949.7</v>
      </c>
      <c r="U251" s="33">
        <v>0.0</v>
      </c>
      <c r="V251" s="33">
        <v>0.0</v>
      </c>
      <c r="W251" s="33">
        <v>0.0</v>
      </c>
      <c r="X251" s="33">
        <v>0.0</v>
      </c>
      <c r="Y251" s="33">
        <v>0.0</v>
      </c>
      <c r="Z251" s="33">
        <v>0.0</v>
      </c>
      <c r="AA251" s="33">
        <v>0.0</v>
      </c>
      <c r="AB251" s="33">
        <v>0.0</v>
      </c>
      <c r="AC251" s="33">
        <v>0.0</v>
      </c>
      <c r="AD251" s="33">
        <v>0.0</v>
      </c>
      <c r="AE251" s="33">
        <v>0.0</v>
      </c>
      <c r="AF251" s="33">
        <v>0.0</v>
      </c>
      <c r="AG251" s="33">
        <v>0.0</v>
      </c>
      <c r="AH251" s="33">
        <v>0.0</v>
      </c>
      <c r="AI251" s="33">
        <v>0.0</v>
      </c>
      <c r="AJ251" s="33">
        <v>0.0</v>
      </c>
      <c r="AK251" s="33">
        <v>0.0</v>
      </c>
    </row>
    <row r="252">
      <c r="A252" s="33">
        <v>75298.0</v>
      </c>
      <c r="B252" s="33">
        <v>0.0</v>
      </c>
      <c r="C252" s="33">
        <v>0.0</v>
      </c>
      <c r="D252" s="33">
        <v>0.0</v>
      </c>
      <c r="E252" s="33">
        <v>0.0</v>
      </c>
      <c r="F252" s="33">
        <v>0.0</v>
      </c>
      <c r="G252" s="33">
        <v>0.0</v>
      </c>
      <c r="H252" s="33">
        <v>0.0</v>
      </c>
      <c r="I252" s="33">
        <v>0.0</v>
      </c>
      <c r="J252" s="33">
        <v>0.0</v>
      </c>
      <c r="K252" s="33">
        <v>0.0</v>
      </c>
      <c r="L252" s="33">
        <v>0.0</v>
      </c>
      <c r="M252" s="33">
        <v>0.0</v>
      </c>
      <c r="N252" s="33">
        <v>0.0</v>
      </c>
      <c r="O252" s="33">
        <v>0.0</v>
      </c>
      <c r="P252" s="33">
        <v>0.0</v>
      </c>
      <c r="Q252" s="33">
        <v>0.0</v>
      </c>
      <c r="R252" s="33">
        <v>0.0</v>
      </c>
      <c r="S252" s="33">
        <v>0.0</v>
      </c>
      <c r="T252" s="33">
        <v>250.0</v>
      </c>
      <c r="U252" s="33">
        <v>0.0</v>
      </c>
      <c r="V252" s="33">
        <v>0.0</v>
      </c>
      <c r="W252" s="33">
        <v>0.0</v>
      </c>
      <c r="X252" s="33">
        <v>0.0</v>
      </c>
      <c r="Y252" s="33">
        <v>0.0</v>
      </c>
      <c r="Z252" s="33">
        <v>0.0</v>
      </c>
      <c r="AA252" s="33">
        <v>0.0</v>
      </c>
      <c r="AB252" s="33">
        <v>0.0</v>
      </c>
      <c r="AC252" s="33">
        <v>0.0</v>
      </c>
      <c r="AD252" s="33">
        <v>0.0</v>
      </c>
      <c r="AE252" s="33">
        <v>0.0</v>
      </c>
      <c r="AF252" s="33">
        <v>0.0</v>
      </c>
      <c r="AG252" s="33">
        <v>0.0</v>
      </c>
      <c r="AH252" s="33">
        <v>0.0</v>
      </c>
      <c r="AI252" s="33">
        <v>0.0</v>
      </c>
      <c r="AJ252" s="33">
        <v>0.0</v>
      </c>
      <c r="AK252" s="33">
        <v>0.0</v>
      </c>
    </row>
    <row r="253">
      <c r="A253" s="33">
        <v>75504.0</v>
      </c>
      <c r="B253" s="33">
        <v>0.0</v>
      </c>
      <c r="C253" s="33">
        <v>0.0</v>
      </c>
      <c r="D253" s="33">
        <v>0.0</v>
      </c>
      <c r="E253" s="33">
        <v>0.0</v>
      </c>
      <c r="F253" s="33">
        <v>0.0</v>
      </c>
      <c r="G253" s="33">
        <v>0.0</v>
      </c>
      <c r="H253" s="33">
        <v>0.0</v>
      </c>
      <c r="I253" s="33">
        <v>0.0</v>
      </c>
      <c r="J253" s="33">
        <v>0.0</v>
      </c>
      <c r="K253" s="33">
        <v>0.0</v>
      </c>
      <c r="L253" s="33">
        <v>0.0</v>
      </c>
      <c r="M253" s="33">
        <v>0.0</v>
      </c>
      <c r="N253" s="33">
        <v>0.0</v>
      </c>
      <c r="O253" s="33">
        <v>0.0</v>
      </c>
      <c r="P253" s="33">
        <v>0.0</v>
      </c>
      <c r="Q253" s="33">
        <v>0.0</v>
      </c>
      <c r="R253" s="33">
        <v>0.0</v>
      </c>
      <c r="S253" s="33">
        <v>0.0</v>
      </c>
      <c r="T253" s="33">
        <v>0.0</v>
      </c>
      <c r="U253" s="33">
        <v>0.0</v>
      </c>
      <c r="V253" s="33">
        <v>0.0</v>
      </c>
      <c r="W253" s="33">
        <v>0.0</v>
      </c>
      <c r="X253" s="33">
        <v>0.0</v>
      </c>
      <c r="Y253" s="33">
        <v>0.0</v>
      </c>
      <c r="Z253" s="33">
        <v>10000.0</v>
      </c>
      <c r="AA253" s="33">
        <v>0.0</v>
      </c>
      <c r="AB253" s="33">
        <v>0.0</v>
      </c>
      <c r="AC253" s="33">
        <v>0.0</v>
      </c>
      <c r="AD253" s="33">
        <v>0.0</v>
      </c>
      <c r="AE253" s="33">
        <v>0.0</v>
      </c>
      <c r="AF253" s="33">
        <v>0.0</v>
      </c>
      <c r="AG253" s="33">
        <v>0.0</v>
      </c>
      <c r="AH253" s="33">
        <v>0.0</v>
      </c>
      <c r="AI253" s="33">
        <v>0.0</v>
      </c>
      <c r="AJ253" s="33">
        <v>0.0</v>
      </c>
      <c r="AK253" s="33">
        <v>0.0</v>
      </c>
    </row>
    <row r="254">
      <c r="A254" s="33">
        <v>75120.0</v>
      </c>
      <c r="B254" s="33">
        <v>0.0</v>
      </c>
      <c r="C254" s="33">
        <v>0.0</v>
      </c>
      <c r="D254" s="33">
        <v>0.0</v>
      </c>
      <c r="E254" s="33">
        <v>0.0</v>
      </c>
      <c r="F254" s="33">
        <v>0.0</v>
      </c>
      <c r="G254" s="33">
        <v>0.0</v>
      </c>
      <c r="H254" s="33">
        <v>0.0</v>
      </c>
      <c r="I254" s="33">
        <v>0.0</v>
      </c>
      <c r="J254" s="33">
        <v>0.0</v>
      </c>
      <c r="K254" s="33">
        <v>0.0</v>
      </c>
      <c r="L254" s="33">
        <v>0.0</v>
      </c>
      <c r="M254" s="33">
        <v>0.0</v>
      </c>
      <c r="N254" s="33">
        <v>0.0</v>
      </c>
      <c r="O254" s="33">
        <v>0.0</v>
      </c>
      <c r="P254" s="33">
        <v>0.0</v>
      </c>
      <c r="Q254" s="33">
        <v>0.0</v>
      </c>
      <c r="R254" s="33">
        <v>0.0</v>
      </c>
      <c r="S254" s="33">
        <v>0.0</v>
      </c>
      <c r="T254" s="33">
        <v>0.0</v>
      </c>
      <c r="U254" s="33">
        <v>0.0</v>
      </c>
      <c r="V254" s="33">
        <v>0.0</v>
      </c>
      <c r="W254" s="33">
        <v>0.0</v>
      </c>
      <c r="X254" s="33">
        <v>0.0</v>
      </c>
      <c r="Y254" s="33">
        <v>0.0</v>
      </c>
      <c r="Z254" s="33">
        <v>1000.0</v>
      </c>
      <c r="AA254" s="33">
        <v>0.0</v>
      </c>
      <c r="AB254" s="33">
        <v>0.0</v>
      </c>
      <c r="AC254" s="33">
        <v>0.0</v>
      </c>
      <c r="AD254" s="33">
        <v>0.0</v>
      </c>
      <c r="AE254" s="33">
        <v>0.0</v>
      </c>
      <c r="AF254" s="33">
        <v>0.0</v>
      </c>
      <c r="AG254" s="33">
        <v>0.0</v>
      </c>
      <c r="AH254" s="33">
        <v>0.0</v>
      </c>
      <c r="AI254" s="33">
        <v>0.0</v>
      </c>
      <c r="AJ254" s="33">
        <v>0.0</v>
      </c>
      <c r="AK254" s="33">
        <v>0.0</v>
      </c>
    </row>
    <row r="255">
      <c r="A255" s="33">
        <v>75601.0</v>
      </c>
      <c r="B255" s="33">
        <v>0.0</v>
      </c>
      <c r="C255" s="33">
        <v>0.0</v>
      </c>
      <c r="D255" s="33">
        <v>0.0</v>
      </c>
      <c r="E255" s="33">
        <v>0.0</v>
      </c>
      <c r="F255" s="33">
        <v>0.0</v>
      </c>
      <c r="G255" s="33">
        <v>0.0</v>
      </c>
      <c r="H255" s="33">
        <v>0.0</v>
      </c>
      <c r="I255" s="33">
        <v>0.0</v>
      </c>
      <c r="J255" s="33">
        <v>0.0</v>
      </c>
      <c r="K255" s="33">
        <v>0.0</v>
      </c>
      <c r="L255" s="33">
        <v>0.0</v>
      </c>
      <c r="M255" s="33">
        <v>0.0</v>
      </c>
      <c r="N255" s="33">
        <v>0.0</v>
      </c>
      <c r="O255" s="33">
        <v>0.0</v>
      </c>
      <c r="P255" s="33">
        <v>0.0</v>
      </c>
      <c r="Q255" s="33">
        <v>0.0</v>
      </c>
      <c r="R255" s="33">
        <v>0.0</v>
      </c>
      <c r="S255" s="33">
        <v>0.0</v>
      </c>
      <c r="T255" s="33">
        <v>0.0</v>
      </c>
      <c r="U255" s="33">
        <v>0.0</v>
      </c>
      <c r="V255" s="33">
        <v>0.0</v>
      </c>
      <c r="W255" s="33">
        <v>0.0</v>
      </c>
      <c r="X255" s="33">
        <v>0.0</v>
      </c>
      <c r="Y255" s="33">
        <v>0.0</v>
      </c>
      <c r="Z255" s="33">
        <v>5000.0</v>
      </c>
      <c r="AA255" s="33">
        <v>0.0</v>
      </c>
      <c r="AB255" s="33">
        <v>0.0</v>
      </c>
      <c r="AC255" s="33">
        <v>0.0</v>
      </c>
      <c r="AD255" s="33">
        <v>0.0</v>
      </c>
      <c r="AE255" s="33">
        <v>0.0</v>
      </c>
      <c r="AF255" s="33">
        <v>0.0</v>
      </c>
      <c r="AG255" s="33">
        <v>0.0</v>
      </c>
      <c r="AH255" s="33">
        <v>0.0</v>
      </c>
      <c r="AI255" s="33">
        <v>0.0</v>
      </c>
      <c r="AJ255" s="33">
        <v>0.0</v>
      </c>
      <c r="AK255" s="33">
        <v>0.0</v>
      </c>
    </row>
    <row r="256">
      <c r="A256" s="33">
        <v>75801.0</v>
      </c>
      <c r="B256" s="33">
        <v>0.0</v>
      </c>
      <c r="C256" s="33">
        <v>0.0</v>
      </c>
      <c r="D256" s="33">
        <v>0.0</v>
      </c>
      <c r="E256" s="33">
        <v>0.0</v>
      </c>
      <c r="F256" s="33">
        <v>0.0</v>
      </c>
      <c r="G256" s="33">
        <v>0.0</v>
      </c>
      <c r="H256" s="33">
        <v>0.0</v>
      </c>
      <c r="I256" s="33">
        <v>0.0</v>
      </c>
      <c r="J256" s="33">
        <v>0.0</v>
      </c>
      <c r="K256" s="33">
        <v>0.0</v>
      </c>
      <c r="L256" s="33">
        <v>0.0</v>
      </c>
      <c r="M256" s="33">
        <v>0.0</v>
      </c>
      <c r="N256" s="33">
        <v>0.0</v>
      </c>
      <c r="O256" s="33">
        <v>0.0</v>
      </c>
      <c r="P256" s="33">
        <v>0.0</v>
      </c>
      <c r="Q256" s="33">
        <v>0.0</v>
      </c>
      <c r="R256" s="33">
        <v>100.0</v>
      </c>
      <c r="S256" s="33">
        <v>0.0</v>
      </c>
      <c r="T256" s="33">
        <v>0.0</v>
      </c>
      <c r="U256" s="33">
        <v>0.0</v>
      </c>
      <c r="V256" s="33">
        <v>0.0</v>
      </c>
      <c r="W256" s="33">
        <v>0.0</v>
      </c>
      <c r="X256" s="33">
        <v>0.0</v>
      </c>
      <c r="Y256" s="33">
        <v>0.0</v>
      </c>
      <c r="Z256" s="33">
        <v>0.0</v>
      </c>
      <c r="AA256" s="33">
        <v>0.0</v>
      </c>
      <c r="AB256" s="33">
        <v>0.0</v>
      </c>
      <c r="AC256" s="33">
        <v>0.0</v>
      </c>
      <c r="AD256" s="33">
        <v>0.0</v>
      </c>
      <c r="AE256" s="33">
        <v>0.0</v>
      </c>
      <c r="AF256" s="33">
        <v>0.0</v>
      </c>
      <c r="AG256" s="33">
        <v>0.0</v>
      </c>
      <c r="AH256" s="33">
        <v>0.0</v>
      </c>
      <c r="AI256" s="33">
        <v>0.0</v>
      </c>
      <c r="AJ256" s="33">
        <v>0.0</v>
      </c>
      <c r="AK256" s="33">
        <v>0.0</v>
      </c>
    </row>
    <row r="257">
      <c r="A257" s="33">
        <v>76004.0</v>
      </c>
      <c r="B257" s="33">
        <v>0.0</v>
      </c>
      <c r="C257" s="33">
        <v>0.0</v>
      </c>
      <c r="D257" s="33">
        <v>0.0</v>
      </c>
      <c r="E257" s="33">
        <v>0.0</v>
      </c>
      <c r="F257" s="33">
        <v>0.0</v>
      </c>
      <c r="G257" s="33">
        <v>0.0</v>
      </c>
      <c r="H257" s="33">
        <v>0.0</v>
      </c>
      <c r="I257" s="33">
        <v>0.0</v>
      </c>
      <c r="J257" s="33">
        <v>0.0</v>
      </c>
      <c r="K257" s="33">
        <v>0.0</v>
      </c>
      <c r="L257" s="33">
        <v>0.0</v>
      </c>
      <c r="M257" s="33">
        <v>0.0</v>
      </c>
      <c r="N257" s="33">
        <v>0.0</v>
      </c>
      <c r="O257" s="33">
        <v>0.0</v>
      </c>
      <c r="P257" s="33">
        <v>0.0</v>
      </c>
      <c r="Q257" s="33">
        <v>0.0</v>
      </c>
      <c r="R257" s="33">
        <v>0.0</v>
      </c>
      <c r="S257" s="33">
        <v>0.0</v>
      </c>
      <c r="T257" s="33">
        <v>949.7</v>
      </c>
      <c r="U257" s="33">
        <v>0.0</v>
      </c>
      <c r="V257" s="33">
        <v>0.0</v>
      </c>
      <c r="W257" s="33">
        <v>0.0</v>
      </c>
      <c r="X257" s="33">
        <v>0.0</v>
      </c>
      <c r="Y257" s="33">
        <v>0.0</v>
      </c>
      <c r="Z257" s="33">
        <v>0.0</v>
      </c>
      <c r="AA257" s="33">
        <v>0.0</v>
      </c>
      <c r="AB257" s="33">
        <v>0.0</v>
      </c>
      <c r="AC257" s="33">
        <v>0.0</v>
      </c>
      <c r="AD257" s="33">
        <v>0.0</v>
      </c>
      <c r="AE257" s="33">
        <v>0.0</v>
      </c>
      <c r="AF257" s="33">
        <v>0.0</v>
      </c>
      <c r="AG257" s="33">
        <v>0.0</v>
      </c>
      <c r="AH257" s="33">
        <v>0.0</v>
      </c>
      <c r="AI257" s="33">
        <v>0.0</v>
      </c>
      <c r="AJ257" s="33">
        <v>0.0</v>
      </c>
      <c r="AK257" s="33">
        <v>0.0</v>
      </c>
    </row>
    <row r="258">
      <c r="A258" s="33">
        <v>75049.0</v>
      </c>
      <c r="B258" s="33">
        <v>0.0</v>
      </c>
      <c r="C258" s="33">
        <v>0.0</v>
      </c>
      <c r="D258" s="33">
        <v>0.0</v>
      </c>
      <c r="E258" s="33">
        <v>0.0</v>
      </c>
      <c r="F258" s="33">
        <v>0.0</v>
      </c>
      <c r="G258" s="33">
        <v>0.0</v>
      </c>
      <c r="H258" s="33">
        <v>0.0</v>
      </c>
      <c r="I258" s="33">
        <v>0.0</v>
      </c>
      <c r="J258" s="33">
        <v>0.0</v>
      </c>
      <c r="K258" s="33">
        <v>0.0</v>
      </c>
      <c r="L258" s="33">
        <v>0.0</v>
      </c>
      <c r="M258" s="33">
        <v>0.0</v>
      </c>
      <c r="N258" s="33">
        <v>0.0</v>
      </c>
      <c r="O258" s="33">
        <v>0.0</v>
      </c>
      <c r="P258" s="33">
        <v>0.0</v>
      </c>
      <c r="Q258" s="33">
        <v>0.0</v>
      </c>
      <c r="R258" s="33">
        <v>0.0</v>
      </c>
      <c r="S258" s="33">
        <v>0.0</v>
      </c>
      <c r="T258" s="33">
        <v>1000.0</v>
      </c>
      <c r="U258" s="33">
        <v>0.0</v>
      </c>
      <c r="V258" s="33">
        <v>0.0</v>
      </c>
      <c r="W258" s="33">
        <v>0.0</v>
      </c>
      <c r="X258" s="33">
        <v>0.0</v>
      </c>
      <c r="Y258" s="33">
        <v>0.0</v>
      </c>
      <c r="Z258" s="33">
        <v>0.0</v>
      </c>
      <c r="AA258" s="33">
        <v>0.0</v>
      </c>
      <c r="AB258" s="33">
        <v>0.0</v>
      </c>
      <c r="AC258" s="33">
        <v>0.0</v>
      </c>
      <c r="AD258" s="33">
        <v>0.0</v>
      </c>
      <c r="AE258" s="33">
        <v>0.0</v>
      </c>
      <c r="AF258" s="33">
        <v>0.0</v>
      </c>
      <c r="AG258" s="33">
        <v>0.0</v>
      </c>
      <c r="AH258" s="33">
        <v>0.0</v>
      </c>
      <c r="AI258" s="33">
        <v>0.0</v>
      </c>
      <c r="AJ258" s="33">
        <v>0.0</v>
      </c>
      <c r="AK258" s="33">
        <v>0.0</v>
      </c>
    </row>
    <row r="259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</row>
    <row r="260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</row>
    <row r="26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</row>
    <row r="262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</row>
    <row r="263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</row>
    <row r="264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</row>
    <row r="26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</row>
    <row r="266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</row>
    <row r="267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</row>
    <row r="268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</row>
    <row r="269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</row>
    <row r="270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</row>
    <row r="27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</row>
    <row r="272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</row>
    <row r="273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</row>
    <row r="274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</row>
    <row r="27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</row>
    <row r="276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</row>
    <row r="277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</row>
    <row r="278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</row>
    <row r="279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</row>
    <row r="280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</row>
    <row r="28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</row>
    <row r="282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</row>
    <row r="283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</row>
    <row r="284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</row>
    <row r="28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</row>
    <row r="286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</row>
    <row r="287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</row>
    <row r="288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</row>
    <row r="289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</row>
    <row r="290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</row>
    <row r="29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</row>
    <row r="292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</row>
    <row r="293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</row>
    <row r="294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</row>
    <row r="29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</row>
    <row r="296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</row>
    <row r="297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</row>
    <row r="298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</row>
    <row r="299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</row>
    <row r="300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</row>
    <row r="30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</row>
    <row r="302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</row>
    <row r="303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</row>
    <row r="304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</row>
    <row r="30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</row>
    <row r="306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</row>
    <row r="307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</row>
    <row r="308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</row>
    <row r="309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</row>
    <row r="310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</row>
    <row r="31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</row>
    <row r="312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</row>
    <row r="313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</row>
    <row r="314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</row>
    <row r="31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</row>
    <row r="316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</row>
    <row r="317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</row>
    <row r="318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</row>
    <row r="319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</row>
    <row r="320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</row>
    <row r="32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</row>
    <row r="322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</row>
    <row r="323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</row>
    <row r="324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</row>
    <row r="3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</row>
    <row r="326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</row>
    <row r="327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</row>
    <row r="328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</row>
    <row r="329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</row>
    <row r="330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</row>
    <row r="33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</row>
    <row r="332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</row>
    <row r="333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</row>
    <row r="334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</row>
    <row r="33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</row>
    <row r="336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</row>
    <row r="337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</row>
    <row r="338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</row>
    <row r="339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</row>
    <row r="340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</row>
    <row r="34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</row>
    <row r="342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</row>
    <row r="343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</row>
    <row r="344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</row>
    <row r="34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</row>
    <row r="346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</row>
    <row r="347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</row>
    <row r="348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</row>
    <row r="349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</row>
    <row r="350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</row>
    <row r="35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</row>
    <row r="352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</row>
    <row r="353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</row>
    <row r="354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</row>
    <row r="35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</row>
    <row r="356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</row>
    <row r="357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</row>
    <row r="358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</row>
    <row r="359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</row>
    <row r="360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</row>
    <row r="36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</row>
    <row r="362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</row>
    <row r="363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</row>
    <row r="364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</row>
    <row r="36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</row>
    <row r="366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</row>
    <row r="367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</row>
    <row r="368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</row>
    <row r="369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</row>
    <row r="370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</row>
    <row r="37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</row>
    <row r="372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</row>
    <row r="373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</row>
    <row r="374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</row>
    <row r="37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</row>
    <row r="376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</row>
    <row r="377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</row>
    <row r="378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</row>
    <row r="379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</row>
    <row r="380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</row>
    <row r="38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</row>
    <row r="382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</row>
    <row r="383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</row>
    <row r="384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</row>
    <row r="38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</row>
    <row r="386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</row>
    <row r="387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</row>
    <row r="388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</row>
    <row r="389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</row>
    <row r="390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</row>
    <row r="39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</row>
    <row r="392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</row>
    <row r="393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</row>
    <row r="394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</row>
    <row r="39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</row>
    <row r="396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</row>
    <row r="397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</row>
    <row r="398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</row>
    <row r="399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</row>
    <row r="400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</row>
    <row r="40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</row>
    <row r="402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</row>
    <row r="403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</row>
    <row r="404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</row>
    <row r="40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</row>
    <row r="406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</row>
    <row r="407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</row>
    <row r="408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</row>
    <row r="409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</row>
    <row r="410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</row>
    <row r="41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</row>
    <row r="412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</row>
    <row r="413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</row>
    <row r="414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</row>
    <row r="41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</row>
    <row r="416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</row>
    <row r="417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</row>
    <row r="418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</row>
    <row r="419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</row>
    <row r="420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</row>
    <row r="42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</row>
    <row r="422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</row>
    <row r="423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</row>
    <row r="424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</row>
    <row r="4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</row>
    <row r="426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</row>
    <row r="427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</row>
    <row r="428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</row>
    <row r="429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</row>
    <row r="430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</row>
    <row r="43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</row>
    <row r="432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</row>
    <row r="433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</row>
    <row r="434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</row>
    <row r="43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</row>
    <row r="436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</row>
    <row r="437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</row>
    <row r="438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</row>
    <row r="439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</row>
    <row r="440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</row>
    <row r="44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</row>
    <row r="442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</row>
    <row r="443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</row>
    <row r="444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</row>
    <row r="44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</row>
    <row r="446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</row>
    <row r="447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</row>
    <row r="448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</row>
    <row r="449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</row>
    <row r="450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</row>
    <row r="45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</row>
    <row r="452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</row>
    <row r="453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</row>
    <row r="454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</row>
    <row r="45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</row>
    <row r="456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</row>
    <row r="457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</row>
    <row r="458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</row>
    <row r="459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</row>
    <row r="460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</row>
    <row r="46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</row>
    <row r="462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</row>
    <row r="463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</row>
    <row r="464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</row>
    <row r="46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</row>
    <row r="466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</row>
    <row r="467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</row>
    <row r="468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</row>
    <row r="469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</row>
    <row r="470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</row>
    <row r="47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</row>
    <row r="472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</row>
    <row r="473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</row>
    <row r="474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</row>
    <row r="47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</row>
    <row r="476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</row>
    <row r="477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</row>
    <row r="478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</row>
    <row r="479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</row>
    <row r="480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</row>
    <row r="48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</row>
    <row r="482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</row>
    <row r="483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</row>
    <row r="484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</row>
    <row r="48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</row>
    <row r="486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</row>
    <row r="487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</row>
    <row r="488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</row>
    <row r="489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</row>
    <row r="490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</row>
    <row r="49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</row>
    <row r="492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</row>
    <row r="493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</row>
    <row r="494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</row>
    <row r="49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</row>
    <row r="496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</row>
    <row r="497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</row>
    <row r="498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</row>
    <row r="499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</row>
    <row r="500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</row>
    <row r="50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</row>
    <row r="502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</row>
    <row r="503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</row>
    <row r="504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</row>
    <row r="50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</row>
    <row r="506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</row>
    <row r="507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</row>
    <row r="508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</row>
    <row r="509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</row>
    <row r="510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</row>
    <row r="51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</row>
    <row r="512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</row>
    <row r="513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</row>
    <row r="514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</row>
    <row r="51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</row>
    <row r="516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</row>
    <row r="517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</row>
    <row r="518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</row>
    <row r="519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</row>
    <row r="520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</row>
    <row r="52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</row>
    <row r="522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</row>
    <row r="523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</row>
    <row r="524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</row>
    <row r="5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</row>
    <row r="526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</row>
    <row r="527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</row>
    <row r="528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</row>
    <row r="529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</row>
    <row r="530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</row>
    <row r="53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</row>
    <row r="532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</row>
    <row r="533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</row>
    <row r="534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</row>
    <row r="53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</row>
    <row r="536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</row>
    <row r="537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</row>
    <row r="538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</row>
    <row r="539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</row>
    <row r="540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</row>
    <row r="54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</row>
    <row r="542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</row>
    <row r="543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</row>
    <row r="544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</row>
    <row r="54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</row>
    <row r="546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</row>
    <row r="547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</row>
    <row r="548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</row>
    <row r="549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</row>
    <row r="550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</row>
    <row r="55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</row>
    <row r="552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</row>
    <row r="553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</row>
    <row r="554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</row>
    <row r="55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</row>
    <row r="556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</row>
    <row r="557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</row>
    <row r="558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</row>
    <row r="559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</row>
    <row r="560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</row>
    <row r="56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</row>
    <row r="562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</row>
    <row r="563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</row>
    <row r="564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</row>
    <row r="56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</row>
    <row r="566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</row>
    <row r="567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</row>
    <row r="568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</row>
    <row r="569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</row>
    <row r="570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</row>
    <row r="57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</row>
    <row r="572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</row>
    <row r="573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</row>
    <row r="574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</row>
    <row r="57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</row>
    <row r="576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</row>
    <row r="577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</row>
    <row r="578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</row>
    <row r="579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</row>
    <row r="580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</row>
    <row r="58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</row>
    <row r="582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</row>
    <row r="583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</row>
    <row r="584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</row>
    <row r="58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</row>
    <row r="586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</row>
    <row r="587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</row>
    <row r="588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</row>
    <row r="589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</row>
    <row r="590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</row>
    <row r="59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</row>
    <row r="592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</row>
    <row r="593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</row>
    <row r="594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</row>
    <row r="59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</row>
    <row r="596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</row>
    <row r="597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</row>
    <row r="598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</row>
    <row r="599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</row>
    <row r="600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</row>
    <row r="60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</row>
    <row r="602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</row>
    <row r="603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</row>
    <row r="604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</row>
    <row r="60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</row>
    <row r="606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</row>
    <row r="607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</row>
    <row r="608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</row>
    <row r="609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</row>
    <row r="610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</row>
    <row r="61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</row>
    <row r="612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</row>
    <row r="613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</row>
    <row r="614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</row>
    <row r="6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</row>
    <row r="616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</row>
    <row r="617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</row>
    <row r="618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</row>
    <row r="619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</row>
    <row r="620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</row>
    <row r="62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</row>
    <row r="622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</row>
    <row r="623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</row>
    <row r="624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</row>
    <row r="6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</row>
    <row r="626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</row>
    <row r="627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</row>
    <row r="628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</row>
    <row r="629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</row>
    <row r="630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</row>
    <row r="63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</row>
    <row r="632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</row>
    <row r="633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</row>
    <row r="634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</row>
    <row r="63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</row>
    <row r="636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</row>
    <row r="637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</row>
    <row r="638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</row>
    <row r="639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</row>
    <row r="640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</row>
    <row r="64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</row>
    <row r="642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</row>
    <row r="643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</row>
    <row r="644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</row>
    <row r="64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</row>
    <row r="646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</row>
    <row r="647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</row>
    <row r="648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</row>
    <row r="649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</row>
    <row r="650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</row>
    <row r="65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</row>
    <row r="652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</row>
    <row r="653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</row>
    <row r="654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</row>
    <row r="65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</row>
    <row r="656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</row>
    <row r="657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</row>
    <row r="658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</row>
    <row r="659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</row>
    <row r="660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</row>
    <row r="66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</row>
    <row r="662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</row>
    <row r="663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</row>
    <row r="664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</row>
    <row r="66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</row>
    <row r="666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</row>
    <row r="667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</row>
    <row r="668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</row>
    <row r="669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</row>
    <row r="670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</row>
    <row r="67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</row>
    <row r="672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</row>
    <row r="673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</row>
    <row r="674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</row>
    <row r="67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</row>
    <row r="676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</row>
    <row r="677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</row>
    <row r="678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</row>
    <row r="679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</row>
    <row r="680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</row>
    <row r="68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</row>
    <row r="682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</row>
    <row r="683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</row>
    <row r="684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</row>
    <row r="68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</row>
    <row r="686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</row>
    <row r="687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</row>
    <row r="688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</row>
    <row r="689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</row>
    <row r="690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</row>
    <row r="69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</row>
    <row r="692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</row>
    <row r="693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</row>
    <row r="694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</row>
    <row r="69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</row>
    <row r="696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</row>
    <row r="697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</row>
    <row r="698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</row>
    <row r="699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</row>
    <row r="700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</row>
    <row r="70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</row>
    <row r="702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</row>
    <row r="703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</row>
    <row r="704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</row>
    <row r="70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</row>
    <row r="706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</row>
    <row r="707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</row>
    <row r="708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</row>
    <row r="709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</row>
    <row r="710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</row>
    <row r="71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</row>
    <row r="71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</row>
    <row r="713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</row>
    <row r="714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</row>
    <row r="7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</row>
    <row r="716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</row>
    <row r="717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</row>
    <row r="718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</row>
    <row r="719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</row>
    <row r="720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</row>
    <row r="72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</row>
    <row r="72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</row>
    <row r="723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</row>
    <row r="724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</row>
    <row r="7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</row>
    <row r="726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</row>
    <row r="727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</row>
    <row r="728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</row>
    <row r="729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</row>
    <row r="730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</row>
    <row r="73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</row>
    <row r="732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</row>
    <row r="733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</row>
    <row r="734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</row>
    <row r="73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</row>
    <row r="736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</row>
    <row r="737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</row>
    <row r="738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</row>
    <row r="739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</row>
    <row r="740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</row>
    <row r="74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</row>
    <row r="742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</row>
    <row r="743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</row>
    <row r="744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</row>
    <row r="74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</row>
    <row r="746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</row>
    <row r="747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</row>
    <row r="748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</row>
    <row r="749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</row>
    <row r="750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</row>
    <row r="75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</row>
    <row r="752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</row>
    <row r="753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</row>
    <row r="754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</row>
    <row r="75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</row>
    <row r="756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</row>
    <row r="757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</row>
    <row r="758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</row>
    <row r="759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</row>
    <row r="760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</row>
    <row r="76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</row>
    <row r="762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</row>
    <row r="763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</row>
    <row r="764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</row>
    <row r="76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</row>
    <row r="766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</row>
    <row r="767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</row>
    <row r="768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</row>
    <row r="769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</row>
    <row r="770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</row>
    <row r="77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</row>
    <row r="772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</row>
    <row r="773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</row>
    <row r="774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</row>
    <row r="77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</row>
    <row r="776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</row>
    <row r="777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</row>
    <row r="778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</row>
    <row r="779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</row>
    <row r="780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</row>
    <row r="78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</row>
    <row r="782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</row>
    <row r="783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</row>
    <row r="784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</row>
    <row r="78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</row>
    <row r="786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</row>
    <row r="787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</row>
    <row r="788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</row>
    <row r="789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</row>
    <row r="790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</row>
    <row r="79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</row>
    <row r="792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</row>
    <row r="793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</row>
    <row r="794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</row>
    <row r="79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</row>
    <row r="796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</row>
    <row r="797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</row>
    <row r="798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</row>
    <row r="799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</row>
    <row r="800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</row>
    <row r="80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</row>
    <row r="802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</row>
    <row r="803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</row>
    <row r="804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</row>
    <row r="80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</row>
    <row r="806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</row>
    <row r="807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</row>
    <row r="808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</row>
    <row r="809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</row>
    <row r="810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</row>
    <row r="81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</row>
    <row r="81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</row>
    <row r="813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</row>
    <row r="814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</row>
    <row r="8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</row>
    <row r="816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</row>
    <row r="817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</row>
    <row r="818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</row>
    <row r="819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</row>
    <row r="820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</row>
    <row r="82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</row>
    <row r="822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</row>
    <row r="823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</row>
    <row r="824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</row>
    <row r="8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</row>
    <row r="826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</row>
    <row r="827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</row>
    <row r="828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</row>
    <row r="829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</row>
    <row r="830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</row>
    <row r="83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</row>
    <row r="832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</row>
    <row r="833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</row>
    <row r="834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</row>
    <row r="83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</row>
    <row r="836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</row>
    <row r="837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</row>
    <row r="838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</row>
    <row r="839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</row>
    <row r="840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</row>
    <row r="84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</row>
    <row r="842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</row>
    <row r="843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</row>
    <row r="844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</row>
    <row r="84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</row>
    <row r="846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</row>
    <row r="847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</row>
    <row r="848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</row>
    <row r="849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</row>
    <row r="850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</row>
    <row r="85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</row>
    <row r="852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</row>
    <row r="853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</row>
    <row r="854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</row>
    <row r="85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</row>
    <row r="856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</row>
    <row r="857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</row>
    <row r="858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</row>
    <row r="859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</row>
    <row r="860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</row>
    <row r="86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</row>
    <row r="862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</row>
    <row r="863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</row>
    <row r="864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</row>
    <row r="86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</row>
    <row r="866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</row>
    <row r="867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</row>
    <row r="868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</row>
    <row r="869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</row>
    <row r="870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</row>
    <row r="87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</row>
    <row r="872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</row>
    <row r="873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</row>
    <row r="874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</row>
    <row r="87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</row>
    <row r="876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</row>
    <row r="877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</row>
    <row r="878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</row>
    <row r="879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</row>
    <row r="880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</row>
    <row r="88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</row>
    <row r="882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</row>
    <row r="883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</row>
    <row r="884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</row>
    <row r="88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</row>
    <row r="886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</row>
    <row r="887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</row>
    <row r="888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</row>
    <row r="889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</row>
    <row r="890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</row>
    <row r="89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</row>
    <row r="89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</row>
    <row r="893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</row>
    <row r="894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</row>
    <row r="89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</row>
    <row r="896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</row>
    <row r="897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</row>
    <row r="898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</row>
    <row r="899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</row>
    <row r="900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</row>
    <row r="90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</row>
    <row r="90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</row>
    <row r="903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</row>
    <row r="904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</row>
    <row r="90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</row>
    <row r="906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</row>
    <row r="907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</row>
    <row r="908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</row>
    <row r="909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</row>
    <row r="910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</row>
    <row r="91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</row>
    <row r="91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</row>
    <row r="913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</row>
    <row r="914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</row>
    <row r="9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</row>
    <row r="916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</row>
    <row r="917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</row>
    <row r="918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</row>
    <row r="919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</row>
    <row r="920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</row>
    <row r="92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</row>
    <row r="92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</row>
    <row r="923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</row>
    <row r="924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</row>
    <row r="9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</row>
    <row r="926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</row>
    <row r="927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</row>
    <row r="928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</row>
    <row r="929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</row>
    <row r="930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</row>
    <row r="93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</row>
    <row r="93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</row>
    <row r="933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</row>
    <row r="934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</row>
    <row r="93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</row>
    <row r="936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</row>
    <row r="937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</row>
    <row r="938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</row>
    <row r="939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</row>
    <row r="940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</row>
    <row r="94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</row>
    <row r="94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</row>
    <row r="943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</row>
    <row r="944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</row>
    <row r="94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</row>
    <row r="946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</row>
    <row r="947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</row>
    <row r="948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</row>
    <row r="949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</row>
    <row r="950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</row>
    <row r="95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</row>
    <row r="95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</row>
    <row r="953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</row>
    <row r="954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</row>
    <row r="95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</row>
    <row r="956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</row>
    <row r="957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</row>
    <row r="958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</row>
    <row r="959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</row>
    <row r="960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</row>
    <row r="96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</row>
    <row r="96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</row>
    <row r="963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</row>
    <row r="964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</row>
    <row r="96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</row>
    <row r="966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</row>
    <row r="967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</row>
    <row r="968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</row>
    <row r="969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</row>
    <row r="970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</row>
    <row r="97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</row>
    <row r="97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</row>
    <row r="973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</row>
    <row r="974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</row>
    <row r="97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</row>
    <row r="976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</row>
    <row r="977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</row>
    <row r="978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</row>
    <row r="979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</row>
    <row r="980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</row>
    <row r="98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</row>
    <row r="982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</row>
    <row r="983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</row>
    <row r="984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</row>
    <row r="98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</row>
    <row r="986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</row>
    <row r="987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</row>
    <row r="988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</row>
    <row r="989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</row>
    <row r="990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</row>
    <row r="99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</row>
    <row r="992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</row>
    <row r="993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</row>
    <row r="994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</row>
    <row r="99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</row>
    <row r="996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</row>
    <row r="997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</row>
    <row r="998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</row>
    <row r="999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</row>
    <row r="1000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</row>
    <row r="100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</row>
    <row r="1002">
      <c r="A1002" s="33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</row>
    <row r="1003">
      <c r="A1003" s="33"/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</row>
    <row r="1004">
      <c r="A1004" s="33"/>
      <c r="B1004" s="33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</row>
    <row r="1005">
      <c r="A1005" s="33"/>
      <c r="B1005" s="33"/>
      <c r="C1005" s="33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</row>
    <row r="1006">
      <c r="A1006" s="33"/>
      <c r="B1006" s="33"/>
      <c r="C1006" s="33"/>
      <c r="D1006" s="33"/>
      <c r="E1006" s="33"/>
      <c r="F1006" s="33"/>
      <c r="G1006" s="33"/>
      <c r="H1006" s="33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</row>
    <row r="1007">
      <c r="A1007" s="33"/>
      <c r="B1007" s="33"/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</row>
    <row r="1008">
      <c r="A1008" s="33"/>
      <c r="B1008" s="33"/>
      <c r="C1008" s="33"/>
      <c r="D1008" s="33"/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</row>
    <row r="1009">
      <c r="A1009" s="33"/>
      <c r="B1009" s="33"/>
      <c r="C1009" s="33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</row>
    <row r="1010">
      <c r="A1010" s="33"/>
      <c r="B1010" s="33"/>
      <c r="C1010" s="33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</row>
    <row r="1011">
      <c r="A1011" s="33"/>
      <c r="B1011" s="33"/>
      <c r="C1011" s="33"/>
      <c r="D1011" s="33"/>
      <c r="E1011" s="33"/>
      <c r="F1011" s="33"/>
      <c r="G1011" s="33"/>
      <c r="H1011" s="33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</row>
    <row r="1012">
      <c r="A1012" s="33"/>
      <c r="B1012" s="33"/>
      <c r="C1012" s="33"/>
      <c r="D1012" s="33"/>
      <c r="E1012" s="33"/>
      <c r="F1012" s="33"/>
      <c r="G1012" s="33"/>
      <c r="H1012" s="33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</row>
    <row r="1013">
      <c r="A1013" s="33"/>
      <c r="B1013" s="33"/>
      <c r="C1013" s="33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</row>
    <row r="1014">
      <c r="A1014" s="33"/>
      <c r="B1014" s="33"/>
      <c r="C1014" s="33"/>
      <c r="D1014" s="33"/>
      <c r="E1014" s="33"/>
      <c r="F1014" s="33"/>
      <c r="G1014" s="33"/>
      <c r="H1014" s="33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</row>
    <row r="1015">
      <c r="A1015" s="33"/>
      <c r="B1015" s="33"/>
      <c r="C1015" s="33"/>
      <c r="D1015" s="33"/>
      <c r="E1015" s="33"/>
      <c r="F1015" s="33"/>
      <c r="G1015" s="33"/>
      <c r="H1015" s="33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</row>
    <row r="1016">
      <c r="A1016" s="33"/>
      <c r="B1016" s="33"/>
      <c r="C1016" s="33"/>
      <c r="D1016" s="33"/>
      <c r="E1016" s="33"/>
      <c r="F1016" s="33"/>
      <c r="G1016" s="33"/>
      <c r="H1016" s="33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</row>
    <row r="1017">
      <c r="A1017" s="33"/>
      <c r="B1017" s="33"/>
      <c r="C1017" s="33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</row>
    <row r="1018">
      <c r="A1018" s="33"/>
      <c r="B1018" s="33"/>
      <c r="C1018" s="33"/>
      <c r="D1018" s="33"/>
      <c r="E1018" s="33"/>
      <c r="F1018" s="33"/>
      <c r="G1018" s="33"/>
      <c r="H1018" s="33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</row>
    <row r="1019">
      <c r="A1019" s="33"/>
      <c r="B1019" s="33"/>
      <c r="C1019" s="33"/>
      <c r="D1019" s="33"/>
      <c r="E1019" s="33"/>
      <c r="F1019" s="33"/>
      <c r="G1019" s="33"/>
      <c r="H1019" s="33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</row>
    <row r="1020">
      <c r="A1020" s="33"/>
      <c r="B1020" s="33"/>
      <c r="C1020" s="33"/>
      <c r="D1020" s="33"/>
      <c r="E1020" s="33"/>
      <c r="F1020" s="33"/>
      <c r="G1020" s="33"/>
      <c r="H1020" s="33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</row>
    <row r="1021">
      <c r="A1021" s="33"/>
      <c r="B1021" s="33"/>
      <c r="C1021" s="33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</row>
    <row r="1022">
      <c r="A1022" s="33"/>
      <c r="B1022" s="33"/>
      <c r="C1022" s="33"/>
      <c r="D1022" s="33"/>
      <c r="E1022" s="33"/>
      <c r="F1022" s="33"/>
      <c r="G1022" s="33"/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</row>
    <row r="1023">
      <c r="A1023" s="33"/>
      <c r="B1023" s="33"/>
      <c r="C1023" s="33"/>
      <c r="D1023" s="33"/>
      <c r="E1023" s="33"/>
      <c r="F1023" s="33"/>
      <c r="G1023" s="33"/>
      <c r="H1023" s="33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</row>
    <row r="1024">
      <c r="A1024" s="33"/>
      <c r="B1024" s="33"/>
      <c r="C1024" s="33"/>
      <c r="D1024" s="33"/>
      <c r="E1024" s="33"/>
      <c r="F1024" s="33"/>
      <c r="G1024" s="33"/>
      <c r="H1024" s="33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</row>
    <row r="10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</row>
    <row r="1026">
      <c r="A1026" s="33"/>
      <c r="B1026" s="33"/>
      <c r="C1026" s="33"/>
      <c r="D1026" s="33"/>
      <c r="E1026" s="33"/>
      <c r="F1026" s="33"/>
      <c r="G1026" s="33"/>
      <c r="H1026" s="33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</row>
    <row r="1027">
      <c r="A1027" s="33"/>
      <c r="B1027" s="33"/>
      <c r="C1027" s="33"/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</row>
    <row r="1028">
      <c r="A1028" s="33"/>
      <c r="B1028" s="33"/>
      <c r="C1028" s="33"/>
      <c r="D1028" s="33"/>
      <c r="E1028" s="33"/>
      <c r="F1028" s="33"/>
      <c r="G1028" s="33"/>
      <c r="H1028" s="33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</row>
    <row r="1029">
      <c r="A1029" s="33"/>
      <c r="B1029" s="33"/>
      <c r="C1029" s="33"/>
      <c r="D1029" s="33"/>
      <c r="E1029" s="33"/>
      <c r="F1029" s="33"/>
      <c r="G1029" s="33"/>
      <c r="H1029" s="33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</row>
    <row r="1030">
      <c r="A1030" s="33"/>
      <c r="B1030" s="33"/>
      <c r="C1030" s="33"/>
      <c r="D1030" s="33"/>
      <c r="E1030" s="33"/>
      <c r="F1030" s="33"/>
      <c r="G1030" s="33"/>
      <c r="H1030" s="33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</row>
    <row r="1031">
      <c r="A1031" s="33"/>
      <c r="B1031" s="33"/>
      <c r="C1031" s="33"/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</row>
    <row r="1032">
      <c r="A1032" s="33"/>
      <c r="B1032" s="33"/>
      <c r="C1032" s="33"/>
      <c r="D1032" s="33"/>
      <c r="E1032" s="33"/>
      <c r="F1032" s="33"/>
      <c r="G1032" s="33"/>
      <c r="H1032" s="33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</row>
    <row r="1033">
      <c r="A1033" s="33"/>
      <c r="B1033" s="33"/>
      <c r="C1033" s="33"/>
      <c r="D1033" s="33"/>
      <c r="E1033" s="33"/>
      <c r="F1033" s="33"/>
      <c r="G1033" s="33"/>
      <c r="H1033" s="33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</row>
    <row r="1034">
      <c r="A1034" s="33"/>
      <c r="B1034" s="33"/>
      <c r="C1034" s="33"/>
      <c r="D1034" s="33"/>
      <c r="E1034" s="33"/>
      <c r="F1034" s="33"/>
      <c r="G1034" s="33"/>
      <c r="H1034" s="33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</row>
    <row r="1035">
      <c r="A1035" s="33"/>
      <c r="B1035" s="33"/>
      <c r="C1035" s="33"/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</row>
    <row r="1036">
      <c r="A1036" s="33"/>
      <c r="B1036" s="33"/>
      <c r="C1036" s="33"/>
      <c r="D1036" s="33"/>
      <c r="E1036" s="33"/>
      <c r="F1036" s="33"/>
      <c r="G1036" s="33"/>
      <c r="H1036" s="33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</row>
    <row r="1037">
      <c r="A1037" s="33"/>
      <c r="B1037" s="33"/>
      <c r="C1037" s="33"/>
      <c r="D1037" s="33"/>
      <c r="E1037" s="33"/>
      <c r="F1037" s="33"/>
      <c r="G1037" s="33"/>
      <c r="H1037" s="33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</row>
    <row r="1038">
      <c r="A1038" s="33"/>
      <c r="B1038" s="33"/>
      <c r="C1038" s="33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</row>
    <row r="1039">
      <c r="A1039" s="33"/>
      <c r="B1039" s="33"/>
      <c r="C1039" s="33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</row>
    <row r="1040">
      <c r="A1040" s="33"/>
      <c r="B1040" s="33"/>
      <c r="C1040" s="33"/>
      <c r="D1040" s="33"/>
      <c r="E1040" s="33"/>
      <c r="F1040" s="33"/>
      <c r="G1040" s="33"/>
      <c r="H1040" s="33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</row>
    <row r="1041">
      <c r="A1041" s="33"/>
      <c r="B1041" s="33"/>
      <c r="C1041" s="33"/>
      <c r="D1041" s="33"/>
      <c r="E1041" s="33"/>
      <c r="F1041" s="33"/>
      <c r="G1041" s="33"/>
      <c r="H1041" s="33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</row>
    <row r="1042">
      <c r="A1042" s="33"/>
      <c r="B1042" s="33"/>
      <c r="C1042" s="33"/>
      <c r="D1042" s="33"/>
      <c r="E1042" s="33"/>
      <c r="F1042" s="33"/>
      <c r="G1042" s="33"/>
      <c r="H1042" s="33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</row>
    <row r="1043">
      <c r="A1043" s="33"/>
      <c r="B1043" s="33"/>
      <c r="C1043" s="33"/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</row>
    <row r="1044">
      <c r="A1044" s="33"/>
      <c r="B1044" s="33"/>
      <c r="C1044" s="33"/>
      <c r="D1044" s="33"/>
      <c r="E1044" s="33"/>
      <c r="F1044" s="33"/>
      <c r="G1044" s="33"/>
      <c r="H1044" s="33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</row>
    <row r="1045">
      <c r="A1045" s="33"/>
      <c r="B1045" s="33"/>
      <c r="C1045" s="33"/>
      <c r="D1045" s="33"/>
      <c r="E1045" s="33"/>
      <c r="F1045" s="33"/>
      <c r="G1045" s="33"/>
      <c r="H1045" s="33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</row>
    <row r="1046">
      <c r="A1046" s="33"/>
      <c r="B1046" s="33"/>
      <c r="C1046" s="33"/>
      <c r="D1046" s="33"/>
      <c r="E1046" s="33"/>
      <c r="F1046" s="33"/>
      <c r="G1046" s="33"/>
      <c r="H1046" s="33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</row>
    <row r="1047">
      <c r="A1047" s="33"/>
      <c r="B1047" s="33"/>
      <c r="C1047" s="33"/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</row>
    <row r="1048">
      <c r="A1048" s="33"/>
      <c r="B1048" s="33"/>
      <c r="C1048" s="33"/>
      <c r="D1048" s="33"/>
      <c r="E1048" s="33"/>
      <c r="F1048" s="33"/>
      <c r="G1048" s="33"/>
      <c r="H1048" s="33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</row>
    <row r="1049">
      <c r="A1049" s="33"/>
      <c r="B1049" s="33"/>
      <c r="C1049" s="33"/>
      <c r="D1049" s="33"/>
      <c r="E1049" s="33"/>
      <c r="F1049" s="33"/>
      <c r="G1049" s="33"/>
      <c r="H1049" s="33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</row>
    <row r="1050">
      <c r="A1050" s="33"/>
      <c r="B1050" s="33"/>
      <c r="C1050" s="33"/>
      <c r="D1050" s="33"/>
      <c r="E1050" s="33"/>
      <c r="F1050" s="33"/>
      <c r="G1050" s="33"/>
      <c r="H1050" s="33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</row>
    <row r="1051">
      <c r="A1051" s="33"/>
      <c r="B1051" s="33"/>
      <c r="C1051" s="33"/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</row>
    <row r="1052">
      <c r="A1052" s="33"/>
      <c r="B1052" s="33"/>
      <c r="C1052" s="33"/>
      <c r="D1052" s="33"/>
      <c r="E1052" s="33"/>
      <c r="F1052" s="33"/>
      <c r="G1052" s="33"/>
      <c r="H1052" s="33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</row>
    <row r="1053">
      <c r="A1053" s="33"/>
      <c r="B1053" s="33"/>
      <c r="C1053" s="33"/>
      <c r="D1053" s="33"/>
      <c r="E1053" s="33"/>
      <c r="F1053" s="33"/>
      <c r="G1053" s="33"/>
      <c r="H1053" s="33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</row>
    <row r="1054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</row>
    <row r="1055">
      <c r="A1055" s="33"/>
      <c r="B1055" s="33"/>
      <c r="C1055" s="33"/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</row>
    <row r="1056">
      <c r="A1056" s="33"/>
      <c r="B1056" s="33"/>
      <c r="C1056" s="33"/>
      <c r="D1056" s="33"/>
      <c r="E1056" s="33"/>
      <c r="F1056" s="33"/>
      <c r="G1056" s="33"/>
      <c r="H1056" s="33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</row>
    <row r="1057">
      <c r="A1057" s="33"/>
      <c r="B1057" s="33"/>
      <c r="C1057" s="33"/>
      <c r="D1057" s="33"/>
      <c r="E1057" s="33"/>
      <c r="F1057" s="33"/>
      <c r="G1057" s="33"/>
      <c r="H1057" s="33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</row>
    <row r="1058">
      <c r="A1058" s="33"/>
      <c r="B1058" s="33"/>
      <c r="C1058" s="33"/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</row>
    <row r="1059">
      <c r="A1059" s="33"/>
      <c r="B1059" s="33"/>
      <c r="C1059" s="33"/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</row>
    <row r="1060">
      <c r="A1060" s="33"/>
      <c r="B1060" s="33"/>
      <c r="C1060" s="33"/>
      <c r="D1060" s="33"/>
      <c r="E1060" s="33"/>
      <c r="F1060" s="33"/>
      <c r="G1060" s="33"/>
      <c r="H1060" s="33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</row>
    <row r="1061">
      <c r="A1061" s="33"/>
      <c r="B1061" s="33"/>
      <c r="C1061" s="33"/>
      <c r="D1061" s="33"/>
      <c r="E1061" s="33"/>
      <c r="F1061" s="33"/>
      <c r="G1061" s="33"/>
      <c r="H1061" s="33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</row>
    <row r="1062">
      <c r="A1062" s="33"/>
      <c r="B1062" s="33"/>
      <c r="C1062" s="33"/>
      <c r="D1062" s="33"/>
      <c r="E1062" s="33"/>
      <c r="F1062" s="33"/>
      <c r="G1062" s="33"/>
      <c r="H1062" s="33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</row>
    <row r="1063">
      <c r="A1063" s="33"/>
      <c r="B1063" s="33"/>
      <c r="C1063" s="33"/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</row>
    <row r="1064">
      <c r="A1064" s="33"/>
      <c r="B1064" s="33"/>
      <c r="C1064" s="33"/>
      <c r="D1064" s="33"/>
      <c r="E1064" s="33"/>
      <c r="F1064" s="33"/>
      <c r="G1064" s="33"/>
      <c r="H1064" s="33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</row>
    <row r="1065">
      <c r="A1065" s="33"/>
      <c r="B1065" s="33"/>
      <c r="C1065" s="33"/>
      <c r="D1065" s="33"/>
      <c r="E1065" s="33"/>
      <c r="F1065" s="33"/>
      <c r="G1065" s="33"/>
      <c r="H1065" s="33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</row>
    <row r="1066">
      <c r="A1066" s="33"/>
      <c r="B1066" s="33"/>
      <c r="C1066" s="33"/>
      <c r="D1066" s="33"/>
      <c r="E1066" s="33"/>
      <c r="F1066" s="33"/>
      <c r="G1066" s="33"/>
      <c r="H1066" s="33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</row>
    <row r="1067">
      <c r="A1067" s="33"/>
      <c r="B1067" s="33"/>
      <c r="C1067" s="33"/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</row>
    <row r="1068">
      <c r="A1068" s="33"/>
      <c r="B1068" s="33"/>
      <c r="C1068" s="33"/>
      <c r="D1068" s="33"/>
      <c r="E1068" s="33"/>
      <c r="F1068" s="33"/>
      <c r="G1068" s="33"/>
      <c r="H1068" s="33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</row>
    <row r="1069">
      <c r="A1069" s="33"/>
      <c r="B1069" s="33"/>
      <c r="C1069" s="33"/>
      <c r="D1069" s="33"/>
      <c r="E1069" s="33"/>
      <c r="F1069" s="33"/>
      <c r="G1069" s="33"/>
      <c r="H1069" s="33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</row>
    <row r="1070">
      <c r="A1070" s="33"/>
      <c r="B1070" s="33"/>
      <c r="C1070" s="33"/>
      <c r="D1070" s="33"/>
      <c r="E1070" s="33"/>
      <c r="F1070" s="33"/>
      <c r="G1070" s="33"/>
      <c r="H1070" s="33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</row>
    <row r="1071">
      <c r="A1071" s="33"/>
      <c r="B1071" s="33"/>
      <c r="C1071" s="33"/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</row>
    <row r="1072">
      <c r="A1072" s="33"/>
      <c r="B1072" s="33"/>
      <c r="C1072" s="33"/>
      <c r="D1072" s="33"/>
      <c r="E1072" s="33"/>
      <c r="F1072" s="33"/>
      <c r="G1072" s="33"/>
      <c r="H1072" s="33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</row>
    <row r="1073">
      <c r="A1073" s="33"/>
      <c r="B1073" s="33"/>
      <c r="C1073" s="33"/>
      <c r="D1073" s="33"/>
      <c r="E1073" s="33"/>
      <c r="F1073" s="33"/>
      <c r="G1073" s="33"/>
      <c r="H1073" s="33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</row>
    <row r="1074">
      <c r="A1074" s="33"/>
      <c r="B1074" s="33"/>
      <c r="C1074" s="33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</row>
    <row r="1075">
      <c r="A1075" s="33"/>
      <c r="B1075" s="33"/>
      <c r="C1075" s="33"/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</row>
    <row r="1076">
      <c r="A1076" s="33"/>
      <c r="B1076" s="33"/>
      <c r="C1076" s="33"/>
      <c r="D1076" s="33"/>
      <c r="E1076" s="33"/>
      <c r="F1076" s="33"/>
      <c r="G1076" s="33"/>
      <c r="H1076" s="33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</row>
    <row r="1077">
      <c r="A1077" s="33"/>
      <c r="B1077" s="33"/>
      <c r="C1077" s="33"/>
      <c r="D1077" s="33"/>
      <c r="E1077" s="33"/>
      <c r="F1077" s="33"/>
      <c r="G1077" s="33"/>
      <c r="H1077" s="33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</row>
    <row r="1078">
      <c r="A1078" s="33"/>
      <c r="B1078" s="33"/>
      <c r="C1078" s="33"/>
      <c r="D1078" s="33"/>
      <c r="E1078" s="33"/>
      <c r="F1078" s="33"/>
      <c r="G1078" s="33"/>
      <c r="H1078" s="33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</row>
    <row r="1079">
      <c r="A1079" s="33"/>
      <c r="B1079" s="33"/>
      <c r="C1079" s="33"/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</row>
    <row r="1080">
      <c r="A1080" s="33"/>
      <c r="B1080" s="33"/>
      <c r="C1080" s="33"/>
      <c r="D1080" s="33"/>
      <c r="E1080" s="33"/>
      <c r="F1080" s="33"/>
      <c r="G1080" s="33"/>
      <c r="H1080" s="33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</row>
    <row r="1081">
      <c r="A1081" s="33"/>
      <c r="B1081" s="33"/>
      <c r="C1081" s="33"/>
      <c r="D1081" s="33"/>
      <c r="E1081" s="33"/>
      <c r="F1081" s="33"/>
      <c r="G1081" s="33"/>
      <c r="H1081" s="33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</row>
    <row r="1082">
      <c r="A1082" s="33"/>
      <c r="B1082" s="33"/>
      <c r="C1082" s="33"/>
      <c r="D1082" s="33"/>
      <c r="E1082" s="33"/>
      <c r="F1082" s="33"/>
      <c r="G1082" s="33"/>
      <c r="H1082" s="33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</row>
    <row r="1083">
      <c r="A1083" s="33"/>
      <c r="B1083" s="33"/>
      <c r="C1083" s="33"/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</row>
    <row r="1084">
      <c r="A1084" s="33"/>
      <c r="B1084" s="33"/>
      <c r="C1084" s="33"/>
      <c r="D1084" s="33"/>
      <c r="E1084" s="33"/>
      <c r="F1084" s="33"/>
      <c r="G1084" s="33"/>
      <c r="H1084" s="33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</row>
    <row r="1085">
      <c r="A1085" s="33"/>
      <c r="B1085" s="33"/>
      <c r="C1085" s="33"/>
      <c r="D1085" s="33"/>
      <c r="E1085" s="33"/>
      <c r="F1085" s="33"/>
      <c r="G1085" s="33"/>
      <c r="H1085" s="33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</row>
    <row r="1086">
      <c r="A1086" s="33"/>
      <c r="B1086" s="33"/>
      <c r="C1086" s="33"/>
      <c r="D1086" s="33"/>
      <c r="E1086" s="33"/>
      <c r="F1086" s="33"/>
      <c r="G1086" s="33"/>
      <c r="H1086" s="33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</row>
    <row r="1087">
      <c r="A1087" s="33"/>
      <c r="B1087" s="33"/>
      <c r="C1087" s="33"/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</row>
    <row r="1088">
      <c r="A1088" s="33"/>
      <c r="B1088" s="33"/>
      <c r="C1088" s="33"/>
      <c r="D1088" s="33"/>
      <c r="E1088" s="33"/>
      <c r="F1088" s="33"/>
      <c r="G1088" s="33"/>
      <c r="H1088" s="33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</row>
    <row r="1089">
      <c r="A1089" s="33"/>
      <c r="B1089" s="33"/>
      <c r="C1089" s="33"/>
      <c r="D1089" s="33"/>
      <c r="E1089" s="33"/>
      <c r="F1089" s="33"/>
      <c r="G1089" s="33"/>
      <c r="H1089" s="33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</row>
    <row r="1090">
      <c r="A1090" s="33"/>
      <c r="B1090" s="33"/>
      <c r="C1090" s="33"/>
      <c r="D1090" s="33"/>
      <c r="E1090" s="33"/>
      <c r="F1090" s="33"/>
      <c r="G1090" s="33"/>
      <c r="H1090" s="33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</row>
    <row r="1091">
      <c r="A1091" s="33"/>
      <c r="B1091" s="33"/>
      <c r="C1091" s="33"/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</row>
    <row r="1092">
      <c r="A1092" s="33"/>
      <c r="B1092" s="33"/>
      <c r="C1092" s="33"/>
      <c r="D1092" s="33"/>
      <c r="E1092" s="33"/>
      <c r="F1092" s="33"/>
      <c r="G1092" s="33"/>
      <c r="H1092" s="33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</row>
    <row r="1093">
      <c r="A1093" s="33"/>
      <c r="B1093" s="33"/>
      <c r="C1093" s="33"/>
      <c r="D1093" s="33"/>
      <c r="E1093" s="33"/>
      <c r="F1093" s="33"/>
      <c r="G1093" s="33"/>
      <c r="H1093" s="33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</row>
    <row r="1094">
      <c r="A1094" s="33"/>
      <c r="B1094" s="33"/>
      <c r="C1094" s="33"/>
      <c r="D1094" s="33"/>
      <c r="E1094" s="33"/>
      <c r="F1094" s="33"/>
      <c r="G1094" s="33"/>
      <c r="H1094" s="33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</row>
    <row r="1095">
      <c r="A1095" s="33"/>
      <c r="B1095" s="33"/>
      <c r="C1095" s="33"/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</row>
    <row r="1096">
      <c r="A1096" s="33"/>
      <c r="B1096" s="33"/>
      <c r="C1096" s="33"/>
      <c r="D1096" s="33"/>
      <c r="E1096" s="33"/>
      <c r="F1096" s="33"/>
      <c r="G1096" s="33"/>
      <c r="H1096" s="33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</row>
    <row r="1097">
      <c r="A1097" s="33"/>
      <c r="B1097" s="33"/>
      <c r="C1097" s="33"/>
      <c r="D1097" s="33"/>
      <c r="E1097" s="33"/>
      <c r="F1097" s="33"/>
      <c r="G1097" s="33"/>
      <c r="H1097" s="33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</row>
    <row r="1098">
      <c r="A1098" s="33"/>
      <c r="B1098" s="33"/>
      <c r="C1098" s="33"/>
      <c r="D1098" s="33"/>
      <c r="E1098" s="33"/>
      <c r="F1098" s="33"/>
      <c r="G1098" s="33"/>
      <c r="H1098" s="33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</row>
    <row r="1099">
      <c r="A1099" s="33"/>
      <c r="B1099" s="33"/>
      <c r="C1099" s="33"/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</row>
    <row r="1100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</row>
    <row r="1101">
      <c r="A1101" s="33"/>
      <c r="B1101" s="33"/>
      <c r="C1101" s="33"/>
      <c r="D1101" s="33"/>
      <c r="E1101" s="33"/>
      <c r="F1101" s="33"/>
      <c r="G1101" s="33"/>
      <c r="H1101" s="33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</row>
    <row r="1102">
      <c r="A1102" s="33"/>
      <c r="B1102" s="33"/>
      <c r="C1102" s="33"/>
      <c r="D1102" s="33"/>
      <c r="E1102" s="33"/>
      <c r="F1102" s="33"/>
      <c r="G1102" s="33"/>
      <c r="H1102" s="33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</row>
    <row r="1103">
      <c r="A1103" s="33"/>
      <c r="B1103" s="33"/>
      <c r="C1103" s="33"/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</row>
    <row r="1104">
      <c r="A1104" s="33"/>
      <c r="B1104" s="33"/>
      <c r="C1104" s="33"/>
      <c r="D1104" s="33"/>
      <c r="E1104" s="33"/>
      <c r="F1104" s="33"/>
      <c r="G1104" s="33"/>
      <c r="H1104" s="33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</row>
    <row r="1105">
      <c r="A1105" s="33"/>
      <c r="B1105" s="33"/>
      <c r="C1105" s="33"/>
      <c r="D1105" s="33"/>
      <c r="E1105" s="33"/>
      <c r="F1105" s="33"/>
      <c r="G1105" s="33"/>
      <c r="H1105" s="33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</row>
    <row r="1106">
      <c r="A1106" s="33"/>
      <c r="B1106" s="33"/>
      <c r="C1106" s="33"/>
      <c r="D1106" s="33"/>
      <c r="E1106" s="33"/>
      <c r="F1106" s="33"/>
      <c r="G1106" s="33"/>
      <c r="H1106" s="33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</row>
    <row r="1107">
      <c r="A1107" s="33"/>
      <c r="B1107" s="33"/>
      <c r="C1107" s="33"/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</row>
    <row r="1108">
      <c r="A1108" s="33"/>
      <c r="B1108" s="33"/>
      <c r="C1108" s="33"/>
      <c r="D1108" s="33"/>
      <c r="E1108" s="33"/>
      <c r="F1108" s="33"/>
      <c r="G1108" s="33"/>
      <c r="H1108" s="33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</row>
    <row r="1109">
      <c r="A1109" s="33"/>
      <c r="B1109" s="33"/>
      <c r="C1109" s="33"/>
      <c r="D1109" s="33"/>
      <c r="E1109" s="33"/>
      <c r="F1109" s="33"/>
      <c r="G1109" s="33"/>
      <c r="H1109" s="33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</row>
    <row r="1110">
      <c r="A1110" s="33"/>
      <c r="B1110" s="33"/>
      <c r="C1110" s="33"/>
      <c r="D1110" s="33"/>
      <c r="E1110" s="33"/>
      <c r="F1110" s="33"/>
      <c r="G1110" s="33"/>
      <c r="H1110" s="33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</row>
    <row r="1111">
      <c r="A1111" s="33"/>
      <c r="B1111" s="33"/>
      <c r="C1111" s="33"/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</row>
    <row r="1112">
      <c r="A1112" s="33"/>
      <c r="B1112" s="33"/>
      <c r="C1112" s="33"/>
      <c r="D1112" s="33"/>
      <c r="E1112" s="33"/>
      <c r="F1112" s="33"/>
      <c r="G1112" s="33"/>
      <c r="H1112" s="33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</row>
    <row r="1113">
      <c r="A1113" s="33"/>
      <c r="B1113" s="33"/>
      <c r="C1113" s="33"/>
      <c r="D1113" s="33"/>
      <c r="E1113" s="33"/>
      <c r="F1113" s="33"/>
      <c r="G1113" s="33"/>
      <c r="H1113" s="33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</row>
    <row r="1114">
      <c r="A1114" s="33"/>
      <c r="B1114" s="33"/>
      <c r="C1114" s="33"/>
      <c r="D1114" s="33"/>
      <c r="E1114" s="33"/>
      <c r="F1114" s="33"/>
      <c r="G1114" s="33"/>
      <c r="H1114" s="33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</row>
    <row r="1115">
      <c r="A1115" s="33"/>
      <c r="B1115" s="33"/>
      <c r="C1115" s="33"/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</row>
    <row r="1116">
      <c r="A1116" s="33"/>
      <c r="B1116" s="33"/>
      <c r="C1116" s="33"/>
      <c r="D1116" s="33"/>
      <c r="E1116" s="33"/>
      <c r="F1116" s="33"/>
      <c r="G1116" s="33"/>
      <c r="H1116" s="33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</row>
    <row r="1117">
      <c r="A1117" s="33"/>
      <c r="B1117" s="33"/>
      <c r="C1117" s="33"/>
      <c r="D1117" s="33"/>
      <c r="E1117" s="33"/>
      <c r="F1117" s="33"/>
      <c r="G1117" s="33"/>
      <c r="H1117" s="33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</row>
    <row r="1118">
      <c r="A1118" s="33"/>
      <c r="B1118" s="33"/>
      <c r="C1118" s="33"/>
      <c r="D1118" s="33"/>
      <c r="E1118" s="33"/>
      <c r="F1118" s="33"/>
      <c r="G1118" s="33"/>
      <c r="H1118" s="33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</row>
    <row r="1119">
      <c r="A1119" s="33"/>
      <c r="B1119" s="33"/>
      <c r="C1119" s="33"/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</row>
    <row r="1120">
      <c r="A1120" s="33"/>
      <c r="B1120" s="33"/>
      <c r="C1120" s="33"/>
      <c r="D1120" s="33"/>
      <c r="E1120" s="33"/>
      <c r="F1120" s="33"/>
      <c r="G1120" s="33"/>
      <c r="H1120" s="33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</row>
    <row r="1121">
      <c r="A1121" s="33"/>
      <c r="B1121" s="33"/>
      <c r="C1121" s="33"/>
      <c r="D1121" s="33"/>
      <c r="E1121" s="33"/>
      <c r="F1121" s="33"/>
      <c r="G1121" s="33"/>
      <c r="H1121" s="33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</row>
    <row r="1122">
      <c r="A1122" s="33"/>
      <c r="B1122" s="33"/>
      <c r="C1122" s="33"/>
      <c r="D1122" s="33"/>
      <c r="E1122" s="33"/>
      <c r="F1122" s="33"/>
      <c r="G1122" s="33"/>
      <c r="H1122" s="33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</row>
    <row r="1123">
      <c r="A1123" s="33"/>
      <c r="B1123" s="33"/>
      <c r="C1123" s="33"/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</row>
    <row r="1124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</row>
    <row r="1125">
      <c r="A1125" s="33"/>
      <c r="B1125" s="33"/>
      <c r="C1125" s="33"/>
      <c r="D1125" s="33"/>
      <c r="E1125" s="33"/>
      <c r="F1125" s="33"/>
      <c r="G1125" s="33"/>
      <c r="H1125" s="33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</row>
    <row r="1126">
      <c r="A1126" s="33"/>
      <c r="B1126" s="33"/>
      <c r="C1126" s="33"/>
      <c r="D1126" s="33"/>
      <c r="E1126" s="33"/>
      <c r="F1126" s="33"/>
      <c r="G1126" s="33"/>
      <c r="H1126" s="33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</row>
    <row r="1127">
      <c r="A1127" s="33"/>
      <c r="B1127" s="33"/>
      <c r="C1127" s="33"/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</row>
    <row r="1128">
      <c r="A1128" s="33"/>
      <c r="B1128" s="33"/>
      <c r="C1128" s="33"/>
      <c r="D1128" s="33"/>
      <c r="E1128" s="33"/>
      <c r="F1128" s="33"/>
      <c r="G1128" s="33"/>
      <c r="H1128" s="33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</row>
    <row r="1129">
      <c r="A1129" s="33"/>
      <c r="B1129" s="33"/>
      <c r="C1129" s="33"/>
      <c r="D1129" s="33"/>
      <c r="E1129" s="33"/>
      <c r="F1129" s="33"/>
      <c r="G1129" s="33"/>
      <c r="H1129" s="33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</row>
    <row r="1130">
      <c r="A1130" s="33"/>
      <c r="B1130" s="33"/>
      <c r="C1130" s="33"/>
      <c r="D1130" s="33"/>
      <c r="E1130" s="33"/>
      <c r="F1130" s="33"/>
      <c r="G1130" s="33"/>
      <c r="H1130" s="33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</row>
    <row r="1131">
      <c r="A1131" s="33"/>
      <c r="B1131" s="33"/>
      <c r="C1131" s="33"/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</row>
    <row r="1132">
      <c r="A1132" s="33"/>
      <c r="B1132" s="33"/>
      <c r="C1132" s="33"/>
      <c r="D1132" s="33"/>
      <c r="E1132" s="33"/>
      <c r="F1132" s="33"/>
      <c r="G1132" s="33"/>
      <c r="H1132" s="33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</row>
    <row r="1133">
      <c r="A1133" s="33"/>
      <c r="B1133" s="33"/>
      <c r="C1133" s="33"/>
      <c r="D1133" s="33"/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</row>
    <row r="1134">
      <c r="A1134" s="33"/>
      <c r="B1134" s="33"/>
      <c r="C1134" s="33"/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</row>
    <row r="1135">
      <c r="A1135" s="33"/>
      <c r="B1135" s="33"/>
      <c r="C1135" s="33"/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</row>
    <row r="1136">
      <c r="A1136" s="33"/>
      <c r="B1136" s="33"/>
      <c r="C1136" s="33"/>
      <c r="D1136" s="33"/>
      <c r="E1136" s="33"/>
      <c r="F1136" s="33"/>
      <c r="G1136" s="33"/>
      <c r="H1136" s="33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</row>
    <row r="1137">
      <c r="A1137" s="33"/>
      <c r="B1137" s="33"/>
      <c r="C1137" s="33"/>
      <c r="D1137" s="33"/>
      <c r="E1137" s="33"/>
      <c r="F1137" s="33"/>
      <c r="G1137" s="33"/>
      <c r="H1137" s="33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</row>
    <row r="1138">
      <c r="A1138" s="33"/>
      <c r="B1138" s="33"/>
      <c r="C1138" s="33"/>
      <c r="D1138" s="33"/>
      <c r="E1138" s="33"/>
      <c r="F1138" s="33"/>
      <c r="G1138" s="33"/>
      <c r="H1138" s="33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</row>
    <row r="1139">
      <c r="A1139" s="33"/>
      <c r="B1139" s="33"/>
      <c r="C1139" s="33"/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</row>
    <row r="1140">
      <c r="A1140" s="33"/>
      <c r="B1140" s="33"/>
      <c r="C1140" s="33"/>
      <c r="D1140" s="33"/>
      <c r="E1140" s="33"/>
      <c r="F1140" s="33"/>
      <c r="G1140" s="33"/>
      <c r="H1140" s="33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</row>
    <row r="1141">
      <c r="A1141" s="33"/>
      <c r="B1141" s="33"/>
      <c r="C1141" s="33"/>
      <c r="D1141" s="33"/>
      <c r="E1141" s="33"/>
      <c r="F1141" s="33"/>
      <c r="G1141" s="33"/>
      <c r="H1141" s="33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</row>
    <row r="1142">
      <c r="A1142" s="33"/>
      <c r="B1142" s="33"/>
      <c r="C1142" s="33"/>
      <c r="D1142" s="33"/>
      <c r="E1142" s="33"/>
      <c r="F1142" s="33"/>
      <c r="G1142" s="33"/>
      <c r="H1142" s="33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</row>
    <row r="1143">
      <c r="A1143" s="33"/>
      <c r="B1143" s="33"/>
      <c r="C1143" s="33"/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</row>
    <row r="1144">
      <c r="A1144" s="33"/>
      <c r="B1144" s="33"/>
      <c r="C1144" s="33"/>
      <c r="D1144" s="33"/>
      <c r="E1144" s="33"/>
      <c r="F1144" s="33"/>
      <c r="G1144" s="33"/>
      <c r="H1144" s="33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</row>
    <row r="1145">
      <c r="A1145" s="33"/>
      <c r="B1145" s="33"/>
      <c r="C1145" s="33"/>
      <c r="D1145" s="33"/>
      <c r="E1145" s="33"/>
      <c r="F1145" s="33"/>
      <c r="G1145" s="33"/>
      <c r="H1145" s="33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</row>
    <row r="1146">
      <c r="A1146" s="33"/>
      <c r="B1146" s="33"/>
      <c r="C1146" s="33"/>
      <c r="D1146" s="33"/>
      <c r="E1146" s="33"/>
      <c r="F1146" s="33"/>
      <c r="G1146" s="33"/>
      <c r="H1146" s="33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</row>
    <row r="1147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</row>
    <row r="1148">
      <c r="A1148" s="33"/>
      <c r="B1148" s="33"/>
      <c r="C1148" s="33"/>
      <c r="D1148" s="33"/>
      <c r="E1148" s="33"/>
      <c r="F1148" s="33"/>
      <c r="G1148" s="33"/>
      <c r="H1148" s="33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</row>
    <row r="1149">
      <c r="A1149" s="33"/>
      <c r="B1149" s="33"/>
      <c r="C1149" s="33"/>
      <c r="D1149" s="33"/>
      <c r="E1149" s="33"/>
      <c r="F1149" s="33"/>
      <c r="G1149" s="33"/>
      <c r="H1149" s="33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</row>
    <row r="1150">
      <c r="A1150" s="33"/>
      <c r="B1150" s="33"/>
      <c r="C1150" s="33"/>
      <c r="D1150" s="33"/>
      <c r="E1150" s="33"/>
      <c r="F1150" s="33"/>
      <c r="G1150" s="33"/>
      <c r="H1150" s="33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</row>
    <row r="1151">
      <c r="A1151" s="33"/>
      <c r="B1151" s="33"/>
      <c r="C1151" s="33"/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</row>
    <row r="1152">
      <c r="A1152" s="33"/>
      <c r="B1152" s="33"/>
      <c r="C1152" s="33"/>
      <c r="D1152" s="33"/>
      <c r="E1152" s="33"/>
      <c r="F1152" s="33"/>
      <c r="G1152" s="33"/>
      <c r="H1152" s="33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</row>
    <row r="1153">
      <c r="A1153" s="33"/>
      <c r="B1153" s="33"/>
      <c r="C1153" s="33"/>
      <c r="D1153" s="33"/>
      <c r="E1153" s="33"/>
      <c r="F1153" s="33"/>
      <c r="G1153" s="33"/>
      <c r="H1153" s="33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</row>
    <row r="1154">
      <c r="A1154" s="33"/>
      <c r="B1154" s="33"/>
      <c r="C1154" s="33"/>
      <c r="D1154" s="33"/>
      <c r="E1154" s="33"/>
      <c r="F1154" s="33"/>
      <c r="G1154" s="33"/>
      <c r="H1154" s="33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</row>
    <row r="1155">
      <c r="A1155" s="33"/>
      <c r="B1155" s="33"/>
      <c r="C1155" s="33"/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</row>
    <row r="1156">
      <c r="A1156" s="33"/>
      <c r="B1156" s="33"/>
      <c r="C1156" s="33"/>
      <c r="D1156" s="33"/>
      <c r="E1156" s="33"/>
      <c r="F1156" s="33"/>
      <c r="G1156" s="33"/>
      <c r="H1156" s="33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</row>
    <row r="1157">
      <c r="A1157" s="33"/>
      <c r="B1157" s="33"/>
      <c r="C1157" s="33"/>
      <c r="D1157" s="33"/>
      <c r="E1157" s="33"/>
      <c r="F1157" s="33"/>
      <c r="G1157" s="33"/>
      <c r="H1157" s="33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</row>
    <row r="1158">
      <c r="A1158" s="33"/>
      <c r="B1158" s="33"/>
      <c r="C1158" s="33"/>
      <c r="D1158" s="33"/>
      <c r="E1158" s="33"/>
      <c r="F1158" s="33"/>
      <c r="G1158" s="33"/>
      <c r="H1158" s="33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</row>
    <row r="1159">
      <c r="A1159" s="33"/>
      <c r="B1159" s="33"/>
      <c r="C1159" s="33"/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</row>
    <row r="1160">
      <c r="A1160" s="33"/>
      <c r="B1160" s="33"/>
      <c r="C1160" s="33"/>
      <c r="D1160" s="33"/>
      <c r="E1160" s="33"/>
      <c r="F1160" s="33"/>
      <c r="G1160" s="33"/>
      <c r="H1160" s="33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</row>
    <row r="1161">
      <c r="A1161" s="33"/>
      <c r="B1161" s="33"/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</row>
    <row r="1162">
      <c r="A1162" s="33"/>
      <c r="B1162" s="33"/>
      <c r="C1162" s="33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</row>
    <row r="1163">
      <c r="A1163" s="33"/>
      <c r="B1163" s="33"/>
      <c r="C1163" s="33"/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</row>
    <row r="1164">
      <c r="A1164" s="33"/>
      <c r="B1164" s="33"/>
      <c r="C1164" s="33"/>
      <c r="D1164" s="33"/>
      <c r="E1164" s="33"/>
      <c r="F1164" s="33"/>
      <c r="G1164" s="33"/>
      <c r="H1164" s="33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</row>
    <row r="1165">
      <c r="A1165" s="33"/>
      <c r="B1165" s="33"/>
      <c r="C1165" s="33"/>
      <c r="D1165" s="33"/>
      <c r="E1165" s="33"/>
      <c r="F1165" s="33"/>
      <c r="G1165" s="33"/>
      <c r="H1165" s="33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</row>
    <row r="1166">
      <c r="A1166" s="33"/>
      <c r="B1166" s="33"/>
      <c r="C1166" s="33"/>
      <c r="D1166" s="33"/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</row>
    <row r="1167">
      <c r="A1167" s="33"/>
      <c r="B1167" s="33"/>
      <c r="C1167" s="33"/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</row>
    <row r="1168">
      <c r="A1168" s="33"/>
      <c r="B1168" s="33"/>
      <c r="C1168" s="33"/>
      <c r="D1168" s="33"/>
      <c r="E1168" s="33"/>
      <c r="F1168" s="33"/>
      <c r="G1168" s="33"/>
      <c r="H1168" s="33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</row>
    <row r="1169">
      <c r="A1169" s="33"/>
      <c r="B1169" s="33"/>
      <c r="C1169" s="33"/>
      <c r="D1169" s="33"/>
      <c r="E1169" s="33"/>
      <c r="F1169" s="33"/>
      <c r="G1169" s="33"/>
      <c r="H1169" s="33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</row>
    <row r="1170">
      <c r="A1170" s="33"/>
      <c r="B1170" s="33"/>
      <c r="C1170" s="33"/>
      <c r="D1170" s="33"/>
      <c r="E1170" s="33"/>
      <c r="F1170" s="33"/>
      <c r="G1170" s="33"/>
      <c r="H1170" s="33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</row>
    <row r="1171">
      <c r="A1171" s="33"/>
      <c r="B1171" s="33"/>
      <c r="C1171" s="33"/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</row>
    <row r="1172">
      <c r="A1172" s="33"/>
      <c r="B1172" s="33"/>
      <c r="C1172" s="33"/>
      <c r="D1172" s="33"/>
      <c r="E1172" s="33"/>
      <c r="F1172" s="33"/>
      <c r="G1172" s="33"/>
      <c r="H1172" s="33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</row>
    <row r="1173">
      <c r="A1173" s="33"/>
      <c r="B1173" s="33"/>
      <c r="C1173" s="33"/>
      <c r="D1173" s="33"/>
      <c r="E1173" s="33"/>
      <c r="F1173" s="33"/>
      <c r="G1173" s="33"/>
      <c r="H1173" s="33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</row>
    <row r="1174">
      <c r="A1174" s="33"/>
      <c r="B1174" s="33"/>
      <c r="C1174" s="33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</row>
    <row r="1175">
      <c r="A1175" s="33"/>
      <c r="B1175" s="33"/>
      <c r="C1175" s="33"/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</row>
    <row r="1176">
      <c r="A1176" s="33"/>
      <c r="B1176" s="33"/>
      <c r="C1176" s="33"/>
      <c r="D1176" s="33"/>
      <c r="E1176" s="33"/>
      <c r="F1176" s="33"/>
      <c r="G1176" s="33"/>
      <c r="H1176" s="33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</row>
    <row r="1177">
      <c r="A1177" s="33"/>
      <c r="B1177" s="33"/>
      <c r="C1177" s="33"/>
      <c r="D1177" s="33"/>
      <c r="E1177" s="33"/>
      <c r="F1177" s="33"/>
      <c r="G1177" s="33"/>
      <c r="H1177" s="33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</row>
    <row r="1178">
      <c r="A1178" s="33"/>
      <c r="B1178" s="33"/>
      <c r="C1178" s="33"/>
      <c r="D1178" s="33"/>
      <c r="E1178" s="33"/>
      <c r="F1178" s="33"/>
      <c r="G1178" s="33"/>
      <c r="H1178" s="33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</row>
    <row r="1179">
      <c r="A1179" s="33"/>
      <c r="B1179" s="33"/>
      <c r="C1179" s="33"/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</row>
    <row r="1180">
      <c r="A1180" s="33"/>
      <c r="B1180" s="33"/>
      <c r="C1180" s="33"/>
      <c r="D1180" s="33"/>
      <c r="E1180" s="33"/>
      <c r="F1180" s="33"/>
      <c r="G1180" s="33"/>
      <c r="H1180" s="33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</row>
    <row r="1181">
      <c r="A1181" s="33"/>
      <c r="B1181" s="33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</row>
    <row r="1182">
      <c r="A1182" s="33"/>
      <c r="B1182" s="33"/>
      <c r="C1182" s="33"/>
      <c r="D1182" s="33"/>
      <c r="E1182" s="33"/>
      <c r="F1182" s="33"/>
      <c r="G1182" s="33"/>
      <c r="H1182" s="33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</row>
    <row r="1183">
      <c r="A1183" s="33"/>
      <c r="B1183" s="33"/>
      <c r="C1183" s="33"/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</row>
    <row r="1184">
      <c r="A1184" s="33"/>
      <c r="B1184" s="33"/>
      <c r="C1184" s="33"/>
      <c r="D1184" s="33"/>
      <c r="E1184" s="33"/>
      <c r="F1184" s="33"/>
      <c r="G1184" s="33"/>
      <c r="H1184" s="33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</row>
    <row r="1185">
      <c r="A1185" s="33"/>
      <c r="B1185" s="33"/>
      <c r="C1185" s="33"/>
      <c r="D1185" s="33"/>
      <c r="E1185" s="33"/>
      <c r="F1185" s="33"/>
      <c r="G1185" s="33"/>
      <c r="H1185" s="33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</row>
    <row r="1186">
      <c r="A1186" s="33"/>
      <c r="B1186" s="33"/>
      <c r="C1186" s="33"/>
      <c r="D1186" s="33"/>
      <c r="E1186" s="33"/>
      <c r="F1186" s="33"/>
      <c r="G1186" s="33"/>
      <c r="H1186" s="33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</row>
    <row r="1187">
      <c r="A1187" s="33"/>
      <c r="B1187" s="33"/>
      <c r="C1187" s="33"/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</row>
    <row r="1188">
      <c r="A1188" s="33"/>
      <c r="B1188" s="33"/>
      <c r="C1188" s="33"/>
      <c r="D1188" s="33"/>
      <c r="E1188" s="33"/>
      <c r="F1188" s="33"/>
      <c r="G1188" s="33"/>
      <c r="H1188" s="33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</row>
    <row r="1189">
      <c r="A1189" s="33"/>
      <c r="B1189" s="33"/>
      <c r="C1189" s="33"/>
      <c r="D1189" s="33"/>
      <c r="E1189" s="33"/>
      <c r="F1189" s="33"/>
      <c r="G1189" s="33"/>
      <c r="H1189" s="33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</row>
    <row r="1190">
      <c r="A1190" s="33"/>
      <c r="B1190" s="33"/>
      <c r="C1190" s="33"/>
      <c r="D1190" s="33"/>
      <c r="E1190" s="33"/>
      <c r="F1190" s="33"/>
      <c r="G1190" s="33"/>
      <c r="H1190" s="33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</row>
    <row r="1191">
      <c r="A1191" s="33"/>
      <c r="B1191" s="33"/>
      <c r="C1191" s="33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</row>
    <row r="1192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</row>
    <row r="1193">
      <c r="A1193" s="33"/>
      <c r="B1193" s="33"/>
      <c r="C1193" s="33"/>
      <c r="D1193" s="33"/>
      <c r="E1193" s="33"/>
      <c r="F1193" s="33"/>
      <c r="G1193" s="33"/>
      <c r="H1193" s="33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</row>
    <row r="1194">
      <c r="A1194" s="33"/>
      <c r="B1194" s="33"/>
      <c r="C1194" s="33"/>
      <c r="D1194" s="33"/>
      <c r="E1194" s="33"/>
      <c r="F1194" s="33"/>
      <c r="G1194" s="33"/>
      <c r="H1194" s="33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</row>
    <row r="1195">
      <c r="A1195" s="33"/>
      <c r="B1195" s="33"/>
      <c r="C1195" s="33"/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</row>
    <row r="1196">
      <c r="A1196" s="33"/>
      <c r="B1196" s="33"/>
      <c r="C1196" s="33"/>
      <c r="D1196" s="33"/>
      <c r="E1196" s="33"/>
      <c r="F1196" s="33"/>
      <c r="G1196" s="33"/>
      <c r="H1196" s="33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</row>
    <row r="1197">
      <c r="A1197" s="33"/>
      <c r="B1197" s="33"/>
      <c r="C1197" s="33"/>
      <c r="D1197" s="33"/>
      <c r="E1197" s="33"/>
      <c r="F1197" s="33"/>
      <c r="G1197" s="33"/>
      <c r="H1197" s="33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</row>
    <row r="1198">
      <c r="A1198" s="33"/>
      <c r="B1198" s="33"/>
      <c r="C1198" s="33"/>
      <c r="D1198" s="33"/>
      <c r="E1198" s="33"/>
      <c r="F1198" s="33"/>
      <c r="G1198" s="33"/>
      <c r="H1198" s="33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</row>
    <row r="1199">
      <c r="A1199" s="33"/>
      <c r="B1199" s="33"/>
      <c r="C1199" s="33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</row>
    <row r="1200">
      <c r="A1200" s="33"/>
      <c r="B1200" s="33"/>
      <c r="C1200" s="33"/>
      <c r="D1200" s="33"/>
      <c r="E1200" s="33"/>
      <c r="F1200" s="33"/>
      <c r="G1200" s="33"/>
      <c r="H1200" s="33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</row>
    <row r="1201">
      <c r="A1201" s="33"/>
      <c r="B1201" s="33"/>
      <c r="C1201" s="33"/>
      <c r="D1201" s="33"/>
      <c r="E1201" s="33"/>
      <c r="F1201" s="33"/>
      <c r="G1201" s="33"/>
      <c r="H1201" s="33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</row>
    <row r="1202">
      <c r="A1202" s="33"/>
      <c r="B1202" s="33"/>
      <c r="C1202" s="33"/>
      <c r="D1202" s="33"/>
      <c r="E1202" s="33"/>
      <c r="F1202" s="33"/>
      <c r="G1202" s="33"/>
      <c r="H1202" s="33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</row>
    <row r="1203">
      <c r="A1203" s="33"/>
      <c r="B1203" s="33"/>
      <c r="C1203" s="33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</row>
    <row r="1204">
      <c r="A1204" s="33"/>
      <c r="B1204" s="33"/>
      <c r="C1204" s="33"/>
      <c r="D1204" s="33"/>
      <c r="E1204" s="33"/>
      <c r="F1204" s="33"/>
      <c r="G1204" s="33"/>
      <c r="H1204" s="33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</row>
    <row r="1205">
      <c r="A1205" s="33"/>
      <c r="B1205" s="33"/>
      <c r="C1205" s="33"/>
      <c r="D1205" s="33"/>
      <c r="E1205" s="33"/>
      <c r="F1205" s="33"/>
      <c r="G1205" s="33"/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</row>
    <row r="1206">
      <c r="A1206" s="33"/>
      <c r="B1206" s="33"/>
      <c r="C1206" s="33"/>
      <c r="D1206" s="33"/>
      <c r="E1206" s="33"/>
      <c r="F1206" s="33"/>
      <c r="G1206" s="33"/>
      <c r="H1206" s="33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</row>
    <row r="1207">
      <c r="A1207" s="33"/>
      <c r="B1207" s="33"/>
      <c r="C1207" s="33"/>
      <c r="D1207" s="33"/>
      <c r="E1207" s="33"/>
      <c r="F1207" s="33"/>
      <c r="G1207" s="33"/>
      <c r="H1207" s="33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</row>
    <row r="1208">
      <c r="A1208" s="33"/>
      <c r="B1208" s="33"/>
      <c r="C1208" s="33"/>
      <c r="D1208" s="33"/>
      <c r="E1208" s="33"/>
      <c r="F1208" s="33"/>
      <c r="G1208" s="33"/>
      <c r="H1208" s="33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</row>
    <row r="1209">
      <c r="A1209" s="33"/>
      <c r="B1209" s="33"/>
      <c r="C1209" s="33"/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</row>
    <row r="1210">
      <c r="A1210" s="33"/>
      <c r="B1210" s="33"/>
      <c r="C1210" s="33"/>
      <c r="D1210" s="33"/>
      <c r="E1210" s="33"/>
      <c r="F1210" s="33"/>
      <c r="G1210" s="33"/>
      <c r="H1210" s="33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</row>
    <row r="1211">
      <c r="A1211" s="33"/>
      <c r="B1211" s="33"/>
      <c r="C1211" s="33"/>
      <c r="D1211" s="33"/>
      <c r="E1211" s="33"/>
      <c r="F1211" s="33"/>
      <c r="G1211" s="33"/>
      <c r="H1211" s="33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</row>
    <row r="1212">
      <c r="A1212" s="33"/>
      <c r="B1212" s="33"/>
      <c r="C1212" s="33"/>
      <c r="D1212" s="33"/>
      <c r="E1212" s="33"/>
      <c r="F1212" s="33"/>
      <c r="G1212" s="33"/>
      <c r="H1212" s="33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</row>
    <row r="1213">
      <c r="A1213" s="33"/>
      <c r="B1213" s="33"/>
      <c r="C1213" s="33"/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</row>
    <row r="1214">
      <c r="A1214" s="33"/>
      <c r="B1214" s="33"/>
      <c r="C1214" s="33"/>
      <c r="D1214" s="33"/>
      <c r="E1214" s="33"/>
      <c r="F1214" s="33"/>
      <c r="G1214" s="33"/>
      <c r="H1214" s="33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</row>
    <row r="1215">
      <c r="A1215" s="33"/>
      <c r="B1215" s="33"/>
      <c r="C1215" s="33"/>
      <c r="D1215" s="33"/>
      <c r="E1215" s="33"/>
      <c r="F1215" s="33"/>
      <c r="G1215" s="33"/>
      <c r="H1215" s="33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</row>
    <row r="1216">
      <c r="A1216" s="33"/>
      <c r="B1216" s="33"/>
      <c r="C1216" s="33"/>
      <c r="D1216" s="33"/>
      <c r="E1216" s="33"/>
      <c r="F1216" s="33"/>
      <c r="G1216" s="33"/>
      <c r="H1216" s="33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</row>
    <row r="1217">
      <c r="A1217" s="33"/>
      <c r="B1217" s="33"/>
      <c r="C1217" s="33"/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</row>
    <row r="1218">
      <c r="A1218" s="33"/>
      <c r="B1218" s="33"/>
      <c r="C1218" s="33"/>
      <c r="D1218" s="33"/>
      <c r="E1218" s="33"/>
      <c r="F1218" s="33"/>
      <c r="G1218" s="33"/>
      <c r="H1218" s="33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</row>
    <row r="1219">
      <c r="A1219" s="33"/>
      <c r="B1219" s="33"/>
      <c r="C1219" s="33"/>
      <c r="D1219" s="33"/>
      <c r="E1219" s="33"/>
      <c r="F1219" s="33"/>
      <c r="G1219" s="33"/>
      <c r="H1219" s="33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</row>
    <row r="1220">
      <c r="A1220" s="33"/>
      <c r="B1220" s="33"/>
      <c r="C1220" s="33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</row>
    <row r="1221">
      <c r="A1221" s="33"/>
      <c r="B1221" s="33"/>
      <c r="C1221" s="33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</row>
    <row r="1222">
      <c r="A1222" s="33"/>
      <c r="B1222" s="33"/>
      <c r="C1222" s="33"/>
      <c r="D1222" s="33"/>
      <c r="E1222" s="33"/>
      <c r="F1222" s="33"/>
      <c r="G1222" s="33"/>
      <c r="H1222" s="33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</row>
    <row r="1223">
      <c r="A1223" s="33"/>
      <c r="B1223" s="33"/>
      <c r="C1223" s="33"/>
      <c r="D1223" s="33"/>
      <c r="E1223" s="33"/>
      <c r="F1223" s="33"/>
      <c r="G1223" s="33"/>
      <c r="H1223" s="33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</row>
    <row r="1224">
      <c r="A1224" s="33"/>
      <c r="B1224" s="33"/>
      <c r="C1224" s="33"/>
      <c r="D1224" s="33"/>
      <c r="E1224" s="33"/>
      <c r="F1224" s="33"/>
      <c r="G1224" s="33"/>
      <c r="H1224" s="33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</row>
    <row r="1225">
      <c r="A1225" s="33"/>
      <c r="B1225" s="33"/>
      <c r="C1225" s="33"/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</row>
    <row r="1226">
      <c r="A1226" s="33"/>
      <c r="B1226" s="33"/>
      <c r="C1226" s="33"/>
      <c r="D1226" s="33"/>
      <c r="E1226" s="33"/>
      <c r="F1226" s="33"/>
      <c r="G1226" s="33"/>
      <c r="H1226" s="33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</row>
    <row r="1227">
      <c r="A1227" s="33"/>
      <c r="B1227" s="33"/>
      <c r="C1227" s="33"/>
      <c r="D1227" s="33"/>
      <c r="E1227" s="33"/>
      <c r="F1227" s="33"/>
      <c r="G1227" s="33"/>
      <c r="H1227" s="33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</row>
    <row r="1228">
      <c r="A1228" s="33"/>
      <c r="B1228" s="33"/>
      <c r="C1228" s="33"/>
      <c r="D1228" s="33"/>
      <c r="E1228" s="33"/>
      <c r="F1228" s="33"/>
      <c r="G1228" s="33"/>
      <c r="H1228" s="33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</row>
    <row r="1229">
      <c r="A1229" s="33"/>
      <c r="B1229" s="33"/>
      <c r="C1229" s="33"/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</row>
    <row r="1230">
      <c r="A1230" s="33"/>
      <c r="B1230" s="33"/>
      <c r="C1230" s="33"/>
      <c r="D1230" s="33"/>
      <c r="E1230" s="33"/>
      <c r="F1230" s="33"/>
      <c r="G1230" s="33"/>
      <c r="H1230" s="33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</row>
    <row r="1231">
      <c r="A1231" s="33"/>
      <c r="B1231" s="33"/>
      <c r="C1231" s="33"/>
      <c r="D1231" s="33"/>
      <c r="E1231" s="33"/>
      <c r="F1231" s="33"/>
      <c r="G1231" s="33"/>
      <c r="H1231" s="33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</row>
    <row r="1232">
      <c r="A1232" s="33"/>
      <c r="B1232" s="33"/>
      <c r="C1232" s="33"/>
      <c r="D1232" s="33"/>
      <c r="E1232" s="33"/>
      <c r="F1232" s="33"/>
      <c r="G1232" s="33"/>
      <c r="H1232" s="33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</row>
    <row r="1233">
      <c r="A1233" s="33"/>
      <c r="B1233" s="33"/>
      <c r="C1233" s="33"/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</row>
    <row r="1234">
      <c r="A1234" s="33"/>
      <c r="B1234" s="33"/>
      <c r="C1234" s="33"/>
      <c r="D1234" s="33"/>
      <c r="E1234" s="33"/>
      <c r="F1234" s="33"/>
      <c r="G1234" s="33"/>
      <c r="H1234" s="33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</row>
    <row r="1235">
      <c r="A1235" s="33"/>
      <c r="B1235" s="33"/>
      <c r="C1235" s="33"/>
      <c r="D1235" s="33"/>
      <c r="E1235" s="33"/>
      <c r="F1235" s="33"/>
      <c r="G1235" s="33"/>
      <c r="H1235" s="33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</row>
    <row r="1236">
      <c r="A1236" s="33"/>
      <c r="B1236" s="33"/>
      <c r="C1236" s="33"/>
      <c r="D1236" s="33"/>
      <c r="E1236" s="33"/>
      <c r="F1236" s="33"/>
      <c r="G1236" s="33"/>
      <c r="H1236" s="33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</row>
    <row r="1237">
      <c r="A1237" s="33"/>
      <c r="B1237" s="33"/>
      <c r="C1237" s="33"/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</row>
    <row r="1238">
      <c r="A1238" s="33"/>
      <c r="B1238" s="33"/>
      <c r="C1238" s="33"/>
      <c r="D1238" s="33"/>
      <c r="E1238" s="33"/>
      <c r="F1238" s="33"/>
      <c r="G1238" s="33"/>
      <c r="H1238" s="33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</row>
    <row r="1239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</row>
    <row r="1240">
      <c r="A1240" s="33"/>
      <c r="B1240" s="33"/>
      <c r="C1240" s="33"/>
      <c r="D1240" s="33"/>
      <c r="E1240" s="33"/>
      <c r="F1240" s="33"/>
      <c r="G1240" s="33"/>
      <c r="H1240" s="33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</row>
    <row r="1241">
      <c r="A1241" s="33"/>
      <c r="B1241" s="33"/>
      <c r="C1241" s="33"/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</row>
    <row r="1242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</row>
    <row r="1243">
      <c r="A1243" s="33"/>
      <c r="B1243" s="33"/>
      <c r="C1243" s="33"/>
      <c r="D1243" s="33"/>
      <c r="E1243" s="33"/>
      <c r="F1243" s="33"/>
      <c r="G1243" s="33"/>
      <c r="H1243" s="33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</row>
    <row r="1244">
      <c r="A1244" s="33"/>
      <c r="B1244" s="33"/>
      <c r="C1244" s="33"/>
      <c r="D1244" s="33"/>
      <c r="E1244" s="33"/>
      <c r="F1244" s="33"/>
      <c r="G1244" s="33"/>
      <c r="H1244" s="33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</row>
    <row r="1245">
      <c r="A1245" s="33"/>
      <c r="B1245" s="33"/>
      <c r="C1245" s="33"/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</row>
    <row r="1246">
      <c r="A1246" s="33"/>
      <c r="B1246" s="33"/>
      <c r="C1246" s="33"/>
      <c r="D1246" s="33"/>
      <c r="E1246" s="33"/>
      <c r="F1246" s="33"/>
      <c r="G1246" s="33"/>
      <c r="H1246" s="33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</row>
    <row r="1247">
      <c r="A1247" s="33"/>
      <c r="B1247" s="33"/>
      <c r="C1247" s="33"/>
      <c r="D1247" s="33"/>
      <c r="E1247" s="33"/>
      <c r="F1247" s="33"/>
      <c r="G1247" s="33"/>
      <c r="H1247" s="33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</row>
    <row r="1248">
      <c r="A1248" s="33"/>
      <c r="B1248" s="33"/>
      <c r="C1248" s="33"/>
      <c r="D1248" s="33"/>
      <c r="E1248" s="33"/>
      <c r="F1248" s="33"/>
      <c r="G1248" s="33"/>
      <c r="H1248" s="33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</row>
    <row r="1249">
      <c r="A1249" s="33"/>
      <c r="B1249" s="33"/>
      <c r="C1249" s="33"/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</row>
    <row r="1250">
      <c r="A1250" s="33"/>
      <c r="B1250" s="33"/>
      <c r="C1250" s="33"/>
      <c r="D1250" s="33"/>
      <c r="E1250" s="33"/>
      <c r="F1250" s="33"/>
      <c r="G1250" s="33"/>
      <c r="H1250" s="33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</row>
    <row r="1251">
      <c r="A1251" s="33"/>
      <c r="B1251" s="33"/>
      <c r="C1251" s="33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</row>
    <row r="1252">
      <c r="A1252" s="33"/>
      <c r="B1252" s="33"/>
      <c r="C1252" s="33"/>
      <c r="D1252" s="33"/>
      <c r="E1252" s="33"/>
      <c r="F1252" s="33"/>
      <c r="G1252" s="33"/>
      <c r="H1252" s="33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</row>
    <row r="1253">
      <c r="A1253" s="33"/>
      <c r="B1253" s="33"/>
      <c r="C1253" s="33"/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</row>
    <row r="1254">
      <c r="A1254" s="33"/>
      <c r="B1254" s="33"/>
      <c r="C1254" s="33"/>
      <c r="D1254" s="33"/>
      <c r="E1254" s="33"/>
      <c r="F1254" s="33"/>
      <c r="G1254" s="33"/>
      <c r="H1254" s="33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</row>
    <row r="1255">
      <c r="A1255" s="33"/>
      <c r="B1255" s="33"/>
      <c r="C1255" s="33"/>
      <c r="D1255" s="33"/>
      <c r="E1255" s="33"/>
      <c r="F1255" s="33"/>
      <c r="G1255" s="33"/>
      <c r="H1255" s="33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</row>
    <row r="1256">
      <c r="A1256" s="33"/>
      <c r="B1256" s="33"/>
      <c r="C1256" s="33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</row>
    <row r="1257">
      <c r="A1257" s="33"/>
      <c r="B1257" s="33"/>
      <c r="C1257" s="33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</row>
    <row r="1258">
      <c r="A1258" s="33"/>
      <c r="B1258" s="33"/>
      <c r="C1258" s="33"/>
      <c r="D1258" s="33"/>
      <c r="E1258" s="33"/>
      <c r="F1258" s="33"/>
      <c r="G1258" s="33"/>
      <c r="H1258" s="33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</row>
    <row r="1259">
      <c r="A1259" s="33"/>
      <c r="B1259" s="33"/>
      <c r="C1259" s="33"/>
      <c r="D1259" s="33"/>
      <c r="E1259" s="33"/>
      <c r="F1259" s="33"/>
      <c r="G1259" s="33"/>
      <c r="H1259" s="33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</row>
    <row r="1260">
      <c r="A1260" s="33"/>
      <c r="B1260" s="33"/>
      <c r="C1260" s="33"/>
      <c r="D1260" s="33"/>
      <c r="E1260" s="33"/>
      <c r="F1260" s="33"/>
      <c r="G1260" s="33"/>
      <c r="H1260" s="33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</row>
    <row r="1261">
      <c r="A1261" s="33"/>
      <c r="B1261" s="33"/>
      <c r="C1261" s="33"/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</row>
    <row r="1262">
      <c r="A1262" s="33"/>
      <c r="B1262" s="33"/>
      <c r="C1262" s="33"/>
      <c r="D1262" s="33"/>
      <c r="E1262" s="33"/>
      <c r="F1262" s="33"/>
      <c r="G1262" s="33"/>
      <c r="H1262" s="33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</row>
    <row r="1263">
      <c r="A1263" s="33"/>
      <c r="B1263" s="33"/>
      <c r="C1263" s="33"/>
      <c r="D1263" s="33"/>
      <c r="E1263" s="33"/>
      <c r="F1263" s="33"/>
      <c r="G1263" s="33"/>
      <c r="H1263" s="33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</row>
    <row r="1264">
      <c r="A1264" s="33"/>
      <c r="B1264" s="33"/>
      <c r="C1264" s="33"/>
      <c r="D1264" s="33"/>
      <c r="E1264" s="33"/>
      <c r="F1264" s="33"/>
      <c r="G1264" s="33"/>
      <c r="H1264" s="33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</row>
    <row r="1265">
      <c r="A1265" s="33"/>
      <c r="B1265" s="33"/>
      <c r="C1265" s="33"/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</row>
    <row r="1266">
      <c r="A1266" s="33"/>
      <c r="B1266" s="33"/>
      <c r="C1266" s="33"/>
      <c r="D1266" s="33"/>
      <c r="E1266" s="33"/>
      <c r="F1266" s="33"/>
      <c r="G1266" s="33"/>
      <c r="H1266" s="33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</row>
    <row r="1267">
      <c r="A1267" s="33"/>
      <c r="B1267" s="33"/>
      <c r="C1267" s="33"/>
      <c r="D1267" s="33"/>
      <c r="E1267" s="33"/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</row>
    <row r="1268">
      <c r="A1268" s="33"/>
      <c r="B1268" s="33"/>
      <c r="C1268" s="33"/>
      <c r="D1268" s="33"/>
      <c r="E1268" s="33"/>
      <c r="F1268" s="33"/>
      <c r="G1268" s="33"/>
      <c r="H1268" s="33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</row>
    <row r="1269">
      <c r="A1269" s="33"/>
      <c r="B1269" s="33"/>
      <c r="C1269" s="33"/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</row>
    <row r="1270">
      <c r="A1270" s="33"/>
      <c r="B1270" s="33"/>
      <c r="C1270" s="33"/>
      <c r="D1270" s="33"/>
      <c r="E1270" s="33"/>
      <c r="F1270" s="33"/>
      <c r="G1270" s="33"/>
      <c r="H1270" s="33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</row>
    <row r="1271">
      <c r="A1271" s="33"/>
      <c r="B1271" s="33"/>
      <c r="C1271" s="33"/>
      <c r="D1271" s="33"/>
      <c r="E1271" s="33"/>
      <c r="F1271" s="33"/>
      <c r="G1271" s="33"/>
      <c r="H1271" s="33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</row>
    <row r="1272">
      <c r="A1272" s="33"/>
      <c r="B1272" s="33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</row>
    <row r="1273">
      <c r="A1273" s="33"/>
      <c r="B1273" s="33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</row>
    <row r="1274">
      <c r="A1274" s="33"/>
      <c r="B1274" s="33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</row>
    <row r="1275">
      <c r="A1275" s="33"/>
      <c r="B1275" s="33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</row>
    <row r="1276">
      <c r="A1276" s="33"/>
      <c r="B1276" s="33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</row>
    <row r="1277">
      <c r="A1277" s="33"/>
      <c r="B1277" s="33"/>
      <c r="C1277" s="33"/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</row>
    <row r="1278">
      <c r="A1278" s="33"/>
      <c r="B1278" s="33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</row>
    <row r="1279">
      <c r="A1279" s="33"/>
      <c r="B1279" s="33"/>
      <c r="C1279" s="33"/>
      <c r="D1279" s="33"/>
      <c r="E1279" s="33"/>
      <c r="F1279" s="33"/>
      <c r="G1279" s="33"/>
      <c r="H1279" s="33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</row>
    <row r="1280">
      <c r="A1280" s="33"/>
      <c r="B1280" s="33"/>
      <c r="C1280" s="33"/>
      <c r="D1280" s="33"/>
      <c r="E1280" s="33"/>
      <c r="F1280" s="33"/>
      <c r="G1280" s="33"/>
      <c r="H1280" s="33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</row>
    <row r="1281">
      <c r="A1281" s="33"/>
      <c r="B1281" s="33"/>
      <c r="C1281" s="33"/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</row>
    <row r="1282">
      <c r="A1282" s="33"/>
      <c r="B1282" s="33"/>
      <c r="C1282" s="33"/>
      <c r="D1282" s="33"/>
      <c r="E1282" s="33"/>
      <c r="F1282" s="33"/>
      <c r="G1282" s="33"/>
      <c r="H1282" s="33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</row>
    <row r="1283">
      <c r="A1283" s="33"/>
      <c r="B1283" s="33"/>
      <c r="C1283" s="33"/>
      <c r="D1283" s="33"/>
      <c r="E1283" s="33"/>
      <c r="F1283" s="33"/>
      <c r="G1283" s="33"/>
      <c r="H1283" s="33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</row>
    <row r="1284">
      <c r="A1284" s="33"/>
      <c r="B1284" s="33"/>
      <c r="C1284" s="33"/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</row>
    <row r="1285">
      <c r="A1285" s="33"/>
      <c r="B1285" s="33"/>
      <c r="C1285" s="33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</row>
    <row r="1286">
      <c r="A1286" s="33"/>
      <c r="B1286" s="33"/>
      <c r="C1286" s="33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</row>
    <row r="1287">
      <c r="A1287" s="33"/>
      <c r="B1287" s="33"/>
      <c r="C1287" s="33"/>
      <c r="D1287" s="33"/>
      <c r="E1287" s="33"/>
      <c r="F1287" s="33"/>
      <c r="G1287" s="33"/>
      <c r="H1287" s="33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</row>
    <row r="1288">
      <c r="A1288" s="33"/>
      <c r="B1288" s="33"/>
      <c r="C1288" s="33"/>
      <c r="D1288" s="33"/>
      <c r="E1288" s="33"/>
      <c r="F1288" s="33"/>
      <c r="G1288" s="33"/>
      <c r="H1288" s="33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</row>
    <row r="1289">
      <c r="A1289" s="33"/>
      <c r="B1289" s="33"/>
      <c r="C1289" s="33"/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</row>
    <row r="1290">
      <c r="A1290" s="33"/>
      <c r="B1290" s="33"/>
      <c r="C1290" s="33"/>
      <c r="D1290" s="33"/>
      <c r="E1290" s="33"/>
      <c r="F1290" s="33"/>
      <c r="G1290" s="33"/>
      <c r="H1290" s="33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</row>
    <row r="1291">
      <c r="A1291" s="33"/>
      <c r="B1291" s="33"/>
      <c r="C1291" s="33"/>
      <c r="D1291" s="33"/>
      <c r="E1291" s="33"/>
      <c r="F1291" s="33"/>
      <c r="G1291" s="33"/>
      <c r="H1291" s="33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</row>
    <row r="1292">
      <c r="A1292" s="33"/>
      <c r="B1292" s="33"/>
      <c r="C1292" s="33"/>
      <c r="D1292" s="33"/>
      <c r="E1292" s="33"/>
      <c r="F1292" s="33"/>
      <c r="G1292" s="33"/>
      <c r="H1292" s="33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</row>
    <row r="1293">
      <c r="A1293" s="33"/>
      <c r="B1293" s="33"/>
      <c r="C1293" s="33"/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</row>
    <row r="1294">
      <c r="A1294" s="33"/>
      <c r="B1294" s="33"/>
      <c r="C1294" s="33"/>
      <c r="D1294" s="33"/>
      <c r="E1294" s="33"/>
      <c r="F1294" s="33"/>
      <c r="G1294" s="33"/>
      <c r="H1294" s="33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</row>
    <row r="1295">
      <c r="A1295" s="33"/>
      <c r="B1295" s="33"/>
      <c r="C1295" s="33"/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</row>
    <row r="1296">
      <c r="A1296" s="33"/>
      <c r="B1296" s="33"/>
      <c r="C1296" s="33"/>
      <c r="D1296" s="33"/>
      <c r="E1296" s="33"/>
      <c r="F1296" s="33"/>
      <c r="G1296" s="33"/>
      <c r="H1296" s="33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</row>
    <row r="1297">
      <c r="A1297" s="33"/>
      <c r="B1297" s="33"/>
      <c r="C1297" s="33"/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</row>
    <row r="1298">
      <c r="A1298" s="33"/>
      <c r="B1298" s="33"/>
      <c r="C1298" s="33"/>
      <c r="D1298" s="33"/>
      <c r="E1298" s="33"/>
      <c r="F1298" s="33"/>
      <c r="G1298" s="33"/>
      <c r="H1298" s="33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</row>
    <row r="1299">
      <c r="A1299" s="33"/>
      <c r="B1299" s="33"/>
      <c r="C1299" s="33"/>
      <c r="D1299" s="33"/>
      <c r="E1299" s="33"/>
      <c r="F1299" s="33"/>
      <c r="G1299" s="33"/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</row>
    <row r="1300">
      <c r="A1300" s="33"/>
      <c r="B1300" s="33"/>
      <c r="C1300" s="33"/>
      <c r="D1300" s="33"/>
      <c r="E1300" s="33"/>
      <c r="F1300" s="33"/>
      <c r="G1300" s="33"/>
      <c r="H1300" s="33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</row>
    <row r="1301">
      <c r="A1301" s="33"/>
      <c r="B1301" s="33"/>
      <c r="C1301" s="33"/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</row>
    <row r="1302">
      <c r="A1302" s="33"/>
      <c r="B1302" s="33"/>
      <c r="C1302" s="33"/>
      <c r="D1302" s="33"/>
      <c r="E1302" s="33"/>
      <c r="F1302" s="33"/>
      <c r="G1302" s="33"/>
      <c r="H1302" s="33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</row>
    <row r="1303">
      <c r="A1303" s="33"/>
      <c r="B1303" s="33"/>
      <c r="C1303" s="33"/>
      <c r="D1303" s="33"/>
      <c r="E1303" s="33"/>
      <c r="F1303" s="33"/>
      <c r="G1303" s="33"/>
      <c r="H1303" s="33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</row>
    <row r="1304">
      <c r="A1304" s="33"/>
      <c r="B1304" s="33"/>
      <c r="C1304" s="33"/>
      <c r="D1304" s="33"/>
      <c r="E1304" s="33"/>
      <c r="F1304" s="33"/>
      <c r="G1304" s="33"/>
      <c r="H1304" s="33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</row>
    <row r="1305">
      <c r="A1305" s="33"/>
      <c r="B1305" s="33"/>
      <c r="C1305" s="33"/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</row>
    <row r="1306">
      <c r="A1306" s="33"/>
      <c r="B1306" s="33"/>
      <c r="C1306" s="33"/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</row>
    <row r="1307">
      <c r="A1307" s="33"/>
      <c r="B1307" s="33"/>
      <c r="C1307" s="33"/>
      <c r="D1307" s="33"/>
      <c r="E1307" s="33"/>
      <c r="F1307" s="33"/>
      <c r="G1307" s="33"/>
      <c r="H1307" s="33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</row>
    <row r="1308">
      <c r="A1308" s="33"/>
      <c r="B1308" s="33"/>
      <c r="C1308" s="33"/>
      <c r="D1308" s="33"/>
      <c r="E1308" s="33"/>
      <c r="F1308" s="33"/>
      <c r="G1308" s="33"/>
      <c r="H1308" s="33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</row>
    <row r="1309">
      <c r="A1309" s="33"/>
      <c r="B1309" s="33"/>
      <c r="C1309" s="33"/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</row>
    <row r="1310">
      <c r="A1310" s="33"/>
      <c r="B1310" s="33"/>
      <c r="C1310" s="33"/>
      <c r="D1310" s="33"/>
      <c r="E1310" s="33"/>
      <c r="F1310" s="33"/>
      <c r="G1310" s="33"/>
      <c r="H1310" s="33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</row>
    <row r="1311">
      <c r="A1311" s="33"/>
      <c r="B1311" s="33"/>
      <c r="C1311" s="33"/>
      <c r="D1311" s="33"/>
      <c r="E1311" s="33"/>
      <c r="F1311" s="33"/>
      <c r="G1311" s="33"/>
      <c r="H1311" s="33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</row>
    <row r="1312">
      <c r="A1312" s="33"/>
      <c r="B1312" s="33"/>
      <c r="C1312" s="33"/>
      <c r="D1312" s="33"/>
      <c r="E1312" s="33"/>
      <c r="F1312" s="33"/>
      <c r="G1312" s="33"/>
      <c r="H1312" s="33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</row>
    <row r="1313">
      <c r="A1313" s="33"/>
      <c r="B1313" s="33"/>
      <c r="C1313" s="33"/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</row>
    <row r="1314">
      <c r="A1314" s="33"/>
      <c r="B1314" s="33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</row>
    <row r="1315">
      <c r="A1315" s="33"/>
      <c r="B1315" s="33"/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</row>
    <row r="1316">
      <c r="A1316" s="33"/>
      <c r="B1316" s="33"/>
      <c r="C1316" s="33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</row>
    <row r="1317">
      <c r="A1317" s="33"/>
      <c r="B1317" s="33"/>
      <c r="C1317" s="33"/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</row>
    <row r="1318">
      <c r="A1318" s="33"/>
      <c r="B1318" s="33"/>
      <c r="C1318" s="33"/>
      <c r="D1318" s="33"/>
      <c r="E1318" s="33"/>
      <c r="F1318" s="33"/>
      <c r="G1318" s="33"/>
      <c r="H1318" s="33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</row>
    <row r="1319">
      <c r="A1319" s="33"/>
      <c r="B1319" s="33"/>
      <c r="C1319" s="33"/>
      <c r="D1319" s="33"/>
      <c r="E1319" s="33"/>
      <c r="F1319" s="33"/>
      <c r="G1319" s="33"/>
      <c r="H1319" s="33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</row>
    <row r="1320">
      <c r="A1320" s="33"/>
      <c r="B1320" s="33"/>
      <c r="C1320" s="33"/>
      <c r="D1320" s="33"/>
      <c r="E1320" s="33"/>
      <c r="F1320" s="33"/>
      <c r="G1320" s="33"/>
      <c r="H1320" s="33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</row>
    <row r="1321">
      <c r="A1321" s="33"/>
      <c r="B1321" s="33"/>
      <c r="C1321" s="33"/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</row>
    <row r="1322">
      <c r="A1322" s="33"/>
      <c r="B1322" s="33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</row>
    <row r="1323">
      <c r="A1323" s="33"/>
      <c r="B1323" s="33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</row>
    <row r="1324">
      <c r="A1324" s="33"/>
      <c r="B1324" s="33"/>
      <c r="C1324" s="33"/>
      <c r="D1324" s="33"/>
      <c r="E1324" s="33"/>
      <c r="F1324" s="33"/>
      <c r="G1324" s="33"/>
      <c r="H1324" s="33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</row>
    <row r="1325">
      <c r="A1325" s="33"/>
      <c r="B1325" s="33"/>
      <c r="C1325" s="33"/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</row>
    <row r="1326">
      <c r="A1326" s="33"/>
      <c r="B1326" s="33"/>
      <c r="C1326" s="33"/>
      <c r="D1326" s="33"/>
      <c r="E1326" s="33"/>
      <c r="F1326" s="33"/>
      <c r="G1326" s="33"/>
      <c r="H1326" s="33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</row>
    <row r="1327">
      <c r="A1327" s="33"/>
      <c r="B1327" s="33"/>
      <c r="C1327" s="33"/>
      <c r="D1327" s="33"/>
      <c r="E1327" s="33"/>
      <c r="F1327" s="33"/>
      <c r="G1327" s="33"/>
      <c r="H1327" s="33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</row>
    <row r="1328">
      <c r="A1328" s="33"/>
      <c r="B1328" s="33"/>
      <c r="C1328" s="33"/>
      <c r="D1328" s="33"/>
      <c r="E1328" s="33"/>
      <c r="F1328" s="33"/>
      <c r="G1328" s="33"/>
      <c r="H1328" s="33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</row>
    <row r="1329">
      <c r="A1329" s="33"/>
      <c r="B1329" s="33"/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/>
      <c r="AD1329" s="33"/>
      <c r="AE1329" s="33"/>
      <c r="AF1329" s="33"/>
      <c r="AG1329" s="33"/>
      <c r="AH1329" s="33"/>
      <c r="AI1329" s="33"/>
      <c r="AJ1329" s="33"/>
      <c r="AK1329" s="33"/>
    </row>
    <row r="1330">
      <c r="A1330" s="33"/>
      <c r="B1330" s="33"/>
      <c r="C1330" s="33"/>
      <c r="D1330" s="33"/>
      <c r="E1330" s="33"/>
      <c r="F1330" s="33"/>
      <c r="G1330" s="33"/>
      <c r="H1330" s="33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</row>
    <row r="1331">
      <c r="A1331" s="33"/>
      <c r="B1331" s="33"/>
      <c r="C1331" s="33"/>
      <c r="D1331" s="33"/>
      <c r="E1331" s="33"/>
      <c r="F1331" s="33"/>
      <c r="G1331" s="33"/>
      <c r="H1331" s="33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  <c r="AB1331" s="33"/>
      <c r="AC1331" s="33"/>
      <c r="AD1331" s="33"/>
      <c r="AE1331" s="33"/>
      <c r="AF1331" s="33"/>
      <c r="AG1331" s="33"/>
      <c r="AH1331" s="33"/>
      <c r="AI1331" s="33"/>
      <c r="AJ1331" s="33"/>
      <c r="AK1331" s="33"/>
    </row>
    <row r="1332">
      <c r="A1332" s="33"/>
      <c r="B1332" s="33"/>
      <c r="C1332" s="33"/>
      <c r="D1332" s="33"/>
      <c r="E1332" s="33"/>
      <c r="F1332" s="33"/>
      <c r="G1332" s="33"/>
      <c r="H1332" s="33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  <c r="AB1332" s="33"/>
      <c r="AC1332" s="33"/>
      <c r="AD1332" s="33"/>
      <c r="AE1332" s="33"/>
      <c r="AF1332" s="33"/>
      <c r="AG1332" s="33"/>
      <c r="AH1332" s="33"/>
      <c r="AI1332" s="33"/>
      <c r="AJ1332" s="33"/>
      <c r="AK1332" s="33"/>
    </row>
    <row r="1333">
      <c r="A1333" s="33"/>
      <c r="B1333" s="33"/>
      <c r="C1333" s="33"/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  <c r="AB1333" s="33"/>
      <c r="AC1333" s="33"/>
      <c r="AD1333" s="33"/>
      <c r="AE1333" s="33"/>
      <c r="AF1333" s="33"/>
      <c r="AG1333" s="33"/>
      <c r="AH1333" s="33"/>
      <c r="AI1333" s="33"/>
      <c r="AJ1333" s="33"/>
      <c r="AK1333" s="33"/>
    </row>
    <row r="1334">
      <c r="A1334" s="33"/>
      <c r="B1334" s="33"/>
      <c r="C1334" s="33"/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</row>
    <row r="1335">
      <c r="A1335" s="33"/>
      <c r="B1335" s="33"/>
      <c r="C1335" s="33"/>
      <c r="D1335" s="33"/>
      <c r="E1335" s="33"/>
      <c r="F1335" s="33"/>
      <c r="G1335" s="33"/>
      <c r="H1335" s="33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  <c r="AB1335" s="33"/>
      <c r="AC1335" s="33"/>
      <c r="AD1335" s="33"/>
      <c r="AE1335" s="33"/>
      <c r="AF1335" s="33"/>
      <c r="AG1335" s="33"/>
      <c r="AH1335" s="33"/>
      <c r="AI1335" s="33"/>
      <c r="AJ1335" s="33"/>
      <c r="AK1335" s="33"/>
    </row>
    <row r="1336">
      <c r="A1336" s="33"/>
      <c r="B1336" s="33"/>
      <c r="C1336" s="33"/>
      <c r="D1336" s="33"/>
      <c r="E1336" s="33"/>
      <c r="F1336" s="33"/>
      <c r="G1336" s="33"/>
      <c r="H1336" s="33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</row>
    <row r="1337">
      <c r="A1337" s="33"/>
      <c r="B1337" s="33"/>
      <c r="C1337" s="33"/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</row>
    <row r="1338">
      <c r="A1338" s="33"/>
      <c r="B1338" s="33"/>
      <c r="C1338" s="33"/>
      <c r="D1338" s="33"/>
      <c r="E1338" s="33"/>
      <c r="F1338" s="33"/>
      <c r="G1338" s="33"/>
      <c r="H1338" s="33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</row>
    <row r="1339">
      <c r="A1339" s="33"/>
      <c r="B1339" s="33"/>
      <c r="C1339" s="33"/>
      <c r="D1339" s="33"/>
      <c r="E1339" s="33"/>
      <c r="F1339" s="33"/>
      <c r="G1339" s="33"/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</row>
    <row r="1340">
      <c r="A1340" s="33"/>
      <c r="B1340" s="33"/>
      <c r="C1340" s="33"/>
      <c r="D1340" s="33"/>
      <c r="E1340" s="33"/>
      <c r="F1340" s="33"/>
      <c r="G1340" s="33"/>
      <c r="H1340" s="33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</row>
    <row r="1341">
      <c r="A1341" s="33"/>
      <c r="B1341" s="33"/>
      <c r="C1341" s="33"/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</row>
    <row r="1342">
      <c r="A1342" s="33"/>
      <c r="B1342" s="33"/>
      <c r="C1342" s="33"/>
      <c r="D1342" s="33"/>
      <c r="E1342" s="33"/>
      <c r="F1342" s="33"/>
      <c r="G1342" s="33"/>
      <c r="H1342" s="33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</row>
    <row r="1343">
      <c r="A1343" s="33"/>
      <c r="B1343" s="33"/>
      <c r="C1343" s="33"/>
      <c r="D1343" s="33"/>
      <c r="E1343" s="33"/>
      <c r="F1343" s="33"/>
      <c r="G1343" s="33"/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</row>
    <row r="1344">
      <c r="A1344" s="33"/>
      <c r="B1344" s="33"/>
      <c r="C1344" s="33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</row>
    <row r="1345">
      <c r="A1345" s="33"/>
      <c r="B1345" s="33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  <c r="AB1345" s="33"/>
      <c r="AC1345" s="33"/>
      <c r="AD1345" s="33"/>
      <c r="AE1345" s="33"/>
      <c r="AF1345" s="33"/>
      <c r="AG1345" s="33"/>
      <c r="AH1345" s="33"/>
      <c r="AI1345" s="33"/>
      <c r="AJ1345" s="33"/>
      <c r="AK1345" s="33"/>
    </row>
    <row r="1346">
      <c r="A1346" s="33"/>
      <c r="B1346" s="33"/>
      <c r="C1346" s="33"/>
      <c r="D1346" s="33"/>
      <c r="E1346" s="33"/>
      <c r="F1346" s="33"/>
      <c r="G1346" s="33"/>
      <c r="H1346" s="33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  <c r="AB1346" s="33"/>
      <c r="AC1346" s="33"/>
      <c r="AD1346" s="33"/>
      <c r="AE1346" s="33"/>
      <c r="AF1346" s="33"/>
      <c r="AG1346" s="33"/>
      <c r="AH1346" s="33"/>
      <c r="AI1346" s="33"/>
      <c r="AJ1346" s="33"/>
      <c r="AK1346" s="33"/>
    </row>
    <row r="1347">
      <c r="A1347" s="33"/>
      <c r="B1347" s="33"/>
      <c r="C1347" s="33"/>
      <c r="D1347" s="33"/>
      <c r="E1347" s="33"/>
      <c r="F1347" s="33"/>
      <c r="G1347" s="33"/>
      <c r="H1347" s="33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</row>
    <row r="1348">
      <c r="A1348" s="33"/>
      <c r="B1348" s="33"/>
      <c r="C1348" s="33"/>
      <c r="D1348" s="33"/>
      <c r="E1348" s="33"/>
      <c r="F1348" s="33"/>
      <c r="G1348" s="33"/>
      <c r="H1348" s="33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  <c r="AB1348" s="33"/>
      <c r="AC1348" s="33"/>
      <c r="AD1348" s="33"/>
      <c r="AE1348" s="33"/>
      <c r="AF1348" s="33"/>
      <c r="AG1348" s="33"/>
      <c r="AH1348" s="33"/>
      <c r="AI1348" s="33"/>
      <c r="AJ1348" s="33"/>
      <c r="AK1348" s="33"/>
    </row>
    <row r="1349">
      <c r="A1349" s="33"/>
      <c r="B1349" s="33"/>
      <c r="C1349" s="33"/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  <c r="AB1349" s="33"/>
      <c r="AC1349" s="33"/>
      <c r="AD1349" s="33"/>
      <c r="AE1349" s="33"/>
      <c r="AF1349" s="33"/>
      <c r="AG1349" s="33"/>
      <c r="AH1349" s="33"/>
      <c r="AI1349" s="33"/>
      <c r="AJ1349" s="33"/>
      <c r="AK1349" s="33"/>
    </row>
    <row r="1350">
      <c r="A1350" s="33"/>
      <c r="B1350" s="33"/>
      <c r="C1350" s="33"/>
      <c r="D1350" s="33"/>
      <c r="E1350" s="33"/>
      <c r="F1350" s="33"/>
      <c r="G1350" s="33"/>
      <c r="H1350" s="33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  <c r="AB1350" s="33"/>
      <c r="AC1350" s="33"/>
      <c r="AD1350" s="33"/>
      <c r="AE1350" s="33"/>
      <c r="AF1350" s="33"/>
      <c r="AG1350" s="33"/>
      <c r="AH1350" s="33"/>
      <c r="AI1350" s="33"/>
      <c r="AJ1350" s="33"/>
      <c r="AK1350" s="33"/>
    </row>
    <row r="1351">
      <c r="A1351" s="33"/>
      <c r="B1351" s="33"/>
      <c r="C1351" s="33"/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</row>
    <row r="1352">
      <c r="A1352" s="33"/>
      <c r="B1352" s="33"/>
      <c r="C1352" s="33"/>
      <c r="D1352" s="33"/>
      <c r="E1352" s="33"/>
      <c r="F1352" s="33"/>
      <c r="G1352" s="33"/>
      <c r="H1352" s="33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</row>
    <row r="1353">
      <c r="A1353" s="33"/>
      <c r="B1353" s="33"/>
      <c r="C1353" s="33"/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</row>
    <row r="1354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</row>
    <row r="1355">
      <c r="A1355" s="33"/>
      <c r="B1355" s="33"/>
      <c r="C1355" s="33"/>
      <c r="D1355" s="33"/>
      <c r="E1355" s="33"/>
      <c r="F1355" s="33"/>
      <c r="G1355" s="33"/>
      <c r="H1355" s="33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</row>
    <row r="1356">
      <c r="A1356" s="33"/>
      <c r="B1356" s="33"/>
      <c r="C1356" s="33"/>
      <c r="D1356" s="33"/>
      <c r="E1356" s="33"/>
      <c r="F1356" s="33"/>
      <c r="G1356" s="33"/>
      <c r="H1356" s="33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  <c r="AB1356" s="33"/>
      <c r="AC1356" s="33"/>
      <c r="AD1356" s="33"/>
      <c r="AE1356" s="33"/>
      <c r="AF1356" s="33"/>
      <c r="AG1356" s="33"/>
      <c r="AH1356" s="33"/>
      <c r="AI1356" s="33"/>
      <c r="AJ1356" s="33"/>
      <c r="AK1356" s="33"/>
    </row>
    <row r="1357">
      <c r="A1357" s="33"/>
      <c r="B1357" s="33"/>
      <c r="C1357" s="33"/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  <c r="AB1357" s="33"/>
      <c r="AC1357" s="33"/>
      <c r="AD1357" s="33"/>
      <c r="AE1357" s="33"/>
      <c r="AF1357" s="33"/>
      <c r="AG1357" s="33"/>
      <c r="AH1357" s="33"/>
      <c r="AI1357" s="33"/>
      <c r="AJ1357" s="33"/>
      <c r="AK1357" s="33"/>
    </row>
    <row r="1358">
      <c r="A1358" s="33"/>
      <c r="B1358" s="33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</row>
    <row r="1359">
      <c r="A1359" s="33"/>
      <c r="B1359" s="33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</row>
    <row r="1360">
      <c r="A1360" s="33"/>
      <c r="B1360" s="33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</row>
    <row r="1361">
      <c r="A1361" s="33"/>
      <c r="B1361" s="33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</row>
    <row r="1362">
      <c r="A1362" s="33"/>
      <c r="B1362" s="33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</row>
    <row r="1363">
      <c r="A1363" s="33"/>
      <c r="B1363" s="33"/>
      <c r="C1363" s="33"/>
      <c r="D1363" s="33"/>
      <c r="E1363" s="33"/>
      <c r="F1363" s="33"/>
      <c r="G1363" s="33"/>
      <c r="H1363" s="33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</row>
    <row r="1364">
      <c r="A1364" s="33"/>
      <c r="B1364" s="33"/>
      <c r="C1364" s="33"/>
      <c r="D1364" s="33"/>
      <c r="E1364" s="33"/>
      <c r="F1364" s="33"/>
      <c r="G1364" s="33"/>
      <c r="H1364" s="33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</row>
    <row r="1365">
      <c r="A1365" s="33"/>
      <c r="B1365" s="33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</row>
    <row r="1366">
      <c r="A1366" s="33"/>
      <c r="B1366" s="33"/>
      <c r="C1366" s="33"/>
      <c r="D1366" s="33"/>
      <c r="E1366" s="33"/>
      <c r="F1366" s="33"/>
      <c r="G1366" s="33"/>
      <c r="H1366" s="33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</row>
    <row r="1367">
      <c r="A1367" s="33"/>
      <c r="B1367" s="33"/>
      <c r="C1367" s="33"/>
      <c r="D1367" s="33"/>
      <c r="E1367" s="33"/>
      <c r="F1367" s="33"/>
      <c r="G1367" s="33"/>
      <c r="H1367" s="33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  <c r="AB1367" s="33"/>
      <c r="AC1367" s="33"/>
      <c r="AD1367" s="33"/>
      <c r="AE1367" s="33"/>
      <c r="AF1367" s="33"/>
      <c r="AG1367" s="33"/>
      <c r="AH1367" s="33"/>
      <c r="AI1367" s="33"/>
      <c r="AJ1367" s="33"/>
      <c r="AK1367" s="33"/>
    </row>
    <row r="1368">
      <c r="A1368" s="33"/>
      <c r="B1368" s="33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  <c r="AB1368" s="33"/>
      <c r="AC1368" s="33"/>
      <c r="AD1368" s="33"/>
      <c r="AE1368" s="33"/>
      <c r="AF1368" s="33"/>
      <c r="AG1368" s="33"/>
      <c r="AH1368" s="33"/>
      <c r="AI1368" s="33"/>
      <c r="AJ1368" s="33"/>
      <c r="AK1368" s="33"/>
    </row>
    <row r="1369">
      <c r="A1369" s="33"/>
      <c r="B1369" s="33"/>
      <c r="C1369" s="33"/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  <c r="AB1369" s="33"/>
      <c r="AC1369" s="33"/>
      <c r="AD1369" s="33"/>
      <c r="AE1369" s="33"/>
      <c r="AF1369" s="33"/>
      <c r="AG1369" s="33"/>
      <c r="AH1369" s="33"/>
      <c r="AI1369" s="33"/>
      <c r="AJ1369" s="33"/>
      <c r="AK1369" s="33"/>
    </row>
    <row r="1370">
      <c r="A1370" s="33"/>
      <c r="B1370" s="33"/>
      <c r="C1370" s="33"/>
      <c r="D1370" s="33"/>
      <c r="E1370" s="33"/>
      <c r="F1370" s="33"/>
      <c r="G1370" s="33"/>
      <c r="H1370" s="33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</row>
    <row r="1371">
      <c r="A1371" s="33"/>
      <c r="B1371" s="33"/>
      <c r="C1371" s="33"/>
      <c r="D1371" s="33"/>
      <c r="E1371" s="33"/>
      <c r="F1371" s="33"/>
      <c r="G1371" s="33"/>
      <c r="H1371" s="33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</row>
    <row r="1372">
      <c r="A1372" s="33"/>
      <c r="B1372" s="33"/>
      <c r="C1372" s="33"/>
      <c r="D1372" s="33"/>
      <c r="E1372" s="33"/>
      <c r="F1372" s="33"/>
      <c r="G1372" s="33"/>
      <c r="H1372" s="33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</row>
    <row r="1373">
      <c r="A1373" s="33"/>
      <c r="B1373" s="33"/>
      <c r="C1373" s="33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</row>
    <row r="1374">
      <c r="A1374" s="33"/>
      <c r="B1374" s="33"/>
      <c r="C1374" s="33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</row>
    <row r="1375">
      <c r="A1375" s="33"/>
      <c r="B1375" s="33"/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</row>
    <row r="1376">
      <c r="A1376" s="33"/>
      <c r="B1376" s="33"/>
      <c r="C1376" s="33"/>
      <c r="D1376" s="33"/>
      <c r="E1376" s="33"/>
      <c r="F1376" s="33"/>
      <c r="G1376" s="33"/>
      <c r="H1376" s="33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</row>
    <row r="1377">
      <c r="A1377" s="33"/>
      <c r="B1377" s="33"/>
      <c r="C1377" s="33"/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</row>
    <row r="1378">
      <c r="A1378" s="33"/>
      <c r="B1378" s="33"/>
      <c r="C1378" s="33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</row>
    <row r="1379">
      <c r="A1379" s="33"/>
      <c r="B1379" s="33"/>
      <c r="C1379" s="33"/>
      <c r="D1379" s="33"/>
      <c r="E1379" s="33"/>
      <c r="F1379" s="33"/>
      <c r="G1379" s="33"/>
      <c r="H1379" s="33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</row>
    <row r="1380">
      <c r="A1380" s="33"/>
      <c r="B1380" s="33"/>
      <c r="C1380" s="33"/>
      <c r="D1380" s="33"/>
      <c r="E1380" s="33"/>
      <c r="F1380" s="33"/>
      <c r="G1380" s="33"/>
      <c r="H1380" s="33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  <c r="AB1380" s="33"/>
      <c r="AC1380" s="33"/>
      <c r="AD1380" s="33"/>
      <c r="AE1380" s="33"/>
      <c r="AF1380" s="33"/>
      <c r="AG1380" s="33"/>
      <c r="AH1380" s="33"/>
      <c r="AI1380" s="33"/>
      <c r="AJ1380" s="33"/>
      <c r="AK1380" s="33"/>
    </row>
    <row r="1381">
      <c r="A1381" s="33"/>
      <c r="B1381" s="33"/>
      <c r="C1381" s="33"/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</row>
    <row r="1382">
      <c r="A1382" s="33"/>
      <c r="B1382" s="33"/>
      <c r="C1382" s="33"/>
      <c r="D1382" s="33"/>
      <c r="E1382" s="33"/>
      <c r="F1382" s="33"/>
      <c r="G1382" s="33"/>
      <c r="H1382" s="33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  <c r="AB1382" s="33"/>
      <c r="AC1382" s="33"/>
      <c r="AD1382" s="33"/>
      <c r="AE1382" s="33"/>
      <c r="AF1382" s="33"/>
      <c r="AG1382" s="33"/>
      <c r="AH1382" s="33"/>
      <c r="AI1382" s="33"/>
      <c r="AJ1382" s="33"/>
      <c r="AK1382" s="33"/>
    </row>
    <row r="1383">
      <c r="A1383" s="33"/>
      <c r="B1383" s="33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</row>
    <row r="1384">
      <c r="A1384" s="33"/>
      <c r="B1384" s="33"/>
      <c r="C1384" s="33"/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</row>
    <row r="1385">
      <c r="A1385" s="33"/>
      <c r="B1385" s="33"/>
      <c r="C1385" s="33"/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</row>
    <row r="1386">
      <c r="A1386" s="33"/>
      <c r="B1386" s="33"/>
      <c r="C1386" s="33"/>
      <c r="D1386" s="33"/>
      <c r="E1386" s="33"/>
      <c r="F1386" s="33"/>
      <c r="G1386" s="33"/>
      <c r="H1386" s="33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  <c r="AB1386" s="33"/>
      <c r="AC1386" s="33"/>
      <c r="AD1386" s="33"/>
      <c r="AE1386" s="33"/>
      <c r="AF1386" s="33"/>
      <c r="AG1386" s="33"/>
      <c r="AH1386" s="33"/>
      <c r="AI1386" s="33"/>
      <c r="AJ1386" s="33"/>
      <c r="AK1386" s="33"/>
    </row>
    <row r="1387">
      <c r="A1387" s="33"/>
      <c r="B1387" s="33"/>
      <c r="C1387" s="33"/>
      <c r="D1387" s="33"/>
      <c r="E1387" s="33"/>
      <c r="F1387" s="33"/>
      <c r="G1387" s="33"/>
      <c r="H1387" s="33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</row>
    <row r="1388">
      <c r="A1388" s="33"/>
      <c r="B1388" s="33"/>
      <c r="C1388" s="33"/>
      <c r="D1388" s="33"/>
      <c r="E1388" s="33"/>
      <c r="F1388" s="33"/>
      <c r="G1388" s="33"/>
      <c r="H1388" s="33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</row>
    <row r="1389">
      <c r="A1389" s="33"/>
      <c r="B1389" s="33"/>
      <c r="C1389" s="33"/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</row>
    <row r="1390">
      <c r="A1390" s="33"/>
      <c r="B1390" s="33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  <c r="AB1390" s="33"/>
      <c r="AC1390" s="33"/>
      <c r="AD1390" s="33"/>
      <c r="AE1390" s="33"/>
      <c r="AF1390" s="33"/>
      <c r="AG1390" s="33"/>
      <c r="AH1390" s="33"/>
      <c r="AI1390" s="33"/>
      <c r="AJ1390" s="33"/>
      <c r="AK1390" s="33"/>
    </row>
    <row r="1391">
      <c r="A1391" s="33"/>
      <c r="B1391" s="33"/>
      <c r="C1391" s="33"/>
      <c r="D1391" s="33"/>
      <c r="E1391" s="33"/>
      <c r="F1391" s="33"/>
      <c r="G1391" s="33"/>
      <c r="H1391" s="33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</row>
    <row r="1392">
      <c r="A1392" s="33"/>
      <c r="B1392" s="33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  <c r="AB1392" s="33"/>
      <c r="AC1392" s="33"/>
      <c r="AD1392" s="33"/>
      <c r="AE1392" s="33"/>
      <c r="AF1392" s="33"/>
      <c r="AG1392" s="33"/>
      <c r="AH1392" s="33"/>
      <c r="AI1392" s="33"/>
      <c r="AJ1392" s="33"/>
      <c r="AK1392" s="33"/>
    </row>
    <row r="1393">
      <c r="A1393" s="33"/>
      <c r="B1393" s="33"/>
      <c r="C1393" s="33"/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  <c r="AB1393" s="33"/>
      <c r="AC1393" s="33"/>
      <c r="AD1393" s="33"/>
      <c r="AE1393" s="33"/>
      <c r="AF1393" s="33"/>
      <c r="AG1393" s="33"/>
      <c r="AH1393" s="33"/>
      <c r="AI1393" s="33"/>
      <c r="AJ1393" s="33"/>
      <c r="AK1393" s="33"/>
    </row>
    <row r="1394">
      <c r="A1394" s="33"/>
      <c r="B1394" s="33"/>
      <c r="C1394" s="33"/>
      <c r="D1394" s="33"/>
      <c r="E1394" s="33"/>
      <c r="F1394" s="33"/>
      <c r="G1394" s="33"/>
      <c r="H1394" s="33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</row>
    <row r="1395">
      <c r="A1395" s="33"/>
      <c r="B1395" s="33"/>
      <c r="C1395" s="33"/>
      <c r="D1395" s="33"/>
      <c r="E1395" s="33"/>
      <c r="F1395" s="33"/>
      <c r="G1395" s="33"/>
      <c r="H1395" s="33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/>
      <c r="AE1395" s="33"/>
      <c r="AF1395" s="33"/>
      <c r="AG1395" s="33"/>
      <c r="AH1395" s="33"/>
      <c r="AI1395" s="33"/>
      <c r="AJ1395" s="33"/>
      <c r="AK1395" s="33"/>
    </row>
    <row r="1396">
      <c r="A1396" s="33"/>
      <c r="B1396" s="33"/>
      <c r="C1396" s="33"/>
      <c r="D1396" s="33"/>
      <c r="E1396" s="33"/>
      <c r="F1396" s="33"/>
      <c r="G1396" s="33"/>
      <c r="H1396" s="33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  <c r="AB1396" s="33"/>
      <c r="AC1396" s="33"/>
      <c r="AD1396" s="33"/>
      <c r="AE1396" s="33"/>
      <c r="AF1396" s="33"/>
      <c r="AG1396" s="33"/>
      <c r="AH1396" s="33"/>
      <c r="AI1396" s="33"/>
      <c r="AJ1396" s="33"/>
      <c r="AK1396" s="33"/>
    </row>
    <row r="1397">
      <c r="A1397" s="33"/>
      <c r="B1397" s="33"/>
      <c r="C1397" s="33"/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  <c r="AB1397" s="33"/>
      <c r="AC1397" s="33"/>
      <c r="AD1397" s="33"/>
      <c r="AE1397" s="33"/>
      <c r="AF1397" s="33"/>
      <c r="AG1397" s="33"/>
      <c r="AH1397" s="33"/>
      <c r="AI1397" s="33"/>
      <c r="AJ1397" s="33"/>
      <c r="AK1397" s="33"/>
    </row>
    <row r="1398">
      <c r="A1398" s="33"/>
      <c r="B1398" s="33"/>
      <c r="C1398" s="33"/>
      <c r="D1398" s="33"/>
      <c r="E1398" s="33"/>
      <c r="F1398" s="33"/>
      <c r="G1398" s="33"/>
      <c r="H1398" s="33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</row>
    <row r="1399">
      <c r="A1399" s="33"/>
      <c r="B1399" s="33"/>
      <c r="C1399" s="33"/>
      <c r="D1399" s="33"/>
      <c r="E1399" s="33"/>
      <c r="F1399" s="33"/>
      <c r="G1399" s="33"/>
      <c r="H1399" s="33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  <c r="AB1399" s="33"/>
      <c r="AC1399" s="33"/>
      <c r="AD1399" s="33"/>
      <c r="AE1399" s="33"/>
      <c r="AF1399" s="33"/>
      <c r="AG1399" s="33"/>
      <c r="AH1399" s="33"/>
      <c r="AI1399" s="33"/>
      <c r="AJ1399" s="33"/>
      <c r="AK1399" s="33"/>
    </row>
    <row r="1400">
      <c r="A1400" s="33"/>
      <c r="B1400" s="33"/>
      <c r="C1400" s="33"/>
      <c r="D1400" s="33"/>
      <c r="E1400" s="33"/>
      <c r="F1400" s="33"/>
      <c r="G1400" s="33"/>
      <c r="H1400" s="33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</row>
    <row r="1401">
      <c r="A1401" s="33"/>
      <c r="B1401" s="33"/>
      <c r="C1401" s="33"/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</row>
    <row r="1402">
      <c r="A1402" s="33"/>
      <c r="B1402" s="33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</row>
    <row r="1403">
      <c r="A1403" s="33"/>
      <c r="B1403" s="33"/>
      <c r="C1403" s="33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  <c r="AB1403" s="33"/>
      <c r="AC1403" s="33"/>
      <c r="AD1403" s="33"/>
      <c r="AE1403" s="33"/>
      <c r="AF1403" s="33"/>
      <c r="AG1403" s="33"/>
      <c r="AH1403" s="33"/>
      <c r="AI1403" s="33"/>
      <c r="AJ1403" s="33"/>
      <c r="AK1403" s="33"/>
    </row>
    <row r="1404">
      <c r="A1404" s="33"/>
      <c r="B1404" s="33"/>
      <c r="C1404" s="33"/>
      <c r="D1404" s="33"/>
      <c r="E1404" s="33"/>
      <c r="F1404" s="33"/>
      <c r="G1404" s="33"/>
      <c r="H1404" s="33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</row>
    <row r="1405">
      <c r="A1405" s="33"/>
      <c r="B1405" s="33"/>
      <c r="C1405" s="33"/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  <c r="AB1405" s="33"/>
      <c r="AC1405" s="33"/>
      <c r="AD1405" s="33"/>
      <c r="AE1405" s="33"/>
      <c r="AF1405" s="33"/>
      <c r="AG1405" s="33"/>
      <c r="AH1405" s="33"/>
      <c r="AI1405" s="33"/>
      <c r="AJ1405" s="33"/>
      <c r="AK1405" s="33"/>
    </row>
    <row r="1406">
      <c r="A1406" s="33"/>
      <c r="B1406" s="33"/>
      <c r="C1406" s="33"/>
      <c r="D1406" s="33"/>
      <c r="E1406" s="33"/>
      <c r="F1406" s="33"/>
      <c r="G1406" s="33"/>
      <c r="H1406" s="33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</row>
    <row r="1407">
      <c r="A1407" s="33"/>
      <c r="B1407" s="33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</row>
    <row r="1408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  <c r="AB1408" s="33"/>
      <c r="AC1408" s="33"/>
      <c r="AD1408" s="33"/>
      <c r="AE1408" s="33"/>
      <c r="AF1408" s="33"/>
      <c r="AG1408" s="33"/>
      <c r="AH1408" s="33"/>
      <c r="AI1408" s="33"/>
      <c r="AJ1408" s="33"/>
      <c r="AK1408" s="33"/>
    </row>
    <row r="1409">
      <c r="A1409" s="33"/>
      <c r="B1409" s="33"/>
      <c r="C1409" s="33"/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</row>
    <row r="1410">
      <c r="A1410" s="33"/>
      <c r="B1410" s="33"/>
      <c r="C1410" s="33"/>
      <c r="D1410" s="33"/>
      <c r="E1410" s="33"/>
      <c r="F1410" s="33"/>
      <c r="G1410" s="33"/>
      <c r="H1410" s="33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  <c r="AB1410" s="33"/>
      <c r="AC1410" s="33"/>
      <c r="AD1410" s="33"/>
      <c r="AE1410" s="33"/>
      <c r="AF1410" s="33"/>
      <c r="AG1410" s="33"/>
      <c r="AH1410" s="33"/>
      <c r="AI1410" s="33"/>
      <c r="AJ1410" s="33"/>
      <c r="AK1410" s="33"/>
    </row>
    <row r="1411">
      <c r="A1411" s="33"/>
      <c r="B1411" s="33"/>
      <c r="C1411" s="33"/>
      <c r="D1411" s="33"/>
      <c r="E1411" s="33"/>
      <c r="F1411" s="33"/>
      <c r="G1411" s="33"/>
      <c r="H1411" s="33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  <c r="AB1411" s="33"/>
      <c r="AC1411" s="33"/>
      <c r="AD1411" s="33"/>
      <c r="AE1411" s="33"/>
      <c r="AF1411" s="33"/>
      <c r="AG1411" s="33"/>
      <c r="AH1411" s="33"/>
      <c r="AI1411" s="33"/>
      <c r="AJ1411" s="33"/>
      <c r="AK1411" s="33"/>
    </row>
    <row r="1412">
      <c r="A1412" s="33"/>
      <c r="B1412" s="33"/>
      <c r="C1412" s="33"/>
      <c r="D1412" s="33"/>
      <c r="E1412" s="33"/>
      <c r="F1412" s="33"/>
      <c r="G1412" s="33"/>
      <c r="H1412" s="33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</row>
    <row r="1413">
      <c r="A1413" s="33"/>
      <c r="B1413" s="33"/>
      <c r="C1413" s="33"/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  <c r="AB1413" s="33"/>
      <c r="AC1413" s="33"/>
      <c r="AD1413" s="33"/>
      <c r="AE1413" s="33"/>
      <c r="AF1413" s="33"/>
      <c r="AG1413" s="33"/>
      <c r="AH1413" s="33"/>
      <c r="AI1413" s="33"/>
      <c r="AJ1413" s="33"/>
      <c r="AK1413" s="33"/>
    </row>
    <row r="1414">
      <c r="A1414" s="33"/>
      <c r="B1414" s="33"/>
      <c r="C1414" s="33"/>
      <c r="D1414" s="33"/>
      <c r="E1414" s="33"/>
      <c r="F1414" s="33"/>
      <c r="G1414" s="33"/>
      <c r="H1414" s="33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</row>
    <row r="1415">
      <c r="A1415" s="33"/>
      <c r="B1415" s="33"/>
      <c r="C1415" s="33"/>
      <c r="D1415" s="33"/>
      <c r="E1415" s="33"/>
      <c r="F1415" s="33"/>
      <c r="G1415" s="33"/>
      <c r="H1415" s="33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</row>
    <row r="1416">
      <c r="A1416" s="33"/>
      <c r="B1416" s="33"/>
      <c r="C1416" s="33"/>
      <c r="D1416" s="33"/>
      <c r="E1416" s="33"/>
      <c r="F1416" s="33"/>
      <c r="G1416" s="33"/>
      <c r="H1416" s="33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</row>
    <row r="1417">
      <c r="A1417" s="33"/>
      <c r="B1417" s="33"/>
      <c r="C1417" s="33"/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  <c r="AB1417" s="33"/>
      <c r="AC1417" s="33"/>
      <c r="AD1417" s="33"/>
      <c r="AE1417" s="33"/>
      <c r="AF1417" s="33"/>
      <c r="AG1417" s="33"/>
      <c r="AH1417" s="33"/>
      <c r="AI1417" s="33"/>
      <c r="AJ1417" s="33"/>
      <c r="AK1417" s="33"/>
    </row>
    <row r="1418">
      <c r="A1418" s="33"/>
      <c r="B1418" s="33"/>
      <c r="C1418" s="33"/>
      <c r="D1418" s="33"/>
      <c r="E1418" s="33"/>
      <c r="F1418" s="33"/>
      <c r="G1418" s="33"/>
      <c r="H1418" s="33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  <c r="AB1418" s="33"/>
      <c r="AC1418" s="33"/>
      <c r="AD1418" s="33"/>
      <c r="AE1418" s="33"/>
      <c r="AF1418" s="33"/>
      <c r="AG1418" s="33"/>
      <c r="AH1418" s="33"/>
      <c r="AI1418" s="33"/>
      <c r="AJ1418" s="33"/>
      <c r="AK1418" s="33"/>
    </row>
    <row r="1419">
      <c r="A1419" s="33"/>
      <c r="B1419" s="33"/>
      <c r="C1419" s="33"/>
      <c r="D1419" s="33"/>
      <c r="E1419" s="33"/>
      <c r="F1419" s="33"/>
      <c r="G1419" s="33"/>
      <c r="H1419" s="33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  <c r="AB1419" s="33"/>
      <c r="AC1419" s="33"/>
      <c r="AD1419" s="33"/>
      <c r="AE1419" s="33"/>
      <c r="AF1419" s="33"/>
      <c r="AG1419" s="33"/>
      <c r="AH1419" s="33"/>
      <c r="AI1419" s="33"/>
      <c r="AJ1419" s="33"/>
      <c r="AK1419" s="33"/>
    </row>
    <row r="1420">
      <c r="A1420" s="33"/>
      <c r="B1420" s="33"/>
      <c r="C1420" s="33"/>
      <c r="D1420" s="33"/>
      <c r="E1420" s="33"/>
      <c r="F1420" s="33"/>
      <c r="G1420" s="33"/>
      <c r="H1420" s="33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</row>
    <row r="1421">
      <c r="A1421" s="33"/>
      <c r="B1421" s="33"/>
      <c r="C1421" s="33"/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</row>
    <row r="1422">
      <c r="A1422" s="33"/>
      <c r="B1422" s="33"/>
      <c r="C1422" s="33"/>
      <c r="D1422" s="33"/>
      <c r="E1422" s="33"/>
      <c r="F1422" s="33"/>
      <c r="G1422" s="33"/>
      <c r="H1422" s="33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</row>
    <row r="1423">
      <c r="A1423" s="33"/>
      <c r="B1423" s="33"/>
      <c r="C1423" s="33"/>
      <c r="D1423" s="33"/>
      <c r="E1423" s="33"/>
      <c r="F1423" s="33"/>
      <c r="G1423" s="33"/>
      <c r="H1423" s="33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  <c r="AB1423" s="33"/>
      <c r="AC1423" s="33"/>
      <c r="AD1423" s="33"/>
      <c r="AE1423" s="33"/>
      <c r="AF1423" s="33"/>
      <c r="AG1423" s="33"/>
      <c r="AH1423" s="33"/>
      <c r="AI1423" s="33"/>
      <c r="AJ1423" s="33"/>
      <c r="AK1423" s="33"/>
    </row>
    <row r="1424">
      <c r="A1424" s="33"/>
      <c r="B1424" s="33"/>
      <c r="C1424" s="33"/>
      <c r="D1424" s="33"/>
      <c r="E1424" s="33"/>
      <c r="F1424" s="33"/>
      <c r="G1424" s="33"/>
      <c r="H1424" s="33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  <c r="AB1424" s="33"/>
      <c r="AC1424" s="33"/>
      <c r="AD1424" s="33"/>
      <c r="AE1424" s="33"/>
      <c r="AF1424" s="33"/>
      <c r="AG1424" s="33"/>
      <c r="AH1424" s="33"/>
      <c r="AI1424" s="33"/>
      <c r="AJ1424" s="33"/>
      <c r="AK1424" s="33"/>
    </row>
    <row r="1425">
      <c r="A1425" s="33"/>
      <c r="B1425" s="33"/>
      <c r="C1425" s="33"/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</row>
    <row r="1426">
      <c r="A1426" s="33"/>
      <c r="B1426" s="33"/>
      <c r="C1426" s="33"/>
      <c r="D1426" s="33"/>
      <c r="E1426" s="33"/>
      <c r="F1426" s="33"/>
      <c r="G1426" s="33"/>
      <c r="H1426" s="33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  <c r="AB1426" s="33"/>
      <c r="AC1426" s="33"/>
      <c r="AD1426" s="33"/>
      <c r="AE1426" s="33"/>
      <c r="AF1426" s="33"/>
      <c r="AG1426" s="33"/>
      <c r="AH1426" s="33"/>
      <c r="AI1426" s="33"/>
      <c r="AJ1426" s="33"/>
      <c r="AK1426" s="33"/>
    </row>
    <row r="1427">
      <c r="A1427" s="33"/>
      <c r="B1427" s="33"/>
      <c r="C1427" s="33"/>
      <c r="D1427" s="33"/>
      <c r="E1427" s="33"/>
      <c r="F1427" s="33"/>
      <c r="G1427" s="33"/>
      <c r="H1427" s="33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</row>
    <row r="1428">
      <c r="A1428" s="33"/>
      <c r="B1428" s="33"/>
      <c r="C1428" s="33"/>
      <c r="D1428" s="33"/>
      <c r="E1428" s="33"/>
      <c r="F1428" s="33"/>
      <c r="G1428" s="33"/>
      <c r="H1428" s="33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</row>
    <row r="1429">
      <c r="A1429" s="33"/>
      <c r="B1429" s="33"/>
      <c r="C1429" s="33"/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  <c r="AB1429" s="33"/>
      <c r="AC1429" s="33"/>
      <c r="AD1429" s="33"/>
      <c r="AE1429" s="33"/>
      <c r="AF1429" s="33"/>
      <c r="AG1429" s="33"/>
      <c r="AH1429" s="33"/>
      <c r="AI1429" s="33"/>
      <c r="AJ1429" s="33"/>
      <c r="AK1429" s="33"/>
    </row>
    <row r="1430">
      <c r="A1430" s="33"/>
      <c r="B1430" s="33"/>
      <c r="C1430" s="33"/>
      <c r="D1430" s="33"/>
      <c r="E1430" s="33"/>
      <c r="F1430" s="33"/>
      <c r="G1430" s="33"/>
      <c r="H1430" s="33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</row>
    <row r="1431">
      <c r="A1431" s="33"/>
      <c r="B1431" s="33"/>
      <c r="C1431" s="33"/>
      <c r="D1431" s="33"/>
      <c r="E1431" s="33"/>
      <c r="F1431" s="33"/>
      <c r="G1431" s="33"/>
      <c r="H1431" s="33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</row>
    <row r="1432">
      <c r="A1432" s="33"/>
      <c r="B1432" s="33"/>
      <c r="C1432" s="33"/>
      <c r="D1432" s="33"/>
      <c r="E1432" s="33"/>
      <c r="F1432" s="33"/>
      <c r="G1432" s="33"/>
      <c r="H1432" s="33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</row>
    <row r="1433">
      <c r="A1433" s="33"/>
      <c r="B1433" s="33"/>
      <c r="C1433" s="33"/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</row>
    <row r="1434">
      <c r="A1434" s="33"/>
      <c r="B1434" s="33"/>
      <c r="C1434" s="33"/>
      <c r="D1434" s="33"/>
      <c r="E1434" s="33"/>
      <c r="F1434" s="33"/>
      <c r="G1434" s="33"/>
      <c r="H1434" s="33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</row>
    <row r="1435">
      <c r="A1435" s="33"/>
      <c r="B1435" s="33"/>
      <c r="C1435" s="33"/>
      <c r="D1435" s="33"/>
      <c r="E1435" s="33"/>
      <c r="F1435" s="33"/>
      <c r="G1435" s="33"/>
      <c r="H1435" s="33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</row>
    <row r="1436">
      <c r="A1436" s="33"/>
      <c r="B1436" s="33"/>
      <c r="C1436" s="33"/>
      <c r="D1436" s="33"/>
      <c r="E1436" s="33"/>
      <c r="F1436" s="33"/>
      <c r="G1436" s="33"/>
      <c r="H1436" s="33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/>
      <c r="AC1436" s="33"/>
      <c r="AD1436" s="33"/>
      <c r="AE1436" s="33"/>
      <c r="AF1436" s="33"/>
      <c r="AG1436" s="33"/>
      <c r="AH1436" s="33"/>
      <c r="AI1436" s="33"/>
      <c r="AJ1436" s="33"/>
      <c r="AK1436" s="33"/>
    </row>
    <row r="1437">
      <c r="A1437" s="33"/>
      <c r="B1437" s="33"/>
      <c r="C1437" s="33"/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</row>
    <row r="1438">
      <c r="A1438" s="33"/>
      <c r="B1438" s="33"/>
      <c r="C1438" s="33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  <c r="AB1438" s="33"/>
      <c r="AC1438" s="33"/>
      <c r="AD1438" s="33"/>
      <c r="AE1438" s="33"/>
      <c r="AF1438" s="33"/>
      <c r="AG1438" s="33"/>
      <c r="AH1438" s="33"/>
      <c r="AI1438" s="33"/>
      <c r="AJ1438" s="33"/>
      <c r="AK1438" s="33"/>
    </row>
    <row r="1439">
      <c r="A1439" s="33"/>
      <c r="B1439" s="33"/>
      <c r="C1439" s="33"/>
      <c r="D1439" s="33"/>
      <c r="E1439" s="33"/>
      <c r="F1439" s="33"/>
      <c r="G1439" s="33"/>
      <c r="H1439" s="33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</row>
    <row r="1440">
      <c r="A1440" s="33"/>
      <c r="B1440" s="33"/>
      <c r="C1440" s="33"/>
      <c r="D1440" s="33"/>
      <c r="E1440" s="33"/>
      <c r="F1440" s="33"/>
      <c r="G1440" s="33"/>
      <c r="H1440" s="33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  <c r="AB1440" s="33"/>
      <c r="AC1440" s="33"/>
      <c r="AD1440" s="33"/>
      <c r="AE1440" s="33"/>
      <c r="AF1440" s="33"/>
      <c r="AG1440" s="33"/>
      <c r="AH1440" s="33"/>
      <c r="AI1440" s="33"/>
      <c r="AJ1440" s="33"/>
      <c r="AK1440" s="33"/>
    </row>
    <row r="1441">
      <c r="A1441" s="33"/>
      <c r="B1441" s="33"/>
      <c r="C1441" s="33"/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</row>
    <row r="1442">
      <c r="A1442" s="33"/>
      <c r="B1442" s="33"/>
      <c r="C1442" s="33"/>
      <c r="D1442" s="33"/>
      <c r="E1442" s="33"/>
      <c r="F1442" s="33"/>
      <c r="G1442" s="33"/>
      <c r="H1442" s="33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  <c r="AB1442" s="33"/>
      <c r="AC1442" s="33"/>
      <c r="AD1442" s="33"/>
      <c r="AE1442" s="33"/>
      <c r="AF1442" s="33"/>
      <c r="AG1442" s="33"/>
      <c r="AH1442" s="33"/>
      <c r="AI1442" s="33"/>
      <c r="AJ1442" s="33"/>
      <c r="AK1442" s="33"/>
    </row>
    <row r="1443">
      <c r="A1443" s="33"/>
      <c r="B1443" s="33"/>
      <c r="C1443" s="33"/>
      <c r="D1443" s="33"/>
      <c r="E1443" s="33"/>
      <c r="F1443" s="33"/>
      <c r="G1443" s="33"/>
      <c r="H1443" s="33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  <c r="AB1443" s="33"/>
      <c r="AC1443" s="33"/>
      <c r="AD1443" s="33"/>
      <c r="AE1443" s="33"/>
      <c r="AF1443" s="33"/>
      <c r="AG1443" s="33"/>
      <c r="AH1443" s="33"/>
      <c r="AI1443" s="33"/>
      <c r="AJ1443" s="33"/>
      <c r="AK1443" s="33"/>
    </row>
    <row r="1444">
      <c r="A1444" s="33"/>
      <c r="B1444" s="33"/>
      <c r="C1444" s="33"/>
      <c r="D1444" s="33"/>
      <c r="E1444" s="33"/>
      <c r="F1444" s="33"/>
      <c r="G1444" s="33"/>
      <c r="H1444" s="33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  <c r="AB1444" s="33"/>
      <c r="AC1444" s="33"/>
      <c r="AD1444" s="33"/>
      <c r="AE1444" s="33"/>
      <c r="AF1444" s="33"/>
      <c r="AG1444" s="33"/>
      <c r="AH1444" s="33"/>
      <c r="AI1444" s="33"/>
      <c r="AJ1444" s="33"/>
      <c r="AK1444" s="33"/>
    </row>
    <row r="1445">
      <c r="A1445" s="33"/>
      <c r="B1445" s="33"/>
      <c r="C1445" s="33"/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</row>
    <row r="1446">
      <c r="A1446" s="33"/>
      <c r="B1446" s="33"/>
      <c r="C1446" s="33"/>
      <c r="D1446" s="33"/>
      <c r="E1446" s="33"/>
      <c r="F1446" s="33"/>
      <c r="G1446" s="33"/>
      <c r="H1446" s="33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  <c r="AB1446" s="33"/>
      <c r="AC1446" s="33"/>
      <c r="AD1446" s="33"/>
      <c r="AE1446" s="33"/>
      <c r="AF1446" s="33"/>
      <c r="AG1446" s="33"/>
      <c r="AH1446" s="33"/>
      <c r="AI1446" s="33"/>
      <c r="AJ1446" s="33"/>
      <c r="AK1446" s="33"/>
    </row>
    <row r="1447">
      <c r="A1447" s="33"/>
      <c r="B1447" s="33"/>
      <c r="C1447" s="33"/>
      <c r="D1447" s="33"/>
      <c r="E1447" s="33"/>
      <c r="F1447" s="33"/>
      <c r="G1447" s="33"/>
      <c r="H1447" s="33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  <c r="AB1447" s="33"/>
      <c r="AC1447" s="33"/>
      <c r="AD1447" s="33"/>
      <c r="AE1447" s="33"/>
      <c r="AF1447" s="33"/>
      <c r="AG1447" s="33"/>
      <c r="AH1447" s="33"/>
      <c r="AI1447" s="33"/>
      <c r="AJ1447" s="33"/>
      <c r="AK1447" s="33"/>
    </row>
    <row r="1448">
      <c r="A1448" s="33"/>
      <c r="B1448" s="33"/>
      <c r="C1448" s="33"/>
      <c r="D1448" s="33"/>
      <c r="E1448" s="33"/>
      <c r="F1448" s="33"/>
      <c r="G1448" s="33"/>
      <c r="H1448" s="33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</row>
    <row r="1449">
      <c r="A1449" s="33"/>
      <c r="B1449" s="33"/>
      <c r="C1449" s="33"/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</row>
    <row r="1450">
      <c r="A1450" s="33"/>
      <c r="B1450" s="33"/>
      <c r="C1450" s="33"/>
      <c r="D1450" s="33"/>
      <c r="E1450" s="33"/>
      <c r="F1450" s="33"/>
      <c r="G1450" s="33"/>
      <c r="H1450" s="33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  <c r="AB1450" s="33"/>
      <c r="AC1450" s="33"/>
      <c r="AD1450" s="33"/>
      <c r="AE1450" s="33"/>
      <c r="AF1450" s="33"/>
      <c r="AG1450" s="33"/>
      <c r="AH1450" s="33"/>
      <c r="AI1450" s="33"/>
      <c r="AJ1450" s="33"/>
      <c r="AK1450" s="33"/>
    </row>
    <row r="1451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</row>
    <row r="1452">
      <c r="A1452" s="33"/>
      <c r="B1452" s="33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</row>
    <row r="1453">
      <c r="A1453" s="33"/>
      <c r="B1453" s="33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</row>
    <row r="1454">
      <c r="A1454" s="33"/>
      <c r="B1454" s="33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</row>
    <row r="1455">
      <c r="A1455" s="33"/>
      <c r="B1455" s="33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</row>
    <row r="1456">
      <c r="A1456" s="33"/>
      <c r="B1456" s="33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</row>
    <row r="1457">
      <c r="A1457" s="33"/>
      <c r="B1457" s="33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</row>
    <row r="1458">
      <c r="A1458" s="33"/>
      <c r="B1458" s="33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</row>
    <row r="1459">
      <c r="A1459" s="33"/>
      <c r="B1459" s="33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</row>
    <row r="1460">
      <c r="A1460" s="33"/>
      <c r="B1460" s="33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</row>
    <row r="1461">
      <c r="A1461" s="33"/>
      <c r="B1461" s="33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</row>
    <row r="1462">
      <c r="A1462" s="33"/>
      <c r="B1462" s="33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</row>
    <row r="1463">
      <c r="A1463" s="33"/>
      <c r="B1463" s="33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</row>
    <row r="1464">
      <c r="A1464" s="33"/>
      <c r="B1464" s="33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</row>
    <row r="1465">
      <c r="A1465" s="33"/>
      <c r="B1465" s="33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</row>
    <row r="1466">
      <c r="A1466" s="33"/>
      <c r="B1466" s="33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</row>
    <row r="1467">
      <c r="A1467" s="33"/>
      <c r="B1467" s="33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</row>
    <row r="1468">
      <c r="A1468" s="33"/>
      <c r="B1468" s="33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</row>
    <row r="1469">
      <c r="A1469" s="33"/>
      <c r="B1469" s="33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</row>
    <row r="1470">
      <c r="A1470" s="33"/>
      <c r="B1470" s="33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</row>
    <row r="1471">
      <c r="A1471" s="33"/>
      <c r="B1471" s="33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</row>
    <row r="1472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</row>
    <row r="1473">
      <c r="A1473" s="33"/>
      <c r="B1473" s="33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</row>
    <row r="1474">
      <c r="A1474" s="33"/>
      <c r="B1474" s="33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</row>
    <row r="1475">
      <c r="A1475" s="33"/>
      <c r="B1475" s="33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</row>
    <row r="1476">
      <c r="A1476" s="33"/>
      <c r="B1476" s="33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</row>
    <row r="1477">
      <c r="A1477" s="33"/>
      <c r="B1477" s="33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</row>
    <row r="1478">
      <c r="A1478" s="33"/>
      <c r="B1478" s="33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</row>
    <row r="1479">
      <c r="A1479" s="33"/>
      <c r="B1479" s="33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</row>
    <row r="1480">
      <c r="A1480" s="33"/>
      <c r="B1480" s="33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</row>
    <row r="1481">
      <c r="A1481" s="33"/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</row>
    <row r="1482">
      <c r="A1482" s="33"/>
      <c r="B1482" s="33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</row>
    <row r="1483">
      <c r="A1483" s="33"/>
      <c r="B1483" s="33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</row>
    <row r="1484">
      <c r="A1484" s="33"/>
      <c r="B1484" s="33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</row>
    <row r="1485">
      <c r="A1485" s="33"/>
      <c r="B1485" s="33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</row>
    <row r="1486">
      <c r="A1486" s="33"/>
      <c r="B1486" s="33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</row>
    <row r="1487">
      <c r="A1487" s="33"/>
      <c r="B1487" s="33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</row>
    <row r="1488">
      <c r="A1488" s="33"/>
      <c r="B1488" s="33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</row>
    <row r="1489">
      <c r="A1489" s="33"/>
      <c r="B1489" s="33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</row>
    <row r="1490">
      <c r="A1490" s="33"/>
      <c r="B1490" s="33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</row>
    <row r="1491">
      <c r="A1491" s="33"/>
      <c r="B1491" s="33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</row>
    <row r="1492">
      <c r="A1492" s="33"/>
      <c r="B1492" s="33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</row>
    <row r="1493">
      <c r="A1493" s="33"/>
      <c r="B1493" s="33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</row>
    <row r="1494">
      <c r="A1494" s="33"/>
      <c r="B1494" s="33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</row>
    <row r="1495">
      <c r="A1495" s="33"/>
      <c r="B1495" s="33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</row>
    <row r="1496">
      <c r="A1496" s="33"/>
      <c r="B1496" s="33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</row>
    <row r="1497">
      <c r="A1497" s="33"/>
      <c r="B1497" s="33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</row>
    <row r="1498">
      <c r="A1498" s="33"/>
      <c r="B1498" s="33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</row>
    <row r="1499">
      <c r="A1499" s="33"/>
      <c r="B1499" s="33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</row>
    <row r="1500">
      <c r="A1500" s="33"/>
      <c r="B1500" s="33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</row>
    <row r="1501">
      <c r="A1501" s="33"/>
      <c r="B1501" s="33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</row>
    <row r="1502">
      <c r="A1502" s="33"/>
      <c r="B1502" s="33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</row>
    <row r="1503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</row>
    <row r="1504">
      <c r="A1504" s="33"/>
      <c r="B1504" s="33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</row>
    <row r="1505">
      <c r="A1505" s="33"/>
      <c r="B1505" s="33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</row>
    <row r="1506">
      <c r="A1506" s="33"/>
      <c r="B1506" s="33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</row>
    <row r="1507">
      <c r="A1507" s="33"/>
      <c r="B1507" s="33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</row>
    <row r="1508">
      <c r="A1508" s="33"/>
      <c r="B1508" s="33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</row>
    <row r="1509">
      <c r="A1509" s="33"/>
      <c r="B1509" s="33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</row>
    <row r="1510">
      <c r="A1510" s="33"/>
      <c r="B1510" s="33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</row>
    <row r="1511">
      <c r="A1511" s="33"/>
      <c r="B1511" s="33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</row>
    <row r="1512">
      <c r="A1512" s="33"/>
      <c r="B1512" s="33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</row>
    <row r="1513">
      <c r="A1513" s="33"/>
      <c r="B1513" s="33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</row>
    <row r="1514">
      <c r="A1514" s="33"/>
      <c r="B1514" s="33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</row>
    <row r="1515">
      <c r="A1515" s="33"/>
      <c r="B1515" s="33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</row>
    <row r="1516">
      <c r="A1516" s="33"/>
      <c r="B1516" s="33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</row>
    <row r="1517">
      <c r="A1517" s="33"/>
      <c r="B1517" s="33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</row>
    <row r="1518">
      <c r="A1518" s="33"/>
      <c r="B1518" s="33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</row>
    <row r="1519">
      <c r="A1519" s="33"/>
      <c r="B1519" s="33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</row>
    <row r="1520">
      <c r="A1520" s="33"/>
      <c r="B1520" s="33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</row>
    <row r="1521">
      <c r="A1521" s="33"/>
      <c r="B1521" s="33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</row>
    <row r="1522">
      <c r="A1522" s="33"/>
      <c r="B1522" s="33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</row>
    <row r="1523">
      <c r="A1523" s="33"/>
      <c r="B1523" s="33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</row>
    <row r="1524">
      <c r="A1524" s="33"/>
      <c r="B1524" s="33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</row>
    <row r="1525">
      <c r="A1525" s="33"/>
      <c r="B1525" s="33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</row>
    <row r="1526">
      <c r="A1526" s="33"/>
      <c r="B1526" s="33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</row>
    <row r="1527">
      <c r="A1527" s="33"/>
      <c r="B1527" s="33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</row>
    <row r="1528">
      <c r="A1528" s="33"/>
      <c r="B1528" s="33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</row>
    <row r="1529">
      <c r="A1529" s="33"/>
      <c r="B1529" s="33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</row>
    <row r="1530">
      <c r="A1530" s="33"/>
      <c r="B1530" s="33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</row>
    <row r="1531">
      <c r="A1531" s="33"/>
      <c r="B1531" s="33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</row>
    <row r="1532">
      <c r="A1532" s="33"/>
      <c r="B1532" s="33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</row>
    <row r="1533">
      <c r="A1533" s="33"/>
      <c r="B1533" s="33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</row>
    <row r="1534">
      <c r="A1534" s="33"/>
      <c r="B1534" s="33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</row>
    <row r="1535">
      <c r="A1535" s="33"/>
      <c r="B1535" s="33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</row>
    <row r="1536">
      <c r="A1536" s="33"/>
      <c r="B1536" s="33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</row>
    <row r="1537">
      <c r="A1537" s="33"/>
      <c r="B1537" s="33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</row>
    <row r="1538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</row>
    <row r="1539">
      <c r="A1539" s="33"/>
      <c r="B1539" s="33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</row>
    <row r="1540">
      <c r="A1540" s="33"/>
      <c r="B1540" s="33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</row>
    <row r="1541">
      <c r="A1541" s="33"/>
      <c r="B1541" s="33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</row>
    <row r="1542">
      <c r="A1542" s="33"/>
      <c r="B1542" s="33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</row>
    <row r="1543">
      <c r="A1543" s="33"/>
      <c r="B1543" s="33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</row>
    <row r="1544">
      <c r="A1544" s="33"/>
      <c r="B1544" s="33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</row>
    <row r="1545">
      <c r="A1545" s="33"/>
      <c r="B1545" s="33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</row>
    <row r="1546">
      <c r="A1546" s="33"/>
      <c r="B1546" s="33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</row>
    <row r="1547">
      <c r="A1547" s="33"/>
      <c r="B1547" s="33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</row>
    <row r="1548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</row>
    <row r="1549">
      <c r="A1549" s="33"/>
      <c r="B1549" s="33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</row>
    <row r="1550">
      <c r="A1550" s="33"/>
      <c r="B1550" s="33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</row>
    <row r="1551">
      <c r="A1551" s="33"/>
      <c r="B1551" s="33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</row>
    <row r="1552">
      <c r="A1552" s="33"/>
      <c r="B1552" s="33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</row>
    <row r="1553">
      <c r="A1553" s="33"/>
      <c r="B1553" s="33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</row>
    <row r="1554">
      <c r="A1554" s="33"/>
      <c r="B1554" s="33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</row>
    <row r="1555">
      <c r="A1555" s="33"/>
      <c r="B1555" s="33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</row>
    <row r="1556">
      <c r="A1556" s="33"/>
      <c r="B1556" s="33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</row>
    <row r="1557">
      <c r="A1557" s="33"/>
      <c r="B1557" s="33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</row>
    <row r="1558">
      <c r="A1558" s="33"/>
      <c r="B1558" s="33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</row>
    <row r="1559">
      <c r="A1559" s="33"/>
      <c r="B1559" s="33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</row>
    <row r="1560">
      <c r="A1560" s="33"/>
      <c r="B1560" s="33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</row>
    <row r="1561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</row>
    <row r="1562">
      <c r="A1562" s="33"/>
      <c r="B1562" s="33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</row>
    <row r="1563">
      <c r="A1563" s="33"/>
      <c r="B1563" s="33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</row>
    <row r="1564">
      <c r="A1564" s="33"/>
      <c r="B1564" s="33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</row>
    <row r="1565">
      <c r="A1565" s="33"/>
      <c r="B1565" s="33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</row>
    <row r="1566">
      <c r="A1566" s="33"/>
      <c r="B1566" s="33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</row>
    <row r="1567">
      <c r="A1567" s="33"/>
      <c r="B1567" s="33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</row>
    <row r="1568">
      <c r="A1568" s="33"/>
      <c r="B1568" s="33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</row>
    <row r="1569">
      <c r="A1569" s="33"/>
      <c r="B1569" s="33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</row>
    <row r="1570">
      <c r="A1570" s="33"/>
      <c r="B1570" s="33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</row>
    <row r="1571">
      <c r="A1571" s="33"/>
      <c r="B1571" s="33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</row>
    <row r="1572">
      <c r="A1572" s="33"/>
      <c r="B1572" s="33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</row>
    <row r="1573">
      <c r="A1573" s="33"/>
      <c r="B1573" s="33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</row>
    <row r="1574">
      <c r="A1574" s="33"/>
      <c r="B1574" s="33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</row>
    <row r="1575">
      <c r="A1575" s="33"/>
      <c r="B1575" s="33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</row>
    <row r="1576">
      <c r="A1576" s="33"/>
      <c r="B1576" s="33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</row>
    <row r="1577">
      <c r="A1577" s="33"/>
      <c r="B1577" s="33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</row>
    <row r="1578">
      <c r="A1578" s="33"/>
      <c r="B1578" s="33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</row>
    <row r="1579">
      <c r="A1579" s="33"/>
      <c r="B1579" s="33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</row>
    <row r="1580">
      <c r="A1580" s="33"/>
      <c r="B1580" s="33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</row>
    <row r="1581">
      <c r="A1581" s="33"/>
      <c r="B1581" s="33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</row>
    <row r="1582">
      <c r="A1582" s="33"/>
      <c r="B1582" s="33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</row>
    <row r="1583">
      <c r="A1583" s="33"/>
      <c r="B1583" s="33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</row>
    <row r="1584">
      <c r="A1584" s="33"/>
      <c r="B1584" s="33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</row>
    <row r="1585">
      <c r="A1585" s="33"/>
      <c r="B1585" s="33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</row>
    <row r="1586">
      <c r="A1586" s="33"/>
      <c r="B1586" s="33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</row>
    <row r="1587">
      <c r="A1587" s="33"/>
      <c r="B1587" s="33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</row>
    <row r="1588">
      <c r="A1588" s="33"/>
      <c r="B1588" s="33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</row>
    <row r="1589">
      <c r="A1589" s="33"/>
      <c r="B1589" s="33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</row>
    <row r="1590">
      <c r="A1590" s="33"/>
      <c r="B1590" s="33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</row>
    <row r="1591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</row>
    <row r="1592">
      <c r="A1592" s="33"/>
      <c r="B1592" s="33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</row>
    <row r="1593">
      <c r="A1593" s="33"/>
      <c r="B1593" s="33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</row>
    <row r="1594">
      <c r="A1594" s="33"/>
      <c r="B1594" s="33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</row>
    <row r="1595">
      <c r="A1595" s="33"/>
      <c r="B1595" s="33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</row>
    <row r="1596">
      <c r="A1596" s="33"/>
      <c r="B1596" s="33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</row>
    <row r="1597">
      <c r="A1597" s="33"/>
      <c r="B1597" s="33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</row>
    <row r="1598">
      <c r="A1598" s="33"/>
      <c r="B1598" s="33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</row>
    <row r="1599">
      <c r="A1599" s="33"/>
      <c r="B1599" s="33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</row>
    <row r="1600">
      <c r="A1600" s="33"/>
      <c r="B1600" s="33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</row>
    <row r="1601">
      <c r="A1601" s="33"/>
      <c r="B1601" s="33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</row>
    <row r="1602">
      <c r="A1602" s="33"/>
      <c r="B1602" s="33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</row>
    <row r="1603">
      <c r="A1603" s="33"/>
      <c r="B1603" s="33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</row>
    <row r="1604">
      <c r="A1604" s="33"/>
      <c r="B1604" s="33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</row>
    <row r="1605">
      <c r="A1605" s="33"/>
      <c r="B1605" s="33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</row>
    <row r="1606">
      <c r="A1606" s="33"/>
      <c r="B1606" s="33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</row>
    <row r="1607">
      <c r="A1607" s="33"/>
      <c r="B1607" s="33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</row>
    <row r="1608">
      <c r="A1608" s="33"/>
      <c r="B1608" s="33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</row>
    <row r="1609">
      <c r="A1609" s="33"/>
      <c r="B1609" s="33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</row>
    <row r="1610">
      <c r="A1610" s="33"/>
      <c r="B1610" s="33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</row>
    <row r="1611">
      <c r="A1611" s="33"/>
      <c r="B1611" s="33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</row>
    <row r="1612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</row>
    <row r="1613">
      <c r="A1613" s="33"/>
      <c r="B1613" s="33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</row>
    <row r="1614">
      <c r="A1614" s="33"/>
      <c r="B1614" s="33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</row>
    <row r="1615">
      <c r="A1615" s="33"/>
      <c r="B1615" s="33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</row>
    <row r="1616">
      <c r="A1616" s="33"/>
      <c r="B1616" s="33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</row>
    <row r="1617">
      <c r="A1617" s="33"/>
      <c r="B1617" s="33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</row>
    <row r="1618">
      <c r="A1618" s="33"/>
      <c r="B1618" s="33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</row>
    <row r="1619">
      <c r="A1619" s="33"/>
      <c r="B1619" s="33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</row>
    <row r="1620">
      <c r="A1620" s="33"/>
      <c r="B1620" s="33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</row>
    <row r="1621">
      <c r="A1621" s="33"/>
      <c r="B1621" s="33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</row>
    <row r="1622">
      <c r="A1622" s="33"/>
      <c r="B1622" s="33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</row>
    <row r="1623">
      <c r="A1623" s="33"/>
      <c r="B1623" s="33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</row>
    <row r="1624">
      <c r="A1624" s="33"/>
      <c r="B1624" s="33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</row>
    <row r="1625">
      <c r="A1625" s="33"/>
      <c r="B1625" s="33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</row>
    <row r="1626">
      <c r="A1626" s="33"/>
      <c r="B1626" s="33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</row>
    <row r="1627">
      <c r="A1627" s="33"/>
      <c r="B1627" s="33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</row>
    <row r="1628">
      <c r="A1628" s="33"/>
      <c r="B1628" s="33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</row>
    <row r="1629">
      <c r="A1629" s="33"/>
      <c r="B1629" s="33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</row>
    <row r="1630">
      <c r="A1630" s="33"/>
      <c r="B1630" s="33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</row>
    <row r="1631">
      <c r="A1631" s="33"/>
      <c r="B1631" s="33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</row>
    <row r="1632">
      <c r="A1632" s="33"/>
      <c r="B1632" s="33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</row>
    <row r="1633">
      <c r="A1633" s="33"/>
      <c r="B1633" s="33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</row>
    <row r="1634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</row>
    <row r="1635">
      <c r="A1635" s="33"/>
      <c r="B1635" s="33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</row>
    <row r="1636">
      <c r="A1636" s="33"/>
      <c r="B1636" s="33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</row>
    <row r="1637">
      <c r="A1637" s="33"/>
      <c r="B1637" s="33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</row>
    <row r="1638">
      <c r="A1638" s="33"/>
      <c r="B1638" s="33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</row>
    <row r="1639">
      <c r="A1639" s="33"/>
      <c r="B1639" s="33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</row>
    <row r="1640">
      <c r="A1640" s="33"/>
      <c r="B1640" s="33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</row>
    <row r="1641">
      <c r="A1641" s="33"/>
      <c r="B1641" s="33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</row>
    <row r="1642">
      <c r="A1642" s="33"/>
      <c r="B1642" s="33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</row>
    <row r="1643">
      <c r="A1643" s="33"/>
      <c r="B1643" s="33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</row>
    <row r="1644">
      <c r="A1644" s="33"/>
      <c r="B1644" s="33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</row>
    <row r="164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</row>
    <row r="1646">
      <c r="A1646" s="33"/>
      <c r="B1646" s="33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</row>
    <row r="1647">
      <c r="A1647" s="33"/>
      <c r="B1647" s="33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</row>
    <row r="1648">
      <c r="A1648" s="33"/>
      <c r="B1648" s="33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</row>
    <row r="1649">
      <c r="A1649" s="33"/>
      <c r="B1649" s="33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</row>
    <row r="1650">
      <c r="A1650" s="33"/>
      <c r="B1650" s="33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</row>
    <row r="1651">
      <c r="A1651" s="33"/>
      <c r="B1651" s="33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</row>
    <row r="1652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</row>
    <row r="1653">
      <c r="A1653" s="33"/>
      <c r="B1653" s="33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</row>
    <row r="1654">
      <c r="A1654" s="33"/>
      <c r="B1654" s="33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</row>
    <row r="1655">
      <c r="A1655" s="33"/>
      <c r="B1655" s="33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</row>
    <row r="1656">
      <c r="A1656" s="33"/>
      <c r="B1656" s="33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</row>
    <row r="1657">
      <c r="A1657" s="33"/>
      <c r="B1657" s="33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</row>
    <row r="1658">
      <c r="A1658" s="33"/>
      <c r="B1658" s="33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</row>
    <row r="1659">
      <c r="A1659" s="33"/>
      <c r="B1659" s="33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</row>
    <row r="1660">
      <c r="A1660" s="33"/>
      <c r="B1660" s="33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</row>
    <row r="1661">
      <c r="A1661" s="33"/>
      <c r="B1661" s="33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</row>
    <row r="1662">
      <c r="A1662" s="33"/>
      <c r="B1662" s="33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</row>
    <row r="1663">
      <c r="A1663" s="33"/>
      <c r="B1663" s="33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</row>
    <row r="1664">
      <c r="A1664" s="33"/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</row>
    <row r="1665">
      <c r="A1665" s="33"/>
      <c r="B1665" s="33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</row>
    <row r="1666">
      <c r="A1666" s="33"/>
      <c r="B1666" s="33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</row>
    <row r="1667">
      <c r="A1667" s="33"/>
      <c r="B1667" s="33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</row>
    <row r="1668">
      <c r="A1668" s="33"/>
      <c r="B1668" s="33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</row>
    <row r="1669">
      <c r="A1669" s="33"/>
      <c r="B1669" s="33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</row>
    <row r="1670">
      <c r="A1670" s="33"/>
      <c r="B1670" s="33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</row>
    <row r="1671">
      <c r="A1671" s="33"/>
      <c r="B1671" s="33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</row>
    <row r="1672">
      <c r="A1672" s="33"/>
      <c r="B1672" s="33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</row>
    <row r="1673">
      <c r="A1673" s="33"/>
      <c r="B1673" s="33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</row>
    <row r="1674">
      <c r="A1674" s="33"/>
      <c r="B1674" s="33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</row>
    <row r="1675">
      <c r="A1675" s="33"/>
      <c r="B1675" s="33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</row>
    <row r="1676">
      <c r="A1676" s="33"/>
      <c r="B1676" s="33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</row>
    <row r="1677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</row>
    <row r="1678">
      <c r="A1678" s="33"/>
      <c r="B1678" s="33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</row>
    <row r="1679">
      <c r="A1679" s="33"/>
      <c r="B1679" s="33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</row>
    <row r="1680">
      <c r="A1680" s="33"/>
      <c r="B1680" s="33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</row>
    <row r="1681">
      <c r="A1681" s="33"/>
      <c r="B1681" s="33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</row>
    <row r="1682">
      <c r="A1682" s="33"/>
      <c r="B1682" s="33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</row>
    <row r="1683">
      <c r="A1683" s="33"/>
      <c r="B1683" s="33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</row>
    <row r="1684">
      <c r="A1684" s="33"/>
      <c r="B1684" s="33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</row>
    <row r="1685">
      <c r="A1685" s="33"/>
      <c r="B1685" s="33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</row>
    <row r="1686">
      <c r="A1686" s="33"/>
      <c r="B1686" s="33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</row>
    <row r="1687">
      <c r="A1687" s="33"/>
      <c r="B1687" s="33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</row>
    <row r="1688">
      <c r="A1688" s="33"/>
      <c r="B1688" s="33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</row>
    <row r="1689">
      <c r="A1689" s="33"/>
      <c r="B1689" s="33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</row>
    <row r="1690">
      <c r="A1690" s="33"/>
      <c r="B1690" s="33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</row>
    <row r="1691">
      <c r="A1691" s="33"/>
      <c r="B1691" s="33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</row>
    <row r="1692">
      <c r="A1692" s="33"/>
      <c r="B1692" s="33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</row>
    <row r="1693">
      <c r="A1693" s="33"/>
      <c r="B1693" s="33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</row>
    <row r="1694">
      <c r="A1694" s="33"/>
      <c r="B1694" s="33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</row>
    <row r="1695">
      <c r="A1695" s="33"/>
      <c r="B1695" s="33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</row>
    <row r="1696">
      <c r="A1696" s="33"/>
      <c r="B1696" s="33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</row>
    <row r="1697">
      <c r="A1697" s="33"/>
      <c r="B1697" s="33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</row>
    <row r="1698">
      <c r="A1698" s="33"/>
      <c r="B1698" s="33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</row>
    <row r="1699">
      <c r="A1699" s="33"/>
      <c r="B1699" s="33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</row>
    <row r="1700">
      <c r="A1700" s="33"/>
      <c r="B1700" s="33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</row>
    <row r="1701">
      <c r="A1701" s="33"/>
      <c r="B1701" s="33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</row>
    <row r="1702">
      <c r="A1702" s="33"/>
      <c r="B1702" s="33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</row>
    <row r="1703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</row>
    <row r="1704">
      <c r="A1704" s="33"/>
      <c r="B1704" s="33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</row>
    <row r="1705">
      <c r="A1705" s="33"/>
      <c r="B1705" s="33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</row>
    <row r="1706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</row>
    <row r="1707">
      <c r="A1707" s="33"/>
      <c r="B1707" s="33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</row>
    <row r="1708">
      <c r="A1708" s="33"/>
      <c r="B1708" s="33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</row>
    <row r="1709">
      <c r="A1709" s="33"/>
      <c r="B1709" s="33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</row>
    <row r="1710">
      <c r="A1710" s="33"/>
      <c r="B1710" s="33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</row>
    <row r="1711">
      <c r="A1711" s="33"/>
      <c r="B1711" s="33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</row>
    <row r="1712">
      <c r="A1712" s="33"/>
      <c r="B1712" s="33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</row>
    <row r="1713">
      <c r="A1713" s="33"/>
      <c r="B1713" s="33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</row>
    <row r="1714">
      <c r="A1714" s="33"/>
      <c r="B1714" s="33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</row>
    <row r="1715">
      <c r="A1715" s="33"/>
      <c r="B1715" s="33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</row>
    <row r="1716">
      <c r="A1716" s="33"/>
      <c r="B1716" s="33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</row>
    <row r="1717">
      <c r="A1717" s="33"/>
      <c r="B1717" s="33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</row>
    <row r="1718">
      <c r="A1718" s="33"/>
      <c r="B1718" s="33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</row>
    <row r="1719">
      <c r="A1719" s="33"/>
      <c r="B1719" s="33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</row>
    <row r="1720">
      <c r="A1720" s="33"/>
      <c r="B1720" s="33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</row>
    <row r="1721">
      <c r="A1721" s="33"/>
      <c r="B1721" s="33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</row>
    <row r="1722">
      <c r="A1722" s="33"/>
      <c r="B1722" s="33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</row>
    <row r="1723">
      <c r="A1723" s="33"/>
      <c r="B1723" s="33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</row>
    <row r="1724">
      <c r="A1724" s="33"/>
      <c r="B1724" s="33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</row>
    <row r="1725">
      <c r="A1725" s="33"/>
      <c r="B1725" s="33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</row>
    <row r="1726">
      <c r="A1726" s="33"/>
      <c r="B1726" s="33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</row>
    <row r="1727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</row>
    <row r="1728">
      <c r="A1728" s="33"/>
      <c r="B1728" s="33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</row>
    <row r="1729">
      <c r="A1729" s="33"/>
      <c r="B1729" s="33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</row>
    <row r="1730">
      <c r="A1730" s="33"/>
      <c r="B1730" s="33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</row>
    <row r="1731">
      <c r="A1731" s="33"/>
      <c r="B1731" s="33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</row>
    <row r="1732">
      <c r="A1732" s="33"/>
      <c r="B1732" s="33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</row>
    <row r="1733">
      <c r="A1733" s="33"/>
      <c r="B1733" s="33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</row>
    <row r="1734">
      <c r="A1734" s="33"/>
      <c r="B1734" s="33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</row>
    <row r="1735">
      <c r="A1735" s="33"/>
      <c r="B1735" s="33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</row>
    <row r="1736">
      <c r="A1736" s="33"/>
      <c r="B1736" s="33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</row>
    <row r="1737">
      <c r="A1737" s="33"/>
      <c r="B1737" s="33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</row>
    <row r="1738">
      <c r="A1738" s="33"/>
      <c r="B1738" s="33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</row>
    <row r="1739">
      <c r="A1739" s="33"/>
      <c r="B1739" s="33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</row>
    <row r="1740">
      <c r="A1740" s="33"/>
      <c r="B1740" s="33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</row>
    <row r="1741">
      <c r="A1741" s="33"/>
      <c r="B1741" s="33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</row>
    <row r="1742">
      <c r="A1742" s="33"/>
      <c r="B1742" s="33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</row>
    <row r="1743">
      <c r="A1743" s="33"/>
      <c r="B1743" s="33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</row>
    <row r="1744">
      <c r="A1744" s="33"/>
      <c r="B1744" s="33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</row>
    <row r="1745">
      <c r="A1745" s="33"/>
      <c r="B1745" s="33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</row>
    <row r="1746">
      <c r="A1746" s="33"/>
      <c r="B1746" s="33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</row>
    <row r="1747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</row>
    <row r="1748">
      <c r="A1748" s="33"/>
      <c r="B1748" s="33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</row>
    <row r="1749">
      <c r="A1749" s="33"/>
      <c r="B1749" s="33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</row>
    <row r="1750">
      <c r="A1750" s="33"/>
      <c r="B1750" s="33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</row>
    <row r="1751">
      <c r="A1751" s="33"/>
      <c r="B1751" s="33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</row>
    <row r="1752">
      <c r="A1752" s="33"/>
      <c r="B1752" s="33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</row>
    <row r="1753">
      <c r="A1753" s="33"/>
      <c r="B1753" s="33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</row>
    <row r="1754">
      <c r="A1754" s="33"/>
      <c r="B1754" s="33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</row>
    <row r="1755">
      <c r="A1755" s="33"/>
      <c r="B1755" s="33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</row>
    <row r="1756">
      <c r="A1756" s="33"/>
      <c r="B1756" s="33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</row>
    <row r="1757">
      <c r="A1757" s="33"/>
      <c r="B1757" s="33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</row>
    <row r="1758">
      <c r="A1758" s="33"/>
      <c r="B1758" s="33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</row>
    <row r="1759">
      <c r="A1759" s="33"/>
      <c r="B1759" s="33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</row>
    <row r="1760">
      <c r="A1760" s="33"/>
      <c r="B1760" s="33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</row>
    <row r="1761">
      <c r="A1761" s="33"/>
      <c r="B1761" s="33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</row>
    <row r="1762">
      <c r="A1762" s="33"/>
      <c r="B1762" s="33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</row>
    <row r="1763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</row>
    <row r="1764">
      <c r="A1764" s="33"/>
      <c r="B1764" s="33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</row>
    <row r="1765">
      <c r="A1765" s="33"/>
      <c r="B1765" s="33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</row>
    <row r="1766">
      <c r="A1766" s="33"/>
      <c r="B1766" s="33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</row>
    <row r="1767">
      <c r="A1767" s="33"/>
      <c r="B1767" s="33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</row>
    <row r="1768">
      <c r="A1768" s="33"/>
      <c r="B1768" s="33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</row>
    <row r="1769">
      <c r="A1769" s="33"/>
      <c r="B1769" s="33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</row>
    <row r="1770">
      <c r="A1770" s="33"/>
      <c r="B1770" s="33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</row>
    <row r="1771">
      <c r="A1771" s="33"/>
      <c r="B1771" s="33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</row>
    <row r="1772">
      <c r="A1772" s="33"/>
      <c r="B1772" s="33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</row>
    <row r="1773">
      <c r="A1773" s="33"/>
      <c r="B1773" s="33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</row>
    <row r="1774">
      <c r="A1774" s="33"/>
      <c r="B1774" s="33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</row>
    <row r="1775">
      <c r="A1775" s="33"/>
      <c r="B1775" s="33"/>
      <c r="C1775" s="33"/>
      <c r="D1775" s="33"/>
      <c r="E1775" s="33"/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</row>
    <row r="1776">
      <c r="A1776" s="33"/>
      <c r="B1776" s="33"/>
      <c r="C1776" s="33"/>
      <c r="D1776" s="33"/>
      <c r="E1776" s="33"/>
      <c r="F1776" s="33"/>
      <c r="G1776" s="33"/>
      <c r="H1776" s="33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</row>
    <row r="1777">
      <c r="A1777" s="33"/>
      <c r="B1777" s="33"/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</row>
    <row r="1778">
      <c r="A1778" s="33"/>
      <c r="B1778" s="33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</row>
    <row r="1779">
      <c r="A1779" s="33"/>
      <c r="B1779" s="33"/>
      <c r="C1779" s="33"/>
      <c r="D1779" s="33"/>
      <c r="E1779" s="33"/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</row>
    <row r="1780">
      <c r="A1780" s="33"/>
      <c r="B1780" s="33"/>
      <c r="C1780" s="33"/>
      <c r="D1780" s="33"/>
      <c r="E1780" s="33"/>
      <c r="F1780" s="33"/>
      <c r="G1780" s="33"/>
      <c r="H1780" s="33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</row>
    <row r="1781">
      <c r="A1781" s="33"/>
      <c r="B1781" s="33"/>
      <c r="C1781" s="33"/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</row>
    <row r="1782">
      <c r="A1782" s="33"/>
      <c r="B1782" s="33"/>
      <c r="C1782" s="33"/>
      <c r="D1782" s="33"/>
      <c r="E1782" s="33"/>
      <c r="F1782" s="33"/>
      <c r="G1782" s="33"/>
      <c r="H1782" s="33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</row>
    <row r="1783">
      <c r="A1783" s="33"/>
      <c r="B1783" s="33"/>
      <c r="C1783" s="33"/>
      <c r="D1783" s="33"/>
      <c r="E1783" s="33"/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</row>
    <row r="1784">
      <c r="A1784" s="33"/>
      <c r="B1784" s="33"/>
      <c r="C1784" s="33"/>
      <c r="D1784" s="33"/>
      <c r="E1784" s="33"/>
      <c r="F1784" s="33"/>
      <c r="G1784" s="33"/>
      <c r="H1784" s="33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</row>
    <row r="1785">
      <c r="A1785" s="33"/>
      <c r="B1785" s="33"/>
      <c r="C1785" s="33"/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</row>
    <row r="1786">
      <c r="A1786" s="33"/>
      <c r="B1786" s="33"/>
      <c r="C1786" s="33"/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</row>
    <row r="1787">
      <c r="A1787" s="33"/>
      <c r="B1787" s="33"/>
      <c r="C1787" s="33"/>
      <c r="D1787" s="33"/>
      <c r="E1787" s="33"/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</row>
    <row r="1788">
      <c r="A1788" s="33"/>
      <c r="B1788" s="33"/>
      <c r="C1788" s="33"/>
      <c r="D1788" s="33"/>
      <c r="E1788" s="33"/>
      <c r="F1788" s="33"/>
      <c r="G1788" s="33"/>
      <c r="H1788" s="33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</row>
    <row r="1789">
      <c r="A1789" s="33"/>
      <c r="B1789" s="33"/>
      <c r="C1789" s="33"/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</row>
    <row r="1790">
      <c r="A1790" s="33"/>
      <c r="B1790" s="33"/>
      <c r="C1790" s="33"/>
      <c r="D1790" s="33"/>
      <c r="E1790" s="33"/>
      <c r="F1790" s="33"/>
      <c r="G1790" s="33"/>
      <c r="H1790" s="33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</row>
    <row r="1791">
      <c r="A1791" s="33"/>
      <c r="B1791" s="33"/>
      <c r="C1791" s="33"/>
      <c r="D1791" s="33"/>
      <c r="E1791" s="33"/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</row>
    <row r="1792">
      <c r="A1792" s="33"/>
      <c r="B1792" s="33"/>
      <c r="C1792" s="33"/>
      <c r="D1792" s="33"/>
      <c r="E1792" s="33"/>
      <c r="F1792" s="33"/>
      <c r="G1792" s="33"/>
      <c r="H1792" s="33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</row>
    <row r="1793">
      <c r="A1793" s="33"/>
      <c r="B1793" s="33"/>
      <c r="C1793" s="33"/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</row>
    <row r="1794">
      <c r="A1794" s="33"/>
      <c r="B1794" s="33"/>
      <c r="C1794" s="33"/>
      <c r="D1794" s="33"/>
      <c r="E1794" s="33"/>
      <c r="F1794" s="33"/>
      <c r="G1794" s="33"/>
      <c r="H1794" s="33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</row>
    <row r="1795">
      <c r="A1795" s="33"/>
      <c r="B1795" s="33"/>
      <c r="C1795" s="33"/>
      <c r="D1795" s="33"/>
      <c r="E1795" s="33"/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</row>
    <row r="1796">
      <c r="A1796" s="33"/>
      <c r="B1796" s="33"/>
      <c r="C1796" s="33"/>
      <c r="D1796" s="33"/>
      <c r="E1796" s="33"/>
      <c r="F1796" s="33"/>
      <c r="G1796" s="33"/>
      <c r="H1796" s="33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</row>
    <row r="1797">
      <c r="A1797" s="33"/>
      <c r="B1797" s="33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</row>
    <row r="1798">
      <c r="A1798" s="33"/>
      <c r="B1798" s="33"/>
      <c r="C1798" s="33"/>
      <c r="D1798" s="33"/>
      <c r="E1798" s="33"/>
      <c r="F1798" s="33"/>
      <c r="G1798" s="33"/>
      <c r="H1798" s="33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</row>
    <row r="1799">
      <c r="A1799" s="33"/>
      <c r="B1799" s="33"/>
      <c r="C1799" s="33"/>
      <c r="D1799" s="33"/>
      <c r="E1799" s="33"/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</row>
    <row r="1800">
      <c r="A1800" s="33"/>
      <c r="B1800" s="33"/>
      <c r="C1800" s="33"/>
      <c r="D1800" s="33"/>
      <c r="E1800" s="33"/>
      <c r="F1800" s="33"/>
      <c r="G1800" s="33"/>
      <c r="H1800" s="33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</row>
    <row r="1801">
      <c r="A1801" s="33"/>
      <c r="B1801" s="33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</row>
    <row r="1802">
      <c r="A1802" s="33"/>
      <c r="B1802" s="33"/>
      <c r="C1802" s="33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</row>
    <row r="1803">
      <c r="A1803" s="33"/>
      <c r="B1803" s="33"/>
      <c r="C1803" s="33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</row>
    <row r="1804">
      <c r="A1804" s="33"/>
      <c r="B1804" s="33"/>
      <c r="C1804" s="33"/>
      <c r="D1804" s="33"/>
      <c r="E1804" s="33"/>
      <c r="F1804" s="33"/>
      <c r="G1804" s="33"/>
      <c r="H1804" s="33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</row>
    <row r="1805">
      <c r="A1805" s="33"/>
      <c r="B1805" s="33"/>
      <c r="C1805" s="33"/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</row>
    <row r="1806">
      <c r="A1806" s="33"/>
      <c r="B1806" s="33"/>
      <c r="C1806" s="33"/>
      <c r="D1806" s="33"/>
      <c r="E1806" s="33"/>
      <c r="F1806" s="33"/>
      <c r="G1806" s="33"/>
      <c r="H1806" s="33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</row>
    <row r="1807">
      <c r="A1807" s="33"/>
      <c r="B1807" s="33"/>
      <c r="C1807" s="33"/>
      <c r="D1807" s="33"/>
      <c r="E1807" s="33"/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</row>
    <row r="1808">
      <c r="A1808" s="33"/>
      <c r="B1808" s="33"/>
      <c r="C1808" s="33"/>
      <c r="D1808" s="33"/>
      <c r="E1808" s="33"/>
      <c r="F1808" s="33"/>
      <c r="G1808" s="33"/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</row>
    <row r="1809">
      <c r="A1809" s="33"/>
      <c r="B1809" s="33"/>
      <c r="C1809" s="33"/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</row>
    <row r="1810">
      <c r="A1810" s="33"/>
      <c r="B1810" s="33"/>
      <c r="C1810" s="33"/>
      <c r="D1810" s="33"/>
      <c r="E1810" s="33"/>
      <c r="F1810" s="33"/>
      <c r="G1810" s="33"/>
      <c r="H1810" s="33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</row>
    <row r="1811">
      <c r="A1811" s="33"/>
      <c r="B1811" s="33"/>
      <c r="C1811" s="33"/>
      <c r="D1811" s="33"/>
      <c r="E1811" s="33"/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</row>
    <row r="1812">
      <c r="A1812" s="33"/>
      <c r="B1812" s="33"/>
      <c r="C1812" s="33"/>
      <c r="D1812" s="33"/>
      <c r="E1812" s="33"/>
      <c r="F1812" s="33"/>
      <c r="G1812" s="33"/>
      <c r="H1812" s="33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</row>
    <row r="1813">
      <c r="A1813" s="33"/>
      <c r="B1813" s="33"/>
      <c r="C1813" s="33"/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</row>
    <row r="1814">
      <c r="A1814" s="33"/>
      <c r="B1814" s="33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</row>
    <row r="1815">
      <c r="A1815" s="33"/>
      <c r="B1815" s="33"/>
      <c r="C1815" s="33"/>
      <c r="D1815" s="33"/>
      <c r="E1815" s="33"/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</row>
    <row r="1816">
      <c r="A1816" s="33"/>
      <c r="B1816" s="33"/>
      <c r="C1816" s="33"/>
      <c r="D1816" s="33"/>
      <c r="E1816" s="33"/>
      <c r="F1816" s="33"/>
      <c r="G1816" s="33"/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</row>
    <row r="1817">
      <c r="A1817" s="33"/>
      <c r="B1817" s="33"/>
      <c r="C1817" s="33"/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</row>
    <row r="1818">
      <c r="A1818" s="33"/>
      <c r="B1818" s="33"/>
      <c r="C1818" s="33"/>
      <c r="D1818" s="33"/>
      <c r="E1818" s="33"/>
      <c r="F1818" s="33"/>
      <c r="G1818" s="33"/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</row>
    <row r="1819">
      <c r="A1819" s="33"/>
      <c r="B1819" s="33"/>
      <c r="C1819" s="33"/>
      <c r="D1819" s="33"/>
      <c r="E1819" s="33"/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</row>
    <row r="1820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</row>
    <row r="1821">
      <c r="A1821" s="33"/>
      <c r="B1821" s="33"/>
      <c r="C1821" s="33"/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</row>
    <row r="1822">
      <c r="A1822" s="33"/>
      <c r="B1822" s="33"/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</row>
    <row r="1823">
      <c r="A1823" s="33"/>
      <c r="B1823" s="33"/>
      <c r="C1823" s="33"/>
      <c r="D1823" s="33"/>
      <c r="E1823" s="33"/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</row>
    <row r="1824">
      <c r="A1824" s="33"/>
      <c r="B1824" s="33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</row>
    <row r="1825">
      <c r="A1825" s="33"/>
      <c r="B1825" s="33"/>
      <c r="C1825" s="33"/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</row>
    <row r="1826">
      <c r="A1826" s="33"/>
      <c r="B1826" s="33"/>
      <c r="C1826" s="33"/>
      <c r="D1826" s="33"/>
      <c r="E1826" s="33"/>
      <c r="F1826" s="33"/>
      <c r="G1826" s="33"/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</row>
    <row r="1827">
      <c r="A1827" s="33"/>
      <c r="B1827" s="33"/>
      <c r="C1827" s="33"/>
      <c r="D1827" s="33"/>
      <c r="E1827" s="33"/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</row>
    <row r="1828">
      <c r="A1828" s="33"/>
      <c r="B1828" s="33"/>
      <c r="C1828" s="33"/>
      <c r="D1828" s="33"/>
      <c r="E1828" s="33"/>
      <c r="F1828" s="33"/>
      <c r="G1828" s="33"/>
      <c r="H1828" s="33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</row>
    <row r="1829">
      <c r="A1829" s="33"/>
      <c r="B1829" s="33"/>
      <c r="C1829" s="33"/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</row>
    <row r="1830">
      <c r="A1830" s="33"/>
      <c r="B1830" s="33"/>
      <c r="C1830" s="33"/>
      <c r="D1830" s="33"/>
      <c r="E1830" s="33"/>
      <c r="F1830" s="33"/>
      <c r="G1830" s="33"/>
      <c r="H1830" s="33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</row>
    <row r="1831">
      <c r="A1831" s="33"/>
      <c r="B1831" s="33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</row>
    <row r="1832">
      <c r="A1832" s="33"/>
      <c r="B1832" s="33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</row>
    <row r="1833">
      <c r="A1833" s="33"/>
      <c r="B1833" s="33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</row>
    <row r="1834">
      <c r="A1834" s="33"/>
      <c r="B1834" s="33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</row>
    <row r="1835">
      <c r="A1835" s="33"/>
      <c r="B1835" s="33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</row>
    <row r="1836">
      <c r="A1836" s="33"/>
      <c r="B1836" s="33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</row>
    <row r="1837">
      <c r="A1837" s="33"/>
      <c r="B1837" s="33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</row>
    <row r="1838">
      <c r="A1838" s="33"/>
      <c r="B1838" s="33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</row>
    <row r="1839">
      <c r="A1839" s="33"/>
      <c r="B1839" s="33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</row>
    <row r="1840">
      <c r="A1840" s="33"/>
      <c r="B1840" s="33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</row>
    <row r="1841">
      <c r="A1841" s="33"/>
      <c r="B1841" s="33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</row>
    <row r="1842">
      <c r="A1842" s="33"/>
      <c r="B1842" s="33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</row>
    <row r="1843">
      <c r="A1843" s="33"/>
      <c r="B1843" s="33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</row>
    <row r="1844">
      <c r="A1844" s="33"/>
      <c r="B1844" s="33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</row>
    <row r="1845">
      <c r="A1845" s="33"/>
      <c r="B1845" s="33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</row>
    <row r="1846">
      <c r="A1846" s="33"/>
      <c r="B1846" s="33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</row>
    <row r="1847">
      <c r="A1847" s="33"/>
      <c r="B1847" s="33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</row>
    <row r="1848">
      <c r="A1848" s="33"/>
      <c r="B1848" s="33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</row>
    <row r="1849">
      <c r="A1849" s="33"/>
      <c r="B1849" s="33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</row>
    <row r="1850">
      <c r="A1850" s="33"/>
      <c r="B1850" s="33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</row>
    <row r="1851">
      <c r="A1851" s="33"/>
      <c r="B1851" s="33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</row>
    <row r="1852">
      <c r="A1852" s="33"/>
      <c r="B1852" s="33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</row>
    <row r="1853">
      <c r="A1853" s="33"/>
      <c r="B1853" s="33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</row>
    <row r="1854">
      <c r="A1854" s="33"/>
      <c r="B1854" s="33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</row>
    <row r="1855">
      <c r="A1855" s="33"/>
      <c r="B1855" s="33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</row>
    <row r="1856">
      <c r="A1856" s="33"/>
      <c r="B1856" s="33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</row>
    <row r="1857">
      <c r="A1857" s="33"/>
      <c r="B1857" s="33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</row>
    <row r="1858">
      <c r="A1858" s="33"/>
      <c r="B1858" s="33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</row>
    <row r="1859">
      <c r="A1859" s="33"/>
      <c r="B1859" s="33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</row>
    <row r="1860">
      <c r="A1860" s="33"/>
      <c r="B1860" s="33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</row>
    <row r="1861">
      <c r="A1861" s="33"/>
      <c r="B1861" s="33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</row>
    <row r="1862">
      <c r="A1862" s="33"/>
      <c r="B1862" s="33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</row>
    <row r="1863">
      <c r="A1863" s="33"/>
      <c r="B1863" s="33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</row>
    <row r="1864">
      <c r="A1864" s="33"/>
      <c r="B1864" s="33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</row>
    <row r="1865">
      <c r="A1865" s="33"/>
      <c r="B1865" s="33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</row>
    <row r="1866">
      <c r="A1866" s="33"/>
      <c r="B1866" s="33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</row>
    <row r="1867">
      <c r="A1867" s="33"/>
      <c r="B1867" s="33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</row>
    <row r="1868">
      <c r="A1868" s="33"/>
      <c r="B1868" s="33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</row>
    <row r="1869">
      <c r="A1869" s="33"/>
      <c r="B1869" s="33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</row>
    <row r="1870">
      <c r="A1870" s="33"/>
      <c r="B1870" s="33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</row>
    <row r="1871">
      <c r="A1871" s="33"/>
      <c r="B1871" s="33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</row>
    <row r="1872">
      <c r="A1872" s="33"/>
      <c r="B1872" s="33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</row>
    <row r="1873">
      <c r="A1873" s="33"/>
      <c r="B1873" s="33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</row>
    <row r="1874">
      <c r="A1874" s="33"/>
      <c r="B1874" s="33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</row>
    <row r="1875">
      <c r="A1875" s="33"/>
      <c r="B1875" s="33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</row>
    <row r="1876">
      <c r="A1876" s="33"/>
      <c r="B1876" s="33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</row>
    <row r="1877">
      <c r="A1877" s="33"/>
      <c r="B1877" s="33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</row>
    <row r="1878">
      <c r="A1878" s="33"/>
      <c r="B1878" s="33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</row>
    <row r="1879">
      <c r="A1879" s="33"/>
      <c r="B1879" s="33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</row>
    <row r="1880">
      <c r="A1880" s="33"/>
      <c r="B1880" s="33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</row>
    <row r="1881">
      <c r="A1881" s="33"/>
      <c r="B1881" s="33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</row>
    <row r="1882">
      <c r="A1882" s="33"/>
      <c r="B1882" s="33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</row>
    <row r="1883">
      <c r="A1883" s="33"/>
      <c r="B1883" s="33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</row>
    <row r="1884">
      <c r="A1884" s="33"/>
      <c r="B1884" s="33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</row>
    <row r="1885">
      <c r="A1885" s="33"/>
      <c r="B1885" s="33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</row>
    <row r="1886">
      <c r="A1886" s="33"/>
      <c r="B1886" s="33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</row>
    <row r="1887">
      <c r="A1887" s="33"/>
      <c r="B1887" s="33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</row>
    <row r="1888">
      <c r="A1888" s="33"/>
      <c r="B1888" s="33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</row>
    <row r="1889">
      <c r="A1889" s="33"/>
      <c r="B1889" s="33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</row>
    <row r="1890">
      <c r="A1890" s="33"/>
      <c r="B1890" s="33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</row>
    <row r="1891">
      <c r="A1891" s="33"/>
      <c r="B1891" s="33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</row>
    <row r="1892">
      <c r="A1892" s="33"/>
      <c r="B1892" s="33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</row>
    <row r="1893">
      <c r="A1893" s="33"/>
      <c r="B1893" s="33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</row>
    <row r="1894">
      <c r="A1894" s="33"/>
      <c r="B1894" s="33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</row>
    <row r="1895">
      <c r="A1895" s="33"/>
      <c r="B1895" s="33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</row>
    <row r="1896">
      <c r="A1896" s="33"/>
      <c r="B1896" s="33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</row>
    <row r="1897">
      <c r="A1897" s="33"/>
      <c r="B1897" s="33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</row>
    <row r="1898">
      <c r="A1898" s="33"/>
      <c r="B1898" s="33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</row>
    <row r="1899">
      <c r="A1899" s="33"/>
      <c r="B1899" s="33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</row>
    <row r="1900">
      <c r="A1900" s="33"/>
      <c r="B1900" s="33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</row>
    <row r="1901">
      <c r="A1901" s="33"/>
      <c r="B1901" s="33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</row>
    <row r="1902">
      <c r="A1902" s="33"/>
      <c r="B1902" s="33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</row>
    <row r="1903">
      <c r="A1903" s="33"/>
      <c r="B1903" s="33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</row>
    <row r="1904">
      <c r="A1904" s="33"/>
      <c r="B1904" s="33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</row>
    <row r="1905">
      <c r="A1905" s="33"/>
      <c r="B1905" s="33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</row>
    <row r="1906">
      <c r="A1906" s="33"/>
      <c r="B1906" s="33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</row>
    <row r="1907">
      <c r="A1907" s="33"/>
      <c r="B1907" s="33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</row>
    <row r="1908">
      <c r="A1908" s="33"/>
      <c r="B1908" s="33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</row>
    <row r="1909">
      <c r="A1909" s="33"/>
      <c r="B1909" s="33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</row>
    <row r="1910">
      <c r="A1910" s="33"/>
      <c r="B1910" s="33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</row>
    <row r="1911">
      <c r="A1911" s="33"/>
      <c r="B1911" s="33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</row>
    <row r="1912">
      <c r="A1912" s="33"/>
      <c r="B1912" s="33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</row>
    <row r="1913">
      <c r="A1913" s="33"/>
      <c r="B1913" s="33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</row>
    <row r="1914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</row>
    <row r="1915">
      <c r="A1915" s="33"/>
      <c r="B1915" s="33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</row>
    <row r="1916">
      <c r="A1916" s="33"/>
      <c r="B1916" s="33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</row>
    <row r="1917">
      <c r="A1917" s="33"/>
      <c r="B1917" s="33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</row>
    <row r="1918">
      <c r="A1918" s="33"/>
      <c r="B1918" s="33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</row>
    <row r="1919">
      <c r="A1919" s="33"/>
      <c r="B1919" s="33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</row>
    <row r="1920">
      <c r="A1920" s="33"/>
      <c r="B1920" s="33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</row>
    <row r="1921">
      <c r="A1921" s="33"/>
      <c r="B1921" s="33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</row>
    <row r="1922">
      <c r="A1922" s="33"/>
      <c r="B1922" s="33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</row>
    <row r="1923">
      <c r="A1923" s="33"/>
      <c r="B1923" s="33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</row>
    <row r="1924">
      <c r="A1924" s="33"/>
      <c r="B1924" s="33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</row>
    <row r="1925">
      <c r="A1925" s="33"/>
      <c r="B1925" s="33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</row>
    <row r="1926">
      <c r="A1926" s="33"/>
      <c r="B1926" s="33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</row>
    <row r="1927">
      <c r="A1927" s="33"/>
      <c r="B1927" s="33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</row>
    <row r="1928">
      <c r="A1928" s="33"/>
      <c r="B1928" s="33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</row>
    <row r="1929">
      <c r="A1929" s="33"/>
      <c r="B1929" s="33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</row>
    <row r="1930">
      <c r="A1930" s="33"/>
      <c r="B1930" s="33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</row>
    <row r="1931">
      <c r="A1931" s="33"/>
      <c r="B1931" s="33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</row>
    <row r="1932">
      <c r="A1932" s="33"/>
      <c r="B1932" s="33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</row>
    <row r="1933">
      <c r="A1933" s="33"/>
      <c r="B1933" s="33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</row>
    <row r="1934">
      <c r="A1934" s="33"/>
      <c r="B1934" s="33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</row>
    <row r="1935">
      <c r="A1935" s="33"/>
      <c r="B1935" s="33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</row>
    <row r="1936">
      <c r="A1936" s="33"/>
      <c r="B1936" s="33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</row>
    <row r="1937">
      <c r="A1937" s="33"/>
      <c r="B1937" s="33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</row>
    <row r="1938">
      <c r="A1938" s="33"/>
      <c r="B1938" s="33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</row>
    <row r="1939">
      <c r="A1939" s="33"/>
      <c r="B1939" s="33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</row>
    <row r="1940">
      <c r="A1940" s="33"/>
      <c r="B1940" s="33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</row>
    <row r="1941">
      <c r="A1941" s="33"/>
      <c r="B1941" s="33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</row>
    <row r="1942">
      <c r="A1942" s="33"/>
      <c r="B1942" s="33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</row>
    <row r="1943">
      <c r="A1943" s="33"/>
      <c r="B1943" s="33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</row>
    <row r="1944">
      <c r="A1944" s="33"/>
      <c r="B1944" s="33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</row>
    <row r="1945">
      <c r="A1945" s="33"/>
      <c r="B1945" s="33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</row>
    <row r="1946">
      <c r="A1946" s="33"/>
      <c r="B1946" s="33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</row>
    <row r="1947">
      <c r="A1947" s="33"/>
      <c r="B1947" s="33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</row>
    <row r="1948">
      <c r="A1948" s="33"/>
      <c r="B1948" s="33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</row>
    <row r="1949">
      <c r="A1949" s="33"/>
      <c r="B1949" s="33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</row>
    <row r="1950">
      <c r="A1950" s="33"/>
      <c r="B1950" s="33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</row>
    <row r="1951">
      <c r="A1951" s="33"/>
      <c r="B1951" s="33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</row>
    <row r="1952">
      <c r="A1952" s="33"/>
      <c r="B1952" s="33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</row>
    <row r="1953">
      <c r="A1953" s="33"/>
      <c r="B1953" s="33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</row>
    <row r="1954">
      <c r="A1954" s="33"/>
      <c r="B1954" s="33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</row>
    <row r="1955">
      <c r="A1955" s="33"/>
      <c r="B1955" s="33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</row>
    <row r="1956">
      <c r="A1956" s="33"/>
      <c r="B1956" s="33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</row>
    <row r="1957">
      <c r="A1957" s="33"/>
      <c r="B1957" s="33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</row>
    <row r="1958">
      <c r="A1958" s="33"/>
      <c r="B1958" s="33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</row>
    <row r="1959">
      <c r="A1959" s="33"/>
      <c r="B1959" s="33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</row>
    <row r="1960">
      <c r="A1960" s="33"/>
      <c r="B1960" s="33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</row>
    <row r="1961">
      <c r="A1961" s="33"/>
      <c r="B1961" s="33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</row>
    <row r="1962">
      <c r="A1962" s="33"/>
      <c r="B1962" s="33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</row>
    <row r="1963">
      <c r="A1963" s="33"/>
      <c r="B1963" s="33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</row>
    <row r="1964">
      <c r="A1964" s="33"/>
      <c r="B1964" s="33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</row>
    <row r="1965">
      <c r="A1965" s="33"/>
      <c r="B1965" s="33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</row>
    <row r="1966">
      <c r="A1966" s="33"/>
      <c r="B1966" s="33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</row>
    <row r="1967">
      <c r="A1967" s="33"/>
      <c r="B1967" s="33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</row>
    <row r="1968">
      <c r="A1968" s="33"/>
      <c r="B1968" s="33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</row>
    <row r="1969">
      <c r="A1969" s="33"/>
      <c r="B1969" s="33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</row>
    <row r="1970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</row>
    <row r="1971">
      <c r="A1971" s="33"/>
      <c r="B1971" s="33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</row>
    <row r="1972">
      <c r="A1972" s="33"/>
      <c r="B1972" s="33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</row>
    <row r="1973">
      <c r="A1973" s="33"/>
      <c r="B1973" s="33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</row>
    <row r="1974">
      <c r="A1974" s="33"/>
      <c r="B1974" s="33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</row>
    <row r="1975">
      <c r="A1975" s="33"/>
      <c r="B1975" s="33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</row>
    <row r="1976">
      <c r="A1976" s="33"/>
      <c r="B1976" s="33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</row>
    <row r="1977">
      <c r="A1977" s="33"/>
      <c r="B1977" s="33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</row>
    <row r="1978">
      <c r="A1978" s="33"/>
      <c r="B1978" s="33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</row>
    <row r="1979">
      <c r="A1979" s="33"/>
      <c r="B1979" s="33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</row>
    <row r="1980">
      <c r="A1980" s="33"/>
      <c r="B1980" s="33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</row>
    <row r="1981">
      <c r="A1981" s="33"/>
      <c r="B1981" s="33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</row>
    <row r="1982">
      <c r="A1982" s="33"/>
      <c r="B1982" s="33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</row>
    <row r="1983">
      <c r="A1983" s="33"/>
      <c r="B1983" s="33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</row>
    <row r="1984">
      <c r="A1984" s="33"/>
      <c r="B1984" s="33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</row>
    <row r="1985">
      <c r="A1985" s="33"/>
      <c r="B1985" s="33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</row>
    <row r="1986">
      <c r="A1986" s="33"/>
      <c r="B1986" s="33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</row>
    <row r="1987">
      <c r="A1987" s="33"/>
      <c r="B1987" s="33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</row>
    <row r="1988">
      <c r="A1988" s="33"/>
      <c r="B1988" s="33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</row>
    <row r="1989">
      <c r="A1989" s="33"/>
      <c r="B1989" s="33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</row>
    <row r="1990">
      <c r="A1990" s="33"/>
      <c r="B1990" s="33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</row>
    <row r="1991">
      <c r="A1991" s="33"/>
      <c r="B1991" s="33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</row>
    <row r="1992">
      <c r="A1992" s="33"/>
      <c r="B1992" s="33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</row>
    <row r="1993">
      <c r="A1993" s="33"/>
      <c r="B1993" s="33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</row>
    <row r="1994">
      <c r="A1994" s="33"/>
      <c r="B1994" s="33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</row>
    <row r="1995">
      <c r="A1995" s="33"/>
      <c r="B1995" s="33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</row>
    <row r="1996">
      <c r="A1996" s="33"/>
      <c r="B1996" s="33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</row>
    <row r="1997">
      <c r="A1997" s="33"/>
      <c r="B1997" s="33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</row>
    <row r="1998">
      <c r="A1998" s="33"/>
      <c r="B1998" s="33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</row>
    <row r="1999">
      <c r="A1999" s="33"/>
      <c r="B1999" s="33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</row>
    <row r="2000">
      <c r="A2000" s="33"/>
      <c r="B2000" s="33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</row>
    <row r="2001">
      <c r="A2001" s="33"/>
      <c r="B2001" s="33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</row>
    <row r="2002">
      <c r="A2002" s="33"/>
      <c r="B2002" s="33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</row>
    <row r="2003">
      <c r="A2003" s="33"/>
      <c r="B2003" s="33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</row>
    <row r="2004">
      <c r="A2004" s="33"/>
      <c r="B2004" s="33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</row>
    <row r="2005">
      <c r="A2005" s="33"/>
      <c r="B2005" s="33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</row>
    <row r="2006">
      <c r="A2006" s="33"/>
      <c r="B2006" s="33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</row>
    <row r="2007">
      <c r="A2007" s="33"/>
      <c r="B2007" s="33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</row>
    <row r="2008">
      <c r="A2008" s="33"/>
      <c r="B2008" s="33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</row>
    <row r="2009">
      <c r="A2009" s="33"/>
      <c r="B2009" s="33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</row>
    <row r="2010">
      <c r="A2010" s="33"/>
      <c r="B2010" s="33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</row>
    <row r="2011">
      <c r="A2011" s="33"/>
      <c r="B2011" s="33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</row>
    <row r="2012">
      <c r="A2012" s="33"/>
      <c r="B2012" s="33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</row>
    <row r="2013">
      <c r="A2013" s="33"/>
      <c r="B2013" s="33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</row>
    <row r="2014">
      <c r="A2014" s="33"/>
      <c r="B2014" s="33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</row>
    <row r="2015">
      <c r="A2015" s="33"/>
      <c r="B2015" s="33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</row>
    <row r="2016">
      <c r="A2016" s="33"/>
      <c r="B2016" s="33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</row>
    <row r="2017">
      <c r="A2017" s="33"/>
      <c r="B2017" s="33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</row>
    <row r="2018">
      <c r="A2018" s="33"/>
      <c r="B2018" s="33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</row>
    <row r="2019">
      <c r="A2019" s="33"/>
      <c r="B2019" s="33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</row>
    <row r="2020">
      <c r="A2020" s="33"/>
      <c r="B2020" s="33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</row>
    <row r="2021">
      <c r="A2021" s="33"/>
      <c r="B2021" s="33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</row>
    <row r="2022">
      <c r="A2022" s="33"/>
      <c r="B2022" s="33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</row>
    <row r="2023">
      <c r="A2023" s="33"/>
      <c r="B2023" s="33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</row>
    <row r="2024">
      <c r="A2024" s="33"/>
      <c r="B2024" s="33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</row>
    <row r="2025">
      <c r="A2025" s="33"/>
      <c r="B2025" s="33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</row>
    <row r="2026">
      <c r="A2026" s="33"/>
      <c r="B2026" s="33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</row>
    <row r="2027">
      <c r="A2027" s="33"/>
      <c r="B2027" s="33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</row>
    <row r="2028">
      <c r="A2028" s="33"/>
      <c r="B2028" s="33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</row>
    <row r="2029">
      <c r="A2029" s="33"/>
      <c r="B2029" s="33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</row>
    <row r="2030">
      <c r="A2030" s="33"/>
      <c r="B2030" s="33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</row>
    <row r="2031">
      <c r="A2031" s="33"/>
      <c r="B2031" s="33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</row>
    <row r="2032">
      <c r="A2032" s="33"/>
      <c r="B2032" s="33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</row>
    <row r="2033">
      <c r="A2033" s="33"/>
      <c r="B2033" s="33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</row>
    <row r="2034">
      <c r="A2034" s="33"/>
      <c r="B2034" s="33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</row>
    <row r="2035">
      <c r="A2035" s="33"/>
      <c r="B2035" s="33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</row>
    <row r="2036">
      <c r="A2036" s="33"/>
      <c r="B2036" s="33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</row>
    <row r="2037">
      <c r="A2037" s="33"/>
      <c r="B2037" s="33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</row>
    <row r="2038">
      <c r="A2038" s="33"/>
      <c r="B2038" s="33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</row>
    <row r="2039">
      <c r="A2039" s="33"/>
      <c r="B2039" s="33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</row>
    <row r="2040">
      <c r="A2040" s="33"/>
      <c r="B2040" s="33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</row>
    <row r="2041">
      <c r="A2041" s="33"/>
      <c r="B2041" s="33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</row>
    <row r="2042">
      <c r="A2042" s="33"/>
      <c r="B2042" s="33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</row>
    <row r="2043">
      <c r="A2043" s="33"/>
      <c r="B2043" s="33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</row>
    <row r="2044">
      <c r="A2044" s="33"/>
      <c r="B2044" s="33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</row>
    <row r="2045">
      <c r="A2045" s="33"/>
      <c r="B2045" s="33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</row>
    <row r="2046">
      <c r="A2046" s="33"/>
      <c r="B2046" s="33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</row>
    <row r="2047">
      <c r="A2047" s="33"/>
      <c r="B2047" s="33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</row>
    <row r="2048">
      <c r="A2048" s="33"/>
      <c r="B2048" s="33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</row>
    <row r="2049">
      <c r="A2049" s="33"/>
      <c r="B2049" s="33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</row>
    <row r="2050">
      <c r="A2050" s="33"/>
      <c r="B2050" s="33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</row>
    <row r="2051">
      <c r="A2051" s="33"/>
      <c r="B2051" s="33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</row>
    <row r="2052">
      <c r="A2052" s="33"/>
      <c r="B2052" s="33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</row>
    <row r="2053">
      <c r="A2053" s="33"/>
      <c r="B2053" s="33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</row>
    <row r="2054">
      <c r="A2054" s="33"/>
      <c r="B2054" s="33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</row>
    <row r="2055">
      <c r="A2055" s="33"/>
      <c r="B2055" s="33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</row>
    <row r="2056">
      <c r="A2056" s="33"/>
      <c r="B2056" s="33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</row>
    <row r="2057">
      <c r="A2057" s="33"/>
      <c r="B2057" s="33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</row>
    <row r="2058">
      <c r="A2058" s="33"/>
      <c r="B2058" s="33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/>
      <c r="AD2058" s="33"/>
      <c r="AE2058" s="33"/>
      <c r="AF2058" s="33"/>
      <c r="AG2058" s="33"/>
      <c r="AH2058" s="33"/>
      <c r="AI2058" s="33"/>
      <c r="AJ2058" s="33"/>
      <c r="AK2058" s="33"/>
    </row>
    <row r="2059">
      <c r="A2059" s="33"/>
      <c r="B2059" s="33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</row>
    <row r="2060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</row>
    <row r="2061">
      <c r="A2061" s="33"/>
      <c r="B2061" s="33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</row>
    <row r="2062">
      <c r="A2062" s="33"/>
      <c r="B2062" s="33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</row>
    <row r="2063">
      <c r="A2063" s="33"/>
      <c r="B2063" s="33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</row>
    <row r="2064">
      <c r="A2064" s="33"/>
      <c r="B2064" s="33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</row>
    <row r="2065">
      <c r="A2065" s="33"/>
      <c r="B2065" s="33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</row>
    <row r="2066">
      <c r="A2066" s="33"/>
      <c r="B2066" s="33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</row>
    <row r="2067">
      <c r="A2067" s="33"/>
      <c r="B2067" s="33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</row>
    <row r="2068">
      <c r="A2068" s="33"/>
      <c r="B2068" s="33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</row>
    <row r="2069">
      <c r="A2069" s="33"/>
      <c r="B2069" s="33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</row>
    <row r="2070">
      <c r="A2070" s="33"/>
      <c r="B2070" s="33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</row>
    <row r="2071">
      <c r="A2071" s="33"/>
      <c r="B2071" s="33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</row>
    <row r="2072">
      <c r="A2072" s="33"/>
      <c r="B2072" s="33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</row>
    <row r="2073">
      <c r="A2073" s="33"/>
      <c r="B2073" s="33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</row>
    <row r="2074">
      <c r="A2074" s="33"/>
      <c r="B2074" s="33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</row>
    <row r="2075">
      <c r="A2075" s="33"/>
      <c r="B2075" s="33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</row>
    <row r="2076">
      <c r="A2076" s="33"/>
      <c r="B2076" s="33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</row>
    <row r="2077">
      <c r="A2077" s="33"/>
      <c r="B2077" s="33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</row>
    <row r="2078">
      <c r="A2078" s="33"/>
      <c r="B2078" s="33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</row>
    <row r="2079">
      <c r="A2079" s="33"/>
      <c r="B2079" s="33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</row>
    <row r="2080">
      <c r="A2080" s="33"/>
      <c r="B2080" s="33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</row>
    <row r="2081">
      <c r="A2081" s="33"/>
      <c r="B2081" s="33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</row>
    <row r="2082">
      <c r="A2082" s="33"/>
      <c r="B2082" s="33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</row>
    <row r="2083">
      <c r="A2083" s="33"/>
      <c r="B2083" s="33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</row>
    <row r="2084">
      <c r="A2084" s="33"/>
      <c r="B2084" s="33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</row>
    <row r="2085">
      <c r="A2085" s="33"/>
      <c r="B2085" s="33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</row>
    <row r="2086">
      <c r="A2086" s="33"/>
      <c r="B2086" s="33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</row>
    <row r="2087">
      <c r="A2087" s="33"/>
      <c r="B2087" s="33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</row>
    <row r="2088">
      <c r="A2088" s="33"/>
      <c r="B2088" s="33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</row>
    <row r="2089">
      <c r="A2089" s="33"/>
      <c r="B2089" s="33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</row>
    <row r="2090">
      <c r="A2090" s="33"/>
      <c r="B2090" s="33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</row>
    <row r="2091">
      <c r="A2091" s="33"/>
      <c r="B2091" s="33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</row>
    <row r="2092">
      <c r="A2092" s="33"/>
      <c r="B2092" s="33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</row>
    <row r="2093">
      <c r="A2093" s="33"/>
      <c r="B2093" s="33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</row>
    <row r="2094">
      <c r="A2094" s="33"/>
      <c r="B2094" s="33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</row>
    <row r="2095">
      <c r="A2095" s="33"/>
      <c r="B2095" s="33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</row>
    <row r="2096">
      <c r="A2096" s="33"/>
      <c r="B2096" s="33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</row>
    <row r="2097">
      <c r="A2097" s="33"/>
      <c r="B2097" s="33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</row>
    <row r="2098">
      <c r="A2098" s="33"/>
      <c r="B2098" s="33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</row>
    <row r="2099">
      <c r="A2099" s="33"/>
      <c r="B2099" s="33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</row>
    <row r="2100">
      <c r="A2100" s="33"/>
      <c r="B2100" s="33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</row>
    <row r="2101">
      <c r="A2101" s="33"/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</row>
    <row r="2102">
      <c r="A2102" s="33"/>
      <c r="B2102" s="33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</row>
    <row r="2103">
      <c r="A2103" s="33"/>
      <c r="B2103" s="33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</row>
    <row r="2104">
      <c r="A2104" s="33"/>
      <c r="B2104" s="33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</row>
    <row r="2105">
      <c r="A2105" s="33"/>
      <c r="B2105" s="33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</row>
    <row r="2106">
      <c r="A2106" s="33"/>
      <c r="B2106" s="33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</row>
    <row r="2107">
      <c r="A2107" s="33"/>
      <c r="B2107" s="33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</row>
    <row r="2108">
      <c r="A2108" s="33"/>
      <c r="B2108" s="33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</row>
    <row r="2109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</row>
    <row r="2110">
      <c r="A2110" s="33"/>
      <c r="B2110" s="33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</row>
    <row r="2111">
      <c r="A2111" s="33"/>
      <c r="B2111" s="33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</row>
    <row r="2112">
      <c r="A2112" s="33"/>
      <c r="B2112" s="33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</row>
    <row r="2113">
      <c r="A2113" s="33"/>
      <c r="B2113" s="33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</row>
    <row r="2114">
      <c r="A2114" s="33"/>
      <c r="B2114" s="33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</row>
    <row r="2115">
      <c r="A2115" s="33"/>
      <c r="B2115" s="33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</row>
    <row r="2116">
      <c r="A2116" s="33"/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</row>
    <row r="2117">
      <c r="A2117" s="33"/>
      <c r="B2117" s="33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</row>
    <row r="2118">
      <c r="A2118" s="33"/>
      <c r="B2118" s="33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</row>
    <row r="2119">
      <c r="A2119" s="33"/>
      <c r="B2119" s="33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</row>
    <row r="2120">
      <c r="A2120" s="33"/>
      <c r="B2120" s="33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</row>
    <row r="2121">
      <c r="A2121" s="33"/>
      <c r="B2121" s="33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</row>
    <row r="2122">
      <c r="A2122" s="33"/>
      <c r="B2122" s="33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</row>
    <row r="2123">
      <c r="A2123" s="33"/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</row>
    <row r="2124">
      <c r="A2124" s="33"/>
      <c r="B2124" s="33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</row>
    <row r="2125">
      <c r="A2125" s="33"/>
      <c r="B2125" s="33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</row>
    <row r="2126">
      <c r="A2126" s="33"/>
      <c r="B2126" s="33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</row>
    <row r="2127">
      <c r="A2127" s="33"/>
      <c r="B2127" s="33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</row>
    <row r="2128">
      <c r="A2128" s="33"/>
      <c r="B2128" s="33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</row>
    <row r="2129">
      <c r="A2129" s="33"/>
      <c r="B2129" s="33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</row>
    <row r="2130">
      <c r="A2130" s="33"/>
      <c r="B2130" s="33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</row>
    <row r="2131">
      <c r="A2131" s="33"/>
      <c r="B2131" s="33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</row>
    <row r="2132">
      <c r="A2132" s="33"/>
      <c r="B2132" s="33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</row>
    <row r="2133">
      <c r="A2133" s="33"/>
      <c r="B2133" s="33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</row>
    <row r="2134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</row>
    <row r="2135">
      <c r="A2135" s="33"/>
      <c r="B2135" s="33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</row>
    <row r="2136">
      <c r="A2136" s="33"/>
      <c r="B2136" s="33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</row>
    <row r="2137">
      <c r="A2137" s="33"/>
      <c r="B2137" s="33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</row>
    <row r="2138">
      <c r="A2138" s="33"/>
      <c r="B2138" s="33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</row>
    <row r="2139">
      <c r="A2139" s="33"/>
      <c r="B2139" s="33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</row>
    <row r="2140">
      <c r="A2140" s="33"/>
      <c r="B2140" s="33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</row>
    <row r="2141">
      <c r="A2141" s="33"/>
      <c r="B2141" s="33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</row>
    <row r="2142">
      <c r="A2142" s="33"/>
      <c r="B2142" s="33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</row>
    <row r="2143">
      <c r="A2143" s="33"/>
      <c r="B2143" s="33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</row>
    <row r="2144">
      <c r="A2144" s="33"/>
      <c r="B2144" s="33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</row>
    <row r="2145">
      <c r="A2145" s="33"/>
      <c r="B2145" s="33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</row>
    <row r="2146">
      <c r="A2146" s="33"/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</row>
    <row r="2147">
      <c r="A2147" s="33"/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</row>
    <row r="2148">
      <c r="A2148" s="33"/>
      <c r="B2148" s="33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</row>
    <row r="2149">
      <c r="A2149" s="33"/>
      <c r="B2149" s="33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</row>
    <row r="2150">
      <c r="A2150" s="33"/>
      <c r="B2150" s="33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</row>
    <row r="2151">
      <c r="A2151" s="33"/>
      <c r="B2151" s="33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</row>
    <row r="2152">
      <c r="A2152" s="33"/>
      <c r="B2152" s="33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</row>
    <row r="2153">
      <c r="A2153" s="33"/>
      <c r="B2153" s="33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</row>
    <row r="2154">
      <c r="A2154" s="33"/>
      <c r="B2154" s="33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</row>
    <row r="2155">
      <c r="A2155" s="33"/>
      <c r="B2155" s="33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</row>
    <row r="2156">
      <c r="A2156" s="33"/>
      <c r="B2156" s="33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</row>
    <row r="2157">
      <c r="A2157" s="33"/>
      <c r="B2157" s="33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</row>
    <row r="2158">
      <c r="A2158" s="33"/>
      <c r="B2158" s="33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</row>
    <row r="2159">
      <c r="A2159" s="33"/>
      <c r="B2159" s="33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</row>
    <row r="2160">
      <c r="A2160" s="33"/>
      <c r="B2160" s="33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</row>
    <row r="2161">
      <c r="A2161" s="33"/>
      <c r="B2161" s="33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</row>
    <row r="2162">
      <c r="A2162" s="33"/>
      <c r="B2162" s="33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</row>
    <row r="2163">
      <c r="A2163" s="33"/>
      <c r="B2163" s="33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</row>
    <row r="2164">
      <c r="A2164" s="33"/>
      <c r="B2164" s="33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</row>
    <row r="2165">
      <c r="A2165" s="33"/>
      <c r="B2165" s="33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</row>
    <row r="2166">
      <c r="A2166" s="33"/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</row>
    <row r="2167">
      <c r="A2167" s="33"/>
      <c r="B2167" s="33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</row>
    <row r="2168">
      <c r="A2168" s="33"/>
      <c r="B2168" s="33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</row>
    <row r="2169">
      <c r="A2169" s="33"/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</row>
    <row r="2170">
      <c r="A2170" s="33"/>
      <c r="B2170" s="33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</row>
    <row r="2171">
      <c r="A2171" s="33"/>
      <c r="B2171" s="33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</row>
    <row r="2172">
      <c r="A2172" s="33"/>
      <c r="B2172" s="33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</row>
    <row r="2173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</row>
    <row r="2174">
      <c r="A2174" s="33"/>
      <c r="B2174" s="33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</row>
    <row r="2175">
      <c r="A2175" s="33"/>
      <c r="B2175" s="33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</row>
    <row r="2176">
      <c r="A2176" s="33"/>
      <c r="B2176" s="33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</row>
    <row r="2177">
      <c r="A2177" s="33"/>
      <c r="B2177" s="33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</row>
    <row r="2178">
      <c r="A2178" s="33"/>
      <c r="B2178" s="33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</row>
    <row r="2179">
      <c r="A2179" s="33"/>
      <c r="B2179" s="33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</row>
    <row r="2180">
      <c r="A2180" s="33"/>
      <c r="B2180" s="33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</row>
    <row r="2181">
      <c r="A2181" s="33"/>
      <c r="B2181" s="33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</row>
    <row r="2182">
      <c r="A2182" s="33"/>
      <c r="B2182" s="33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</row>
    <row r="2183">
      <c r="A2183" s="33"/>
      <c r="B2183" s="33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</row>
    <row r="2184">
      <c r="A2184" s="33"/>
      <c r="B2184" s="33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</row>
    <row r="2185">
      <c r="A2185" s="33"/>
      <c r="B2185" s="33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</row>
    <row r="2186">
      <c r="A2186" s="33"/>
      <c r="B2186" s="33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</row>
    <row r="2187">
      <c r="A2187" s="33"/>
      <c r="B2187" s="33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</row>
    <row r="2188">
      <c r="A2188" s="33"/>
      <c r="B2188" s="33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</row>
    <row r="2189">
      <c r="A2189" s="33"/>
      <c r="B2189" s="33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</row>
    <row r="2190">
      <c r="A2190" s="33"/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</row>
    <row r="2191">
      <c r="A2191" s="33"/>
      <c r="B2191" s="33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</row>
    <row r="2192">
      <c r="A2192" s="33"/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</row>
    <row r="2193">
      <c r="A2193" s="33"/>
      <c r="B2193" s="33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</row>
    <row r="2194">
      <c r="A2194" s="33"/>
      <c r="B2194" s="33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</row>
    <row r="2195">
      <c r="A2195" s="33"/>
      <c r="B2195" s="33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</row>
    <row r="2196">
      <c r="A2196" s="33"/>
      <c r="B2196" s="33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</row>
    <row r="2197">
      <c r="A2197" s="33"/>
      <c r="B2197" s="33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</row>
    <row r="2198">
      <c r="A2198" s="33"/>
      <c r="B2198" s="33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</row>
    <row r="2199">
      <c r="A2199" s="33"/>
      <c r="B2199" s="33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</row>
    <row r="2200">
      <c r="A2200" s="33"/>
      <c r="B2200" s="33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</row>
    <row r="2201">
      <c r="A2201" s="33"/>
      <c r="B2201" s="33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</row>
    <row r="2202">
      <c r="A2202" s="33"/>
      <c r="B2202" s="33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</row>
    <row r="2203">
      <c r="A2203" s="33"/>
      <c r="B2203" s="33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</row>
    <row r="2204">
      <c r="A2204" s="33"/>
      <c r="B2204" s="33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</row>
    <row r="2205">
      <c r="A2205" s="33"/>
      <c r="B2205" s="33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</row>
    <row r="2206">
      <c r="A2206" s="33"/>
      <c r="B2206" s="33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</row>
    <row r="2207">
      <c r="A2207" s="33"/>
      <c r="B2207" s="33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</row>
    <row r="2208">
      <c r="A2208" s="33"/>
      <c r="B2208" s="33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</row>
    <row r="2209">
      <c r="A2209" s="33"/>
      <c r="B2209" s="33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</row>
    <row r="2210">
      <c r="A2210" s="33"/>
      <c r="B2210" s="33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</row>
    <row r="2211">
      <c r="A2211" s="33"/>
      <c r="B2211" s="33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</row>
    <row r="2212">
      <c r="A2212" s="33"/>
      <c r="B2212" s="33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</row>
    <row r="2213">
      <c r="A2213" s="33"/>
      <c r="B2213" s="33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</row>
    <row r="2214">
      <c r="A2214" s="33"/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</row>
    <row r="2215">
      <c r="A2215" s="33"/>
      <c r="B2215" s="33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</row>
    <row r="2216">
      <c r="A2216" s="33"/>
      <c r="B2216" s="33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</row>
    <row r="2217">
      <c r="A2217" s="33"/>
      <c r="B2217" s="33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</row>
    <row r="2218">
      <c r="A2218" s="33"/>
      <c r="B2218" s="33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</row>
    <row r="2219">
      <c r="A2219" s="33"/>
      <c r="B2219" s="33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</row>
    <row r="2220">
      <c r="A2220" s="33"/>
      <c r="B2220" s="33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</row>
    <row r="2221">
      <c r="A2221" s="33"/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</row>
    <row r="2222">
      <c r="A2222" s="33"/>
      <c r="B2222" s="33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</row>
    <row r="2223">
      <c r="A2223" s="33"/>
      <c r="B2223" s="33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</row>
    <row r="2224">
      <c r="A2224" s="33"/>
      <c r="B2224" s="33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</row>
    <row r="2225">
      <c r="A2225" s="33"/>
      <c r="B2225" s="33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</row>
    <row r="2226">
      <c r="A2226" s="33"/>
      <c r="B2226" s="33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</row>
    <row r="2227">
      <c r="A2227" s="33"/>
      <c r="B2227" s="33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</row>
    <row r="2228">
      <c r="A2228" s="33"/>
      <c r="B2228" s="33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</row>
    <row r="2229">
      <c r="A2229" s="33"/>
      <c r="B2229" s="33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</row>
    <row r="2230">
      <c r="A2230" s="33"/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</row>
    <row r="2231">
      <c r="A2231" s="33"/>
      <c r="B2231" s="33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</row>
    <row r="2232">
      <c r="A2232" s="33"/>
      <c r="B2232" s="33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</row>
    <row r="2233">
      <c r="A2233" s="33"/>
      <c r="B2233" s="33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</row>
    <row r="2234">
      <c r="A2234" s="33"/>
      <c r="B2234" s="33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</row>
    <row r="2235">
      <c r="A2235" s="33"/>
      <c r="B2235" s="33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/>
      <c r="AD2235" s="33"/>
      <c r="AE2235" s="33"/>
      <c r="AF2235" s="33"/>
      <c r="AG2235" s="33"/>
      <c r="AH2235" s="33"/>
      <c r="AI2235" s="33"/>
      <c r="AJ2235" s="33"/>
      <c r="AK2235" s="33"/>
    </row>
    <row r="2236">
      <c r="A2236" s="33"/>
      <c r="B2236" s="33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</row>
    <row r="2237">
      <c r="A2237" s="33"/>
      <c r="B2237" s="33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</row>
    <row r="2238">
      <c r="A2238" s="33"/>
      <c r="B2238" s="33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</row>
    <row r="2239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</row>
    <row r="2240">
      <c r="A2240" s="33"/>
      <c r="B2240" s="33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</row>
    <row r="2241">
      <c r="A2241" s="33"/>
      <c r="B2241" s="33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</row>
    <row r="2242">
      <c r="A2242" s="33"/>
      <c r="B2242" s="33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</row>
    <row r="2243">
      <c r="A2243" s="33"/>
      <c r="B2243" s="33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</row>
    <row r="2244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</row>
    <row r="2245">
      <c r="A2245" s="33"/>
      <c r="B2245" s="33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</row>
    <row r="2246">
      <c r="A2246" s="33"/>
      <c r="B2246" s="33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</row>
    <row r="2247">
      <c r="A2247" s="33"/>
      <c r="B2247" s="33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</row>
    <row r="2248">
      <c r="A2248" s="33"/>
      <c r="B2248" s="33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</row>
    <row r="2249">
      <c r="A2249" s="33"/>
      <c r="B2249" s="33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</row>
    <row r="2250">
      <c r="A2250" s="33"/>
      <c r="B2250" s="33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</row>
    <row r="2251">
      <c r="A2251" s="33"/>
      <c r="B2251" s="33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</row>
    <row r="2252">
      <c r="A2252" s="33"/>
      <c r="B2252" s="33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</row>
    <row r="2253">
      <c r="A2253" s="33"/>
      <c r="B2253" s="33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</row>
    <row r="2254">
      <c r="A2254" s="33"/>
      <c r="B2254" s="33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</row>
    <row r="2255">
      <c r="A2255" s="33"/>
      <c r="B2255" s="33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</row>
    <row r="2256">
      <c r="A2256" s="33"/>
      <c r="B2256" s="33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</row>
    <row r="2257">
      <c r="A2257" s="33"/>
      <c r="B2257" s="33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</row>
    <row r="2258">
      <c r="A2258" s="33"/>
      <c r="B2258" s="33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</row>
    <row r="2259">
      <c r="A2259" s="33"/>
      <c r="B2259" s="33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</row>
    <row r="2260">
      <c r="A2260" s="33"/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</row>
    <row r="2261">
      <c r="A2261" s="33"/>
      <c r="B2261" s="33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</row>
    <row r="2262">
      <c r="A2262" s="33"/>
      <c r="B2262" s="33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</row>
    <row r="2263">
      <c r="A2263" s="33"/>
      <c r="B2263" s="33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</row>
    <row r="2264">
      <c r="A2264" s="33"/>
      <c r="B2264" s="33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</row>
    <row r="2265">
      <c r="A2265" s="33"/>
      <c r="B2265" s="33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</row>
    <row r="2266">
      <c r="A2266" s="33"/>
      <c r="B2266" s="33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</row>
    <row r="2267">
      <c r="A2267" s="33"/>
      <c r="B2267" s="33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</row>
    <row r="2268">
      <c r="A2268" s="33"/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</row>
    <row r="2269">
      <c r="A2269" s="33"/>
      <c r="B2269" s="33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</row>
    <row r="2270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</row>
    <row r="2271">
      <c r="A2271" s="33"/>
      <c r="B2271" s="33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</row>
    <row r="2272">
      <c r="A2272" s="33"/>
      <c r="B2272" s="33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</row>
    <row r="2273">
      <c r="A2273" s="33"/>
      <c r="B2273" s="33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</row>
    <row r="2274">
      <c r="A2274" s="33"/>
      <c r="B2274" s="33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</row>
    <row r="2275">
      <c r="A2275" s="33"/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</row>
    <row r="2276">
      <c r="A2276" s="33"/>
      <c r="B2276" s="33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</row>
    <row r="2277">
      <c r="A2277" s="33"/>
      <c r="B2277" s="33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</row>
    <row r="2278">
      <c r="A2278" s="33"/>
      <c r="B2278" s="33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</row>
    <row r="2279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</row>
    <row r="2280">
      <c r="A2280" s="33"/>
      <c r="B2280" s="33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</row>
    <row r="2281">
      <c r="A2281" s="33"/>
      <c r="B2281" s="33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</row>
    <row r="2282">
      <c r="A2282" s="33"/>
      <c r="B2282" s="33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</row>
    <row r="2283">
      <c r="A2283" s="33"/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</row>
    <row r="2284">
      <c r="A2284" s="33"/>
      <c r="B2284" s="33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</row>
    <row r="2285">
      <c r="A2285" s="33"/>
      <c r="B2285" s="33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</row>
    <row r="2286">
      <c r="A2286" s="33"/>
      <c r="B2286" s="33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</row>
    <row r="2287">
      <c r="A2287" s="33"/>
      <c r="B2287" s="33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</row>
    <row r="2288">
      <c r="A2288" s="33"/>
      <c r="B2288" s="33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</row>
    <row r="2289">
      <c r="A2289" s="33"/>
      <c r="B2289" s="33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</row>
    <row r="2290">
      <c r="A2290" s="33"/>
      <c r="B2290" s="33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</row>
    <row r="2291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</row>
    <row r="2292">
      <c r="A2292" s="33"/>
      <c r="B2292" s="33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</row>
    <row r="2293">
      <c r="A2293" s="33"/>
      <c r="B2293" s="33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</row>
    <row r="2294">
      <c r="A2294" s="33"/>
      <c r="B2294" s="33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</row>
    <row r="2295">
      <c r="A2295" s="33"/>
      <c r="B2295" s="33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</row>
    <row r="2296">
      <c r="A2296" s="33"/>
      <c r="B2296" s="33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/>
      <c r="AF2296" s="33"/>
      <c r="AG2296" s="33"/>
      <c r="AH2296" s="33"/>
      <c r="AI2296" s="33"/>
      <c r="AJ2296" s="33"/>
      <c r="AK2296" s="33"/>
    </row>
    <row r="2297">
      <c r="A2297" s="33"/>
      <c r="B2297" s="33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</row>
    <row r="2298">
      <c r="A2298" s="33"/>
      <c r="B2298" s="33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/>
      <c r="AD2298" s="33"/>
      <c r="AE2298" s="33"/>
      <c r="AF2298" s="33"/>
      <c r="AG2298" s="33"/>
      <c r="AH2298" s="33"/>
      <c r="AI2298" s="33"/>
      <c r="AJ2298" s="33"/>
      <c r="AK2298" s="33"/>
    </row>
    <row r="2299">
      <c r="A2299" s="33"/>
      <c r="B2299" s="33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</row>
    <row r="2300">
      <c r="A2300" s="33"/>
      <c r="B2300" s="33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</row>
    <row r="2301">
      <c r="A2301" s="33"/>
      <c r="B2301" s="33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</row>
    <row r="2302">
      <c r="A2302" s="33"/>
      <c r="B2302" s="33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/>
      <c r="AD2302" s="33"/>
      <c r="AE2302" s="33"/>
      <c r="AF2302" s="33"/>
      <c r="AG2302" s="33"/>
      <c r="AH2302" s="33"/>
      <c r="AI2302" s="33"/>
      <c r="AJ2302" s="33"/>
      <c r="AK2302" s="33"/>
    </row>
    <row r="2303">
      <c r="A2303" s="33"/>
      <c r="B2303" s="33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/>
      <c r="AD2303" s="33"/>
      <c r="AE2303" s="33"/>
      <c r="AF2303" s="33"/>
      <c r="AG2303" s="33"/>
      <c r="AH2303" s="33"/>
      <c r="AI2303" s="33"/>
      <c r="AJ2303" s="33"/>
      <c r="AK2303" s="33"/>
    </row>
    <row r="2304">
      <c r="A2304" s="33"/>
      <c r="B2304" s="33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/>
      <c r="AD2304" s="33"/>
      <c r="AE2304" s="33"/>
      <c r="AF2304" s="33"/>
      <c r="AG2304" s="33"/>
      <c r="AH2304" s="33"/>
      <c r="AI2304" s="33"/>
      <c r="AJ2304" s="33"/>
      <c r="AK2304" s="33"/>
    </row>
    <row r="2305">
      <c r="A2305" s="33"/>
      <c r="B2305" s="33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</row>
    <row r="2306">
      <c r="A2306" s="33"/>
      <c r="B2306" s="33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/>
      <c r="AD2306" s="33"/>
      <c r="AE2306" s="33"/>
      <c r="AF2306" s="33"/>
      <c r="AG2306" s="33"/>
      <c r="AH2306" s="33"/>
      <c r="AI2306" s="33"/>
      <c r="AJ2306" s="33"/>
      <c r="AK2306" s="33"/>
    </row>
    <row r="2307">
      <c r="A2307" s="33"/>
      <c r="B2307" s="33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</row>
    <row r="2308">
      <c r="A2308" s="33"/>
      <c r="B2308" s="33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</row>
    <row r="2309">
      <c r="A2309" s="33"/>
      <c r="B2309" s="33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/>
      <c r="AD2309" s="33"/>
      <c r="AE2309" s="33"/>
      <c r="AF2309" s="33"/>
      <c r="AG2309" s="33"/>
      <c r="AH2309" s="33"/>
      <c r="AI2309" s="33"/>
      <c r="AJ2309" s="33"/>
      <c r="AK2309" s="33"/>
    </row>
    <row r="2310">
      <c r="A2310" s="33"/>
      <c r="B2310" s="33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</row>
    <row r="2311">
      <c r="A2311" s="33"/>
      <c r="B2311" s="33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/>
      <c r="AD2311" s="33"/>
      <c r="AE2311" s="33"/>
      <c r="AF2311" s="33"/>
      <c r="AG2311" s="33"/>
      <c r="AH2311" s="33"/>
      <c r="AI2311" s="33"/>
      <c r="AJ2311" s="33"/>
      <c r="AK2311" s="33"/>
    </row>
    <row r="2312">
      <c r="A2312" s="33"/>
      <c r="B2312" s="33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</row>
    <row r="2313">
      <c r="A2313" s="33"/>
      <c r="B2313" s="33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</row>
    <row r="2314">
      <c r="A2314" s="33"/>
      <c r="B2314" s="33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</row>
    <row r="2315">
      <c r="A2315" s="33"/>
      <c r="B2315" s="33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</row>
    <row r="2316">
      <c r="A2316" s="33"/>
      <c r="B2316" s="33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</row>
    <row r="2317">
      <c r="A2317" s="33"/>
      <c r="B2317" s="33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/>
      <c r="AD2317" s="33"/>
      <c r="AE2317" s="33"/>
      <c r="AF2317" s="33"/>
      <c r="AG2317" s="33"/>
      <c r="AH2317" s="33"/>
      <c r="AI2317" s="33"/>
      <c r="AJ2317" s="33"/>
      <c r="AK2317" s="33"/>
    </row>
    <row r="2318">
      <c r="A2318" s="33"/>
      <c r="B2318" s="33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</row>
    <row r="2319">
      <c r="A2319" s="33"/>
      <c r="B2319" s="33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</row>
    <row r="2320">
      <c r="A2320" s="33"/>
      <c r="B2320" s="33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</row>
    <row r="2321">
      <c r="A2321" s="33"/>
      <c r="B2321" s="33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</row>
    <row r="2322">
      <c r="A2322" s="33"/>
      <c r="B2322" s="33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</row>
    <row r="2323">
      <c r="A2323" s="33"/>
      <c r="B2323" s="33"/>
      <c r="C2323" s="33"/>
      <c r="D2323" s="33"/>
      <c r="E2323" s="33"/>
      <c r="F2323" s="33"/>
      <c r="G2323" s="33"/>
      <c r="H2323" s="33"/>
      <c r="I2323" s="33"/>
      <c r="J2323" s="33"/>
      <c r="K2323" s="33"/>
      <c r="L2323" s="33"/>
      <c r="M2323" s="33"/>
      <c r="N2323" s="33"/>
      <c r="O2323" s="33"/>
      <c r="P2323" s="33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  <c r="AB2323" s="33"/>
      <c r="AC2323" s="33"/>
      <c r="AD2323" s="33"/>
      <c r="AE2323" s="33"/>
      <c r="AF2323" s="33"/>
      <c r="AG2323" s="33"/>
      <c r="AH2323" s="33"/>
      <c r="AI2323" s="33"/>
      <c r="AJ2323" s="33"/>
      <c r="AK2323" s="33"/>
    </row>
    <row r="2324">
      <c r="A2324" s="33"/>
      <c r="B2324" s="33"/>
      <c r="C2324" s="33"/>
      <c r="D2324" s="33"/>
      <c r="E2324" s="33"/>
      <c r="F2324" s="33"/>
      <c r="G2324" s="33"/>
      <c r="H2324" s="33"/>
      <c r="I2324" s="33"/>
      <c r="J2324" s="33"/>
      <c r="K2324" s="33"/>
      <c r="L2324" s="33"/>
      <c r="M2324" s="33"/>
      <c r="N2324" s="33"/>
      <c r="O2324" s="33"/>
      <c r="P2324" s="33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  <c r="AB2324" s="33"/>
      <c r="AC2324" s="33"/>
      <c r="AD2324" s="33"/>
      <c r="AE2324" s="33"/>
      <c r="AF2324" s="33"/>
      <c r="AG2324" s="33"/>
      <c r="AH2324" s="33"/>
      <c r="AI2324" s="33"/>
      <c r="AJ2324" s="33"/>
      <c r="AK2324" s="33"/>
    </row>
    <row r="2325">
      <c r="A2325" s="33"/>
      <c r="B2325" s="33"/>
      <c r="C2325" s="33"/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  <c r="AB2325" s="33"/>
      <c r="AC2325" s="33"/>
      <c r="AD2325" s="33"/>
      <c r="AE2325" s="33"/>
      <c r="AF2325" s="33"/>
      <c r="AG2325" s="33"/>
      <c r="AH2325" s="33"/>
      <c r="AI2325" s="33"/>
      <c r="AJ2325" s="33"/>
      <c r="AK2325" s="33"/>
    </row>
    <row r="2326">
      <c r="A2326" s="33"/>
      <c r="B2326" s="33"/>
      <c r="C2326" s="33"/>
      <c r="D2326" s="33"/>
      <c r="E2326" s="33"/>
      <c r="F2326" s="33"/>
      <c r="G2326" s="33"/>
      <c r="H2326" s="33"/>
      <c r="I2326" s="33"/>
      <c r="J2326" s="33"/>
      <c r="K2326" s="33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  <c r="AB2326" s="33"/>
      <c r="AC2326" s="33"/>
      <c r="AD2326" s="33"/>
      <c r="AE2326" s="33"/>
      <c r="AF2326" s="33"/>
      <c r="AG2326" s="33"/>
      <c r="AH2326" s="33"/>
      <c r="AI2326" s="33"/>
      <c r="AJ2326" s="33"/>
      <c r="AK2326" s="33"/>
    </row>
    <row r="2327">
      <c r="A2327" s="33"/>
      <c r="B2327" s="33"/>
      <c r="C2327" s="33"/>
      <c r="D2327" s="33"/>
      <c r="E2327" s="33"/>
      <c r="F2327" s="33"/>
      <c r="G2327" s="33"/>
      <c r="H2327" s="33"/>
      <c r="I2327" s="33"/>
      <c r="J2327" s="33"/>
      <c r="K2327" s="33"/>
      <c r="L2327" s="33"/>
      <c r="M2327" s="33"/>
      <c r="N2327" s="33"/>
      <c r="O2327" s="33"/>
      <c r="P2327" s="33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  <c r="AB2327" s="33"/>
      <c r="AC2327" s="33"/>
      <c r="AD2327" s="33"/>
      <c r="AE2327" s="33"/>
      <c r="AF2327" s="33"/>
      <c r="AG2327" s="33"/>
      <c r="AH2327" s="33"/>
      <c r="AI2327" s="33"/>
      <c r="AJ2327" s="33"/>
      <c r="AK2327" s="33"/>
    </row>
    <row r="2328">
      <c r="A2328" s="33"/>
      <c r="B2328" s="33"/>
      <c r="C2328" s="33"/>
      <c r="D2328" s="33"/>
      <c r="E2328" s="33"/>
      <c r="F2328" s="33"/>
      <c r="G2328" s="33"/>
      <c r="H2328" s="33"/>
      <c r="I2328" s="33"/>
      <c r="J2328" s="33"/>
      <c r="K2328" s="33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  <c r="AB2328" s="33"/>
      <c r="AC2328" s="33"/>
      <c r="AD2328" s="33"/>
      <c r="AE2328" s="33"/>
      <c r="AF2328" s="33"/>
      <c r="AG2328" s="33"/>
      <c r="AH2328" s="33"/>
      <c r="AI2328" s="33"/>
      <c r="AJ2328" s="33"/>
      <c r="AK2328" s="33"/>
    </row>
    <row r="2329">
      <c r="A2329" s="33"/>
      <c r="B2329" s="33"/>
      <c r="C2329" s="33"/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  <c r="AB2329" s="33"/>
      <c r="AC2329" s="33"/>
      <c r="AD2329" s="33"/>
      <c r="AE2329" s="33"/>
      <c r="AF2329" s="33"/>
      <c r="AG2329" s="33"/>
      <c r="AH2329" s="33"/>
      <c r="AI2329" s="33"/>
      <c r="AJ2329" s="33"/>
      <c r="AK2329" s="33"/>
    </row>
    <row r="2330">
      <c r="A2330" s="33"/>
      <c r="B2330" s="33"/>
      <c r="C2330" s="33"/>
      <c r="D2330" s="33"/>
      <c r="E2330" s="33"/>
      <c r="F2330" s="33"/>
      <c r="G2330" s="33"/>
      <c r="H2330" s="33"/>
      <c r="I2330" s="33"/>
      <c r="J2330" s="33"/>
      <c r="K2330" s="33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  <c r="AB2330" s="33"/>
      <c r="AC2330" s="33"/>
      <c r="AD2330" s="33"/>
      <c r="AE2330" s="33"/>
      <c r="AF2330" s="33"/>
      <c r="AG2330" s="33"/>
      <c r="AH2330" s="33"/>
      <c r="AI2330" s="33"/>
      <c r="AJ2330" s="33"/>
      <c r="AK2330" s="33"/>
    </row>
    <row r="2331">
      <c r="A2331" s="33"/>
      <c r="B2331" s="33"/>
      <c r="C2331" s="33"/>
      <c r="D2331" s="33"/>
      <c r="E2331" s="33"/>
      <c r="F2331" s="33"/>
      <c r="G2331" s="33"/>
      <c r="H2331" s="33"/>
      <c r="I2331" s="33"/>
      <c r="J2331" s="33"/>
      <c r="K2331" s="33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  <c r="AB2331" s="33"/>
      <c r="AC2331" s="33"/>
      <c r="AD2331" s="33"/>
      <c r="AE2331" s="33"/>
      <c r="AF2331" s="33"/>
      <c r="AG2331" s="33"/>
      <c r="AH2331" s="33"/>
      <c r="AI2331" s="33"/>
      <c r="AJ2331" s="33"/>
      <c r="AK2331" s="33"/>
    </row>
    <row r="2332">
      <c r="A2332" s="33"/>
      <c r="B2332" s="33"/>
      <c r="C2332" s="33"/>
      <c r="D2332" s="33"/>
      <c r="E2332" s="33"/>
      <c r="F2332" s="33"/>
      <c r="G2332" s="33"/>
      <c r="H2332" s="33"/>
      <c r="I2332" s="33"/>
      <c r="J2332" s="33"/>
      <c r="K2332" s="33"/>
      <c r="L2332" s="33"/>
      <c r="M2332" s="33"/>
      <c r="N2332" s="33"/>
      <c r="O2332" s="33"/>
      <c r="P2332" s="33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  <c r="AB2332" s="33"/>
      <c r="AC2332" s="33"/>
      <c r="AD2332" s="33"/>
      <c r="AE2332" s="33"/>
      <c r="AF2332" s="33"/>
      <c r="AG2332" s="33"/>
      <c r="AH2332" s="33"/>
      <c r="AI2332" s="33"/>
      <c r="AJ2332" s="33"/>
      <c r="AK2332" s="33"/>
    </row>
    <row r="2333">
      <c r="A2333" s="33"/>
      <c r="B2333" s="33"/>
      <c r="C2333" s="33"/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  <c r="AB2333" s="33"/>
      <c r="AC2333" s="33"/>
      <c r="AD2333" s="33"/>
      <c r="AE2333" s="33"/>
      <c r="AF2333" s="33"/>
      <c r="AG2333" s="33"/>
      <c r="AH2333" s="33"/>
      <c r="AI2333" s="33"/>
      <c r="AJ2333" s="33"/>
      <c r="AK2333" s="33"/>
    </row>
    <row r="2334">
      <c r="A2334" s="33"/>
      <c r="B2334" s="33"/>
      <c r="C2334" s="33"/>
      <c r="D2334" s="33"/>
      <c r="E2334" s="33"/>
      <c r="F2334" s="33"/>
      <c r="G2334" s="33"/>
      <c r="H2334" s="33"/>
      <c r="I2334" s="33"/>
      <c r="J2334" s="33"/>
      <c r="K2334" s="33"/>
      <c r="L2334" s="33"/>
      <c r="M2334" s="33"/>
      <c r="N2334" s="33"/>
      <c r="O2334" s="33"/>
      <c r="P2334" s="33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  <c r="AB2334" s="33"/>
      <c r="AC2334" s="33"/>
      <c r="AD2334" s="33"/>
      <c r="AE2334" s="33"/>
      <c r="AF2334" s="33"/>
      <c r="AG2334" s="33"/>
      <c r="AH2334" s="33"/>
      <c r="AI2334" s="33"/>
      <c r="AJ2334" s="33"/>
      <c r="AK2334" s="33"/>
    </row>
    <row r="2335">
      <c r="A2335" s="33"/>
      <c r="B2335" s="33"/>
      <c r="C2335" s="33"/>
      <c r="D2335" s="33"/>
      <c r="E2335" s="33"/>
      <c r="F2335" s="33"/>
      <c r="G2335" s="33"/>
      <c r="H2335" s="33"/>
      <c r="I2335" s="33"/>
      <c r="J2335" s="33"/>
      <c r="K2335" s="33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  <c r="AB2335" s="33"/>
      <c r="AC2335" s="33"/>
      <c r="AD2335" s="33"/>
      <c r="AE2335" s="33"/>
      <c r="AF2335" s="33"/>
      <c r="AG2335" s="33"/>
      <c r="AH2335" s="33"/>
      <c r="AI2335" s="33"/>
      <c r="AJ2335" s="33"/>
      <c r="AK2335" s="33"/>
    </row>
    <row r="2336">
      <c r="A2336" s="33"/>
      <c r="B2336" s="33"/>
      <c r="C2336" s="33"/>
      <c r="D2336" s="33"/>
      <c r="E2336" s="33"/>
      <c r="F2336" s="33"/>
      <c r="G2336" s="33"/>
      <c r="H2336" s="33"/>
      <c r="I2336" s="33"/>
      <c r="J2336" s="33"/>
      <c r="K2336" s="33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  <c r="AB2336" s="33"/>
      <c r="AC2336" s="33"/>
      <c r="AD2336" s="33"/>
      <c r="AE2336" s="33"/>
      <c r="AF2336" s="33"/>
      <c r="AG2336" s="33"/>
      <c r="AH2336" s="33"/>
      <c r="AI2336" s="33"/>
      <c r="AJ2336" s="33"/>
      <c r="AK2336" s="33"/>
    </row>
    <row r="2337">
      <c r="A2337" s="33"/>
      <c r="B2337" s="33"/>
      <c r="C2337" s="33"/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  <c r="AB2337" s="33"/>
      <c r="AC2337" s="33"/>
      <c r="AD2337" s="33"/>
      <c r="AE2337" s="33"/>
      <c r="AF2337" s="33"/>
      <c r="AG2337" s="33"/>
      <c r="AH2337" s="33"/>
      <c r="AI2337" s="33"/>
      <c r="AJ2337" s="33"/>
      <c r="AK2337" s="33"/>
    </row>
    <row r="2338">
      <c r="A2338" s="33"/>
      <c r="B2338" s="33"/>
      <c r="C2338" s="33"/>
      <c r="D2338" s="33"/>
      <c r="E2338" s="33"/>
      <c r="F2338" s="33"/>
      <c r="G2338" s="33"/>
      <c r="H2338" s="33"/>
      <c r="I2338" s="33"/>
      <c r="J2338" s="33"/>
      <c r="K2338" s="33"/>
      <c r="L2338" s="33"/>
      <c r="M2338" s="33"/>
      <c r="N2338" s="33"/>
      <c r="O2338" s="33"/>
      <c r="P2338" s="33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  <c r="AB2338" s="33"/>
      <c r="AC2338" s="33"/>
      <c r="AD2338" s="33"/>
      <c r="AE2338" s="33"/>
      <c r="AF2338" s="33"/>
      <c r="AG2338" s="33"/>
      <c r="AH2338" s="33"/>
      <c r="AI2338" s="33"/>
      <c r="AJ2338" s="33"/>
      <c r="AK2338" s="33"/>
    </row>
    <row r="2339">
      <c r="A2339" s="33"/>
      <c r="B2339" s="33"/>
      <c r="C2339" s="33"/>
      <c r="D2339" s="33"/>
      <c r="E2339" s="33"/>
      <c r="F2339" s="33"/>
      <c r="G2339" s="33"/>
      <c r="H2339" s="33"/>
      <c r="I2339" s="33"/>
      <c r="J2339" s="33"/>
      <c r="K2339" s="33"/>
      <c r="L2339" s="33"/>
      <c r="M2339" s="33"/>
      <c r="N2339" s="33"/>
      <c r="O2339" s="33"/>
      <c r="P2339" s="33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  <c r="AB2339" s="33"/>
      <c r="AC2339" s="33"/>
      <c r="AD2339" s="33"/>
      <c r="AE2339" s="33"/>
      <c r="AF2339" s="33"/>
      <c r="AG2339" s="33"/>
      <c r="AH2339" s="33"/>
      <c r="AI2339" s="33"/>
      <c r="AJ2339" s="33"/>
      <c r="AK2339" s="33"/>
    </row>
    <row r="2340">
      <c r="A2340" s="33"/>
      <c r="B2340" s="33"/>
      <c r="C2340" s="33"/>
      <c r="D2340" s="33"/>
      <c r="E2340" s="33"/>
      <c r="F2340" s="33"/>
      <c r="G2340" s="33"/>
      <c r="H2340" s="33"/>
      <c r="I2340" s="33"/>
      <c r="J2340" s="33"/>
      <c r="K2340" s="33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  <c r="AB2340" s="33"/>
      <c r="AC2340" s="33"/>
      <c r="AD2340" s="33"/>
      <c r="AE2340" s="33"/>
      <c r="AF2340" s="33"/>
      <c r="AG2340" s="33"/>
      <c r="AH2340" s="33"/>
      <c r="AI2340" s="33"/>
      <c r="AJ2340" s="33"/>
      <c r="AK2340" s="33"/>
    </row>
    <row r="2341">
      <c r="A2341" s="33"/>
      <c r="B2341" s="33"/>
      <c r="C2341" s="33"/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  <c r="AB2341" s="33"/>
      <c r="AC2341" s="33"/>
      <c r="AD2341" s="33"/>
      <c r="AE2341" s="33"/>
      <c r="AF2341" s="33"/>
      <c r="AG2341" s="33"/>
      <c r="AH2341" s="33"/>
      <c r="AI2341" s="33"/>
      <c r="AJ2341" s="33"/>
      <c r="AK2341" s="33"/>
    </row>
    <row r="2342">
      <c r="A2342" s="33"/>
      <c r="B2342" s="33"/>
      <c r="C2342" s="33"/>
      <c r="D2342" s="33"/>
      <c r="E2342" s="33"/>
      <c r="F2342" s="33"/>
      <c r="G2342" s="33"/>
      <c r="H2342" s="33"/>
      <c r="I2342" s="33"/>
      <c r="J2342" s="33"/>
      <c r="K2342" s="33"/>
      <c r="L2342" s="33"/>
      <c r="M2342" s="33"/>
      <c r="N2342" s="33"/>
      <c r="O2342" s="33"/>
      <c r="P2342" s="33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  <c r="AB2342" s="33"/>
      <c r="AC2342" s="33"/>
      <c r="AD2342" s="33"/>
      <c r="AE2342" s="33"/>
      <c r="AF2342" s="33"/>
      <c r="AG2342" s="33"/>
      <c r="AH2342" s="33"/>
      <c r="AI2342" s="33"/>
      <c r="AJ2342" s="33"/>
      <c r="AK2342" s="33"/>
    </row>
    <row r="2343">
      <c r="A2343" s="33"/>
      <c r="B2343" s="33"/>
      <c r="C2343" s="33"/>
      <c r="D2343" s="33"/>
      <c r="E2343" s="33"/>
      <c r="F2343" s="33"/>
      <c r="G2343" s="33"/>
      <c r="H2343" s="33"/>
      <c r="I2343" s="33"/>
      <c r="J2343" s="33"/>
      <c r="K2343" s="33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  <c r="AB2343" s="33"/>
      <c r="AC2343" s="33"/>
      <c r="AD2343" s="33"/>
      <c r="AE2343" s="33"/>
      <c r="AF2343" s="33"/>
      <c r="AG2343" s="33"/>
      <c r="AH2343" s="33"/>
      <c r="AI2343" s="33"/>
      <c r="AJ2343" s="33"/>
      <c r="AK2343" s="33"/>
    </row>
    <row r="2344">
      <c r="A2344" s="33"/>
      <c r="B2344" s="33"/>
      <c r="C2344" s="33"/>
      <c r="D2344" s="33"/>
      <c r="E2344" s="33"/>
      <c r="F2344" s="33"/>
      <c r="G2344" s="33"/>
      <c r="H2344" s="33"/>
      <c r="I2344" s="33"/>
      <c r="J2344" s="33"/>
      <c r="K2344" s="33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  <c r="AB2344" s="33"/>
      <c r="AC2344" s="33"/>
      <c r="AD2344" s="33"/>
      <c r="AE2344" s="33"/>
      <c r="AF2344" s="33"/>
      <c r="AG2344" s="33"/>
      <c r="AH2344" s="33"/>
      <c r="AI2344" s="33"/>
      <c r="AJ2344" s="33"/>
      <c r="AK2344" s="33"/>
    </row>
    <row r="2345">
      <c r="A2345" s="33"/>
      <c r="B2345" s="33"/>
      <c r="C2345" s="33"/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  <c r="AB2345" s="33"/>
      <c r="AC2345" s="33"/>
      <c r="AD2345" s="33"/>
      <c r="AE2345" s="33"/>
      <c r="AF2345" s="33"/>
      <c r="AG2345" s="33"/>
      <c r="AH2345" s="33"/>
      <c r="AI2345" s="33"/>
      <c r="AJ2345" s="33"/>
      <c r="AK2345" s="33"/>
    </row>
    <row r="2346">
      <c r="A2346" s="33"/>
      <c r="B2346" s="33"/>
      <c r="C2346" s="33"/>
      <c r="D2346" s="33"/>
      <c r="E2346" s="33"/>
      <c r="F2346" s="33"/>
      <c r="G2346" s="33"/>
      <c r="H2346" s="33"/>
      <c r="I2346" s="33"/>
      <c r="J2346" s="33"/>
      <c r="K2346" s="33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  <c r="AB2346" s="33"/>
      <c r="AC2346" s="33"/>
      <c r="AD2346" s="33"/>
      <c r="AE2346" s="33"/>
      <c r="AF2346" s="33"/>
      <c r="AG2346" s="33"/>
      <c r="AH2346" s="33"/>
      <c r="AI2346" s="33"/>
      <c r="AJ2346" s="33"/>
      <c r="AK2346" s="33"/>
    </row>
    <row r="2347">
      <c r="A2347" s="33"/>
      <c r="B2347" s="33"/>
      <c r="C2347" s="33"/>
      <c r="D2347" s="33"/>
      <c r="E2347" s="33"/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33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  <c r="AB2347" s="33"/>
      <c r="AC2347" s="33"/>
      <c r="AD2347" s="33"/>
      <c r="AE2347" s="33"/>
      <c r="AF2347" s="33"/>
      <c r="AG2347" s="33"/>
      <c r="AH2347" s="33"/>
      <c r="AI2347" s="33"/>
      <c r="AJ2347" s="33"/>
      <c r="AK2347" s="33"/>
    </row>
    <row r="2348">
      <c r="A2348" s="33"/>
      <c r="B2348" s="33"/>
      <c r="C2348" s="33"/>
      <c r="D2348" s="33"/>
      <c r="E2348" s="33"/>
      <c r="F2348" s="33"/>
      <c r="G2348" s="33"/>
      <c r="H2348" s="33"/>
      <c r="I2348" s="33"/>
      <c r="J2348" s="33"/>
      <c r="K2348" s="33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  <c r="AB2348" s="33"/>
      <c r="AC2348" s="33"/>
      <c r="AD2348" s="33"/>
      <c r="AE2348" s="33"/>
      <c r="AF2348" s="33"/>
      <c r="AG2348" s="33"/>
      <c r="AH2348" s="33"/>
      <c r="AI2348" s="33"/>
      <c r="AJ2348" s="33"/>
      <c r="AK2348" s="33"/>
    </row>
    <row r="2349">
      <c r="A2349" s="33"/>
      <c r="B2349" s="33"/>
      <c r="C2349" s="33"/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  <c r="AB2349" s="33"/>
      <c r="AC2349" s="33"/>
      <c r="AD2349" s="33"/>
      <c r="AE2349" s="33"/>
      <c r="AF2349" s="33"/>
      <c r="AG2349" s="33"/>
      <c r="AH2349" s="33"/>
      <c r="AI2349" s="33"/>
      <c r="AJ2349" s="33"/>
      <c r="AK2349" s="33"/>
    </row>
    <row r="2350">
      <c r="A2350" s="33"/>
      <c r="B2350" s="33"/>
      <c r="C2350" s="33"/>
      <c r="D2350" s="33"/>
      <c r="E2350" s="33"/>
      <c r="F2350" s="33"/>
      <c r="G2350" s="33"/>
      <c r="H2350" s="33"/>
      <c r="I2350" s="33"/>
      <c r="J2350" s="33"/>
      <c r="K2350" s="33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  <c r="AB2350" s="33"/>
      <c r="AC2350" s="33"/>
      <c r="AD2350" s="33"/>
      <c r="AE2350" s="33"/>
      <c r="AF2350" s="33"/>
      <c r="AG2350" s="33"/>
      <c r="AH2350" s="33"/>
      <c r="AI2350" s="33"/>
      <c r="AJ2350" s="33"/>
      <c r="AK2350" s="33"/>
    </row>
    <row r="2351">
      <c r="A2351" s="33"/>
      <c r="B2351" s="33"/>
      <c r="C2351" s="33"/>
      <c r="D2351" s="33"/>
      <c r="E2351" s="33"/>
      <c r="F2351" s="33"/>
      <c r="G2351" s="33"/>
      <c r="H2351" s="33"/>
      <c r="I2351" s="33"/>
      <c r="J2351" s="33"/>
      <c r="K2351" s="33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  <c r="AB2351" s="33"/>
      <c r="AC2351" s="33"/>
      <c r="AD2351" s="33"/>
      <c r="AE2351" s="33"/>
      <c r="AF2351" s="33"/>
      <c r="AG2351" s="33"/>
      <c r="AH2351" s="33"/>
      <c r="AI2351" s="33"/>
      <c r="AJ2351" s="33"/>
      <c r="AK2351" s="33"/>
    </row>
    <row r="2352">
      <c r="A2352" s="33"/>
      <c r="B2352" s="33"/>
      <c r="C2352" s="33"/>
      <c r="D2352" s="33"/>
      <c r="E2352" s="33"/>
      <c r="F2352" s="33"/>
      <c r="G2352" s="33"/>
      <c r="H2352" s="33"/>
      <c r="I2352" s="33"/>
      <c r="J2352" s="33"/>
      <c r="K2352" s="33"/>
      <c r="L2352" s="33"/>
      <c r="M2352" s="33"/>
      <c r="N2352" s="33"/>
      <c r="O2352" s="33"/>
      <c r="P2352" s="33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  <c r="AB2352" s="33"/>
      <c r="AC2352" s="33"/>
      <c r="AD2352" s="33"/>
      <c r="AE2352" s="33"/>
      <c r="AF2352" s="33"/>
      <c r="AG2352" s="33"/>
      <c r="AH2352" s="33"/>
      <c r="AI2352" s="33"/>
      <c r="AJ2352" s="33"/>
      <c r="AK2352" s="33"/>
    </row>
    <row r="2353">
      <c r="A2353" s="33"/>
      <c r="B2353" s="33"/>
      <c r="C2353" s="33"/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  <c r="AB2353" s="33"/>
      <c r="AC2353" s="33"/>
      <c r="AD2353" s="33"/>
      <c r="AE2353" s="33"/>
      <c r="AF2353" s="33"/>
      <c r="AG2353" s="33"/>
      <c r="AH2353" s="33"/>
      <c r="AI2353" s="33"/>
      <c r="AJ2353" s="33"/>
      <c r="AK2353" s="33"/>
    </row>
    <row r="2354">
      <c r="A2354" s="33"/>
      <c r="B2354" s="33"/>
      <c r="C2354" s="33"/>
      <c r="D2354" s="33"/>
      <c r="E2354" s="33"/>
      <c r="F2354" s="33"/>
      <c r="G2354" s="33"/>
      <c r="H2354" s="33"/>
      <c r="I2354" s="33"/>
      <c r="J2354" s="33"/>
      <c r="K2354" s="33"/>
      <c r="L2354" s="33"/>
      <c r="M2354" s="33"/>
      <c r="N2354" s="33"/>
      <c r="O2354" s="33"/>
      <c r="P2354" s="33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  <c r="AB2354" s="33"/>
      <c r="AC2354" s="33"/>
      <c r="AD2354" s="33"/>
      <c r="AE2354" s="33"/>
      <c r="AF2354" s="33"/>
      <c r="AG2354" s="33"/>
      <c r="AH2354" s="33"/>
      <c r="AI2354" s="33"/>
      <c r="AJ2354" s="33"/>
      <c r="AK2354" s="33"/>
    </row>
    <row r="2355">
      <c r="A2355" s="33"/>
      <c r="B2355" s="33"/>
      <c r="C2355" s="33"/>
      <c r="D2355" s="33"/>
      <c r="E2355" s="33"/>
      <c r="F2355" s="33"/>
      <c r="G2355" s="33"/>
      <c r="H2355" s="33"/>
      <c r="I2355" s="33"/>
      <c r="J2355" s="33"/>
      <c r="K2355" s="33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  <c r="AB2355" s="33"/>
      <c r="AC2355" s="33"/>
      <c r="AD2355" s="33"/>
      <c r="AE2355" s="33"/>
      <c r="AF2355" s="33"/>
      <c r="AG2355" s="33"/>
      <c r="AH2355" s="33"/>
      <c r="AI2355" s="33"/>
      <c r="AJ2355" s="33"/>
      <c r="AK2355" s="33"/>
    </row>
    <row r="2356">
      <c r="A2356" s="33"/>
      <c r="B2356" s="33"/>
      <c r="C2356" s="33"/>
      <c r="D2356" s="33"/>
      <c r="E2356" s="33"/>
      <c r="F2356" s="33"/>
      <c r="G2356" s="33"/>
      <c r="H2356" s="33"/>
      <c r="I2356" s="33"/>
      <c r="J2356" s="33"/>
      <c r="K2356" s="33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  <c r="AB2356" s="33"/>
      <c r="AC2356" s="33"/>
      <c r="AD2356" s="33"/>
      <c r="AE2356" s="33"/>
      <c r="AF2356" s="33"/>
      <c r="AG2356" s="33"/>
      <c r="AH2356" s="33"/>
      <c r="AI2356" s="33"/>
      <c r="AJ2356" s="33"/>
      <c r="AK2356" s="33"/>
    </row>
    <row r="2357">
      <c r="A2357" s="33"/>
      <c r="B2357" s="33"/>
      <c r="C2357" s="33"/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  <c r="AB2357" s="33"/>
      <c r="AC2357" s="33"/>
      <c r="AD2357" s="33"/>
      <c r="AE2357" s="33"/>
      <c r="AF2357" s="33"/>
      <c r="AG2357" s="33"/>
      <c r="AH2357" s="33"/>
      <c r="AI2357" s="33"/>
      <c r="AJ2357" s="33"/>
      <c r="AK2357" s="33"/>
    </row>
    <row r="2358">
      <c r="A2358" s="33"/>
      <c r="B2358" s="33"/>
      <c r="C2358" s="33"/>
      <c r="D2358" s="33"/>
      <c r="E2358" s="33"/>
      <c r="F2358" s="33"/>
      <c r="G2358" s="33"/>
      <c r="H2358" s="33"/>
      <c r="I2358" s="33"/>
      <c r="J2358" s="33"/>
      <c r="K2358" s="33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  <c r="AB2358" s="33"/>
      <c r="AC2358" s="33"/>
      <c r="AD2358" s="33"/>
      <c r="AE2358" s="33"/>
      <c r="AF2358" s="33"/>
      <c r="AG2358" s="33"/>
      <c r="AH2358" s="33"/>
      <c r="AI2358" s="33"/>
      <c r="AJ2358" s="33"/>
      <c r="AK2358" s="33"/>
    </row>
    <row r="2359">
      <c r="A2359" s="33"/>
      <c r="B2359" s="33"/>
      <c r="C2359" s="33"/>
      <c r="D2359" s="33"/>
      <c r="E2359" s="33"/>
      <c r="F2359" s="33"/>
      <c r="G2359" s="33"/>
      <c r="H2359" s="33"/>
      <c r="I2359" s="33"/>
      <c r="J2359" s="33"/>
      <c r="K2359" s="33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  <c r="AB2359" s="33"/>
      <c r="AC2359" s="33"/>
      <c r="AD2359" s="33"/>
      <c r="AE2359" s="33"/>
      <c r="AF2359" s="33"/>
      <c r="AG2359" s="33"/>
      <c r="AH2359" s="33"/>
      <c r="AI2359" s="33"/>
      <c r="AJ2359" s="33"/>
      <c r="AK2359" s="33"/>
    </row>
    <row r="2360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  <c r="AB2360" s="33"/>
      <c r="AC2360" s="33"/>
      <c r="AD2360" s="33"/>
      <c r="AE2360" s="33"/>
      <c r="AF2360" s="33"/>
      <c r="AG2360" s="33"/>
      <c r="AH2360" s="33"/>
      <c r="AI2360" s="33"/>
      <c r="AJ2360" s="33"/>
      <c r="AK2360" s="33"/>
    </row>
    <row r="2361">
      <c r="A2361" s="33"/>
      <c r="B2361" s="33"/>
      <c r="C2361" s="33"/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  <c r="AB2361" s="33"/>
      <c r="AC2361" s="33"/>
      <c r="AD2361" s="33"/>
      <c r="AE2361" s="33"/>
      <c r="AF2361" s="33"/>
      <c r="AG2361" s="33"/>
      <c r="AH2361" s="33"/>
      <c r="AI2361" s="33"/>
      <c r="AJ2361" s="33"/>
      <c r="AK2361" s="33"/>
    </row>
    <row r="2362">
      <c r="A2362" s="33"/>
      <c r="B2362" s="33"/>
      <c r="C2362" s="33"/>
      <c r="D2362" s="33"/>
      <c r="E2362" s="33"/>
      <c r="F2362" s="33"/>
      <c r="G2362" s="33"/>
      <c r="H2362" s="33"/>
      <c r="I2362" s="33"/>
      <c r="J2362" s="33"/>
      <c r="K2362" s="33"/>
      <c r="L2362" s="33"/>
      <c r="M2362" s="33"/>
      <c r="N2362" s="33"/>
      <c r="O2362" s="33"/>
      <c r="P2362" s="33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  <c r="AB2362" s="33"/>
      <c r="AC2362" s="33"/>
      <c r="AD2362" s="33"/>
      <c r="AE2362" s="33"/>
      <c r="AF2362" s="33"/>
      <c r="AG2362" s="33"/>
      <c r="AH2362" s="33"/>
      <c r="AI2362" s="33"/>
      <c r="AJ2362" s="33"/>
      <c r="AK2362" s="33"/>
    </row>
    <row r="2363">
      <c r="A2363" s="33"/>
      <c r="B2363" s="33"/>
      <c r="C2363" s="33"/>
      <c r="D2363" s="33"/>
      <c r="E2363" s="33"/>
      <c r="F2363" s="33"/>
      <c r="G2363" s="33"/>
      <c r="H2363" s="33"/>
      <c r="I2363" s="33"/>
      <c r="J2363" s="33"/>
      <c r="K2363" s="33"/>
      <c r="L2363" s="33"/>
      <c r="M2363" s="33"/>
      <c r="N2363" s="33"/>
      <c r="O2363" s="33"/>
      <c r="P2363" s="33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  <c r="AB2363" s="33"/>
      <c r="AC2363" s="33"/>
      <c r="AD2363" s="33"/>
      <c r="AE2363" s="33"/>
      <c r="AF2363" s="33"/>
      <c r="AG2363" s="33"/>
      <c r="AH2363" s="33"/>
      <c r="AI2363" s="33"/>
      <c r="AJ2363" s="33"/>
      <c r="AK2363" s="33"/>
    </row>
    <row r="2364">
      <c r="A2364" s="33"/>
      <c r="B2364" s="33"/>
      <c r="C2364" s="33"/>
      <c r="D2364" s="33"/>
      <c r="E2364" s="33"/>
      <c r="F2364" s="33"/>
      <c r="G2364" s="33"/>
      <c r="H2364" s="33"/>
      <c r="I2364" s="33"/>
      <c r="J2364" s="33"/>
      <c r="K2364" s="33"/>
      <c r="L2364" s="33"/>
      <c r="M2364" s="33"/>
      <c r="N2364" s="33"/>
      <c r="O2364" s="33"/>
      <c r="P2364" s="33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  <c r="AB2364" s="33"/>
      <c r="AC2364" s="33"/>
      <c r="AD2364" s="33"/>
      <c r="AE2364" s="33"/>
      <c r="AF2364" s="33"/>
      <c r="AG2364" s="33"/>
      <c r="AH2364" s="33"/>
      <c r="AI2364" s="33"/>
      <c r="AJ2364" s="33"/>
      <c r="AK2364" s="33"/>
    </row>
    <row r="2365">
      <c r="A2365" s="33"/>
      <c r="B2365" s="33"/>
      <c r="C2365" s="33"/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  <c r="AB2365" s="33"/>
      <c r="AC2365" s="33"/>
      <c r="AD2365" s="33"/>
      <c r="AE2365" s="33"/>
      <c r="AF2365" s="33"/>
      <c r="AG2365" s="33"/>
      <c r="AH2365" s="33"/>
      <c r="AI2365" s="33"/>
      <c r="AJ2365" s="33"/>
      <c r="AK2365" s="33"/>
    </row>
    <row r="2366">
      <c r="A2366" s="33"/>
      <c r="B2366" s="33"/>
      <c r="C2366" s="33"/>
      <c r="D2366" s="33"/>
      <c r="E2366" s="33"/>
      <c r="F2366" s="33"/>
      <c r="G2366" s="33"/>
      <c r="H2366" s="33"/>
      <c r="I2366" s="33"/>
      <c r="J2366" s="33"/>
      <c r="K2366" s="33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  <c r="AB2366" s="33"/>
      <c r="AC2366" s="33"/>
      <c r="AD2366" s="33"/>
      <c r="AE2366" s="33"/>
      <c r="AF2366" s="33"/>
      <c r="AG2366" s="33"/>
      <c r="AH2366" s="33"/>
      <c r="AI2366" s="33"/>
      <c r="AJ2366" s="33"/>
      <c r="AK2366" s="33"/>
    </row>
    <row r="2367">
      <c r="A2367" s="33"/>
      <c r="B2367" s="33"/>
      <c r="C2367" s="33"/>
      <c r="D2367" s="33"/>
      <c r="E2367" s="33"/>
      <c r="F2367" s="33"/>
      <c r="G2367" s="33"/>
      <c r="H2367" s="33"/>
      <c r="I2367" s="33"/>
      <c r="J2367" s="33"/>
      <c r="K2367" s="33"/>
      <c r="L2367" s="33"/>
      <c r="M2367" s="33"/>
      <c r="N2367" s="33"/>
      <c r="O2367" s="33"/>
      <c r="P2367" s="33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33"/>
      <c r="AF2367" s="33"/>
      <c r="AG2367" s="33"/>
      <c r="AH2367" s="33"/>
      <c r="AI2367" s="33"/>
      <c r="AJ2367" s="33"/>
      <c r="AK2367" s="33"/>
    </row>
    <row r="2368">
      <c r="A2368" s="33"/>
      <c r="B2368" s="33"/>
      <c r="C2368" s="33"/>
      <c r="D2368" s="33"/>
      <c r="E2368" s="33"/>
      <c r="F2368" s="33"/>
      <c r="G2368" s="33"/>
      <c r="H2368" s="33"/>
      <c r="I2368" s="33"/>
      <c r="J2368" s="33"/>
      <c r="K2368" s="33"/>
      <c r="L2368" s="33"/>
      <c r="M2368" s="33"/>
      <c r="N2368" s="33"/>
      <c r="O2368" s="33"/>
      <c r="P2368" s="33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  <c r="AB2368" s="33"/>
      <c r="AC2368" s="33"/>
      <c r="AD2368" s="33"/>
      <c r="AE2368" s="33"/>
      <c r="AF2368" s="33"/>
      <c r="AG2368" s="33"/>
      <c r="AH2368" s="33"/>
      <c r="AI2368" s="33"/>
      <c r="AJ2368" s="33"/>
      <c r="AK2368" s="33"/>
    </row>
    <row r="2369">
      <c r="A2369" s="33"/>
      <c r="B2369" s="33"/>
      <c r="C2369" s="33"/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  <c r="AB2369" s="33"/>
      <c r="AC2369" s="33"/>
      <c r="AD2369" s="33"/>
      <c r="AE2369" s="33"/>
      <c r="AF2369" s="33"/>
      <c r="AG2369" s="33"/>
      <c r="AH2369" s="33"/>
      <c r="AI2369" s="33"/>
      <c r="AJ2369" s="33"/>
      <c r="AK2369" s="33"/>
    </row>
    <row r="2370">
      <c r="A2370" s="33"/>
      <c r="B2370" s="33"/>
      <c r="C2370" s="33"/>
      <c r="D2370" s="33"/>
      <c r="E2370" s="33"/>
      <c r="F2370" s="33"/>
      <c r="G2370" s="33"/>
      <c r="H2370" s="33"/>
      <c r="I2370" s="33"/>
      <c r="J2370" s="33"/>
      <c r="K2370" s="33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  <c r="AB2370" s="33"/>
      <c r="AC2370" s="33"/>
      <c r="AD2370" s="33"/>
      <c r="AE2370" s="33"/>
      <c r="AF2370" s="33"/>
      <c r="AG2370" s="33"/>
      <c r="AH2370" s="33"/>
      <c r="AI2370" s="33"/>
      <c r="AJ2370" s="33"/>
      <c r="AK2370" s="33"/>
    </row>
    <row r="2371">
      <c r="A2371" s="33"/>
      <c r="B2371" s="33"/>
      <c r="C2371" s="33"/>
      <c r="D2371" s="33"/>
      <c r="E2371" s="33"/>
      <c r="F2371" s="33"/>
      <c r="G2371" s="33"/>
      <c r="H2371" s="33"/>
      <c r="I2371" s="33"/>
      <c r="J2371" s="33"/>
      <c r="K2371" s="33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  <c r="AB2371" s="33"/>
      <c r="AC2371" s="33"/>
      <c r="AD2371" s="33"/>
      <c r="AE2371" s="33"/>
      <c r="AF2371" s="33"/>
      <c r="AG2371" s="33"/>
      <c r="AH2371" s="33"/>
      <c r="AI2371" s="33"/>
      <c r="AJ2371" s="33"/>
      <c r="AK2371" s="33"/>
    </row>
    <row r="2372">
      <c r="A2372" s="33"/>
      <c r="B2372" s="33"/>
      <c r="C2372" s="33"/>
      <c r="D2372" s="33"/>
      <c r="E2372" s="33"/>
      <c r="F2372" s="33"/>
      <c r="G2372" s="33"/>
      <c r="H2372" s="33"/>
      <c r="I2372" s="33"/>
      <c r="J2372" s="33"/>
      <c r="K2372" s="33"/>
      <c r="L2372" s="33"/>
      <c r="M2372" s="33"/>
      <c r="N2372" s="33"/>
      <c r="O2372" s="33"/>
      <c r="P2372" s="33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  <c r="AB2372" s="33"/>
      <c r="AC2372" s="33"/>
      <c r="AD2372" s="33"/>
      <c r="AE2372" s="33"/>
      <c r="AF2372" s="33"/>
      <c r="AG2372" s="33"/>
      <c r="AH2372" s="33"/>
      <c r="AI2372" s="33"/>
      <c r="AJ2372" s="33"/>
      <c r="AK2372" s="33"/>
    </row>
    <row r="2373">
      <c r="A2373" s="33"/>
      <c r="B2373" s="33"/>
      <c r="C2373" s="33"/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  <c r="AB2373" s="33"/>
      <c r="AC2373" s="33"/>
      <c r="AD2373" s="33"/>
      <c r="AE2373" s="33"/>
      <c r="AF2373" s="33"/>
      <c r="AG2373" s="33"/>
      <c r="AH2373" s="33"/>
      <c r="AI2373" s="33"/>
      <c r="AJ2373" s="33"/>
      <c r="AK2373" s="33"/>
    </row>
    <row r="2374">
      <c r="A2374" s="33"/>
      <c r="B2374" s="33"/>
      <c r="C2374" s="33"/>
      <c r="D2374" s="33"/>
      <c r="E2374" s="33"/>
      <c r="F2374" s="33"/>
      <c r="G2374" s="33"/>
      <c r="H2374" s="33"/>
      <c r="I2374" s="33"/>
      <c r="J2374" s="33"/>
      <c r="K2374" s="33"/>
      <c r="L2374" s="33"/>
      <c r="M2374" s="33"/>
      <c r="N2374" s="33"/>
      <c r="O2374" s="33"/>
      <c r="P2374" s="33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  <c r="AB2374" s="33"/>
      <c r="AC2374" s="33"/>
      <c r="AD2374" s="33"/>
      <c r="AE2374" s="33"/>
      <c r="AF2374" s="33"/>
      <c r="AG2374" s="33"/>
      <c r="AH2374" s="33"/>
      <c r="AI2374" s="33"/>
      <c r="AJ2374" s="33"/>
      <c r="AK2374" s="33"/>
    </row>
    <row r="2375">
      <c r="A2375" s="33"/>
      <c r="B2375" s="33"/>
      <c r="C2375" s="33"/>
      <c r="D2375" s="33"/>
      <c r="E2375" s="33"/>
      <c r="F2375" s="33"/>
      <c r="G2375" s="33"/>
      <c r="H2375" s="33"/>
      <c r="I2375" s="33"/>
      <c r="J2375" s="33"/>
      <c r="K2375" s="33"/>
      <c r="L2375" s="33"/>
      <c r="M2375" s="33"/>
      <c r="N2375" s="33"/>
      <c r="O2375" s="33"/>
      <c r="P2375" s="33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  <c r="AB2375" s="33"/>
      <c r="AC2375" s="33"/>
      <c r="AD2375" s="33"/>
      <c r="AE2375" s="33"/>
      <c r="AF2375" s="33"/>
      <c r="AG2375" s="33"/>
      <c r="AH2375" s="33"/>
      <c r="AI2375" s="33"/>
      <c r="AJ2375" s="33"/>
      <c r="AK2375" s="33"/>
    </row>
    <row r="2376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33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  <c r="AB2376" s="33"/>
      <c r="AC2376" s="33"/>
      <c r="AD2376" s="33"/>
      <c r="AE2376" s="33"/>
      <c r="AF2376" s="33"/>
      <c r="AG2376" s="33"/>
      <c r="AH2376" s="33"/>
      <c r="AI2376" s="33"/>
      <c r="AJ2376" s="33"/>
      <c r="AK2376" s="33"/>
    </row>
    <row r="2377">
      <c r="A2377" s="33"/>
      <c r="B2377" s="33"/>
      <c r="C2377" s="33"/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  <c r="AB2377" s="33"/>
      <c r="AC2377" s="33"/>
      <c r="AD2377" s="33"/>
      <c r="AE2377" s="33"/>
      <c r="AF2377" s="33"/>
      <c r="AG2377" s="33"/>
      <c r="AH2377" s="33"/>
      <c r="AI2377" s="33"/>
      <c r="AJ2377" s="33"/>
      <c r="AK2377" s="33"/>
    </row>
    <row r="2378">
      <c r="A2378" s="33"/>
      <c r="B2378" s="33"/>
      <c r="C2378" s="33"/>
      <c r="D2378" s="33"/>
      <c r="E2378" s="33"/>
      <c r="F2378" s="33"/>
      <c r="G2378" s="33"/>
      <c r="H2378" s="33"/>
      <c r="I2378" s="33"/>
      <c r="J2378" s="33"/>
      <c r="K2378" s="33"/>
      <c r="L2378" s="33"/>
      <c r="M2378" s="33"/>
      <c r="N2378" s="33"/>
      <c r="O2378" s="33"/>
      <c r="P2378" s="33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  <c r="AB2378" s="33"/>
      <c r="AC2378" s="33"/>
      <c r="AD2378" s="33"/>
      <c r="AE2378" s="33"/>
      <c r="AF2378" s="33"/>
      <c r="AG2378" s="33"/>
      <c r="AH2378" s="33"/>
      <c r="AI2378" s="33"/>
      <c r="AJ2378" s="33"/>
      <c r="AK2378" s="33"/>
    </row>
    <row r="2379">
      <c r="A2379" s="33"/>
      <c r="B2379" s="33"/>
      <c r="C2379" s="33"/>
      <c r="D2379" s="33"/>
      <c r="E2379" s="33"/>
      <c r="F2379" s="33"/>
      <c r="G2379" s="33"/>
      <c r="H2379" s="33"/>
      <c r="I2379" s="33"/>
      <c r="J2379" s="33"/>
      <c r="K2379" s="33"/>
      <c r="L2379" s="33"/>
      <c r="M2379" s="33"/>
      <c r="N2379" s="33"/>
      <c r="O2379" s="33"/>
      <c r="P2379" s="33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  <c r="AB2379" s="33"/>
      <c r="AC2379" s="33"/>
      <c r="AD2379" s="33"/>
      <c r="AE2379" s="33"/>
      <c r="AF2379" s="33"/>
      <c r="AG2379" s="33"/>
      <c r="AH2379" s="33"/>
      <c r="AI2379" s="33"/>
      <c r="AJ2379" s="33"/>
      <c r="AK2379" s="33"/>
    </row>
    <row r="2380">
      <c r="A2380" s="33"/>
      <c r="B2380" s="33"/>
      <c r="C2380" s="33"/>
      <c r="D2380" s="33"/>
      <c r="E2380" s="33"/>
      <c r="F2380" s="33"/>
      <c r="G2380" s="33"/>
      <c r="H2380" s="33"/>
      <c r="I2380" s="33"/>
      <c r="J2380" s="33"/>
      <c r="K2380" s="33"/>
      <c r="L2380" s="33"/>
      <c r="M2380" s="33"/>
      <c r="N2380" s="33"/>
      <c r="O2380" s="33"/>
      <c r="P2380" s="33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  <c r="AB2380" s="33"/>
      <c r="AC2380" s="33"/>
      <c r="AD2380" s="33"/>
      <c r="AE2380" s="33"/>
      <c r="AF2380" s="33"/>
      <c r="AG2380" s="33"/>
      <c r="AH2380" s="33"/>
      <c r="AI2380" s="33"/>
      <c r="AJ2380" s="33"/>
      <c r="AK2380" s="33"/>
    </row>
    <row r="2381">
      <c r="A2381" s="33"/>
      <c r="B2381" s="33"/>
      <c r="C2381" s="33"/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  <c r="AB2381" s="33"/>
      <c r="AC2381" s="33"/>
      <c r="AD2381" s="33"/>
      <c r="AE2381" s="33"/>
      <c r="AF2381" s="33"/>
      <c r="AG2381" s="33"/>
      <c r="AH2381" s="33"/>
      <c r="AI2381" s="33"/>
      <c r="AJ2381" s="33"/>
      <c r="AK2381" s="33"/>
    </row>
    <row r="2382">
      <c r="A2382" s="33"/>
      <c r="B2382" s="33"/>
      <c r="C2382" s="33"/>
      <c r="D2382" s="33"/>
      <c r="E2382" s="33"/>
      <c r="F2382" s="33"/>
      <c r="G2382" s="33"/>
      <c r="H2382" s="33"/>
      <c r="I2382" s="33"/>
      <c r="J2382" s="33"/>
      <c r="K2382" s="33"/>
      <c r="L2382" s="33"/>
      <c r="M2382" s="33"/>
      <c r="N2382" s="33"/>
      <c r="O2382" s="33"/>
      <c r="P2382" s="33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  <c r="AB2382" s="33"/>
      <c r="AC2382" s="33"/>
      <c r="AD2382" s="33"/>
      <c r="AE2382" s="33"/>
      <c r="AF2382" s="33"/>
      <c r="AG2382" s="33"/>
      <c r="AH2382" s="33"/>
      <c r="AI2382" s="33"/>
      <c r="AJ2382" s="33"/>
      <c r="AK2382" s="33"/>
    </row>
    <row r="2383">
      <c r="A2383" s="33"/>
      <c r="B2383" s="33"/>
      <c r="C2383" s="33"/>
      <c r="D2383" s="33"/>
      <c r="E2383" s="33"/>
      <c r="F2383" s="33"/>
      <c r="G2383" s="33"/>
      <c r="H2383" s="33"/>
      <c r="I2383" s="33"/>
      <c r="J2383" s="33"/>
      <c r="K2383" s="33"/>
      <c r="L2383" s="33"/>
      <c r="M2383" s="33"/>
      <c r="N2383" s="33"/>
      <c r="O2383" s="33"/>
      <c r="P2383" s="33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  <c r="AB2383" s="33"/>
      <c r="AC2383" s="33"/>
      <c r="AD2383" s="33"/>
      <c r="AE2383" s="33"/>
      <c r="AF2383" s="33"/>
      <c r="AG2383" s="33"/>
      <c r="AH2383" s="33"/>
      <c r="AI2383" s="33"/>
      <c r="AJ2383" s="33"/>
      <c r="AK2383" s="33"/>
    </row>
    <row r="2384">
      <c r="A2384" s="33"/>
      <c r="B2384" s="33"/>
      <c r="C2384" s="33"/>
      <c r="D2384" s="33"/>
      <c r="E2384" s="33"/>
      <c r="F2384" s="33"/>
      <c r="G2384" s="33"/>
      <c r="H2384" s="33"/>
      <c r="I2384" s="33"/>
      <c r="J2384" s="33"/>
      <c r="K2384" s="33"/>
      <c r="L2384" s="33"/>
      <c r="M2384" s="33"/>
      <c r="N2384" s="33"/>
      <c r="O2384" s="33"/>
      <c r="P2384" s="33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  <c r="AB2384" s="33"/>
      <c r="AC2384" s="33"/>
      <c r="AD2384" s="33"/>
      <c r="AE2384" s="33"/>
      <c r="AF2384" s="33"/>
      <c r="AG2384" s="33"/>
      <c r="AH2384" s="33"/>
      <c r="AI2384" s="33"/>
      <c r="AJ2384" s="33"/>
      <c r="AK2384" s="33"/>
    </row>
    <row r="2385">
      <c r="A2385" s="33"/>
      <c r="B2385" s="33"/>
      <c r="C2385" s="33"/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  <c r="AB2385" s="33"/>
      <c r="AC2385" s="33"/>
      <c r="AD2385" s="33"/>
      <c r="AE2385" s="33"/>
      <c r="AF2385" s="33"/>
      <c r="AG2385" s="33"/>
      <c r="AH2385" s="33"/>
      <c r="AI2385" s="33"/>
      <c r="AJ2385" s="33"/>
      <c r="AK2385" s="33"/>
    </row>
    <row r="2386">
      <c r="A2386" s="33"/>
      <c r="B2386" s="33"/>
      <c r="C2386" s="33"/>
      <c r="D2386" s="33"/>
      <c r="E2386" s="33"/>
      <c r="F2386" s="33"/>
      <c r="G2386" s="33"/>
      <c r="H2386" s="33"/>
      <c r="I2386" s="33"/>
      <c r="J2386" s="33"/>
      <c r="K2386" s="33"/>
      <c r="L2386" s="33"/>
      <c r="M2386" s="33"/>
      <c r="N2386" s="33"/>
      <c r="O2386" s="33"/>
      <c r="P2386" s="33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  <c r="AB2386" s="33"/>
      <c r="AC2386" s="33"/>
      <c r="AD2386" s="33"/>
      <c r="AE2386" s="33"/>
      <c r="AF2386" s="33"/>
      <c r="AG2386" s="33"/>
      <c r="AH2386" s="33"/>
      <c r="AI2386" s="33"/>
      <c r="AJ2386" s="33"/>
      <c r="AK2386" s="33"/>
    </row>
    <row r="2387">
      <c r="A2387" s="33"/>
      <c r="B2387" s="33"/>
      <c r="C2387" s="33"/>
      <c r="D2387" s="33"/>
      <c r="E2387" s="33"/>
      <c r="F2387" s="33"/>
      <c r="G2387" s="33"/>
      <c r="H2387" s="33"/>
      <c r="I2387" s="33"/>
      <c r="J2387" s="33"/>
      <c r="K2387" s="33"/>
      <c r="L2387" s="33"/>
      <c r="M2387" s="33"/>
      <c r="N2387" s="33"/>
      <c r="O2387" s="33"/>
      <c r="P2387" s="33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  <c r="AB2387" s="33"/>
      <c r="AC2387" s="33"/>
      <c r="AD2387" s="33"/>
      <c r="AE2387" s="33"/>
      <c r="AF2387" s="33"/>
      <c r="AG2387" s="33"/>
      <c r="AH2387" s="33"/>
      <c r="AI2387" s="33"/>
      <c r="AJ2387" s="33"/>
      <c r="AK2387" s="33"/>
    </row>
    <row r="2388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  <c r="O2388" s="33"/>
      <c r="P2388" s="33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  <c r="AB2388" s="33"/>
      <c r="AC2388" s="33"/>
      <c r="AD2388" s="33"/>
      <c r="AE2388" s="33"/>
      <c r="AF2388" s="33"/>
      <c r="AG2388" s="33"/>
      <c r="AH2388" s="33"/>
      <c r="AI2388" s="33"/>
      <c r="AJ2388" s="33"/>
      <c r="AK2388" s="33"/>
    </row>
    <row r="2389">
      <c r="A2389" s="33"/>
      <c r="B2389" s="33"/>
      <c r="C2389" s="33"/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  <c r="AB2389" s="33"/>
      <c r="AC2389" s="33"/>
      <c r="AD2389" s="33"/>
      <c r="AE2389" s="33"/>
      <c r="AF2389" s="33"/>
      <c r="AG2389" s="33"/>
      <c r="AH2389" s="33"/>
      <c r="AI2389" s="33"/>
      <c r="AJ2389" s="33"/>
      <c r="AK2389" s="33"/>
    </row>
    <row r="2390">
      <c r="A2390" s="33"/>
      <c r="B2390" s="33"/>
      <c r="C2390" s="33"/>
      <c r="D2390" s="33"/>
      <c r="E2390" s="33"/>
      <c r="F2390" s="33"/>
      <c r="G2390" s="33"/>
      <c r="H2390" s="33"/>
      <c r="I2390" s="33"/>
      <c r="J2390" s="33"/>
      <c r="K2390" s="33"/>
      <c r="L2390" s="33"/>
      <c r="M2390" s="33"/>
      <c r="N2390" s="33"/>
      <c r="O2390" s="33"/>
      <c r="P2390" s="33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  <c r="AB2390" s="33"/>
      <c r="AC2390" s="33"/>
      <c r="AD2390" s="33"/>
      <c r="AE2390" s="33"/>
      <c r="AF2390" s="33"/>
      <c r="AG2390" s="33"/>
      <c r="AH2390" s="33"/>
      <c r="AI2390" s="33"/>
      <c r="AJ2390" s="33"/>
      <c r="AK2390" s="33"/>
    </row>
    <row r="2391">
      <c r="A2391" s="33"/>
      <c r="B2391" s="33"/>
      <c r="C2391" s="33"/>
      <c r="D2391" s="33"/>
      <c r="E2391" s="33"/>
      <c r="F2391" s="33"/>
      <c r="G2391" s="33"/>
      <c r="H2391" s="33"/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  <c r="AB2391" s="33"/>
      <c r="AC2391" s="33"/>
      <c r="AD2391" s="33"/>
      <c r="AE2391" s="33"/>
      <c r="AF2391" s="33"/>
      <c r="AG2391" s="33"/>
      <c r="AH2391" s="33"/>
      <c r="AI2391" s="33"/>
      <c r="AJ2391" s="33"/>
      <c r="AK2391" s="33"/>
    </row>
    <row r="2392">
      <c r="A2392" s="33"/>
      <c r="B2392" s="33"/>
      <c r="C2392" s="33"/>
      <c r="D2392" s="33"/>
      <c r="E2392" s="33"/>
      <c r="F2392" s="33"/>
      <c r="G2392" s="33"/>
      <c r="H2392" s="33"/>
      <c r="I2392" s="33"/>
      <c r="J2392" s="33"/>
      <c r="K2392" s="33"/>
      <c r="L2392" s="33"/>
      <c r="M2392" s="33"/>
      <c r="N2392" s="33"/>
      <c r="O2392" s="33"/>
      <c r="P2392" s="33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  <c r="AB2392" s="33"/>
      <c r="AC2392" s="33"/>
      <c r="AD2392" s="33"/>
      <c r="AE2392" s="33"/>
      <c r="AF2392" s="33"/>
      <c r="AG2392" s="33"/>
      <c r="AH2392" s="33"/>
      <c r="AI2392" s="33"/>
      <c r="AJ2392" s="33"/>
      <c r="AK2392" s="33"/>
    </row>
    <row r="2393">
      <c r="A2393" s="33"/>
      <c r="B2393" s="33"/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  <c r="AB2393" s="33"/>
      <c r="AC2393" s="33"/>
      <c r="AD2393" s="33"/>
      <c r="AE2393" s="33"/>
      <c r="AF2393" s="33"/>
      <c r="AG2393" s="33"/>
      <c r="AH2393" s="33"/>
      <c r="AI2393" s="33"/>
      <c r="AJ2393" s="33"/>
      <c r="AK2393" s="33"/>
    </row>
    <row r="2394">
      <c r="A2394" s="33"/>
      <c r="B2394" s="33"/>
      <c r="C2394" s="33"/>
      <c r="D2394" s="33"/>
      <c r="E2394" s="33"/>
      <c r="F2394" s="33"/>
      <c r="G2394" s="33"/>
      <c r="H2394" s="33"/>
      <c r="I2394" s="33"/>
      <c r="J2394" s="33"/>
      <c r="K2394" s="33"/>
      <c r="L2394" s="33"/>
      <c r="M2394" s="33"/>
      <c r="N2394" s="33"/>
      <c r="O2394" s="33"/>
      <c r="P2394" s="33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  <c r="AB2394" s="33"/>
      <c r="AC2394" s="33"/>
      <c r="AD2394" s="33"/>
      <c r="AE2394" s="33"/>
      <c r="AF2394" s="33"/>
      <c r="AG2394" s="33"/>
      <c r="AH2394" s="33"/>
      <c r="AI2394" s="33"/>
      <c r="AJ2394" s="33"/>
      <c r="AK2394" s="33"/>
    </row>
    <row r="2395">
      <c r="A2395" s="33"/>
      <c r="B2395" s="33"/>
      <c r="C2395" s="33"/>
      <c r="D2395" s="33"/>
      <c r="E2395" s="33"/>
      <c r="F2395" s="33"/>
      <c r="G2395" s="33"/>
      <c r="H2395" s="33"/>
      <c r="I2395" s="33"/>
      <c r="J2395" s="33"/>
      <c r="K2395" s="33"/>
      <c r="L2395" s="33"/>
      <c r="M2395" s="33"/>
      <c r="N2395" s="33"/>
      <c r="O2395" s="33"/>
      <c r="P2395" s="33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  <c r="AB2395" s="33"/>
      <c r="AC2395" s="33"/>
      <c r="AD2395" s="33"/>
      <c r="AE2395" s="33"/>
      <c r="AF2395" s="33"/>
      <c r="AG2395" s="33"/>
      <c r="AH2395" s="33"/>
      <c r="AI2395" s="33"/>
      <c r="AJ2395" s="33"/>
      <c r="AK2395" s="33"/>
    </row>
    <row r="2396">
      <c r="A2396" s="33"/>
      <c r="B2396" s="33"/>
      <c r="C2396" s="33"/>
      <c r="D2396" s="33"/>
      <c r="E2396" s="33"/>
      <c r="F2396" s="33"/>
      <c r="G2396" s="33"/>
      <c r="H2396" s="33"/>
      <c r="I2396" s="33"/>
      <c r="J2396" s="33"/>
      <c r="K2396" s="33"/>
      <c r="L2396" s="33"/>
      <c r="M2396" s="33"/>
      <c r="N2396" s="33"/>
      <c r="O2396" s="33"/>
      <c r="P2396" s="33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  <c r="AB2396" s="33"/>
      <c r="AC2396" s="33"/>
      <c r="AD2396" s="33"/>
      <c r="AE2396" s="33"/>
      <c r="AF2396" s="33"/>
      <c r="AG2396" s="33"/>
      <c r="AH2396" s="33"/>
      <c r="AI2396" s="33"/>
      <c r="AJ2396" s="33"/>
      <c r="AK2396" s="33"/>
    </row>
    <row r="2397">
      <c r="A2397" s="33"/>
      <c r="B2397" s="33"/>
      <c r="C2397" s="33"/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  <c r="AB2397" s="33"/>
      <c r="AC2397" s="33"/>
      <c r="AD2397" s="33"/>
      <c r="AE2397" s="33"/>
      <c r="AF2397" s="33"/>
      <c r="AG2397" s="33"/>
      <c r="AH2397" s="33"/>
      <c r="AI2397" s="33"/>
      <c r="AJ2397" s="33"/>
      <c r="AK2397" s="33"/>
    </row>
    <row r="2398">
      <c r="A2398" s="33"/>
      <c r="B2398" s="33"/>
      <c r="C2398" s="33"/>
      <c r="D2398" s="33"/>
      <c r="E2398" s="33"/>
      <c r="F2398" s="33"/>
      <c r="G2398" s="33"/>
      <c r="H2398" s="33"/>
      <c r="I2398" s="33"/>
      <c r="J2398" s="33"/>
      <c r="K2398" s="33"/>
      <c r="L2398" s="33"/>
      <c r="M2398" s="33"/>
      <c r="N2398" s="33"/>
      <c r="O2398" s="33"/>
      <c r="P2398" s="33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  <c r="AB2398" s="33"/>
      <c r="AC2398" s="33"/>
      <c r="AD2398" s="33"/>
      <c r="AE2398" s="33"/>
      <c r="AF2398" s="33"/>
      <c r="AG2398" s="33"/>
      <c r="AH2398" s="33"/>
      <c r="AI2398" s="33"/>
      <c r="AJ2398" s="33"/>
      <c r="AK2398" s="33"/>
    </row>
    <row r="2399">
      <c r="A2399" s="33"/>
      <c r="B2399" s="33"/>
      <c r="C2399" s="33"/>
      <c r="D2399" s="33"/>
      <c r="E2399" s="33"/>
      <c r="F2399" s="33"/>
      <c r="G2399" s="33"/>
      <c r="H2399" s="33"/>
      <c r="I2399" s="33"/>
      <c r="J2399" s="33"/>
      <c r="K2399" s="33"/>
      <c r="L2399" s="33"/>
      <c r="M2399" s="33"/>
      <c r="N2399" s="33"/>
      <c r="O2399" s="33"/>
      <c r="P2399" s="33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  <c r="AB2399" s="33"/>
      <c r="AC2399" s="33"/>
      <c r="AD2399" s="33"/>
      <c r="AE2399" s="33"/>
      <c r="AF2399" s="33"/>
      <c r="AG2399" s="33"/>
      <c r="AH2399" s="33"/>
      <c r="AI2399" s="33"/>
      <c r="AJ2399" s="33"/>
      <c r="AK2399" s="33"/>
    </row>
    <row r="2400">
      <c r="A2400" s="33"/>
      <c r="B2400" s="33"/>
      <c r="C2400" s="33"/>
      <c r="D2400" s="33"/>
      <c r="E2400" s="33"/>
      <c r="F2400" s="33"/>
      <c r="G2400" s="33"/>
      <c r="H2400" s="33"/>
      <c r="I2400" s="33"/>
      <c r="J2400" s="33"/>
      <c r="K2400" s="33"/>
      <c r="L2400" s="33"/>
      <c r="M2400" s="33"/>
      <c r="N2400" s="33"/>
      <c r="O2400" s="33"/>
      <c r="P2400" s="33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  <c r="AB2400" s="33"/>
      <c r="AC2400" s="33"/>
      <c r="AD2400" s="33"/>
      <c r="AE2400" s="33"/>
      <c r="AF2400" s="33"/>
      <c r="AG2400" s="33"/>
      <c r="AH2400" s="33"/>
      <c r="AI2400" s="33"/>
      <c r="AJ2400" s="33"/>
      <c r="AK2400" s="33"/>
    </row>
    <row r="2401">
      <c r="A2401" s="33"/>
      <c r="B2401" s="33"/>
      <c r="C2401" s="33"/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  <c r="AB2401" s="33"/>
      <c r="AC2401" s="33"/>
      <c r="AD2401" s="33"/>
      <c r="AE2401" s="33"/>
      <c r="AF2401" s="33"/>
      <c r="AG2401" s="33"/>
      <c r="AH2401" s="33"/>
      <c r="AI2401" s="33"/>
      <c r="AJ2401" s="33"/>
      <c r="AK2401" s="33"/>
    </row>
    <row r="2402">
      <c r="A2402" s="33"/>
      <c r="B2402" s="33"/>
      <c r="C2402" s="33"/>
      <c r="D2402" s="33"/>
      <c r="E2402" s="33"/>
      <c r="F2402" s="33"/>
      <c r="G2402" s="33"/>
      <c r="H2402" s="33"/>
      <c r="I2402" s="33"/>
      <c r="J2402" s="33"/>
      <c r="K2402" s="33"/>
      <c r="L2402" s="33"/>
      <c r="M2402" s="33"/>
      <c r="N2402" s="33"/>
      <c r="O2402" s="33"/>
      <c r="P2402" s="33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  <c r="AB2402" s="33"/>
      <c r="AC2402" s="33"/>
      <c r="AD2402" s="33"/>
      <c r="AE2402" s="33"/>
      <c r="AF2402" s="33"/>
      <c r="AG2402" s="33"/>
      <c r="AH2402" s="33"/>
      <c r="AI2402" s="33"/>
      <c r="AJ2402" s="33"/>
      <c r="AK2402" s="33"/>
    </row>
    <row r="2403">
      <c r="A2403" s="33"/>
      <c r="B2403" s="33"/>
      <c r="C2403" s="33"/>
      <c r="D2403" s="33"/>
      <c r="E2403" s="33"/>
      <c r="F2403" s="33"/>
      <c r="G2403" s="33"/>
      <c r="H2403" s="33"/>
      <c r="I2403" s="33"/>
      <c r="J2403" s="33"/>
      <c r="K2403" s="33"/>
      <c r="L2403" s="33"/>
      <c r="M2403" s="33"/>
      <c r="N2403" s="33"/>
      <c r="O2403" s="33"/>
      <c r="P2403" s="33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  <c r="AB2403" s="33"/>
      <c r="AC2403" s="33"/>
      <c r="AD2403" s="33"/>
      <c r="AE2403" s="33"/>
      <c r="AF2403" s="33"/>
      <c r="AG2403" s="33"/>
      <c r="AH2403" s="33"/>
      <c r="AI2403" s="33"/>
      <c r="AJ2403" s="33"/>
      <c r="AK2403" s="33"/>
    </row>
    <row r="2404">
      <c r="A2404" s="33"/>
      <c r="B2404" s="33"/>
      <c r="C2404" s="33"/>
      <c r="D2404" s="33"/>
      <c r="E2404" s="33"/>
      <c r="F2404" s="33"/>
      <c r="G2404" s="33"/>
      <c r="H2404" s="33"/>
      <c r="I2404" s="33"/>
      <c r="J2404" s="33"/>
      <c r="K2404" s="33"/>
      <c r="L2404" s="33"/>
      <c r="M2404" s="33"/>
      <c r="N2404" s="33"/>
      <c r="O2404" s="33"/>
      <c r="P2404" s="33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  <c r="AB2404" s="33"/>
      <c r="AC2404" s="33"/>
      <c r="AD2404" s="33"/>
      <c r="AE2404" s="33"/>
      <c r="AF2404" s="33"/>
      <c r="AG2404" s="33"/>
      <c r="AH2404" s="33"/>
      <c r="AI2404" s="33"/>
      <c r="AJ2404" s="33"/>
      <c r="AK2404" s="33"/>
    </row>
    <row r="2405">
      <c r="A2405" s="33"/>
      <c r="B2405" s="33"/>
      <c r="C2405" s="33"/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  <c r="AB2405" s="33"/>
      <c r="AC2405" s="33"/>
      <c r="AD2405" s="33"/>
      <c r="AE2405" s="33"/>
      <c r="AF2405" s="33"/>
      <c r="AG2405" s="33"/>
      <c r="AH2405" s="33"/>
      <c r="AI2405" s="33"/>
      <c r="AJ2405" s="33"/>
      <c r="AK2405" s="33"/>
    </row>
    <row r="2406">
      <c r="A2406" s="33"/>
      <c r="B2406" s="33"/>
      <c r="C2406" s="33"/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3"/>
      <c r="P2406" s="33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  <c r="AB2406" s="33"/>
      <c r="AC2406" s="33"/>
      <c r="AD2406" s="33"/>
      <c r="AE2406" s="33"/>
      <c r="AF2406" s="33"/>
      <c r="AG2406" s="33"/>
      <c r="AH2406" s="33"/>
      <c r="AI2406" s="33"/>
      <c r="AJ2406" s="33"/>
      <c r="AK2406" s="33"/>
    </row>
    <row r="2407">
      <c r="A2407" s="33"/>
      <c r="B2407" s="33"/>
      <c r="C2407" s="33"/>
      <c r="D2407" s="33"/>
      <c r="E2407" s="33"/>
      <c r="F2407" s="33"/>
      <c r="G2407" s="33"/>
      <c r="H2407" s="33"/>
      <c r="I2407" s="33"/>
      <c r="J2407" s="33"/>
      <c r="K2407" s="33"/>
      <c r="L2407" s="33"/>
      <c r="M2407" s="33"/>
      <c r="N2407" s="33"/>
      <c r="O2407" s="33"/>
      <c r="P2407" s="33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  <c r="AB2407" s="33"/>
      <c r="AC2407" s="33"/>
      <c r="AD2407" s="33"/>
      <c r="AE2407" s="33"/>
      <c r="AF2407" s="33"/>
      <c r="AG2407" s="33"/>
      <c r="AH2407" s="33"/>
      <c r="AI2407" s="33"/>
      <c r="AJ2407" s="33"/>
      <c r="AK2407" s="33"/>
    </row>
    <row r="2408">
      <c r="A2408" s="33"/>
      <c r="B2408" s="33"/>
      <c r="C2408" s="33"/>
      <c r="D2408" s="33"/>
      <c r="E2408" s="33"/>
      <c r="F2408" s="33"/>
      <c r="G2408" s="33"/>
      <c r="H2408" s="33"/>
      <c r="I2408" s="33"/>
      <c r="J2408" s="33"/>
      <c r="K2408" s="33"/>
      <c r="L2408" s="33"/>
      <c r="M2408" s="33"/>
      <c r="N2408" s="33"/>
      <c r="O2408" s="33"/>
      <c r="P2408" s="33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  <c r="AB2408" s="33"/>
      <c r="AC2408" s="33"/>
      <c r="AD2408" s="33"/>
      <c r="AE2408" s="33"/>
      <c r="AF2408" s="33"/>
      <c r="AG2408" s="33"/>
      <c r="AH2408" s="33"/>
      <c r="AI2408" s="33"/>
      <c r="AJ2408" s="33"/>
      <c r="AK2408" s="33"/>
    </row>
    <row r="2409">
      <c r="A2409" s="33"/>
      <c r="B2409" s="33"/>
      <c r="C2409" s="33"/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  <c r="AB2409" s="33"/>
      <c r="AC2409" s="33"/>
      <c r="AD2409" s="33"/>
      <c r="AE2409" s="33"/>
      <c r="AF2409" s="33"/>
      <c r="AG2409" s="33"/>
      <c r="AH2409" s="33"/>
      <c r="AI2409" s="33"/>
      <c r="AJ2409" s="33"/>
      <c r="AK2409" s="33"/>
    </row>
    <row r="2410">
      <c r="A2410" s="33"/>
      <c r="B2410" s="33"/>
      <c r="C2410" s="33"/>
      <c r="D2410" s="33"/>
      <c r="E2410" s="33"/>
      <c r="F2410" s="33"/>
      <c r="G2410" s="33"/>
      <c r="H2410" s="33"/>
      <c r="I2410" s="33"/>
      <c r="J2410" s="33"/>
      <c r="K2410" s="33"/>
      <c r="L2410" s="33"/>
      <c r="M2410" s="33"/>
      <c r="N2410" s="33"/>
      <c r="O2410" s="33"/>
      <c r="P2410" s="33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  <c r="AB2410" s="33"/>
      <c r="AC2410" s="33"/>
      <c r="AD2410" s="33"/>
      <c r="AE2410" s="33"/>
      <c r="AF2410" s="33"/>
      <c r="AG2410" s="33"/>
      <c r="AH2410" s="33"/>
      <c r="AI2410" s="33"/>
      <c r="AJ2410" s="33"/>
      <c r="AK2410" s="33"/>
    </row>
    <row r="2411">
      <c r="A2411" s="33"/>
      <c r="B2411" s="33"/>
      <c r="C2411" s="33"/>
      <c r="D2411" s="33"/>
      <c r="E2411" s="33"/>
      <c r="F2411" s="33"/>
      <c r="G2411" s="33"/>
      <c r="H2411" s="33"/>
      <c r="I2411" s="33"/>
      <c r="J2411" s="33"/>
      <c r="K2411" s="33"/>
      <c r="L2411" s="33"/>
      <c r="M2411" s="33"/>
      <c r="N2411" s="33"/>
      <c r="O2411" s="33"/>
      <c r="P2411" s="33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  <c r="AB2411" s="33"/>
      <c r="AC2411" s="33"/>
      <c r="AD2411" s="33"/>
      <c r="AE2411" s="33"/>
      <c r="AF2411" s="33"/>
      <c r="AG2411" s="33"/>
      <c r="AH2411" s="33"/>
      <c r="AI2411" s="33"/>
      <c r="AJ2411" s="33"/>
      <c r="AK2411" s="33"/>
    </row>
    <row r="2412">
      <c r="A2412" s="33"/>
      <c r="B2412" s="33"/>
      <c r="C2412" s="33"/>
      <c r="D2412" s="33"/>
      <c r="E2412" s="33"/>
      <c r="F2412" s="33"/>
      <c r="G2412" s="33"/>
      <c r="H2412" s="33"/>
      <c r="I2412" s="33"/>
      <c r="J2412" s="33"/>
      <c r="K2412" s="33"/>
      <c r="L2412" s="33"/>
      <c r="M2412" s="33"/>
      <c r="N2412" s="33"/>
      <c r="O2412" s="33"/>
      <c r="P2412" s="33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  <c r="AB2412" s="33"/>
      <c r="AC2412" s="33"/>
      <c r="AD2412" s="33"/>
      <c r="AE2412" s="33"/>
      <c r="AF2412" s="33"/>
      <c r="AG2412" s="33"/>
      <c r="AH2412" s="33"/>
      <c r="AI2412" s="33"/>
      <c r="AJ2412" s="33"/>
      <c r="AK2412" s="33"/>
    </row>
    <row r="2413">
      <c r="A2413" s="33"/>
      <c r="B2413" s="33"/>
      <c r="C2413" s="33"/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  <c r="AB2413" s="33"/>
      <c r="AC2413" s="33"/>
      <c r="AD2413" s="33"/>
      <c r="AE2413" s="33"/>
      <c r="AF2413" s="33"/>
      <c r="AG2413" s="33"/>
      <c r="AH2413" s="33"/>
      <c r="AI2413" s="33"/>
      <c r="AJ2413" s="33"/>
      <c r="AK2413" s="33"/>
    </row>
    <row r="2414">
      <c r="A2414" s="33"/>
      <c r="B2414" s="33"/>
      <c r="C2414" s="33"/>
      <c r="D2414" s="33"/>
      <c r="E2414" s="33"/>
      <c r="F2414" s="33"/>
      <c r="G2414" s="33"/>
      <c r="H2414" s="33"/>
      <c r="I2414" s="33"/>
      <c r="J2414" s="33"/>
      <c r="K2414" s="33"/>
      <c r="L2414" s="33"/>
      <c r="M2414" s="33"/>
      <c r="N2414" s="33"/>
      <c r="O2414" s="33"/>
      <c r="P2414" s="33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  <c r="AB2414" s="33"/>
      <c r="AC2414" s="33"/>
      <c r="AD2414" s="33"/>
      <c r="AE2414" s="33"/>
      <c r="AF2414" s="33"/>
      <c r="AG2414" s="33"/>
      <c r="AH2414" s="33"/>
      <c r="AI2414" s="33"/>
      <c r="AJ2414" s="33"/>
      <c r="AK2414" s="33"/>
    </row>
    <row r="2415">
      <c r="A2415" s="33"/>
      <c r="B2415" s="33"/>
      <c r="C2415" s="33"/>
      <c r="D2415" s="33"/>
      <c r="E2415" s="33"/>
      <c r="F2415" s="33"/>
      <c r="G2415" s="33"/>
      <c r="H2415" s="33"/>
      <c r="I2415" s="33"/>
      <c r="J2415" s="33"/>
      <c r="K2415" s="33"/>
      <c r="L2415" s="33"/>
      <c r="M2415" s="33"/>
      <c r="N2415" s="33"/>
      <c r="O2415" s="33"/>
      <c r="P2415" s="33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  <c r="AB2415" s="33"/>
      <c r="AC2415" s="33"/>
      <c r="AD2415" s="33"/>
      <c r="AE2415" s="33"/>
      <c r="AF2415" s="33"/>
      <c r="AG2415" s="33"/>
      <c r="AH2415" s="33"/>
      <c r="AI2415" s="33"/>
      <c r="AJ2415" s="33"/>
      <c r="AK2415" s="33"/>
    </row>
    <row r="2416">
      <c r="A2416" s="33"/>
      <c r="B2416" s="33"/>
      <c r="C2416" s="33"/>
      <c r="D2416" s="33"/>
      <c r="E2416" s="33"/>
      <c r="F2416" s="33"/>
      <c r="G2416" s="33"/>
      <c r="H2416" s="33"/>
      <c r="I2416" s="33"/>
      <c r="J2416" s="33"/>
      <c r="K2416" s="33"/>
      <c r="L2416" s="33"/>
      <c r="M2416" s="33"/>
      <c r="N2416" s="33"/>
      <c r="O2416" s="33"/>
      <c r="P2416" s="33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  <c r="AB2416" s="33"/>
      <c r="AC2416" s="33"/>
      <c r="AD2416" s="33"/>
      <c r="AE2416" s="33"/>
      <c r="AF2416" s="33"/>
      <c r="AG2416" s="33"/>
      <c r="AH2416" s="33"/>
      <c r="AI2416" s="33"/>
      <c r="AJ2416" s="33"/>
      <c r="AK2416" s="33"/>
    </row>
    <row r="2417">
      <c r="A2417" s="33"/>
      <c r="B2417" s="33"/>
      <c r="C2417" s="33"/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  <c r="AB2417" s="33"/>
      <c r="AC2417" s="33"/>
      <c r="AD2417" s="33"/>
      <c r="AE2417" s="33"/>
      <c r="AF2417" s="33"/>
      <c r="AG2417" s="33"/>
      <c r="AH2417" s="33"/>
      <c r="AI2417" s="33"/>
      <c r="AJ2417" s="33"/>
      <c r="AK2417" s="33"/>
    </row>
    <row r="2418">
      <c r="A2418" s="33"/>
      <c r="B2418" s="33"/>
      <c r="C2418" s="33"/>
      <c r="D2418" s="33"/>
      <c r="E2418" s="33"/>
      <c r="F2418" s="33"/>
      <c r="G2418" s="33"/>
      <c r="H2418" s="33"/>
      <c r="I2418" s="33"/>
      <c r="J2418" s="33"/>
      <c r="K2418" s="33"/>
      <c r="L2418" s="33"/>
      <c r="M2418" s="33"/>
      <c r="N2418" s="33"/>
      <c r="O2418" s="33"/>
      <c r="P2418" s="33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  <c r="AB2418" s="33"/>
      <c r="AC2418" s="33"/>
      <c r="AD2418" s="33"/>
      <c r="AE2418" s="33"/>
      <c r="AF2418" s="33"/>
      <c r="AG2418" s="33"/>
      <c r="AH2418" s="33"/>
      <c r="AI2418" s="33"/>
      <c r="AJ2418" s="33"/>
      <c r="AK2418" s="33"/>
    </row>
    <row r="2419">
      <c r="A2419" s="33"/>
      <c r="B2419" s="33"/>
      <c r="C2419" s="33"/>
      <c r="D2419" s="33"/>
      <c r="E2419" s="33"/>
      <c r="F2419" s="33"/>
      <c r="G2419" s="33"/>
      <c r="H2419" s="33"/>
      <c r="I2419" s="33"/>
      <c r="J2419" s="33"/>
      <c r="K2419" s="33"/>
      <c r="L2419" s="33"/>
      <c r="M2419" s="33"/>
      <c r="N2419" s="33"/>
      <c r="O2419" s="33"/>
      <c r="P2419" s="33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  <c r="AB2419" s="33"/>
      <c r="AC2419" s="33"/>
      <c r="AD2419" s="33"/>
      <c r="AE2419" s="33"/>
      <c r="AF2419" s="33"/>
      <c r="AG2419" s="33"/>
      <c r="AH2419" s="33"/>
      <c r="AI2419" s="33"/>
      <c r="AJ2419" s="33"/>
      <c r="AK2419" s="33"/>
    </row>
    <row r="2420">
      <c r="A2420" s="33"/>
      <c r="B2420" s="33"/>
      <c r="C2420" s="33"/>
      <c r="D2420" s="33"/>
      <c r="E2420" s="33"/>
      <c r="F2420" s="33"/>
      <c r="G2420" s="33"/>
      <c r="H2420" s="33"/>
      <c r="I2420" s="33"/>
      <c r="J2420" s="33"/>
      <c r="K2420" s="33"/>
      <c r="L2420" s="33"/>
      <c r="M2420" s="33"/>
      <c r="N2420" s="33"/>
      <c r="O2420" s="33"/>
      <c r="P2420" s="33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  <c r="AB2420" s="33"/>
      <c r="AC2420" s="33"/>
      <c r="AD2420" s="33"/>
      <c r="AE2420" s="33"/>
      <c r="AF2420" s="33"/>
      <c r="AG2420" s="33"/>
      <c r="AH2420" s="33"/>
      <c r="AI2420" s="33"/>
      <c r="AJ2420" s="33"/>
      <c r="AK2420" s="33"/>
    </row>
    <row r="2421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  <c r="AB2421" s="33"/>
      <c r="AC2421" s="33"/>
      <c r="AD2421" s="33"/>
      <c r="AE2421" s="33"/>
      <c r="AF2421" s="33"/>
      <c r="AG2421" s="33"/>
      <c r="AH2421" s="33"/>
      <c r="AI2421" s="33"/>
      <c r="AJ2421" s="33"/>
      <c r="AK2421" s="33"/>
    </row>
    <row r="2422">
      <c r="A2422" s="33"/>
      <c r="B2422" s="33"/>
      <c r="C2422" s="33"/>
      <c r="D2422" s="33"/>
      <c r="E2422" s="33"/>
      <c r="F2422" s="33"/>
      <c r="G2422" s="33"/>
      <c r="H2422" s="33"/>
      <c r="I2422" s="33"/>
      <c r="J2422" s="33"/>
      <c r="K2422" s="33"/>
      <c r="L2422" s="33"/>
      <c r="M2422" s="33"/>
      <c r="N2422" s="33"/>
      <c r="O2422" s="33"/>
      <c r="P2422" s="33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  <c r="AB2422" s="33"/>
      <c r="AC2422" s="33"/>
      <c r="AD2422" s="33"/>
      <c r="AE2422" s="33"/>
      <c r="AF2422" s="33"/>
      <c r="AG2422" s="33"/>
      <c r="AH2422" s="33"/>
      <c r="AI2422" s="33"/>
      <c r="AJ2422" s="33"/>
      <c r="AK2422" s="33"/>
    </row>
    <row r="2423">
      <c r="A2423" s="33"/>
      <c r="B2423" s="33"/>
      <c r="C2423" s="33"/>
      <c r="D2423" s="33"/>
      <c r="E2423" s="33"/>
      <c r="F2423" s="33"/>
      <c r="G2423" s="33"/>
      <c r="H2423" s="33"/>
      <c r="I2423" s="33"/>
      <c r="J2423" s="33"/>
      <c r="K2423" s="33"/>
      <c r="L2423" s="33"/>
      <c r="M2423" s="33"/>
      <c r="N2423" s="33"/>
      <c r="O2423" s="33"/>
      <c r="P2423" s="33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  <c r="AB2423" s="33"/>
      <c r="AC2423" s="33"/>
      <c r="AD2423" s="33"/>
      <c r="AE2423" s="33"/>
      <c r="AF2423" s="33"/>
      <c r="AG2423" s="33"/>
      <c r="AH2423" s="33"/>
      <c r="AI2423" s="33"/>
      <c r="AJ2423" s="33"/>
      <c r="AK2423" s="33"/>
    </row>
    <row r="2424">
      <c r="A2424" s="33"/>
      <c r="B2424" s="33"/>
      <c r="C2424" s="33"/>
      <c r="D2424" s="33"/>
      <c r="E2424" s="33"/>
      <c r="F2424" s="33"/>
      <c r="G2424" s="33"/>
      <c r="H2424" s="33"/>
      <c r="I2424" s="33"/>
      <c r="J2424" s="33"/>
      <c r="K2424" s="33"/>
      <c r="L2424" s="33"/>
      <c r="M2424" s="33"/>
      <c r="N2424" s="33"/>
      <c r="O2424" s="33"/>
      <c r="P2424" s="33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  <c r="AB2424" s="33"/>
      <c r="AC2424" s="33"/>
      <c r="AD2424" s="33"/>
      <c r="AE2424" s="33"/>
      <c r="AF2424" s="33"/>
      <c r="AG2424" s="33"/>
      <c r="AH2424" s="33"/>
      <c r="AI2424" s="33"/>
      <c r="AJ2424" s="33"/>
      <c r="AK2424" s="33"/>
    </row>
    <row r="2425">
      <c r="A2425" s="33"/>
      <c r="B2425" s="33"/>
      <c r="C2425" s="33"/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  <c r="AB2425" s="33"/>
      <c r="AC2425" s="33"/>
      <c r="AD2425" s="33"/>
      <c r="AE2425" s="33"/>
      <c r="AF2425" s="33"/>
      <c r="AG2425" s="33"/>
      <c r="AH2425" s="33"/>
      <c r="AI2425" s="33"/>
      <c r="AJ2425" s="33"/>
      <c r="AK2425" s="33"/>
    </row>
    <row r="2426">
      <c r="A2426" s="33"/>
      <c r="B2426" s="33"/>
      <c r="C2426" s="33"/>
      <c r="D2426" s="33"/>
      <c r="E2426" s="33"/>
      <c r="F2426" s="33"/>
      <c r="G2426" s="33"/>
      <c r="H2426" s="33"/>
      <c r="I2426" s="33"/>
      <c r="J2426" s="33"/>
      <c r="K2426" s="33"/>
      <c r="L2426" s="33"/>
      <c r="M2426" s="33"/>
      <c r="N2426" s="33"/>
      <c r="O2426" s="33"/>
      <c r="P2426" s="33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  <c r="AB2426" s="33"/>
      <c r="AC2426" s="33"/>
      <c r="AD2426" s="33"/>
      <c r="AE2426" s="33"/>
      <c r="AF2426" s="33"/>
      <c r="AG2426" s="33"/>
      <c r="AH2426" s="33"/>
      <c r="AI2426" s="33"/>
      <c r="AJ2426" s="33"/>
      <c r="AK2426" s="33"/>
    </row>
    <row r="2427">
      <c r="A2427" s="33"/>
      <c r="B2427" s="33"/>
      <c r="C2427" s="33"/>
      <c r="D2427" s="33"/>
      <c r="E2427" s="33"/>
      <c r="F2427" s="33"/>
      <c r="G2427" s="33"/>
      <c r="H2427" s="33"/>
      <c r="I2427" s="33"/>
      <c r="J2427" s="33"/>
      <c r="K2427" s="33"/>
      <c r="L2427" s="33"/>
      <c r="M2427" s="33"/>
      <c r="N2427" s="33"/>
      <c r="O2427" s="33"/>
      <c r="P2427" s="33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  <c r="AB2427" s="33"/>
      <c r="AC2427" s="33"/>
      <c r="AD2427" s="33"/>
      <c r="AE2427" s="33"/>
      <c r="AF2427" s="33"/>
      <c r="AG2427" s="33"/>
      <c r="AH2427" s="33"/>
      <c r="AI2427" s="33"/>
      <c r="AJ2427" s="33"/>
      <c r="AK2427" s="33"/>
    </row>
    <row r="2428">
      <c r="A2428" s="33"/>
      <c r="B2428" s="33"/>
      <c r="C2428" s="33"/>
      <c r="D2428" s="33"/>
      <c r="E2428" s="33"/>
      <c r="F2428" s="33"/>
      <c r="G2428" s="33"/>
      <c r="H2428" s="33"/>
      <c r="I2428" s="33"/>
      <c r="J2428" s="33"/>
      <c r="K2428" s="33"/>
      <c r="L2428" s="33"/>
      <c r="M2428" s="33"/>
      <c r="N2428" s="33"/>
      <c r="O2428" s="33"/>
      <c r="P2428" s="33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  <c r="AB2428" s="33"/>
      <c r="AC2428" s="33"/>
      <c r="AD2428" s="33"/>
      <c r="AE2428" s="33"/>
      <c r="AF2428" s="33"/>
      <c r="AG2428" s="33"/>
      <c r="AH2428" s="33"/>
      <c r="AI2428" s="33"/>
      <c r="AJ2428" s="33"/>
      <c r="AK2428" s="33"/>
    </row>
    <row r="2429">
      <c r="A2429" s="33"/>
      <c r="B2429" s="33"/>
      <c r="C2429" s="33"/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  <c r="AB2429" s="33"/>
      <c r="AC2429" s="33"/>
      <c r="AD2429" s="33"/>
      <c r="AE2429" s="33"/>
      <c r="AF2429" s="33"/>
      <c r="AG2429" s="33"/>
      <c r="AH2429" s="33"/>
      <c r="AI2429" s="33"/>
      <c r="AJ2429" s="33"/>
      <c r="AK2429" s="33"/>
    </row>
    <row r="2430">
      <c r="A2430" s="33"/>
      <c r="B2430" s="33"/>
      <c r="C2430" s="33"/>
      <c r="D2430" s="33"/>
      <c r="E2430" s="33"/>
      <c r="F2430" s="33"/>
      <c r="G2430" s="33"/>
      <c r="H2430" s="33"/>
      <c r="I2430" s="33"/>
      <c r="J2430" s="33"/>
      <c r="K2430" s="33"/>
      <c r="L2430" s="33"/>
      <c r="M2430" s="33"/>
      <c r="N2430" s="33"/>
      <c r="O2430" s="33"/>
      <c r="P2430" s="33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  <c r="AB2430" s="33"/>
      <c r="AC2430" s="33"/>
      <c r="AD2430" s="33"/>
      <c r="AE2430" s="33"/>
      <c r="AF2430" s="33"/>
      <c r="AG2430" s="33"/>
      <c r="AH2430" s="33"/>
      <c r="AI2430" s="33"/>
      <c r="AJ2430" s="33"/>
      <c r="AK2430" s="33"/>
    </row>
    <row r="2431">
      <c r="A2431" s="33"/>
      <c r="B2431" s="33"/>
      <c r="C2431" s="33"/>
      <c r="D2431" s="33"/>
      <c r="E2431" s="33"/>
      <c r="F2431" s="33"/>
      <c r="G2431" s="33"/>
      <c r="H2431" s="33"/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  <c r="AB2431" s="33"/>
      <c r="AC2431" s="33"/>
      <c r="AD2431" s="33"/>
      <c r="AE2431" s="33"/>
      <c r="AF2431" s="33"/>
      <c r="AG2431" s="33"/>
      <c r="AH2431" s="33"/>
      <c r="AI2431" s="33"/>
      <c r="AJ2431" s="33"/>
      <c r="AK2431" s="33"/>
    </row>
    <row r="2432">
      <c r="A2432" s="33"/>
      <c r="B2432" s="33"/>
      <c r="C2432" s="33"/>
      <c r="D2432" s="33"/>
      <c r="E2432" s="33"/>
      <c r="F2432" s="33"/>
      <c r="G2432" s="33"/>
      <c r="H2432" s="33"/>
      <c r="I2432" s="33"/>
      <c r="J2432" s="33"/>
      <c r="K2432" s="33"/>
      <c r="L2432" s="33"/>
      <c r="M2432" s="33"/>
      <c r="N2432" s="33"/>
      <c r="O2432" s="33"/>
      <c r="P2432" s="33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  <c r="AB2432" s="33"/>
      <c r="AC2432" s="33"/>
      <c r="AD2432" s="33"/>
      <c r="AE2432" s="33"/>
      <c r="AF2432" s="33"/>
      <c r="AG2432" s="33"/>
      <c r="AH2432" s="33"/>
      <c r="AI2432" s="33"/>
      <c r="AJ2432" s="33"/>
      <c r="AK2432" s="33"/>
    </row>
    <row r="2433">
      <c r="A2433" s="33"/>
      <c r="B2433" s="33"/>
      <c r="C2433" s="33"/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  <c r="AB2433" s="33"/>
      <c r="AC2433" s="33"/>
      <c r="AD2433" s="33"/>
      <c r="AE2433" s="33"/>
      <c r="AF2433" s="33"/>
      <c r="AG2433" s="33"/>
      <c r="AH2433" s="33"/>
      <c r="AI2433" s="33"/>
      <c r="AJ2433" s="33"/>
      <c r="AK2433" s="33"/>
    </row>
    <row r="2434">
      <c r="A2434" s="33"/>
      <c r="B2434" s="33"/>
      <c r="C2434" s="33"/>
      <c r="D2434" s="33"/>
      <c r="E2434" s="33"/>
      <c r="F2434" s="33"/>
      <c r="G2434" s="33"/>
      <c r="H2434" s="33"/>
      <c r="I2434" s="33"/>
      <c r="J2434" s="33"/>
      <c r="K2434" s="33"/>
      <c r="L2434" s="33"/>
      <c r="M2434" s="33"/>
      <c r="N2434" s="33"/>
      <c r="O2434" s="33"/>
      <c r="P2434" s="33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  <c r="AB2434" s="33"/>
      <c r="AC2434" s="33"/>
      <c r="AD2434" s="33"/>
      <c r="AE2434" s="33"/>
      <c r="AF2434" s="33"/>
      <c r="AG2434" s="33"/>
      <c r="AH2434" s="33"/>
      <c r="AI2434" s="33"/>
      <c r="AJ2434" s="33"/>
      <c r="AK2434" s="33"/>
    </row>
    <row r="2435">
      <c r="A2435" s="33"/>
      <c r="B2435" s="33"/>
      <c r="C2435" s="33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  <c r="AB2435" s="33"/>
      <c r="AC2435" s="33"/>
      <c r="AD2435" s="33"/>
      <c r="AE2435" s="33"/>
      <c r="AF2435" s="33"/>
      <c r="AG2435" s="33"/>
      <c r="AH2435" s="33"/>
      <c r="AI2435" s="33"/>
      <c r="AJ2435" s="33"/>
      <c r="AK2435" s="33"/>
    </row>
    <row r="2436">
      <c r="A2436" s="33"/>
      <c r="B2436" s="33"/>
      <c r="C2436" s="33"/>
      <c r="D2436" s="33"/>
      <c r="E2436" s="33"/>
      <c r="F2436" s="33"/>
      <c r="G2436" s="33"/>
      <c r="H2436" s="33"/>
      <c r="I2436" s="33"/>
      <c r="J2436" s="33"/>
      <c r="K2436" s="33"/>
      <c r="L2436" s="33"/>
      <c r="M2436" s="33"/>
      <c r="N2436" s="33"/>
      <c r="O2436" s="33"/>
      <c r="P2436" s="33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  <c r="AB2436" s="33"/>
      <c r="AC2436" s="33"/>
      <c r="AD2436" s="33"/>
      <c r="AE2436" s="33"/>
      <c r="AF2436" s="33"/>
      <c r="AG2436" s="33"/>
      <c r="AH2436" s="33"/>
      <c r="AI2436" s="33"/>
      <c r="AJ2436" s="33"/>
      <c r="AK2436" s="33"/>
    </row>
    <row r="2437">
      <c r="A2437" s="33"/>
      <c r="B2437" s="33"/>
      <c r="C2437" s="33"/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  <c r="AB2437" s="33"/>
      <c r="AC2437" s="33"/>
      <c r="AD2437" s="33"/>
      <c r="AE2437" s="33"/>
      <c r="AF2437" s="33"/>
      <c r="AG2437" s="33"/>
      <c r="AH2437" s="33"/>
      <c r="AI2437" s="33"/>
      <c r="AJ2437" s="33"/>
      <c r="AK2437" s="33"/>
    </row>
    <row r="2438">
      <c r="A2438" s="33"/>
      <c r="B2438" s="33"/>
      <c r="C2438" s="33"/>
      <c r="D2438" s="33"/>
      <c r="E2438" s="33"/>
      <c r="F2438" s="33"/>
      <c r="G2438" s="33"/>
      <c r="H2438" s="33"/>
      <c r="I2438" s="33"/>
      <c r="J2438" s="33"/>
      <c r="K2438" s="33"/>
      <c r="L2438" s="33"/>
      <c r="M2438" s="33"/>
      <c r="N2438" s="33"/>
      <c r="O2438" s="33"/>
      <c r="P2438" s="33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  <c r="AB2438" s="33"/>
      <c r="AC2438" s="33"/>
      <c r="AD2438" s="33"/>
      <c r="AE2438" s="33"/>
      <c r="AF2438" s="33"/>
      <c r="AG2438" s="33"/>
      <c r="AH2438" s="33"/>
      <c r="AI2438" s="33"/>
      <c r="AJ2438" s="33"/>
      <c r="AK2438" s="33"/>
    </row>
    <row r="2439">
      <c r="A2439" s="33"/>
      <c r="B2439" s="33"/>
      <c r="C2439" s="33"/>
      <c r="D2439" s="33"/>
      <c r="E2439" s="33"/>
      <c r="F2439" s="33"/>
      <c r="G2439" s="33"/>
      <c r="H2439" s="33"/>
      <c r="I2439" s="33"/>
      <c r="J2439" s="33"/>
      <c r="K2439" s="33"/>
      <c r="L2439" s="33"/>
      <c r="M2439" s="33"/>
      <c r="N2439" s="33"/>
      <c r="O2439" s="33"/>
      <c r="P2439" s="33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  <c r="AB2439" s="33"/>
      <c r="AC2439" s="33"/>
      <c r="AD2439" s="33"/>
      <c r="AE2439" s="33"/>
      <c r="AF2439" s="33"/>
      <c r="AG2439" s="33"/>
      <c r="AH2439" s="33"/>
      <c r="AI2439" s="33"/>
      <c r="AJ2439" s="33"/>
      <c r="AK2439" s="33"/>
    </row>
    <row r="2440">
      <c r="A2440" s="33"/>
      <c r="B2440" s="33"/>
      <c r="C2440" s="33"/>
      <c r="D2440" s="33"/>
      <c r="E2440" s="33"/>
      <c r="F2440" s="33"/>
      <c r="G2440" s="33"/>
      <c r="H2440" s="33"/>
      <c r="I2440" s="33"/>
      <c r="J2440" s="33"/>
      <c r="K2440" s="33"/>
      <c r="L2440" s="33"/>
      <c r="M2440" s="33"/>
      <c r="N2440" s="33"/>
      <c r="O2440" s="33"/>
      <c r="P2440" s="33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  <c r="AB2440" s="33"/>
      <c r="AC2440" s="33"/>
      <c r="AD2440" s="33"/>
      <c r="AE2440" s="33"/>
      <c r="AF2440" s="33"/>
      <c r="AG2440" s="33"/>
      <c r="AH2440" s="33"/>
      <c r="AI2440" s="33"/>
      <c r="AJ2440" s="33"/>
      <c r="AK2440" s="33"/>
    </row>
    <row r="2441">
      <c r="A2441" s="33"/>
      <c r="B2441" s="33"/>
      <c r="C2441" s="33"/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  <c r="AB2441" s="33"/>
      <c r="AC2441" s="33"/>
      <c r="AD2441" s="33"/>
      <c r="AE2441" s="33"/>
      <c r="AF2441" s="33"/>
      <c r="AG2441" s="33"/>
      <c r="AH2441" s="33"/>
      <c r="AI2441" s="33"/>
      <c r="AJ2441" s="33"/>
      <c r="AK2441" s="33"/>
    </row>
    <row r="2442">
      <c r="A2442" s="33"/>
      <c r="B2442" s="33"/>
      <c r="C2442" s="33"/>
      <c r="D2442" s="33"/>
      <c r="E2442" s="33"/>
      <c r="F2442" s="33"/>
      <c r="G2442" s="33"/>
      <c r="H2442" s="33"/>
      <c r="I2442" s="33"/>
      <c r="J2442" s="33"/>
      <c r="K2442" s="33"/>
      <c r="L2442" s="33"/>
      <c r="M2442" s="33"/>
      <c r="N2442" s="33"/>
      <c r="O2442" s="33"/>
      <c r="P2442" s="33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  <c r="AB2442" s="33"/>
      <c r="AC2442" s="33"/>
      <c r="AD2442" s="33"/>
      <c r="AE2442" s="33"/>
      <c r="AF2442" s="33"/>
      <c r="AG2442" s="33"/>
      <c r="AH2442" s="33"/>
      <c r="AI2442" s="33"/>
      <c r="AJ2442" s="33"/>
      <c r="AK2442" s="33"/>
    </row>
    <row r="2443">
      <c r="A2443" s="33"/>
      <c r="B2443" s="33"/>
      <c r="C2443" s="33"/>
      <c r="D2443" s="33"/>
      <c r="E2443" s="33"/>
      <c r="F2443" s="33"/>
      <c r="G2443" s="33"/>
      <c r="H2443" s="33"/>
      <c r="I2443" s="33"/>
      <c r="J2443" s="33"/>
      <c r="K2443" s="33"/>
      <c r="L2443" s="33"/>
      <c r="M2443" s="33"/>
      <c r="N2443" s="33"/>
      <c r="O2443" s="33"/>
      <c r="P2443" s="33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  <c r="AB2443" s="33"/>
      <c r="AC2443" s="33"/>
      <c r="AD2443" s="33"/>
      <c r="AE2443" s="33"/>
      <c r="AF2443" s="33"/>
      <c r="AG2443" s="33"/>
      <c r="AH2443" s="33"/>
      <c r="AI2443" s="33"/>
      <c r="AJ2443" s="33"/>
      <c r="AK2443" s="33"/>
    </row>
    <row r="2444">
      <c r="A2444" s="33"/>
      <c r="B2444" s="33"/>
      <c r="C2444" s="33"/>
      <c r="D2444" s="33"/>
      <c r="E2444" s="33"/>
      <c r="F2444" s="33"/>
      <c r="G2444" s="33"/>
      <c r="H2444" s="33"/>
      <c r="I2444" s="33"/>
      <c r="J2444" s="33"/>
      <c r="K2444" s="33"/>
      <c r="L2444" s="33"/>
      <c r="M2444" s="33"/>
      <c r="N2444" s="33"/>
      <c r="O2444" s="33"/>
      <c r="P2444" s="33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  <c r="AB2444" s="33"/>
      <c r="AC2444" s="33"/>
      <c r="AD2444" s="33"/>
      <c r="AE2444" s="33"/>
      <c r="AF2444" s="33"/>
      <c r="AG2444" s="33"/>
      <c r="AH2444" s="33"/>
      <c r="AI2444" s="33"/>
      <c r="AJ2444" s="33"/>
      <c r="AK2444" s="33"/>
    </row>
    <row r="2445">
      <c r="A2445" s="33"/>
      <c r="B2445" s="33"/>
      <c r="C2445" s="33"/>
      <c r="D2445" s="33"/>
      <c r="E2445" s="33"/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  <c r="AB2445" s="33"/>
      <c r="AC2445" s="33"/>
      <c r="AD2445" s="33"/>
      <c r="AE2445" s="33"/>
      <c r="AF2445" s="33"/>
      <c r="AG2445" s="33"/>
      <c r="AH2445" s="33"/>
      <c r="AI2445" s="33"/>
      <c r="AJ2445" s="33"/>
      <c r="AK2445" s="33"/>
    </row>
    <row r="2446">
      <c r="A2446" s="33"/>
      <c r="B2446" s="33"/>
      <c r="C2446" s="33"/>
      <c r="D2446" s="33"/>
      <c r="E2446" s="33"/>
      <c r="F2446" s="33"/>
      <c r="G2446" s="33"/>
      <c r="H2446" s="33"/>
      <c r="I2446" s="33"/>
      <c r="J2446" s="33"/>
      <c r="K2446" s="33"/>
      <c r="L2446" s="33"/>
      <c r="M2446" s="33"/>
      <c r="N2446" s="33"/>
      <c r="O2446" s="33"/>
      <c r="P2446" s="33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  <c r="AB2446" s="33"/>
      <c r="AC2446" s="33"/>
      <c r="AD2446" s="33"/>
      <c r="AE2446" s="33"/>
      <c r="AF2446" s="33"/>
      <c r="AG2446" s="33"/>
      <c r="AH2446" s="33"/>
      <c r="AI2446" s="33"/>
      <c r="AJ2446" s="33"/>
      <c r="AK2446" s="33"/>
    </row>
    <row r="2447">
      <c r="A2447" s="33"/>
      <c r="B2447" s="33"/>
      <c r="C2447" s="33"/>
      <c r="D2447" s="33"/>
      <c r="E2447" s="33"/>
      <c r="F2447" s="33"/>
      <c r="G2447" s="33"/>
      <c r="H2447" s="33"/>
      <c r="I2447" s="33"/>
      <c r="J2447" s="33"/>
      <c r="K2447" s="33"/>
      <c r="L2447" s="33"/>
      <c r="M2447" s="33"/>
      <c r="N2447" s="33"/>
      <c r="O2447" s="33"/>
      <c r="P2447" s="33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  <c r="AB2447" s="33"/>
      <c r="AC2447" s="33"/>
      <c r="AD2447" s="33"/>
      <c r="AE2447" s="33"/>
      <c r="AF2447" s="33"/>
      <c r="AG2447" s="33"/>
      <c r="AH2447" s="33"/>
      <c r="AI2447" s="33"/>
      <c r="AJ2447" s="33"/>
      <c r="AK2447" s="33"/>
    </row>
    <row r="2448">
      <c r="A2448" s="33"/>
      <c r="B2448" s="33"/>
      <c r="C2448" s="33"/>
      <c r="D2448" s="33"/>
      <c r="E2448" s="33"/>
      <c r="F2448" s="33"/>
      <c r="G2448" s="33"/>
      <c r="H2448" s="33"/>
      <c r="I2448" s="33"/>
      <c r="J2448" s="33"/>
      <c r="K2448" s="33"/>
      <c r="L2448" s="33"/>
      <c r="M2448" s="33"/>
      <c r="N2448" s="33"/>
      <c r="O2448" s="33"/>
      <c r="P2448" s="33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  <c r="AB2448" s="33"/>
      <c r="AC2448" s="33"/>
      <c r="AD2448" s="33"/>
      <c r="AE2448" s="33"/>
      <c r="AF2448" s="33"/>
      <c r="AG2448" s="33"/>
      <c r="AH2448" s="33"/>
      <c r="AI2448" s="33"/>
      <c r="AJ2448" s="33"/>
      <c r="AK2448" s="33"/>
    </row>
    <row r="2449">
      <c r="A2449" s="33"/>
      <c r="B2449" s="33"/>
      <c r="C2449" s="33"/>
      <c r="D2449" s="33"/>
      <c r="E2449" s="33"/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  <c r="AB2449" s="33"/>
      <c r="AC2449" s="33"/>
      <c r="AD2449" s="33"/>
      <c r="AE2449" s="33"/>
      <c r="AF2449" s="33"/>
      <c r="AG2449" s="33"/>
      <c r="AH2449" s="33"/>
      <c r="AI2449" s="33"/>
      <c r="AJ2449" s="33"/>
      <c r="AK2449" s="33"/>
    </row>
    <row r="2450">
      <c r="A2450" s="33"/>
      <c r="B2450" s="33"/>
      <c r="C2450" s="33"/>
      <c r="D2450" s="33"/>
      <c r="E2450" s="33"/>
      <c r="F2450" s="33"/>
      <c r="G2450" s="33"/>
      <c r="H2450" s="33"/>
      <c r="I2450" s="33"/>
      <c r="J2450" s="33"/>
      <c r="K2450" s="33"/>
      <c r="L2450" s="33"/>
      <c r="M2450" s="33"/>
      <c r="N2450" s="33"/>
      <c r="O2450" s="33"/>
      <c r="P2450" s="33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  <c r="AB2450" s="33"/>
      <c r="AC2450" s="33"/>
      <c r="AD2450" s="33"/>
      <c r="AE2450" s="33"/>
      <c r="AF2450" s="33"/>
      <c r="AG2450" s="33"/>
      <c r="AH2450" s="33"/>
      <c r="AI2450" s="33"/>
      <c r="AJ2450" s="33"/>
      <c r="AK2450" s="33"/>
    </row>
    <row r="2451">
      <c r="A2451" s="33"/>
      <c r="B2451" s="33"/>
      <c r="C2451" s="33"/>
      <c r="D2451" s="33"/>
      <c r="E2451" s="33"/>
      <c r="F2451" s="33"/>
      <c r="G2451" s="33"/>
      <c r="H2451" s="33"/>
      <c r="I2451" s="33"/>
      <c r="J2451" s="33"/>
      <c r="K2451" s="33"/>
      <c r="L2451" s="33"/>
      <c r="M2451" s="33"/>
      <c r="N2451" s="33"/>
      <c r="O2451" s="33"/>
      <c r="P2451" s="33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  <c r="AB2451" s="33"/>
      <c r="AC2451" s="33"/>
      <c r="AD2451" s="33"/>
      <c r="AE2451" s="33"/>
      <c r="AF2451" s="33"/>
      <c r="AG2451" s="33"/>
      <c r="AH2451" s="33"/>
      <c r="AI2451" s="33"/>
      <c r="AJ2451" s="33"/>
      <c r="AK2451" s="33"/>
    </row>
    <row r="2452">
      <c r="A2452" s="33"/>
      <c r="B2452" s="33"/>
      <c r="C2452" s="33"/>
      <c r="D2452" s="33"/>
      <c r="E2452" s="33"/>
      <c r="F2452" s="33"/>
      <c r="G2452" s="33"/>
      <c r="H2452" s="33"/>
      <c r="I2452" s="33"/>
      <c r="J2452" s="33"/>
      <c r="K2452" s="33"/>
      <c r="L2452" s="33"/>
      <c r="M2452" s="33"/>
      <c r="N2452" s="33"/>
      <c r="O2452" s="33"/>
      <c r="P2452" s="33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  <c r="AB2452" s="33"/>
      <c r="AC2452" s="33"/>
      <c r="AD2452" s="33"/>
      <c r="AE2452" s="33"/>
      <c r="AF2452" s="33"/>
      <c r="AG2452" s="33"/>
      <c r="AH2452" s="33"/>
      <c r="AI2452" s="33"/>
      <c r="AJ2452" s="33"/>
      <c r="AK2452" s="33"/>
    </row>
    <row r="2453">
      <c r="A2453" s="33"/>
      <c r="B2453" s="33"/>
      <c r="C2453" s="33"/>
      <c r="D2453" s="33"/>
      <c r="E2453" s="33"/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  <c r="AB2453" s="33"/>
      <c r="AC2453" s="33"/>
      <c r="AD2453" s="33"/>
      <c r="AE2453" s="33"/>
      <c r="AF2453" s="33"/>
      <c r="AG2453" s="33"/>
      <c r="AH2453" s="33"/>
      <c r="AI2453" s="33"/>
      <c r="AJ2453" s="33"/>
      <c r="AK2453" s="33"/>
    </row>
    <row r="2454">
      <c r="A2454" s="33"/>
      <c r="B2454" s="33"/>
      <c r="C2454" s="33"/>
      <c r="D2454" s="33"/>
      <c r="E2454" s="33"/>
      <c r="F2454" s="33"/>
      <c r="G2454" s="33"/>
      <c r="H2454" s="33"/>
      <c r="I2454" s="33"/>
      <c r="J2454" s="33"/>
      <c r="K2454" s="33"/>
      <c r="L2454" s="33"/>
      <c r="M2454" s="33"/>
      <c r="N2454" s="33"/>
      <c r="O2454" s="33"/>
      <c r="P2454" s="33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  <c r="AB2454" s="33"/>
      <c r="AC2454" s="33"/>
      <c r="AD2454" s="33"/>
      <c r="AE2454" s="33"/>
      <c r="AF2454" s="33"/>
      <c r="AG2454" s="33"/>
      <c r="AH2454" s="33"/>
      <c r="AI2454" s="33"/>
      <c r="AJ2454" s="33"/>
      <c r="AK2454" s="33"/>
    </row>
    <row r="2455">
      <c r="A2455" s="33"/>
      <c r="B2455" s="33"/>
      <c r="C2455" s="33"/>
      <c r="D2455" s="33"/>
      <c r="E2455" s="33"/>
      <c r="F2455" s="33"/>
      <c r="G2455" s="33"/>
      <c r="H2455" s="33"/>
      <c r="I2455" s="33"/>
      <c r="J2455" s="33"/>
      <c r="K2455" s="33"/>
      <c r="L2455" s="33"/>
      <c r="M2455" s="33"/>
      <c r="N2455" s="33"/>
      <c r="O2455" s="33"/>
      <c r="P2455" s="33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  <c r="AB2455" s="33"/>
      <c r="AC2455" s="33"/>
      <c r="AD2455" s="33"/>
      <c r="AE2455" s="33"/>
      <c r="AF2455" s="33"/>
      <c r="AG2455" s="33"/>
      <c r="AH2455" s="33"/>
      <c r="AI2455" s="33"/>
      <c r="AJ2455" s="33"/>
      <c r="AK2455" s="33"/>
    </row>
    <row r="2456">
      <c r="A2456" s="33"/>
      <c r="B2456" s="33"/>
      <c r="C2456" s="33"/>
      <c r="D2456" s="33"/>
      <c r="E2456" s="33"/>
      <c r="F2456" s="33"/>
      <c r="G2456" s="33"/>
      <c r="H2456" s="33"/>
      <c r="I2456" s="33"/>
      <c r="J2456" s="33"/>
      <c r="K2456" s="3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  <c r="AB2456" s="33"/>
      <c r="AC2456" s="33"/>
      <c r="AD2456" s="33"/>
      <c r="AE2456" s="33"/>
      <c r="AF2456" s="33"/>
      <c r="AG2456" s="33"/>
      <c r="AH2456" s="33"/>
      <c r="AI2456" s="33"/>
      <c r="AJ2456" s="33"/>
      <c r="AK2456" s="33"/>
    </row>
    <row r="2457">
      <c r="A2457" s="33"/>
      <c r="B2457" s="33"/>
      <c r="C2457" s="33"/>
      <c r="D2457" s="33"/>
      <c r="E2457" s="33"/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  <c r="AB2457" s="33"/>
      <c r="AC2457" s="33"/>
      <c r="AD2457" s="33"/>
      <c r="AE2457" s="33"/>
      <c r="AF2457" s="33"/>
      <c r="AG2457" s="33"/>
      <c r="AH2457" s="33"/>
      <c r="AI2457" s="33"/>
      <c r="AJ2457" s="33"/>
      <c r="AK2457" s="33"/>
    </row>
    <row r="2458">
      <c r="A2458" s="33"/>
      <c r="B2458" s="33"/>
      <c r="C2458" s="33"/>
      <c r="D2458" s="33"/>
      <c r="E2458" s="33"/>
      <c r="F2458" s="33"/>
      <c r="G2458" s="33"/>
      <c r="H2458" s="33"/>
      <c r="I2458" s="33"/>
      <c r="J2458" s="33"/>
      <c r="K2458" s="33"/>
      <c r="L2458" s="33"/>
      <c r="M2458" s="33"/>
      <c r="N2458" s="33"/>
      <c r="O2458" s="33"/>
      <c r="P2458" s="33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  <c r="AB2458" s="33"/>
      <c r="AC2458" s="33"/>
      <c r="AD2458" s="33"/>
      <c r="AE2458" s="33"/>
      <c r="AF2458" s="33"/>
      <c r="AG2458" s="33"/>
      <c r="AH2458" s="33"/>
      <c r="AI2458" s="33"/>
      <c r="AJ2458" s="33"/>
      <c r="AK2458" s="33"/>
    </row>
    <row r="2459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  <c r="O2459" s="33"/>
      <c r="P2459" s="33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  <c r="AB2459" s="33"/>
      <c r="AC2459" s="33"/>
      <c r="AD2459" s="33"/>
      <c r="AE2459" s="33"/>
      <c r="AF2459" s="33"/>
      <c r="AG2459" s="33"/>
      <c r="AH2459" s="33"/>
      <c r="AI2459" s="33"/>
      <c r="AJ2459" s="33"/>
      <c r="AK2459" s="33"/>
    </row>
    <row r="2460">
      <c r="A2460" s="33"/>
      <c r="B2460" s="33"/>
      <c r="C2460" s="33"/>
      <c r="D2460" s="33"/>
      <c r="E2460" s="33"/>
      <c r="F2460" s="33"/>
      <c r="G2460" s="33"/>
      <c r="H2460" s="33"/>
      <c r="I2460" s="33"/>
      <c r="J2460" s="33"/>
      <c r="K2460" s="33"/>
      <c r="L2460" s="33"/>
      <c r="M2460" s="33"/>
      <c r="N2460" s="33"/>
      <c r="O2460" s="33"/>
      <c r="P2460" s="33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  <c r="AB2460" s="33"/>
      <c r="AC2460" s="33"/>
      <c r="AD2460" s="33"/>
      <c r="AE2460" s="33"/>
      <c r="AF2460" s="33"/>
      <c r="AG2460" s="33"/>
      <c r="AH2460" s="33"/>
      <c r="AI2460" s="33"/>
      <c r="AJ2460" s="33"/>
      <c r="AK2460" s="33"/>
    </row>
    <row r="2461">
      <c r="A2461" s="33"/>
      <c r="B2461" s="33"/>
      <c r="C2461" s="33"/>
      <c r="D2461" s="33"/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  <c r="AB2461" s="33"/>
      <c r="AC2461" s="33"/>
      <c r="AD2461" s="33"/>
      <c r="AE2461" s="33"/>
      <c r="AF2461" s="33"/>
      <c r="AG2461" s="33"/>
      <c r="AH2461" s="33"/>
      <c r="AI2461" s="33"/>
      <c r="AJ2461" s="33"/>
      <c r="AK2461" s="33"/>
    </row>
    <row r="2462">
      <c r="A2462" s="33"/>
      <c r="B2462" s="33"/>
      <c r="C2462" s="33"/>
      <c r="D2462" s="33"/>
      <c r="E2462" s="33"/>
      <c r="F2462" s="33"/>
      <c r="G2462" s="33"/>
      <c r="H2462" s="33"/>
      <c r="I2462" s="33"/>
      <c r="J2462" s="33"/>
      <c r="K2462" s="33"/>
      <c r="L2462" s="33"/>
      <c r="M2462" s="33"/>
      <c r="N2462" s="33"/>
      <c r="O2462" s="33"/>
      <c r="P2462" s="33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  <c r="AB2462" s="33"/>
      <c r="AC2462" s="33"/>
      <c r="AD2462" s="33"/>
      <c r="AE2462" s="33"/>
      <c r="AF2462" s="33"/>
      <c r="AG2462" s="33"/>
      <c r="AH2462" s="33"/>
      <c r="AI2462" s="33"/>
      <c r="AJ2462" s="33"/>
      <c r="AK2462" s="33"/>
    </row>
    <row r="2463">
      <c r="A2463" s="33"/>
      <c r="B2463" s="33"/>
      <c r="C2463" s="33"/>
      <c r="D2463" s="33"/>
      <c r="E2463" s="33"/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33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  <c r="AB2463" s="33"/>
      <c r="AC2463" s="33"/>
      <c r="AD2463" s="33"/>
      <c r="AE2463" s="33"/>
      <c r="AF2463" s="33"/>
      <c r="AG2463" s="33"/>
      <c r="AH2463" s="33"/>
      <c r="AI2463" s="33"/>
      <c r="AJ2463" s="33"/>
      <c r="AK2463" s="33"/>
    </row>
    <row r="2464">
      <c r="A2464" s="33"/>
      <c r="B2464" s="33"/>
      <c r="C2464" s="33"/>
      <c r="D2464" s="33"/>
      <c r="E2464" s="33"/>
      <c r="F2464" s="33"/>
      <c r="G2464" s="33"/>
      <c r="H2464" s="33"/>
      <c r="I2464" s="33"/>
      <c r="J2464" s="33"/>
      <c r="K2464" s="33"/>
      <c r="L2464" s="33"/>
      <c r="M2464" s="33"/>
      <c r="N2464" s="33"/>
      <c r="O2464" s="33"/>
      <c r="P2464" s="33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  <c r="AB2464" s="33"/>
      <c r="AC2464" s="33"/>
      <c r="AD2464" s="33"/>
      <c r="AE2464" s="33"/>
      <c r="AF2464" s="33"/>
      <c r="AG2464" s="33"/>
      <c r="AH2464" s="33"/>
      <c r="AI2464" s="33"/>
      <c r="AJ2464" s="33"/>
      <c r="AK2464" s="33"/>
    </row>
    <row r="2465">
      <c r="A2465" s="33"/>
      <c r="B2465" s="33"/>
      <c r="C2465" s="33"/>
      <c r="D2465" s="33"/>
      <c r="E2465" s="33"/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  <c r="AB2465" s="33"/>
      <c r="AC2465" s="33"/>
      <c r="AD2465" s="33"/>
      <c r="AE2465" s="33"/>
      <c r="AF2465" s="33"/>
      <c r="AG2465" s="33"/>
      <c r="AH2465" s="33"/>
      <c r="AI2465" s="33"/>
      <c r="AJ2465" s="33"/>
      <c r="AK2465" s="33"/>
    </row>
    <row r="2466">
      <c r="A2466" s="33"/>
      <c r="B2466" s="33"/>
      <c r="C2466" s="33"/>
      <c r="D2466" s="33"/>
      <c r="E2466" s="33"/>
      <c r="F2466" s="33"/>
      <c r="G2466" s="33"/>
      <c r="H2466" s="33"/>
      <c r="I2466" s="33"/>
      <c r="J2466" s="33"/>
      <c r="K2466" s="33"/>
      <c r="L2466" s="33"/>
      <c r="M2466" s="33"/>
      <c r="N2466" s="33"/>
      <c r="O2466" s="33"/>
      <c r="P2466" s="33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  <c r="AB2466" s="33"/>
      <c r="AC2466" s="33"/>
      <c r="AD2466" s="33"/>
      <c r="AE2466" s="33"/>
      <c r="AF2466" s="33"/>
      <c r="AG2466" s="33"/>
      <c r="AH2466" s="33"/>
      <c r="AI2466" s="33"/>
      <c r="AJ2466" s="33"/>
      <c r="AK2466" s="33"/>
    </row>
    <row r="2467">
      <c r="A2467" s="33"/>
      <c r="B2467" s="33"/>
      <c r="C2467" s="33"/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  <c r="AB2467" s="33"/>
      <c r="AC2467" s="33"/>
      <c r="AD2467" s="33"/>
      <c r="AE2467" s="33"/>
      <c r="AF2467" s="33"/>
      <c r="AG2467" s="33"/>
      <c r="AH2467" s="33"/>
      <c r="AI2467" s="33"/>
      <c r="AJ2467" s="33"/>
      <c r="AK2467" s="33"/>
    </row>
    <row r="2468">
      <c r="A2468" s="33"/>
      <c r="B2468" s="33"/>
      <c r="C2468" s="33"/>
      <c r="D2468" s="33"/>
      <c r="E2468" s="33"/>
      <c r="F2468" s="33"/>
      <c r="G2468" s="33"/>
      <c r="H2468" s="33"/>
      <c r="I2468" s="33"/>
      <c r="J2468" s="33"/>
      <c r="K2468" s="33"/>
      <c r="L2468" s="33"/>
      <c r="M2468" s="33"/>
      <c r="N2468" s="33"/>
      <c r="O2468" s="33"/>
      <c r="P2468" s="33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  <c r="AB2468" s="33"/>
      <c r="AC2468" s="33"/>
      <c r="AD2468" s="33"/>
      <c r="AE2468" s="33"/>
      <c r="AF2468" s="33"/>
      <c r="AG2468" s="33"/>
      <c r="AH2468" s="33"/>
      <c r="AI2468" s="33"/>
      <c r="AJ2468" s="33"/>
      <c r="AK2468" s="33"/>
    </row>
    <row r="2469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  <c r="O2469" s="33"/>
      <c r="P2469" s="33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  <c r="AB2469" s="33"/>
      <c r="AC2469" s="33"/>
      <c r="AD2469" s="33"/>
      <c r="AE2469" s="33"/>
      <c r="AF2469" s="33"/>
      <c r="AG2469" s="33"/>
      <c r="AH2469" s="33"/>
      <c r="AI2469" s="33"/>
      <c r="AJ2469" s="33"/>
      <c r="AK2469" s="33"/>
    </row>
    <row r="2470">
      <c r="A2470" s="33"/>
      <c r="B2470" s="33"/>
      <c r="C2470" s="33"/>
      <c r="D2470" s="33"/>
      <c r="E2470" s="33"/>
      <c r="F2470" s="33"/>
      <c r="G2470" s="33"/>
      <c r="H2470" s="33"/>
      <c r="I2470" s="33"/>
      <c r="J2470" s="33"/>
      <c r="K2470" s="33"/>
      <c r="L2470" s="33"/>
      <c r="M2470" s="33"/>
      <c r="N2470" s="33"/>
      <c r="O2470" s="33"/>
      <c r="P2470" s="33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  <c r="AB2470" s="33"/>
      <c r="AC2470" s="33"/>
      <c r="AD2470" s="33"/>
      <c r="AE2470" s="33"/>
      <c r="AF2470" s="33"/>
      <c r="AG2470" s="33"/>
      <c r="AH2470" s="33"/>
      <c r="AI2470" s="33"/>
      <c r="AJ2470" s="33"/>
      <c r="AK2470" s="33"/>
    </row>
    <row r="2471">
      <c r="A2471" s="33"/>
      <c r="B2471" s="33"/>
      <c r="C2471" s="33"/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  <c r="AB2471" s="33"/>
      <c r="AC2471" s="33"/>
      <c r="AD2471" s="33"/>
      <c r="AE2471" s="33"/>
      <c r="AF2471" s="33"/>
      <c r="AG2471" s="33"/>
      <c r="AH2471" s="33"/>
      <c r="AI2471" s="33"/>
      <c r="AJ2471" s="33"/>
      <c r="AK2471" s="33"/>
    </row>
    <row r="2472">
      <c r="A2472" s="33"/>
      <c r="B2472" s="33"/>
      <c r="C2472" s="33"/>
      <c r="D2472" s="33"/>
      <c r="E2472" s="33"/>
      <c r="F2472" s="33"/>
      <c r="G2472" s="33"/>
      <c r="H2472" s="33"/>
      <c r="I2472" s="33"/>
      <c r="J2472" s="33"/>
      <c r="K2472" s="33"/>
      <c r="L2472" s="33"/>
      <c r="M2472" s="33"/>
      <c r="N2472" s="33"/>
      <c r="O2472" s="33"/>
      <c r="P2472" s="33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  <c r="AB2472" s="33"/>
      <c r="AC2472" s="33"/>
      <c r="AD2472" s="33"/>
      <c r="AE2472" s="33"/>
      <c r="AF2472" s="33"/>
      <c r="AG2472" s="33"/>
      <c r="AH2472" s="33"/>
      <c r="AI2472" s="33"/>
      <c r="AJ2472" s="33"/>
      <c r="AK2472" s="33"/>
    </row>
    <row r="2473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  <c r="O2473" s="33"/>
      <c r="P2473" s="33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  <c r="AB2473" s="33"/>
      <c r="AC2473" s="33"/>
      <c r="AD2473" s="33"/>
      <c r="AE2473" s="33"/>
      <c r="AF2473" s="33"/>
      <c r="AG2473" s="33"/>
      <c r="AH2473" s="33"/>
      <c r="AI2473" s="33"/>
      <c r="AJ2473" s="33"/>
      <c r="AK2473" s="33"/>
    </row>
    <row r="2474">
      <c r="A2474" s="33"/>
      <c r="B2474" s="33"/>
      <c r="C2474" s="33"/>
      <c r="D2474" s="33"/>
      <c r="E2474" s="33"/>
      <c r="F2474" s="33"/>
      <c r="G2474" s="33"/>
      <c r="H2474" s="33"/>
      <c r="I2474" s="33"/>
      <c r="J2474" s="33"/>
      <c r="K2474" s="3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  <c r="AB2474" s="33"/>
      <c r="AC2474" s="33"/>
      <c r="AD2474" s="33"/>
      <c r="AE2474" s="33"/>
      <c r="AF2474" s="33"/>
      <c r="AG2474" s="33"/>
      <c r="AH2474" s="33"/>
      <c r="AI2474" s="33"/>
      <c r="AJ2474" s="33"/>
      <c r="AK2474" s="33"/>
    </row>
    <row r="2475">
      <c r="A2475" s="33"/>
      <c r="B2475" s="33"/>
      <c r="C2475" s="33"/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  <c r="AB2475" s="33"/>
      <c r="AC2475" s="33"/>
      <c r="AD2475" s="33"/>
      <c r="AE2475" s="33"/>
      <c r="AF2475" s="33"/>
      <c r="AG2475" s="33"/>
      <c r="AH2475" s="33"/>
      <c r="AI2475" s="33"/>
      <c r="AJ2475" s="33"/>
      <c r="AK2475" s="33"/>
    </row>
    <row r="2476">
      <c r="A2476" s="33"/>
      <c r="B2476" s="33"/>
      <c r="C2476" s="33"/>
      <c r="D2476" s="33"/>
      <c r="E2476" s="33"/>
      <c r="F2476" s="33"/>
      <c r="G2476" s="33"/>
      <c r="H2476" s="33"/>
      <c r="I2476" s="33"/>
      <c r="J2476" s="33"/>
      <c r="K2476" s="33"/>
      <c r="L2476" s="33"/>
      <c r="M2476" s="33"/>
      <c r="N2476" s="33"/>
      <c r="O2476" s="33"/>
      <c r="P2476" s="33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  <c r="AB2476" s="33"/>
      <c r="AC2476" s="33"/>
      <c r="AD2476" s="33"/>
      <c r="AE2476" s="33"/>
      <c r="AF2476" s="33"/>
      <c r="AG2476" s="33"/>
      <c r="AH2476" s="33"/>
      <c r="AI2476" s="33"/>
      <c r="AJ2476" s="33"/>
      <c r="AK2476" s="33"/>
    </row>
    <row r="2477">
      <c r="A2477" s="33"/>
      <c r="B2477" s="33"/>
      <c r="C2477" s="33"/>
      <c r="D2477" s="33"/>
      <c r="E2477" s="33"/>
      <c r="F2477" s="33"/>
      <c r="G2477" s="33"/>
      <c r="H2477" s="33"/>
      <c r="I2477" s="33"/>
      <c r="J2477" s="33"/>
      <c r="K2477" s="33"/>
      <c r="L2477" s="33"/>
      <c r="M2477" s="33"/>
      <c r="N2477" s="33"/>
      <c r="O2477" s="33"/>
      <c r="P2477" s="33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  <c r="AB2477" s="33"/>
      <c r="AC2477" s="33"/>
      <c r="AD2477" s="33"/>
      <c r="AE2477" s="33"/>
      <c r="AF2477" s="33"/>
      <c r="AG2477" s="33"/>
      <c r="AH2477" s="33"/>
      <c r="AI2477" s="33"/>
      <c r="AJ2477" s="33"/>
      <c r="AK2477" s="33"/>
    </row>
    <row r="2478">
      <c r="A2478" s="33"/>
      <c r="B2478" s="33"/>
      <c r="C2478" s="33"/>
      <c r="D2478" s="33"/>
      <c r="E2478" s="33"/>
      <c r="F2478" s="33"/>
      <c r="G2478" s="33"/>
      <c r="H2478" s="33"/>
      <c r="I2478" s="33"/>
      <c r="J2478" s="33"/>
      <c r="K2478" s="33"/>
      <c r="L2478" s="33"/>
      <c r="M2478" s="33"/>
      <c r="N2478" s="33"/>
      <c r="O2478" s="33"/>
      <c r="P2478" s="33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  <c r="AB2478" s="33"/>
      <c r="AC2478" s="33"/>
      <c r="AD2478" s="33"/>
      <c r="AE2478" s="33"/>
      <c r="AF2478" s="33"/>
      <c r="AG2478" s="33"/>
      <c r="AH2478" s="33"/>
      <c r="AI2478" s="33"/>
      <c r="AJ2478" s="33"/>
      <c r="AK2478" s="33"/>
    </row>
    <row r="2479">
      <c r="A2479" s="33"/>
      <c r="B2479" s="33"/>
      <c r="C2479" s="33"/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  <c r="AB2479" s="33"/>
      <c r="AC2479" s="33"/>
      <c r="AD2479" s="33"/>
      <c r="AE2479" s="33"/>
      <c r="AF2479" s="33"/>
      <c r="AG2479" s="33"/>
      <c r="AH2479" s="33"/>
      <c r="AI2479" s="33"/>
      <c r="AJ2479" s="33"/>
      <c r="AK2479" s="33"/>
    </row>
    <row r="2480">
      <c r="A2480" s="33"/>
      <c r="B2480" s="33"/>
      <c r="C2480" s="33"/>
      <c r="D2480" s="33"/>
      <c r="E2480" s="33"/>
      <c r="F2480" s="33"/>
      <c r="G2480" s="33"/>
      <c r="H2480" s="33"/>
      <c r="I2480" s="33"/>
      <c r="J2480" s="33"/>
      <c r="K2480" s="3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  <c r="AB2480" s="33"/>
      <c r="AC2480" s="33"/>
      <c r="AD2480" s="33"/>
      <c r="AE2480" s="33"/>
      <c r="AF2480" s="33"/>
      <c r="AG2480" s="33"/>
      <c r="AH2480" s="33"/>
      <c r="AI2480" s="33"/>
      <c r="AJ2480" s="33"/>
      <c r="AK2480" s="33"/>
    </row>
    <row r="2481">
      <c r="A2481" s="33"/>
      <c r="B2481" s="33"/>
      <c r="C2481" s="33"/>
      <c r="D2481" s="33"/>
      <c r="E2481" s="33"/>
      <c r="F2481" s="33"/>
      <c r="G2481" s="33"/>
      <c r="H2481" s="33"/>
      <c r="I2481" s="33"/>
      <c r="J2481" s="33"/>
      <c r="K2481" s="33"/>
      <c r="L2481" s="33"/>
      <c r="M2481" s="33"/>
      <c r="N2481" s="33"/>
      <c r="O2481" s="33"/>
      <c r="P2481" s="33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  <c r="AB2481" s="33"/>
      <c r="AC2481" s="33"/>
      <c r="AD2481" s="33"/>
      <c r="AE2481" s="33"/>
      <c r="AF2481" s="33"/>
      <c r="AG2481" s="33"/>
      <c r="AH2481" s="33"/>
      <c r="AI2481" s="33"/>
      <c r="AJ2481" s="33"/>
      <c r="AK2481" s="33"/>
    </row>
    <row r="2482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  <c r="O2482" s="33"/>
      <c r="P2482" s="33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  <c r="AB2482" s="33"/>
      <c r="AC2482" s="33"/>
      <c r="AD2482" s="33"/>
      <c r="AE2482" s="33"/>
      <c r="AF2482" s="33"/>
      <c r="AG2482" s="33"/>
      <c r="AH2482" s="33"/>
      <c r="AI2482" s="33"/>
      <c r="AJ2482" s="33"/>
      <c r="AK2482" s="33"/>
    </row>
    <row r="2483">
      <c r="A2483" s="33"/>
      <c r="B2483" s="33"/>
      <c r="C2483" s="33"/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  <c r="AB2483" s="33"/>
      <c r="AC2483" s="33"/>
      <c r="AD2483" s="33"/>
      <c r="AE2483" s="33"/>
      <c r="AF2483" s="33"/>
      <c r="AG2483" s="33"/>
      <c r="AH2483" s="33"/>
      <c r="AI2483" s="33"/>
      <c r="AJ2483" s="33"/>
      <c r="AK2483" s="33"/>
    </row>
    <row r="2484">
      <c r="A2484" s="33"/>
      <c r="B2484" s="33"/>
      <c r="C2484" s="33"/>
      <c r="D2484" s="33"/>
      <c r="E2484" s="33"/>
      <c r="F2484" s="33"/>
      <c r="G2484" s="33"/>
      <c r="H2484" s="33"/>
      <c r="I2484" s="33"/>
      <c r="J2484" s="33"/>
      <c r="K2484" s="33"/>
      <c r="L2484" s="33"/>
      <c r="M2484" s="33"/>
      <c r="N2484" s="33"/>
      <c r="O2484" s="33"/>
      <c r="P2484" s="33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  <c r="AB2484" s="33"/>
      <c r="AC2484" s="33"/>
      <c r="AD2484" s="33"/>
      <c r="AE2484" s="33"/>
      <c r="AF2484" s="33"/>
      <c r="AG2484" s="33"/>
      <c r="AH2484" s="33"/>
      <c r="AI2484" s="33"/>
      <c r="AJ2484" s="33"/>
      <c r="AK2484" s="33"/>
    </row>
    <row r="2485">
      <c r="A2485" s="33"/>
      <c r="B2485" s="33"/>
      <c r="C2485" s="33"/>
      <c r="D2485" s="33"/>
      <c r="E2485" s="33"/>
      <c r="F2485" s="33"/>
      <c r="G2485" s="33"/>
      <c r="H2485" s="33"/>
      <c r="I2485" s="33"/>
      <c r="J2485" s="33"/>
      <c r="K2485" s="33"/>
      <c r="L2485" s="33"/>
      <c r="M2485" s="33"/>
      <c r="N2485" s="33"/>
      <c r="O2485" s="33"/>
      <c r="P2485" s="33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  <c r="AB2485" s="33"/>
      <c r="AC2485" s="33"/>
      <c r="AD2485" s="33"/>
      <c r="AE2485" s="33"/>
      <c r="AF2485" s="33"/>
      <c r="AG2485" s="33"/>
      <c r="AH2485" s="33"/>
      <c r="AI2485" s="33"/>
      <c r="AJ2485" s="33"/>
      <c r="AK2485" s="33"/>
    </row>
    <row r="2486">
      <c r="A2486" s="33"/>
      <c r="B2486" s="33"/>
      <c r="C2486" s="33"/>
      <c r="D2486" s="33"/>
      <c r="E2486" s="33"/>
      <c r="F2486" s="33"/>
      <c r="G2486" s="33"/>
      <c r="H2486" s="33"/>
      <c r="I2486" s="33"/>
      <c r="J2486" s="33"/>
      <c r="K2486" s="33"/>
      <c r="L2486" s="33"/>
      <c r="M2486" s="33"/>
      <c r="N2486" s="33"/>
      <c r="O2486" s="33"/>
      <c r="P2486" s="33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  <c r="AB2486" s="33"/>
      <c r="AC2486" s="33"/>
      <c r="AD2486" s="33"/>
      <c r="AE2486" s="33"/>
      <c r="AF2486" s="33"/>
      <c r="AG2486" s="33"/>
      <c r="AH2486" s="33"/>
      <c r="AI2486" s="33"/>
      <c r="AJ2486" s="33"/>
      <c r="AK2486" s="33"/>
    </row>
    <row r="2487">
      <c r="A2487" s="33"/>
      <c r="B2487" s="33"/>
      <c r="C2487" s="33"/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  <c r="AB2487" s="33"/>
      <c r="AC2487" s="33"/>
      <c r="AD2487" s="33"/>
      <c r="AE2487" s="33"/>
      <c r="AF2487" s="33"/>
      <c r="AG2487" s="33"/>
      <c r="AH2487" s="33"/>
      <c r="AI2487" s="33"/>
      <c r="AJ2487" s="33"/>
      <c r="AK2487" s="33"/>
    </row>
    <row r="2488">
      <c r="A2488" s="33"/>
      <c r="B2488" s="33"/>
      <c r="C2488" s="33"/>
      <c r="D2488" s="33"/>
      <c r="E2488" s="33"/>
      <c r="F2488" s="33"/>
      <c r="G2488" s="33"/>
      <c r="H2488" s="33"/>
      <c r="I2488" s="33"/>
      <c r="J2488" s="33"/>
      <c r="K2488" s="3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  <c r="AB2488" s="33"/>
      <c r="AC2488" s="33"/>
      <c r="AD2488" s="33"/>
      <c r="AE2488" s="33"/>
      <c r="AF2488" s="33"/>
      <c r="AG2488" s="33"/>
      <c r="AH2488" s="33"/>
      <c r="AI2488" s="33"/>
      <c r="AJ2488" s="33"/>
      <c r="AK2488" s="33"/>
    </row>
    <row r="2489">
      <c r="A2489" s="33"/>
      <c r="B2489" s="33"/>
      <c r="C2489" s="33"/>
      <c r="D2489" s="33"/>
      <c r="E2489" s="33"/>
      <c r="F2489" s="33"/>
      <c r="G2489" s="33"/>
      <c r="H2489" s="33"/>
      <c r="I2489" s="33"/>
      <c r="J2489" s="33"/>
      <c r="K2489" s="33"/>
      <c r="L2489" s="33"/>
      <c r="M2489" s="33"/>
      <c r="N2489" s="33"/>
      <c r="O2489" s="33"/>
      <c r="P2489" s="33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  <c r="AB2489" s="33"/>
      <c r="AC2489" s="33"/>
      <c r="AD2489" s="33"/>
      <c r="AE2489" s="33"/>
      <c r="AF2489" s="33"/>
      <c r="AG2489" s="33"/>
      <c r="AH2489" s="33"/>
      <c r="AI2489" s="33"/>
      <c r="AJ2489" s="33"/>
      <c r="AK2489" s="33"/>
    </row>
    <row r="2490">
      <c r="A2490" s="33"/>
      <c r="B2490" s="33"/>
      <c r="C2490" s="33"/>
      <c r="D2490" s="33"/>
      <c r="E2490" s="33"/>
      <c r="F2490" s="33"/>
      <c r="G2490" s="33"/>
      <c r="H2490" s="33"/>
      <c r="I2490" s="33"/>
      <c r="J2490" s="33"/>
      <c r="K2490" s="33"/>
      <c r="L2490" s="33"/>
      <c r="M2490" s="33"/>
      <c r="N2490" s="33"/>
      <c r="O2490" s="33"/>
      <c r="P2490" s="33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  <c r="AB2490" s="33"/>
      <c r="AC2490" s="33"/>
      <c r="AD2490" s="33"/>
      <c r="AE2490" s="33"/>
      <c r="AF2490" s="33"/>
      <c r="AG2490" s="33"/>
      <c r="AH2490" s="33"/>
      <c r="AI2490" s="33"/>
      <c r="AJ2490" s="33"/>
      <c r="AK2490" s="33"/>
    </row>
    <row r="2491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  <c r="AB2491" s="33"/>
      <c r="AC2491" s="33"/>
      <c r="AD2491" s="33"/>
      <c r="AE2491" s="33"/>
      <c r="AF2491" s="33"/>
      <c r="AG2491" s="33"/>
      <c r="AH2491" s="33"/>
      <c r="AI2491" s="33"/>
      <c r="AJ2491" s="33"/>
      <c r="AK2491" s="33"/>
    </row>
    <row r="2492">
      <c r="A2492" s="33"/>
      <c r="B2492" s="33"/>
      <c r="C2492" s="33"/>
      <c r="D2492" s="33"/>
      <c r="E2492" s="33"/>
      <c r="F2492" s="33"/>
      <c r="G2492" s="33"/>
      <c r="H2492" s="33"/>
      <c r="I2492" s="33"/>
      <c r="J2492" s="33"/>
      <c r="K2492" s="33"/>
      <c r="L2492" s="33"/>
      <c r="M2492" s="33"/>
      <c r="N2492" s="33"/>
      <c r="O2492" s="33"/>
      <c r="P2492" s="33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  <c r="AB2492" s="33"/>
      <c r="AC2492" s="33"/>
      <c r="AD2492" s="33"/>
      <c r="AE2492" s="33"/>
      <c r="AF2492" s="33"/>
      <c r="AG2492" s="33"/>
      <c r="AH2492" s="33"/>
      <c r="AI2492" s="33"/>
      <c r="AJ2492" s="33"/>
      <c r="AK2492" s="33"/>
    </row>
    <row r="2493">
      <c r="A2493" s="33"/>
      <c r="B2493" s="33"/>
      <c r="C2493" s="33"/>
      <c r="D2493" s="33"/>
      <c r="E2493" s="33"/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33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  <c r="AB2493" s="33"/>
      <c r="AC2493" s="33"/>
      <c r="AD2493" s="33"/>
      <c r="AE2493" s="33"/>
      <c r="AF2493" s="33"/>
      <c r="AG2493" s="33"/>
      <c r="AH2493" s="33"/>
      <c r="AI2493" s="33"/>
      <c r="AJ2493" s="33"/>
      <c r="AK2493" s="33"/>
    </row>
    <row r="2494">
      <c r="A2494" s="33"/>
      <c r="B2494" s="33"/>
      <c r="C2494" s="33"/>
      <c r="D2494" s="33"/>
      <c r="E2494" s="33"/>
      <c r="F2494" s="33"/>
      <c r="G2494" s="33"/>
      <c r="H2494" s="33"/>
      <c r="I2494" s="33"/>
      <c r="J2494" s="33"/>
      <c r="K2494" s="33"/>
      <c r="L2494" s="33"/>
      <c r="M2494" s="33"/>
      <c r="N2494" s="33"/>
      <c r="O2494" s="33"/>
      <c r="P2494" s="33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  <c r="AB2494" s="33"/>
      <c r="AC2494" s="33"/>
      <c r="AD2494" s="33"/>
      <c r="AE2494" s="33"/>
      <c r="AF2494" s="33"/>
      <c r="AG2494" s="33"/>
      <c r="AH2494" s="33"/>
      <c r="AI2494" s="33"/>
      <c r="AJ2494" s="33"/>
      <c r="AK2494" s="33"/>
    </row>
    <row r="2495">
      <c r="A2495" s="33"/>
      <c r="B2495" s="33"/>
      <c r="C2495" s="33"/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  <c r="AB2495" s="33"/>
      <c r="AC2495" s="33"/>
      <c r="AD2495" s="33"/>
      <c r="AE2495" s="33"/>
      <c r="AF2495" s="33"/>
      <c r="AG2495" s="33"/>
      <c r="AH2495" s="33"/>
      <c r="AI2495" s="33"/>
      <c r="AJ2495" s="33"/>
      <c r="AK2495" s="33"/>
    </row>
    <row r="2496">
      <c r="A2496" s="33"/>
      <c r="B2496" s="33"/>
      <c r="C2496" s="33"/>
      <c r="D2496" s="33"/>
      <c r="E2496" s="33"/>
      <c r="F2496" s="33"/>
      <c r="G2496" s="33"/>
      <c r="H2496" s="33"/>
      <c r="I2496" s="33"/>
      <c r="J2496" s="33"/>
      <c r="K2496" s="33"/>
      <c r="L2496" s="33"/>
      <c r="M2496" s="33"/>
      <c r="N2496" s="33"/>
      <c r="O2496" s="33"/>
      <c r="P2496" s="33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  <c r="AB2496" s="33"/>
      <c r="AC2496" s="33"/>
      <c r="AD2496" s="33"/>
      <c r="AE2496" s="33"/>
      <c r="AF2496" s="33"/>
      <c r="AG2496" s="33"/>
      <c r="AH2496" s="33"/>
      <c r="AI2496" s="33"/>
      <c r="AJ2496" s="33"/>
      <c r="AK2496" s="33"/>
    </row>
    <row r="2497">
      <c r="A2497" s="33"/>
      <c r="B2497" s="33"/>
      <c r="C2497" s="33"/>
      <c r="D2497" s="33"/>
      <c r="E2497" s="33"/>
      <c r="F2497" s="33"/>
      <c r="G2497" s="33"/>
      <c r="H2497" s="33"/>
      <c r="I2497" s="33"/>
      <c r="J2497" s="33"/>
      <c r="K2497" s="33"/>
      <c r="L2497" s="33"/>
      <c r="M2497" s="33"/>
      <c r="N2497" s="33"/>
      <c r="O2497" s="33"/>
      <c r="P2497" s="33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  <c r="AB2497" s="33"/>
      <c r="AC2497" s="33"/>
      <c r="AD2497" s="33"/>
      <c r="AE2497" s="33"/>
      <c r="AF2497" s="33"/>
      <c r="AG2497" s="33"/>
      <c r="AH2497" s="33"/>
      <c r="AI2497" s="33"/>
      <c r="AJ2497" s="33"/>
      <c r="AK2497" s="33"/>
    </row>
    <row r="2498">
      <c r="A2498" s="33"/>
      <c r="B2498" s="33"/>
      <c r="C2498" s="33"/>
      <c r="D2498" s="33"/>
      <c r="E2498" s="33"/>
      <c r="F2498" s="33"/>
      <c r="G2498" s="33"/>
      <c r="H2498" s="33"/>
      <c r="I2498" s="33"/>
      <c r="J2498" s="33"/>
      <c r="K2498" s="33"/>
      <c r="L2498" s="33"/>
      <c r="M2498" s="33"/>
      <c r="N2498" s="33"/>
      <c r="O2498" s="33"/>
      <c r="P2498" s="33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  <c r="AB2498" s="33"/>
      <c r="AC2498" s="33"/>
      <c r="AD2498" s="33"/>
      <c r="AE2498" s="33"/>
      <c r="AF2498" s="33"/>
      <c r="AG2498" s="33"/>
      <c r="AH2498" s="33"/>
      <c r="AI2498" s="33"/>
      <c r="AJ2498" s="33"/>
      <c r="AK2498" s="33"/>
    </row>
    <row r="2499">
      <c r="A2499" s="33"/>
      <c r="B2499" s="33"/>
      <c r="C2499" s="33"/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  <c r="AB2499" s="33"/>
      <c r="AC2499" s="33"/>
      <c r="AD2499" s="33"/>
      <c r="AE2499" s="33"/>
      <c r="AF2499" s="33"/>
      <c r="AG2499" s="33"/>
      <c r="AH2499" s="33"/>
      <c r="AI2499" s="33"/>
      <c r="AJ2499" s="33"/>
      <c r="AK2499" s="33"/>
    </row>
    <row r="2500">
      <c r="A2500" s="33"/>
      <c r="B2500" s="33"/>
      <c r="C2500" s="33"/>
      <c r="D2500" s="33"/>
      <c r="E2500" s="33"/>
      <c r="F2500" s="33"/>
      <c r="G2500" s="33"/>
      <c r="H2500" s="33"/>
      <c r="I2500" s="33"/>
      <c r="J2500" s="33"/>
      <c r="K2500" s="33"/>
      <c r="L2500" s="33"/>
      <c r="M2500" s="33"/>
      <c r="N2500" s="33"/>
      <c r="O2500" s="33"/>
      <c r="P2500" s="33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  <c r="AB2500" s="33"/>
      <c r="AC2500" s="33"/>
      <c r="AD2500" s="33"/>
      <c r="AE2500" s="33"/>
      <c r="AF2500" s="33"/>
      <c r="AG2500" s="33"/>
      <c r="AH2500" s="33"/>
      <c r="AI2500" s="33"/>
      <c r="AJ2500" s="33"/>
      <c r="AK2500" s="33"/>
    </row>
    <row r="2501">
      <c r="A2501" s="33"/>
      <c r="B2501" s="33"/>
      <c r="C2501" s="33"/>
      <c r="D2501" s="33"/>
      <c r="E2501" s="33"/>
      <c r="F2501" s="33"/>
      <c r="G2501" s="33"/>
      <c r="H2501" s="33"/>
      <c r="I2501" s="33"/>
      <c r="J2501" s="33"/>
      <c r="K2501" s="33"/>
      <c r="L2501" s="33"/>
      <c r="M2501" s="33"/>
      <c r="N2501" s="33"/>
      <c r="O2501" s="33"/>
      <c r="P2501" s="33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  <c r="AB2501" s="33"/>
      <c r="AC2501" s="33"/>
      <c r="AD2501" s="33"/>
      <c r="AE2501" s="33"/>
      <c r="AF2501" s="33"/>
      <c r="AG2501" s="33"/>
      <c r="AH2501" s="33"/>
      <c r="AI2501" s="33"/>
      <c r="AJ2501" s="33"/>
      <c r="AK2501" s="33"/>
    </row>
    <row r="2502">
      <c r="A2502" s="33"/>
      <c r="B2502" s="33"/>
      <c r="C2502" s="33"/>
      <c r="D2502" s="33"/>
      <c r="E2502" s="33"/>
      <c r="F2502" s="33"/>
      <c r="G2502" s="33"/>
      <c r="H2502" s="33"/>
      <c r="I2502" s="33"/>
      <c r="J2502" s="33"/>
      <c r="K2502" s="33"/>
      <c r="L2502" s="33"/>
      <c r="M2502" s="33"/>
      <c r="N2502" s="33"/>
      <c r="O2502" s="33"/>
      <c r="P2502" s="33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  <c r="AB2502" s="33"/>
      <c r="AC2502" s="33"/>
      <c r="AD2502" s="33"/>
      <c r="AE2502" s="33"/>
      <c r="AF2502" s="33"/>
      <c r="AG2502" s="33"/>
      <c r="AH2502" s="33"/>
      <c r="AI2502" s="33"/>
      <c r="AJ2502" s="33"/>
      <c r="AK2502" s="33"/>
    </row>
    <row r="2503">
      <c r="A2503" s="33"/>
      <c r="B2503" s="33"/>
      <c r="C2503" s="33"/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  <c r="AB2503" s="33"/>
      <c r="AC2503" s="33"/>
      <c r="AD2503" s="33"/>
      <c r="AE2503" s="33"/>
      <c r="AF2503" s="33"/>
      <c r="AG2503" s="33"/>
      <c r="AH2503" s="33"/>
      <c r="AI2503" s="33"/>
      <c r="AJ2503" s="33"/>
      <c r="AK2503" s="33"/>
    </row>
    <row r="2504">
      <c r="A2504" s="33"/>
      <c r="B2504" s="33"/>
      <c r="C2504" s="33"/>
      <c r="D2504" s="33"/>
      <c r="E2504" s="33"/>
      <c r="F2504" s="33"/>
      <c r="G2504" s="33"/>
      <c r="H2504" s="33"/>
      <c r="I2504" s="33"/>
      <c r="J2504" s="33"/>
      <c r="K2504" s="33"/>
      <c r="L2504" s="33"/>
      <c r="M2504" s="33"/>
      <c r="N2504" s="33"/>
      <c r="O2504" s="33"/>
      <c r="P2504" s="33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  <c r="AB2504" s="33"/>
      <c r="AC2504" s="33"/>
      <c r="AD2504" s="33"/>
      <c r="AE2504" s="33"/>
      <c r="AF2504" s="33"/>
      <c r="AG2504" s="33"/>
      <c r="AH2504" s="33"/>
      <c r="AI2504" s="33"/>
      <c r="AJ2504" s="33"/>
      <c r="AK2504" s="33"/>
    </row>
    <row r="2505">
      <c r="A2505" s="33"/>
      <c r="B2505" s="33"/>
      <c r="C2505" s="33"/>
      <c r="D2505" s="33"/>
      <c r="E2505" s="33"/>
      <c r="F2505" s="33"/>
      <c r="G2505" s="33"/>
      <c r="H2505" s="33"/>
      <c r="I2505" s="33"/>
      <c r="J2505" s="33"/>
      <c r="K2505" s="33"/>
      <c r="L2505" s="33"/>
      <c r="M2505" s="33"/>
      <c r="N2505" s="33"/>
      <c r="O2505" s="33"/>
      <c r="P2505" s="33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  <c r="AB2505" s="33"/>
      <c r="AC2505" s="33"/>
      <c r="AD2505" s="33"/>
      <c r="AE2505" s="33"/>
      <c r="AF2505" s="33"/>
      <c r="AG2505" s="33"/>
      <c r="AH2505" s="33"/>
      <c r="AI2505" s="33"/>
      <c r="AJ2505" s="33"/>
      <c r="AK2505" s="33"/>
    </row>
    <row r="2506">
      <c r="A2506" s="33"/>
      <c r="B2506" s="33"/>
      <c r="C2506" s="33"/>
      <c r="D2506" s="33"/>
      <c r="E2506" s="33"/>
      <c r="F2506" s="33"/>
      <c r="G2506" s="33"/>
      <c r="H2506" s="33"/>
      <c r="I2506" s="33"/>
      <c r="J2506" s="33"/>
      <c r="K2506" s="33"/>
      <c r="L2506" s="33"/>
      <c r="M2506" s="33"/>
      <c r="N2506" s="33"/>
      <c r="O2506" s="33"/>
      <c r="P2506" s="33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  <c r="AB2506" s="33"/>
      <c r="AC2506" s="33"/>
      <c r="AD2506" s="33"/>
      <c r="AE2506" s="33"/>
      <c r="AF2506" s="33"/>
      <c r="AG2506" s="33"/>
      <c r="AH2506" s="33"/>
      <c r="AI2506" s="33"/>
      <c r="AJ2506" s="33"/>
      <c r="AK2506" s="33"/>
    </row>
    <row r="2507">
      <c r="A2507" s="33"/>
      <c r="B2507" s="33"/>
      <c r="C2507" s="33"/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  <c r="AB2507" s="33"/>
      <c r="AC2507" s="33"/>
      <c r="AD2507" s="33"/>
      <c r="AE2507" s="33"/>
      <c r="AF2507" s="33"/>
      <c r="AG2507" s="33"/>
      <c r="AH2507" s="33"/>
      <c r="AI2507" s="33"/>
      <c r="AJ2507" s="33"/>
      <c r="AK2507" s="33"/>
    </row>
    <row r="2508">
      <c r="A2508" s="33"/>
      <c r="B2508" s="33"/>
      <c r="C2508" s="33"/>
      <c r="D2508" s="33"/>
      <c r="E2508" s="33"/>
      <c r="F2508" s="33"/>
      <c r="G2508" s="33"/>
      <c r="H2508" s="33"/>
      <c r="I2508" s="33"/>
      <c r="J2508" s="33"/>
      <c r="K2508" s="33"/>
      <c r="L2508" s="33"/>
      <c r="M2508" s="33"/>
      <c r="N2508" s="33"/>
      <c r="O2508" s="33"/>
      <c r="P2508" s="33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  <c r="AB2508" s="33"/>
      <c r="AC2508" s="33"/>
      <c r="AD2508" s="33"/>
      <c r="AE2508" s="33"/>
      <c r="AF2508" s="33"/>
      <c r="AG2508" s="33"/>
      <c r="AH2508" s="33"/>
      <c r="AI2508" s="33"/>
      <c r="AJ2508" s="33"/>
      <c r="AK2508" s="33"/>
    </row>
    <row r="2509">
      <c r="A2509" s="33"/>
      <c r="B2509" s="33"/>
      <c r="C2509" s="33"/>
      <c r="D2509" s="33"/>
      <c r="E2509" s="33"/>
      <c r="F2509" s="33"/>
      <c r="G2509" s="33"/>
      <c r="H2509" s="33"/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  <c r="AB2509" s="33"/>
      <c r="AC2509" s="33"/>
      <c r="AD2509" s="33"/>
      <c r="AE2509" s="33"/>
      <c r="AF2509" s="33"/>
      <c r="AG2509" s="33"/>
      <c r="AH2509" s="33"/>
      <c r="AI2509" s="33"/>
      <c r="AJ2509" s="33"/>
      <c r="AK2509" s="33"/>
    </row>
    <row r="2510">
      <c r="A2510" s="33"/>
      <c r="B2510" s="33"/>
      <c r="C2510" s="33"/>
      <c r="D2510" s="33"/>
      <c r="E2510" s="33"/>
      <c r="F2510" s="33"/>
      <c r="G2510" s="33"/>
      <c r="H2510" s="33"/>
      <c r="I2510" s="33"/>
      <c r="J2510" s="33"/>
      <c r="K2510" s="33"/>
      <c r="L2510" s="33"/>
      <c r="M2510" s="33"/>
      <c r="N2510" s="33"/>
      <c r="O2510" s="33"/>
      <c r="P2510" s="33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  <c r="AB2510" s="33"/>
      <c r="AC2510" s="33"/>
      <c r="AD2510" s="33"/>
      <c r="AE2510" s="33"/>
      <c r="AF2510" s="33"/>
      <c r="AG2510" s="33"/>
      <c r="AH2510" s="33"/>
      <c r="AI2510" s="33"/>
      <c r="AJ2510" s="33"/>
      <c r="AK2510" s="33"/>
    </row>
    <row r="2511">
      <c r="A2511" s="33"/>
      <c r="B2511" s="33"/>
      <c r="C2511" s="33"/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  <c r="AB2511" s="33"/>
      <c r="AC2511" s="33"/>
      <c r="AD2511" s="33"/>
      <c r="AE2511" s="33"/>
      <c r="AF2511" s="33"/>
      <c r="AG2511" s="33"/>
      <c r="AH2511" s="33"/>
      <c r="AI2511" s="33"/>
      <c r="AJ2511" s="33"/>
      <c r="AK2511" s="33"/>
    </row>
    <row r="2512">
      <c r="A2512" s="33"/>
      <c r="B2512" s="33"/>
      <c r="C2512" s="33"/>
      <c r="D2512" s="33"/>
      <c r="E2512" s="33"/>
      <c r="F2512" s="33"/>
      <c r="G2512" s="33"/>
      <c r="H2512" s="33"/>
      <c r="I2512" s="33"/>
      <c r="J2512" s="33"/>
      <c r="K2512" s="33"/>
      <c r="L2512" s="33"/>
      <c r="M2512" s="33"/>
      <c r="N2512" s="33"/>
      <c r="O2512" s="33"/>
      <c r="P2512" s="33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  <c r="AB2512" s="33"/>
      <c r="AC2512" s="33"/>
      <c r="AD2512" s="33"/>
      <c r="AE2512" s="33"/>
      <c r="AF2512" s="33"/>
      <c r="AG2512" s="33"/>
      <c r="AH2512" s="33"/>
      <c r="AI2512" s="33"/>
      <c r="AJ2512" s="33"/>
      <c r="AK2512" s="33"/>
    </row>
    <row r="2513">
      <c r="A2513" s="33"/>
      <c r="B2513" s="33"/>
      <c r="C2513" s="33"/>
      <c r="D2513" s="33"/>
      <c r="E2513" s="33"/>
      <c r="F2513" s="33"/>
      <c r="G2513" s="33"/>
      <c r="H2513" s="33"/>
      <c r="I2513" s="33"/>
      <c r="J2513" s="33"/>
      <c r="K2513" s="33"/>
      <c r="L2513" s="33"/>
      <c r="M2513" s="33"/>
      <c r="N2513" s="33"/>
      <c r="O2513" s="33"/>
      <c r="P2513" s="33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  <c r="AB2513" s="33"/>
      <c r="AC2513" s="33"/>
      <c r="AD2513" s="33"/>
      <c r="AE2513" s="33"/>
      <c r="AF2513" s="33"/>
      <c r="AG2513" s="33"/>
      <c r="AH2513" s="33"/>
      <c r="AI2513" s="33"/>
      <c r="AJ2513" s="33"/>
      <c r="AK2513" s="33"/>
    </row>
    <row r="2514">
      <c r="A2514" s="33"/>
      <c r="B2514" s="33"/>
      <c r="C2514" s="33"/>
      <c r="D2514" s="33"/>
      <c r="E2514" s="33"/>
      <c r="F2514" s="33"/>
      <c r="G2514" s="33"/>
      <c r="H2514" s="33"/>
      <c r="I2514" s="33"/>
      <c r="J2514" s="33"/>
      <c r="K2514" s="33"/>
      <c r="L2514" s="33"/>
      <c r="M2514" s="33"/>
      <c r="N2514" s="33"/>
      <c r="O2514" s="33"/>
      <c r="P2514" s="33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  <c r="AB2514" s="33"/>
      <c r="AC2514" s="33"/>
      <c r="AD2514" s="33"/>
      <c r="AE2514" s="33"/>
      <c r="AF2514" s="33"/>
      <c r="AG2514" s="33"/>
      <c r="AH2514" s="33"/>
      <c r="AI2514" s="33"/>
      <c r="AJ2514" s="33"/>
      <c r="AK2514" s="33"/>
    </row>
    <row r="2515">
      <c r="A2515" s="33"/>
      <c r="B2515" s="33"/>
      <c r="C2515" s="33"/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  <c r="AB2515" s="33"/>
      <c r="AC2515" s="33"/>
      <c r="AD2515" s="33"/>
      <c r="AE2515" s="33"/>
      <c r="AF2515" s="33"/>
      <c r="AG2515" s="33"/>
      <c r="AH2515" s="33"/>
      <c r="AI2515" s="33"/>
      <c r="AJ2515" s="33"/>
      <c r="AK2515" s="33"/>
    </row>
    <row r="2516">
      <c r="A2516" s="33"/>
      <c r="B2516" s="33"/>
      <c r="C2516" s="33"/>
      <c r="D2516" s="33"/>
      <c r="E2516" s="33"/>
      <c r="F2516" s="33"/>
      <c r="G2516" s="33"/>
      <c r="H2516" s="33"/>
      <c r="I2516" s="33"/>
      <c r="J2516" s="33"/>
      <c r="K2516" s="33"/>
      <c r="L2516" s="33"/>
      <c r="M2516" s="33"/>
      <c r="N2516" s="33"/>
      <c r="O2516" s="33"/>
      <c r="P2516" s="33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  <c r="AB2516" s="33"/>
      <c r="AC2516" s="33"/>
      <c r="AD2516" s="33"/>
      <c r="AE2516" s="33"/>
      <c r="AF2516" s="33"/>
      <c r="AG2516" s="33"/>
      <c r="AH2516" s="33"/>
      <c r="AI2516" s="33"/>
      <c r="AJ2516" s="33"/>
      <c r="AK2516" s="33"/>
    </row>
    <row r="2517">
      <c r="A2517" s="33"/>
      <c r="B2517" s="33"/>
      <c r="C2517" s="33"/>
      <c r="D2517" s="33"/>
      <c r="E2517" s="33"/>
      <c r="F2517" s="33"/>
      <c r="G2517" s="33"/>
      <c r="H2517" s="33"/>
      <c r="I2517" s="33"/>
      <c r="J2517" s="33"/>
      <c r="K2517" s="33"/>
      <c r="L2517" s="33"/>
      <c r="M2517" s="33"/>
      <c r="N2517" s="33"/>
      <c r="O2517" s="33"/>
      <c r="P2517" s="33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  <c r="AB2517" s="33"/>
      <c r="AC2517" s="33"/>
      <c r="AD2517" s="33"/>
      <c r="AE2517" s="33"/>
      <c r="AF2517" s="33"/>
      <c r="AG2517" s="33"/>
      <c r="AH2517" s="33"/>
      <c r="AI2517" s="33"/>
      <c r="AJ2517" s="33"/>
      <c r="AK2517" s="33"/>
    </row>
    <row r="2518">
      <c r="A2518" s="33"/>
      <c r="B2518" s="33"/>
      <c r="C2518" s="33"/>
      <c r="D2518" s="33"/>
      <c r="E2518" s="33"/>
      <c r="F2518" s="33"/>
      <c r="G2518" s="33"/>
      <c r="H2518" s="33"/>
      <c r="I2518" s="33"/>
      <c r="J2518" s="33"/>
      <c r="K2518" s="33"/>
      <c r="L2518" s="33"/>
      <c r="M2518" s="33"/>
      <c r="N2518" s="33"/>
      <c r="O2518" s="33"/>
      <c r="P2518" s="33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  <c r="AB2518" s="33"/>
      <c r="AC2518" s="33"/>
      <c r="AD2518" s="33"/>
      <c r="AE2518" s="33"/>
      <c r="AF2518" s="33"/>
      <c r="AG2518" s="33"/>
      <c r="AH2518" s="33"/>
      <c r="AI2518" s="33"/>
      <c r="AJ2518" s="33"/>
      <c r="AK2518" s="33"/>
    </row>
    <row r="2519">
      <c r="A2519" s="33"/>
      <c r="B2519" s="33"/>
      <c r="C2519" s="33"/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  <c r="AB2519" s="33"/>
      <c r="AC2519" s="33"/>
      <c r="AD2519" s="33"/>
      <c r="AE2519" s="33"/>
      <c r="AF2519" s="33"/>
      <c r="AG2519" s="33"/>
      <c r="AH2519" s="33"/>
      <c r="AI2519" s="33"/>
      <c r="AJ2519" s="33"/>
      <c r="AK2519" s="33"/>
    </row>
    <row r="2520">
      <c r="A2520" s="33"/>
      <c r="B2520" s="33"/>
      <c r="C2520" s="33"/>
      <c r="D2520" s="33"/>
      <c r="E2520" s="33"/>
      <c r="F2520" s="33"/>
      <c r="G2520" s="33"/>
      <c r="H2520" s="33"/>
      <c r="I2520" s="33"/>
      <c r="J2520" s="33"/>
      <c r="K2520" s="33"/>
      <c r="L2520" s="33"/>
      <c r="M2520" s="33"/>
      <c r="N2520" s="33"/>
      <c r="O2520" s="33"/>
      <c r="P2520" s="33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  <c r="AB2520" s="33"/>
      <c r="AC2520" s="33"/>
      <c r="AD2520" s="33"/>
      <c r="AE2520" s="33"/>
      <c r="AF2520" s="33"/>
      <c r="AG2520" s="33"/>
      <c r="AH2520" s="33"/>
      <c r="AI2520" s="33"/>
      <c r="AJ2520" s="33"/>
      <c r="AK2520" s="33"/>
    </row>
    <row r="2521">
      <c r="A2521" s="33"/>
      <c r="B2521" s="33"/>
      <c r="C2521" s="33"/>
      <c r="D2521" s="33"/>
      <c r="E2521" s="33"/>
      <c r="F2521" s="33"/>
      <c r="G2521" s="33"/>
      <c r="H2521" s="33"/>
      <c r="I2521" s="33"/>
      <c r="J2521" s="33"/>
      <c r="K2521" s="33"/>
      <c r="L2521" s="33"/>
      <c r="M2521" s="33"/>
      <c r="N2521" s="33"/>
      <c r="O2521" s="33"/>
      <c r="P2521" s="33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  <c r="AB2521" s="33"/>
      <c r="AC2521" s="33"/>
      <c r="AD2521" s="33"/>
      <c r="AE2521" s="33"/>
      <c r="AF2521" s="33"/>
      <c r="AG2521" s="33"/>
      <c r="AH2521" s="33"/>
      <c r="AI2521" s="33"/>
      <c r="AJ2521" s="33"/>
      <c r="AK2521" s="33"/>
    </row>
    <row r="2522">
      <c r="A2522" s="33"/>
      <c r="B2522" s="33"/>
      <c r="C2522" s="33"/>
      <c r="D2522" s="33"/>
      <c r="E2522" s="33"/>
      <c r="F2522" s="33"/>
      <c r="G2522" s="33"/>
      <c r="H2522" s="33"/>
      <c r="I2522" s="33"/>
      <c r="J2522" s="33"/>
      <c r="K2522" s="33"/>
      <c r="L2522" s="33"/>
      <c r="M2522" s="33"/>
      <c r="N2522" s="33"/>
      <c r="O2522" s="33"/>
      <c r="P2522" s="33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  <c r="AB2522" s="33"/>
      <c r="AC2522" s="33"/>
      <c r="AD2522" s="33"/>
      <c r="AE2522" s="33"/>
      <c r="AF2522" s="33"/>
      <c r="AG2522" s="33"/>
      <c r="AH2522" s="33"/>
      <c r="AI2522" s="33"/>
      <c r="AJ2522" s="33"/>
      <c r="AK2522" s="33"/>
    </row>
    <row r="2523">
      <c r="A2523" s="33"/>
      <c r="B2523" s="33"/>
      <c r="C2523" s="33"/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  <c r="AB2523" s="33"/>
      <c r="AC2523" s="33"/>
      <c r="AD2523" s="33"/>
      <c r="AE2523" s="33"/>
      <c r="AF2523" s="33"/>
      <c r="AG2523" s="33"/>
      <c r="AH2523" s="33"/>
      <c r="AI2523" s="33"/>
      <c r="AJ2523" s="33"/>
      <c r="AK2523" s="33"/>
    </row>
    <row r="2524">
      <c r="A2524" s="33"/>
      <c r="B2524" s="33"/>
      <c r="C2524" s="33"/>
      <c r="D2524" s="33"/>
      <c r="E2524" s="33"/>
      <c r="F2524" s="33"/>
      <c r="G2524" s="33"/>
      <c r="H2524" s="33"/>
      <c r="I2524" s="33"/>
      <c r="J2524" s="33"/>
      <c r="K2524" s="33"/>
      <c r="L2524" s="33"/>
      <c r="M2524" s="33"/>
      <c r="N2524" s="33"/>
      <c r="O2524" s="33"/>
      <c r="P2524" s="33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  <c r="AB2524" s="33"/>
      <c r="AC2524" s="33"/>
      <c r="AD2524" s="33"/>
      <c r="AE2524" s="33"/>
      <c r="AF2524" s="33"/>
      <c r="AG2524" s="33"/>
      <c r="AH2524" s="33"/>
      <c r="AI2524" s="33"/>
      <c r="AJ2524" s="33"/>
      <c r="AK2524" s="33"/>
    </row>
    <row r="2525">
      <c r="A2525" s="33"/>
      <c r="B2525" s="33"/>
      <c r="C2525" s="33"/>
      <c r="D2525" s="33"/>
      <c r="E2525" s="33"/>
      <c r="F2525" s="33"/>
      <c r="G2525" s="33"/>
      <c r="H2525" s="33"/>
      <c r="I2525" s="33"/>
      <c r="J2525" s="33"/>
      <c r="K2525" s="33"/>
      <c r="L2525" s="33"/>
      <c r="M2525" s="33"/>
      <c r="N2525" s="33"/>
      <c r="O2525" s="33"/>
      <c r="P2525" s="33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  <c r="AB2525" s="33"/>
      <c r="AC2525" s="33"/>
      <c r="AD2525" s="33"/>
      <c r="AE2525" s="33"/>
      <c r="AF2525" s="33"/>
      <c r="AG2525" s="33"/>
      <c r="AH2525" s="33"/>
      <c r="AI2525" s="33"/>
      <c r="AJ2525" s="33"/>
      <c r="AK2525" s="33"/>
    </row>
    <row r="2526">
      <c r="A2526" s="33"/>
      <c r="B2526" s="33"/>
      <c r="C2526" s="33"/>
      <c r="D2526" s="33"/>
      <c r="E2526" s="33"/>
      <c r="F2526" s="33"/>
      <c r="G2526" s="33"/>
      <c r="H2526" s="33"/>
      <c r="I2526" s="33"/>
      <c r="J2526" s="33"/>
      <c r="K2526" s="33"/>
      <c r="L2526" s="33"/>
      <c r="M2526" s="33"/>
      <c r="N2526" s="33"/>
      <c r="O2526" s="33"/>
      <c r="P2526" s="33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  <c r="AB2526" s="33"/>
      <c r="AC2526" s="33"/>
      <c r="AD2526" s="33"/>
      <c r="AE2526" s="33"/>
      <c r="AF2526" s="33"/>
      <c r="AG2526" s="33"/>
      <c r="AH2526" s="33"/>
      <c r="AI2526" s="33"/>
      <c r="AJ2526" s="33"/>
      <c r="AK2526" s="33"/>
    </row>
    <row r="2527">
      <c r="A2527" s="33"/>
      <c r="B2527" s="33"/>
      <c r="C2527" s="33"/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  <c r="AB2527" s="33"/>
      <c r="AC2527" s="33"/>
      <c r="AD2527" s="33"/>
      <c r="AE2527" s="33"/>
      <c r="AF2527" s="33"/>
      <c r="AG2527" s="33"/>
      <c r="AH2527" s="33"/>
      <c r="AI2527" s="33"/>
      <c r="AJ2527" s="33"/>
      <c r="AK2527" s="33"/>
    </row>
    <row r="2528">
      <c r="A2528" s="33"/>
      <c r="B2528" s="33"/>
      <c r="C2528" s="33"/>
      <c r="D2528" s="33"/>
      <c r="E2528" s="33"/>
      <c r="F2528" s="33"/>
      <c r="G2528" s="33"/>
      <c r="H2528" s="33"/>
      <c r="I2528" s="33"/>
      <c r="J2528" s="33"/>
      <c r="K2528" s="33"/>
      <c r="L2528" s="33"/>
      <c r="M2528" s="33"/>
      <c r="N2528" s="33"/>
      <c r="O2528" s="33"/>
      <c r="P2528" s="33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  <c r="AB2528" s="33"/>
      <c r="AC2528" s="33"/>
      <c r="AD2528" s="33"/>
      <c r="AE2528" s="33"/>
      <c r="AF2528" s="33"/>
      <c r="AG2528" s="33"/>
      <c r="AH2528" s="33"/>
      <c r="AI2528" s="33"/>
      <c r="AJ2528" s="33"/>
      <c r="AK2528" s="33"/>
    </row>
    <row r="2529">
      <c r="A2529" s="33"/>
      <c r="B2529" s="33"/>
      <c r="C2529" s="33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  <c r="AB2529" s="33"/>
      <c r="AC2529" s="33"/>
      <c r="AD2529" s="33"/>
      <c r="AE2529" s="33"/>
      <c r="AF2529" s="33"/>
      <c r="AG2529" s="33"/>
      <c r="AH2529" s="33"/>
      <c r="AI2529" s="33"/>
      <c r="AJ2529" s="33"/>
      <c r="AK2529" s="33"/>
    </row>
    <row r="2530">
      <c r="A2530" s="33"/>
      <c r="B2530" s="33"/>
      <c r="C2530" s="33"/>
      <c r="D2530" s="33"/>
      <c r="E2530" s="33"/>
      <c r="F2530" s="33"/>
      <c r="G2530" s="33"/>
      <c r="H2530" s="33"/>
      <c r="I2530" s="33"/>
      <c r="J2530" s="33"/>
      <c r="K2530" s="33"/>
      <c r="L2530" s="33"/>
      <c r="M2530" s="33"/>
      <c r="N2530" s="33"/>
      <c r="O2530" s="33"/>
      <c r="P2530" s="33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  <c r="AB2530" s="33"/>
      <c r="AC2530" s="33"/>
      <c r="AD2530" s="33"/>
      <c r="AE2530" s="33"/>
      <c r="AF2530" s="33"/>
      <c r="AG2530" s="33"/>
      <c r="AH2530" s="33"/>
      <c r="AI2530" s="33"/>
      <c r="AJ2530" s="33"/>
      <c r="AK2530" s="33"/>
    </row>
    <row r="2531">
      <c r="A2531" s="33"/>
      <c r="B2531" s="33"/>
      <c r="C2531" s="33"/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  <c r="AB2531" s="33"/>
      <c r="AC2531" s="33"/>
      <c r="AD2531" s="33"/>
      <c r="AE2531" s="33"/>
      <c r="AF2531" s="33"/>
      <c r="AG2531" s="33"/>
      <c r="AH2531" s="33"/>
      <c r="AI2531" s="33"/>
      <c r="AJ2531" s="33"/>
      <c r="AK2531" s="33"/>
    </row>
    <row r="2532">
      <c r="A2532" s="33"/>
      <c r="B2532" s="33"/>
      <c r="C2532" s="33"/>
      <c r="D2532" s="33"/>
      <c r="E2532" s="33"/>
      <c r="F2532" s="33"/>
      <c r="G2532" s="33"/>
      <c r="H2532" s="33"/>
      <c r="I2532" s="33"/>
      <c r="J2532" s="33"/>
      <c r="K2532" s="33"/>
      <c r="L2532" s="33"/>
      <c r="M2532" s="33"/>
      <c r="N2532" s="33"/>
      <c r="O2532" s="33"/>
      <c r="P2532" s="33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  <c r="AB2532" s="33"/>
      <c r="AC2532" s="33"/>
      <c r="AD2532" s="33"/>
      <c r="AE2532" s="33"/>
      <c r="AF2532" s="33"/>
      <c r="AG2532" s="33"/>
      <c r="AH2532" s="33"/>
      <c r="AI2532" s="33"/>
      <c r="AJ2532" s="33"/>
      <c r="AK2532" s="33"/>
    </row>
    <row r="2533">
      <c r="A2533" s="33"/>
      <c r="B2533" s="33"/>
      <c r="C2533" s="33"/>
      <c r="D2533" s="33"/>
      <c r="E2533" s="33"/>
      <c r="F2533" s="33"/>
      <c r="G2533" s="33"/>
      <c r="H2533" s="33"/>
      <c r="I2533" s="33"/>
      <c r="J2533" s="33"/>
      <c r="K2533" s="33"/>
      <c r="L2533" s="33"/>
      <c r="M2533" s="33"/>
      <c r="N2533" s="33"/>
      <c r="O2533" s="33"/>
      <c r="P2533" s="33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  <c r="AB2533" s="33"/>
      <c r="AC2533" s="33"/>
      <c r="AD2533" s="33"/>
      <c r="AE2533" s="33"/>
      <c r="AF2533" s="33"/>
      <c r="AG2533" s="33"/>
      <c r="AH2533" s="33"/>
      <c r="AI2533" s="33"/>
      <c r="AJ2533" s="33"/>
      <c r="AK2533" s="33"/>
    </row>
    <row r="2534">
      <c r="A2534" s="33"/>
      <c r="B2534" s="33"/>
      <c r="C2534" s="33"/>
      <c r="D2534" s="33"/>
      <c r="E2534" s="33"/>
      <c r="F2534" s="33"/>
      <c r="G2534" s="33"/>
      <c r="H2534" s="33"/>
      <c r="I2534" s="33"/>
      <c r="J2534" s="33"/>
      <c r="K2534" s="33"/>
      <c r="L2534" s="33"/>
      <c r="M2534" s="33"/>
      <c r="N2534" s="33"/>
      <c r="O2534" s="33"/>
      <c r="P2534" s="33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  <c r="AB2534" s="33"/>
      <c r="AC2534" s="33"/>
      <c r="AD2534" s="33"/>
      <c r="AE2534" s="33"/>
      <c r="AF2534" s="33"/>
      <c r="AG2534" s="33"/>
      <c r="AH2534" s="33"/>
      <c r="AI2534" s="33"/>
      <c r="AJ2534" s="33"/>
      <c r="AK2534" s="33"/>
    </row>
    <row r="2535">
      <c r="A2535" s="33"/>
      <c r="B2535" s="33"/>
      <c r="C2535" s="33"/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  <c r="AB2535" s="33"/>
      <c r="AC2535" s="33"/>
      <c r="AD2535" s="33"/>
      <c r="AE2535" s="33"/>
      <c r="AF2535" s="33"/>
      <c r="AG2535" s="33"/>
      <c r="AH2535" s="33"/>
      <c r="AI2535" s="33"/>
      <c r="AJ2535" s="33"/>
      <c r="AK2535" s="33"/>
    </row>
    <row r="2536">
      <c r="A2536" s="33"/>
      <c r="B2536" s="33"/>
      <c r="C2536" s="33"/>
      <c r="D2536" s="33"/>
      <c r="E2536" s="33"/>
      <c r="F2536" s="33"/>
      <c r="G2536" s="33"/>
      <c r="H2536" s="33"/>
      <c r="I2536" s="33"/>
      <c r="J2536" s="33"/>
      <c r="K2536" s="33"/>
      <c r="L2536" s="33"/>
      <c r="M2536" s="33"/>
      <c r="N2536" s="33"/>
      <c r="O2536" s="33"/>
      <c r="P2536" s="33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  <c r="AB2536" s="33"/>
      <c r="AC2536" s="33"/>
      <c r="AD2536" s="33"/>
      <c r="AE2536" s="33"/>
      <c r="AF2536" s="33"/>
      <c r="AG2536" s="33"/>
      <c r="AH2536" s="33"/>
      <c r="AI2536" s="33"/>
      <c r="AJ2536" s="33"/>
      <c r="AK2536" s="33"/>
    </row>
    <row r="2537">
      <c r="A2537" s="33"/>
      <c r="B2537" s="33"/>
      <c r="C2537" s="33"/>
      <c r="D2537" s="33"/>
      <c r="E2537" s="33"/>
      <c r="F2537" s="33"/>
      <c r="G2537" s="33"/>
      <c r="H2537" s="33"/>
      <c r="I2537" s="33"/>
      <c r="J2537" s="33"/>
      <c r="K2537" s="33"/>
      <c r="L2537" s="33"/>
      <c r="M2537" s="33"/>
      <c r="N2537" s="33"/>
      <c r="O2537" s="33"/>
      <c r="P2537" s="33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  <c r="AB2537" s="33"/>
      <c r="AC2537" s="33"/>
      <c r="AD2537" s="33"/>
      <c r="AE2537" s="33"/>
      <c r="AF2537" s="33"/>
      <c r="AG2537" s="33"/>
      <c r="AH2537" s="33"/>
      <c r="AI2537" s="33"/>
      <c r="AJ2537" s="33"/>
      <c r="AK2537" s="33"/>
    </row>
    <row r="2538">
      <c r="A2538" s="33"/>
      <c r="B2538" s="33"/>
      <c r="C2538" s="33"/>
      <c r="D2538" s="33"/>
      <c r="E2538" s="33"/>
      <c r="F2538" s="33"/>
      <c r="G2538" s="33"/>
      <c r="H2538" s="33"/>
      <c r="I2538" s="33"/>
      <c r="J2538" s="33"/>
      <c r="K2538" s="3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  <c r="AB2538" s="33"/>
      <c r="AC2538" s="33"/>
      <c r="AD2538" s="33"/>
      <c r="AE2538" s="33"/>
      <c r="AF2538" s="33"/>
      <c r="AG2538" s="33"/>
      <c r="AH2538" s="33"/>
      <c r="AI2538" s="33"/>
      <c r="AJ2538" s="33"/>
      <c r="AK2538" s="33"/>
    </row>
    <row r="2539">
      <c r="A2539" s="33"/>
      <c r="B2539" s="33"/>
      <c r="C2539" s="33"/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  <c r="AB2539" s="33"/>
      <c r="AC2539" s="33"/>
      <c r="AD2539" s="33"/>
      <c r="AE2539" s="33"/>
      <c r="AF2539" s="33"/>
      <c r="AG2539" s="33"/>
      <c r="AH2539" s="33"/>
      <c r="AI2539" s="33"/>
      <c r="AJ2539" s="33"/>
      <c r="AK2539" s="33"/>
    </row>
    <row r="2540">
      <c r="A2540" s="33"/>
      <c r="B2540" s="33"/>
      <c r="C2540" s="33"/>
      <c r="D2540" s="33"/>
      <c r="E2540" s="33"/>
      <c r="F2540" s="33"/>
      <c r="G2540" s="33"/>
      <c r="H2540" s="33"/>
      <c r="I2540" s="33"/>
      <c r="J2540" s="33"/>
      <c r="K2540" s="33"/>
      <c r="L2540" s="33"/>
      <c r="M2540" s="33"/>
      <c r="N2540" s="33"/>
      <c r="O2540" s="33"/>
      <c r="P2540" s="33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  <c r="AB2540" s="33"/>
      <c r="AC2540" s="33"/>
      <c r="AD2540" s="33"/>
      <c r="AE2540" s="33"/>
      <c r="AF2540" s="33"/>
      <c r="AG2540" s="33"/>
      <c r="AH2540" s="33"/>
      <c r="AI2540" s="33"/>
      <c r="AJ2540" s="33"/>
      <c r="AK2540" s="33"/>
    </row>
    <row r="2541">
      <c r="A2541" s="33"/>
      <c r="B2541" s="33"/>
      <c r="C2541" s="33"/>
      <c r="D2541" s="33"/>
      <c r="E2541" s="33"/>
      <c r="F2541" s="33"/>
      <c r="G2541" s="33"/>
      <c r="H2541" s="33"/>
      <c r="I2541" s="33"/>
      <c r="J2541" s="33"/>
      <c r="K2541" s="33"/>
      <c r="L2541" s="33"/>
      <c r="M2541" s="33"/>
      <c r="N2541" s="33"/>
      <c r="O2541" s="33"/>
      <c r="P2541" s="33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  <c r="AB2541" s="33"/>
      <c r="AC2541" s="33"/>
      <c r="AD2541" s="33"/>
      <c r="AE2541" s="33"/>
      <c r="AF2541" s="33"/>
      <c r="AG2541" s="33"/>
      <c r="AH2541" s="33"/>
      <c r="AI2541" s="33"/>
      <c r="AJ2541" s="33"/>
      <c r="AK2541" s="33"/>
    </row>
    <row r="2542">
      <c r="A2542" s="33"/>
      <c r="B2542" s="33"/>
      <c r="C2542" s="33"/>
      <c r="D2542" s="33"/>
      <c r="E2542" s="33"/>
      <c r="F2542" s="33"/>
      <c r="G2542" s="33"/>
      <c r="H2542" s="33"/>
      <c r="I2542" s="33"/>
      <c r="J2542" s="33"/>
      <c r="K2542" s="33"/>
      <c r="L2542" s="33"/>
      <c r="M2542" s="33"/>
      <c r="N2542" s="33"/>
      <c r="O2542" s="33"/>
      <c r="P2542" s="33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  <c r="AB2542" s="33"/>
      <c r="AC2542" s="33"/>
      <c r="AD2542" s="33"/>
      <c r="AE2542" s="33"/>
      <c r="AF2542" s="33"/>
      <c r="AG2542" s="33"/>
      <c r="AH2542" s="33"/>
      <c r="AI2542" s="33"/>
      <c r="AJ2542" s="33"/>
      <c r="AK2542" s="33"/>
    </row>
    <row r="2543">
      <c r="A2543" s="33"/>
      <c r="B2543" s="33"/>
      <c r="C2543" s="33"/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  <c r="AB2543" s="33"/>
      <c r="AC2543" s="33"/>
      <c r="AD2543" s="33"/>
      <c r="AE2543" s="33"/>
      <c r="AF2543" s="33"/>
      <c r="AG2543" s="33"/>
      <c r="AH2543" s="33"/>
      <c r="AI2543" s="33"/>
      <c r="AJ2543" s="33"/>
      <c r="AK2543" s="33"/>
    </row>
    <row r="2544">
      <c r="A2544" s="33"/>
      <c r="B2544" s="33"/>
      <c r="C2544" s="33"/>
      <c r="D2544" s="33"/>
      <c r="E2544" s="33"/>
      <c r="F2544" s="33"/>
      <c r="G2544" s="33"/>
      <c r="H2544" s="33"/>
      <c r="I2544" s="33"/>
      <c r="J2544" s="33"/>
      <c r="K2544" s="33"/>
      <c r="L2544" s="33"/>
      <c r="M2544" s="33"/>
      <c r="N2544" s="33"/>
      <c r="O2544" s="33"/>
      <c r="P2544" s="33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  <c r="AB2544" s="33"/>
      <c r="AC2544" s="33"/>
      <c r="AD2544" s="33"/>
      <c r="AE2544" s="33"/>
      <c r="AF2544" s="33"/>
      <c r="AG2544" s="33"/>
      <c r="AH2544" s="33"/>
      <c r="AI2544" s="33"/>
      <c r="AJ2544" s="33"/>
      <c r="AK2544" s="33"/>
    </row>
    <row r="2545">
      <c r="A2545" s="33"/>
      <c r="B2545" s="33"/>
      <c r="C2545" s="33"/>
      <c r="D2545" s="33"/>
      <c r="E2545" s="33"/>
      <c r="F2545" s="33"/>
      <c r="G2545" s="33"/>
      <c r="H2545" s="33"/>
      <c r="I2545" s="33"/>
      <c r="J2545" s="33"/>
      <c r="K2545" s="33"/>
      <c r="L2545" s="33"/>
      <c r="M2545" s="33"/>
      <c r="N2545" s="33"/>
      <c r="O2545" s="33"/>
      <c r="P2545" s="33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  <c r="AB2545" s="33"/>
      <c r="AC2545" s="33"/>
      <c r="AD2545" s="33"/>
      <c r="AE2545" s="33"/>
      <c r="AF2545" s="33"/>
      <c r="AG2545" s="33"/>
      <c r="AH2545" s="33"/>
      <c r="AI2545" s="33"/>
      <c r="AJ2545" s="33"/>
      <c r="AK2545" s="33"/>
    </row>
    <row r="2546">
      <c r="A2546" s="33"/>
      <c r="B2546" s="33"/>
      <c r="C2546" s="33"/>
      <c r="D2546" s="33"/>
      <c r="E2546" s="33"/>
      <c r="F2546" s="33"/>
      <c r="G2546" s="33"/>
      <c r="H2546" s="33"/>
      <c r="I2546" s="33"/>
      <c r="J2546" s="33"/>
      <c r="K2546" s="33"/>
      <c r="L2546" s="33"/>
      <c r="M2546" s="33"/>
      <c r="N2546" s="33"/>
      <c r="O2546" s="33"/>
      <c r="P2546" s="33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  <c r="AB2546" s="33"/>
      <c r="AC2546" s="33"/>
      <c r="AD2546" s="33"/>
      <c r="AE2546" s="33"/>
      <c r="AF2546" s="33"/>
      <c r="AG2546" s="33"/>
      <c r="AH2546" s="33"/>
      <c r="AI2546" s="33"/>
      <c r="AJ2546" s="33"/>
      <c r="AK2546" s="33"/>
    </row>
    <row r="2547">
      <c r="A2547" s="33"/>
      <c r="B2547" s="33"/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  <c r="AB2547" s="33"/>
      <c r="AC2547" s="33"/>
      <c r="AD2547" s="33"/>
      <c r="AE2547" s="33"/>
      <c r="AF2547" s="33"/>
      <c r="AG2547" s="33"/>
      <c r="AH2547" s="33"/>
      <c r="AI2547" s="33"/>
      <c r="AJ2547" s="33"/>
      <c r="AK2547" s="33"/>
    </row>
    <row r="2548">
      <c r="A2548" s="33"/>
      <c r="B2548" s="33"/>
      <c r="C2548" s="33"/>
      <c r="D2548" s="33"/>
      <c r="E2548" s="33"/>
      <c r="F2548" s="33"/>
      <c r="G2548" s="33"/>
      <c r="H2548" s="33"/>
      <c r="I2548" s="33"/>
      <c r="J2548" s="33"/>
      <c r="K2548" s="33"/>
      <c r="L2548" s="33"/>
      <c r="M2548" s="33"/>
      <c r="N2548" s="33"/>
      <c r="O2548" s="33"/>
      <c r="P2548" s="33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  <c r="AB2548" s="33"/>
      <c r="AC2548" s="33"/>
      <c r="AD2548" s="33"/>
      <c r="AE2548" s="33"/>
      <c r="AF2548" s="33"/>
      <c r="AG2548" s="33"/>
      <c r="AH2548" s="33"/>
      <c r="AI2548" s="33"/>
      <c r="AJ2548" s="33"/>
      <c r="AK2548" s="33"/>
    </row>
    <row r="2549">
      <c r="A2549" s="33"/>
      <c r="B2549" s="33"/>
      <c r="C2549" s="33"/>
      <c r="D2549" s="33"/>
      <c r="E2549" s="33"/>
      <c r="F2549" s="33"/>
      <c r="G2549" s="33"/>
      <c r="H2549" s="33"/>
      <c r="I2549" s="33"/>
      <c r="J2549" s="33"/>
      <c r="K2549" s="33"/>
      <c r="L2549" s="33"/>
      <c r="M2549" s="33"/>
      <c r="N2549" s="33"/>
      <c r="O2549" s="33"/>
      <c r="P2549" s="33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  <c r="AB2549" s="33"/>
      <c r="AC2549" s="33"/>
      <c r="AD2549" s="33"/>
      <c r="AE2549" s="33"/>
      <c r="AF2549" s="33"/>
      <c r="AG2549" s="33"/>
      <c r="AH2549" s="33"/>
      <c r="AI2549" s="33"/>
      <c r="AJ2549" s="33"/>
      <c r="AK2549" s="33"/>
    </row>
    <row r="2550">
      <c r="A2550" s="33"/>
      <c r="B2550" s="33"/>
      <c r="C2550" s="33"/>
      <c r="D2550" s="33"/>
      <c r="E2550" s="33"/>
      <c r="F2550" s="33"/>
      <c r="G2550" s="33"/>
      <c r="H2550" s="33"/>
      <c r="I2550" s="33"/>
      <c r="J2550" s="33"/>
      <c r="K2550" s="33"/>
      <c r="L2550" s="33"/>
      <c r="M2550" s="33"/>
      <c r="N2550" s="33"/>
      <c r="O2550" s="33"/>
      <c r="P2550" s="33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  <c r="AB2550" s="33"/>
      <c r="AC2550" s="33"/>
      <c r="AD2550" s="33"/>
      <c r="AE2550" s="33"/>
      <c r="AF2550" s="33"/>
      <c r="AG2550" s="33"/>
      <c r="AH2550" s="33"/>
      <c r="AI2550" s="33"/>
      <c r="AJ2550" s="33"/>
      <c r="AK2550" s="33"/>
    </row>
    <row r="2551">
      <c r="A2551" s="33"/>
      <c r="B2551" s="33"/>
      <c r="C2551" s="33"/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  <c r="AB2551" s="33"/>
      <c r="AC2551" s="33"/>
      <c r="AD2551" s="33"/>
      <c r="AE2551" s="33"/>
      <c r="AF2551" s="33"/>
      <c r="AG2551" s="33"/>
      <c r="AH2551" s="33"/>
      <c r="AI2551" s="33"/>
      <c r="AJ2551" s="33"/>
      <c r="AK2551" s="33"/>
    </row>
    <row r="2552">
      <c r="A2552" s="33"/>
      <c r="B2552" s="33"/>
      <c r="C2552" s="33"/>
      <c r="D2552" s="33"/>
      <c r="E2552" s="33"/>
      <c r="F2552" s="33"/>
      <c r="G2552" s="33"/>
      <c r="H2552" s="33"/>
      <c r="I2552" s="33"/>
      <c r="J2552" s="33"/>
      <c r="K2552" s="33"/>
      <c r="L2552" s="33"/>
      <c r="M2552" s="33"/>
      <c r="N2552" s="33"/>
      <c r="O2552" s="33"/>
      <c r="P2552" s="33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  <c r="AB2552" s="33"/>
      <c r="AC2552" s="33"/>
      <c r="AD2552" s="33"/>
      <c r="AE2552" s="33"/>
      <c r="AF2552" s="33"/>
      <c r="AG2552" s="33"/>
      <c r="AH2552" s="33"/>
      <c r="AI2552" s="33"/>
      <c r="AJ2552" s="33"/>
      <c r="AK2552" s="33"/>
    </row>
    <row r="2553">
      <c r="A2553" s="33"/>
      <c r="B2553" s="33"/>
      <c r="C2553" s="33"/>
      <c r="D2553" s="33"/>
      <c r="E2553" s="33"/>
      <c r="F2553" s="33"/>
      <c r="G2553" s="33"/>
      <c r="H2553" s="33"/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  <c r="AB2553" s="33"/>
      <c r="AC2553" s="33"/>
      <c r="AD2553" s="33"/>
      <c r="AE2553" s="33"/>
      <c r="AF2553" s="33"/>
      <c r="AG2553" s="33"/>
      <c r="AH2553" s="33"/>
      <c r="AI2553" s="33"/>
      <c r="AJ2553" s="33"/>
      <c r="AK2553" s="33"/>
    </row>
    <row r="2554">
      <c r="A2554" s="33"/>
      <c r="B2554" s="33"/>
      <c r="C2554" s="33"/>
      <c r="D2554" s="33"/>
      <c r="E2554" s="33"/>
      <c r="F2554" s="33"/>
      <c r="G2554" s="33"/>
      <c r="H2554" s="33"/>
      <c r="I2554" s="33"/>
      <c r="J2554" s="33"/>
      <c r="K2554" s="33"/>
      <c r="L2554" s="33"/>
      <c r="M2554" s="33"/>
      <c r="N2554" s="33"/>
      <c r="O2554" s="33"/>
      <c r="P2554" s="33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  <c r="AB2554" s="33"/>
      <c r="AC2554" s="33"/>
      <c r="AD2554" s="33"/>
      <c r="AE2554" s="33"/>
      <c r="AF2554" s="33"/>
      <c r="AG2554" s="33"/>
      <c r="AH2554" s="33"/>
      <c r="AI2554" s="33"/>
      <c r="AJ2554" s="33"/>
      <c r="AK2554" s="33"/>
    </row>
    <row r="2555">
      <c r="A2555" s="33"/>
      <c r="B2555" s="33"/>
      <c r="C2555" s="33"/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  <c r="AB2555" s="33"/>
      <c r="AC2555" s="33"/>
      <c r="AD2555" s="33"/>
      <c r="AE2555" s="33"/>
      <c r="AF2555" s="33"/>
      <c r="AG2555" s="33"/>
      <c r="AH2555" s="33"/>
      <c r="AI2555" s="33"/>
      <c r="AJ2555" s="33"/>
      <c r="AK2555" s="33"/>
    </row>
    <row r="2556">
      <c r="A2556" s="33"/>
      <c r="B2556" s="33"/>
      <c r="C2556" s="33"/>
      <c r="D2556" s="33"/>
      <c r="E2556" s="33"/>
      <c r="F2556" s="33"/>
      <c r="G2556" s="33"/>
      <c r="H2556" s="33"/>
      <c r="I2556" s="33"/>
      <c r="J2556" s="33"/>
      <c r="K2556" s="33"/>
      <c r="L2556" s="33"/>
      <c r="M2556" s="33"/>
      <c r="N2556" s="33"/>
      <c r="O2556" s="33"/>
      <c r="P2556" s="33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  <c r="AB2556" s="33"/>
      <c r="AC2556" s="33"/>
      <c r="AD2556" s="33"/>
      <c r="AE2556" s="33"/>
      <c r="AF2556" s="33"/>
      <c r="AG2556" s="33"/>
      <c r="AH2556" s="33"/>
      <c r="AI2556" s="33"/>
      <c r="AJ2556" s="33"/>
      <c r="AK2556" s="33"/>
    </row>
    <row r="2557">
      <c r="A2557" s="33"/>
      <c r="B2557" s="33"/>
      <c r="C2557" s="33"/>
      <c r="D2557" s="33"/>
      <c r="E2557" s="33"/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  <c r="AB2557" s="33"/>
      <c r="AC2557" s="33"/>
      <c r="AD2557" s="33"/>
      <c r="AE2557" s="33"/>
      <c r="AF2557" s="33"/>
      <c r="AG2557" s="33"/>
      <c r="AH2557" s="33"/>
      <c r="AI2557" s="33"/>
      <c r="AJ2557" s="33"/>
      <c r="AK2557" s="33"/>
    </row>
    <row r="2558">
      <c r="A2558" s="33"/>
      <c r="B2558" s="33"/>
      <c r="C2558" s="33"/>
      <c r="D2558" s="33"/>
      <c r="E2558" s="33"/>
      <c r="F2558" s="33"/>
      <c r="G2558" s="33"/>
      <c r="H2558" s="33"/>
      <c r="I2558" s="33"/>
      <c r="J2558" s="33"/>
      <c r="K2558" s="33"/>
      <c r="L2558" s="33"/>
      <c r="M2558" s="33"/>
      <c r="N2558" s="33"/>
      <c r="O2558" s="33"/>
      <c r="P2558" s="33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  <c r="AB2558" s="33"/>
      <c r="AC2558" s="33"/>
      <c r="AD2558" s="33"/>
      <c r="AE2558" s="33"/>
      <c r="AF2558" s="33"/>
      <c r="AG2558" s="33"/>
      <c r="AH2558" s="33"/>
      <c r="AI2558" s="33"/>
      <c r="AJ2558" s="33"/>
      <c r="AK2558" s="33"/>
    </row>
    <row r="2559">
      <c r="A2559" s="33"/>
      <c r="B2559" s="33"/>
      <c r="C2559" s="33"/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  <c r="AB2559" s="33"/>
      <c r="AC2559" s="33"/>
      <c r="AD2559" s="33"/>
      <c r="AE2559" s="33"/>
      <c r="AF2559" s="33"/>
      <c r="AG2559" s="33"/>
      <c r="AH2559" s="33"/>
      <c r="AI2559" s="33"/>
      <c r="AJ2559" s="33"/>
      <c r="AK2559" s="33"/>
    </row>
    <row r="2560">
      <c r="A2560" s="33"/>
      <c r="B2560" s="33"/>
      <c r="C2560" s="33"/>
      <c r="D2560" s="33"/>
      <c r="E2560" s="33"/>
      <c r="F2560" s="33"/>
      <c r="G2560" s="33"/>
      <c r="H2560" s="33"/>
      <c r="I2560" s="33"/>
      <c r="J2560" s="33"/>
      <c r="K2560" s="33"/>
      <c r="L2560" s="33"/>
      <c r="M2560" s="33"/>
      <c r="N2560" s="33"/>
      <c r="O2560" s="33"/>
      <c r="P2560" s="33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  <c r="AB2560" s="33"/>
      <c r="AC2560" s="33"/>
      <c r="AD2560" s="33"/>
      <c r="AE2560" s="33"/>
      <c r="AF2560" s="33"/>
      <c r="AG2560" s="33"/>
      <c r="AH2560" s="33"/>
      <c r="AI2560" s="33"/>
      <c r="AJ2560" s="33"/>
      <c r="AK2560" s="33"/>
    </row>
    <row r="2561">
      <c r="A2561" s="33"/>
      <c r="B2561" s="33"/>
      <c r="C2561" s="33"/>
      <c r="D2561" s="33"/>
      <c r="E2561" s="33"/>
      <c r="F2561" s="33"/>
      <c r="G2561" s="33"/>
      <c r="H2561" s="33"/>
      <c r="I2561" s="33"/>
      <c r="J2561" s="33"/>
      <c r="K2561" s="33"/>
      <c r="L2561" s="33"/>
      <c r="M2561" s="33"/>
      <c r="N2561" s="33"/>
      <c r="O2561" s="33"/>
      <c r="P2561" s="33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  <c r="AB2561" s="33"/>
      <c r="AC2561" s="33"/>
      <c r="AD2561" s="33"/>
      <c r="AE2561" s="33"/>
      <c r="AF2561" s="33"/>
      <c r="AG2561" s="33"/>
      <c r="AH2561" s="33"/>
      <c r="AI2561" s="33"/>
      <c r="AJ2561" s="33"/>
      <c r="AK2561" s="33"/>
    </row>
    <row r="2562">
      <c r="A2562" s="33"/>
      <c r="B2562" s="33"/>
      <c r="C2562" s="33"/>
      <c r="D2562" s="33"/>
      <c r="E2562" s="33"/>
      <c r="F2562" s="33"/>
      <c r="G2562" s="33"/>
      <c r="H2562" s="33"/>
      <c r="I2562" s="33"/>
      <c r="J2562" s="33"/>
      <c r="K2562" s="33"/>
      <c r="L2562" s="33"/>
      <c r="M2562" s="33"/>
      <c r="N2562" s="33"/>
      <c r="O2562" s="33"/>
      <c r="P2562" s="33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  <c r="AB2562" s="33"/>
      <c r="AC2562" s="33"/>
      <c r="AD2562" s="33"/>
      <c r="AE2562" s="33"/>
      <c r="AF2562" s="33"/>
      <c r="AG2562" s="33"/>
      <c r="AH2562" s="33"/>
      <c r="AI2562" s="33"/>
      <c r="AJ2562" s="33"/>
      <c r="AK2562" s="33"/>
    </row>
    <row r="2563">
      <c r="A2563" s="33"/>
      <c r="B2563" s="33"/>
      <c r="C2563" s="33"/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  <c r="AB2563" s="33"/>
      <c r="AC2563" s="33"/>
      <c r="AD2563" s="33"/>
      <c r="AE2563" s="33"/>
      <c r="AF2563" s="33"/>
      <c r="AG2563" s="33"/>
      <c r="AH2563" s="33"/>
      <c r="AI2563" s="33"/>
      <c r="AJ2563" s="33"/>
      <c r="AK2563" s="33"/>
    </row>
    <row r="2564">
      <c r="A2564" s="33"/>
      <c r="B2564" s="33"/>
      <c r="C2564" s="33"/>
      <c r="D2564" s="33"/>
      <c r="E2564" s="33"/>
      <c r="F2564" s="33"/>
      <c r="G2564" s="33"/>
      <c r="H2564" s="33"/>
      <c r="I2564" s="33"/>
      <c r="J2564" s="33"/>
      <c r="K2564" s="33"/>
      <c r="L2564" s="33"/>
      <c r="M2564" s="33"/>
      <c r="N2564" s="33"/>
      <c r="O2564" s="33"/>
      <c r="P2564" s="33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  <c r="AB2564" s="33"/>
      <c r="AC2564" s="33"/>
      <c r="AD2564" s="33"/>
      <c r="AE2564" s="33"/>
      <c r="AF2564" s="33"/>
      <c r="AG2564" s="33"/>
      <c r="AH2564" s="33"/>
      <c r="AI2564" s="33"/>
      <c r="AJ2564" s="33"/>
      <c r="AK2564" s="33"/>
    </row>
    <row r="2565">
      <c r="A2565" s="33"/>
      <c r="B2565" s="33"/>
      <c r="C2565" s="33"/>
      <c r="D2565" s="33"/>
      <c r="E2565" s="33"/>
      <c r="F2565" s="33"/>
      <c r="G2565" s="33"/>
      <c r="H2565" s="33"/>
      <c r="I2565" s="33"/>
      <c r="J2565" s="33"/>
      <c r="K2565" s="33"/>
      <c r="L2565" s="33"/>
      <c r="M2565" s="33"/>
      <c r="N2565" s="33"/>
      <c r="O2565" s="33"/>
      <c r="P2565" s="33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  <c r="AB2565" s="33"/>
      <c r="AC2565" s="33"/>
      <c r="AD2565" s="33"/>
      <c r="AE2565" s="33"/>
      <c r="AF2565" s="33"/>
      <c r="AG2565" s="33"/>
      <c r="AH2565" s="33"/>
      <c r="AI2565" s="33"/>
      <c r="AJ2565" s="33"/>
      <c r="AK2565" s="33"/>
    </row>
    <row r="2566">
      <c r="A2566" s="33"/>
      <c r="B2566" s="33"/>
      <c r="C2566" s="33"/>
      <c r="D2566" s="33"/>
      <c r="E2566" s="33"/>
      <c r="F2566" s="33"/>
      <c r="G2566" s="33"/>
      <c r="H2566" s="33"/>
      <c r="I2566" s="33"/>
      <c r="J2566" s="33"/>
      <c r="K2566" s="33"/>
      <c r="L2566" s="33"/>
      <c r="M2566" s="33"/>
      <c r="N2566" s="33"/>
      <c r="O2566" s="33"/>
      <c r="P2566" s="33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  <c r="AB2566" s="33"/>
      <c r="AC2566" s="33"/>
      <c r="AD2566" s="33"/>
      <c r="AE2566" s="33"/>
      <c r="AF2566" s="33"/>
      <c r="AG2566" s="33"/>
      <c r="AH2566" s="33"/>
      <c r="AI2566" s="33"/>
      <c r="AJ2566" s="33"/>
      <c r="AK2566" s="33"/>
    </row>
    <row r="2567">
      <c r="A2567" s="33"/>
      <c r="B2567" s="33"/>
      <c r="C2567" s="33"/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  <c r="AB2567" s="33"/>
      <c r="AC2567" s="33"/>
      <c r="AD2567" s="33"/>
      <c r="AE2567" s="33"/>
      <c r="AF2567" s="33"/>
      <c r="AG2567" s="33"/>
      <c r="AH2567" s="33"/>
      <c r="AI2567" s="33"/>
      <c r="AJ2567" s="33"/>
      <c r="AK2567" s="33"/>
    </row>
    <row r="2568">
      <c r="A2568" s="33"/>
      <c r="B2568" s="33"/>
      <c r="C2568" s="33"/>
      <c r="D2568" s="33"/>
      <c r="E2568" s="33"/>
      <c r="F2568" s="33"/>
      <c r="G2568" s="33"/>
      <c r="H2568" s="33"/>
      <c r="I2568" s="33"/>
      <c r="J2568" s="33"/>
      <c r="K2568" s="33"/>
      <c r="L2568" s="33"/>
      <c r="M2568" s="33"/>
      <c r="N2568" s="33"/>
      <c r="O2568" s="33"/>
      <c r="P2568" s="33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  <c r="AB2568" s="33"/>
      <c r="AC2568" s="33"/>
      <c r="AD2568" s="33"/>
      <c r="AE2568" s="33"/>
      <c r="AF2568" s="33"/>
      <c r="AG2568" s="33"/>
      <c r="AH2568" s="33"/>
      <c r="AI2568" s="33"/>
      <c r="AJ2568" s="33"/>
      <c r="AK2568" s="33"/>
    </row>
    <row r="2569">
      <c r="A2569" s="33"/>
      <c r="B2569" s="33"/>
      <c r="C2569" s="33"/>
      <c r="D2569" s="33"/>
      <c r="E2569" s="33"/>
      <c r="F2569" s="33"/>
      <c r="G2569" s="33"/>
      <c r="H2569" s="33"/>
      <c r="I2569" s="33"/>
      <c r="J2569" s="33"/>
      <c r="K2569" s="33"/>
      <c r="L2569" s="33"/>
      <c r="M2569" s="33"/>
      <c r="N2569" s="33"/>
      <c r="O2569" s="33"/>
      <c r="P2569" s="33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  <c r="AB2569" s="33"/>
      <c r="AC2569" s="33"/>
      <c r="AD2569" s="33"/>
      <c r="AE2569" s="33"/>
      <c r="AF2569" s="33"/>
      <c r="AG2569" s="33"/>
      <c r="AH2569" s="33"/>
      <c r="AI2569" s="33"/>
      <c r="AJ2569" s="33"/>
      <c r="AK2569" s="33"/>
    </row>
    <row r="2570">
      <c r="A2570" s="33"/>
      <c r="B2570" s="33"/>
      <c r="C2570" s="33"/>
      <c r="D2570" s="33"/>
      <c r="E2570" s="33"/>
      <c r="F2570" s="33"/>
      <c r="G2570" s="33"/>
      <c r="H2570" s="33"/>
      <c r="I2570" s="33"/>
      <c r="J2570" s="33"/>
      <c r="K2570" s="33"/>
      <c r="L2570" s="33"/>
      <c r="M2570" s="33"/>
      <c r="N2570" s="33"/>
      <c r="O2570" s="33"/>
      <c r="P2570" s="33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  <c r="AB2570" s="33"/>
      <c r="AC2570" s="33"/>
      <c r="AD2570" s="33"/>
      <c r="AE2570" s="33"/>
      <c r="AF2570" s="33"/>
      <c r="AG2570" s="33"/>
      <c r="AH2570" s="33"/>
      <c r="AI2570" s="33"/>
      <c r="AJ2570" s="33"/>
      <c r="AK2570" s="33"/>
    </row>
    <row r="2571">
      <c r="A2571" s="33"/>
      <c r="B2571" s="33"/>
      <c r="C2571" s="33"/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  <c r="AB2571" s="33"/>
      <c r="AC2571" s="33"/>
      <c r="AD2571" s="33"/>
      <c r="AE2571" s="33"/>
      <c r="AF2571" s="33"/>
      <c r="AG2571" s="33"/>
      <c r="AH2571" s="33"/>
      <c r="AI2571" s="33"/>
      <c r="AJ2571" s="33"/>
      <c r="AK2571" s="33"/>
    </row>
    <row r="2572">
      <c r="A2572" s="33"/>
      <c r="B2572" s="33"/>
      <c r="C2572" s="33"/>
      <c r="D2572" s="33"/>
      <c r="E2572" s="33"/>
      <c r="F2572" s="33"/>
      <c r="G2572" s="33"/>
      <c r="H2572" s="33"/>
      <c r="I2572" s="33"/>
      <c r="J2572" s="33"/>
      <c r="K2572" s="33"/>
      <c r="L2572" s="33"/>
      <c r="M2572" s="33"/>
      <c r="N2572" s="33"/>
      <c r="O2572" s="33"/>
      <c r="P2572" s="33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  <c r="AB2572" s="33"/>
      <c r="AC2572" s="33"/>
      <c r="AD2572" s="33"/>
      <c r="AE2572" s="33"/>
      <c r="AF2572" s="33"/>
      <c r="AG2572" s="33"/>
      <c r="AH2572" s="33"/>
      <c r="AI2572" s="33"/>
      <c r="AJ2572" s="33"/>
      <c r="AK2572" s="33"/>
    </row>
    <row r="2573">
      <c r="A2573" s="33"/>
      <c r="B2573" s="33"/>
      <c r="C2573" s="33"/>
      <c r="D2573" s="33"/>
      <c r="E2573" s="33"/>
      <c r="F2573" s="33"/>
      <c r="G2573" s="33"/>
      <c r="H2573" s="33"/>
      <c r="I2573" s="33"/>
      <c r="J2573" s="33"/>
      <c r="K2573" s="33"/>
      <c r="L2573" s="33"/>
      <c r="M2573" s="33"/>
      <c r="N2573" s="33"/>
      <c r="O2573" s="33"/>
      <c r="P2573" s="33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  <c r="AB2573" s="33"/>
      <c r="AC2573" s="33"/>
      <c r="AD2573" s="33"/>
      <c r="AE2573" s="33"/>
      <c r="AF2573" s="33"/>
      <c r="AG2573" s="33"/>
      <c r="AH2573" s="33"/>
      <c r="AI2573" s="33"/>
      <c r="AJ2573" s="33"/>
      <c r="AK2573" s="33"/>
    </row>
    <row r="2574">
      <c r="A2574" s="33"/>
      <c r="B2574" s="33"/>
      <c r="C2574" s="33"/>
      <c r="D2574" s="33"/>
      <c r="E2574" s="33"/>
      <c r="F2574" s="33"/>
      <c r="G2574" s="33"/>
      <c r="H2574" s="33"/>
      <c r="I2574" s="33"/>
      <c r="J2574" s="33"/>
      <c r="K2574" s="33"/>
      <c r="L2574" s="33"/>
      <c r="M2574" s="33"/>
      <c r="N2574" s="33"/>
      <c r="O2574" s="33"/>
      <c r="P2574" s="33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  <c r="AB2574" s="33"/>
      <c r="AC2574" s="33"/>
      <c r="AD2574" s="33"/>
      <c r="AE2574" s="33"/>
      <c r="AF2574" s="33"/>
      <c r="AG2574" s="33"/>
      <c r="AH2574" s="33"/>
      <c r="AI2574" s="33"/>
      <c r="AJ2574" s="33"/>
      <c r="AK2574" s="33"/>
    </row>
    <row r="2575">
      <c r="A2575" s="33"/>
      <c r="B2575" s="33"/>
      <c r="C2575" s="33"/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  <c r="AB2575" s="33"/>
      <c r="AC2575" s="33"/>
      <c r="AD2575" s="33"/>
      <c r="AE2575" s="33"/>
      <c r="AF2575" s="33"/>
      <c r="AG2575" s="33"/>
      <c r="AH2575" s="33"/>
      <c r="AI2575" s="33"/>
      <c r="AJ2575" s="33"/>
      <c r="AK2575" s="33"/>
    </row>
    <row r="2576">
      <c r="A2576" s="33"/>
      <c r="B2576" s="33"/>
      <c r="C2576" s="33"/>
      <c r="D2576" s="33"/>
      <c r="E2576" s="33"/>
      <c r="F2576" s="33"/>
      <c r="G2576" s="33"/>
      <c r="H2576" s="33"/>
      <c r="I2576" s="33"/>
      <c r="J2576" s="33"/>
      <c r="K2576" s="33"/>
      <c r="L2576" s="33"/>
      <c r="M2576" s="33"/>
      <c r="N2576" s="33"/>
      <c r="O2576" s="33"/>
      <c r="P2576" s="33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  <c r="AB2576" s="33"/>
      <c r="AC2576" s="33"/>
      <c r="AD2576" s="33"/>
      <c r="AE2576" s="33"/>
      <c r="AF2576" s="33"/>
      <c r="AG2576" s="33"/>
      <c r="AH2576" s="33"/>
      <c r="AI2576" s="33"/>
      <c r="AJ2576" s="33"/>
      <c r="AK2576" s="33"/>
    </row>
    <row r="2577">
      <c r="A2577" s="33"/>
      <c r="B2577" s="33"/>
      <c r="C2577" s="33"/>
      <c r="D2577" s="33"/>
      <c r="E2577" s="33"/>
      <c r="F2577" s="33"/>
      <c r="G2577" s="33"/>
      <c r="H2577" s="33"/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  <c r="AK2577" s="33"/>
    </row>
    <row r="2578">
      <c r="A2578" s="33"/>
      <c r="B2578" s="33"/>
      <c r="C2578" s="33"/>
      <c r="D2578" s="33"/>
      <c r="E2578" s="33"/>
      <c r="F2578" s="33"/>
      <c r="G2578" s="33"/>
      <c r="H2578" s="33"/>
      <c r="I2578" s="33"/>
      <c r="J2578" s="33"/>
      <c r="K2578" s="33"/>
      <c r="L2578" s="33"/>
      <c r="M2578" s="33"/>
      <c r="N2578" s="33"/>
      <c r="O2578" s="33"/>
      <c r="P2578" s="33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  <c r="AB2578" s="33"/>
      <c r="AC2578" s="33"/>
      <c r="AD2578" s="33"/>
      <c r="AE2578" s="33"/>
      <c r="AF2578" s="33"/>
      <c r="AG2578" s="33"/>
      <c r="AH2578" s="33"/>
      <c r="AI2578" s="33"/>
      <c r="AJ2578" s="33"/>
      <c r="AK2578" s="33"/>
    </row>
    <row r="2579">
      <c r="A2579" s="33"/>
      <c r="B2579" s="33"/>
      <c r="C2579" s="33"/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  <c r="AB2579" s="33"/>
      <c r="AC2579" s="33"/>
      <c r="AD2579" s="33"/>
      <c r="AE2579" s="33"/>
      <c r="AF2579" s="33"/>
      <c r="AG2579" s="33"/>
      <c r="AH2579" s="33"/>
      <c r="AI2579" s="33"/>
      <c r="AJ2579" s="33"/>
      <c r="AK2579" s="33"/>
    </row>
    <row r="2580">
      <c r="A2580" s="33"/>
      <c r="B2580" s="33"/>
      <c r="C2580" s="33"/>
      <c r="D2580" s="33"/>
      <c r="E2580" s="33"/>
      <c r="F2580" s="33"/>
      <c r="G2580" s="33"/>
      <c r="H2580" s="33"/>
      <c r="I2580" s="33"/>
      <c r="J2580" s="33"/>
      <c r="K2580" s="33"/>
      <c r="L2580" s="33"/>
      <c r="M2580" s="33"/>
      <c r="N2580" s="33"/>
      <c r="O2580" s="33"/>
      <c r="P2580" s="33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  <c r="AB2580" s="33"/>
      <c r="AC2580" s="33"/>
      <c r="AD2580" s="33"/>
      <c r="AE2580" s="33"/>
      <c r="AF2580" s="33"/>
      <c r="AG2580" s="33"/>
      <c r="AH2580" s="33"/>
      <c r="AI2580" s="33"/>
      <c r="AJ2580" s="33"/>
      <c r="AK2580" s="33"/>
    </row>
    <row r="2581">
      <c r="A2581" s="33"/>
      <c r="B2581" s="33"/>
      <c r="C2581" s="33"/>
      <c r="D2581" s="33"/>
      <c r="E2581" s="33"/>
      <c r="F2581" s="33"/>
      <c r="G2581" s="33"/>
      <c r="H2581" s="33"/>
      <c r="I2581" s="33"/>
      <c r="J2581" s="33"/>
      <c r="K2581" s="33"/>
      <c r="L2581" s="33"/>
      <c r="M2581" s="33"/>
      <c r="N2581" s="33"/>
      <c r="O2581" s="33"/>
      <c r="P2581" s="33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  <c r="AB2581" s="33"/>
      <c r="AC2581" s="33"/>
      <c r="AD2581" s="33"/>
      <c r="AE2581" s="33"/>
      <c r="AF2581" s="33"/>
      <c r="AG2581" s="33"/>
      <c r="AH2581" s="33"/>
      <c r="AI2581" s="33"/>
      <c r="AJ2581" s="33"/>
      <c r="AK2581" s="33"/>
    </row>
    <row r="2582">
      <c r="A2582" s="33"/>
      <c r="B2582" s="33"/>
      <c r="C2582" s="33"/>
      <c r="D2582" s="33"/>
      <c r="E2582" s="33"/>
      <c r="F2582" s="33"/>
      <c r="G2582" s="33"/>
      <c r="H2582" s="33"/>
      <c r="I2582" s="33"/>
      <c r="J2582" s="33"/>
      <c r="K2582" s="33"/>
      <c r="L2582" s="33"/>
      <c r="M2582" s="33"/>
      <c r="N2582" s="33"/>
      <c r="O2582" s="33"/>
      <c r="P2582" s="33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  <c r="AB2582" s="33"/>
      <c r="AC2582" s="33"/>
      <c r="AD2582" s="33"/>
      <c r="AE2582" s="33"/>
      <c r="AF2582" s="33"/>
      <c r="AG2582" s="33"/>
      <c r="AH2582" s="33"/>
      <c r="AI2582" s="33"/>
      <c r="AJ2582" s="33"/>
      <c r="AK2582" s="33"/>
    </row>
    <row r="2583">
      <c r="A2583" s="33"/>
      <c r="B2583" s="33"/>
      <c r="C2583" s="33"/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  <c r="AB2583" s="33"/>
      <c r="AC2583" s="33"/>
      <c r="AD2583" s="33"/>
      <c r="AE2583" s="33"/>
      <c r="AF2583" s="33"/>
      <c r="AG2583" s="33"/>
      <c r="AH2583" s="33"/>
      <c r="AI2583" s="33"/>
      <c r="AJ2583" s="33"/>
      <c r="AK2583" s="33"/>
    </row>
    <row r="2584">
      <c r="A2584" s="33"/>
      <c r="B2584" s="33"/>
      <c r="C2584" s="33"/>
      <c r="D2584" s="33"/>
      <c r="E2584" s="33"/>
      <c r="F2584" s="33"/>
      <c r="G2584" s="33"/>
      <c r="H2584" s="33"/>
      <c r="I2584" s="33"/>
      <c r="J2584" s="33"/>
      <c r="K2584" s="33"/>
      <c r="L2584" s="33"/>
      <c r="M2584" s="33"/>
      <c r="N2584" s="33"/>
      <c r="O2584" s="33"/>
      <c r="P2584" s="33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  <c r="AB2584" s="33"/>
      <c r="AC2584" s="33"/>
      <c r="AD2584" s="33"/>
      <c r="AE2584" s="33"/>
      <c r="AF2584" s="33"/>
      <c r="AG2584" s="33"/>
      <c r="AH2584" s="33"/>
      <c r="AI2584" s="33"/>
      <c r="AJ2584" s="33"/>
      <c r="AK2584" s="33"/>
    </row>
    <row r="2585">
      <c r="A2585" s="33"/>
      <c r="B2585" s="33"/>
      <c r="C2585" s="33"/>
      <c r="D2585" s="33"/>
      <c r="E2585" s="33"/>
      <c r="F2585" s="33"/>
      <c r="G2585" s="33"/>
      <c r="H2585" s="33"/>
      <c r="I2585" s="33"/>
      <c r="J2585" s="33"/>
      <c r="K2585" s="33"/>
      <c r="L2585" s="33"/>
      <c r="M2585" s="33"/>
      <c r="N2585" s="33"/>
      <c r="O2585" s="33"/>
      <c r="P2585" s="33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  <c r="AB2585" s="33"/>
      <c r="AC2585" s="33"/>
      <c r="AD2585" s="33"/>
      <c r="AE2585" s="33"/>
      <c r="AF2585" s="33"/>
      <c r="AG2585" s="33"/>
      <c r="AH2585" s="33"/>
      <c r="AI2585" s="33"/>
      <c r="AJ2585" s="33"/>
      <c r="AK2585" s="33"/>
    </row>
    <row r="2586">
      <c r="A2586" s="33"/>
      <c r="B2586" s="33"/>
      <c r="C2586" s="33"/>
      <c r="D2586" s="33"/>
      <c r="E2586" s="33"/>
      <c r="F2586" s="33"/>
      <c r="G2586" s="33"/>
      <c r="H2586" s="33"/>
      <c r="I2586" s="33"/>
      <c r="J2586" s="33"/>
      <c r="K2586" s="33"/>
      <c r="L2586" s="33"/>
      <c r="M2586" s="33"/>
      <c r="N2586" s="33"/>
      <c r="O2586" s="33"/>
      <c r="P2586" s="33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  <c r="AB2586" s="33"/>
      <c r="AC2586" s="33"/>
      <c r="AD2586" s="33"/>
      <c r="AE2586" s="33"/>
      <c r="AF2586" s="33"/>
      <c r="AG2586" s="33"/>
      <c r="AH2586" s="33"/>
      <c r="AI2586" s="33"/>
      <c r="AJ2586" s="33"/>
      <c r="AK2586" s="33"/>
    </row>
    <row r="2587">
      <c r="A2587" s="33"/>
      <c r="B2587" s="33"/>
      <c r="C2587" s="33"/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  <c r="AB2587" s="33"/>
      <c r="AC2587" s="33"/>
      <c r="AD2587" s="33"/>
      <c r="AE2587" s="33"/>
      <c r="AF2587" s="33"/>
      <c r="AG2587" s="33"/>
      <c r="AH2587" s="33"/>
      <c r="AI2587" s="33"/>
      <c r="AJ2587" s="33"/>
      <c r="AK2587" s="33"/>
    </row>
    <row r="2588">
      <c r="A2588" s="33"/>
      <c r="B2588" s="33"/>
      <c r="C2588" s="33"/>
      <c r="D2588" s="33"/>
      <c r="E2588" s="33"/>
      <c r="F2588" s="33"/>
      <c r="G2588" s="33"/>
      <c r="H2588" s="33"/>
      <c r="I2588" s="33"/>
      <c r="J2588" s="33"/>
      <c r="K2588" s="33"/>
      <c r="L2588" s="33"/>
      <c r="M2588" s="33"/>
      <c r="N2588" s="33"/>
      <c r="O2588" s="33"/>
      <c r="P2588" s="33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  <c r="AB2588" s="33"/>
      <c r="AC2588" s="33"/>
      <c r="AD2588" s="33"/>
      <c r="AE2588" s="33"/>
      <c r="AF2588" s="33"/>
      <c r="AG2588" s="33"/>
      <c r="AH2588" s="33"/>
      <c r="AI2588" s="33"/>
      <c r="AJ2588" s="33"/>
      <c r="AK2588" s="33"/>
    </row>
    <row r="2589">
      <c r="A2589" s="33"/>
      <c r="B2589" s="33"/>
      <c r="C2589" s="33"/>
      <c r="D2589" s="33"/>
      <c r="E2589" s="33"/>
      <c r="F2589" s="33"/>
      <c r="G2589" s="33"/>
      <c r="H2589" s="33"/>
      <c r="I2589" s="33"/>
      <c r="J2589" s="33"/>
      <c r="K2589" s="33"/>
      <c r="L2589" s="33"/>
      <c r="M2589" s="33"/>
      <c r="N2589" s="33"/>
      <c r="O2589" s="33"/>
      <c r="P2589" s="33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  <c r="AB2589" s="33"/>
      <c r="AC2589" s="33"/>
      <c r="AD2589" s="33"/>
      <c r="AE2589" s="33"/>
      <c r="AF2589" s="33"/>
      <c r="AG2589" s="33"/>
      <c r="AH2589" s="33"/>
      <c r="AI2589" s="33"/>
      <c r="AJ2589" s="33"/>
      <c r="AK2589" s="33"/>
    </row>
    <row r="2590">
      <c r="A2590" s="33"/>
      <c r="B2590" s="33"/>
      <c r="C2590" s="33"/>
      <c r="D2590" s="33"/>
      <c r="E2590" s="33"/>
      <c r="F2590" s="33"/>
      <c r="G2590" s="33"/>
      <c r="H2590" s="33"/>
      <c r="I2590" s="33"/>
      <c r="J2590" s="33"/>
      <c r="K2590" s="33"/>
      <c r="L2590" s="33"/>
      <c r="M2590" s="33"/>
      <c r="N2590" s="33"/>
      <c r="O2590" s="33"/>
      <c r="P2590" s="33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  <c r="AB2590" s="33"/>
      <c r="AC2590" s="33"/>
      <c r="AD2590" s="33"/>
      <c r="AE2590" s="33"/>
      <c r="AF2590" s="33"/>
      <c r="AG2590" s="33"/>
      <c r="AH2590" s="33"/>
      <c r="AI2590" s="33"/>
      <c r="AJ2590" s="33"/>
      <c r="AK2590" s="33"/>
    </row>
    <row r="2591">
      <c r="A2591" s="33"/>
      <c r="B2591" s="33"/>
      <c r="C2591" s="33"/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  <c r="AB2591" s="33"/>
      <c r="AC2591" s="33"/>
      <c r="AD2591" s="33"/>
      <c r="AE2591" s="33"/>
      <c r="AF2591" s="33"/>
      <c r="AG2591" s="33"/>
      <c r="AH2591" s="33"/>
      <c r="AI2591" s="33"/>
      <c r="AJ2591" s="33"/>
      <c r="AK2591" s="33"/>
    </row>
    <row r="2592">
      <c r="A2592" s="33"/>
      <c r="B2592" s="33"/>
      <c r="C2592" s="33"/>
      <c r="D2592" s="33"/>
      <c r="E2592" s="33"/>
      <c r="F2592" s="33"/>
      <c r="G2592" s="33"/>
      <c r="H2592" s="33"/>
      <c r="I2592" s="33"/>
      <c r="J2592" s="33"/>
      <c r="K2592" s="33"/>
      <c r="L2592" s="33"/>
      <c r="M2592" s="33"/>
      <c r="N2592" s="33"/>
      <c r="O2592" s="33"/>
      <c r="P2592" s="33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  <c r="AB2592" s="33"/>
      <c r="AC2592" s="33"/>
      <c r="AD2592" s="33"/>
      <c r="AE2592" s="33"/>
      <c r="AF2592" s="33"/>
      <c r="AG2592" s="33"/>
      <c r="AH2592" s="33"/>
      <c r="AI2592" s="33"/>
      <c r="AJ2592" s="33"/>
      <c r="AK2592" s="33"/>
    </row>
    <row r="2593">
      <c r="A2593" s="33"/>
      <c r="B2593" s="33"/>
      <c r="C2593" s="33"/>
      <c r="D2593" s="33"/>
      <c r="E2593" s="33"/>
      <c r="F2593" s="33"/>
      <c r="G2593" s="33"/>
      <c r="H2593" s="33"/>
      <c r="I2593" s="33"/>
      <c r="J2593" s="33"/>
      <c r="K2593" s="33"/>
      <c r="L2593" s="33"/>
      <c r="M2593" s="33"/>
      <c r="N2593" s="33"/>
      <c r="O2593" s="33"/>
      <c r="P2593" s="33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  <c r="AB2593" s="33"/>
      <c r="AC2593" s="33"/>
      <c r="AD2593" s="33"/>
      <c r="AE2593" s="33"/>
      <c r="AF2593" s="33"/>
      <c r="AG2593" s="33"/>
      <c r="AH2593" s="33"/>
      <c r="AI2593" s="33"/>
      <c r="AJ2593" s="33"/>
      <c r="AK2593" s="33"/>
    </row>
    <row r="2594">
      <c r="A2594" s="33"/>
      <c r="B2594" s="33"/>
      <c r="C2594" s="33"/>
      <c r="D2594" s="33"/>
      <c r="E2594" s="33"/>
      <c r="F2594" s="33"/>
      <c r="G2594" s="33"/>
      <c r="H2594" s="33"/>
      <c r="I2594" s="33"/>
      <c r="J2594" s="33"/>
      <c r="K2594" s="33"/>
      <c r="L2594" s="33"/>
      <c r="M2594" s="33"/>
      <c r="N2594" s="33"/>
      <c r="O2594" s="33"/>
      <c r="P2594" s="33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  <c r="AB2594" s="33"/>
      <c r="AC2594" s="33"/>
      <c r="AD2594" s="33"/>
      <c r="AE2594" s="33"/>
      <c r="AF2594" s="33"/>
      <c r="AG2594" s="33"/>
      <c r="AH2594" s="33"/>
      <c r="AI2594" s="33"/>
      <c r="AJ2594" s="33"/>
      <c r="AK2594" s="33"/>
    </row>
    <row r="2595">
      <c r="A2595" s="33"/>
      <c r="B2595" s="33"/>
      <c r="C2595" s="33"/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  <c r="AB2595" s="33"/>
      <c r="AC2595" s="33"/>
      <c r="AD2595" s="33"/>
      <c r="AE2595" s="33"/>
      <c r="AF2595" s="33"/>
      <c r="AG2595" s="33"/>
      <c r="AH2595" s="33"/>
      <c r="AI2595" s="33"/>
      <c r="AJ2595" s="33"/>
      <c r="AK2595" s="33"/>
    </row>
    <row r="2596">
      <c r="A2596" s="33"/>
      <c r="B2596" s="33"/>
      <c r="C2596" s="33"/>
      <c r="D2596" s="33"/>
      <c r="E2596" s="33"/>
      <c r="F2596" s="33"/>
      <c r="G2596" s="33"/>
      <c r="H2596" s="33"/>
      <c r="I2596" s="33"/>
      <c r="J2596" s="33"/>
      <c r="K2596" s="33"/>
      <c r="L2596" s="33"/>
      <c r="M2596" s="33"/>
      <c r="N2596" s="33"/>
      <c r="O2596" s="33"/>
      <c r="P2596" s="33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  <c r="AB2596" s="33"/>
      <c r="AC2596" s="33"/>
      <c r="AD2596" s="33"/>
      <c r="AE2596" s="33"/>
      <c r="AF2596" s="33"/>
      <c r="AG2596" s="33"/>
      <c r="AH2596" s="33"/>
      <c r="AI2596" s="33"/>
      <c r="AJ2596" s="33"/>
      <c r="AK2596" s="33"/>
    </row>
    <row r="2597">
      <c r="A2597" s="33"/>
      <c r="B2597" s="33"/>
      <c r="C2597" s="33"/>
      <c r="D2597" s="33"/>
      <c r="E2597" s="33"/>
      <c r="F2597" s="33"/>
      <c r="G2597" s="33"/>
      <c r="H2597" s="33"/>
      <c r="I2597" s="33"/>
      <c r="J2597" s="33"/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  <c r="AB2597" s="33"/>
      <c r="AC2597" s="33"/>
      <c r="AD2597" s="33"/>
      <c r="AE2597" s="33"/>
      <c r="AF2597" s="33"/>
      <c r="AG2597" s="33"/>
      <c r="AH2597" s="33"/>
      <c r="AI2597" s="33"/>
      <c r="AJ2597" s="33"/>
      <c r="AK2597" s="33"/>
    </row>
    <row r="2598">
      <c r="A2598" s="33"/>
      <c r="B2598" s="33"/>
      <c r="C2598" s="33"/>
      <c r="D2598" s="33"/>
      <c r="E2598" s="33"/>
      <c r="F2598" s="33"/>
      <c r="G2598" s="33"/>
      <c r="H2598" s="33"/>
      <c r="I2598" s="33"/>
      <c r="J2598" s="33"/>
      <c r="K2598" s="33"/>
      <c r="L2598" s="33"/>
      <c r="M2598" s="33"/>
      <c r="N2598" s="33"/>
      <c r="O2598" s="33"/>
      <c r="P2598" s="33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  <c r="AB2598" s="33"/>
      <c r="AC2598" s="33"/>
      <c r="AD2598" s="33"/>
      <c r="AE2598" s="33"/>
      <c r="AF2598" s="33"/>
      <c r="AG2598" s="33"/>
      <c r="AH2598" s="33"/>
      <c r="AI2598" s="33"/>
      <c r="AJ2598" s="33"/>
      <c r="AK2598" s="33"/>
    </row>
    <row r="2599">
      <c r="A2599" s="33"/>
      <c r="B2599" s="33"/>
      <c r="C2599" s="33"/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  <c r="AB2599" s="33"/>
      <c r="AC2599" s="33"/>
      <c r="AD2599" s="33"/>
      <c r="AE2599" s="33"/>
      <c r="AF2599" s="33"/>
      <c r="AG2599" s="33"/>
      <c r="AH2599" s="33"/>
      <c r="AI2599" s="33"/>
      <c r="AJ2599" s="33"/>
      <c r="AK2599" s="33"/>
    </row>
    <row r="2600">
      <c r="A2600" s="33"/>
      <c r="B2600" s="33"/>
      <c r="C2600" s="33"/>
      <c r="D2600" s="33"/>
      <c r="E2600" s="33"/>
      <c r="F2600" s="33"/>
      <c r="G2600" s="33"/>
      <c r="H2600" s="33"/>
      <c r="I2600" s="33"/>
      <c r="J2600" s="33"/>
      <c r="K2600" s="33"/>
      <c r="L2600" s="33"/>
      <c r="M2600" s="33"/>
      <c r="N2600" s="33"/>
      <c r="O2600" s="33"/>
      <c r="P2600" s="33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  <c r="AB2600" s="33"/>
      <c r="AC2600" s="33"/>
      <c r="AD2600" s="33"/>
      <c r="AE2600" s="33"/>
      <c r="AF2600" s="33"/>
      <c r="AG2600" s="33"/>
      <c r="AH2600" s="33"/>
      <c r="AI2600" s="33"/>
      <c r="AJ2600" s="33"/>
      <c r="AK2600" s="33"/>
    </row>
    <row r="2601">
      <c r="A2601" s="33"/>
      <c r="B2601" s="33"/>
      <c r="C2601" s="33"/>
      <c r="D2601" s="33"/>
      <c r="E2601" s="33"/>
      <c r="F2601" s="33"/>
      <c r="G2601" s="33"/>
      <c r="H2601" s="33"/>
      <c r="I2601" s="33"/>
      <c r="J2601" s="33"/>
      <c r="K2601" s="33"/>
      <c r="L2601" s="33"/>
      <c r="M2601" s="33"/>
      <c r="N2601" s="33"/>
      <c r="O2601" s="33"/>
      <c r="P2601" s="33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  <c r="AB2601" s="33"/>
      <c r="AC2601" s="33"/>
      <c r="AD2601" s="33"/>
      <c r="AE2601" s="33"/>
      <c r="AF2601" s="33"/>
      <c r="AG2601" s="33"/>
      <c r="AH2601" s="33"/>
      <c r="AI2601" s="33"/>
      <c r="AJ2601" s="33"/>
      <c r="AK2601" s="33"/>
    </row>
    <row r="2602">
      <c r="A2602" s="33"/>
      <c r="B2602" s="33"/>
      <c r="C2602" s="33"/>
      <c r="D2602" s="33"/>
      <c r="E2602" s="33"/>
      <c r="F2602" s="33"/>
      <c r="G2602" s="33"/>
      <c r="H2602" s="33"/>
      <c r="I2602" s="33"/>
      <c r="J2602" s="33"/>
      <c r="K2602" s="33"/>
      <c r="L2602" s="33"/>
      <c r="M2602" s="33"/>
      <c r="N2602" s="33"/>
      <c r="O2602" s="33"/>
      <c r="P2602" s="33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  <c r="AB2602" s="33"/>
      <c r="AC2602" s="33"/>
      <c r="AD2602" s="33"/>
      <c r="AE2602" s="33"/>
      <c r="AF2602" s="33"/>
      <c r="AG2602" s="33"/>
      <c r="AH2602" s="33"/>
      <c r="AI2602" s="33"/>
      <c r="AJ2602" s="33"/>
      <c r="AK2602" s="33"/>
    </row>
    <row r="2603">
      <c r="A2603" s="33"/>
      <c r="B2603" s="33"/>
      <c r="C2603" s="33"/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  <c r="AB2603" s="33"/>
      <c r="AC2603" s="33"/>
      <c r="AD2603" s="33"/>
      <c r="AE2603" s="33"/>
      <c r="AF2603" s="33"/>
      <c r="AG2603" s="33"/>
      <c r="AH2603" s="33"/>
      <c r="AI2603" s="33"/>
      <c r="AJ2603" s="33"/>
      <c r="AK2603" s="33"/>
    </row>
    <row r="2604">
      <c r="A2604" s="33"/>
      <c r="B2604" s="33"/>
      <c r="C2604" s="33"/>
      <c r="D2604" s="33"/>
      <c r="E2604" s="33"/>
      <c r="F2604" s="33"/>
      <c r="G2604" s="33"/>
      <c r="H2604" s="33"/>
      <c r="I2604" s="33"/>
      <c r="J2604" s="33"/>
      <c r="K2604" s="33"/>
      <c r="L2604" s="33"/>
      <c r="M2604" s="33"/>
      <c r="N2604" s="33"/>
      <c r="O2604" s="33"/>
      <c r="P2604" s="33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  <c r="AB2604" s="33"/>
      <c r="AC2604" s="33"/>
      <c r="AD2604" s="33"/>
      <c r="AE2604" s="33"/>
      <c r="AF2604" s="33"/>
      <c r="AG2604" s="33"/>
      <c r="AH2604" s="33"/>
      <c r="AI2604" s="33"/>
      <c r="AJ2604" s="33"/>
      <c r="AK2604" s="33"/>
    </row>
    <row r="2605">
      <c r="A2605" s="33"/>
      <c r="B2605" s="33"/>
      <c r="C2605" s="33"/>
      <c r="D2605" s="33"/>
      <c r="E2605" s="33"/>
      <c r="F2605" s="33"/>
      <c r="G2605" s="33"/>
      <c r="H2605" s="33"/>
      <c r="I2605" s="33"/>
      <c r="J2605" s="33"/>
      <c r="K2605" s="33"/>
      <c r="L2605" s="33"/>
      <c r="M2605" s="33"/>
      <c r="N2605" s="33"/>
      <c r="O2605" s="33"/>
      <c r="P2605" s="33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  <c r="AB2605" s="33"/>
      <c r="AC2605" s="33"/>
      <c r="AD2605" s="33"/>
      <c r="AE2605" s="33"/>
      <c r="AF2605" s="33"/>
      <c r="AG2605" s="33"/>
      <c r="AH2605" s="33"/>
      <c r="AI2605" s="33"/>
      <c r="AJ2605" s="33"/>
      <c r="AK2605" s="33"/>
    </row>
    <row r="2606">
      <c r="A2606" s="33"/>
      <c r="B2606" s="33"/>
      <c r="C2606" s="33"/>
      <c r="D2606" s="33"/>
      <c r="E2606" s="33"/>
      <c r="F2606" s="33"/>
      <c r="G2606" s="33"/>
      <c r="H2606" s="33"/>
      <c r="I2606" s="33"/>
      <c r="J2606" s="33"/>
      <c r="K2606" s="33"/>
      <c r="L2606" s="33"/>
      <c r="M2606" s="33"/>
      <c r="N2606" s="33"/>
      <c r="O2606" s="33"/>
      <c r="P2606" s="33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  <c r="AB2606" s="33"/>
      <c r="AC2606" s="33"/>
      <c r="AD2606" s="33"/>
      <c r="AE2606" s="33"/>
      <c r="AF2606" s="33"/>
      <c r="AG2606" s="33"/>
      <c r="AH2606" s="33"/>
      <c r="AI2606" s="33"/>
      <c r="AJ2606" s="33"/>
      <c r="AK2606" s="33"/>
    </row>
    <row r="2607">
      <c r="A2607" s="33"/>
      <c r="B2607" s="33"/>
      <c r="C2607" s="33"/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  <c r="AB2607" s="33"/>
      <c r="AC2607" s="33"/>
      <c r="AD2607" s="33"/>
      <c r="AE2607" s="33"/>
      <c r="AF2607" s="33"/>
      <c r="AG2607" s="33"/>
      <c r="AH2607" s="33"/>
      <c r="AI2607" s="33"/>
      <c r="AJ2607" s="33"/>
      <c r="AK2607" s="33"/>
    </row>
    <row r="2608">
      <c r="A2608" s="33"/>
      <c r="B2608" s="33"/>
      <c r="C2608" s="33"/>
      <c r="D2608" s="33"/>
      <c r="E2608" s="33"/>
      <c r="F2608" s="33"/>
      <c r="G2608" s="33"/>
      <c r="H2608" s="33"/>
      <c r="I2608" s="33"/>
      <c r="J2608" s="33"/>
      <c r="K2608" s="33"/>
      <c r="L2608" s="33"/>
      <c r="M2608" s="33"/>
      <c r="N2608" s="33"/>
      <c r="O2608" s="33"/>
      <c r="P2608" s="33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  <c r="AB2608" s="33"/>
      <c r="AC2608" s="33"/>
      <c r="AD2608" s="33"/>
      <c r="AE2608" s="33"/>
      <c r="AF2608" s="33"/>
      <c r="AG2608" s="33"/>
      <c r="AH2608" s="33"/>
      <c r="AI2608" s="33"/>
      <c r="AJ2608" s="33"/>
      <c r="AK2608" s="33"/>
    </row>
    <row r="2609">
      <c r="A2609" s="33"/>
      <c r="B2609" s="33"/>
      <c r="C2609" s="33"/>
      <c r="D2609" s="33"/>
      <c r="E2609" s="33"/>
      <c r="F2609" s="33"/>
      <c r="G2609" s="33"/>
      <c r="H2609" s="33"/>
      <c r="I2609" s="33"/>
      <c r="J2609" s="33"/>
      <c r="K2609" s="33"/>
      <c r="L2609" s="33"/>
      <c r="M2609" s="33"/>
      <c r="N2609" s="33"/>
      <c r="O2609" s="33"/>
      <c r="P2609" s="33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  <c r="AB2609" s="33"/>
      <c r="AC2609" s="33"/>
      <c r="AD2609" s="33"/>
      <c r="AE2609" s="33"/>
      <c r="AF2609" s="33"/>
      <c r="AG2609" s="33"/>
      <c r="AH2609" s="33"/>
      <c r="AI2609" s="33"/>
      <c r="AJ2609" s="33"/>
      <c r="AK2609" s="33"/>
    </row>
    <row r="2610">
      <c r="A2610" s="33"/>
      <c r="B2610" s="33"/>
      <c r="C2610" s="33"/>
      <c r="D2610" s="33"/>
      <c r="E2610" s="33"/>
      <c r="F2610" s="33"/>
      <c r="G2610" s="33"/>
      <c r="H2610" s="33"/>
      <c r="I2610" s="33"/>
      <c r="J2610" s="33"/>
      <c r="K2610" s="33"/>
      <c r="L2610" s="33"/>
      <c r="M2610" s="33"/>
      <c r="N2610" s="33"/>
      <c r="O2610" s="33"/>
      <c r="P2610" s="33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  <c r="AB2610" s="33"/>
      <c r="AC2610" s="33"/>
      <c r="AD2610" s="33"/>
      <c r="AE2610" s="33"/>
      <c r="AF2610" s="33"/>
      <c r="AG2610" s="33"/>
      <c r="AH2610" s="33"/>
      <c r="AI2610" s="33"/>
      <c r="AJ2610" s="33"/>
      <c r="AK2610" s="33"/>
    </row>
    <row r="2611">
      <c r="A2611" s="33"/>
      <c r="B2611" s="33"/>
      <c r="C2611" s="33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  <c r="AB2611" s="33"/>
      <c r="AC2611" s="33"/>
      <c r="AD2611" s="33"/>
      <c r="AE2611" s="33"/>
      <c r="AF2611" s="33"/>
      <c r="AG2611" s="33"/>
      <c r="AH2611" s="33"/>
      <c r="AI2611" s="33"/>
      <c r="AJ2611" s="33"/>
      <c r="AK2611" s="33"/>
    </row>
    <row r="2612">
      <c r="A2612" s="33"/>
      <c r="B2612" s="33"/>
      <c r="C2612" s="33"/>
      <c r="D2612" s="33"/>
      <c r="E2612" s="33"/>
      <c r="F2612" s="33"/>
      <c r="G2612" s="33"/>
      <c r="H2612" s="33"/>
      <c r="I2612" s="33"/>
      <c r="J2612" s="33"/>
      <c r="K2612" s="33"/>
      <c r="L2612" s="33"/>
      <c r="M2612" s="33"/>
      <c r="N2612" s="33"/>
      <c r="O2612" s="33"/>
      <c r="P2612" s="33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  <c r="AB2612" s="33"/>
      <c r="AC2612" s="33"/>
      <c r="AD2612" s="33"/>
      <c r="AE2612" s="33"/>
      <c r="AF2612" s="33"/>
      <c r="AG2612" s="33"/>
      <c r="AH2612" s="33"/>
      <c r="AI2612" s="33"/>
      <c r="AJ2612" s="33"/>
      <c r="AK2612" s="33"/>
    </row>
    <row r="2613">
      <c r="A2613" s="33"/>
      <c r="B2613" s="33"/>
      <c r="C2613" s="33"/>
      <c r="D2613" s="33"/>
      <c r="E2613" s="33"/>
      <c r="F2613" s="33"/>
      <c r="G2613" s="33"/>
      <c r="H2613" s="33"/>
      <c r="I2613" s="33"/>
      <c r="J2613" s="33"/>
      <c r="K2613" s="33"/>
      <c r="L2613" s="33"/>
      <c r="M2613" s="33"/>
      <c r="N2613" s="33"/>
      <c r="O2613" s="33"/>
      <c r="P2613" s="33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  <c r="AB2613" s="33"/>
      <c r="AC2613" s="33"/>
      <c r="AD2613" s="33"/>
      <c r="AE2613" s="33"/>
      <c r="AF2613" s="33"/>
      <c r="AG2613" s="33"/>
      <c r="AH2613" s="33"/>
      <c r="AI2613" s="33"/>
      <c r="AJ2613" s="33"/>
      <c r="AK2613" s="33"/>
    </row>
    <row r="2614">
      <c r="A2614" s="33"/>
      <c r="B2614" s="33"/>
      <c r="C2614" s="33"/>
      <c r="D2614" s="33"/>
      <c r="E2614" s="33"/>
      <c r="F2614" s="33"/>
      <c r="G2614" s="33"/>
      <c r="H2614" s="33"/>
      <c r="I2614" s="33"/>
      <c r="J2614" s="33"/>
      <c r="K2614" s="33"/>
      <c r="L2614" s="33"/>
      <c r="M2614" s="33"/>
      <c r="N2614" s="33"/>
      <c r="O2614" s="33"/>
      <c r="P2614" s="33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  <c r="AB2614" s="33"/>
      <c r="AC2614" s="33"/>
      <c r="AD2614" s="33"/>
      <c r="AE2614" s="33"/>
      <c r="AF2614" s="33"/>
      <c r="AG2614" s="33"/>
      <c r="AH2614" s="33"/>
      <c r="AI2614" s="33"/>
      <c r="AJ2614" s="33"/>
      <c r="AK2614" s="33"/>
    </row>
    <row r="2615">
      <c r="A2615" s="33"/>
      <c r="B2615" s="33"/>
      <c r="C2615" s="33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  <c r="AB2615" s="33"/>
      <c r="AC2615" s="33"/>
      <c r="AD2615" s="33"/>
      <c r="AE2615" s="33"/>
      <c r="AF2615" s="33"/>
      <c r="AG2615" s="33"/>
      <c r="AH2615" s="33"/>
      <c r="AI2615" s="33"/>
      <c r="AJ2615" s="33"/>
      <c r="AK2615" s="33"/>
    </row>
    <row r="2616">
      <c r="A2616" s="33"/>
      <c r="B2616" s="33"/>
      <c r="C2616" s="33"/>
      <c r="D2616" s="33"/>
      <c r="E2616" s="33"/>
      <c r="F2616" s="33"/>
      <c r="G2616" s="33"/>
      <c r="H2616" s="33"/>
      <c r="I2616" s="33"/>
      <c r="J2616" s="33"/>
      <c r="K2616" s="33"/>
      <c r="L2616" s="33"/>
      <c r="M2616" s="33"/>
      <c r="N2616" s="33"/>
      <c r="O2616" s="33"/>
      <c r="P2616" s="33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  <c r="AB2616" s="33"/>
      <c r="AC2616" s="33"/>
      <c r="AD2616" s="33"/>
      <c r="AE2616" s="33"/>
      <c r="AF2616" s="33"/>
      <c r="AG2616" s="33"/>
      <c r="AH2616" s="33"/>
      <c r="AI2616" s="33"/>
      <c r="AJ2616" s="33"/>
      <c r="AK2616" s="33"/>
    </row>
    <row r="2617">
      <c r="A2617" s="33"/>
      <c r="B2617" s="33"/>
      <c r="C2617" s="33"/>
      <c r="D2617" s="33"/>
      <c r="E2617" s="33"/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33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  <c r="AB2617" s="33"/>
      <c r="AC2617" s="33"/>
      <c r="AD2617" s="33"/>
      <c r="AE2617" s="33"/>
      <c r="AF2617" s="33"/>
      <c r="AG2617" s="33"/>
      <c r="AH2617" s="33"/>
      <c r="AI2617" s="33"/>
      <c r="AJ2617" s="33"/>
      <c r="AK2617" s="33"/>
    </row>
    <row r="2618">
      <c r="A2618" s="33"/>
      <c r="B2618" s="33"/>
      <c r="C2618" s="33"/>
      <c r="D2618" s="33"/>
      <c r="E2618" s="33"/>
      <c r="F2618" s="33"/>
      <c r="G2618" s="33"/>
      <c r="H2618" s="33"/>
      <c r="I2618" s="33"/>
      <c r="J2618" s="33"/>
      <c r="K2618" s="33"/>
      <c r="L2618" s="33"/>
      <c r="M2618" s="33"/>
      <c r="N2618" s="33"/>
      <c r="O2618" s="33"/>
      <c r="P2618" s="33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  <c r="AB2618" s="33"/>
      <c r="AC2618" s="33"/>
      <c r="AD2618" s="33"/>
      <c r="AE2618" s="33"/>
      <c r="AF2618" s="33"/>
      <c r="AG2618" s="33"/>
      <c r="AH2618" s="33"/>
      <c r="AI2618" s="33"/>
      <c r="AJ2618" s="33"/>
      <c r="AK2618" s="33"/>
    </row>
    <row r="2619">
      <c r="A2619" s="33"/>
      <c r="B2619" s="33"/>
      <c r="C2619" s="33"/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  <c r="AB2619" s="33"/>
      <c r="AC2619" s="33"/>
      <c r="AD2619" s="33"/>
      <c r="AE2619" s="33"/>
      <c r="AF2619" s="33"/>
      <c r="AG2619" s="33"/>
      <c r="AH2619" s="33"/>
      <c r="AI2619" s="33"/>
      <c r="AJ2619" s="33"/>
      <c r="AK2619" s="33"/>
    </row>
    <row r="2620">
      <c r="A2620" s="33"/>
      <c r="B2620" s="33"/>
      <c r="C2620" s="33"/>
      <c r="D2620" s="33"/>
      <c r="E2620" s="33"/>
      <c r="F2620" s="33"/>
      <c r="G2620" s="33"/>
      <c r="H2620" s="33"/>
      <c r="I2620" s="33"/>
      <c r="J2620" s="33"/>
      <c r="K2620" s="33"/>
      <c r="L2620" s="33"/>
      <c r="M2620" s="33"/>
      <c r="N2620" s="33"/>
      <c r="O2620" s="33"/>
      <c r="P2620" s="33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  <c r="AB2620" s="33"/>
      <c r="AC2620" s="33"/>
      <c r="AD2620" s="33"/>
      <c r="AE2620" s="33"/>
      <c r="AF2620" s="33"/>
      <c r="AG2620" s="33"/>
      <c r="AH2620" s="33"/>
      <c r="AI2620" s="33"/>
      <c r="AJ2620" s="33"/>
      <c r="AK2620" s="33"/>
    </row>
    <row r="2621">
      <c r="A2621" s="33"/>
      <c r="B2621" s="33"/>
      <c r="C2621" s="33"/>
      <c r="D2621" s="33"/>
      <c r="E2621" s="33"/>
      <c r="F2621" s="33"/>
      <c r="G2621" s="33"/>
      <c r="H2621" s="33"/>
      <c r="I2621" s="33"/>
      <c r="J2621" s="33"/>
      <c r="K2621" s="33"/>
      <c r="L2621" s="33"/>
      <c r="M2621" s="33"/>
      <c r="N2621" s="33"/>
      <c r="O2621" s="33"/>
      <c r="P2621" s="33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  <c r="AB2621" s="33"/>
      <c r="AC2621" s="33"/>
      <c r="AD2621" s="33"/>
      <c r="AE2621" s="33"/>
      <c r="AF2621" s="33"/>
      <c r="AG2621" s="33"/>
      <c r="AH2621" s="33"/>
      <c r="AI2621" s="33"/>
      <c r="AJ2621" s="33"/>
      <c r="AK2621" s="33"/>
    </row>
    <row r="2622">
      <c r="A2622" s="33"/>
      <c r="B2622" s="33"/>
      <c r="C2622" s="33"/>
      <c r="D2622" s="33"/>
      <c r="E2622" s="33"/>
      <c r="F2622" s="33"/>
      <c r="G2622" s="33"/>
      <c r="H2622" s="33"/>
      <c r="I2622" s="33"/>
      <c r="J2622" s="33"/>
      <c r="K2622" s="33"/>
      <c r="L2622" s="33"/>
      <c r="M2622" s="33"/>
      <c r="N2622" s="33"/>
      <c r="O2622" s="33"/>
      <c r="P2622" s="33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  <c r="AB2622" s="33"/>
      <c r="AC2622" s="33"/>
      <c r="AD2622" s="33"/>
      <c r="AE2622" s="33"/>
      <c r="AF2622" s="33"/>
      <c r="AG2622" s="33"/>
      <c r="AH2622" s="33"/>
      <c r="AI2622" s="33"/>
      <c r="AJ2622" s="33"/>
      <c r="AK2622" s="33"/>
    </row>
    <row r="2623">
      <c r="A2623" s="33"/>
      <c r="B2623" s="33"/>
      <c r="C2623" s="33"/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  <c r="AB2623" s="33"/>
      <c r="AC2623" s="33"/>
      <c r="AD2623" s="33"/>
      <c r="AE2623" s="33"/>
      <c r="AF2623" s="33"/>
      <c r="AG2623" s="33"/>
      <c r="AH2623" s="33"/>
      <c r="AI2623" s="33"/>
      <c r="AJ2623" s="33"/>
      <c r="AK2623" s="33"/>
    </row>
    <row r="2624">
      <c r="A2624" s="33"/>
      <c r="B2624" s="33"/>
      <c r="C2624" s="33"/>
      <c r="D2624" s="33"/>
      <c r="E2624" s="33"/>
      <c r="F2624" s="33"/>
      <c r="G2624" s="33"/>
      <c r="H2624" s="33"/>
      <c r="I2624" s="33"/>
      <c r="J2624" s="33"/>
      <c r="K2624" s="33"/>
      <c r="L2624" s="33"/>
      <c r="M2624" s="33"/>
      <c r="N2624" s="33"/>
      <c r="O2624" s="33"/>
      <c r="P2624" s="33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  <c r="AB2624" s="33"/>
      <c r="AC2624" s="33"/>
      <c r="AD2624" s="33"/>
      <c r="AE2624" s="33"/>
      <c r="AF2624" s="33"/>
      <c r="AG2624" s="33"/>
      <c r="AH2624" s="33"/>
      <c r="AI2624" s="33"/>
      <c r="AJ2624" s="33"/>
      <c r="AK2624" s="33"/>
    </row>
    <row r="2625">
      <c r="A2625" s="33"/>
      <c r="B2625" s="33"/>
      <c r="C2625" s="33"/>
      <c r="D2625" s="33"/>
      <c r="E2625" s="33"/>
      <c r="F2625" s="33"/>
      <c r="G2625" s="33"/>
      <c r="H2625" s="33"/>
      <c r="I2625" s="33"/>
      <c r="J2625" s="33"/>
      <c r="K2625" s="33"/>
      <c r="L2625" s="33"/>
      <c r="M2625" s="33"/>
      <c r="N2625" s="33"/>
      <c r="O2625" s="33"/>
      <c r="P2625" s="33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  <c r="AB2625" s="33"/>
      <c r="AC2625" s="33"/>
      <c r="AD2625" s="33"/>
      <c r="AE2625" s="33"/>
      <c r="AF2625" s="33"/>
      <c r="AG2625" s="33"/>
      <c r="AH2625" s="33"/>
      <c r="AI2625" s="33"/>
      <c r="AJ2625" s="33"/>
      <c r="AK2625" s="33"/>
    </row>
    <row r="2626">
      <c r="A2626" s="33"/>
      <c r="B2626" s="33"/>
      <c r="C2626" s="33"/>
      <c r="D2626" s="33"/>
      <c r="E2626" s="33"/>
      <c r="F2626" s="33"/>
      <c r="G2626" s="33"/>
      <c r="H2626" s="33"/>
      <c r="I2626" s="33"/>
      <c r="J2626" s="33"/>
      <c r="K2626" s="33"/>
      <c r="L2626" s="33"/>
      <c r="M2626" s="33"/>
      <c r="N2626" s="33"/>
      <c r="O2626" s="33"/>
      <c r="P2626" s="33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  <c r="AB2626" s="33"/>
      <c r="AC2626" s="33"/>
      <c r="AD2626" s="33"/>
      <c r="AE2626" s="33"/>
      <c r="AF2626" s="33"/>
      <c r="AG2626" s="33"/>
      <c r="AH2626" s="33"/>
      <c r="AI2626" s="33"/>
      <c r="AJ2626" s="33"/>
      <c r="AK2626" s="33"/>
    </row>
    <row r="2627">
      <c r="A2627" s="33"/>
      <c r="B2627" s="33"/>
      <c r="C2627" s="33"/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  <c r="AB2627" s="33"/>
      <c r="AC2627" s="33"/>
      <c r="AD2627" s="33"/>
      <c r="AE2627" s="33"/>
      <c r="AF2627" s="33"/>
      <c r="AG2627" s="33"/>
      <c r="AH2627" s="33"/>
      <c r="AI2627" s="33"/>
      <c r="AJ2627" s="33"/>
      <c r="AK2627" s="33"/>
    </row>
    <row r="2628">
      <c r="A2628" s="33"/>
      <c r="B2628" s="33"/>
      <c r="C2628" s="33"/>
      <c r="D2628" s="33"/>
      <c r="E2628" s="33"/>
      <c r="F2628" s="33"/>
      <c r="G2628" s="33"/>
      <c r="H2628" s="33"/>
      <c r="I2628" s="33"/>
      <c r="J2628" s="33"/>
      <c r="K2628" s="33"/>
      <c r="L2628" s="33"/>
      <c r="M2628" s="33"/>
      <c r="N2628" s="33"/>
      <c r="O2628" s="33"/>
      <c r="P2628" s="33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  <c r="AB2628" s="33"/>
      <c r="AC2628" s="33"/>
      <c r="AD2628" s="33"/>
      <c r="AE2628" s="33"/>
      <c r="AF2628" s="33"/>
      <c r="AG2628" s="33"/>
      <c r="AH2628" s="33"/>
      <c r="AI2628" s="33"/>
      <c r="AJ2628" s="33"/>
      <c r="AK2628" s="33"/>
    </row>
    <row r="2629">
      <c r="A2629" s="33"/>
      <c r="B2629" s="33"/>
      <c r="C2629" s="33"/>
      <c r="D2629" s="33"/>
      <c r="E2629" s="33"/>
      <c r="F2629" s="33"/>
      <c r="G2629" s="33"/>
      <c r="H2629" s="33"/>
      <c r="I2629" s="33"/>
      <c r="J2629" s="33"/>
      <c r="K2629" s="33"/>
      <c r="L2629" s="33"/>
      <c r="M2629" s="33"/>
      <c r="N2629" s="33"/>
      <c r="O2629" s="33"/>
      <c r="P2629" s="33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  <c r="AB2629" s="33"/>
      <c r="AC2629" s="33"/>
      <c r="AD2629" s="33"/>
      <c r="AE2629" s="33"/>
      <c r="AF2629" s="33"/>
      <c r="AG2629" s="33"/>
      <c r="AH2629" s="33"/>
      <c r="AI2629" s="33"/>
      <c r="AJ2629" s="33"/>
      <c r="AK2629" s="33"/>
    </row>
    <row r="2630">
      <c r="A2630" s="33"/>
      <c r="B2630" s="33"/>
      <c r="C2630" s="33"/>
      <c r="D2630" s="33"/>
      <c r="E2630" s="33"/>
      <c r="F2630" s="33"/>
      <c r="G2630" s="33"/>
      <c r="H2630" s="33"/>
      <c r="I2630" s="33"/>
      <c r="J2630" s="33"/>
      <c r="K2630" s="33"/>
      <c r="L2630" s="33"/>
      <c r="M2630" s="33"/>
      <c r="N2630" s="33"/>
      <c r="O2630" s="33"/>
      <c r="P2630" s="33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  <c r="AB2630" s="33"/>
      <c r="AC2630" s="33"/>
      <c r="AD2630" s="33"/>
      <c r="AE2630" s="33"/>
      <c r="AF2630" s="33"/>
      <c r="AG2630" s="33"/>
      <c r="AH2630" s="33"/>
      <c r="AI2630" s="33"/>
      <c r="AJ2630" s="33"/>
      <c r="AK2630" s="33"/>
    </row>
    <row r="2631">
      <c r="A2631" s="33"/>
      <c r="B2631" s="33"/>
      <c r="C2631" s="33"/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  <c r="AB2631" s="33"/>
      <c r="AC2631" s="33"/>
      <c r="AD2631" s="33"/>
      <c r="AE2631" s="33"/>
      <c r="AF2631" s="33"/>
      <c r="AG2631" s="33"/>
      <c r="AH2631" s="33"/>
      <c r="AI2631" s="33"/>
      <c r="AJ2631" s="33"/>
      <c r="AK2631" s="33"/>
    </row>
    <row r="2632">
      <c r="A2632" s="33"/>
      <c r="B2632" s="33"/>
      <c r="C2632" s="33"/>
      <c r="D2632" s="33"/>
      <c r="E2632" s="33"/>
      <c r="F2632" s="33"/>
      <c r="G2632" s="33"/>
      <c r="H2632" s="33"/>
      <c r="I2632" s="33"/>
      <c r="J2632" s="33"/>
      <c r="K2632" s="33"/>
      <c r="L2632" s="33"/>
      <c r="M2632" s="33"/>
      <c r="N2632" s="33"/>
      <c r="O2632" s="33"/>
      <c r="P2632" s="33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  <c r="AB2632" s="33"/>
      <c r="AC2632" s="33"/>
      <c r="AD2632" s="33"/>
      <c r="AE2632" s="33"/>
      <c r="AF2632" s="33"/>
      <c r="AG2632" s="33"/>
      <c r="AH2632" s="33"/>
      <c r="AI2632" s="33"/>
      <c r="AJ2632" s="33"/>
      <c r="AK2632" s="33"/>
    </row>
    <row r="2633">
      <c r="A2633" s="33"/>
      <c r="B2633" s="33"/>
      <c r="C2633" s="33"/>
      <c r="D2633" s="33"/>
      <c r="E2633" s="33"/>
      <c r="F2633" s="33"/>
      <c r="G2633" s="33"/>
      <c r="H2633" s="33"/>
      <c r="I2633" s="33"/>
      <c r="J2633" s="33"/>
      <c r="K2633" s="33"/>
      <c r="L2633" s="33"/>
      <c r="M2633" s="33"/>
      <c r="N2633" s="33"/>
      <c r="O2633" s="33"/>
      <c r="P2633" s="33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  <c r="AB2633" s="33"/>
      <c r="AC2633" s="33"/>
      <c r="AD2633" s="33"/>
      <c r="AE2633" s="33"/>
      <c r="AF2633" s="33"/>
      <c r="AG2633" s="33"/>
      <c r="AH2633" s="33"/>
      <c r="AI2633" s="33"/>
      <c r="AJ2633" s="33"/>
      <c r="AK2633" s="33"/>
    </row>
    <row r="2634">
      <c r="A2634" s="33"/>
      <c r="B2634" s="33"/>
      <c r="C2634" s="33"/>
      <c r="D2634" s="33"/>
      <c r="E2634" s="33"/>
      <c r="F2634" s="33"/>
      <c r="G2634" s="33"/>
      <c r="H2634" s="33"/>
      <c r="I2634" s="33"/>
      <c r="J2634" s="33"/>
      <c r="K2634" s="33"/>
      <c r="L2634" s="33"/>
      <c r="M2634" s="33"/>
      <c r="N2634" s="33"/>
      <c r="O2634" s="33"/>
      <c r="P2634" s="33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  <c r="AB2634" s="33"/>
      <c r="AC2634" s="33"/>
      <c r="AD2634" s="33"/>
      <c r="AE2634" s="33"/>
      <c r="AF2634" s="33"/>
      <c r="AG2634" s="33"/>
      <c r="AH2634" s="33"/>
      <c r="AI2634" s="33"/>
      <c r="AJ2634" s="33"/>
      <c r="AK2634" s="33"/>
    </row>
    <row r="2635">
      <c r="A2635" s="33"/>
      <c r="B2635" s="33"/>
      <c r="C2635" s="33"/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  <c r="AB2635" s="33"/>
      <c r="AC2635" s="33"/>
      <c r="AD2635" s="33"/>
      <c r="AE2635" s="33"/>
      <c r="AF2635" s="33"/>
      <c r="AG2635" s="33"/>
      <c r="AH2635" s="33"/>
      <c r="AI2635" s="33"/>
      <c r="AJ2635" s="33"/>
      <c r="AK2635" s="33"/>
    </row>
    <row r="2636">
      <c r="A2636" s="33"/>
      <c r="B2636" s="33"/>
      <c r="C2636" s="33"/>
      <c r="D2636" s="33"/>
      <c r="E2636" s="33"/>
      <c r="F2636" s="33"/>
      <c r="G2636" s="33"/>
      <c r="H2636" s="33"/>
      <c r="I2636" s="33"/>
      <c r="J2636" s="33"/>
      <c r="K2636" s="33"/>
      <c r="L2636" s="33"/>
      <c r="M2636" s="33"/>
      <c r="N2636" s="33"/>
      <c r="O2636" s="33"/>
      <c r="P2636" s="33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  <c r="AB2636" s="33"/>
      <c r="AC2636" s="33"/>
      <c r="AD2636" s="33"/>
      <c r="AE2636" s="33"/>
      <c r="AF2636" s="33"/>
      <c r="AG2636" s="33"/>
      <c r="AH2636" s="33"/>
      <c r="AI2636" s="33"/>
      <c r="AJ2636" s="33"/>
      <c r="AK2636" s="33"/>
    </row>
    <row r="2637">
      <c r="A2637" s="33"/>
      <c r="B2637" s="33"/>
      <c r="C2637" s="33"/>
      <c r="D2637" s="33"/>
      <c r="E2637" s="33"/>
      <c r="F2637" s="33"/>
      <c r="G2637" s="33"/>
      <c r="H2637" s="33"/>
      <c r="I2637" s="33"/>
      <c r="J2637" s="33"/>
      <c r="K2637" s="33"/>
      <c r="L2637" s="33"/>
      <c r="M2637" s="33"/>
      <c r="N2637" s="33"/>
      <c r="O2637" s="33"/>
      <c r="P2637" s="33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  <c r="AB2637" s="33"/>
      <c r="AC2637" s="33"/>
      <c r="AD2637" s="33"/>
      <c r="AE2637" s="33"/>
      <c r="AF2637" s="33"/>
      <c r="AG2637" s="33"/>
      <c r="AH2637" s="33"/>
      <c r="AI2637" s="33"/>
      <c r="AJ2637" s="33"/>
      <c r="AK2637" s="33"/>
    </row>
    <row r="2638">
      <c r="A2638" s="33"/>
      <c r="B2638" s="33"/>
      <c r="C2638" s="33"/>
      <c r="D2638" s="33"/>
      <c r="E2638" s="33"/>
      <c r="F2638" s="33"/>
      <c r="G2638" s="33"/>
      <c r="H2638" s="33"/>
      <c r="I2638" s="33"/>
      <c r="J2638" s="33"/>
      <c r="K2638" s="33"/>
      <c r="L2638" s="33"/>
      <c r="M2638" s="33"/>
      <c r="N2638" s="33"/>
      <c r="O2638" s="33"/>
      <c r="P2638" s="33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  <c r="AB2638" s="33"/>
      <c r="AC2638" s="33"/>
      <c r="AD2638" s="33"/>
      <c r="AE2638" s="33"/>
      <c r="AF2638" s="33"/>
      <c r="AG2638" s="33"/>
      <c r="AH2638" s="33"/>
      <c r="AI2638" s="33"/>
      <c r="AJ2638" s="33"/>
      <c r="AK2638" s="33"/>
    </row>
    <row r="2639">
      <c r="A2639" s="33"/>
      <c r="B2639" s="33"/>
      <c r="C2639" s="33"/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  <c r="AB2639" s="33"/>
      <c r="AC2639" s="33"/>
      <c r="AD2639" s="33"/>
      <c r="AE2639" s="33"/>
      <c r="AF2639" s="33"/>
      <c r="AG2639" s="33"/>
      <c r="AH2639" s="33"/>
      <c r="AI2639" s="33"/>
      <c r="AJ2639" s="33"/>
      <c r="AK2639" s="33"/>
    </row>
    <row r="2640">
      <c r="A2640" s="33"/>
      <c r="B2640" s="33"/>
      <c r="C2640" s="33"/>
      <c r="D2640" s="33"/>
      <c r="E2640" s="33"/>
      <c r="F2640" s="33"/>
      <c r="G2640" s="33"/>
      <c r="H2640" s="33"/>
      <c r="I2640" s="33"/>
      <c r="J2640" s="33"/>
      <c r="K2640" s="33"/>
      <c r="L2640" s="33"/>
      <c r="M2640" s="33"/>
      <c r="N2640" s="33"/>
      <c r="O2640" s="33"/>
      <c r="P2640" s="33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  <c r="AB2640" s="33"/>
      <c r="AC2640" s="33"/>
      <c r="AD2640" s="33"/>
      <c r="AE2640" s="33"/>
      <c r="AF2640" s="33"/>
      <c r="AG2640" s="33"/>
      <c r="AH2640" s="33"/>
      <c r="AI2640" s="33"/>
      <c r="AJ2640" s="33"/>
      <c r="AK2640" s="33"/>
    </row>
    <row r="2641">
      <c r="A2641" s="33"/>
      <c r="B2641" s="33"/>
      <c r="C2641" s="33"/>
      <c r="D2641" s="33"/>
      <c r="E2641" s="33"/>
      <c r="F2641" s="33"/>
      <c r="G2641" s="33"/>
      <c r="H2641" s="33"/>
      <c r="I2641" s="33"/>
      <c r="J2641" s="33"/>
      <c r="K2641" s="33"/>
      <c r="L2641" s="33"/>
      <c r="M2641" s="33"/>
      <c r="N2641" s="33"/>
      <c r="O2641" s="33"/>
      <c r="P2641" s="33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  <c r="AB2641" s="33"/>
      <c r="AC2641" s="33"/>
      <c r="AD2641" s="33"/>
      <c r="AE2641" s="33"/>
      <c r="AF2641" s="33"/>
      <c r="AG2641" s="33"/>
      <c r="AH2641" s="33"/>
      <c r="AI2641" s="33"/>
      <c r="AJ2641" s="33"/>
      <c r="AK2641" s="33"/>
    </row>
    <row r="2642">
      <c r="A2642" s="33"/>
      <c r="B2642" s="33"/>
      <c r="C2642" s="33"/>
      <c r="D2642" s="33"/>
      <c r="E2642" s="33"/>
      <c r="F2642" s="33"/>
      <c r="G2642" s="33"/>
      <c r="H2642" s="33"/>
      <c r="I2642" s="33"/>
      <c r="J2642" s="33"/>
      <c r="K2642" s="33"/>
      <c r="L2642" s="33"/>
      <c r="M2642" s="33"/>
      <c r="N2642" s="33"/>
      <c r="O2642" s="33"/>
      <c r="P2642" s="33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  <c r="AB2642" s="33"/>
      <c r="AC2642" s="33"/>
      <c r="AD2642" s="33"/>
      <c r="AE2642" s="33"/>
      <c r="AF2642" s="33"/>
      <c r="AG2642" s="33"/>
      <c r="AH2642" s="33"/>
      <c r="AI2642" s="33"/>
      <c r="AJ2642" s="33"/>
      <c r="AK2642" s="33"/>
    </row>
    <row r="2643">
      <c r="A2643" s="33"/>
      <c r="B2643" s="33"/>
      <c r="C2643" s="33"/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  <c r="AB2643" s="33"/>
      <c r="AC2643" s="33"/>
      <c r="AD2643" s="33"/>
      <c r="AE2643" s="33"/>
      <c r="AF2643" s="33"/>
      <c r="AG2643" s="33"/>
      <c r="AH2643" s="33"/>
      <c r="AI2643" s="33"/>
      <c r="AJ2643" s="33"/>
      <c r="AK2643" s="33"/>
    </row>
    <row r="2644">
      <c r="A2644" s="33"/>
      <c r="B2644" s="33"/>
      <c r="C2644" s="33"/>
      <c r="D2644" s="33"/>
      <c r="E2644" s="33"/>
      <c r="F2644" s="33"/>
      <c r="G2644" s="33"/>
      <c r="H2644" s="33"/>
      <c r="I2644" s="33"/>
      <c r="J2644" s="33"/>
      <c r="K2644" s="33"/>
      <c r="L2644" s="33"/>
      <c r="M2644" s="33"/>
      <c r="N2644" s="33"/>
      <c r="O2644" s="33"/>
      <c r="P2644" s="33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  <c r="AB2644" s="33"/>
      <c r="AC2644" s="33"/>
      <c r="AD2644" s="33"/>
      <c r="AE2644" s="33"/>
      <c r="AF2644" s="33"/>
      <c r="AG2644" s="33"/>
      <c r="AH2644" s="33"/>
      <c r="AI2644" s="33"/>
      <c r="AJ2644" s="33"/>
      <c r="AK2644" s="33"/>
    </row>
    <row r="2645">
      <c r="A2645" s="33"/>
      <c r="B2645" s="33"/>
      <c r="C2645" s="33"/>
      <c r="D2645" s="33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  <c r="AB2645" s="33"/>
      <c r="AC2645" s="33"/>
      <c r="AD2645" s="33"/>
      <c r="AE2645" s="33"/>
      <c r="AF2645" s="33"/>
      <c r="AG2645" s="33"/>
      <c r="AH2645" s="33"/>
      <c r="AI2645" s="33"/>
      <c r="AJ2645" s="33"/>
      <c r="AK2645" s="33"/>
    </row>
    <row r="2646">
      <c r="A2646" s="33"/>
      <c r="B2646" s="33"/>
      <c r="C2646" s="33"/>
      <c r="D2646" s="33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33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  <c r="AB2646" s="33"/>
      <c r="AC2646" s="33"/>
      <c r="AD2646" s="33"/>
      <c r="AE2646" s="33"/>
      <c r="AF2646" s="33"/>
      <c r="AG2646" s="33"/>
      <c r="AH2646" s="33"/>
      <c r="AI2646" s="33"/>
      <c r="AJ2646" s="33"/>
      <c r="AK2646" s="33"/>
    </row>
    <row r="2647">
      <c r="A2647" s="33"/>
      <c r="B2647" s="33"/>
      <c r="C2647" s="33"/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  <c r="AB2647" s="33"/>
      <c r="AC2647" s="33"/>
      <c r="AD2647" s="33"/>
      <c r="AE2647" s="33"/>
      <c r="AF2647" s="33"/>
      <c r="AG2647" s="33"/>
      <c r="AH2647" s="33"/>
      <c r="AI2647" s="33"/>
      <c r="AJ2647" s="33"/>
      <c r="AK2647" s="33"/>
    </row>
    <row r="2648">
      <c r="A2648" s="33"/>
      <c r="B2648" s="33"/>
      <c r="C2648" s="33"/>
      <c r="D2648" s="33"/>
      <c r="E2648" s="33"/>
      <c r="F2648" s="33"/>
      <c r="G2648" s="33"/>
      <c r="H2648" s="33"/>
      <c r="I2648" s="33"/>
      <c r="J2648" s="33"/>
      <c r="K2648" s="33"/>
      <c r="L2648" s="33"/>
      <c r="M2648" s="33"/>
      <c r="N2648" s="33"/>
      <c r="O2648" s="33"/>
      <c r="P2648" s="33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  <c r="AB2648" s="33"/>
      <c r="AC2648" s="33"/>
      <c r="AD2648" s="33"/>
      <c r="AE2648" s="33"/>
      <c r="AF2648" s="33"/>
      <c r="AG2648" s="33"/>
      <c r="AH2648" s="33"/>
      <c r="AI2648" s="33"/>
      <c r="AJ2648" s="33"/>
      <c r="AK2648" s="33"/>
    </row>
    <row r="2649">
      <c r="A2649" s="33"/>
      <c r="B2649" s="33"/>
      <c r="C2649" s="33"/>
      <c r="D2649" s="33"/>
      <c r="E2649" s="33"/>
      <c r="F2649" s="33"/>
      <c r="G2649" s="33"/>
      <c r="H2649" s="33"/>
      <c r="I2649" s="33"/>
      <c r="J2649" s="33"/>
      <c r="K2649" s="33"/>
      <c r="L2649" s="33"/>
      <c r="M2649" s="33"/>
      <c r="N2649" s="33"/>
      <c r="O2649" s="33"/>
      <c r="P2649" s="33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  <c r="AB2649" s="33"/>
      <c r="AC2649" s="33"/>
      <c r="AD2649" s="33"/>
      <c r="AE2649" s="33"/>
      <c r="AF2649" s="33"/>
      <c r="AG2649" s="33"/>
      <c r="AH2649" s="33"/>
      <c r="AI2649" s="33"/>
      <c r="AJ2649" s="33"/>
      <c r="AK2649" s="33"/>
    </row>
    <row r="2650">
      <c r="A2650" s="33"/>
      <c r="B2650" s="33"/>
      <c r="C2650" s="33"/>
      <c r="D2650" s="33"/>
      <c r="E2650" s="33"/>
      <c r="F2650" s="33"/>
      <c r="G2650" s="33"/>
      <c r="H2650" s="33"/>
      <c r="I2650" s="33"/>
      <c r="J2650" s="33"/>
      <c r="K2650" s="33"/>
      <c r="L2650" s="33"/>
      <c r="M2650" s="33"/>
      <c r="N2650" s="33"/>
      <c r="O2650" s="33"/>
      <c r="P2650" s="33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  <c r="AB2650" s="33"/>
      <c r="AC2650" s="33"/>
      <c r="AD2650" s="33"/>
      <c r="AE2650" s="33"/>
      <c r="AF2650" s="33"/>
      <c r="AG2650" s="33"/>
      <c r="AH2650" s="33"/>
      <c r="AI2650" s="33"/>
      <c r="AJ2650" s="33"/>
      <c r="AK2650" s="33"/>
    </row>
    <row r="2651">
      <c r="A2651" s="33"/>
      <c r="B2651" s="33"/>
      <c r="C2651" s="33"/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  <c r="AB2651" s="33"/>
      <c r="AC2651" s="33"/>
      <c r="AD2651" s="33"/>
      <c r="AE2651" s="33"/>
      <c r="AF2651" s="33"/>
      <c r="AG2651" s="33"/>
      <c r="AH2651" s="33"/>
      <c r="AI2651" s="33"/>
      <c r="AJ2651" s="33"/>
      <c r="AK2651" s="33"/>
    </row>
    <row r="2652">
      <c r="A2652" s="33"/>
      <c r="B2652" s="33"/>
      <c r="C2652" s="33"/>
      <c r="D2652" s="33"/>
      <c r="E2652" s="33"/>
      <c r="F2652" s="33"/>
      <c r="G2652" s="33"/>
      <c r="H2652" s="33"/>
      <c r="I2652" s="33"/>
      <c r="J2652" s="33"/>
      <c r="K2652" s="33"/>
      <c r="L2652" s="33"/>
      <c r="M2652" s="33"/>
      <c r="N2652" s="33"/>
      <c r="O2652" s="33"/>
      <c r="P2652" s="33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  <c r="AB2652" s="33"/>
      <c r="AC2652" s="33"/>
      <c r="AD2652" s="33"/>
      <c r="AE2652" s="33"/>
      <c r="AF2652" s="33"/>
      <c r="AG2652" s="33"/>
      <c r="AH2652" s="33"/>
      <c r="AI2652" s="33"/>
      <c r="AJ2652" s="33"/>
      <c r="AK2652" s="33"/>
    </row>
    <row r="2653">
      <c r="A2653" s="33"/>
      <c r="B2653" s="33"/>
      <c r="C2653" s="33"/>
      <c r="D2653" s="33"/>
      <c r="E2653" s="33"/>
      <c r="F2653" s="33"/>
      <c r="G2653" s="33"/>
      <c r="H2653" s="33"/>
      <c r="I2653" s="33"/>
      <c r="J2653" s="33"/>
      <c r="K2653" s="33"/>
      <c r="L2653" s="33"/>
      <c r="M2653" s="33"/>
      <c r="N2653" s="33"/>
      <c r="O2653" s="33"/>
      <c r="P2653" s="33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  <c r="AB2653" s="33"/>
      <c r="AC2653" s="33"/>
      <c r="AD2653" s="33"/>
      <c r="AE2653" s="33"/>
      <c r="AF2653" s="33"/>
      <c r="AG2653" s="33"/>
      <c r="AH2653" s="33"/>
      <c r="AI2653" s="33"/>
      <c r="AJ2653" s="33"/>
      <c r="AK2653" s="33"/>
    </row>
    <row r="2654">
      <c r="A2654" s="33"/>
      <c r="B2654" s="33"/>
      <c r="C2654" s="33"/>
      <c r="D2654" s="33"/>
      <c r="E2654" s="33"/>
      <c r="F2654" s="33"/>
      <c r="G2654" s="33"/>
      <c r="H2654" s="33"/>
      <c r="I2654" s="33"/>
      <c r="J2654" s="33"/>
      <c r="K2654" s="33"/>
      <c r="L2654" s="33"/>
      <c r="M2654" s="33"/>
      <c r="N2654" s="33"/>
      <c r="O2654" s="33"/>
      <c r="P2654" s="33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  <c r="AB2654" s="33"/>
      <c r="AC2654" s="33"/>
      <c r="AD2654" s="33"/>
      <c r="AE2654" s="33"/>
      <c r="AF2654" s="33"/>
      <c r="AG2654" s="33"/>
      <c r="AH2654" s="33"/>
      <c r="AI2654" s="33"/>
      <c r="AJ2654" s="33"/>
      <c r="AK2654" s="33"/>
    </row>
    <row r="2655">
      <c r="A2655" s="33"/>
      <c r="B2655" s="33"/>
      <c r="C2655" s="33"/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  <c r="AB2655" s="33"/>
      <c r="AC2655" s="33"/>
      <c r="AD2655" s="33"/>
      <c r="AE2655" s="33"/>
      <c r="AF2655" s="33"/>
      <c r="AG2655" s="33"/>
      <c r="AH2655" s="33"/>
      <c r="AI2655" s="33"/>
      <c r="AJ2655" s="33"/>
      <c r="AK2655" s="33"/>
    </row>
    <row r="2656">
      <c r="A2656" s="33"/>
      <c r="B2656" s="33"/>
      <c r="C2656" s="33"/>
      <c r="D2656" s="33"/>
      <c r="E2656" s="33"/>
      <c r="F2656" s="33"/>
      <c r="G2656" s="33"/>
      <c r="H2656" s="33"/>
      <c r="I2656" s="33"/>
      <c r="J2656" s="33"/>
      <c r="K2656" s="33"/>
      <c r="L2656" s="33"/>
      <c r="M2656" s="33"/>
      <c r="N2656" s="33"/>
      <c r="O2656" s="33"/>
      <c r="P2656" s="33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  <c r="AB2656" s="33"/>
      <c r="AC2656" s="33"/>
      <c r="AD2656" s="33"/>
      <c r="AE2656" s="33"/>
      <c r="AF2656" s="33"/>
      <c r="AG2656" s="33"/>
      <c r="AH2656" s="33"/>
      <c r="AI2656" s="33"/>
      <c r="AJ2656" s="33"/>
      <c r="AK2656" s="33"/>
    </row>
    <row r="2657">
      <c r="A2657" s="33"/>
      <c r="B2657" s="33"/>
      <c r="C2657" s="33"/>
      <c r="D2657" s="33"/>
      <c r="E2657" s="33"/>
      <c r="F2657" s="33"/>
      <c r="G2657" s="33"/>
      <c r="H2657" s="33"/>
      <c r="I2657" s="33"/>
      <c r="J2657" s="33"/>
      <c r="K2657" s="33"/>
      <c r="L2657" s="33"/>
      <c r="M2657" s="33"/>
      <c r="N2657" s="33"/>
      <c r="O2657" s="33"/>
      <c r="P2657" s="33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  <c r="AB2657" s="33"/>
      <c r="AC2657" s="33"/>
      <c r="AD2657" s="33"/>
      <c r="AE2657" s="33"/>
      <c r="AF2657" s="33"/>
      <c r="AG2657" s="33"/>
      <c r="AH2657" s="33"/>
      <c r="AI2657" s="33"/>
      <c r="AJ2657" s="33"/>
      <c r="AK2657" s="33"/>
    </row>
    <row r="2658">
      <c r="A2658" s="33"/>
      <c r="B2658" s="33"/>
      <c r="C2658" s="33"/>
      <c r="D2658" s="33"/>
      <c r="E2658" s="33"/>
      <c r="F2658" s="33"/>
      <c r="G2658" s="33"/>
      <c r="H2658" s="33"/>
      <c r="I2658" s="33"/>
      <c r="J2658" s="33"/>
      <c r="K2658" s="33"/>
      <c r="L2658" s="33"/>
      <c r="M2658" s="33"/>
      <c r="N2658" s="33"/>
      <c r="O2658" s="33"/>
      <c r="P2658" s="33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  <c r="AB2658" s="33"/>
      <c r="AC2658" s="33"/>
      <c r="AD2658" s="33"/>
      <c r="AE2658" s="33"/>
      <c r="AF2658" s="33"/>
      <c r="AG2658" s="33"/>
      <c r="AH2658" s="33"/>
      <c r="AI2658" s="33"/>
      <c r="AJ2658" s="33"/>
      <c r="AK2658" s="33"/>
    </row>
    <row r="2659">
      <c r="A2659" s="33"/>
      <c r="B2659" s="33"/>
      <c r="C2659" s="33"/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  <c r="AB2659" s="33"/>
      <c r="AC2659" s="33"/>
      <c r="AD2659" s="33"/>
      <c r="AE2659" s="33"/>
      <c r="AF2659" s="33"/>
      <c r="AG2659" s="33"/>
      <c r="AH2659" s="33"/>
      <c r="AI2659" s="33"/>
      <c r="AJ2659" s="33"/>
      <c r="AK2659" s="33"/>
    </row>
    <row r="2660">
      <c r="A2660" s="33"/>
      <c r="B2660" s="33"/>
      <c r="C2660" s="33"/>
      <c r="D2660" s="33"/>
      <c r="E2660" s="33"/>
      <c r="F2660" s="33"/>
      <c r="G2660" s="33"/>
      <c r="H2660" s="33"/>
      <c r="I2660" s="33"/>
      <c r="J2660" s="33"/>
      <c r="K2660" s="33"/>
      <c r="L2660" s="33"/>
      <c r="M2660" s="33"/>
      <c r="N2660" s="33"/>
      <c r="O2660" s="33"/>
      <c r="P2660" s="33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  <c r="AB2660" s="33"/>
      <c r="AC2660" s="33"/>
      <c r="AD2660" s="33"/>
      <c r="AE2660" s="33"/>
      <c r="AF2660" s="33"/>
      <c r="AG2660" s="33"/>
      <c r="AH2660" s="33"/>
      <c r="AI2660" s="33"/>
      <c r="AJ2660" s="33"/>
      <c r="AK2660" s="33"/>
    </row>
    <row r="2661">
      <c r="A2661" s="33"/>
      <c r="B2661" s="33"/>
      <c r="C2661" s="33"/>
      <c r="D2661" s="33"/>
      <c r="E2661" s="33"/>
      <c r="F2661" s="33"/>
      <c r="G2661" s="33"/>
      <c r="H2661" s="33"/>
      <c r="I2661" s="33"/>
      <c r="J2661" s="33"/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  <c r="AB2661" s="33"/>
      <c r="AC2661" s="33"/>
      <c r="AD2661" s="33"/>
      <c r="AE2661" s="33"/>
      <c r="AF2661" s="33"/>
      <c r="AG2661" s="33"/>
      <c r="AH2661" s="33"/>
      <c r="AI2661" s="33"/>
      <c r="AJ2661" s="33"/>
      <c r="AK2661" s="33"/>
    </row>
    <row r="2662">
      <c r="A2662" s="33"/>
      <c r="B2662" s="33"/>
      <c r="C2662" s="33"/>
      <c r="D2662" s="33"/>
      <c r="E2662" s="33"/>
      <c r="F2662" s="33"/>
      <c r="G2662" s="33"/>
      <c r="H2662" s="33"/>
      <c r="I2662" s="33"/>
      <c r="J2662" s="33"/>
      <c r="K2662" s="33"/>
      <c r="L2662" s="33"/>
      <c r="M2662" s="33"/>
      <c r="N2662" s="33"/>
      <c r="O2662" s="33"/>
      <c r="P2662" s="33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  <c r="AB2662" s="33"/>
      <c r="AC2662" s="33"/>
      <c r="AD2662" s="33"/>
      <c r="AE2662" s="33"/>
      <c r="AF2662" s="33"/>
      <c r="AG2662" s="33"/>
      <c r="AH2662" s="33"/>
      <c r="AI2662" s="33"/>
      <c r="AJ2662" s="33"/>
      <c r="AK2662" s="33"/>
    </row>
    <row r="2663">
      <c r="A2663" s="33"/>
      <c r="B2663" s="33"/>
      <c r="C2663" s="33"/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</row>
    <row r="2664">
      <c r="A2664" s="33"/>
      <c r="B2664" s="33"/>
      <c r="C2664" s="33"/>
      <c r="D2664" s="33"/>
      <c r="E2664" s="33"/>
      <c r="F2664" s="33"/>
      <c r="G2664" s="33"/>
      <c r="H2664" s="33"/>
      <c r="I2664" s="33"/>
      <c r="J2664" s="33"/>
      <c r="K2664" s="33"/>
      <c r="L2664" s="33"/>
      <c r="M2664" s="33"/>
      <c r="N2664" s="33"/>
      <c r="O2664" s="33"/>
      <c r="P2664" s="33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  <c r="AB2664" s="33"/>
      <c r="AC2664" s="33"/>
      <c r="AD2664" s="33"/>
      <c r="AE2664" s="33"/>
      <c r="AF2664" s="33"/>
      <c r="AG2664" s="33"/>
      <c r="AH2664" s="33"/>
      <c r="AI2664" s="33"/>
      <c r="AJ2664" s="33"/>
      <c r="AK2664" s="33"/>
    </row>
    <row r="2665">
      <c r="A2665" s="33"/>
      <c r="B2665" s="33"/>
      <c r="C2665" s="33"/>
      <c r="D2665" s="33"/>
      <c r="E2665" s="33"/>
      <c r="F2665" s="33"/>
      <c r="G2665" s="33"/>
      <c r="H2665" s="33"/>
      <c r="I2665" s="33"/>
      <c r="J2665" s="33"/>
      <c r="K2665" s="33"/>
      <c r="L2665" s="33"/>
      <c r="M2665" s="33"/>
      <c r="N2665" s="33"/>
      <c r="O2665" s="33"/>
      <c r="P2665" s="33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  <c r="AB2665" s="33"/>
      <c r="AC2665" s="33"/>
      <c r="AD2665" s="33"/>
      <c r="AE2665" s="33"/>
      <c r="AF2665" s="33"/>
      <c r="AG2665" s="33"/>
      <c r="AH2665" s="33"/>
      <c r="AI2665" s="33"/>
      <c r="AJ2665" s="33"/>
      <c r="AK2665" s="33"/>
    </row>
    <row r="2666">
      <c r="A2666" s="33"/>
      <c r="B2666" s="33"/>
      <c r="C2666" s="33"/>
      <c r="D2666" s="33"/>
      <c r="E2666" s="33"/>
      <c r="F2666" s="33"/>
      <c r="G2666" s="33"/>
      <c r="H2666" s="33"/>
      <c r="I2666" s="33"/>
      <c r="J2666" s="33"/>
      <c r="K2666" s="33"/>
      <c r="L2666" s="33"/>
      <c r="M2666" s="33"/>
      <c r="N2666" s="33"/>
      <c r="O2666" s="33"/>
      <c r="P2666" s="33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  <c r="AB2666" s="33"/>
      <c r="AC2666" s="33"/>
      <c r="AD2666" s="33"/>
      <c r="AE2666" s="33"/>
      <c r="AF2666" s="33"/>
      <c r="AG2666" s="33"/>
      <c r="AH2666" s="33"/>
      <c r="AI2666" s="33"/>
      <c r="AJ2666" s="33"/>
      <c r="AK2666" s="33"/>
    </row>
    <row r="2667">
      <c r="A2667" s="33"/>
      <c r="B2667" s="33"/>
      <c r="C2667" s="33"/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  <c r="AB2667" s="33"/>
      <c r="AC2667" s="33"/>
      <c r="AD2667" s="33"/>
      <c r="AE2667" s="33"/>
      <c r="AF2667" s="33"/>
      <c r="AG2667" s="33"/>
      <c r="AH2667" s="33"/>
      <c r="AI2667" s="33"/>
      <c r="AJ2667" s="33"/>
      <c r="AK2667" s="33"/>
    </row>
    <row r="2668">
      <c r="A2668" s="33"/>
      <c r="B2668" s="33"/>
      <c r="C2668" s="33"/>
      <c r="D2668" s="33"/>
      <c r="E2668" s="33"/>
      <c r="F2668" s="33"/>
      <c r="G2668" s="33"/>
      <c r="H2668" s="33"/>
      <c r="I2668" s="33"/>
      <c r="J2668" s="33"/>
      <c r="K2668" s="33"/>
      <c r="L2668" s="33"/>
      <c r="M2668" s="33"/>
      <c r="N2668" s="33"/>
      <c r="O2668" s="33"/>
      <c r="P2668" s="33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  <c r="AB2668" s="33"/>
      <c r="AC2668" s="33"/>
      <c r="AD2668" s="33"/>
      <c r="AE2668" s="33"/>
      <c r="AF2668" s="33"/>
      <c r="AG2668" s="33"/>
      <c r="AH2668" s="33"/>
      <c r="AI2668" s="33"/>
      <c r="AJ2668" s="33"/>
      <c r="AK2668" s="33"/>
    </row>
    <row r="2669">
      <c r="A2669" s="33"/>
      <c r="B2669" s="33"/>
      <c r="C2669" s="33"/>
      <c r="D2669" s="33"/>
      <c r="E2669" s="33"/>
      <c r="F2669" s="33"/>
      <c r="G2669" s="33"/>
      <c r="H2669" s="33"/>
      <c r="I2669" s="33"/>
      <c r="J2669" s="33"/>
      <c r="K2669" s="33"/>
      <c r="L2669" s="33"/>
      <c r="M2669" s="33"/>
      <c r="N2669" s="33"/>
      <c r="O2669" s="33"/>
      <c r="P2669" s="33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  <c r="AB2669" s="33"/>
      <c r="AC2669" s="33"/>
      <c r="AD2669" s="33"/>
      <c r="AE2669" s="33"/>
      <c r="AF2669" s="33"/>
      <c r="AG2669" s="33"/>
      <c r="AH2669" s="33"/>
      <c r="AI2669" s="33"/>
      <c r="AJ2669" s="33"/>
      <c r="AK2669" s="33"/>
    </row>
    <row r="2670">
      <c r="A2670" s="33"/>
      <c r="B2670" s="33"/>
      <c r="C2670" s="33"/>
      <c r="D2670" s="33"/>
      <c r="E2670" s="33"/>
      <c r="F2670" s="33"/>
      <c r="G2670" s="33"/>
      <c r="H2670" s="33"/>
      <c r="I2670" s="33"/>
      <c r="J2670" s="33"/>
      <c r="K2670" s="33"/>
      <c r="L2670" s="33"/>
      <c r="M2670" s="33"/>
      <c r="N2670" s="33"/>
      <c r="O2670" s="33"/>
      <c r="P2670" s="33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  <c r="AB2670" s="33"/>
      <c r="AC2670" s="33"/>
      <c r="AD2670" s="33"/>
      <c r="AE2670" s="33"/>
      <c r="AF2670" s="33"/>
      <c r="AG2670" s="33"/>
      <c r="AH2670" s="33"/>
      <c r="AI2670" s="33"/>
      <c r="AJ2670" s="33"/>
      <c r="AK2670" s="33"/>
    </row>
    <row r="2671">
      <c r="A2671" s="33"/>
      <c r="B2671" s="33"/>
      <c r="C2671" s="33"/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  <c r="AB2671" s="33"/>
      <c r="AC2671" s="33"/>
      <c r="AD2671" s="33"/>
      <c r="AE2671" s="33"/>
      <c r="AF2671" s="33"/>
      <c r="AG2671" s="33"/>
      <c r="AH2671" s="33"/>
      <c r="AI2671" s="33"/>
      <c r="AJ2671" s="33"/>
      <c r="AK2671" s="33"/>
    </row>
    <row r="2672">
      <c r="A2672" s="33"/>
      <c r="B2672" s="33"/>
      <c r="C2672" s="33"/>
      <c r="D2672" s="33"/>
      <c r="E2672" s="33"/>
      <c r="F2672" s="33"/>
      <c r="G2672" s="33"/>
      <c r="H2672" s="33"/>
      <c r="I2672" s="33"/>
      <c r="J2672" s="33"/>
      <c r="K2672" s="33"/>
      <c r="L2672" s="33"/>
      <c r="M2672" s="33"/>
      <c r="N2672" s="33"/>
      <c r="O2672" s="33"/>
      <c r="P2672" s="33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  <c r="AB2672" s="33"/>
      <c r="AC2672" s="33"/>
      <c r="AD2672" s="33"/>
      <c r="AE2672" s="33"/>
      <c r="AF2672" s="33"/>
      <c r="AG2672" s="33"/>
      <c r="AH2672" s="33"/>
      <c r="AI2672" s="33"/>
      <c r="AJ2672" s="33"/>
      <c r="AK2672" s="33"/>
    </row>
    <row r="2673">
      <c r="A2673" s="33"/>
      <c r="B2673" s="33"/>
      <c r="C2673" s="33"/>
      <c r="D2673" s="33"/>
      <c r="E2673" s="33"/>
      <c r="F2673" s="33"/>
      <c r="G2673" s="33"/>
      <c r="H2673" s="33"/>
      <c r="I2673" s="33"/>
      <c r="J2673" s="33"/>
      <c r="K2673" s="33"/>
      <c r="L2673" s="33"/>
      <c r="M2673" s="33"/>
      <c r="N2673" s="33"/>
      <c r="O2673" s="33"/>
      <c r="P2673" s="33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  <c r="AB2673" s="33"/>
      <c r="AC2673" s="33"/>
      <c r="AD2673" s="33"/>
      <c r="AE2673" s="33"/>
      <c r="AF2673" s="33"/>
      <c r="AG2673" s="33"/>
      <c r="AH2673" s="33"/>
      <c r="AI2673" s="33"/>
      <c r="AJ2673" s="33"/>
      <c r="AK2673" s="33"/>
    </row>
    <row r="2674">
      <c r="A2674" s="33"/>
      <c r="B2674" s="33"/>
      <c r="C2674" s="33"/>
      <c r="D2674" s="33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33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  <c r="AB2674" s="33"/>
      <c r="AC2674" s="33"/>
      <c r="AD2674" s="33"/>
      <c r="AE2674" s="33"/>
      <c r="AF2674" s="33"/>
      <c r="AG2674" s="33"/>
      <c r="AH2674" s="33"/>
      <c r="AI2674" s="33"/>
      <c r="AJ2674" s="33"/>
      <c r="AK2674" s="33"/>
    </row>
    <row r="2675">
      <c r="A2675" s="33"/>
      <c r="B2675" s="33"/>
      <c r="C2675" s="33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  <c r="AB2675" s="33"/>
      <c r="AC2675" s="33"/>
      <c r="AD2675" s="33"/>
      <c r="AE2675" s="33"/>
      <c r="AF2675" s="33"/>
      <c r="AG2675" s="33"/>
      <c r="AH2675" s="33"/>
      <c r="AI2675" s="33"/>
      <c r="AJ2675" s="33"/>
      <c r="AK2675" s="33"/>
    </row>
    <row r="2676">
      <c r="A2676" s="33"/>
      <c r="B2676" s="33"/>
      <c r="C2676" s="33"/>
      <c r="D2676" s="33"/>
      <c r="E2676" s="33"/>
      <c r="F2676" s="33"/>
      <c r="G2676" s="33"/>
      <c r="H2676" s="33"/>
      <c r="I2676" s="33"/>
      <c r="J2676" s="33"/>
      <c r="K2676" s="33"/>
      <c r="L2676" s="33"/>
      <c r="M2676" s="33"/>
      <c r="N2676" s="33"/>
      <c r="O2676" s="33"/>
      <c r="P2676" s="33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  <c r="AB2676" s="33"/>
      <c r="AC2676" s="33"/>
      <c r="AD2676" s="33"/>
      <c r="AE2676" s="33"/>
      <c r="AF2676" s="33"/>
      <c r="AG2676" s="33"/>
      <c r="AH2676" s="33"/>
      <c r="AI2676" s="33"/>
      <c r="AJ2676" s="33"/>
      <c r="AK2676" s="33"/>
    </row>
    <row r="2677">
      <c r="A2677" s="33"/>
      <c r="B2677" s="33"/>
      <c r="C2677" s="33"/>
      <c r="D2677" s="33"/>
      <c r="E2677" s="33"/>
      <c r="F2677" s="33"/>
      <c r="G2677" s="33"/>
      <c r="H2677" s="33"/>
      <c r="I2677" s="33"/>
      <c r="J2677" s="33"/>
      <c r="K2677" s="33"/>
      <c r="L2677" s="33"/>
      <c r="M2677" s="33"/>
      <c r="N2677" s="33"/>
      <c r="O2677" s="33"/>
      <c r="P2677" s="33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  <c r="AB2677" s="33"/>
      <c r="AC2677" s="33"/>
      <c r="AD2677" s="33"/>
      <c r="AE2677" s="33"/>
      <c r="AF2677" s="33"/>
      <c r="AG2677" s="33"/>
      <c r="AH2677" s="33"/>
      <c r="AI2677" s="33"/>
      <c r="AJ2677" s="33"/>
      <c r="AK2677" s="33"/>
    </row>
    <row r="2678">
      <c r="A2678" s="33"/>
      <c r="B2678" s="33"/>
      <c r="C2678" s="33"/>
      <c r="D2678" s="33"/>
      <c r="E2678" s="33"/>
      <c r="F2678" s="33"/>
      <c r="G2678" s="33"/>
      <c r="H2678" s="33"/>
      <c r="I2678" s="33"/>
      <c r="J2678" s="33"/>
      <c r="K2678" s="33"/>
      <c r="L2678" s="33"/>
      <c r="M2678" s="33"/>
      <c r="N2678" s="33"/>
      <c r="O2678" s="33"/>
      <c r="P2678" s="33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  <c r="AB2678" s="33"/>
      <c r="AC2678" s="33"/>
      <c r="AD2678" s="33"/>
      <c r="AE2678" s="33"/>
      <c r="AF2678" s="33"/>
      <c r="AG2678" s="33"/>
      <c r="AH2678" s="33"/>
      <c r="AI2678" s="33"/>
      <c r="AJ2678" s="33"/>
      <c r="AK2678" s="33"/>
    </row>
    <row r="2679">
      <c r="A2679" s="33"/>
      <c r="B2679" s="33"/>
      <c r="C2679" s="33"/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  <c r="AB2679" s="33"/>
      <c r="AC2679" s="33"/>
      <c r="AD2679" s="33"/>
      <c r="AE2679" s="33"/>
      <c r="AF2679" s="33"/>
      <c r="AG2679" s="33"/>
      <c r="AH2679" s="33"/>
      <c r="AI2679" s="33"/>
      <c r="AJ2679" s="33"/>
      <c r="AK2679" s="33"/>
    </row>
    <row r="2680">
      <c r="A2680" s="33"/>
      <c r="B2680" s="33"/>
      <c r="C2680" s="33"/>
      <c r="D2680" s="33"/>
      <c r="E2680" s="33"/>
      <c r="F2680" s="33"/>
      <c r="G2680" s="33"/>
      <c r="H2680" s="33"/>
      <c r="I2680" s="33"/>
      <c r="J2680" s="33"/>
      <c r="K2680" s="33"/>
      <c r="L2680" s="33"/>
      <c r="M2680" s="33"/>
      <c r="N2680" s="33"/>
      <c r="O2680" s="33"/>
      <c r="P2680" s="33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  <c r="AB2680" s="33"/>
      <c r="AC2680" s="33"/>
      <c r="AD2680" s="33"/>
      <c r="AE2680" s="33"/>
      <c r="AF2680" s="33"/>
      <c r="AG2680" s="33"/>
      <c r="AH2680" s="33"/>
      <c r="AI2680" s="33"/>
      <c r="AJ2680" s="33"/>
      <c r="AK2680" s="33"/>
    </row>
    <row r="2681">
      <c r="A2681" s="33"/>
      <c r="B2681" s="33"/>
      <c r="C2681" s="33"/>
      <c r="D2681" s="33"/>
      <c r="E2681" s="33"/>
      <c r="F2681" s="33"/>
      <c r="G2681" s="33"/>
      <c r="H2681" s="33"/>
      <c r="I2681" s="33"/>
      <c r="J2681" s="33"/>
      <c r="K2681" s="33"/>
      <c r="L2681" s="33"/>
      <c r="M2681" s="33"/>
      <c r="N2681" s="33"/>
      <c r="O2681" s="33"/>
      <c r="P2681" s="33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  <c r="AB2681" s="33"/>
      <c r="AC2681" s="33"/>
      <c r="AD2681" s="33"/>
      <c r="AE2681" s="33"/>
      <c r="AF2681" s="33"/>
      <c r="AG2681" s="33"/>
      <c r="AH2681" s="33"/>
      <c r="AI2681" s="33"/>
      <c r="AJ2681" s="33"/>
      <c r="AK2681" s="33"/>
    </row>
    <row r="2682">
      <c r="A2682" s="33"/>
      <c r="B2682" s="33"/>
      <c r="C2682" s="33"/>
      <c r="D2682" s="33"/>
      <c r="E2682" s="33"/>
      <c r="F2682" s="33"/>
      <c r="G2682" s="33"/>
      <c r="H2682" s="33"/>
      <c r="I2682" s="33"/>
      <c r="J2682" s="33"/>
      <c r="K2682" s="33"/>
      <c r="L2682" s="33"/>
      <c r="M2682" s="33"/>
      <c r="N2682" s="33"/>
      <c r="O2682" s="33"/>
      <c r="P2682" s="33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  <c r="AB2682" s="33"/>
      <c r="AC2682" s="33"/>
      <c r="AD2682" s="33"/>
      <c r="AE2682" s="33"/>
      <c r="AF2682" s="33"/>
      <c r="AG2682" s="33"/>
      <c r="AH2682" s="33"/>
      <c r="AI2682" s="33"/>
      <c r="AJ2682" s="33"/>
      <c r="AK2682" s="33"/>
    </row>
    <row r="2683">
      <c r="A2683" s="33"/>
      <c r="B2683" s="33"/>
      <c r="C2683" s="33"/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  <c r="AB2683" s="33"/>
      <c r="AC2683" s="33"/>
      <c r="AD2683" s="33"/>
      <c r="AE2683" s="33"/>
      <c r="AF2683" s="33"/>
      <c r="AG2683" s="33"/>
      <c r="AH2683" s="33"/>
      <c r="AI2683" s="33"/>
      <c r="AJ2683" s="33"/>
      <c r="AK2683" s="33"/>
    </row>
    <row r="2684">
      <c r="A2684" s="33"/>
      <c r="B2684" s="33"/>
      <c r="C2684" s="33"/>
      <c r="D2684" s="33"/>
      <c r="E2684" s="33"/>
      <c r="F2684" s="33"/>
      <c r="G2684" s="33"/>
      <c r="H2684" s="33"/>
      <c r="I2684" s="33"/>
      <c r="J2684" s="33"/>
      <c r="K2684" s="33"/>
      <c r="L2684" s="33"/>
      <c r="M2684" s="33"/>
      <c r="N2684" s="33"/>
      <c r="O2684" s="33"/>
      <c r="P2684" s="33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  <c r="AB2684" s="33"/>
      <c r="AC2684" s="33"/>
      <c r="AD2684" s="33"/>
      <c r="AE2684" s="33"/>
      <c r="AF2684" s="33"/>
      <c r="AG2684" s="33"/>
      <c r="AH2684" s="33"/>
      <c r="AI2684" s="33"/>
      <c r="AJ2684" s="33"/>
      <c r="AK2684" s="33"/>
    </row>
    <row r="2685">
      <c r="A2685" s="33"/>
      <c r="B2685" s="33"/>
      <c r="C2685" s="33"/>
      <c r="D2685" s="33"/>
      <c r="E2685" s="33"/>
      <c r="F2685" s="33"/>
      <c r="G2685" s="33"/>
      <c r="H2685" s="33"/>
      <c r="I2685" s="33"/>
      <c r="J2685" s="33"/>
      <c r="K2685" s="33"/>
      <c r="L2685" s="33"/>
      <c r="M2685" s="33"/>
      <c r="N2685" s="33"/>
      <c r="O2685" s="33"/>
      <c r="P2685" s="33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  <c r="AB2685" s="33"/>
      <c r="AC2685" s="33"/>
      <c r="AD2685" s="33"/>
      <c r="AE2685" s="33"/>
      <c r="AF2685" s="33"/>
      <c r="AG2685" s="33"/>
      <c r="AH2685" s="33"/>
      <c r="AI2685" s="33"/>
      <c r="AJ2685" s="33"/>
      <c r="AK2685" s="33"/>
    </row>
    <row r="2686">
      <c r="A2686" s="33"/>
      <c r="B2686" s="33"/>
      <c r="C2686" s="33"/>
      <c r="D2686" s="33"/>
      <c r="E2686" s="33"/>
      <c r="F2686" s="33"/>
      <c r="G2686" s="33"/>
      <c r="H2686" s="33"/>
      <c r="I2686" s="33"/>
      <c r="J2686" s="33"/>
      <c r="K2686" s="33"/>
      <c r="L2686" s="33"/>
      <c r="M2686" s="33"/>
      <c r="N2686" s="33"/>
      <c r="O2686" s="33"/>
      <c r="P2686" s="33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  <c r="AB2686" s="33"/>
      <c r="AC2686" s="33"/>
      <c r="AD2686" s="33"/>
      <c r="AE2686" s="33"/>
      <c r="AF2686" s="33"/>
      <c r="AG2686" s="33"/>
      <c r="AH2686" s="33"/>
      <c r="AI2686" s="33"/>
      <c r="AJ2686" s="33"/>
      <c r="AK2686" s="33"/>
    </row>
    <row r="2687">
      <c r="A2687" s="33"/>
      <c r="B2687" s="33"/>
      <c r="C2687" s="33"/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  <c r="AB2687" s="33"/>
      <c r="AC2687" s="33"/>
      <c r="AD2687" s="33"/>
      <c r="AE2687" s="33"/>
      <c r="AF2687" s="33"/>
      <c r="AG2687" s="33"/>
      <c r="AH2687" s="33"/>
      <c r="AI2687" s="33"/>
      <c r="AJ2687" s="33"/>
      <c r="AK2687" s="33"/>
    </row>
    <row r="2688">
      <c r="A2688" s="33"/>
      <c r="B2688" s="33"/>
      <c r="C2688" s="33"/>
      <c r="D2688" s="33"/>
      <c r="E2688" s="33"/>
      <c r="F2688" s="33"/>
      <c r="G2688" s="33"/>
      <c r="H2688" s="33"/>
      <c r="I2688" s="33"/>
      <c r="J2688" s="33"/>
      <c r="K2688" s="33"/>
      <c r="L2688" s="33"/>
      <c r="M2688" s="33"/>
      <c r="N2688" s="33"/>
      <c r="O2688" s="33"/>
      <c r="P2688" s="33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  <c r="AB2688" s="33"/>
      <c r="AC2688" s="33"/>
      <c r="AD2688" s="33"/>
      <c r="AE2688" s="33"/>
      <c r="AF2688" s="33"/>
      <c r="AG2688" s="33"/>
      <c r="AH2688" s="33"/>
      <c r="AI2688" s="33"/>
      <c r="AJ2688" s="33"/>
      <c r="AK2688" s="33"/>
    </row>
    <row r="2689">
      <c r="A2689" s="33"/>
      <c r="B2689" s="33"/>
      <c r="C2689" s="33"/>
      <c r="D2689" s="33"/>
      <c r="E2689" s="33"/>
      <c r="F2689" s="33"/>
      <c r="G2689" s="33"/>
      <c r="H2689" s="33"/>
      <c r="I2689" s="33"/>
      <c r="J2689" s="33"/>
      <c r="K2689" s="33"/>
      <c r="L2689" s="33"/>
      <c r="M2689" s="33"/>
      <c r="N2689" s="33"/>
      <c r="O2689" s="33"/>
      <c r="P2689" s="33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  <c r="AB2689" s="33"/>
      <c r="AC2689" s="33"/>
      <c r="AD2689" s="33"/>
      <c r="AE2689" s="33"/>
      <c r="AF2689" s="33"/>
      <c r="AG2689" s="33"/>
      <c r="AH2689" s="33"/>
      <c r="AI2689" s="33"/>
      <c r="AJ2689" s="33"/>
      <c r="AK2689" s="33"/>
    </row>
    <row r="2690">
      <c r="A2690" s="33"/>
      <c r="B2690" s="33"/>
      <c r="C2690" s="33"/>
      <c r="D2690" s="33"/>
      <c r="E2690" s="33"/>
      <c r="F2690" s="33"/>
      <c r="G2690" s="33"/>
      <c r="H2690" s="33"/>
      <c r="I2690" s="33"/>
      <c r="J2690" s="33"/>
      <c r="K2690" s="33"/>
      <c r="L2690" s="33"/>
      <c r="M2690" s="33"/>
      <c r="N2690" s="33"/>
      <c r="O2690" s="33"/>
      <c r="P2690" s="33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  <c r="AB2690" s="33"/>
      <c r="AC2690" s="33"/>
      <c r="AD2690" s="33"/>
      <c r="AE2690" s="33"/>
      <c r="AF2690" s="33"/>
      <c r="AG2690" s="33"/>
      <c r="AH2690" s="33"/>
      <c r="AI2690" s="33"/>
      <c r="AJ2690" s="33"/>
      <c r="AK2690" s="33"/>
    </row>
    <row r="2691">
      <c r="A2691" s="33"/>
      <c r="B2691" s="33"/>
      <c r="C2691" s="33"/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  <c r="AB2691" s="33"/>
      <c r="AC2691" s="33"/>
      <c r="AD2691" s="33"/>
      <c r="AE2691" s="33"/>
      <c r="AF2691" s="33"/>
      <c r="AG2691" s="33"/>
      <c r="AH2691" s="33"/>
      <c r="AI2691" s="33"/>
      <c r="AJ2691" s="33"/>
      <c r="AK2691" s="33"/>
    </row>
    <row r="2692">
      <c r="A2692" s="33"/>
      <c r="B2692" s="33"/>
      <c r="C2692" s="33"/>
      <c r="D2692" s="33"/>
      <c r="E2692" s="33"/>
      <c r="F2692" s="33"/>
      <c r="G2692" s="33"/>
      <c r="H2692" s="33"/>
      <c r="I2692" s="33"/>
      <c r="J2692" s="33"/>
      <c r="K2692" s="33"/>
      <c r="L2692" s="33"/>
      <c r="M2692" s="33"/>
      <c r="N2692" s="33"/>
      <c r="O2692" s="33"/>
      <c r="P2692" s="33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  <c r="AB2692" s="33"/>
      <c r="AC2692" s="33"/>
      <c r="AD2692" s="33"/>
      <c r="AE2692" s="33"/>
      <c r="AF2692" s="33"/>
      <c r="AG2692" s="33"/>
      <c r="AH2692" s="33"/>
      <c r="AI2692" s="33"/>
      <c r="AJ2692" s="33"/>
      <c r="AK2692" s="33"/>
    </row>
    <row r="2693">
      <c r="A2693" s="33"/>
      <c r="B2693" s="33"/>
      <c r="C2693" s="33"/>
      <c r="D2693" s="33"/>
      <c r="E2693" s="33"/>
      <c r="F2693" s="33"/>
      <c r="G2693" s="33"/>
      <c r="H2693" s="33"/>
      <c r="I2693" s="33"/>
      <c r="J2693" s="33"/>
      <c r="K2693" s="33"/>
      <c r="L2693" s="33"/>
      <c r="M2693" s="33"/>
      <c r="N2693" s="33"/>
      <c r="O2693" s="33"/>
      <c r="P2693" s="33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  <c r="AB2693" s="33"/>
      <c r="AC2693" s="33"/>
      <c r="AD2693" s="33"/>
      <c r="AE2693" s="33"/>
      <c r="AF2693" s="33"/>
      <c r="AG2693" s="33"/>
      <c r="AH2693" s="33"/>
      <c r="AI2693" s="33"/>
      <c r="AJ2693" s="33"/>
      <c r="AK2693" s="33"/>
    </row>
    <row r="2694">
      <c r="A2694" s="33"/>
      <c r="B2694" s="33"/>
      <c r="C2694" s="33"/>
      <c r="D2694" s="33"/>
      <c r="E2694" s="33"/>
      <c r="F2694" s="33"/>
      <c r="G2694" s="33"/>
      <c r="H2694" s="33"/>
      <c r="I2694" s="33"/>
      <c r="J2694" s="33"/>
      <c r="K2694" s="33"/>
      <c r="L2694" s="33"/>
      <c r="M2694" s="33"/>
      <c r="N2694" s="33"/>
      <c r="O2694" s="33"/>
      <c r="P2694" s="33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  <c r="AB2694" s="33"/>
      <c r="AC2694" s="33"/>
      <c r="AD2694" s="33"/>
      <c r="AE2694" s="33"/>
      <c r="AF2694" s="33"/>
      <c r="AG2694" s="33"/>
      <c r="AH2694" s="33"/>
      <c r="AI2694" s="33"/>
      <c r="AJ2694" s="33"/>
      <c r="AK2694" s="33"/>
    </row>
    <row r="2695">
      <c r="A2695" s="33"/>
      <c r="B2695" s="33"/>
      <c r="C2695" s="33"/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  <c r="AB2695" s="33"/>
      <c r="AC2695" s="33"/>
      <c r="AD2695" s="33"/>
      <c r="AE2695" s="33"/>
      <c r="AF2695" s="33"/>
      <c r="AG2695" s="33"/>
      <c r="AH2695" s="33"/>
      <c r="AI2695" s="33"/>
      <c r="AJ2695" s="33"/>
      <c r="AK2695" s="33"/>
    </row>
    <row r="2696">
      <c r="A2696" s="33"/>
      <c r="B2696" s="33"/>
      <c r="C2696" s="33"/>
      <c r="D2696" s="33"/>
      <c r="E2696" s="33"/>
      <c r="F2696" s="33"/>
      <c r="G2696" s="33"/>
      <c r="H2696" s="33"/>
      <c r="I2696" s="33"/>
      <c r="J2696" s="33"/>
      <c r="K2696" s="33"/>
      <c r="L2696" s="33"/>
      <c r="M2696" s="33"/>
      <c r="N2696" s="33"/>
      <c r="O2696" s="33"/>
      <c r="P2696" s="33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  <c r="AB2696" s="33"/>
      <c r="AC2696" s="33"/>
      <c r="AD2696" s="33"/>
      <c r="AE2696" s="33"/>
      <c r="AF2696" s="33"/>
      <c r="AG2696" s="33"/>
      <c r="AH2696" s="33"/>
      <c r="AI2696" s="33"/>
      <c r="AJ2696" s="33"/>
      <c r="AK2696" s="33"/>
    </row>
    <row r="2697">
      <c r="A2697" s="33"/>
      <c r="B2697" s="33"/>
      <c r="C2697" s="33"/>
      <c r="D2697" s="33"/>
      <c r="E2697" s="33"/>
      <c r="F2697" s="33"/>
      <c r="G2697" s="33"/>
      <c r="H2697" s="33"/>
      <c r="I2697" s="33"/>
      <c r="J2697" s="33"/>
      <c r="K2697" s="33"/>
      <c r="L2697" s="33"/>
      <c r="M2697" s="33"/>
      <c r="N2697" s="33"/>
      <c r="O2697" s="33"/>
      <c r="P2697" s="33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  <c r="AB2697" s="33"/>
      <c r="AC2697" s="33"/>
      <c r="AD2697" s="33"/>
      <c r="AE2697" s="33"/>
      <c r="AF2697" s="33"/>
      <c r="AG2697" s="33"/>
      <c r="AH2697" s="33"/>
      <c r="AI2697" s="33"/>
      <c r="AJ2697" s="33"/>
      <c r="AK2697" s="33"/>
    </row>
    <row r="2698">
      <c r="A2698" s="33"/>
      <c r="B2698" s="33"/>
      <c r="C2698" s="33"/>
      <c r="D2698" s="33"/>
      <c r="E2698" s="33"/>
      <c r="F2698" s="33"/>
      <c r="G2698" s="33"/>
      <c r="H2698" s="33"/>
      <c r="I2698" s="33"/>
      <c r="J2698" s="33"/>
      <c r="K2698" s="33"/>
      <c r="L2698" s="33"/>
      <c r="M2698" s="33"/>
      <c r="N2698" s="33"/>
      <c r="O2698" s="33"/>
      <c r="P2698" s="33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  <c r="AB2698" s="33"/>
      <c r="AC2698" s="33"/>
      <c r="AD2698" s="33"/>
      <c r="AE2698" s="33"/>
      <c r="AF2698" s="33"/>
      <c r="AG2698" s="33"/>
      <c r="AH2698" s="33"/>
      <c r="AI2698" s="33"/>
      <c r="AJ2698" s="33"/>
      <c r="AK2698" s="33"/>
    </row>
    <row r="2699">
      <c r="A2699" s="33"/>
      <c r="B2699" s="33"/>
      <c r="C2699" s="33"/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  <c r="AB2699" s="33"/>
      <c r="AC2699" s="33"/>
      <c r="AD2699" s="33"/>
      <c r="AE2699" s="33"/>
      <c r="AF2699" s="33"/>
      <c r="AG2699" s="33"/>
      <c r="AH2699" s="33"/>
      <c r="AI2699" s="33"/>
      <c r="AJ2699" s="33"/>
      <c r="AK2699" s="33"/>
    </row>
    <row r="2700">
      <c r="A2700" s="33"/>
      <c r="B2700" s="33"/>
      <c r="C2700" s="33"/>
      <c r="D2700" s="33"/>
      <c r="E2700" s="33"/>
      <c r="F2700" s="33"/>
      <c r="G2700" s="33"/>
      <c r="H2700" s="33"/>
      <c r="I2700" s="33"/>
      <c r="J2700" s="33"/>
      <c r="K2700" s="33"/>
      <c r="L2700" s="33"/>
      <c r="M2700" s="33"/>
      <c r="N2700" s="33"/>
      <c r="O2700" s="33"/>
      <c r="P2700" s="33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  <c r="AB2700" s="33"/>
      <c r="AC2700" s="33"/>
      <c r="AD2700" s="33"/>
      <c r="AE2700" s="33"/>
      <c r="AF2700" s="33"/>
      <c r="AG2700" s="33"/>
      <c r="AH2700" s="33"/>
      <c r="AI2700" s="33"/>
      <c r="AJ2700" s="33"/>
      <c r="AK2700" s="33"/>
    </row>
    <row r="2701">
      <c r="A2701" s="33"/>
      <c r="B2701" s="33"/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  <c r="P2701" s="33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  <c r="AB2701" s="33"/>
      <c r="AC2701" s="33"/>
      <c r="AD2701" s="33"/>
      <c r="AE2701" s="33"/>
      <c r="AF2701" s="33"/>
      <c r="AG2701" s="33"/>
      <c r="AH2701" s="33"/>
      <c r="AI2701" s="33"/>
      <c r="AJ2701" s="33"/>
      <c r="AK2701" s="33"/>
    </row>
    <row r="2702">
      <c r="A2702" s="33"/>
      <c r="B2702" s="33"/>
      <c r="C2702" s="33"/>
      <c r="D2702" s="33"/>
      <c r="E2702" s="33"/>
      <c r="F2702" s="33"/>
      <c r="G2702" s="33"/>
      <c r="H2702" s="33"/>
      <c r="I2702" s="33"/>
      <c r="J2702" s="33"/>
      <c r="K2702" s="33"/>
      <c r="L2702" s="33"/>
      <c r="M2702" s="33"/>
      <c r="N2702" s="33"/>
      <c r="O2702" s="33"/>
      <c r="P2702" s="33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  <c r="AB2702" s="33"/>
      <c r="AC2702" s="33"/>
      <c r="AD2702" s="33"/>
      <c r="AE2702" s="33"/>
      <c r="AF2702" s="33"/>
      <c r="AG2702" s="33"/>
      <c r="AH2702" s="33"/>
      <c r="AI2702" s="33"/>
      <c r="AJ2702" s="33"/>
      <c r="AK2702" s="33"/>
    </row>
    <row r="2703">
      <c r="A2703" s="33"/>
      <c r="B2703" s="33"/>
      <c r="C2703" s="33"/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  <c r="AB2703" s="33"/>
      <c r="AC2703" s="33"/>
      <c r="AD2703" s="33"/>
      <c r="AE2703" s="33"/>
      <c r="AF2703" s="33"/>
      <c r="AG2703" s="33"/>
      <c r="AH2703" s="33"/>
      <c r="AI2703" s="33"/>
      <c r="AJ2703" s="33"/>
      <c r="AK2703" s="33"/>
    </row>
    <row r="2704">
      <c r="A2704" s="33"/>
      <c r="B2704" s="33"/>
      <c r="C2704" s="33"/>
      <c r="D2704" s="33"/>
      <c r="E2704" s="33"/>
      <c r="F2704" s="33"/>
      <c r="G2704" s="33"/>
      <c r="H2704" s="33"/>
      <c r="I2704" s="33"/>
      <c r="J2704" s="33"/>
      <c r="K2704" s="33"/>
      <c r="L2704" s="33"/>
      <c r="M2704" s="33"/>
      <c r="N2704" s="33"/>
      <c r="O2704" s="33"/>
      <c r="P2704" s="33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  <c r="AB2704" s="33"/>
      <c r="AC2704" s="33"/>
      <c r="AD2704" s="33"/>
      <c r="AE2704" s="33"/>
      <c r="AF2704" s="33"/>
      <c r="AG2704" s="33"/>
      <c r="AH2704" s="33"/>
      <c r="AI2704" s="33"/>
      <c r="AJ2704" s="33"/>
      <c r="AK2704" s="33"/>
    </row>
    <row r="2705">
      <c r="A2705" s="33"/>
      <c r="B2705" s="33"/>
      <c r="C2705" s="33"/>
      <c r="D2705" s="33"/>
      <c r="E2705" s="33"/>
      <c r="F2705" s="33"/>
      <c r="G2705" s="33"/>
      <c r="H2705" s="33"/>
      <c r="I2705" s="33"/>
      <c r="J2705" s="33"/>
      <c r="K2705" s="33"/>
      <c r="L2705" s="33"/>
      <c r="M2705" s="33"/>
      <c r="N2705" s="33"/>
      <c r="O2705" s="33"/>
      <c r="P2705" s="33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  <c r="AB2705" s="33"/>
      <c r="AC2705" s="33"/>
      <c r="AD2705" s="33"/>
      <c r="AE2705" s="33"/>
      <c r="AF2705" s="33"/>
      <c r="AG2705" s="33"/>
      <c r="AH2705" s="33"/>
      <c r="AI2705" s="33"/>
      <c r="AJ2705" s="33"/>
      <c r="AK2705" s="33"/>
    </row>
    <row r="2706">
      <c r="A2706" s="33"/>
      <c r="B2706" s="33"/>
      <c r="C2706" s="33"/>
      <c r="D2706" s="33"/>
      <c r="E2706" s="33"/>
      <c r="F2706" s="33"/>
      <c r="G2706" s="33"/>
      <c r="H2706" s="33"/>
      <c r="I2706" s="33"/>
      <c r="J2706" s="33"/>
      <c r="K2706" s="33"/>
      <c r="L2706" s="33"/>
      <c r="M2706" s="33"/>
      <c r="N2706" s="33"/>
      <c r="O2706" s="33"/>
      <c r="P2706" s="33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  <c r="AB2706" s="33"/>
      <c r="AC2706" s="33"/>
      <c r="AD2706" s="33"/>
      <c r="AE2706" s="33"/>
      <c r="AF2706" s="33"/>
      <c r="AG2706" s="33"/>
      <c r="AH2706" s="33"/>
      <c r="AI2706" s="33"/>
      <c r="AJ2706" s="33"/>
      <c r="AK2706" s="33"/>
    </row>
    <row r="2707">
      <c r="A2707" s="33"/>
      <c r="B2707" s="33"/>
      <c r="C2707" s="33"/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  <c r="AB2707" s="33"/>
      <c r="AC2707" s="33"/>
      <c r="AD2707" s="33"/>
      <c r="AE2707" s="33"/>
      <c r="AF2707" s="33"/>
      <c r="AG2707" s="33"/>
      <c r="AH2707" s="33"/>
      <c r="AI2707" s="33"/>
      <c r="AJ2707" s="33"/>
      <c r="AK2707" s="33"/>
    </row>
    <row r="2708">
      <c r="A2708" s="33"/>
      <c r="B2708" s="33"/>
      <c r="C2708" s="33"/>
      <c r="D2708" s="33"/>
      <c r="E2708" s="33"/>
      <c r="F2708" s="33"/>
      <c r="G2708" s="33"/>
      <c r="H2708" s="33"/>
      <c r="I2708" s="33"/>
      <c r="J2708" s="33"/>
      <c r="K2708" s="33"/>
      <c r="L2708" s="33"/>
      <c r="M2708" s="33"/>
      <c r="N2708" s="33"/>
      <c r="O2708" s="33"/>
      <c r="P2708" s="33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  <c r="AB2708" s="33"/>
      <c r="AC2708" s="33"/>
      <c r="AD2708" s="33"/>
      <c r="AE2708" s="33"/>
      <c r="AF2708" s="33"/>
      <c r="AG2708" s="33"/>
      <c r="AH2708" s="33"/>
      <c r="AI2708" s="33"/>
      <c r="AJ2708" s="33"/>
      <c r="AK2708" s="33"/>
    </row>
    <row r="2709">
      <c r="A2709" s="33"/>
      <c r="B2709" s="33"/>
      <c r="C2709" s="33"/>
      <c r="D2709" s="33"/>
      <c r="E2709" s="33"/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  <c r="AB2709" s="33"/>
      <c r="AC2709" s="33"/>
      <c r="AD2709" s="33"/>
      <c r="AE2709" s="33"/>
      <c r="AF2709" s="33"/>
      <c r="AG2709" s="33"/>
      <c r="AH2709" s="33"/>
      <c r="AI2709" s="33"/>
      <c r="AJ2709" s="33"/>
      <c r="AK2709" s="33"/>
    </row>
    <row r="2710">
      <c r="A2710" s="33"/>
      <c r="B2710" s="33"/>
      <c r="C2710" s="33"/>
      <c r="D2710" s="33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33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  <c r="AB2710" s="33"/>
      <c r="AC2710" s="33"/>
      <c r="AD2710" s="33"/>
      <c r="AE2710" s="33"/>
      <c r="AF2710" s="33"/>
      <c r="AG2710" s="33"/>
      <c r="AH2710" s="33"/>
      <c r="AI2710" s="33"/>
      <c r="AJ2710" s="33"/>
      <c r="AK2710" s="33"/>
    </row>
    <row r="2711">
      <c r="A2711" s="33"/>
      <c r="B2711" s="33"/>
      <c r="C2711" s="33"/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  <c r="AB2711" s="33"/>
      <c r="AC2711" s="33"/>
      <c r="AD2711" s="33"/>
      <c r="AE2711" s="33"/>
      <c r="AF2711" s="33"/>
      <c r="AG2711" s="33"/>
      <c r="AH2711" s="33"/>
      <c r="AI2711" s="33"/>
      <c r="AJ2711" s="33"/>
      <c r="AK2711" s="33"/>
    </row>
    <row r="2712">
      <c r="A2712" s="33"/>
      <c r="B2712" s="33"/>
      <c r="C2712" s="33"/>
      <c r="D2712" s="33"/>
      <c r="E2712" s="33"/>
      <c r="F2712" s="33"/>
      <c r="G2712" s="33"/>
      <c r="H2712" s="33"/>
      <c r="I2712" s="33"/>
      <c r="J2712" s="33"/>
      <c r="K2712" s="33"/>
      <c r="L2712" s="33"/>
      <c r="M2712" s="33"/>
      <c r="N2712" s="33"/>
      <c r="O2712" s="33"/>
      <c r="P2712" s="33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  <c r="AB2712" s="33"/>
      <c r="AC2712" s="33"/>
      <c r="AD2712" s="33"/>
      <c r="AE2712" s="33"/>
      <c r="AF2712" s="33"/>
      <c r="AG2712" s="33"/>
      <c r="AH2712" s="33"/>
      <c r="AI2712" s="33"/>
      <c r="AJ2712" s="33"/>
      <c r="AK2712" s="33"/>
    </row>
    <row r="2713">
      <c r="A2713" s="33"/>
      <c r="B2713" s="33"/>
      <c r="C2713" s="33"/>
      <c r="D2713" s="33"/>
      <c r="E2713" s="33"/>
      <c r="F2713" s="33"/>
      <c r="G2713" s="33"/>
      <c r="H2713" s="33"/>
      <c r="I2713" s="33"/>
      <c r="J2713" s="33"/>
      <c r="K2713" s="33"/>
      <c r="L2713" s="33"/>
      <c r="M2713" s="33"/>
      <c r="N2713" s="33"/>
      <c r="O2713" s="33"/>
      <c r="P2713" s="33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  <c r="AB2713" s="33"/>
      <c r="AC2713" s="33"/>
      <c r="AD2713" s="33"/>
      <c r="AE2713" s="33"/>
      <c r="AF2713" s="33"/>
      <c r="AG2713" s="33"/>
      <c r="AH2713" s="33"/>
      <c r="AI2713" s="33"/>
      <c r="AJ2713" s="33"/>
      <c r="AK2713" s="33"/>
    </row>
    <row r="2714">
      <c r="A2714" s="33"/>
      <c r="B2714" s="33"/>
      <c r="C2714" s="33"/>
      <c r="D2714" s="33"/>
      <c r="E2714" s="33"/>
      <c r="F2714" s="33"/>
      <c r="G2714" s="33"/>
      <c r="H2714" s="33"/>
      <c r="I2714" s="33"/>
      <c r="J2714" s="33"/>
      <c r="K2714" s="33"/>
      <c r="L2714" s="33"/>
      <c r="M2714" s="33"/>
      <c r="N2714" s="33"/>
      <c r="O2714" s="33"/>
      <c r="P2714" s="33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  <c r="AB2714" s="33"/>
      <c r="AC2714" s="33"/>
      <c r="AD2714" s="33"/>
      <c r="AE2714" s="33"/>
      <c r="AF2714" s="33"/>
      <c r="AG2714" s="33"/>
      <c r="AH2714" s="33"/>
      <c r="AI2714" s="33"/>
      <c r="AJ2714" s="33"/>
      <c r="AK2714" s="33"/>
    </row>
    <row r="2715">
      <c r="A2715" s="33"/>
      <c r="B2715" s="33"/>
      <c r="C2715" s="33"/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  <c r="AB2715" s="33"/>
      <c r="AC2715" s="33"/>
      <c r="AD2715" s="33"/>
      <c r="AE2715" s="33"/>
      <c r="AF2715" s="33"/>
      <c r="AG2715" s="33"/>
      <c r="AH2715" s="33"/>
      <c r="AI2715" s="33"/>
      <c r="AJ2715" s="33"/>
      <c r="AK2715" s="33"/>
    </row>
    <row r="2716">
      <c r="A2716" s="33"/>
      <c r="B2716" s="33"/>
      <c r="C2716" s="33"/>
      <c r="D2716" s="33"/>
      <c r="E2716" s="33"/>
      <c r="F2716" s="33"/>
      <c r="G2716" s="33"/>
      <c r="H2716" s="33"/>
      <c r="I2716" s="33"/>
      <c r="J2716" s="33"/>
      <c r="K2716" s="33"/>
      <c r="L2716" s="33"/>
      <c r="M2716" s="33"/>
      <c r="N2716" s="33"/>
      <c r="O2716" s="33"/>
      <c r="P2716" s="33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  <c r="AB2716" s="33"/>
      <c r="AC2716" s="33"/>
      <c r="AD2716" s="33"/>
      <c r="AE2716" s="33"/>
      <c r="AF2716" s="33"/>
      <c r="AG2716" s="33"/>
      <c r="AH2716" s="33"/>
      <c r="AI2716" s="33"/>
      <c r="AJ2716" s="33"/>
      <c r="AK2716" s="33"/>
    </row>
    <row r="2717">
      <c r="A2717" s="33"/>
      <c r="B2717" s="33"/>
      <c r="C2717" s="33"/>
      <c r="D2717" s="33"/>
      <c r="E2717" s="33"/>
      <c r="F2717" s="33"/>
      <c r="G2717" s="33"/>
      <c r="H2717" s="33"/>
      <c r="I2717" s="33"/>
      <c r="J2717" s="33"/>
      <c r="K2717" s="33"/>
      <c r="L2717" s="33"/>
      <c r="M2717" s="33"/>
      <c r="N2717" s="33"/>
      <c r="O2717" s="33"/>
      <c r="P2717" s="33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  <c r="AB2717" s="33"/>
      <c r="AC2717" s="33"/>
      <c r="AD2717" s="33"/>
      <c r="AE2717" s="33"/>
      <c r="AF2717" s="33"/>
      <c r="AG2717" s="33"/>
      <c r="AH2717" s="33"/>
      <c r="AI2717" s="33"/>
      <c r="AJ2717" s="33"/>
      <c r="AK2717" s="33"/>
    </row>
    <row r="2718">
      <c r="A2718" s="33"/>
      <c r="B2718" s="33"/>
      <c r="C2718" s="33"/>
      <c r="D2718" s="33"/>
      <c r="E2718" s="33"/>
      <c r="F2718" s="33"/>
      <c r="G2718" s="33"/>
      <c r="H2718" s="33"/>
      <c r="I2718" s="33"/>
      <c r="J2718" s="33"/>
      <c r="K2718" s="33"/>
      <c r="L2718" s="33"/>
      <c r="M2718" s="33"/>
      <c r="N2718" s="33"/>
      <c r="O2718" s="33"/>
      <c r="P2718" s="33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  <c r="AB2718" s="33"/>
      <c r="AC2718" s="33"/>
      <c r="AD2718" s="33"/>
      <c r="AE2718" s="33"/>
      <c r="AF2718" s="33"/>
      <c r="AG2718" s="33"/>
      <c r="AH2718" s="33"/>
      <c r="AI2718" s="33"/>
      <c r="AJ2718" s="33"/>
      <c r="AK2718" s="33"/>
    </row>
    <row r="2719">
      <c r="A2719" s="33"/>
      <c r="B2719" s="33"/>
      <c r="C2719" s="33"/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  <c r="AB2719" s="33"/>
      <c r="AC2719" s="33"/>
      <c r="AD2719" s="33"/>
      <c r="AE2719" s="33"/>
      <c r="AF2719" s="33"/>
      <c r="AG2719" s="33"/>
      <c r="AH2719" s="33"/>
      <c r="AI2719" s="33"/>
      <c r="AJ2719" s="33"/>
      <c r="AK2719" s="33"/>
    </row>
    <row r="2720">
      <c r="A2720" s="33"/>
      <c r="B2720" s="33"/>
      <c r="C2720" s="33"/>
      <c r="D2720" s="33"/>
      <c r="E2720" s="33"/>
      <c r="F2720" s="33"/>
      <c r="G2720" s="33"/>
      <c r="H2720" s="33"/>
      <c r="I2720" s="33"/>
      <c r="J2720" s="33"/>
      <c r="K2720" s="33"/>
      <c r="L2720" s="33"/>
      <c r="M2720" s="33"/>
      <c r="N2720" s="33"/>
      <c r="O2720" s="33"/>
      <c r="P2720" s="33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  <c r="AB2720" s="33"/>
      <c r="AC2720" s="33"/>
      <c r="AD2720" s="33"/>
      <c r="AE2720" s="33"/>
      <c r="AF2720" s="33"/>
      <c r="AG2720" s="33"/>
      <c r="AH2720" s="33"/>
      <c r="AI2720" s="33"/>
      <c r="AJ2720" s="33"/>
      <c r="AK2720" s="33"/>
    </row>
    <row r="2721">
      <c r="A2721" s="33"/>
      <c r="B2721" s="33"/>
      <c r="C2721" s="33"/>
      <c r="D2721" s="33"/>
      <c r="E2721" s="33"/>
      <c r="F2721" s="33"/>
      <c r="G2721" s="33"/>
      <c r="H2721" s="33"/>
      <c r="I2721" s="33"/>
      <c r="J2721" s="33"/>
      <c r="K2721" s="33"/>
      <c r="L2721" s="33"/>
      <c r="M2721" s="33"/>
      <c r="N2721" s="33"/>
      <c r="O2721" s="33"/>
      <c r="P2721" s="33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  <c r="AB2721" s="33"/>
      <c r="AC2721" s="33"/>
      <c r="AD2721" s="33"/>
      <c r="AE2721" s="33"/>
      <c r="AF2721" s="33"/>
      <c r="AG2721" s="33"/>
      <c r="AH2721" s="33"/>
      <c r="AI2721" s="33"/>
      <c r="AJ2721" s="33"/>
      <c r="AK2721" s="33"/>
    </row>
    <row r="2722">
      <c r="A2722" s="33"/>
      <c r="B2722" s="33"/>
      <c r="C2722" s="33"/>
      <c r="D2722" s="33"/>
      <c r="E2722" s="33"/>
      <c r="F2722" s="33"/>
      <c r="G2722" s="33"/>
      <c r="H2722" s="33"/>
      <c r="I2722" s="33"/>
      <c r="J2722" s="33"/>
      <c r="K2722" s="33"/>
      <c r="L2722" s="33"/>
      <c r="M2722" s="33"/>
      <c r="N2722" s="33"/>
      <c r="O2722" s="33"/>
      <c r="P2722" s="33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  <c r="AB2722" s="33"/>
      <c r="AC2722" s="33"/>
      <c r="AD2722" s="33"/>
      <c r="AE2722" s="33"/>
      <c r="AF2722" s="33"/>
      <c r="AG2722" s="33"/>
      <c r="AH2722" s="33"/>
      <c r="AI2722" s="33"/>
      <c r="AJ2722" s="33"/>
      <c r="AK2722" s="33"/>
    </row>
    <row r="2723">
      <c r="A2723" s="33"/>
      <c r="B2723" s="33"/>
      <c r="C2723" s="33"/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  <c r="AB2723" s="33"/>
      <c r="AC2723" s="33"/>
      <c r="AD2723" s="33"/>
      <c r="AE2723" s="33"/>
      <c r="AF2723" s="33"/>
      <c r="AG2723" s="33"/>
      <c r="AH2723" s="33"/>
      <c r="AI2723" s="33"/>
      <c r="AJ2723" s="33"/>
      <c r="AK2723" s="33"/>
    </row>
    <row r="2724">
      <c r="A2724" s="33"/>
      <c r="B2724" s="33"/>
      <c r="C2724" s="33"/>
      <c r="D2724" s="33"/>
      <c r="E2724" s="33"/>
      <c r="F2724" s="33"/>
      <c r="G2724" s="33"/>
      <c r="H2724" s="33"/>
      <c r="I2724" s="33"/>
      <c r="J2724" s="33"/>
      <c r="K2724" s="33"/>
      <c r="L2724" s="33"/>
      <c r="M2724" s="33"/>
      <c r="N2724" s="33"/>
      <c r="O2724" s="33"/>
      <c r="P2724" s="33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  <c r="AB2724" s="33"/>
      <c r="AC2724" s="33"/>
      <c r="AD2724" s="33"/>
      <c r="AE2724" s="33"/>
      <c r="AF2724" s="33"/>
      <c r="AG2724" s="33"/>
      <c r="AH2724" s="33"/>
      <c r="AI2724" s="33"/>
      <c r="AJ2724" s="33"/>
      <c r="AK2724" s="33"/>
    </row>
    <row r="2725">
      <c r="A2725" s="33"/>
      <c r="B2725" s="33"/>
      <c r="C2725" s="33"/>
      <c r="D2725" s="33"/>
      <c r="E2725" s="33"/>
      <c r="F2725" s="33"/>
      <c r="G2725" s="33"/>
      <c r="H2725" s="33"/>
      <c r="I2725" s="33"/>
      <c r="J2725" s="33"/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  <c r="AB2725" s="33"/>
      <c r="AC2725" s="33"/>
      <c r="AD2725" s="33"/>
      <c r="AE2725" s="33"/>
      <c r="AF2725" s="33"/>
      <c r="AG2725" s="33"/>
      <c r="AH2725" s="33"/>
      <c r="AI2725" s="33"/>
      <c r="AJ2725" s="33"/>
      <c r="AK2725" s="33"/>
    </row>
    <row r="2726">
      <c r="A2726" s="33"/>
      <c r="B2726" s="33"/>
      <c r="C2726" s="33"/>
      <c r="D2726" s="33"/>
      <c r="E2726" s="33"/>
      <c r="F2726" s="33"/>
      <c r="G2726" s="33"/>
      <c r="H2726" s="33"/>
      <c r="I2726" s="33"/>
      <c r="J2726" s="33"/>
      <c r="K2726" s="33"/>
      <c r="L2726" s="33"/>
      <c r="M2726" s="33"/>
      <c r="N2726" s="33"/>
      <c r="O2726" s="33"/>
      <c r="P2726" s="33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  <c r="AB2726" s="33"/>
      <c r="AC2726" s="33"/>
      <c r="AD2726" s="33"/>
      <c r="AE2726" s="33"/>
      <c r="AF2726" s="33"/>
      <c r="AG2726" s="33"/>
      <c r="AH2726" s="33"/>
      <c r="AI2726" s="33"/>
      <c r="AJ2726" s="33"/>
      <c r="AK2726" s="33"/>
    </row>
    <row r="2727">
      <c r="A2727" s="33"/>
      <c r="B2727" s="33"/>
      <c r="C2727" s="33"/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  <c r="AB2727" s="33"/>
      <c r="AC2727" s="33"/>
      <c r="AD2727" s="33"/>
      <c r="AE2727" s="33"/>
      <c r="AF2727" s="33"/>
      <c r="AG2727" s="33"/>
      <c r="AH2727" s="33"/>
      <c r="AI2727" s="33"/>
      <c r="AJ2727" s="33"/>
      <c r="AK2727" s="33"/>
    </row>
    <row r="2728">
      <c r="A2728" s="33"/>
      <c r="B2728" s="33"/>
      <c r="C2728" s="33"/>
      <c r="D2728" s="33"/>
      <c r="E2728" s="33"/>
      <c r="F2728" s="33"/>
      <c r="G2728" s="33"/>
      <c r="H2728" s="33"/>
      <c r="I2728" s="33"/>
      <c r="J2728" s="33"/>
      <c r="K2728" s="33"/>
      <c r="L2728" s="33"/>
      <c r="M2728" s="33"/>
      <c r="N2728" s="33"/>
      <c r="O2728" s="33"/>
      <c r="P2728" s="33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  <c r="AB2728" s="33"/>
      <c r="AC2728" s="33"/>
      <c r="AD2728" s="33"/>
      <c r="AE2728" s="33"/>
      <c r="AF2728" s="33"/>
      <c r="AG2728" s="33"/>
      <c r="AH2728" s="33"/>
      <c r="AI2728" s="33"/>
      <c r="AJ2728" s="33"/>
      <c r="AK2728" s="33"/>
    </row>
    <row r="2729">
      <c r="A2729" s="33"/>
      <c r="B2729" s="33"/>
      <c r="C2729" s="33"/>
      <c r="D2729" s="33"/>
      <c r="E2729" s="33"/>
      <c r="F2729" s="33"/>
      <c r="G2729" s="33"/>
      <c r="H2729" s="33"/>
      <c r="I2729" s="33"/>
      <c r="J2729" s="33"/>
      <c r="K2729" s="33"/>
      <c r="L2729" s="33"/>
      <c r="M2729" s="33"/>
      <c r="N2729" s="33"/>
      <c r="O2729" s="33"/>
      <c r="P2729" s="33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  <c r="AB2729" s="33"/>
      <c r="AC2729" s="33"/>
      <c r="AD2729" s="33"/>
      <c r="AE2729" s="33"/>
      <c r="AF2729" s="33"/>
      <c r="AG2729" s="33"/>
      <c r="AH2729" s="33"/>
      <c r="AI2729" s="33"/>
      <c r="AJ2729" s="33"/>
      <c r="AK2729" s="33"/>
    </row>
    <row r="2730">
      <c r="A2730" s="33"/>
      <c r="B2730" s="33"/>
      <c r="C2730" s="33"/>
      <c r="D2730" s="33"/>
      <c r="E2730" s="33"/>
      <c r="F2730" s="33"/>
      <c r="G2730" s="33"/>
      <c r="H2730" s="33"/>
      <c r="I2730" s="33"/>
      <c r="J2730" s="33"/>
      <c r="K2730" s="33"/>
      <c r="L2730" s="33"/>
      <c r="M2730" s="33"/>
      <c r="N2730" s="33"/>
      <c r="O2730" s="33"/>
      <c r="P2730" s="33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  <c r="AB2730" s="33"/>
      <c r="AC2730" s="33"/>
      <c r="AD2730" s="33"/>
      <c r="AE2730" s="33"/>
      <c r="AF2730" s="33"/>
      <c r="AG2730" s="33"/>
      <c r="AH2730" s="33"/>
      <c r="AI2730" s="33"/>
      <c r="AJ2730" s="33"/>
      <c r="AK2730" s="33"/>
    </row>
    <row r="2731">
      <c r="A2731" s="33"/>
      <c r="B2731" s="33"/>
      <c r="C2731" s="33"/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  <c r="AB2731" s="33"/>
      <c r="AC2731" s="33"/>
      <c r="AD2731" s="33"/>
      <c r="AE2731" s="33"/>
      <c r="AF2731" s="33"/>
      <c r="AG2731" s="33"/>
      <c r="AH2731" s="33"/>
      <c r="AI2731" s="33"/>
      <c r="AJ2731" s="33"/>
      <c r="AK2731" s="33"/>
    </row>
    <row r="2732">
      <c r="A2732" s="33"/>
      <c r="B2732" s="33"/>
      <c r="C2732" s="33"/>
      <c r="D2732" s="33"/>
      <c r="E2732" s="33"/>
      <c r="F2732" s="33"/>
      <c r="G2732" s="33"/>
      <c r="H2732" s="33"/>
      <c r="I2732" s="33"/>
      <c r="J2732" s="33"/>
      <c r="K2732" s="33"/>
      <c r="L2732" s="33"/>
      <c r="M2732" s="33"/>
      <c r="N2732" s="33"/>
      <c r="O2732" s="33"/>
      <c r="P2732" s="33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</row>
    <row r="2733">
      <c r="A2733" s="33"/>
      <c r="B2733" s="33"/>
      <c r="C2733" s="33"/>
      <c r="D2733" s="33"/>
      <c r="E2733" s="33"/>
      <c r="F2733" s="33"/>
      <c r="G2733" s="33"/>
      <c r="H2733" s="33"/>
      <c r="I2733" s="33"/>
      <c r="J2733" s="33"/>
      <c r="K2733" s="33"/>
      <c r="L2733" s="33"/>
      <c r="M2733" s="33"/>
      <c r="N2733" s="33"/>
      <c r="O2733" s="33"/>
      <c r="P2733" s="33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  <c r="AB2733" s="33"/>
      <c r="AC2733" s="33"/>
      <c r="AD2733" s="33"/>
      <c r="AE2733" s="33"/>
      <c r="AF2733" s="33"/>
      <c r="AG2733" s="33"/>
      <c r="AH2733" s="33"/>
      <c r="AI2733" s="33"/>
      <c r="AJ2733" s="33"/>
      <c r="AK2733" s="33"/>
    </row>
    <row r="2734">
      <c r="A2734" s="33"/>
      <c r="B2734" s="33"/>
      <c r="C2734" s="33"/>
      <c r="D2734" s="33"/>
      <c r="E2734" s="33"/>
      <c r="F2734" s="33"/>
      <c r="G2734" s="33"/>
      <c r="H2734" s="33"/>
      <c r="I2734" s="33"/>
      <c r="J2734" s="33"/>
      <c r="K2734" s="33"/>
      <c r="L2734" s="33"/>
      <c r="M2734" s="33"/>
      <c r="N2734" s="33"/>
      <c r="O2734" s="33"/>
      <c r="P2734" s="33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  <c r="AB2734" s="33"/>
      <c r="AC2734" s="33"/>
      <c r="AD2734" s="33"/>
      <c r="AE2734" s="33"/>
      <c r="AF2734" s="33"/>
      <c r="AG2734" s="33"/>
      <c r="AH2734" s="33"/>
      <c r="AI2734" s="33"/>
      <c r="AJ2734" s="33"/>
      <c r="AK2734" s="33"/>
    </row>
    <row r="2735">
      <c r="A2735" s="33"/>
      <c r="B2735" s="33"/>
      <c r="C2735" s="33"/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  <c r="AB2735" s="33"/>
      <c r="AC2735" s="33"/>
      <c r="AD2735" s="33"/>
      <c r="AE2735" s="33"/>
      <c r="AF2735" s="33"/>
      <c r="AG2735" s="33"/>
      <c r="AH2735" s="33"/>
      <c r="AI2735" s="33"/>
      <c r="AJ2735" s="33"/>
      <c r="AK2735" s="33"/>
    </row>
    <row r="2736">
      <c r="A2736" s="33"/>
      <c r="B2736" s="33"/>
      <c r="C2736" s="33"/>
      <c r="D2736" s="33"/>
      <c r="E2736" s="33"/>
      <c r="F2736" s="33"/>
      <c r="G2736" s="33"/>
      <c r="H2736" s="33"/>
      <c r="I2736" s="33"/>
      <c r="J2736" s="33"/>
      <c r="K2736" s="33"/>
      <c r="L2736" s="33"/>
      <c r="M2736" s="33"/>
      <c r="N2736" s="33"/>
      <c r="O2736" s="33"/>
      <c r="P2736" s="33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  <c r="AB2736" s="33"/>
      <c r="AC2736" s="33"/>
      <c r="AD2736" s="33"/>
      <c r="AE2736" s="33"/>
      <c r="AF2736" s="33"/>
      <c r="AG2736" s="33"/>
      <c r="AH2736" s="33"/>
      <c r="AI2736" s="33"/>
      <c r="AJ2736" s="33"/>
      <c r="AK2736" s="33"/>
    </row>
    <row r="2737">
      <c r="A2737" s="33"/>
      <c r="B2737" s="33"/>
      <c r="C2737" s="33"/>
      <c r="D2737" s="33"/>
      <c r="E2737" s="33"/>
      <c r="F2737" s="33"/>
      <c r="G2737" s="33"/>
      <c r="H2737" s="33"/>
      <c r="I2737" s="33"/>
      <c r="J2737" s="33"/>
      <c r="K2737" s="33"/>
      <c r="L2737" s="33"/>
      <c r="M2737" s="33"/>
      <c r="N2737" s="33"/>
      <c r="O2737" s="33"/>
      <c r="P2737" s="33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  <c r="AB2737" s="33"/>
      <c r="AC2737" s="33"/>
      <c r="AD2737" s="33"/>
      <c r="AE2737" s="33"/>
      <c r="AF2737" s="33"/>
      <c r="AG2737" s="33"/>
      <c r="AH2737" s="33"/>
      <c r="AI2737" s="33"/>
      <c r="AJ2737" s="33"/>
      <c r="AK2737" s="33"/>
    </row>
    <row r="2738">
      <c r="A2738" s="33"/>
      <c r="B2738" s="33"/>
      <c r="C2738" s="33"/>
      <c r="D2738" s="33"/>
      <c r="E2738" s="33"/>
      <c r="F2738" s="33"/>
      <c r="G2738" s="33"/>
      <c r="H2738" s="33"/>
      <c r="I2738" s="33"/>
      <c r="J2738" s="33"/>
      <c r="K2738" s="33"/>
      <c r="L2738" s="33"/>
      <c r="M2738" s="33"/>
      <c r="N2738" s="33"/>
      <c r="O2738" s="33"/>
      <c r="P2738" s="33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  <c r="AB2738" s="33"/>
      <c r="AC2738" s="33"/>
      <c r="AD2738" s="33"/>
      <c r="AE2738" s="33"/>
      <c r="AF2738" s="33"/>
      <c r="AG2738" s="33"/>
      <c r="AH2738" s="33"/>
      <c r="AI2738" s="33"/>
      <c r="AJ2738" s="33"/>
      <c r="AK2738" s="33"/>
    </row>
    <row r="2739">
      <c r="A2739" s="33"/>
      <c r="B2739" s="33"/>
      <c r="C2739" s="33"/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  <c r="AB2739" s="33"/>
      <c r="AC2739" s="33"/>
      <c r="AD2739" s="33"/>
      <c r="AE2739" s="33"/>
      <c r="AF2739" s="33"/>
      <c r="AG2739" s="33"/>
      <c r="AH2739" s="33"/>
      <c r="AI2739" s="33"/>
      <c r="AJ2739" s="33"/>
      <c r="AK2739" s="33"/>
    </row>
    <row r="2740">
      <c r="A2740" s="33"/>
      <c r="B2740" s="33"/>
      <c r="C2740" s="33"/>
      <c r="D2740" s="33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33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  <c r="AB2740" s="33"/>
      <c r="AC2740" s="33"/>
      <c r="AD2740" s="33"/>
      <c r="AE2740" s="33"/>
      <c r="AF2740" s="33"/>
      <c r="AG2740" s="33"/>
      <c r="AH2740" s="33"/>
      <c r="AI2740" s="33"/>
      <c r="AJ2740" s="33"/>
      <c r="AK2740" s="33"/>
    </row>
    <row r="2741">
      <c r="A2741" s="33"/>
      <c r="B2741" s="33"/>
      <c r="C2741" s="33"/>
      <c r="D2741" s="33"/>
      <c r="E2741" s="33"/>
      <c r="F2741" s="33"/>
      <c r="G2741" s="33"/>
      <c r="H2741" s="33"/>
      <c r="I2741" s="33"/>
      <c r="J2741" s="33"/>
      <c r="K2741" s="33"/>
      <c r="L2741" s="33"/>
      <c r="M2741" s="33"/>
      <c r="N2741" s="33"/>
      <c r="O2741" s="33"/>
      <c r="P2741" s="33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  <c r="AB2741" s="33"/>
      <c r="AC2741" s="33"/>
      <c r="AD2741" s="33"/>
      <c r="AE2741" s="33"/>
      <c r="AF2741" s="33"/>
      <c r="AG2741" s="33"/>
      <c r="AH2741" s="33"/>
      <c r="AI2741" s="33"/>
      <c r="AJ2741" s="33"/>
      <c r="AK2741" s="33"/>
    </row>
    <row r="2742">
      <c r="A2742" s="33"/>
      <c r="B2742" s="33"/>
      <c r="C2742" s="33"/>
      <c r="D2742" s="33"/>
      <c r="E2742" s="33"/>
      <c r="F2742" s="33"/>
      <c r="G2742" s="33"/>
      <c r="H2742" s="33"/>
      <c r="I2742" s="33"/>
      <c r="J2742" s="33"/>
      <c r="K2742" s="33"/>
      <c r="L2742" s="33"/>
      <c r="M2742" s="33"/>
      <c r="N2742" s="33"/>
      <c r="O2742" s="33"/>
      <c r="P2742" s="33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  <c r="AB2742" s="33"/>
      <c r="AC2742" s="33"/>
      <c r="AD2742" s="33"/>
      <c r="AE2742" s="33"/>
      <c r="AF2742" s="33"/>
      <c r="AG2742" s="33"/>
      <c r="AH2742" s="33"/>
      <c r="AI2742" s="33"/>
      <c r="AJ2742" s="33"/>
      <c r="AK2742" s="33"/>
    </row>
    <row r="2743">
      <c r="A2743" s="33"/>
      <c r="B2743" s="33"/>
      <c r="C2743" s="33"/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  <c r="AB2743" s="33"/>
      <c r="AC2743" s="33"/>
      <c r="AD2743" s="33"/>
      <c r="AE2743" s="33"/>
      <c r="AF2743" s="33"/>
      <c r="AG2743" s="33"/>
      <c r="AH2743" s="33"/>
      <c r="AI2743" s="33"/>
      <c r="AJ2743" s="33"/>
      <c r="AK2743" s="33"/>
    </row>
    <row r="2744">
      <c r="A2744" s="33"/>
      <c r="B2744" s="33"/>
      <c r="C2744" s="33"/>
      <c r="D2744" s="33"/>
      <c r="E2744" s="33"/>
      <c r="F2744" s="33"/>
      <c r="G2744" s="33"/>
      <c r="H2744" s="33"/>
      <c r="I2744" s="33"/>
      <c r="J2744" s="33"/>
      <c r="K2744" s="33"/>
      <c r="L2744" s="33"/>
      <c r="M2744" s="33"/>
      <c r="N2744" s="33"/>
      <c r="O2744" s="33"/>
      <c r="P2744" s="33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  <c r="AB2744" s="33"/>
      <c r="AC2744" s="33"/>
      <c r="AD2744" s="33"/>
      <c r="AE2744" s="33"/>
      <c r="AF2744" s="33"/>
      <c r="AG2744" s="33"/>
      <c r="AH2744" s="33"/>
      <c r="AI2744" s="33"/>
      <c r="AJ2744" s="33"/>
      <c r="AK2744" s="33"/>
    </row>
    <row r="2745">
      <c r="A2745" s="33"/>
      <c r="B2745" s="33"/>
      <c r="C2745" s="33"/>
      <c r="D2745" s="33"/>
      <c r="E2745" s="33"/>
      <c r="F2745" s="33"/>
      <c r="G2745" s="33"/>
      <c r="H2745" s="33"/>
      <c r="I2745" s="33"/>
      <c r="J2745" s="33"/>
      <c r="K2745" s="33"/>
      <c r="L2745" s="33"/>
      <c r="M2745" s="33"/>
      <c r="N2745" s="33"/>
      <c r="O2745" s="33"/>
      <c r="P2745" s="33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  <c r="AB2745" s="33"/>
      <c r="AC2745" s="33"/>
      <c r="AD2745" s="33"/>
      <c r="AE2745" s="33"/>
      <c r="AF2745" s="33"/>
      <c r="AG2745" s="33"/>
      <c r="AH2745" s="33"/>
      <c r="AI2745" s="33"/>
      <c r="AJ2745" s="33"/>
      <c r="AK2745" s="33"/>
    </row>
    <row r="2746">
      <c r="A2746" s="33"/>
      <c r="B2746" s="33"/>
      <c r="C2746" s="33"/>
      <c r="D2746" s="33"/>
      <c r="E2746" s="33"/>
      <c r="F2746" s="33"/>
      <c r="G2746" s="33"/>
      <c r="H2746" s="33"/>
      <c r="I2746" s="33"/>
      <c r="J2746" s="33"/>
      <c r="K2746" s="33"/>
      <c r="L2746" s="33"/>
      <c r="M2746" s="33"/>
      <c r="N2746" s="33"/>
      <c r="O2746" s="33"/>
      <c r="P2746" s="33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  <c r="AB2746" s="33"/>
      <c r="AC2746" s="33"/>
      <c r="AD2746" s="33"/>
      <c r="AE2746" s="33"/>
      <c r="AF2746" s="33"/>
      <c r="AG2746" s="33"/>
      <c r="AH2746" s="33"/>
      <c r="AI2746" s="33"/>
      <c r="AJ2746" s="33"/>
      <c r="AK2746" s="33"/>
    </row>
    <row r="2747">
      <c r="A2747" s="33"/>
      <c r="B2747" s="33"/>
      <c r="C2747" s="33"/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  <c r="AB2747" s="33"/>
      <c r="AC2747" s="33"/>
      <c r="AD2747" s="33"/>
      <c r="AE2747" s="33"/>
      <c r="AF2747" s="33"/>
      <c r="AG2747" s="33"/>
      <c r="AH2747" s="33"/>
      <c r="AI2747" s="33"/>
      <c r="AJ2747" s="33"/>
      <c r="AK2747" s="33"/>
    </row>
    <row r="2748">
      <c r="A2748" s="33"/>
      <c r="B2748" s="33"/>
      <c r="C2748" s="33"/>
      <c r="D2748" s="33"/>
      <c r="E2748" s="33"/>
      <c r="F2748" s="33"/>
      <c r="G2748" s="33"/>
      <c r="H2748" s="33"/>
      <c r="I2748" s="33"/>
      <c r="J2748" s="33"/>
      <c r="K2748" s="33"/>
      <c r="L2748" s="33"/>
      <c r="M2748" s="33"/>
      <c r="N2748" s="33"/>
      <c r="O2748" s="33"/>
      <c r="P2748" s="33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  <c r="AB2748" s="33"/>
      <c r="AC2748" s="33"/>
      <c r="AD2748" s="33"/>
      <c r="AE2748" s="33"/>
      <c r="AF2748" s="33"/>
      <c r="AG2748" s="33"/>
      <c r="AH2748" s="33"/>
      <c r="AI2748" s="33"/>
      <c r="AJ2748" s="33"/>
      <c r="AK2748" s="33"/>
    </row>
    <row r="2749">
      <c r="A2749" s="33"/>
      <c r="B2749" s="33"/>
      <c r="C2749" s="33"/>
      <c r="D2749" s="33"/>
      <c r="E2749" s="33"/>
      <c r="F2749" s="33"/>
      <c r="G2749" s="33"/>
      <c r="H2749" s="33"/>
      <c r="I2749" s="33"/>
      <c r="J2749" s="33"/>
      <c r="K2749" s="33"/>
      <c r="L2749" s="33"/>
      <c r="M2749" s="33"/>
      <c r="N2749" s="33"/>
      <c r="O2749" s="33"/>
      <c r="P2749" s="33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  <c r="AB2749" s="33"/>
      <c r="AC2749" s="33"/>
      <c r="AD2749" s="33"/>
      <c r="AE2749" s="33"/>
      <c r="AF2749" s="33"/>
      <c r="AG2749" s="33"/>
      <c r="AH2749" s="33"/>
      <c r="AI2749" s="33"/>
      <c r="AJ2749" s="33"/>
      <c r="AK2749" s="33"/>
    </row>
    <row r="2750">
      <c r="A2750" s="33"/>
      <c r="B2750" s="33"/>
      <c r="C2750" s="33"/>
      <c r="D2750" s="33"/>
      <c r="E2750" s="33"/>
      <c r="F2750" s="33"/>
      <c r="G2750" s="33"/>
      <c r="H2750" s="33"/>
      <c r="I2750" s="33"/>
      <c r="J2750" s="33"/>
      <c r="K2750" s="33"/>
      <c r="L2750" s="33"/>
      <c r="M2750" s="33"/>
      <c r="N2750" s="33"/>
      <c r="O2750" s="33"/>
      <c r="P2750" s="33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  <c r="AB2750" s="33"/>
      <c r="AC2750" s="33"/>
      <c r="AD2750" s="33"/>
      <c r="AE2750" s="33"/>
      <c r="AF2750" s="33"/>
      <c r="AG2750" s="33"/>
      <c r="AH2750" s="33"/>
      <c r="AI2750" s="33"/>
      <c r="AJ2750" s="33"/>
      <c r="AK2750" s="33"/>
    </row>
    <row r="2751">
      <c r="A2751" s="33"/>
      <c r="B2751" s="33"/>
      <c r="C2751" s="33"/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  <c r="AB2751" s="33"/>
      <c r="AC2751" s="33"/>
      <c r="AD2751" s="33"/>
      <c r="AE2751" s="33"/>
      <c r="AF2751" s="33"/>
      <c r="AG2751" s="33"/>
      <c r="AH2751" s="33"/>
      <c r="AI2751" s="33"/>
      <c r="AJ2751" s="33"/>
      <c r="AK2751" s="33"/>
    </row>
    <row r="2752">
      <c r="A2752" s="33"/>
      <c r="B2752" s="33"/>
      <c r="C2752" s="33"/>
      <c r="D2752" s="33"/>
      <c r="E2752" s="33"/>
      <c r="F2752" s="33"/>
      <c r="G2752" s="33"/>
      <c r="H2752" s="33"/>
      <c r="I2752" s="33"/>
      <c r="J2752" s="33"/>
      <c r="K2752" s="33"/>
      <c r="L2752" s="33"/>
      <c r="M2752" s="33"/>
      <c r="N2752" s="33"/>
      <c r="O2752" s="33"/>
      <c r="P2752" s="33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  <c r="AB2752" s="33"/>
      <c r="AC2752" s="33"/>
      <c r="AD2752" s="33"/>
      <c r="AE2752" s="33"/>
      <c r="AF2752" s="33"/>
      <c r="AG2752" s="33"/>
      <c r="AH2752" s="33"/>
      <c r="AI2752" s="33"/>
      <c r="AJ2752" s="33"/>
      <c r="AK2752" s="33"/>
    </row>
    <row r="2753">
      <c r="A2753" s="33"/>
      <c r="B2753" s="33"/>
      <c r="C2753" s="33"/>
      <c r="D2753" s="33"/>
      <c r="E2753" s="33"/>
      <c r="F2753" s="33"/>
      <c r="G2753" s="33"/>
      <c r="H2753" s="33"/>
      <c r="I2753" s="33"/>
      <c r="J2753" s="33"/>
      <c r="K2753" s="33"/>
      <c r="L2753" s="33"/>
      <c r="M2753" s="33"/>
      <c r="N2753" s="33"/>
      <c r="O2753" s="33"/>
      <c r="P2753" s="33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  <c r="AB2753" s="33"/>
      <c r="AC2753" s="33"/>
      <c r="AD2753" s="33"/>
      <c r="AE2753" s="33"/>
      <c r="AF2753" s="33"/>
      <c r="AG2753" s="33"/>
      <c r="AH2753" s="33"/>
      <c r="AI2753" s="33"/>
      <c r="AJ2753" s="33"/>
      <c r="AK2753" s="33"/>
    </row>
    <row r="2754">
      <c r="A2754" s="33"/>
      <c r="B2754" s="33"/>
      <c r="C2754" s="33"/>
      <c r="D2754" s="33"/>
      <c r="E2754" s="33"/>
      <c r="F2754" s="33"/>
      <c r="G2754" s="33"/>
      <c r="H2754" s="33"/>
      <c r="I2754" s="33"/>
      <c r="J2754" s="33"/>
      <c r="K2754" s="33"/>
      <c r="L2754" s="33"/>
      <c r="M2754" s="33"/>
      <c r="N2754" s="33"/>
      <c r="O2754" s="33"/>
      <c r="P2754" s="33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  <c r="AB2754" s="33"/>
      <c r="AC2754" s="33"/>
      <c r="AD2754" s="33"/>
      <c r="AE2754" s="33"/>
      <c r="AF2754" s="33"/>
      <c r="AG2754" s="33"/>
      <c r="AH2754" s="33"/>
      <c r="AI2754" s="33"/>
      <c r="AJ2754" s="33"/>
      <c r="AK2754" s="33"/>
    </row>
    <row r="2755">
      <c r="A2755" s="33"/>
      <c r="B2755" s="33"/>
      <c r="C2755" s="33"/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  <c r="AB2755" s="33"/>
      <c r="AC2755" s="33"/>
      <c r="AD2755" s="33"/>
      <c r="AE2755" s="33"/>
      <c r="AF2755" s="33"/>
      <c r="AG2755" s="33"/>
      <c r="AH2755" s="33"/>
      <c r="AI2755" s="33"/>
      <c r="AJ2755" s="33"/>
      <c r="AK2755" s="33"/>
    </row>
    <row r="2756">
      <c r="A2756" s="33"/>
      <c r="B2756" s="33"/>
      <c r="C2756" s="33"/>
      <c r="D2756" s="33"/>
      <c r="E2756" s="33"/>
      <c r="F2756" s="33"/>
      <c r="G2756" s="33"/>
      <c r="H2756" s="33"/>
      <c r="I2756" s="33"/>
      <c r="J2756" s="33"/>
      <c r="K2756" s="33"/>
      <c r="L2756" s="33"/>
      <c r="M2756" s="33"/>
      <c r="N2756" s="33"/>
      <c r="O2756" s="33"/>
      <c r="P2756" s="33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  <c r="AB2756" s="33"/>
      <c r="AC2756" s="33"/>
      <c r="AD2756" s="33"/>
      <c r="AE2756" s="33"/>
      <c r="AF2756" s="33"/>
      <c r="AG2756" s="33"/>
      <c r="AH2756" s="33"/>
      <c r="AI2756" s="33"/>
      <c r="AJ2756" s="33"/>
      <c r="AK2756" s="33"/>
    </row>
    <row r="2757">
      <c r="A2757" s="33"/>
      <c r="B2757" s="33"/>
      <c r="C2757" s="33"/>
      <c r="D2757" s="33"/>
      <c r="E2757" s="33"/>
      <c r="F2757" s="33"/>
      <c r="G2757" s="33"/>
      <c r="H2757" s="33"/>
      <c r="I2757" s="33"/>
      <c r="J2757" s="33"/>
      <c r="K2757" s="33"/>
      <c r="L2757" s="33"/>
      <c r="M2757" s="33"/>
      <c r="N2757" s="33"/>
      <c r="O2757" s="33"/>
      <c r="P2757" s="33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  <c r="AB2757" s="33"/>
      <c r="AC2757" s="33"/>
      <c r="AD2757" s="33"/>
      <c r="AE2757" s="33"/>
      <c r="AF2757" s="33"/>
      <c r="AG2757" s="33"/>
      <c r="AH2757" s="33"/>
      <c r="AI2757" s="33"/>
      <c r="AJ2757" s="33"/>
      <c r="AK2757" s="33"/>
    </row>
    <row r="2758">
      <c r="A2758" s="33"/>
      <c r="B2758" s="33"/>
      <c r="C2758" s="33"/>
      <c r="D2758" s="33"/>
      <c r="E2758" s="33"/>
      <c r="F2758" s="33"/>
      <c r="G2758" s="33"/>
      <c r="H2758" s="33"/>
      <c r="I2758" s="33"/>
      <c r="J2758" s="33"/>
      <c r="K2758" s="33"/>
      <c r="L2758" s="33"/>
      <c r="M2758" s="33"/>
      <c r="N2758" s="33"/>
      <c r="O2758" s="33"/>
      <c r="P2758" s="33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  <c r="AB2758" s="33"/>
      <c r="AC2758" s="33"/>
      <c r="AD2758" s="33"/>
      <c r="AE2758" s="33"/>
      <c r="AF2758" s="33"/>
      <c r="AG2758" s="33"/>
      <c r="AH2758" s="33"/>
      <c r="AI2758" s="33"/>
      <c r="AJ2758" s="33"/>
      <c r="AK2758" s="33"/>
    </row>
    <row r="2759">
      <c r="A2759" s="33"/>
      <c r="B2759" s="33"/>
      <c r="C2759" s="33"/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  <c r="AB2759" s="33"/>
      <c r="AC2759" s="33"/>
      <c r="AD2759" s="33"/>
      <c r="AE2759" s="33"/>
      <c r="AF2759" s="33"/>
      <c r="AG2759" s="33"/>
      <c r="AH2759" s="33"/>
      <c r="AI2759" s="33"/>
      <c r="AJ2759" s="33"/>
      <c r="AK2759" s="33"/>
    </row>
    <row r="2760">
      <c r="A2760" s="33"/>
      <c r="B2760" s="33"/>
      <c r="C2760" s="33"/>
      <c r="D2760" s="33"/>
      <c r="E2760" s="33"/>
      <c r="F2760" s="33"/>
      <c r="G2760" s="33"/>
      <c r="H2760" s="33"/>
      <c r="I2760" s="33"/>
      <c r="J2760" s="33"/>
      <c r="K2760" s="33"/>
      <c r="L2760" s="33"/>
      <c r="M2760" s="33"/>
      <c r="N2760" s="33"/>
      <c r="O2760" s="33"/>
      <c r="P2760" s="33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  <c r="AB2760" s="33"/>
      <c r="AC2760" s="33"/>
      <c r="AD2760" s="33"/>
      <c r="AE2760" s="33"/>
      <c r="AF2760" s="33"/>
      <c r="AG2760" s="33"/>
      <c r="AH2760" s="33"/>
      <c r="AI2760" s="33"/>
      <c r="AJ2760" s="33"/>
      <c r="AK2760" s="33"/>
    </row>
    <row r="2761">
      <c r="A2761" s="33"/>
      <c r="B2761" s="33"/>
      <c r="C2761" s="33"/>
      <c r="D2761" s="33"/>
      <c r="E2761" s="33"/>
      <c r="F2761" s="33"/>
      <c r="G2761" s="33"/>
      <c r="H2761" s="33"/>
      <c r="I2761" s="33"/>
      <c r="J2761" s="33"/>
      <c r="K2761" s="33"/>
      <c r="L2761" s="33"/>
      <c r="M2761" s="33"/>
      <c r="N2761" s="33"/>
      <c r="O2761" s="33"/>
      <c r="P2761" s="33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  <c r="AB2761" s="33"/>
      <c r="AC2761" s="33"/>
      <c r="AD2761" s="33"/>
      <c r="AE2761" s="33"/>
      <c r="AF2761" s="33"/>
      <c r="AG2761" s="33"/>
      <c r="AH2761" s="33"/>
      <c r="AI2761" s="33"/>
      <c r="AJ2761" s="33"/>
      <c r="AK2761" s="33"/>
    </row>
    <row r="2762">
      <c r="A2762" s="33"/>
      <c r="B2762" s="33"/>
      <c r="C2762" s="33"/>
      <c r="D2762" s="33"/>
      <c r="E2762" s="33"/>
      <c r="F2762" s="33"/>
      <c r="G2762" s="33"/>
      <c r="H2762" s="33"/>
      <c r="I2762" s="33"/>
      <c r="J2762" s="33"/>
      <c r="K2762" s="33"/>
      <c r="L2762" s="33"/>
      <c r="M2762" s="33"/>
      <c r="N2762" s="33"/>
      <c r="O2762" s="33"/>
      <c r="P2762" s="33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  <c r="AB2762" s="33"/>
      <c r="AC2762" s="33"/>
      <c r="AD2762" s="33"/>
      <c r="AE2762" s="33"/>
      <c r="AF2762" s="33"/>
      <c r="AG2762" s="33"/>
      <c r="AH2762" s="33"/>
      <c r="AI2762" s="33"/>
      <c r="AJ2762" s="33"/>
      <c r="AK2762" s="33"/>
    </row>
    <row r="2763">
      <c r="A2763" s="33"/>
      <c r="B2763" s="33"/>
      <c r="C2763" s="33"/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  <c r="AB2763" s="33"/>
      <c r="AC2763" s="33"/>
      <c r="AD2763" s="33"/>
      <c r="AE2763" s="33"/>
      <c r="AF2763" s="33"/>
      <c r="AG2763" s="33"/>
      <c r="AH2763" s="33"/>
      <c r="AI2763" s="33"/>
      <c r="AJ2763" s="33"/>
      <c r="AK2763" s="33"/>
    </row>
    <row r="2764">
      <c r="A2764" s="33"/>
      <c r="B2764" s="33"/>
      <c r="C2764" s="33"/>
      <c r="D2764" s="33"/>
      <c r="E2764" s="33"/>
      <c r="F2764" s="33"/>
      <c r="G2764" s="33"/>
      <c r="H2764" s="33"/>
      <c r="I2764" s="33"/>
      <c r="J2764" s="33"/>
      <c r="K2764" s="33"/>
      <c r="L2764" s="33"/>
      <c r="M2764" s="33"/>
      <c r="N2764" s="33"/>
      <c r="O2764" s="33"/>
      <c r="P2764" s="33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  <c r="AB2764" s="33"/>
      <c r="AC2764" s="33"/>
      <c r="AD2764" s="33"/>
      <c r="AE2764" s="33"/>
      <c r="AF2764" s="33"/>
      <c r="AG2764" s="33"/>
      <c r="AH2764" s="33"/>
      <c r="AI2764" s="33"/>
      <c r="AJ2764" s="33"/>
      <c r="AK2764" s="33"/>
    </row>
    <row r="2765">
      <c r="A2765" s="33"/>
      <c r="B2765" s="33"/>
      <c r="C2765" s="33"/>
      <c r="D2765" s="33"/>
      <c r="E2765" s="33"/>
      <c r="F2765" s="33"/>
      <c r="G2765" s="33"/>
      <c r="H2765" s="33"/>
      <c r="I2765" s="33"/>
      <c r="J2765" s="33"/>
      <c r="K2765" s="33"/>
      <c r="L2765" s="33"/>
      <c r="M2765" s="33"/>
      <c r="N2765" s="33"/>
      <c r="O2765" s="33"/>
      <c r="P2765" s="33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  <c r="AB2765" s="33"/>
      <c r="AC2765" s="33"/>
      <c r="AD2765" s="33"/>
      <c r="AE2765" s="33"/>
      <c r="AF2765" s="33"/>
      <c r="AG2765" s="33"/>
      <c r="AH2765" s="33"/>
      <c r="AI2765" s="33"/>
      <c r="AJ2765" s="33"/>
      <c r="AK2765" s="33"/>
    </row>
    <row r="2766">
      <c r="A2766" s="33"/>
      <c r="B2766" s="33"/>
      <c r="C2766" s="33"/>
      <c r="D2766" s="33"/>
      <c r="E2766" s="33"/>
      <c r="F2766" s="33"/>
      <c r="G2766" s="33"/>
      <c r="H2766" s="33"/>
      <c r="I2766" s="33"/>
      <c r="J2766" s="33"/>
      <c r="K2766" s="33"/>
      <c r="L2766" s="33"/>
      <c r="M2766" s="33"/>
      <c r="N2766" s="33"/>
      <c r="O2766" s="33"/>
      <c r="P2766" s="33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  <c r="AB2766" s="33"/>
      <c r="AC2766" s="33"/>
      <c r="AD2766" s="33"/>
      <c r="AE2766" s="33"/>
      <c r="AF2766" s="33"/>
      <c r="AG2766" s="33"/>
      <c r="AH2766" s="33"/>
      <c r="AI2766" s="33"/>
      <c r="AJ2766" s="33"/>
      <c r="AK2766" s="33"/>
    </row>
    <row r="2767">
      <c r="A2767" s="33"/>
      <c r="B2767" s="33"/>
      <c r="C2767" s="33"/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  <c r="AB2767" s="33"/>
      <c r="AC2767" s="33"/>
      <c r="AD2767" s="33"/>
      <c r="AE2767" s="33"/>
      <c r="AF2767" s="33"/>
      <c r="AG2767" s="33"/>
      <c r="AH2767" s="33"/>
      <c r="AI2767" s="33"/>
      <c r="AJ2767" s="33"/>
      <c r="AK2767" s="33"/>
    </row>
    <row r="2768">
      <c r="A2768" s="33"/>
      <c r="B2768" s="33"/>
      <c r="C2768" s="33"/>
      <c r="D2768" s="33"/>
      <c r="E2768" s="33"/>
      <c r="F2768" s="33"/>
      <c r="G2768" s="33"/>
      <c r="H2768" s="33"/>
      <c r="I2768" s="33"/>
      <c r="J2768" s="33"/>
      <c r="K2768" s="33"/>
      <c r="L2768" s="33"/>
      <c r="M2768" s="33"/>
      <c r="N2768" s="33"/>
      <c r="O2768" s="33"/>
      <c r="P2768" s="33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  <c r="AB2768" s="33"/>
      <c r="AC2768" s="33"/>
      <c r="AD2768" s="33"/>
      <c r="AE2768" s="33"/>
      <c r="AF2768" s="33"/>
      <c r="AG2768" s="33"/>
      <c r="AH2768" s="33"/>
      <c r="AI2768" s="33"/>
      <c r="AJ2768" s="33"/>
      <c r="AK2768" s="33"/>
    </row>
    <row r="2769">
      <c r="A2769" s="33"/>
      <c r="B2769" s="33"/>
      <c r="C2769" s="33"/>
      <c r="D2769" s="33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  <c r="AB2769" s="33"/>
      <c r="AC2769" s="33"/>
      <c r="AD2769" s="33"/>
      <c r="AE2769" s="33"/>
      <c r="AF2769" s="33"/>
      <c r="AG2769" s="33"/>
      <c r="AH2769" s="33"/>
      <c r="AI2769" s="33"/>
      <c r="AJ2769" s="33"/>
      <c r="AK2769" s="33"/>
    </row>
    <row r="2770">
      <c r="A2770" s="33"/>
      <c r="B2770" s="33"/>
      <c r="C2770" s="33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  <c r="AB2770" s="33"/>
      <c r="AC2770" s="33"/>
      <c r="AD2770" s="33"/>
      <c r="AE2770" s="33"/>
      <c r="AF2770" s="33"/>
      <c r="AG2770" s="33"/>
      <c r="AH2770" s="33"/>
      <c r="AI2770" s="33"/>
      <c r="AJ2770" s="33"/>
      <c r="AK2770" s="33"/>
    </row>
    <row r="2771">
      <c r="A2771" s="33"/>
      <c r="B2771" s="33"/>
      <c r="C2771" s="33"/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  <c r="AB2771" s="33"/>
      <c r="AC2771" s="33"/>
      <c r="AD2771" s="33"/>
      <c r="AE2771" s="33"/>
      <c r="AF2771" s="33"/>
      <c r="AG2771" s="33"/>
      <c r="AH2771" s="33"/>
      <c r="AI2771" s="33"/>
      <c r="AJ2771" s="33"/>
      <c r="AK2771" s="33"/>
    </row>
    <row r="2772">
      <c r="A2772" s="33"/>
      <c r="B2772" s="33"/>
      <c r="C2772" s="33"/>
      <c r="D2772" s="33"/>
      <c r="E2772" s="33"/>
      <c r="F2772" s="33"/>
      <c r="G2772" s="33"/>
      <c r="H2772" s="33"/>
      <c r="I2772" s="33"/>
      <c r="J2772" s="33"/>
      <c r="K2772" s="33"/>
      <c r="L2772" s="33"/>
      <c r="M2772" s="33"/>
      <c r="N2772" s="33"/>
      <c r="O2772" s="33"/>
      <c r="P2772" s="33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  <c r="AB2772" s="33"/>
      <c r="AC2772" s="33"/>
      <c r="AD2772" s="33"/>
      <c r="AE2772" s="33"/>
      <c r="AF2772" s="33"/>
      <c r="AG2772" s="33"/>
      <c r="AH2772" s="33"/>
      <c r="AI2772" s="33"/>
      <c r="AJ2772" s="33"/>
      <c r="AK2772" s="33"/>
    </row>
    <row r="2773">
      <c r="A2773" s="33"/>
      <c r="B2773" s="33"/>
      <c r="C2773" s="33"/>
      <c r="D2773" s="33"/>
      <c r="E2773" s="33"/>
      <c r="F2773" s="33"/>
      <c r="G2773" s="33"/>
      <c r="H2773" s="33"/>
      <c r="I2773" s="33"/>
      <c r="J2773" s="33"/>
      <c r="K2773" s="33"/>
      <c r="L2773" s="33"/>
      <c r="M2773" s="33"/>
      <c r="N2773" s="33"/>
      <c r="O2773" s="33"/>
      <c r="P2773" s="33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  <c r="AB2773" s="33"/>
      <c r="AC2773" s="33"/>
      <c r="AD2773" s="33"/>
      <c r="AE2773" s="33"/>
      <c r="AF2773" s="33"/>
      <c r="AG2773" s="33"/>
      <c r="AH2773" s="33"/>
      <c r="AI2773" s="33"/>
      <c r="AJ2773" s="33"/>
      <c r="AK2773" s="33"/>
    </row>
    <row r="2774">
      <c r="A2774" s="33"/>
      <c r="B2774" s="33"/>
      <c r="C2774" s="33"/>
      <c r="D2774" s="33"/>
      <c r="E2774" s="33"/>
      <c r="F2774" s="33"/>
      <c r="G2774" s="33"/>
      <c r="H2774" s="33"/>
      <c r="I2774" s="33"/>
      <c r="J2774" s="33"/>
      <c r="K2774" s="33"/>
      <c r="L2774" s="33"/>
      <c r="M2774" s="33"/>
      <c r="N2774" s="33"/>
      <c r="O2774" s="33"/>
      <c r="P2774" s="33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  <c r="AB2774" s="33"/>
      <c r="AC2774" s="33"/>
      <c r="AD2774" s="33"/>
      <c r="AE2774" s="33"/>
      <c r="AF2774" s="33"/>
      <c r="AG2774" s="33"/>
      <c r="AH2774" s="33"/>
      <c r="AI2774" s="33"/>
      <c r="AJ2774" s="33"/>
      <c r="AK2774" s="33"/>
    </row>
    <row r="2775">
      <c r="A2775" s="33"/>
      <c r="B2775" s="33"/>
      <c r="C2775" s="33"/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  <c r="AB2775" s="33"/>
      <c r="AC2775" s="33"/>
      <c r="AD2775" s="33"/>
      <c r="AE2775" s="33"/>
      <c r="AF2775" s="33"/>
      <c r="AG2775" s="33"/>
      <c r="AH2775" s="33"/>
      <c r="AI2775" s="33"/>
      <c r="AJ2775" s="33"/>
      <c r="AK2775" s="33"/>
    </row>
    <row r="2776">
      <c r="A2776" s="33"/>
      <c r="B2776" s="33"/>
      <c r="C2776" s="33"/>
      <c r="D2776" s="33"/>
      <c r="E2776" s="33"/>
      <c r="F2776" s="33"/>
      <c r="G2776" s="33"/>
      <c r="H2776" s="33"/>
      <c r="I2776" s="33"/>
      <c r="J2776" s="33"/>
      <c r="K2776" s="33"/>
      <c r="L2776" s="33"/>
      <c r="M2776" s="33"/>
      <c r="N2776" s="33"/>
      <c r="O2776" s="33"/>
      <c r="P2776" s="33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  <c r="AB2776" s="33"/>
      <c r="AC2776" s="33"/>
      <c r="AD2776" s="33"/>
      <c r="AE2776" s="33"/>
      <c r="AF2776" s="33"/>
      <c r="AG2776" s="33"/>
      <c r="AH2776" s="33"/>
      <c r="AI2776" s="33"/>
      <c r="AJ2776" s="33"/>
      <c r="AK2776" s="33"/>
    </row>
    <row r="2777">
      <c r="A2777" s="33"/>
      <c r="B2777" s="33"/>
      <c r="C2777" s="33"/>
      <c r="D2777" s="33"/>
      <c r="E2777" s="33"/>
      <c r="F2777" s="33"/>
      <c r="G2777" s="33"/>
      <c r="H2777" s="33"/>
      <c r="I2777" s="33"/>
      <c r="J2777" s="33"/>
      <c r="K2777" s="33"/>
      <c r="L2777" s="33"/>
      <c r="M2777" s="33"/>
      <c r="N2777" s="33"/>
      <c r="O2777" s="33"/>
      <c r="P2777" s="33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  <c r="AB2777" s="33"/>
      <c r="AC2777" s="33"/>
      <c r="AD2777" s="33"/>
      <c r="AE2777" s="33"/>
      <c r="AF2777" s="33"/>
      <c r="AG2777" s="33"/>
      <c r="AH2777" s="33"/>
      <c r="AI2777" s="33"/>
      <c r="AJ2777" s="33"/>
      <c r="AK2777" s="33"/>
    </row>
    <row r="2778">
      <c r="A2778" s="33"/>
      <c r="B2778" s="33"/>
      <c r="C2778" s="33"/>
      <c r="D2778" s="33"/>
      <c r="E2778" s="33"/>
      <c r="F2778" s="33"/>
      <c r="G2778" s="33"/>
      <c r="H2778" s="33"/>
      <c r="I2778" s="33"/>
      <c r="J2778" s="33"/>
      <c r="K2778" s="33"/>
      <c r="L2778" s="33"/>
      <c r="M2778" s="33"/>
      <c r="N2778" s="33"/>
      <c r="O2778" s="33"/>
      <c r="P2778" s="33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  <c r="AB2778" s="33"/>
      <c r="AC2778" s="33"/>
      <c r="AD2778" s="33"/>
      <c r="AE2778" s="33"/>
      <c r="AF2778" s="33"/>
      <c r="AG2778" s="33"/>
      <c r="AH2778" s="33"/>
      <c r="AI2778" s="33"/>
      <c r="AJ2778" s="33"/>
      <c r="AK2778" s="33"/>
    </row>
    <row r="2779">
      <c r="A2779" s="33"/>
      <c r="B2779" s="33"/>
      <c r="C2779" s="33"/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  <c r="AB2779" s="33"/>
      <c r="AC2779" s="33"/>
      <c r="AD2779" s="33"/>
      <c r="AE2779" s="33"/>
      <c r="AF2779" s="33"/>
      <c r="AG2779" s="33"/>
      <c r="AH2779" s="33"/>
      <c r="AI2779" s="33"/>
      <c r="AJ2779" s="33"/>
      <c r="AK2779" s="33"/>
    </row>
    <row r="2780">
      <c r="A2780" s="33"/>
      <c r="B2780" s="33"/>
      <c r="C2780" s="33"/>
      <c r="D2780" s="33"/>
      <c r="E2780" s="33"/>
      <c r="F2780" s="33"/>
      <c r="G2780" s="33"/>
      <c r="H2780" s="33"/>
      <c r="I2780" s="33"/>
      <c r="J2780" s="33"/>
      <c r="K2780" s="33"/>
      <c r="L2780" s="33"/>
      <c r="M2780" s="33"/>
      <c r="N2780" s="33"/>
      <c r="O2780" s="33"/>
      <c r="P2780" s="33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  <c r="AB2780" s="33"/>
      <c r="AC2780" s="33"/>
      <c r="AD2780" s="33"/>
      <c r="AE2780" s="33"/>
      <c r="AF2780" s="33"/>
      <c r="AG2780" s="33"/>
      <c r="AH2780" s="33"/>
      <c r="AI2780" s="33"/>
      <c r="AJ2780" s="33"/>
      <c r="AK2780" s="33"/>
    </row>
    <row r="2781">
      <c r="A2781" s="33"/>
      <c r="B2781" s="33"/>
      <c r="C2781" s="33"/>
      <c r="D2781" s="33"/>
      <c r="E2781" s="33"/>
      <c r="F2781" s="33"/>
      <c r="G2781" s="33"/>
      <c r="H2781" s="33"/>
      <c r="I2781" s="33"/>
      <c r="J2781" s="33"/>
      <c r="K2781" s="33"/>
      <c r="L2781" s="33"/>
      <c r="M2781" s="33"/>
      <c r="N2781" s="33"/>
      <c r="O2781" s="33"/>
      <c r="P2781" s="33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  <c r="AB2781" s="33"/>
      <c r="AC2781" s="33"/>
      <c r="AD2781" s="33"/>
      <c r="AE2781" s="33"/>
      <c r="AF2781" s="33"/>
      <c r="AG2781" s="33"/>
      <c r="AH2781" s="33"/>
      <c r="AI2781" s="33"/>
      <c r="AJ2781" s="33"/>
      <c r="AK2781" s="33"/>
    </row>
    <row r="2782">
      <c r="A2782" s="33"/>
      <c r="B2782" s="33"/>
      <c r="C2782" s="33"/>
      <c r="D2782" s="33"/>
      <c r="E2782" s="33"/>
      <c r="F2782" s="33"/>
      <c r="G2782" s="33"/>
      <c r="H2782" s="33"/>
      <c r="I2782" s="33"/>
      <c r="J2782" s="33"/>
      <c r="K2782" s="33"/>
      <c r="L2782" s="33"/>
      <c r="M2782" s="33"/>
      <c r="N2782" s="33"/>
      <c r="O2782" s="33"/>
      <c r="P2782" s="33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  <c r="AB2782" s="33"/>
      <c r="AC2782" s="33"/>
      <c r="AD2782" s="33"/>
      <c r="AE2782" s="33"/>
      <c r="AF2782" s="33"/>
      <c r="AG2782" s="33"/>
      <c r="AH2782" s="33"/>
      <c r="AI2782" s="33"/>
      <c r="AJ2782" s="33"/>
      <c r="AK2782" s="33"/>
    </row>
    <row r="2783">
      <c r="A2783" s="33"/>
      <c r="B2783" s="33"/>
      <c r="C2783" s="33"/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  <c r="AB2783" s="33"/>
      <c r="AC2783" s="33"/>
      <c r="AD2783" s="33"/>
      <c r="AE2783" s="33"/>
      <c r="AF2783" s="33"/>
      <c r="AG2783" s="33"/>
      <c r="AH2783" s="33"/>
      <c r="AI2783" s="33"/>
      <c r="AJ2783" s="33"/>
      <c r="AK2783" s="33"/>
    </row>
    <row r="2784">
      <c r="A2784" s="33"/>
      <c r="B2784" s="33"/>
      <c r="C2784" s="33"/>
      <c r="D2784" s="33"/>
      <c r="E2784" s="33"/>
      <c r="F2784" s="33"/>
      <c r="G2784" s="33"/>
      <c r="H2784" s="33"/>
      <c r="I2784" s="33"/>
      <c r="J2784" s="33"/>
      <c r="K2784" s="33"/>
      <c r="L2784" s="33"/>
      <c r="M2784" s="33"/>
      <c r="N2784" s="33"/>
      <c r="O2784" s="33"/>
      <c r="P2784" s="33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  <c r="AB2784" s="33"/>
      <c r="AC2784" s="33"/>
      <c r="AD2784" s="33"/>
      <c r="AE2784" s="33"/>
      <c r="AF2784" s="33"/>
      <c r="AG2784" s="33"/>
      <c r="AH2784" s="33"/>
      <c r="AI2784" s="33"/>
      <c r="AJ2784" s="33"/>
      <c r="AK2784" s="33"/>
    </row>
    <row r="2785">
      <c r="A2785" s="33"/>
      <c r="B2785" s="33"/>
      <c r="C2785" s="33"/>
      <c r="D2785" s="33"/>
      <c r="E2785" s="33"/>
      <c r="F2785" s="33"/>
      <c r="G2785" s="33"/>
      <c r="H2785" s="33"/>
      <c r="I2785" s="33"/>
      <c r="J2785" s="33"/>
      <c r="K2785" s="33"/>
      <c r="L2785" s="33"/>
      <c r="M2785" s="33"/>
      <c r="N2785" s="33"/>
      <c r="O2785" s="33"/>
      <c r="P2785" s="33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  <c r="AB2785" s="33"/>
      <c r="AC2785" s="33"/>
      <c r="AD2785" s="33"/>
      <c r="AE2785" s="33"/>
      <c r="AF2785" s="33"/>
      <c r="AG2785" s="33"/>
      <c r="AH2785" s="33"/>
      <c r="AI2785" s="33"/>
      <c r="AJ2785" s="33"/>
      <c r="AK2785" s="33"/>
    </row>
    <row r="2786">
      <c r="A2786" s="33"/>
      <c r="B2786" s="33"/>
      <c r="C2786" s="33"/>
      <c r="D2786" s="33"/>
      <c r="E2786" s="33"/>
      <c r="F2786" s="33"/>
      <c r="G2786" s="33"/>
      <c r="H2786" s="33"/>
      <c r="I2786" s="33"/>
      <c r="J2786" s="33"/>
      <c r="K2786" s="33"/>
      <c r="L2786" s="33"/>
      <c r="M2786" s="33"/>
      <c r="N2786" s="33"/>
      <c r="O2786" s="33"/>
      <c r="P2786" s="33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  <c r="AB2786" s="33"/>
      <c r="AC2786" s="33"/>
      <c r="AD2786" s="33"/>
      <c r="AE2786" s="33"/>
      <c r="AF2786" s="33"/>
      <c r="AG2786" s="33"/>
      <c r="AH2786" s="33"/>
      <c r="AI2786" s="33"/>
      <c r="AJ2786" s="33"/>
      <c r="AK2786" s="33"/>
    </row>
    <row r="2787">
      <c r="A2787" s="33"/>
      <c r="B2787" s="33"/>
      <c r="C2787" s="33"/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  <c r="AB2787" s="33"/>
      <c r="AC2787" s="33"/>
      <c r="AD2787" s="33"/>
      <c r="AE2787" s="33"/>
      <c r="AF2787" s="33"/>
      <c r="AG2787" s="33"/>
      <c r="AH2787" s="33"/>
      <c r="AI2787" s="33"/>
      <c r="AJ2787" s="33"/>
      <c r="AK2787" s="33"/>
    </row>
    <row r="2788">
      <c r="A2788" s="33"/>
      <c r="B2788" s="33"/>
      <c r="C2788" s="33"/>
      <c r="D2788" s="33"/>
      <c r="E2788" s="33"/>
      <c r="F2788" s="33"/>
      <c r="G2788" s="33"/>
      <c r="H2788" s="33"/>
      <c r="I2788" s="33"/>
      <c r="J2788" s="33"/>
      <c r="K2788" s="33"/>
      <c r="L2788" s="33"/>
      <c r="M2788" s="33"/>
      <c r="N2788" s="33"/>
      <c r="O2788" s="33"/>
      <c r="P2788" s="33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  <c r="AB2788" s="33"/>
      <c r="AC2788" s="33"/>
      <c r="AD2788" s="33"/>
      <c r="AE2788" s="33"/>
      <c r="AF2788" s="33"/>
      <c r="AG2788" s="33"/>
      <c r="AH2788" s="33"/>
      <c r="AI2788" s="33"/>
      <c r="AJ2788" s="33"/>
      <c r="AK2788" s="33"/>
    </row>
    <row r="2789">
      <c r="A2789" s="33"/>
      <c r="B2789" s="33"/>
      <c r="C2789" s="33"/>
      <c r="D2789" s="33"/>
      <c r="E2789" s="33"/>
      <c r="F2789" s="33"/>
      <c r="G2789" s="33"/>
      <c r="H2789" s="33"/>
      <c r="I2789" s="33"/>
      <c r="J2789" s="33"/>
      <c r="K2789" s="33"/>
      <c r="L2789" s="33"/>
      <c r="M2789" s="33"/>
      <c r="N2789" s="33"/>
      <c r="O2789" s="33"/>
      <c r="P2789" s="33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  <c r="AB2789" s="33"/>
      <c r="AC2789" s="33"/>
      <c r="AD2789" s="33"/>
      <c r="AE2789" s="33"/>
      <c r="AF2789" s="33"/>
      <c r="AG2789" s="33"/>
      <c r="AH2789" s="33"/>
      <c r="AI2789" s="33"/>
      <c r="AJ2789" s="33"/>
      <c r="AK2789" s="33"/>
    </row>
    <row r="2790">
      <c r="A2790" s="33"/>
      <c r="B2790" s="33"/>
      <c r="C2790" s="33"/>
      <c r="D2790" s="33"/>
      <c r="E2790" s="33"/>
      <c r="F2790" s="33"/>
      <c r="G2790" s="33"/>
      <c r="H2790" s="33"/>
      <c r="I2790" s="33"/>
      <c r="J2790" s="33"/>
      <c r="K2790" s="33"/>
      <c r="L2790" s="33"/>
      <c r="M2790" s="33"/>
      <c r="N2790" s="33"/>
      <c r="O2790" s="33"/>
      <c r="P2790" s="33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  <c r="AB2790" s="33"/>
      <c r="AC2790" s="33"/>
      <c r="AD2790" s="33"/>
      <c r="AE2790" s="33"/>
      <c r="AF2790" s="33"/>
      <c r="AG2790" s="33"/>
      <c r="AH2790" s="33"/>
      <c r="AI2790" s="33"/>
      <c r="AJ2790" s="33"/>
      <c r="AK2790" s="33"/>
    </row>
    <row r="2791">
      <c r="A2791" s="33"/>
      <c r="B2791" s="33"/>
      <c r="C2791" s="33"/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  <c r="AB2791" s="33"/>
      <c r="AC2791" s="33"/>
      <c r="AD2791" s="33"/>
      <c r="AE2791" s="33"/>
      <c r="AF2791" s="33"/>
      <c r="AG2791" s="33"/>
      <c r="AH2791" s="33"/>
      <c r="AI2791" s="33"/>
      <c r="AJ2791" s="33"/>
      <c r="AK2791" s="33"/>
    </row>
    <row r="2792">
      <c r="A2792" s="33"/>
      <c r="B2792" s="33"/>
      <c r="C2792" s="33"/>
      <c r="D2792" s="33"/>
      <c r="E2792" s="33"/>
      <c r="F2792" s="33"/>
      <c r="G2792" s="33"/>
      <c r="H2792" s="33"/>
      <c r="I2792" s="33"/>
      <c r="J2792" s="33"/>
      <c r="K2792" s="33"/>
      <c r="L2792" s="33"/>
      <c r="M2792" s="33"/>
      <c r="N2792" s="33"/>
      <c r="O2792" s="33"/>
      <c r="P2792" s="33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  <c r="AB2792" s="33"/>
      <c r="AC2792" s="33"/>
      <c r="AD2792" s="33"/>
      <c r="AE2792" s="33"/>
      <c r="AF2792" s="33"/>
      <c r="AG2792" s="33"/>
      <c r="AH2792" s="33"/>
      <c r="AI2792" s="33"/>
      <c r="AJ2792" s="33"/>
      <c r="AK2792" s="33"/>
    </row>
    <row r="2793">
      <c r="A2793" s="33"/>
      <c r="B2793" s="33"/>
      <c r="C2793" s="33"/>
      <c r="D2793" s="33"/>
      <c r="E2793" s="33"/>
      <c r="F2793" s="33"/>
      <c r="G2793" s="33"/>
      <c r="H2793" s="33"/>
      <c r="I2793" s="33"/>
      <c r="J2793" s="33"/>
      <c r="K2793" s="33"/>
      <c r="L2793" s="33"/>
      <c r="M2793" s="33"/>
      <c r="N2793" s="33"/>
      <c r="O2793" s="33"/>
      <c r="P2793" s="33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  <c r="AB2793" s="33"/>
      <c r="AC2793" s="33"/>
      <c r="AD2793" s="33"/>
      <c r="AE2793" s="33"/>
      <c r="AF2793" s="33"/>
      <c r="AG2793" s="33"/>
      <c r="AH2793" s="33"/>
      <c r="AI2793" s="33"/>
      <c r="AJ2793" s="33"/>
      <c r="AK2793" s="33"/>
    </row>
    <row r="2794">
      <c r="A2794" s="33"/>
      <c r="B2794" s="33"/>
      <c r="C2794" s="33"/>
      <c r="D2794" s="33"/>
      <c r="E2794" s="33"/>
      <c r="F2794" s="33"/>
      <c r="G2794" s="33"/>
      <c r="H2794" s="33"/>
      <c r="I2794" s="33"/>
      <c r="J2794" s="33"/>
      <c r="K2794" s="33"/>
      <c r="L2794" s="33"/>
      <c r="M2794" s="33"/>
      <c r="N2794" s="33"/>
      <c r="O2794" s="33"/>
      <c r="P2794" s="33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  <c r="AB2794" s="33"/>
      <c r="AC2794" s="33"/>
      <c r="AD2794" s="33"/>
      <c r="AE2794" s="33"/>
      <c r="AF2794" s="33"/>
      <c r="AG2794" s="33"/>
      <c r="AH2794" s="33"/>
      <c r="AI2794" s="33"/>
      <c r="AJ2794" s="33"/>
      <c r="AK2794" s="33"/>
    </row>
    <row r="2795">
      <c r="A2795" s="33"/>
      <c r="B2795" s="33"/>
      <c r="C2795" s="33"/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  <c r="AB2795" s="33"/>
      <c r="AC2795" s="33"/>
      <c r="AD2795" s="33"/>
      <c r="AE2795" s="33"/>
      <c r="AF2795" s="33"/>
      <c r="AG2795" s="33"/>
      <c r="AH2795" s="33"/>
      <c r="AI2795" s="33"/>
      <c r="AJ2795" s="33"/>
      <c r="AK2795" s="33"/>
    </row>
    <row r="2796">
      <c r="A2796" s="33"/>
      <c r="B2796" s="33"/>
      <c r="C2796" s="33"/>
      <c r="D2796" s="33"/>
      <c r="E2796" s="33"/>
      <c r="F2796" s="33"/>
      <c r="G2796" s="33"/>
      <c r="H2796" s="33"/>
      <c r="I2796" s="33"/>
      <c r="J2796" s="33"/>
      <c r="K2796" s="33"/>
      <c r="L2796" s="33"/>
      <c r="M2796" s="33"/>
      <c r="N2796" s="33"/>
      <c r="O2796" s="33"/>
      <c r="P2796" s="33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  <c r="AB2796" s="33"/>
      <c r="AC2796" s="33"/>
      <c r="AD2796" s="33"/>
      <c r="AE2796" s="33"/>
      <c r="AF2796" s="33"/>
      <c r="AG2796" s="33"/>
      <c r="AH2796" s="33"/>
      <c r="AI2796" s="33"/>
      <c r="AJ2796" s="33"/>
      <c r="AK2796" s="33"/>
    </row>
    <row r="2797">
      <c r="A2797" s="33"/>
      <c r="B2797" s="33"/>
      <c r="C2797" s="33"/>
      <c r="D2797" s="33"/>
      <c r="E2797" s="33"/>
      <c r="F2797" s="33"/>
      <c r="G2797" s="33"/>
      <c r="H2797" s="33"/>
      <c r="I2797" s="33"/>
      <c r="J2797" s="33"/>
      <c r="K2797" s="33"/>
      <c r="L2797" s="33"/>
      <c r="M2797" s="33"/>
      <c r="N2797" s="33"/>
      <c r="O2797" s="33"/>
      <c r="P2797" s="33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  <c r="AB2797" s="33"/>
      <c r="AC2797" s="33"/>
      <c r="AD2797" s="33"/>
      <c r="AE2797" s="33"/>
      <c r="AF2797" s="33"/>
      <c r="AG2797" s="33"/>
      <c r="AH2797" s="33"/>
      <c r="AI2797" s="33"/>
      <c r="AJ2797" s="33"/>
      <c r="AK2797" s="33"/>
    </row>
    <row r="2798">
      <c r="A2798" s="33"/>
      <c r="B2798" s="33"/>
      <c r="C2798" s="33"/>
      <c r="D2798" s="33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33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  <c r="AB2798" s="33"/>
      <c r="AC2798" s="33"/>
      <c r="AD2798" s="33"/>
      <c r="AE2798" s="33"/>
      <c r="AF2798" s="33"/>
      <c r="AG2798" s="33"/>
      <c r="AH2798" s="33"/>
      <c r="AI2798" s="33"/>
      <c r="AJ2798" s="33"/>
      <c r="AK2798" s="33"/>
    </row>
    <row r="2799">
      <c r="A2799" s="33"/>
      <c r="B2799" s="33"/>
      <c r="C2799" s="33"/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  <c r="AB2799" s="33"/>
      <c r="AC2799" s="33"/>
      <c r="AD2799" s="33"/>
      <c r="AE2799" s="33"/>
      <c r="AF2799" s="33"/>
      <c r="AG2799" s="33"/>
      <c r="AH2799" s="33"/>
      <c r="AI2799" s="33"/>
      <c r="AJ2799" s="33"/>
      <c r="AK2799" s="33"/>
    </row>
    <row r="2800">
      <c r="A2800" s="33"/>
      <c r="B2800" s="33"/>
      <c r="C2800" s="33"/>
      <c r="D2800" s="33"/>
      <c r="E2800" s="33"/>
      <c r="F2800" s="33"/>
      <c r="G2800" s="33"/>
      <c r="H2800" s="33"/>
      <c r="I2800" s="33"/>
      <c r="J2800" s="33"/>
      <c r="K2800" s="33"/>
      <c r="L2800" s="33"/>
      <c r="M2800" s="33"/>
      <c r="N2800" s="33"/>
      <c r="O2800" s="33"/>
      <c r="P2800" s="33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  <c r="AB2800" s="33"/>
      <c r="AC2800" s="33"/>
      <c r="AD2800" s="33"/>
      <c r="AE2800" s="33"/>
      <c r="AF2800" s="33"/>
      <c r="AG2800" s="33"/>
      <c r="AH2800" s="33"/>
      <c r="AI2800" s="33"/>
      <c r="AJ2800" s="33"/>
      <c r="AK2800" s="33"/>
    </row>
    <row r="2801">
      <c r="A2801" s="33"/>
      <c r="B2801" s="33"/>
      <c r="C2801" s="33"/>
      <c r="D2801" s="33"/>
      <c r="E2801" s="33"/>
      <c r="F2801" s="33"/>
      <c r="G2801" s="33"/>
      <c r="H2801" s="33"/>
      <c r="I2801" s="33"/>
      <c r="J2801" s="33"/>
      <c r="K2801" s="33"/>
      <c r="L2801" s="33"/>
      <c r="M2801" s="33"/>
      <c r="N2801" s="33"/>
      <c r="O2801" s="33"/>
      <c r="P2801" s="33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  <c r="AB2801" s="33"/>
      <c r="AC2801" s="33"/>
      <c r="AD2801" s="33"/>
      <c r="AE2801" s="33"/>
      <c r="AF2801" s="33"/>
      <c r="AG2801" s="33"/>
      <c r="AH2801" s="33"/>
      <c r="AI2801" s="33"/>
      <c r="AJ2801" s="33"/>
      <c r="AK2801" s="33"/>
    </row>
    <row r="2802">
      <c r="A2802" s="33"/>
      <c r="B2802" s="33"/>
      <c r="C2802" s="33"/>
      <c r="D2802" s="33"/>
      <c r="E2802" s="33"/>
      <c r="F2802" s="33"/>
      <c r="G2802" s="33"/>
      <c r="H2802" s="33"/>
      <c r="I2802" s="33"/>
      <c r="J2802" s="33"/>
      <c r="K2802" s="33"/>
      <c r="L2802" s="33"/>
      <c r="M2802" s="33"/>
      <c r="N2802" s="33"/>
      <c r="O2802" s="33"/>
      <c r="P2802" s="33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  <c r="AB2802" s="33"/>
      <c r="AC2802" s="33"/>
      <c r="AD2802" s="33"/>
      <c r="AE2802" s="33"/>
      <c r="AF2802" s="33"/>
      <c r="AG2802" s="33"/>
      <c r="AH2802" s="33"/>
      <c r="AI2802" s="33"/>
      <c r="AJ2802" s="33"/>
      <c r="AK2802" s="33"/>
    </row>
    <row r="2803">
      <c r="A2803" s="33"/>
      <c r="B2803" s="33"/>
      <c r="C2803" s="33"/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  <c r="AB2803" s="33"/>
      <c r="AC2803" s="33"/>
      <c r="AD2803" s="33"/>
      <c r="AE2803" s="33"/>
      <c r="AF2803" s="33"/>
      <c r="AG2803" s="33"/>
      <c r="AH2803" s="33"/>
      <c r="AI2803" s="33"/>
      <c r="AJ2803" s="33"/>
      <c r="AK2803" s="33"/>
    </row>
    <row r="2804">
      <c r="A2804" s="33"/>
      <c r="B2804" s="33"/>
      <c r="C2804" s="33"/>
      <c r="D2804" s="33"/>
      <c r="E2804" s="33"/>
      <c r="F2804" s="33"/>
      <c r="G2804" s="33"/>
      <c r="H2804" s="33"/>
      <c r="I2804" s="33"/>
      <c r="J2804" s="33"/>
      <c r="K2804" s="33"/>
      <c r="L2804" s="33"/>
      <c r="M2804" s="33"/>
      <c r="N2804" s="33"/>
      <c r="O2804" s="33"/>
      <c r="P2804" s="33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  <c r="AB2804" s="33"/>
      <c r="AC2804" s="33"/>
      <c r="AD2804" s="33"/>
      <c r="AE2804" s="33"/>
      <c r="AF2804" s="33"/>
      <c r="AG2804" s="33"/>
      <c r="AH2804" s="33"/>
      <c r="AI2804" s="33"/>
      <c r="AJ2804" s="33"/>
      <c r="AK2804" s="33"/>
    </row>
    <row r="2805">
      <c r="A2805" s="33"/>
      <c r="B2805" s="33"/>
      <c r="C2805" s="33"/>
      <c r="D2805" s="33"/>
      <c r="E2805" s="33"/>
      <c r="F2805" s="33"/>
      <c r="G2805" s="33"/>
      <c r="H2805" s="33"/>
      <c r="I2805" s="33"/>
      <c r="J2805" s="33"/>
      <c r="K2805" s="33"/>
      <c r="L2805" s="33"/>
      <c r="M2805" s="33"/>
      <c r="N2805" s="33"/>
      <c r="O2805" s="33"/>
      <c r="P2805" s="33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  <c r="AB2805" s="33"/>
      <c r="AC2805" s="33"/>
      <c r="AD2805" s="33"/>
      <c r="AE2805" s="33"/>
      <c r="AF2805" s="33"/>
      <c r="AG2805" s="33"/>
      <c r="AH2805" s="33"/>
      <c r="AI2805" s="33"/>
      <c r="AJ2805" s="33"/>
      <c r="AK2805" s="33"/>
    </row>
    <row r="2806">
      <c r="A2806" s="33"/>
      <c r="B2806" s="33"/>
      <c r="C2806" s="33"/>
      <c r="D2806" s="33"/>
      <c r="E2806" s="33"/>
      <c r="F2806" s="33"/>
      <c r="G2806" s="33"/>
      <c r="H2806" s="33"/>
      <c r="I2806" s="33"/>
      <c r="J2806" s="33"/>
      <c r="K2806" s="33"/>
      <c r="L2806" s="33"/>
      <c r="M2806" s="33"/>
      <c r="N2806" s="33"/>
      <c r="O2806" s="33"/>
      <c r="P2806" s="33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  <c r="AB2806" s="33"/>
      <c r="AC2806" s="33"/>
      <c r="AD2806" s="33"/>
      <c r="AE2806" s="33"/>
      <c r="AF2806" s="33"/>
      <c r="AG2806" s="33"/>
      <c r="AH2806" s="33"/>
      <c r="AI2806" s="33"/>
      <c r="AJ2806" s="33"/>
      <c r="AK2806" s="33"/>
    </row>
    <row r="2807">
      <c r="A2807" s="33"/>
      <c r="B2807" s="33"/>
      <c r="C2807" s="33"/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  <c r="AB2807" s="33"/>
      <c r="AC2807" s="33"/>
      <c r="AD2807" s="33"/>
      <c r="AE2807" s="33"/>
      <c r="AF2807" s="33"/>
      <c r="AG2807" s="33"/>
      <c r="AH2807" s="33"/>
      <c r="AI2807" s="33"/>
      <c r="AJ2807" s="33"/>
      <c r="AK2807" s="33"/>
    </row>
    <row r="2808">
      <c r="A2808" s="33"/>
      <c r="B2808" s="33"/>
      <c r="C2808" s="33"/>
      <c r="D2808" s="33"/>
      <c r="E2808" s="33"/>
      <c r="F2808" s="33"/>
      <c r="G2808" s="33"/>
      <c r="H2808" s="33"/>
      <c r="I2808" s="33"/>
      <c r="J2808" s="33"/>
      <c r="K2808" s="33"/>
      <c r="L2808" s="33"/>
      <c r="M2808" s="33"/>
      <c r="N2808" s="33"/>
      <c r="O2808" s="33"/>
      <c r="P2808" s="33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  <c r="AB2808" s="33"/>
      <c r="AC2808" s="33"/>
      <c r="AD2808" s="33"/>
      <c r="AE2808" s="33"/>
      <c r="AF2808" s="33"/>
      <c r="AG2808" s="33"/>
      <c r="AH2808" s="33"/>
      <c r="AI2808" s="33"/>
      <c r="AJ2808" s="33"/>
      <c r="AK2808" s="33"/>
    </row>
    <row r="2809">
      <c r="A2809" s="33"/>
      <c r="B2809" s="33"/>
      <c r="C2809" s="33"/>
      <c r="D2809" s="33"/>
      <c r="E2809" s="33"/>
      <c r="F2809" s="33"/>
      <c r="G2809" s="33"/>
      <c r="H2809" s="33"/>
      <c r="I2809" s="33"/>
      <c r="J2809" s="33"/>
      <c r="K2809" s="33"/>
      <c r="L2809" s="33"/>
      <c r="M2809" s="33"/>
      <c r="N2809" s="33"/>
      <c r="O2809" s="33"/>
      <c r="P2809" s="33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  <c r="AB2809" s="33"/>
      <c r="AC2809" s="33"/>
      <c r="AD2809" s="33"/>
      <c r="AE2809" s="33"/>
      <c r="AF2809" s="33"/>
      <c r="AG2809" s="33"/>
      <c r="AH2809" s="33"/>
      <c r="AI2809" s="33"/>
      <c r="AJ2809" s="33"/>
      <c r="AK2809" s="33"/>
    </row>
    <row r="2810">
      <c r="A2810" s="33"/>
      <c r="B2810" s="33"/>
      <c r="C2810" s="33"/>
      <c r="D2810" s="33"/>
      <c r="E2810" s="33"/>
      <c r="F2810" s="33"/>
      <c r="G2810" s="33"/>
      <c r="H2810" s="33"/>
      <c r="I2810" s="33"/>
      <c r="J2810" s="33"/>
      <c r="K2810" s="33"/>
      <c r="L2810" s="33"/>
      <c r="M2810" s="33"/>
      <c r="N2810" s="33"/>
      <c r="O2810" s="33"/>
      <c r="P2810" s="33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  <c r="AB2810" s="33"/>
      <c r="AC2810" s="33"/>
      <c r="AD2810" s="33"/>
      <c r="AE2810" s="33"/>
      <c r="AF2810" s="33"/>
      <c r="AG2810" s="33"/>
      <c r="AH2810" s="33"/>
      <c r="AI2810" s="33"/>
      <c r="AJ2810" s="33"/>
      <c r="AK2810" s="33"/>
    </row>
    <row r="2811">
      <c r="A2811" s="33"/>
      <c r="B2811" s="33"/>
      <c r="C2811" s="33"/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  <c r="AB2811" s="33"/>
      <c r="AC2811" s="33"/>
      <c r="AD2811" s="33"/>
      <c r="AE2811" s="33"/>
      <c r="AF2811" s="33"/>
      <c r="AG2811" s="33"/>
      <c r="AH2811" s="33"/>
      <c r="AI2811" s="33"/>
      <c r="AJ2811" s="33"/>
      <c r="AK2811" s="33"/>
    </row>
    <row r="2812">
      <c r="A2812" s="33"/>
      <c r="B2812" s="33"/>
      <c r="C2812" s="33"/>
      <c r="D2812" s="33"/>
      <c r="E2812" s="33"/>
      <c r="F2812" s="33"/>
      <c r="G2812" s="33"/>
      <c r="H2812" s="33"/>
      <c r="I2812" s="33"/>
      <c r="J2812" s="33"/>
      <c r="K2812" s="33"/>
      <c r="L2812" s="33"/>
      <c r="M2812" s="33"/>
      <c r="N2812" s="33"/>
      <c r="O2812" s="33"/>
      <c r="P2812" s="33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  <c r="AB2812" s="33"/>
      <c r="AC2812" s="33"/>
      <c r="AD2812" s="33"/>
      <c r="AE2812" s="33"/>
      <c r="AF2812" s="33"/>
      <c r="AG2812" s="33"/>
      <c r="AH2812" s="33"/>
      <c r="AI2812" s="33"/>
      <c r="AJ2812" s="33"/>
      <c r="AK2812" s="33"/>
    </row>
    <row r="2813">
      <c r="A2813" s="33"/>
      <c r="B2813" s="33"/>
      <c r="C2813" s="33"/>
      <c r="D2813" s="33"/>
      <c r="E2813" s="33"/>
      <c r="F2813" s="33"/>
      <c r="G2813" s="33"/>
      <c r="H2813" s="33"/>
      <c r="I2813" s="33"/>
      <c r="J2813" s="33"/>
      <c r="K2813" s="33"/>
      <c r="L2813" s="33"/>
      <c r="M2813" s="33"/>
      <c r="N2813" s="33"/>
      <c r="O2813" s="33"/>
      <c r="P2813" s="33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  <c r="AB2813" s="33"/>
      <c r="AC2813" s="33"/>
      <c r="AD2813" s="33"/>
      <c r="AE2813" s="33"/>
      <c r="AF2813" s="33"/>
      <c r="AG2813" s="33"/>
      <c r="AH2813" s="33"/>
      <c r="AI2813" s="33"/>
      <c r="AJ2813" s="33"/>
      <c r="AK2813" s="33"/>
    </row>
    <row r="2814">
      <c r="A2814" s="33"/>
      <c r="B2814" s="33"/>
      <c r="C2814" s="33"/>
      <c r="D2814" s="33"/>
      <c r="E2814" s="33"/>
      <c r="F2814" s="33"/>
      <c r="G2814" s="33"/>
      <c r="H2814" s="33"/>
      <c r="I2814" s="33"/>
      <c r="J2814" s="33"/>
      <c r="K2814" s="33"/>
      <c r="L2814" s="33"/>
      <c r="M2814" s="33"/>
      <c r="N2814" s="33"/>
      <c r="O2814" s="33"/>
      <c r="P2814" s="33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  <c r="AB2814" s="33"/>
      <c r="AC2814" s="33"/>
      <c r="AD2814" s="33"/>
      <c r="AE2814" s="33"/>
      <c r="AF2814" s="33"/>
      <c r="AG2814" s="33"/>
      <c r="AH2814" s="33"/>
      <c r="AI2814" s="33"/>
      <c r="AJ2814" s="33"/>
      <c r="AK2814" s="33"/>
    </row>
    <row r="2815">
      <c r="A2815" s="33"/>
      <c r="B2815" s="33"/>
      <c r="C2815" s="33"/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  <c r="AB2815" s="33"/>
      <c r="AC2815" s="33"/>
      <c r="AD2815" s="33"/>
      <c r="AE2815" s="33"/>
      <c r="AF2815" s="33"/>
      <c r="AG2815" s="33"/>
      <c r="AH2815" s="33"/>
      <c r="AI2815" s="33"/>
      <c r="AJ2815" s="33"/>
      <c r="AK2815" s="33"/>
    </row>
    <row r="2816">
      <c r="A2816" s="33"/>
      <c r="B2816" s="33"/>
      <c r="C2816" s="33"/>
      <c r="D2816" s="33"/>
      <c r="E2816" s="33"/>
      <c r="F2816" s="33"/>
      <c r="G2816" s="33"/>
      <c r="H2816" s="33"/>
      <c r="I2816" s="33"/>
      <c r="J2816" s="33"/>
      <c r="K2816" s="33"/>
      <c r="L2816" s="33"/>
      <c r="M2816" s="33"/>
      <c r="N2816" s="33"/>
      <c r="O2816" s="33"/>
      <c r="P2816" s="33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  <c r="AB2816" s="33"/>
      <c r="AC2816" s="33"/>
      <c r="AD2816" s="33"/>
      <c r="AE2816" s="33"/>
      <c r="AF2816" s="33"/>
      <c r="AG2816" s="33"/>
      <c r="AH2816" s="33"/>
      <c r="AI2816" s="33"/>
      <c r="AJ2816" s="33"/>
      <c r="AK2816" s="33"/>
    </row>
    <row r="2817">
      <c r="A2817" s="33"/>
      <c r="B2817" s="33"/>
      <c r="C2817" s="33"/>
      <c r="D2817" s="33"/>
      <c r="E2817" s="33"/>
      <c r="F2817" s="33"/>
      <c r="G2817" s="33"/>
      <c r="H2817" s="33"/>
      <c r="I2817" s="33"/>
      <c r="J2817" s="33"/>
      <c r="K2817" s="33"/>
      <c r="L2817" s="33"/>
      <c r="M2817" s="33"/>
      <c r="N2817" s="33"/>
      <c r="O2817" s="33"/>
      <c r="P2817" s="33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  <c r="AB2817" s="33"/>
      <c r="AC2817" s="33"/>
      <c r="AD2817" s="33"/>
      <c r="AE2817" s="33"/>
      <c r="AF2817" s="33"/>
      <c r="AG2817" s="33"/>
      <c r="AH2817" s="33"/>
      <c r="AI2817" s="33"/>
      <c r="AJ2817" s="33"/>
      <c r="AK2817" s="33"/>
    </row>
    <row r="2818">
      <c r="A2818" s="33"/>
      <c r="B2818" s="33"/>
      <c r="C2818" s="33"/>
      <c r="D2818" s="33"/>
      <c r="E2818" s="33"/>
      <c r="F2818" s="33"/>
      <c r="G2818" s="33"/>
      <c r="H2818" s="33"/>
      <c r="I2818" s="33"/>
      <c r="J2818" s="33"/>
      <c r="K2818" s="33"/>
      <c r="L2818" s="33"/>
      <c r="M2818" s="33"/>
      <c r="N2818" s="33"/>
      <c r="O2818" s="33"/>
      <c r="P2818" s="33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  <c r="AB2818" s="33"/>
      <c r="AC2818" s="33"/>
      <c r="AD2818" s="33"/>
      <c r="AE2818" s="33"/>
      <c r="AF2818" s="33"/>
      <c r="AG2818" s="33"/>
      <c r="AH2818" s="33"/>
      <c r="AI2818" s="33"/>
      <c r="AJ2818" s="33"/>
      <c r="AK2818" s="33"/>
    </row>
    <row r="2819">
      <c r="A2819" s="33"/>
      <c r="B2819" s="33"/>
      <c r="C2819" s="33"/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  <c r="AB2819" s="33"/>
      <c r="AC2819" s="33"/>
      <c r="AD2819" s="33"/>
      <c r="AE2819" s="33"/>
      <c r="AF2819" s="33"/>
      <c r="AG2819" s="33"/>
      <c r="AH2819" s="33"/>
      <c r="AI2819" s="33"/>
      <c r="AJ2819" s="33"/>
      <c r="AK2819" s="33"/>
    </row>
    <row r="2820">
      <c r="A2820" s="33"/>
      <c r="B2820" s="33"/>
      <c r="C2820" s="33"/>
      <c r="D2820" s="33"/>
      <c r="E2820" s="33"/>
      <c r="F2820" s="33"/>
      <c r="G2820" s="33"/>
      <c r="H2820" s="33"/>
      <c r="I2820" s="33"/>
      <c r="J2820" s="33"/>
      <c r="K2820" s="33"/>
      <c r="L2820" s="33"/>
      <c r="M2820" s="33"/>
      <c r="N2820" s="33"/>
      <c r="O2820" s="33"/>
      <c r="P2820" s="33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  <c r="AB2820" s="33"/>
      <c r="AC2820" s="33"/>
      <c r="AD2820" s="33"/>
      <c r="AE2820" s="33"/>
      <c r="AF2820" s="33"/>
      <c r="AG2820" s="33"/>
      <c r="AH2820" s="33"/>
      <c r="AI2820" s="33"/>
      <c r="AJ2820" s="33"/>
      <c r="AK2820" s="33"/>
    </row>
    <row r="2821">
      <c r="A2821" s="33"/>
      <c r="B2821" s="33"/>
      <c r="C2821" s="33"/>
      <c r="D2821" s="33"/>
      <c r="E2821" s="33"/>
      <c r="F2821" s="33"/>
      <c r="G2821" s="33"/>
      <c r="H2821" s="33"/>
      <c r="I2821" s="33"/>
      <c r="J2821" s="33"/>
      <c r="K2821" s="33"/>
      <c r="L2821" s="33"/>
      <c r="M2821" s="33"/>
      <c r="N2821" s="33"/>
      <c r="O2821" s="33"/>
      <c r="P2821" s="33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  <c r="AB2821" s="33"/>
      <c r="AC2821" s="33"/>
      <c r="AD2821" s="33"/>
      <c r="AE2821" s="33"/>
      <c r="AF2821" s="33"/>
      <c r="AG2821" s="33"/>
      <c r="AH2821" s="33"/>
      <c r="AI2821" s="33"/>
      <c r="AJ2821" s="33"/>
      <c r="AK2821" s="33"/>
    </row>
    <row r="2822">
      <c r="A2822" s="33"/>
      <c r="B2822" s="33"/>
      <c r="C2822" s="33"/>
      <c r="D2822" s="33"/>
      <c r="E2822" s="33"/>
      <c r="F2822" s="33"/>
      <c r="G2822" s="33"/>
      <c r="H2822" s="33"/>
      <c r="I2822" s="33"/>
      <c r="J2822" s="33"/>
      <c r="K2822" s="33"/>
      <c r="L2822" s="33"/>
      <c r="M2822" s="33"/>
      <c r="N2822" s="33"/>
      <c r="O2822" s="33"/>
      <c r="P2822" s="33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  <c r="AB2822" s="33"/>
      <c r="AC2822" s="33"/>
      <c r="AD2822" s="33"/>
      <c r="AE2822" s="33"/>
      <c r="AF2822" s="33"/>
      <c r="AG2822" s="33"/>
      <c r="AH2822" s="33"/>
      <c r="AI2822" s="33"/>
      <c r="AJ2822" s="33"/>
      <c r="AK2822" s="33"/>
    </row>
    <row r="2823">
      <c r="A2823" s="33"/>
      <c r="B2823" s="33"/>
      <c r="C2823" s="33"/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  <c r="AB2823" s="33"/>
      <c r="AC2823" s="33"/>
      <c r="AD2823" s="33"/>
      <c r="AE2823" s="33"/>
      <c r="AF2823" s="33"/>
      <c r="AG2823" s="33"/>
      <c r="AH2823" s="33"/>
      <c r="AI2823" s="33"/>
      <c r="AJ2823" s="33"/>
      <c r="AK2823" s="33"/>
    </row>
    <row r="2824">
      <c r="A2824" s="33"/>
      <c r="B2824" s="33"/>
      <c r="C2824" s="33"/>
      <c r="D2824" s="33"/>
      <c r="E2824" s="33"/>
      <c r="F2824" s="33"/>
      <c r="G2824" s="33"/>
      <c r="H2824" s="33"/>
      <c r="I2824" s="33"/>
      <c r="J2824" s="33"/>
      <c r="K2824" s="33"/>
      <c r="L2824" s="33"/>
      <c r="M2824" s="33"/>
      <c r="N2824" s="33"/>
      <c r="O2824" s="33"/>
      <c r="P2824" s="33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  <c r="AB2824" s="33"/>
      <c r="AC2824" s="33"/>
      <c r="AD2824" s="33"/>
      <c r="AE2824" s="33"/>
      <c r="AF2824" s="33"/>
      <c r="AG2824" s="33"/>
      <c r="AH2824" s="33"/>
      <c r="AI2824" s="33"/>
      <c r="AJ2824" s="33"/>
      <c r="AK2824" s="33"/>
    </row>
    <row r="2825">
      <c r="A2825" s="33"/>
      <c r="B2825" s="33"/>
      <c r="C2825" s="33"/>
      <c r="D2825" s="33"/>
      <c r="E2825" s="33"/>
      <c r="F2825" s="33"/>
      <c r="G2825" s="33"/>
      <c r="H2825" s="33"/>
      <c r="I2825" s="33"/>
      <c r="J2825" s="33"/>
      <c r="K2825" s="33"/>
      <c r="L2825" s="33"/>
      <c r="M2825" s="33"/>
      <c r="N2825" s="33"/>
      <c r="O2825" s="33"/>
      <c r="P2825" s="33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  <c r="AB2825" s="33"/>
      <c r="AC2825" s="33"/>
      <c r="AD2825" s="33"/>
      <c r="AE2825" s="33"/>
      <c r="AF2825" s="33"/>
      <c r="AG2825" s="33"/>
      <c r="AH2825" s="33"/>
      <c r="AI2825" s="33"/>
      <c r="AJ2825" s="33"/>
      <c r="AK2825" s="33"/>
    </row>
    <row r="2826">
      <c r="A2826" s="33"/>
      <c r="B2826" s="33"/>
      <c r="C2826" s="33"/>
      <c r="D2826" s="33"/>
      <c r="E2826" s="33"/>
      <c r="F2826" s="33"/>
      <c r="G2826" s="33"/>
      <c r="H2826" s="33"/>
      <c r="I2826" s="33"/>
      <c r="J2826" s="33"/>
      <c r="K2826" s="33"/>
      <c r="L2826" s="33"/>
      <c r="M2826" s="33"/>
      <c r="N2826" s="33"/>
      <c r="O2826" s="33"/>
      <c r="P2826" s="33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  <c r="AB2826" s="33"/>
      <c r="AC2826" s="33"/>
      <c r="AD2826" s="33"/>
      <c r="AE2826" s="33"/>
      <c r="AF2826" s="33"/>
      <c r="AG2826" s="33"/>
      <c r="AH2826" s="33"/>
      <c r="AI2826" s="33"/>
      <c r="AJ2826" s="33"/>
      <c r="AK2826" s="33"/>
    </row>
    <row r="2827">
      <c r="A2827" s="33"/>
      <c r="B2827" s="33"/>
      <c r="C2827" s="33"/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  <c r="AB2827" s="33"/>
      <c r="AC2827" s="33"/>
      <c r="AD2827" s="33"/>
      <c r="AE2827" s="33"/>
      <c r="AF2827" s="33"/>
      <c r="AG2827" s="33"/>
      <c r="AH2827" s="33"/>
      <c r="AI2827" s="33"/>
      <c r="AJ2827" s="33"/>
      <c r="AK2827" s="33"/>
    </row>
    <row r="2828">
      <c r="A2828" s="33"/>
      <c r="B2828" s="33"/>
      <c r="C2828" s="33"/>
      <c r="D2828" s="33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33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  <c r="AB2828" s="33"/>
      <c r="AC2828" s="33"/>
      <c r="AD2828" s="33"/>
      <c r="AE2828" s="33"/>
      <c r="AF2828" s="33"/>
      <c r="AG2828" s="33"/>
      <c r="AH2828" s="33"/>
      <c r="AI2828" s="33"/>
      <c r="AJ2828" s="33"/>
      <c r="AK2828" s="33"/>
    </row>
    <row r="2829">
      <c r="A2829" s="33"/>
      <c r="B2829" s="33"/>
      <c r="C2829" s="33"/>
      <c r="D2829" s="33"/>
      <c r="E2829" s="33"/>
      <c r="F2829" s="33"/>
      <c r="G2829" s="33"/>
      <c r="H2829" s="33"/>
      <c r="I2829" s="33"/>
      <c r="J2829" s="33"/>
      <c r="K2829" s="33"/>
      <c r="L2829" s="33"/>
      <c r="M2829" s="33"/>
      <c r="N2829" s="33"/>
      <c r="O2829" s="33"/>
      <c r="P2829" s="33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  <c r="AB2829" s="33"/>
      <c r="AC2829" s="33"/>
      <c r="AD2829" s="33"/>
      <c r="AE2829" s="33"/>
      <c r="AF2829" s="33"/>
      <c r="AG2829" s="33"/>
      <c r="AH2829" s="33"/>
      <c r="AI2829" s="33"/>
      <c r="AJ2829" s="33"/>
      <c r="AK2829" s="33"/>
    </row>
    <row r="2830">
      <c r="A2830" s="33"/>
      <c r="B2830" s="33"/>
      <c r="C2830" s="33"/>
      <c r="D2830" s="33"/>
      <c r="E2830" s="33"/>
      <c r="F2830" s="33"/>
      <c r="G2830" s="33"/>
      <c r="H2830" s="33"/>
      <c r="I2830" s="33"/>
      <c r="J2830" s="33"/>
      <c r="K2830" s="33"/>
      <c r="L2830" s="33"/>
      <c r="M2830" s="33"/>
      <c r="N2830" s="33"/>
      <c r="O2830" s="33"/>
      <c r="P2830" s="33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  <c r="AB2830" s="33"/>
      <c r="AC2830" s="33"/>
      <c r="AD2830" s="33"/>
      <c r="AE2830" s="33"/>
      <c r="AF2830" s="33"/>
      <c r="AG2830" s="33"/>
      <c r="AH2830" s="33"/>
      <c r="AI2830" s="33"/>
      <c r="AJ2830" s="33"/>
      <c r="AK2830" s="33"/>
    </row>
    <row r="2831">
      <c r="A2831" s="33"/>
      <c r="B2831" s="33"/>
      <c r="C2831" s="33"/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  <c r="AB2831" s="33"/>
      <c r="AC2831" s="33"/>
      <c r="AD2831" s="33"/>
      <c r="AE2831" s="33"/>
      <c r="AF2831" s="33"/>
      <c r="AG2831" s="33"/>
      <c r="AH2831" s="33"/>
      <c r="AI2831" s="33"/>
      <c r="AJ2831" s="33"/>
      <c r="AK2831" s="33"/>
    </row>
    <row r="2832">
      <c r="A2832" s="33"/>
      <c r="B2832" s="33"/>
      <c r="C2832" s="33"/>
      <c r="D2832" s="33"/>
      <c r="E2832" s="33"/>
      <c r="F2832" s="33"/>
      <c r="G2832" s="33"/>
      <c r="H2832" s="33"/>
      <c r="I2832" s="33"/>
      <c r="J2832" s="33"/>
      <c r="K2832" s="33"/>
      <c r="L2832" s="33"/>
      <c r="M2832" s="33"/>
      <c r="N2832" s="33"/>
      <c r="O2832" s="33"/>
      <c r="P2832" s="33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  <c r="AB2832" s="33"/>
      <c r="AC2832" s="33"/>
      <c r="AD2832" s="33"/>
      <c r="AE2832" s="33"/>
      <c r="AF2832" s="33"/>
      <c r="AG2832" s="33"/>
      <c r="AH2832" s="33"/>
      <c r="AI2832" s="33"/>
      <c r="AJ2832" s="33"/>
      <c r="AK2832" s="33"/>
    </row>
    <row r="2833">
      <c r="A2833" s="33"/>
      <c r="B2833" s="33"/>
      <c r="C2833" s="33"/>
      <c r="D2833" s="33"/>
      <c r="E2833" s="33"/>
      <c r="F2833" s="33"/>
      <c r="G2833" s="33"/>
      <c r="H2833" s="33"/>
      <c r="I2833" s="33"/>
      <c r="J2833" s="33"/>
      <c r="K2833" s="33"/>
      <c r="L2833" s="33"/>
      <c r="M2833" s="33"/>
      <c r="N2833" s="33"/>
      <c r="O2833" s="33"/>
      <c r="P2833" s="33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  <c r="AB2833" s="33"/>
      <c r="AC2833" s="33"/>
      <c r="AD2833" s="33"/>
      <c r="AE2833" s="33"/>
      <c r="AF2833" s="33"/>
      <c r="AG2833" s="33"/>
      <c r="AH2833" s="33"/>
      <c r="AI2833" s="33"/>
      <c r="AJ2833" s="33"/>
      <c r="AK2833" s="33"/>
    </row>
    <row r="2834">
      <c r="A2834" s="33"/>
      <c r="B2834" s="33"/>
      <c r="C2834" s="33"/>
      <c r="D2834" s="33"/>
      <c r="E2834" s="33"/>
      <c r="F2834" s="33"/>
      <c r="G2834" s="33"/>
      <c r="H2834" s="33"/>
      <c r="I2834" s="33"/>
      <c r="J2834" s="33"/>
      <c r="K2834" s="33"/>
      <c r="L2834" s="33"/>
      <c r="M2834" s="33"/>
      <c r="N2834" s="33"/>
      <c r="O2834" s="33"/>
      <c r="P2834" s="33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  <c r="AB2834" s="33"/>
      <c r="AC2834" s="33"/>
      <c r="AD2834" s="33"/>
      <c r="AE2834" s="33"/>
      <c r="AF2834" s="33"/>
      <c r="AG2834" s="33"/>
      <c r="AH2834" s="33"/>
      <c r="AI2834" s="33"/>
      <c r="AJ2834" s="33"/>
      <c r="AK2834" s="33"/>
    </row>
    <row r="2835">
      <c r="A2835" s="33"/>
      <c r="B2835" s="33"/>
      <c r="C2835" s="33"/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  <c r="AB2835" s="33"/>
      <c r="AC2835" s="33"/>
      <c r="AD2835" s="33"/>
      <c r="AE2835" s="33"/>
      <c r="AF2835" s="33"/>
      <c r="AG2835" s="33"/>
      <c r="AH2835" s="33"/>
      <c r="AI2835" s="33"/>
      <c r="AJ2835" s="33"/>
      <c r="AK2835" s="33"/>
    </row>
    <row r="2836">
      <c r="A2836" s="33"/>
      <c r="B2836" s="33"/>
      <c r="C2836" s="33"/>
      <c r="D2836" s="33"/>
      <c r="E2836" s="33"/>
      <c r="F2836" s="33"/>
      <c r="G2836" s="33"/>
      <c r="H2836" s="33"/>
      <c r="I2836" s="33"/>
      <c r="J2836" s="33"/>
      <c r="K2836" s="33"/>
      <c r="L2836" s="33"/>
      <c r="M2836" s="33"/>
      <c r="N2836" s="33"/>
      <c r="O2836" s="33"/>
      <c r="P2836" s="33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  <c r="AB2836" s="33"/>
      <c r="AC2836" s="33"/>
      <c r="AD2836" s="33"/>
      <c r="AE2836" s="33"/>
      <c r="AF2836" s="33"/>
      <c r="AG2836" s="33"/>
      <c r="AH2836" s="33"/>
      <c r="AI2836" s="33"/>
      <c r="AJ2836" s="33"/>
      <c r="AK2836" s="33"/>
    </row>
    <row r="2837">
      <c r="A2837" s="33"/>
      <c r="B2837" s="33"/>
      <c r="C2837" s="33"/>
      <c r="D2837" s="33"/>
      <c r="E2837" s="33"/>
      <c r="F2837" s="33"/>
      <c r="G2837" s="33"/>
      <c r="H2837" s="33"/>
      <c r="I2837" s="33"/>
      <c r="J2837" s="33"/>
      <c r="K2837" s="33"/>
      <c r="L2837" s="33"/>
      <c r="M2837" s="33"/>
      <c r="N2837" s="33"/>
      <c r="O2837" s="33"/>
      <c r="P2837" s="33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  <c r="AB2837" s="33"/>
      <c r="AC2837" s="33"/>
      <c r="AD2837" s="33"/>
      <c r="AE2837" s="33"/>
      <c r="AF2837" s="33"/>
      <c r="AG2837" s="33"/>
      <c r="AH2837" s="33"/>
      <c r="AI2837" s="33"/>
      <c r="AJ2837" s="33"/>
      <c r="AK2837" s="33"/>
    </row>
    <row r="2838">
      <c r="A2838" s="33"/>
      <c r="B2838" s="33"/>
      <c r="C2838" s="33"/>
      <c r="D2838" s="33"/>
      <c r="E2838" s="33"/>
      <c r="F2838" s="33"/>
      <c r="G2838" s="33"/>
      <c r="H2838" s="33"/>
      <c r="I2838" s="33"/>
      <c r="J2838" s="33"/>
      <c r="K2838" s="33"/>
      <c r="L2838" s="33"/>
      <c r="M2838" s="33"/>
      <c r="N2838" s="33"/>
      <c r="O2838" s="33"/>
      <c r="P2838" s="33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  <c r="AB2838" s="33"/>
      <c r="AC2838" s="33"/>
      <c r="AD2838" s="33"/>
      <c r="AE2838" s="33"/>
      <c r="AF2838" s="33"/>
      <c r="AG2838" s="33"/>
      <c r="AH2838" s="33"/>
      <c r="AI2838" s="33"/>
      <c r="AJ2838" s="33"/>
      <c r="AK2838" s="33"/>
    </row>
    <row r="2839">
      <c r="A2839" s="33"/>
      <c r="B2839" s="33"/>
      <c r="C2839" s="33"/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  <c r="AB2839" s="33"/>
      <c r="AC2839" s="33"/>
      <c r="AD2839" s="33"/>
      <c r="AE2839" s="33"/>
      <c r="AF2839" s="33"/>
      <c r="AG2839" s="33"/>
      <c r="AH2839" s="33"/>
      <c r="AI2839" s="33"/>
      <c r="AJ2839" s="33"/>
      <c r="AK2839" s="33"/>
    </row>
    <row r="2840">
      <c r="A2840" s="33"/>
      <c r="B2840" s="33"/>
      <c r="C2840" s="33"/>
      <c r="D2840" s="33"/>
      <c r="E2840" s="33"/>
      <c r="F2840" s="33"/>
      <c r="G2840" s="33"/>
      <c r="H2840" s="33"/>
      <c r="I2840" s="33"/>
      <c r="J2840" s="33"/>
      <c r="K2840" s="33"/>
      <c r="L2840" s="33"/>
      <c r="M2840" s="33"/>
      <c r="N2840" s="33"/>
      <c r="O2840" s="33"/>
      <c r="P2840" s="33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  <c r="AB2840" s="33"/>
      <c r="AC2840" s="33"/>
      <c r="AD2840" s="33"/>
      <c r="AE2840" s="33"/>
      <c r="AF2840" s="33"/>
      <c r="AG2840" s="33"/>
      <c r="AH2840" s="33"/>
      <c r="AI2840" s="33"/>
      <c r="AJ2840" s="33"/>
      <c r="AK2840" s="33"/>
    </row>
    <row r="2841">
      <c r="A2841" s="33"/>
      <c r="B2841" s="33"/>
      <c r="C2841" s="33"/>
      <c r="D2841" s="33"/>
      <c r="E2841" s="33"/>
      <c r="F2841" s="33"/>
      <c r="G2841" s="33"/>
      <c r="H2841" s="33"/>
      <c r="I2841" s="33"/>
      <c r="J2841" s="33"/>
      <c r="K2841" s="33"/>
      <c r="L2841" s="33"/>
      <c r="M2841" s="33"/>
      <c r="N2841" s="33"/>
      <c r="O2841" s="33"/>
      <c r="P2841" s="33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  <c r="AB2841" s="33"/>
      <c r="AC2841" s="33"/>
      <c r="AD2841" s="33"/>
      <c r="AE2841" s="33"/>
      <c r="AF2841" s="33"/>
      <c r="AG2841" s="33"/>
      <c r="AH2841" s="33"/>
      <c r="AI2841" s="33"/>
      <c r="AJ2841" s="33"/>
      <c r="AK2841" s="33"/>
    </row>
    <row r="2842">
      <c r="A2842" s="33"/>
      <c r="B2842" s="33"/>
      <c r="C2842" s="33"/>
      <c r="D2842" s="33"/>
      <c r="E2842" s="33"/>
      <c r="F2842" s="33"/>
      <c r="G2842" s="33"/>
      <c r="H2842" s="33"/>
      <c r="I2842" s="33"/>
      <c r="J2842" s="33"/>
      <c r="K2842" s="33"/>
      <c r="L2842" s="33"/>
      <c r="M2842" s="33"/>
      <c r="N2842" s="33"/>
      <c r="O2842" s="33"/>
      <c r="P2842" s="33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  <c r="AB2842" s="33"/>
      <c r="AC2842" s="33"/>
      <c r="AD2842" s="33"/>
      <c r="AE2842" s="33"/>
      <c r="AF2842" s="33"/>
      <c r="AG2842" s="33"/>
      <c r="AH2842" s="33"/>
      <c r="AI2842" s="33"/>
      <c r="AJ2842" s="33"/>
      <c r="AK2842" s="33"/>
    </row>
    <row r="2843">
      <c r="A2843" s="33"/>
      <c r="B2843" s="33"/>
      <c r="C2843" s="33"/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  <c r="AB2843" s="33"/>
      <c r="AC2843" s="33"/>
      <c r="AD2843" s="33"/>
      <c r="AE2843" s="33"/>
      <c r="AF2843" s="33"/>
      <c r="AG2843" s="33"/>
      <c r="AH2843" s="33"/>
      <c r="AI2843" s="33"/>
      <c r="AJ2843" s="33"/>
      <c r="AK2843" s="33"/>
    </row>
    <row r="2844">
      <c r="A2844" s="33"/>
      <c r="B2844" s="33"/>
      <c r="C2844" s="33"/>
      <c r="D2844" s="33"/>
      <c r="E2844" s="33"/>
      <c r="F2844" s="33"/>
      <c r="G2844" s="33"/>
      <c r="H2844" s="33"/>
      <c r="I2844" s="33"/>
      <c r="J2844" s="33"/>
      <c r="K2844" s="33"/>
      <c r="L2844" s="33"/>
      <c r="M2844" s="33"/>
      <c r="N2844" s="33"/>
      <c r="O2844" s="33"/>
      <c r="P2844" s="33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  <c r="AB2844" s="33"/>
      <c r="AC2844" s="33"/>
      <c r="AD2844" s="33"/>
      <c r="AE2844" s="33"/>
      <c r="AF2844" s="33"/>
      <c r="AG2844" s="33"/>
      <c r="AH2844" s="33"/>
      <c r="AI2844" s="33"/>
      <c r="AJ2844" s="33"/>
      <c r="AK2844" s="33"/>
    </row>
    <row r="2845">
      <c r="A2845" s="33"/>
      <c r="B2845" s="33"/>
      <c r="C2845" s="33"/>
      <c r="D2845" s="33"/>
      <c r="E2845" s="33"/>
      <c r="F2845" s="33"/>
      <c r="G2845" s="33"/>
      <c r="H2845" s="33"/>
      <c r="I2845" s="33"/>
      <c r="J2845" s="33"/>
      <c r="K2845" s="33"/>
      <c r="L2845" s="33"/>
      <c r="M2845" s="33"/>
      <c r="N2845" s="33"/>
      <c r="O2845" s="33"/>
      <c r="P2845" s="33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  <c r="AB2845" s="33"/>
      <c r="AC2845" s="33"/>
      <c r="AD2845" s="33"/>
      <c r="AE2845" s="33"/>
      <c r="AF2845" s="33"/>
      <c r="AG2845" s="33"/>
      <c r="AH2845" s="33"/>
      <c r="AI2845" s="33"/>
      <c r="AJ2845" s="33"/>
      <c r="AK2845" s="33"/>
    </row>
    <row r="2846">
      <c r="A2846" s="33"/>
      <c r="B2846" s="33"/>
      <c r="C2846" s="33"/>
      <c r="D2846" s="33"/>
      <c r="E2846" s="33"/>
      <c r="F2846" s="33"/>
      <c r="G2846" s="33"/>
      <c r="H2846" s="33"/>
      <c r="I2846" s="33"/>
      <c r="J2846" s="33"/>
      <c r="K2846" s="33"/>
      <c r="L2846" s="33"/>
      <c r="M2846" s="33"/>
      <c r="N2846" s="33"/>
      <c r="O2846" s="33"/>
      <c r="P2846" s="33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  <c r="AB2846" s="33"/>
      <c r="AC2846" s="33"/>
      <c r="AD2846" s="33"/>
      <c r="AE2846" s="33"/>
      <c r="AF2846" s="33"/>
      <c r="AG2846" s="33"/>
      <c r="AH2846" s="33"/>
      <c r="AI2846" s="33"/>
      <c r="AJ2846" s="33"/>
      <c r="AK2846" s="33"/>
    </row>
    <row r="2847">
      <c r="A2847" s="33"/>
      <c r="B2847" s="33"/>
      <c r="C2847" s="33"/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  <c r="AB2847" s="33"/>
      <c r="AC2847" s="33"/>
      <c r="AD2847" s="33"/>
      <c r="AE2847" s="33"/>
      <c r="AF2847" s="33"/>
      <c r="AG2847" s="33"/>
      <c r="AH2847" s="33"/>
      <c r="AI2847" s="33"/>
      <c r="AJ2847" s="33"/>
      <c r="AK2847" s="33"/>
    </row>
    <row r="2848">
      <c r="A2848" s="33"/>
      <c r="B2848" s="33"/>
      <c r="C2848" s="33"/>
      <c r="D2848" s="33"/>
      <c r="E2848" s="33"/>
      <c r="F2848" s="33"/>
      <c r="G2848" s="33"/>
      <c r="H2848" s="33"/>
      <c r="I2848" s="33"/>
      <c r="J2848" s="33"/>
      <c r="K2848" s="33"/>
      <c r="L2848" s="33"/>
      <c r="M2848" s="33"/>
      <c r="N2848" s="33"/>
      <c r="O2848" s="33"/>
      <c r="P2848" s="33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  <c r="AB2848" s="33"/>
      <c r="AC2848" s="33"/>
      <c r="AD2848" s="33"/>
      <c r="AE2848" s="33"/>
      <c r="AF2848" s="33"/>
      <c r="AG2848" s="33"/>
      <c r="AH2848" s="33"/>
      <c r="AI2848" s="33"/>
      <c r="AJ2848" s="33"/>
      <c r="AK2848" s="33"/>
    </row>
    <row r="2849">
      <c r="A2849" s="33"/>
      <c r="B2849" s="33"/>
      <c r="C2849" s="33"/>
      <c r="D2849" s="33"/>
      <c r="E2849" s="33"/>
      <c r="F2849" s="33"/>
      <c r="G2849" s="33"/>
      <c r="H2849" s="33"/>
      <c r="I2849" s="33"/>
      <c r="J2849" s="33"/>
      <c r="K2849" s="33"/>
      <c r="L2849" s="33"/>
      <c r="M2849" s="33"/>
      <c r="N2849" s="33"/>
      <c r="O2849" s="33"/>
      <c r="P2849" s="33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  <c r="AB2849" s="33"/>
      <c r="AC2849" s="33"/>
      <c r="AD2849" s="33"/>
      <c r="AE2849" s="33"/>
      <c r="AF2849" s="33"/>
      <c r="AG2849" s="33"/>
      <c r="AH2849" s="33"/>
      <c r="AI2849" s="33"/>
      <c r="AJ2849" s="33"/>
      <c r="AK2849" s="33"/>
    </row>
    <row r="2850">
      <c r="A2850" s="33"/>
      <c r="B2850" s="33"/>
      <c r="C2850" s="33"/>
      <c r="D2850" s="33"/>
      <c r="E2850" s="33"/>
      <c r="F2850" s="33"/>
      <c r="G2850" s="33"/>
      <c r="H2850" s="33"/>
      <c r="I2850" s="33"/>
      <c r="J2850" s="33"/>
      <c r="K2850" s="33"/>
      <c r="L2850" s="33"/>
      <c r="M2850" s="33"/>
      <c r="N2850" s="33"/>
      <c r="O2850" s="33"/>
      <c r="P2850" s="33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  <c r="AB2850" s="33"/>
      <c r="AC2850" s="33"/>
      <c r="AD2850" s="33"/>
      <c r="AE2850" s="33"/>
      <c r="AF2850" s="33"/>
      <c r="AG2850" s="33"/>
      <c r="AH2850" s="33"/>
      <c r="AI2850" s="33"/>
      <c r="AJ2850" s="33"/>
      <c r="AK2850" s="33"/>
    </row>
    <row r="2851">
      <c r="A2851" s="33"/>
      <c r="B2851" s="33"/>
      <c r="C2851" s="33"/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  <c r="AB2851" s="33"/>
      <c r="AC2851" s="33"/>
      <c r="AD2851" s="33"/>
      <c r="AE2851" s="33"/>
      <c r="AF2851" s="33"/>
      <c r="AG2851" s="33"/>
      <c r="AH2851" s="33"/>
      <c r="AI2851" s="33"/>
      <c r="AJ2851" s="33"/>
      <c r="AK2851" s="33"/>
    </row>
    <row r="2852">
      <c r="A2852" s="33"/>
      <c r="B2852" s="33"/>
      <c r="C2852" s="33"/>
      <c r="D2852" s="33"/>
      <c r="E2852" s="33"/>
      <c r="F2852" s="33"/>
      <c r="G2852" s="33"/>
      <c r="H2852" s="33"/>
      <c r="I2852" s="33"/>
      <c r="J2852" s="33"/>
      <c r="K2852" s="33"/>
      <c r="L2852" s="33"/>
      <c r="M2852" s="33"/>
      <c r="N2852" s="33"/>
      <c r="O2852" s="33"/>
      <c r="P2852" s="33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  <c r="AB2852" s="33"/>
      <c r="AC2852" s="33"/>
      <c r="AD2852" s="33"/>
      <c r="AE2852" s="33"/>
      <c r="AF2852" s="33"/>
      <c r="AG2852" s="33"/>
      <c r="AH2852" s="33"/>
      <c r="AI2852" s="33"/>
      <c r="AJ2852" s="33"/>
      <c r="AK2852" s="33"/>
    </row>
    <row r="2853">
      <c r="A2853" s="33"/>
      <c r="B2853" s="33"/>
      <c r="C2853" s="33"/>
      <c r="D2853" s="33"/>
      <c r="E2853" s="33"/>
      <c r="F2853" s="33"/>
      <c r="G2853" s="33"/>
      <c r="H2853" s="33"/>
      <c r="I2853" s="33"/>
      <c r="J2853" s="33"/>
      <c r="K2853" s="33"/>
      <c r="L2853" s="33"/>
      <c r="M2853" s="33"/>
      <c r="N2853" s="33"/>
      <c r="O2853" s="33"/>
      <c r="P2853" s="33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  <c r="AB2853" s="33"/>
      <c r="AC2853" s="33"/>
      <c r="AD2853" s="33"/>
      <c r="AE2853" s="33"/>
      <c r="AF2853" s="33"/>
      <c r="AG2853" s="33"/>
      <c r="AH2853" s="33"/>
      <c r="AI2853" s="33"/>
      <c r="AJ2853" s="33"/>
      <c r="AK2853" s="33"/>
    </row>
    <row r="2854">
      <c r="A2854" s="33"/>
      <c r="B2854" s="33"/>
      <c r="C2854" s="33"/>
      <c r="D2854" s="33"/>
      <c r="E2854" s="33"/>
      <c r="F2854" s="33"/>
      <c r="G2854" s="33"/>
      <c r="H2854" s="33"/>
      <c r="I2854" s="33"/>
      <c r="J2854" s="33"/>
      <c r="K2854" s="33"/>
      <c r="L2854" s="33"/>
      <c r="M2854" s="33"/>
      <c r="N2854" s="33"/>
      <c r="O2854" s="33"/>
      <c r="P2854" s="33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  <c r="AB2854" s="33"/>
      <c r="AC2854" s="33"/>
      <c r="AD2854" s="33"/>
      <c r="AE2854" s="33"/>
      <c r="AF2854" s="33"/>
      <c r="AG2854" s="33"/>
      <c r="AH2854" s="33"/>
      <c r="AI2854" s="33"/>
      <c r="AJ2854" s="33"/>
      <c r="AK2854" s="33"/>
    </row>
    <row r="2855">
      <c r="A2855" s="33"/>
      <c r="B2855" s="33"/>
      <c r="C2855" s="33"/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  <c r="AB2855" s="33"/>
      <c r="AC2855" s="33"/>
      <c r="AD2855" s="33"/>
      <c r="AE2855" s="33"/>
      <c r="AF2855" s="33"/>
      <c r="AG2855" s="33"/>
      <c r="AH2855" s="33"/>
      <c r="AI2855" s="33"/>
      <c r="AJ2855" s="33"/>
      <c r="AK2855" s="33"/>
    </row>
    <row r="2856">
      <c r="A2856" s="33"/>
      <c r="B2856" s="33"/>
      <c r="C2856" s="33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  <c r="AB2856" s="33"/>
      <c r="AC2856" s="33"/>
      <c r="AD2856" s="33"/>
      <c r="AE2856" s="33"/>
      <c r="AF2856" s="33"/>
      <c r="AG2856" s="33"/>
      <c r="AH2856" s="33"/>
      <c r="AI2856" s="33"/>
      <c r="AJ2856" s="33"/>
      <c r="AK2856" s="33"/>
    </row>
    <row r="2857">
      <c r="A2857" s="33"/>
      <c r="B2857" s="33"/>
      <c r="C2857" s="33"/>
      <c r="D2857" s="33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  <c r="AB2857" s="33"/>
      <c r="AC2857" s="33"/>
      <c r="AD2857" s="33"/>
      <c r="AE2857" s="33"/>
      <c r="AF2857" s="33"/>
      <c r="AG2857" s="33"/>
      <c r="AH2857" s="33"/>
      <c r="AI2857" s="33"/>
      <c r="AJ2857" s="33"/>
      <c r="AK2857" s="33"/>
    </row>
    <row r="2858">
      <c r="A2858" s="33"/>
      <c r="B2858" s="33"/>
      <c r="C2858" s="33"/>
      <c r="D2858" s="33"/>
      <c r="E2858" s="33"/>
      <c r="F2858" s="33"/>
      <c r="G2858" s="33"/>
      <c r="H2858" s="33"/>
      <c r="I2858" s="33"/>
      <c r="J2858" s="33"/>
      <c r="K2858" s="33"/>
      <c r="L2858" s="33"/>
      <c r="M2858" s="33"/>
      <c r="N2858" s="33"/>
      <c r="O2858" s="33"/>
      <c r="P2858" s="33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  <c r="AB2858" s="33"/>
      <c r="AC2858" s="33"/>
      <c r="AD2858" s="33"/>
      <c r="AE2858" s="33"/>
      <c r="AF2858" s="33"/>
      <c r="AG2858" s="33"/>
      <c r="AH2858" s="33"/>
      <c r="AI2858" s="33"/>
      <c r="AJ2858" s="33"/>
      <c r="AK2858" s="33"/>
    </row>
    <row r="2859">
      <c r="A2859" s="33"/>
      <c r="B2859" s="33"/>
      <c r="C2859" s="33"/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  <c r="AB2859" s="33"/>
      <c r="AC2859" s="33"/>
      <c r="AD2859" s="33"/>
      <c r="AE2859" s="33"/>
      <c r="AF2859" s="33"/>
      <c r="AG2859" s="33"/>
      <c r="AH2859" s="33"/>
      <c r="AI2859" s="33"/>
      <c r="AJ2859" s="33"/>
      <c r="AK2859" s="33"/>
    </row>
    <row r="2860">
      <c r="A2860" s="33"/>
      <c r="B2860" s="33"/>
      <c r="C2860" s="33"/>
      <c r="D2860" s="33"/>
      <c r="E2860" s="33"/>
      <c r="F2860" s="33"/>
      <c r="G2860" s="33"/>
      <c r="H2860" s="33"/>
      <c r="I2860" s="33"/>
      <c r="J2860" s="33"/>
      <c r="K2860" s="33"/>
      <c r="L2860" s="33"/>
      <c r="M2860" s="33"/>
      <c r="N2860" s="33"/>
      <c r="O2860" s="33"/>
      <c r="P2860" s="33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  <c r="AB2860" s="33"/>
      <c r="AC2860" s="33"/>
      <c r="AD2860" s="33"/>
      <c r="AE2860" s="33"/>
      <c r="AF2860" s="33"/>
      <c r="AG2860" s="33"/>
      <c r="AH2860" s="33"/>
      <c r="AI2860" s="33"/>
      <c r="AJ2860" s="33"/>
      <c r="AK2860" s="33"/>
    </row>
    <row r="2861">
      <c r="A2861" s="33"/>
      <c r="B2861" s="33"/>
      <c r="C2861" s="33"/>
      <c r="D2861" s="33"/>
      <c r="E2861" s="33"/>
      <c r="F2861" s="33"/>
      <c r="G2861" s="33"/>
      <c r="H2861" s="33"/>
      <c r="I2861" s="33"/>
      <c r="J2861" s="33"/>
      <c r="K2861" s="33"/>
      <c r="L2861" s="33"/>
      <c r="M2861" s="33"/>
      <c r="N2861" s="33"/>
      <c r="O2861" s="33"/>
      <c r="P2861" s="33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  <c r="AB2861" s="33"/>
      <c r="AC2861" s="33"/>
      <c r="AD2861" s="33"/>
      <c r="AE2861" s="33"/>
      <c r="AF2861" s="33"/>
      <c r="AG2861" s="33"/>
      <c r="AH2861" s="33"/>
      <c r="AI2861" s="33"/>
      <c r="AJ2861" s="33"/>
      <c r="AK2861" s="33"/>
    </row>
    <row r="2862">
      <c r="A2862" s="33"/>
      <c r="B2862" s="33"/>
      <c r="C2862" s="33"/>
      <c r="D2862" s="33"/>
      <c r="E2862" s="33"/>
      <c r="F2862" s="33"/>
      <c r="G2862" s="33"/>
      <c r="H2862" s="33"/>
      <c r="I2862" s="33"/>
      <c r="J2862" s="33"/>
      <c r="K2862" s="33"/>
      <c r="L2862" s="33"/>
      <c r="M2862" s="33"/>
      <c r="N2862" s="33"/>
      <c r="O2862" s="33"/>
      <c r="P2862" s="33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  <c r="AB2862" s="33"/>
      <c r="AC2862" s="33"/>
      <c r="AD2862" s="33"/>
      <c r="AE2862" s="33"/>
      <c r="AF2862" s="33"/>
      <c r="AG2862" s="33"/>
      <c r="AH2862" s="33"/>
      <c r="AI2862" s="33"/>
      <c r="AJ2862" s="33"/>
      <c r="AK2862" s="33"/>
    </row>
    <row r="2863">
      <c r="A2863" s="33"/>
      <c r="B2863" s="33"/>
      <c r="C2863" s="33"/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  <c r="AB2863" s="33"/>
      <c r="AC2863" s="33"/>
      <c r="AD2863" s="33"/>
      <c r="AE2863" s="33"/>
      <c r="AF2863" s="33"/>
      <c r="AG2863" s="33"/>
      <c r="AH2863" s="33"/>
      <c r="AI2863" s="33"/>
      <c r="AJ2863" s="33"/>
      <c r="AK2863" s="33"/>
    </row>
    <row r="2864">
      <c r="A2864" s="33"/>
      <c r="B2864" s="33"/>
      <c r="C2864" s="33"/>
      <c r="D2864" s="33"/>
      <c r="E2864" s="33"/>
      <c r="F2864" s="33"/>
      <c r="G2864" s="33"/>
      <c r="H2864" s="33"/>
      <c r="I2864" s="33"/>
      <c r="J2864" s="33"/>
      <c r="K2864" s="33"/>
      <c r="L2864" s="33"/>
      <c r="M2864" s="33"/>
      <c r="N2864" s="33"/>
      <c r="O2864" s="33"/>
      <c r="P2864" s="33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  <c r="AB2864" s="33"/>
      <c r="AC2864" s="33"/>
      <c r="AD2864" s="33"/>
      <c r="AE2864" s="33"/>
      <c r="AF2864" s="33"/>
      <c r="AG2864" s="33"/>
      <c r="AH2864" s="33"/>
      <c r="AI2864" s="33"/>
      <c r="AJ2864" s="33"/>
      <c r="AK2864" s="33"/>
    </row>
    <row r="2865">
      <c r="A2865" s="33"/>
      <c r="B2865" s="33"/>
      <c r="C2865" s="33"/>
      <c r="D2865" s="33"/>
      <c r="E2865" s="33"/>
      <c r="F2865" s="33"/>
      <c r="G2865" s="33"/>
      <c r="H2865" s="33"/>
      <c r="I2865" s="33"/>
      <c r="J2865" s="33"/>
      <c r="K2865" s="33"/>
      <c r="L2865" s="33"/>
      <c r="M2865" s="33"/>
      <c r="N2865" s="33"/>
      <c r="O2865" s="33"/>
      <c r="P2865" s="33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  <c r="AB2865" s="33"/>
      <c r="AC2865" s="33"/>
      <c r="AD2865" s="33"/>
      <c r="AE2865" s="33"/>
      <c r="AF2865" s="33"/>
      <c r="AG2865" s="33"/>
      <c r="AH2865" s="33"/>
      <c r="AI2865" s="33"/>
      <c r="AJ2865" s="33"/>
      <c r="AK2865" s="33"/>
    </row>
    <row r="2866">
      <c r="A2866" s="33"/>
      <c r="B2866" s="33"/>
      <c r="C2866" s="33"/>
      <c r="D2866" s="33"/>
      <c r="E2866" s="33"/>
      <c r="F2866" s="33"/>
      <c r="G2866" s="33"/>
      <c r="H2866" s="33"/>
      <c r="I2866" s="33"/>
      <c r="J2866" s="33"/>
      <c r="K2866" s="33"/>
      <c r="L2866" s="33"/>
      <c r="M2866" s="33"/>
      <c r="N2866" s="33"/>
      <c r="O2866" s="33"/>
      <c r="P2866" s="33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  <c r="AB2866" s="33"/>
      <c r="AC2866" s="33"/>
      <c r="AD2866" s="33"/>
      <c r="AE2866" s="33"/>
      <c r="AF2866" s="33"/>
      <c r="AG2866" s="33"/>
      <c r="AH2866" s="33"/>
      <c r="AI2866" s="33"/>
      <c r="AJ2866" s="33"/>
      <c r="AK2866" s="33"/>
    </row>
    <row r="2867">
      <c r="A2867" s="33"/>
      <c r="B2867" s="33"/>
      <c r="C2867" s="33"/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  <c r="AB2867" s="33"/>
      <c r="AC2867" s="33"/>
      <c r="AD2867" s="33"/>
      <c r="AE2867" s="33"/>
      <c r="AF2867" s="33"/>
      <c r="AG2867" s="33"/>
      <c r="AH2867" s="33"/>
      <c r="AI2867" s="33"/>
      <c r="AJ2867" s="33"/>
      <c r="AK2867" s="33"/>
    </row>
    <row r="2868">
      <c r="A2868" s="33"/>
      <c r="B2868" s="33"/>
      <c r="C2868" s="33"/>
      <c r="D2868" s="33"/>
      <c r="E2868" s="33"/>
      <c r="F2868" s="33"/>
      <c r="G2868" s="33"/>
      <c r="H2868" s="33"/>
      <c r="I2868" s="33"/>
      <c r="J2868" s="33"/>
      <c r="K2868" s="33"/>
      <c r="L2868" s="33"/>
      <c r="M2868" s="33"/>
      <c r="N2868" s="33"/>
      <c r="O2868" s="33"/>
      <c r="P2868" s="33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  <c r="AB2868" s="33"/>
      <c r="AC2868" s="33"/>
      <c r="AD2868" s="33"/>
      <c r="AE2868" s="33"/>
      <c r="AF2868" s="33"/>
      <c r="AG2868" s="33"/>
      <c r="AH2868" s="33"/>
      <c r="AI2868" s="33"/>
      <c r="AJ2868" s="33"/>
      <c r="AK2868" s="33"/>
    </row>
    <row r="2869">
      <c r="A2869" s="33"/>
      <c r="B2869" s="33"/>
      <c r="C2869" s="33"/>
      <c r="D2869" s="33"/>
      <c r="E2869" s="33"/>
      <c r="F2869" s="33"/>
      <c r="G2869" s="33"/>
      <c r="H2869" s="33"/>
      <c r="I2869" s="33"/>
      <c r="J2869" s="33"/>
      <c r="K2869" s="33"/>
      <c r="L2869" s="33"/>
      <c r="M2869" s="33"/>
      <c r="N2869" s="33"/>
      <c r="O2869" s="33"/>
      <c r="P2869" s="33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  <c r="AB2869" s="33"/>
      <c r="AC2869" s="33"/>
      <c r="AD2869" s="33"/>
      <c r="AE2869" s="33"/>
      <c r="AF2869" s="33"/>
      <c r="AG2869" s="33"/>
      <c r="AH2869" s="33"/>
      <c r="AI2869" s="33"/>
      <c r="AJ2869" s="33"/>
      <c r="AK2869" s="33"/>
    </row>
    <row r="2870">
      <c r="A2870" s="33"/>
      <c r="B2870" s="33"/>
      <c r="C2870" s="33"/>
      <c r="D2870" s="33"/>
      <c r="E2870" s="33"/>
      <c r="F2870" s="33"/>
      <c r="G2870" s="33"/>
      <c r="H2870" s="33"/>
      <c r="I2870" s="33"/>
      <c r="J2870" s="33"/>
      <c r="K2870" s="33"/>
      <c r="L2870" s="33"/>
      <c r="M2870" s="33"/>
      <c r="N2870" s="33"/>
      <c r="O2870" s="33"/>
      <c r="P2870" s="33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  <c r="AB2870" s="33"/>
      <c r="AC2870" s="33"/>
      <c r="AD2870" s="33"/>
      <c r="AE2870" s="33"/>
      <c r="AF2870" s="33"/>
      <c r="AG2870" s="33"/>
      <c r="AH2870" s="33"/>
      <c r="AI2870" s="33"/>
      <c r="AJ2870" s="33"/>
      <c r="AK2870" s="33"/>
    </row>
    <row r="2871">
      <c r="A2871" s="33"/>
      <c r="B2871" s="33"/>
      <c r="C2871" s="33"/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  <c r="AB2871" s="33"/>
      <c r="AC2871" s="33"/>
      <c r="AD2871" s="33"/>
      <c r="AE2871" s="33"/>
      <c r="AF2871" s="33"/>
      <c r="AG2871" s="33"/>
      <c r="AH2871" s="33"/>
      <c r="AI2871" s="33"/>
      <c r="AJ2871" s="33"/>
      <c r="AK2871" s="33"/>
    </row>
    <row r="2872">
      <c r="A2872" s="33"/>
      <c r="B2872" s="33"/>
      <c r="C2872" s="33"/>
      <c r="D2872" s="33"/>
      <c r="E2872" s="33"/>
      <c r="F2872" s="33"/>
      <c r="G2872" s="33"/>
      <c r="H2872" s="33"/>
      <c r="I2872" s="33"/>
      <c r="J2872" s="33"/>
      <c r="K2872" s="33"/>
      <c r="L2872" s="33"/>
      <c r="M2872" s="33"/>
      <c r="N2872" s="33"/>
      <c r="O2872" s="33"/>
      <c r="P2872" s="33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  <c r="AB2872" s="33"/>
      <c r="AC2872" s="33"/>
      <c r="AD2872" s="33"/>
      <c r="AE2872" s="33"/>
      <c r="AF2872" s="33"/>
      <c r="AG2872" s="33"/>
      <c r="AH2872" s="33"/>
      <c r="AI2872" s="33"/>
      <c r="AJ2872" s="33"/>
      <c r="AK2872" s="33"/>
    </row>
    <row r="2873">
      <c r="A2873" s="33"/>
      <c r="B2873" s="33"/>
      <c r="C2873" s="33"/>
      <c r="D2873" s="33"/>
      <c r="E2873" s="33"/>
      <c r="F2873" s="33"/>
      <c r="G2873" s="33"/>
      <c r="H2873" s="33"/>
      <c r="I2873" s="33"/>
      <c r="J2873" s="33"/>
      <c r="K2873" s="33"/>
      <c r="L2873" s="33"/>
      <c r="M2873" s="33"/>
      <c r="N2873" s="33"/>
      <c r="O2873" s="33"/>
      <c r="P2873" s="33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  <c r="AB2873" s="33"/>
      <c r="AC2873" s="33"/>
      <c r="AD2873" s="33"/>
      <c r="AE2873" s="33"/>
      <c r="AF2873" s="33"/>
      <c r="AG2873" s="33"/>
      <c r="AH2873" s="33"/>
      <c r="AI2873" s="33"/>
      <c r="AJ2873" s="33"/>
      <c r="AK2873" s="33"/>
    </row>
    <row r="2874">
      <c r="A2874" s="33"/>
      <c r="B2874" s="33"/>
      <c r="C2874" s="33"/>
      <c r="D2874" s="33"/>
      <c r="E2874" s="33"/>
      <c r="F2874" s="33"/>
      <c r="G2874" s="33"/>
      <c r="H2874" s="33"/>
      <c r="I2874" s="33"/>
      <c r="J2874" s="33"/>
      <c r="K2874" s="33"/>
      <c r="L2874" s="33"/>
      <c r="M2874" s="33"/>
      <c r="N2874" s="33"/>
      <c r="O2874" s="33"/>
      <c r="P2874" s="33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  <c r="AB2874" s="33"/>
      <c r="AC2874" s="33"/>
      <c r="AD2874" s="33"/>
      <c r="AE2874" s="33"/>
      <c r="AF2874" s="33"/>
      <c r="AG2874" s="33"/>
      <c r="AH2874" s="33"/>
      <c r="AI2874" s="33"/>
      <c r="AJ2874" s="33"/>
      <c r="AK2874" s="33"/>
    </row>
    <row r="2875">
      <c r="A2875" s="33"/>
      <c r="B2875" s="33"/>
      <c r="C2875" s="33"/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  <c r="AB2875" s="33"/>
      <c r="AC2875" s="33"/>
      <c r="AD2875" s="33"/>
      <c r="AE2875" s="33"/>
      <c r="AF2875" s="33"/>
      <c r="AG2875" s="33"/>
      <c r="AH2875" s="33"/>
      <c r="AI2875" s="33"/>
      <c r="AJ2875" s="33"/>
      <c r="AK2875" s="33"/>
    </row>
    <row r="2876">
      <c r="A2876" s="33"/>
      <c r="B2876" s="33"/>
      <c r="C2876" s="33"/>
      <c r="D2876" s="33"/>
      <c r="E2876" s="33"/>
      <c r="F2876" s="33"/>
      <c r="G2876" s="33"/>
      <c r="H2876" s="33"/>
      <c r="I2876" s="33"/>
      <c r="J2876" s="33"/>
      <c r="K2876" s="33"/>
      <c r="L2876" s="33"/>
      <c r="M2876" s="33"/>
      <c r="N2876" s="33"/>
      <c r="O2876" s="33"/>
      <c r="P2876" s="33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  <c r="AB2876" s="33"/>
      <c r="AC2876" s="33"/>
      <c r="AD2876" s="33"/>
      <c r="AE2876" s="33"/>
      <c r="AF2876" s="33"/>
      <c r="AG2876" s="33"/>
      <c r="AH2876" s="33"/>
      <c r="AI2876" s="33"/>
      <c r="AJ2876" s="33"/>
      <c r="AK2876" s="33"/>
    </row>
    <row r="2877">
      <c r="A2877" s="33"/>
      <c r="B2877" s="33"/>
      <c r="C2877" s="33"/>
      <c r="D2877" s="33"/>
      <c r="E2877" s="33"/>
      <c r="F2877" s="33"/>
      <c r="G2877" s="33"/>
      <c r="H2877" s="33"/>
      <c r="I2877" s="33"/>
      <c r="J2877" s="33"/>
      <c r="K2877" s="33"/>
      <c r="L2877" s="33"/>
      <c r="M2877" s="33"/>
      <c r="N2877" s="33"/>
      <c r="O2877" s="33"/>
      <c r="P2877" s="33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  <c r="AB2877" s="33"/>
      <c r="AC2877" s="33"/>
      <c r="AD2877" s="33"/>
      <c r="AE2877" s="33"/>
      <c r="AF2877" s="33"/>
      <c r="AG2877" s="33"/>
      <c r="AH2877" s="33"/>
      <c r="AI2877" s="33"/>
      <c r="AJ2877" s="33"/>
      <c r="AK2877" s="33"/>
    </row>
    <row r="2878">
      <c r="A2878" s="33"/>
      <c r="B2878" s="33"/>
      <c r="C2878" s="33"/>
      <c r="D2878" s="33"/>
      <c r="E2878" s="33"/>
      <c r="F2878" s="33"/>
      <c r="G2878" s="33"/>
      <c r="H2878" s="33"/>
      <c r="I2878" s="33"/>
      <c r="J2878" s="33"/>
      <c r="K2878" s="33"/>
      <c r="L2878" s="33"/>
      <c r="M2878" s="33"/>
      <c r="N2878" s="33"/>
      <c r="O2878" s="33"/>
      <c r="P2878" s="33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  <c r="AB2878" s="33"/>
      <c r="AC2878" s="33"/>
      <c r="AD2878" s="33"/>
      <c r="AE2878" s="33"/>
      <c r="AF2878" s="33"/>
      <c r="AG2878" s="33"/>
      <c r="AH2878" s="33"/>
      <c r="AI2878" s="33"/>
      <c r="AJ2878" s="33"/>
      <c r="AK2878" s="33"/>
    </row>
    <row r="2879">
      <c r="A2879" s="33"/>
      <c r="B2879" s="33"/>
      <c r="C2879" s="33"/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  <c r="AB2879" s="33"/>
      <c r="AC2879" s="33"/>
      <c r="AD2879" s="33"/>
      <c r="AE2879" s="33"/>
      <c r="AF2879" s="33"/>
      <c r="AG2879" s="33"/>
      <c r="AH2879" s="33"/>
      <c r="AI2879" s="33"/>
      <c r="AJ2879" s="33"/>
      <c r="AK2879" s="33"/>
    </row>
    <row r="2880">
      <c r="A2880" s="33"/>
      <c r="B2880" s="33"/>
      <c r="C2880" s="33"/>
      <c r="D2880" s="33"/>
      <c r="E2880" s="33"/>
      <c r="F2880" s="33"/>
      <c r="G2880" s="33"/>
      <c r="H2880" s="33"/>
      <c r="I2880" s="33"/>
      <c r="J2880" s="33"/>
      <c r="K2880" s="33"/>
      <c r="L2880" s="33"/>
      <c r="M2880" s="33"/>
      <c r="N2880" s="33"/>
      <c r="O2880" s="33"/>
      <c r="P2880" s="33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  <c r="AB2880" s="33"/>
      <c r="AC2880" s="33"/>
      <c r="AD2880" s="33"/>
      <c r="AE2880" s="33"/>
      <c r="AF2880" s="33"/>
      <c r="AG2880" s="33"/>
      <c r="AH2880" s="33"/>
      <c r="AI2880" s="33"/>
      <c r="AJ2880" s="33"/>
      <c r="AK2880" s="33"/>
    </row>
    <row r="2881">
      <c r="A2881" s="33"/>
      <c r="B2881" s="33"/>
      <c r="C2881" s="33"/>
      <c r="D2881" s="33"/>
      <c r="E2881" s="33"/>
      <c r="F2881" s="33"/>
      <c r="G2881" s="33"/>
      <c r="H2881" s="33"/>
      <c r="I2881" s="33"/>
      <c r="J2881" s="33"/>
      <c r="K2881" s="33"/>
      <c r="L2881" s="33"/>
      <c r="M2881" s="33"/>
      <c r="N2881" s="33"/>
      <c r="O2881" s="33"/>
      <c r="P2881" s="33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  <c r="AB2881" s="33"/>
      <c r="AC2881" s="33"/>
      <c r="AD2881" s="33"/>
      <c r="AE2881" s="33"/>
      <c r="AF2881" s="33"/>
      <c r="AG2881" s="33"/>
      <c r="AH2881" s="33"/>
      <c r="AI2881" s="33"/>
      <c r="AJ2881" s="33"/>
      <c r="AK2881" s="33"/>
    </row>
    <row r="2882">
      <c r="A2882" s="33"/>
      <c r="B2882" s="33"/>
      <c r="C2882" s="33"/>
      <c r="D2882" s="33"/>
      <c r="E2882" s="33"/>
      <c r="F2882" s="33"/>
      <c r="G2882" s="33"/>
      <c r="H2882" s="33"/>
      <c r="I2882" s="33"/>
      <c r="J2882" s="33"/>
      <c r="K2882" s="33"/>
      <c r="L2882" s="33"/>
      <c r="M2882" s="33"/>
      <c r="N2882" s="33"/>
      <c r="O2882" s="33"/>
      <c r="P2882" s="33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  <c r="AB2882" s="33"/>
      <c r="AC2882" s="33"/>
      <c r="AD2882" s="33"/>
      <c r="AE2882" s="33"/>
      <c r="AF2882" s="33"/>
      <c r="AG2882" s="33"/>
      <c r="AH2882" s="33"/>
      <c r="AI2882" s="33"/>
      <c r="AJ2882" s="33"/>
      <c r="AK2882" s="33"/>
    </row>
    <row r="2883">
      <c r="A2883" s="33"/>
      <c r="B2883" s="33"/>
      <c r="C2883" s="33"/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  <c r="AB2883" s="33"/>
      <c r="AC2883" s="33"/>
      <c r="AD2883" s="33"/>
      <c r="AE2883" s="33"/>
      <c r="AF2883" s="33"/>
      <c r="AG2883" s="33"/>
      <c r="AH2883" s="33"/>
      <c r="AI2883" s="33"/>
      <c r="AJ2883" s="33"/>
      <c r="AK2883" s="33"/>
    </row>
    <row r="2884">
      <c r="A2884" s="33"/>
      <c r="B2884" s="33"/>
      <c r="C2884" s="33"/>
      <c r="D2884" s="33"/>
      <c r="E2884" s="33"/>
      <c r="F2884" s="33"/>
      <c r="G2884" s="33"/>
      <c r="H2884" s="33"/>
      <c r="I2884" s="33"/>
      <c r="J2884" s="33"/>
      <c r="K2884" s="33"/>
      <c r="L2884" s="33"/>
      <c r="M2884" s="33"/>
      <c r="N2884" s="33"/>
      <c r="O2884" s="33"/>
      <c r="P2884" s="33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  <c r="AB2884" s="33"/>
      <c r="AC2884" s="33"/>
      <c r="AD2884" s="33"/>
      <c r="AE2884" s="33"/>
      <c r="AF2884" s="33"/>
      <c r="AG2884" s="33"/>
      <c r="AH2884" s="33"/>
      <c r="AI2884" s="33"/>
      <c r="AJ2884" s="33"/>
      <c r="AK2884" s="33"/>
    </row>
    <row r="2885">
      <c r="A2885" s="33"/>
      <c r="B2885" s="33"/>
      <c r="C2885" s="33"/>
      <c r="D2885" s="33"/>
      <c r="E2885" s="33"/>
      <c r="F2885" s="33"/>
      <c r="G2885" s="33"/>
      <c r="H2885" s="33"/>
      <c r="I2885" s="33"/>
      <c r="J2885" s="33"/>
      <c r="K2885" s="33"/>
      <c r="L2885" s="33"/>
      <c r="M2885" s="33"/>
      <c r="N2885" s="33"/>
      <c r="O2885" s="33"/>
      <c r="P2885" s="33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  <c r="AB2885" s="33"/>
      <c r="AC2885" s="33"/>
      <c r="AD2885" s="33"/>
      <c r="AE2885" s="33"/>
      <c r="AF2885" s="33"/>
      <c r="AG2885" s="33"/>
      <c r="AH2885" s="33"/>
      <c r="AI2885" s="33"/>
      <c r="AJ2885" s="33"/>
      <c r="AK2885" s="33"/>
    </row>
    <row r="2886">
      <c r="A2886" s="33"/>
      <c r="B2886" s="33"/>
      <c r="C2886" s="33"/>
      <c r="D2886" s="33"/>
      <c r="E2886" s="33"/>
      <c r="F2886" s="33"/>
      <c r="G2886" s="33"/>
      <c r="H2886" s="33"/>
      <c r="I2886" s="33"/>
      <c r="J2886" s="33"/>
      <c r="K2886" s="33"/>
      <c r="L2886" s="33"/>
      <c r="M2886" s="33"/>
      <c r="N2886" s="33"/>
      <c r="O2886" s="33"/>
      <c r="P2886" s="33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  <c r="AB2886" s="33"/>
      <c r="AC2886" s="33"/>
      <c r="AD2886" s="33"/>
      <c r="AE2886" s="33"/>
      <c r="AF2886" s="33"/>
      <c r="AG2886" s="33"/>
      <c r="AH2886" s="33"/>
      <c r="AI2886" s="33"/>
      <c r="AJ2886" s="33"/>
      <c r="AK2886" s="33"/>
    </row>
    <row r="2887">
      <c r="A2887" s="33"/>
      <c r="B2887" s="33"/>
      <c r="C2887" s="33"/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  <c r="AB2887" s="33"/>
      <c r="AC2887" s="33"/>
      <c r="AD2887" s="33"/>
      <c r="AE2887" s="33"/>
      <c r="AF2887" s="33"/>
      <c r="AG2887" s="33"/>
      <c r="AH2887" s="33"/>
      <c r="AI2887" s="33"/>
      <c r="AJ2887" s="33"/>
      <c r="AK2887" s="33"/>
    </row>
    <row r="2888">
      <c r="A2888" s="33"/>
      <c r="B2888" s="33"/>
      <c r="C2888" s="33"/>
      <c r="D2888" s="33"/>
      <c r="E2888" s="33"/>
      <c r="F2888" s="33"/>
      <c r="G2888" s="33"/>
      <c r="H2888" s="33"/>
      <c r="I2888" s="33"/>
      <c r="J2888" s="33"/>
      <c r="K2888" s="33"/>
      <c r="L2888" s="33"/>
      <c r="M2888" s="33"/>
      <c r="N2888" s="33"/>
      <c r="O2888" s="33"/>
      <c r="P2888" s="33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  <c r="AB2888" s="33"/>
      <c r="AC2888" s="33"/>
      <c r="AD2888" s="33"/>
      <c r="AE2888" s="33"/>
      <c r="AF2888" s="33"/>
      <c r="AG2888" s="33"/>
      <c r="AH2888" s="33"/>
      <c r="AI2888" s="33"/>
      <c r="AJ2888" s="33"/>
      <c r="AK2888" s="33"/>
    </row>
    <row r="2889">
      <c r="A2889" s="33"/>
      <c r="B2889" s="33"/>
      <c r="C2889" s="33"/>
      <c r="D2889" s="33"/>
      <c r="E2889" s="33"/>
      <c r="F2889" s="33"/>
      <c r="G2889" s="33"/>
      <c r="H2889" s="33"/>
      <c r="I2889" s="33"/>
      <c r="J2889" s="33"/>
      <c r="K2889" s="33"/>
      <c r="L2889" s="33"/>
      <c r="M2889" s="33"/>
      <c r="N2889" s="33"/>
      <c r="O2889" s="33"/>
      <c r="P2889" s="33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  <c r="AB2889" s="33"/>
      <c r="AC2889" s="33"/>
      <c r="AD2889" s="33"/>
      <c r="AE2889" s="33"/>
      <c r="AF2889" s="33"/>
      <c r="AG2889" s="33"/>
      <c r="AH2889" s="33"/>
      <c r="AI2889" s="33"/>
      <c r="AJ2889" s="33"/>
      <c r="AK2889" s="33"/>
    </row>
    <row r="2890">
      <c r="A2890" s="33"/>
      <c r="B2890" s="33"/>
      <c r="C2890" s="33"/>
      <c r="D2890" s="33"/>
      <c r="E2890" s="33"/>
      <c r="F2890" s="33"/>
      <c r="G2890" s="33"/>
      <c r="H2890" s="33"/>
      <c r="I2890" s="33"/>
      <c r="J2890" s="33"/>
      <c r="K2890" s="33"/>
      <c r="L2890" s="33"/>
      <c r="M2890" s="33"/>
      <c r="N2890" s="33"/>
      <c r="O2890" s="33"/>
      <c r="P2890" s="33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  <c r="AB2890" s="33"/>
      <c r="AC2890" s="33"/>
      <c r="AD2890" s="33"/>
      <c r="AE2890" s="33"/>
      <c r="AF2890" s="33"/>
      <c r="AG2890" s="33"/>
      <c r="AH2890" s="33"/>
      <c r="AI2890" s="33"/>
      <c r="AJ2890" s="33"/>
      <c r="AK2890" s="33"/>
    </row>
    <row r="2891">
      <c r="A2891" s="33"/>
      <c r="B2891" s="33"/>
      <c r="C2891" s="33"/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  <c r="AB2891" s="33"/>
      <c r="AC2891" s="33"/>
      <c r="AD2891" s="33"/>
      <c r="AE2891" s="33"/>
      <c r="AF2891" s="33"/>
      <c r="AG2891" s="33"/>
      <c r="AH2891" s="33"/>
      <c r="AI2891" s="33"/>
      <c r="AJ2891" s="33"/>
      <c r="AK2891" s="33"/>
    </row>
    <row r="2892">
      <c r="A2892" s="33"/>
      <c r="B2892" s="33"/>
      <c r="C2892" s="33"/>
      <c r="D2892" s="33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33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  <c r="AB2892" s="33"/>
      <c r="AC2892" s="33"/>
      <c r="AD2892" s="33"/>
      <c r="AE2892" s="33"/>
      <c r="AF2892" s="33"/>
      <c r="AG2892" s="33"/>
      <c r="AH2892" s="33"/>
      <c r="AI2892" s="33"/>
      <c r="AJ2892" s="33"/>
      <c r="AK2892" s="33"/>
    </row>
    <row r="2893">
      <c r="A2893" s="33"/>
      <c r="B2893" s="33"/>
      <c r="C2893" s="33"/>
      <c r="D2893" s="33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  <c r="AB2893" s="33"/>
      <c r="AC2893" s="33"/>
      <c r="AD2893" s="33"/>
      <c r="AE2893" s="33"/>
      <c r="AF2893" s="33"/>
      <c r="AG2893" s="33"/>
      <c r="AH2893" s="33"/>
      <c r="AI2893" s="33"/>
      <c r="AJ2893" s="33"/>
      <c r="AK2893" s="33"/>
    </row>
    <row r="2894">
      <c r="A2894" s="33"/>
      <c r="B2894" s="33"/>
      <c r="C2894" s="33"/>
      <c r="D2894" s="33"/>
      <c r="E2894" s="33"/>
      <c r="F2894" s="33"/>
      <c r="G2894" s="33"/>
      <c r="H2894" s="33"/>
      <c r="I2894" s="33"/>
      <c r="J2894" s="33"/>
      <c r="K2894" s="33"/>
      <c r="L2894" s="33"/>
      <c r="M2894" s="33"/>
      <c r="N2894" s="33"/>
      <c r="O2894" s="33"/>
      <c r="P2894" s="33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  <c r="AB2894" s="33"/>
      <c r="AC2894" s="33"/>
      <c r="AD2894" s="33"/>
      <c r="AE2894" s="33"/>
      <c r="AF2894" s="33"/>
      <c r="AG2894" s="33"/>
      <c r="AH2894" s="33"/>
      <c r="AI2894" s="33"/>
      <c r="AJ2894" s="33"/>
      <c r="AK2894" s="33"/>
    </row>
    <row r="2895">
      <c r="A2895" s="33"/>
      <c r="B2895" s="33"/>
      <c r="C2895" s="33"/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  <c r="AB2895" s="33"/>
      <c r="AC2895" s="33"/>
      <c r="AD2895" s="33"/>
      <c r="AE2895" s="33"/>
      <c r="AF2895" s="33"/>
      <c r="AG2895" s="33"/>
      <c r="AH2895" s="33"/>
      <c r="AI2895" s="33"/>
      <c r="AJ2895" s="33"/>
      <c r="AK2895" s="33"/>
    </row>
    <row r="2896">
      <c r="A2896" s="33"/>
      <c r="B2896" s="33"/>
      <c r="C2896" s="33"/>
      <c r="D2896" s="33"/>
      <c r="E2896" s="33"/>
      <c r="F2896" s="33"/>
      <c r="G2896" s="33"/>
      <c r="H2896" s="33"/>
      <c r="I2896" s="33"/>
      <c r="J2896" s="33"/>
      <c r="K2896" s="33"/>
      <c r="L2896" s="33"/>
      <c r="M2896" s="33"/>
      <c r="N2896" s="33"/>
      <c r="O2896" s="33"/>
      <c r="P2896" s="33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  <c r="AB2896" s="33"/>
      <c r="AC2896" s="33"/>
      <c r="AD2896" s="33"/>
      <c r="AE2896" s="33"/>
      <c r="AF2896" s="33"/>
      <c r="AG2896" s="33"/>
      <c r="AH2896" s="33"/>
      <c r="AI2896" s="33"/>
      <c r="AJ2896" s="33"/>
      <c r="AK2896" s="33"/>
    </row>
    <row r="2897">
      <c r="A2897" s="33"/>
      <c r="B2897" s="33"/>
      <c r="C2897" s="33"/>
      <c r="D2897" s="33"/>
      <c r="E2897" s="33"/>
      <c r="F2897" s="33"/>
      <c r="G2897" s="33"/>
      <c r="H2897" s="33"/>
      <c r="I2897" s="33"/>
      <c r="J2897" s="33"/>
      <c r="K2897" s="33"/>
      <c r="L2897" s="33"/>
      <c r="M2897" s="33"/>
      <c r="N2897" s="33"/>
      <c r="O2897" s="33"/>
      <c r="P2897" s="33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  <c r="AB2897" s="33"/>
      <c r="AC2897" s="33"/>
      <c r="AD2897" s="33"/>
      <c r="AE2897" s="33"/>
      <c r="AF2897" s="33"/>
      <c r="AG2897" s="33"/>
      <c r="AH2897" s="33"/>
      <c r="AI2897" s="33"/>
      <c r="AJ2897" s="33"/>
      <c r="AK2897" s="33"/>
    </row>
    <row r="2898">
      <c r="A2898" s="33"/>
      <c r="B2898" s="33"/>
      <c r="C2898" s="33"/>
      <c r="D2898" s="33"/>
      <c r="E2898" s="33"/>
      <c r="F2898" s="33"/>
      <c r="G2898" s="33"/>
      <c r="H2898" s="33"/>
      <c r="I2898" s="33"/>
      <c r="J2898" s="33"/>
      <c r="K2898" s="33"/>
      <c r="L2898" s="33"/>
      <c r="M2898" s="33"/>
      <c r="N2898" s="33"/>
      <c r="O2898" s="33"/>
      <c r="P2898" s="33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  <c r="AB2898" s="33"/>
      <c r="AC2898" s="33"/>
      <c r="AD2898" s="33"/>
      <c r="AE2898" s="33"/>
      <c r="AF2898" s="33"/>
      <c r="AG2898" s="33"/>
      <c r="AH2898" s="33"/>
      <c r="AI2898" s="33"/>
      <c r="AJ2898" s="33"/>
      <c r="AK2898" s="33"/>
    </row>
    <row r="2899">
      <c r="A2899" s="33"/>
      <c r="B2899" s="33"/>
      <c r="C2899" s="33"/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  <c r="AB2899" s="33"/>
      <c r="AC2899" s="33"/>
      <c r="AD2899" s="33"/>
      <c r="AE2899" s="33"/>
      <c r="AF2899" s="33"/>
      <c r="AG2899" s="33"/>
      <c r="AH2899" s="33"/>
      <c r="AI2899" s="33"/>
      <c r="AJ2899" s="33"/>
      <c r="AK2899" s="33"/>
    </row>
    <row r="2900">
      <c r="A2900" s="33"/>
      <c r="B2900" s="33"/>
      <c r="C2900" s="33"/>
      <c r="D2900" s="33"/>
      <c r="E2900" s="33"/>
      <c r="F2900" s="33"/>
      <c r="G2900" s="33"/>
      <c r="H2900" s="33"/>
      <c r="I2900" s="33"/>
      <c r="J2900" s="33"/>
      <c r="K2900" s="33"/>
      <c r="L2900" s="33"/>
      <c r="M2900" s="33"/>
      <c r="N2900" s="33"/>
      <c r="O2900" s="33"/>
      <c r="P2900" s="33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  <c r="AB2900" s="33"/>
      <c r="AC2900" s="33"/>
      <c r="AD2900" s="33"/>
      <c r="AE2900" s="33"/>
      <c r="AF2900" s="33"/>
      <c r="AG2900" s="33"/>
      <c r="AH2900" s="33"/>
      <c r="AI2900" s="33"/>
      <c r="AJ2900" s="33"/>
      <c r="AK2900" s="33"/>
    </row>
    <row r="2901">
      <c r="A2901" s="33"/>
      <c r="B2901" s="33"/>
      <c r="C2901" s="33"/>
      <c r="D2901" s="33"/>
      <c r="E2901" s="33"/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33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  <c r="AB2901" s="33"/>
      <c r="AC2901" s="33"/>
      <c r="AD2901" s="33"/>
      <c r="AE2901" s="33"/>
      <c r="AF2901" s="33"/>
      <c r="AG2901" s="33"/>
      <c r="AH2901" s="33"/>
      <c r="AI2901" s="33"/>
      <c r="AJ2901" s="33"/>
      <c r="AK2901" s="33"/>
    </row>
    <row r="2902">
      <c r="A2902" s="33"/>
      <c r="B2902" s="33"/>
      <c r="C2902" s="33"/>
      <c r="D2902" s="33"/>
      <c r="E2902" s="33"/>
      <c r="F2902" s="33"/>
      <c r="G2902" s="33"/>
      <c r="H2902" s="33"/>
      <c r="I2902" s="33"/>
      <c r="J2902" s="33"/>
      <c r="K2902" s="33"/>
      <c r="L2902" s="33"/>
      <c r="M2902" s="33"/>
      <c r="N2902" s="33"/>
      <c r="O2902" s="33"/>
      <c r="P2902" s="33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  <c r="AB2902" s="33"/>
      <c r="AC2902" s="33"/>
      <c r="AD2902" s="33"/>
      <c r="AE2902" s="33"/>
      <c r="AF2902" s="33"/>
      <c r="AG2902" s="33"/>
      <c r="AH2902" s="33"/>
      <c r="AI2902" s="33"/>
      <c r="AJ2902" s="33"/>
      <c r="AK2902" s="33"/>
    </row>
    <row r="2903">
      <c r="A2903" s="33"/>
      <c r="B2903" s="33"/>
      <c r="C2903" s="33"/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  <c r="AB2903" s="33"/>
      <c r="AC2903" s="33"/>
      <c r="AD2903" s="33"/>
      <c r="AE2903" s="33"/>
      <c r="AF2903" s="33"/>
      <c r="AG2903" s="33"/>
      <c r="AH2903" s="33"/>
      <c r="AI2903" s="33"/>
      <c r="AJ2903" s="33"/>
      <c r="AK2903" s="33"/>
    </row>
    <row r="2904">
      <c r="A2904" s="33"/>
      <c r="B2904" s="33"/>
      <c r="C2904" s="33"/>
      <c r="D2904" s="33"/>
      <c r="E2904" s="33"/>
      <c r="F2904" s="33"/>
      <c r="G2904" s="33"/>
      <c r="H2904" s="33"/>
      <c r="I2904" s="33"/>
      <c r="J2904" s="33"/>
      <c r="K2904" s="33"/>
      <c r="L2904" s="33"/>
      <c r="M2904" s="33"/>
      <c r="N2904" s="33"/>
      <c r="O2904" s="33"/>
      <c r="P2904" s="33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  <c r="AB2904" s="33"/>
      <c r="AC2904" s="33"/>
      <c r="AD2904" s="33"/>
      <c r="AE2904" s="33"/>
      <c r="AF2904" s="33"/>
      <c r="AG2904" s="33"/>
      <c r="AH2904" s="33"/>
      <c r="AI2904" s="33"/>
      <c r="AJ2904" s="33"/>
      <c r="AK2904" s="33"/>
    </row>
    <row r="2905">
      <c r="A2905" s="33"/>
      <c r="B2905" s="33"/>
      <c r="C2905" s="33"/>
      <c r="D2905" s="33"/>
      <c r="E2905" s="33"/>
      <c r="F2905" s="33"/>
      <c r="G2905" s="33"/>
      <c r="H2905" s="33"/>
      <c r="I2905" s="33"/>
      <c r="J2905" s="33"/>
      <c r="K2905" s="33"/>
      <c r="L2905" s="33"/>
      <c r="M2905" s="33"/>
      <c r="N2905" s="33"/>
      <c r="O2905" s="33"/>
      <c r="P2905" s="33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  <c r="AB2905" s="33"/>
      <c r="AC2905" s="33"/>
      <c r="AD2905" s="33"/>
      <c r="AE2905" s="33"/>
      <c r="AF2905" s="33"/>
      <c r="AG2905" s="33"/>
      <c r="AH2905" s="33"/>
      <c r="AI2905" s="33"/>
      <c r="AJ2905" s="33"/>
      <c r="AK2905" s="33"/>
    </row>
    <row r="2906">
      <c r="A2906" s="33"/>
      <c r="B2906" s="33"/>
      <c r="C2906" s="33"/>
      <c r="D2906" s="33"/>
      <c r="E2906" s="33"/>
      <c r="F2906" s="33"/>
      <c r="G2906" s="33"/>
      <c r="H2906" s="33"/>
      <c r="I2906" s="33"/>
      <c r="J2906" s="33"/>
      <c r="K2906" s="33"/>
      <c r="L2906" s="33"/>
      <c r="M2906" s="33"/>
      <c r="N2906" s="33"/>
      <c r="O2906" s="33"/>
      <c r="P2906" s="33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  <c r="AB2906" s="33"/>
      <c r="AC2906" s="33"/>
      <c r="AD2906" s="33"/>
      <c r="AE2906" s="33"/>
      <c r="AF2906" s="33"/>
      <c r="AG2906" s="33"/>
      <c r="AH2906" s="33"/>
      <c r="AI2906" s="33"/>
      <c r="AJ2906" s="33"/>
      <c r="AK2906" s="33"/>
    </row>
    <row r="2907">
      <c r="A2907" s="33"/>
      <c r="B2907" s="33"/>
      <c r="C2907" s="33"/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  <c r="AB2907" s="33"/>
      <c r="AC2907" s="33"/>
      <c r="AD2907" s="33"/>
      <c r="AE2907" s="33"/>
      <c r="AF2907" s="33"/>
      <c r="AG2907" s="33"/>
      <c r="AH2907" s="33"/>
      <c r="AI2907" s="33"/>
      <c r="AJ2907" s="33"/>
      <c r="AK2907" s="33"/>
    </row>
    <row r="2908">
      <c r="A2908" s="33"/>
      <c r="B2908" s="33"/>
      <c r="C2908" s="33"/>
      <c r="D2908" s="33"/>
      <c r="E2908" s="33"/>
      <c r="F2908" s="33"/>
      <c r="G2908" s="33"/>
      <c r="H2908" s="33"/>
      <c r="I2908" s="33"/>
      <c r="J2908" s="33"/>
      <c r="K2908" s="33"/>
      <c r="L2908" s="33"/>
      <c r="M2908" s="33"/>
      <c r="N2908" s="33"/>
      <c r="O2908" s="33"/>
      <c r="P2908" s="33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  <c r="AB2908" s="33"/>
      <c r="AC2908" s="33"/>
      <c r="AD2908" s="33"/>
      <c r="AE2908" s="33"/>
      <c r="AF2908" s="33"/>
      <c r="AG2908" s="33"/>
      <c r="AH2908" s="33"/>
      <c r="AI2908" s="33"/>
      <c r="AJ2908" s="33"/>
      <c r="AK2908" s="33"/>
    </row>
    <row r="2909">
      <c r="A2909" s="33"/>
      <c r="B2909" s="33"/>
      <c r="C2909" s="33"/>
      <c r="D2909" s="33"/>
      <c r="E2909" s="33"/>
      <c r="F2909" s="33"/>
      <c r="G2909" s="33"/>
      <c r="H2909" s="33"/>
      <c r="I2909" s="33"/>
      <c r="J2909" s="33"/>
      <c r="K2909" s="33"/>
      <c r="L2909" s="33"/>
      <c r="M2909" s="33"/>
      <c r="N2909" s="33"/>
      <c r="O2909" s="33"/>
      <c r="P2909" s="33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  <c r="AB2909" s="33"/>
      <c r="AC2909" s="33"/>
      <c r="AD2909" s="33"/>
      <c r="AE2909" s="33"/>
      <c r="AF2909" s="33"/>
      <c r="AG2909" s="33"/>
      <c r="AH2909" s="33"/>
      <c r="AI2909" s="33"/>
      <c r="AJ2909" s="33"/>
      <c r="AK2909" s="33"/>
    </row>
    <row r="2910">
      <c r="A2910" s="33"/>
      <c r="B2910" s="33"/>
      <c r="C2910" s="33"/>
      <c r="D2910" s="33"/>
      <c r="E2910" s="33"/>
      <c r="F2910" s="33"/>
      <c r="G2910" s="33"/>
      <c r="H2910" s="33"/>
      <c r="I2910" s="33"/>
      <c r="J2910" s="33"/>
      <c r="K2910" s="33"/>
      <c r="L2910" s="33"/>
      <c r="M2910" s="33"/>
      <c r="N2910" s="33"/>
      <c r="O2910" s="33"/>
      <c r="P2910" s="33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  <c r="AB2910" s="33"/>
      <c r="AC2910" s="33"/>
      <c r="AD2910" s="33"/>
      <c r="AE2910" s="33"/>
      <c r="AF2910" s="33"/>
      <c r="AG2910" s="33"/>
      <c r="AH2910" s="33"/>
      <c r="AI2910" s="33"/>
      <c r="AJ2910" s="33"/>
      <c r="AK2910" s="33"/>
    </row>
    <row r="2911">
      <c r="A2911" s="33"/>
      <c r="B2911" s="33"/>
      <c r="C2911" s="33"/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  <c r="AB2911" s="33"/>
      <c r="AC2911" s="33"/>
      <c r="AD2911" s="33"/>
      <c r="AE2911" s="33"/>
      <c r="AF2911" s="33"/>
      <c r="AG2911" s="33"/>
      <c r="AH2911" s="33"/>
      <c r="AI2911" s="33"/>
      <c r="AJ2911" s="33"/>
      <c r="AK2911" s="33"/>
    </row>
    <row r="2912">
      <c r="A2912" s="33"/>
      <c r="B2912" s="33"/>
      <c r="C2912" s="33"/>
      <c r="D2912" s="33"/>
      <c r="E2912" s="33"/>
      <c r="F2912" s="33"/>
      <c r="G2912" s="33"/>
      <c r="H2912" s="33"/>
      <c r="I2912" s="33"/>
      <c r="J2912" s="33"/>
      <c r="K2912" s="33"/>
      <c r="L2912" s="33"/>
      <c r="M2912" s="33"/>
      <c r="N2912" s="33"/>
      <c r="O2912" s="33"/>
      <c r="P2912" s="33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  <c r="AB2912" s="33"/>
      <c r="AC2912" s="33"/>
      <c r="AD2912" s="33"/>
      <c r="AE2912" s="33"/>
      <c r="AF2912" s="33"/>
      <c r="AG2912" s="33"/>
      <c r="AH2912" s="33"/>
      <c r="AI2912" s="33"/>
      <c r="AJ2912" s="33"/>
      <c r="AK2912" s="33"/>
    </row>
    <row r="2913">
      <c r="A2913" s="33"/>
      <c r="B2913" s="33"/>
      <c r="C2913" s="33"/>
      <c r="D2913" s="33"/>
      <c r="E2913" s="33"/>
      <c r="F2913" s="33"/>
      <c r="G2913" s="33"/>
      <c r="H2913" s="33"/>
      <c r="I2913" s="33"/>
      <c r="J2913" s="33"/>
      <c r="K2913" s="33"/>
      <c r="L2913" s="33"/>
      <c r="M2913" s="33"/>
      <c r="N2913" s="33"/>
      <c r="O2913" s="33"/>
      <c r="P2913" s="33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  <c r="AB2913" s="33"/>
      <c r="AC2913" s="33"/>
      <c r="AD2913" s="33"/>
      <c r="AE2913" s="33"/>
      <c r="AF2913" s="33"/>
      <c r="AG2913" s="33"/>
      <c r="AH2913" s="33"/>
      <c r="AI2913" s="33"/>
      <c r="AJ2913" s="33"/>
      <c r="AK2913" s="33"/>
    </row>
    <row r="2914">
      <c r="A2914" s="33"/>
      <c r="B2914" s="33"/>
      <c r="C2914" s="33"/>
      <c r="D2914" s="33"/>
      <c r="E2914" s="33"/>
      <c r="F2914" s="33"/>
      <c r="G2914" s="33"/>
      <c r="H2914" s="33"/>
      <c r="I2914" s="33"/>
      <c r="J2914" s="33"/>
      <c r="K2914" s="33"/>
      <c r="L2914" s="33"/>
      <c r="M2914" s="33"/>
      <c r="N2914" s="33"/>
      <c r="O2914" s="33"/>
      <c r="P2914" s="33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  <c r="AB2914" s="33"/>
      <c r="AC2914" s="33"/>
      <c r="AD2914" s="33"/>
      <c r="AE2914" s="33"/>
      <c r="AF2914" s="33"/>
      <c r="AG2914" s="33"/>
      <c r="AH2914" s="33"/>
      <c r="AI2914" s="33"/>
      <c r="AJ2914" s="33"/>
      <c r="AK2914" s="33"/>
    </row>
    <row r="2915">
      <c r="A2915" s="33"/>
      <c r="B2915" s="33"/>
      <c r="C2915" s="33"/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  <c r="AB2915" s="33"/>
      <c r="AC2915" s="33"/>
      <c r="AD2915" s="33"/>
      <c r="AE2915" s="33"/>
      <c r="AF2915" s="33"/>
      <c r="AG2915" s="33"/>
      <c r="AH2915" s="33"/>
      <c r="AI2915" s="33"/>
      <c r="AJ2915" s="33"/>
      <c r="AK2915" s="33"/>
    </row>
    <row r="2916">
      <c r="A2916" s="33"/>
      <c r="B2916" s="33"/>
      <c r="C2916" s="33"/>
      <c r="D2916" s="33"/>
      <c r="E2916" s="33"/>
      <c r="F2916" s="33"/>
      <c r="G2916" s="33"/>
      <c r="H2916" s="33"/>
      <c r="I2916" s="33"/>
      <c r="J2916" s="33"/>
      <c r="K2916" s="33"/>
      <c r="L2916" s="33"/>
      <c r="M2916" s="33"/>
      <c r="N2916" s="33"/>
      <c r="O2916" s="33"/>
      <c r="P2916" s="33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  <c r="AB2916" s="33"/>
      <c r="AC2916" s="33"/>
      <c r="AD2916" s="33"/>
      <c r="AE2916" s="33"/>
      <c r="AF2916" s="33"/>
      <c r="AG2916" s="33"/>
      <c r="AH2916" s="33"/>
      <c r="AI2916" s="33"/>
      <c r="AJ2916" s="33"/>
      <c r="AK2916" s="33"/>
    </row>
    <row r="2917">
      <c r="A2917" s="33"/>
      <c r="B2917" s="33"/>
      <c r="C2917" s="33"/>
      <c r="D2917" s="33"/>
      <c r="E2917" s="33"/>
      <c r="F2917" s="33"/>
      <c r="G2917" s="33"/>
      <c r="H2917" s="33"/>
      <c r="I2917" s="33"/>
      <c r="J2917" s="33"/>
      <c r="K2917" s="33"/>
      <c r="L2917" s="33"/>
      <c r="M2917" s="33"/>
      <c r="N2917" s="33"/>
      <c r="O2917" s="33"/>
      <c r="P2917" s="33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  <c r="AB2917" s="33"/>
      <c r="AC2917" s="33"/>
      <c r="AD2917" s="33"/>
      <c r="AE2917" s="33"/>
      <c r="AF2917" s="33"/>
      <c r="AG2917" s="33"/>
      <c r="AH2917" s="33"/>
      <c r="AI2917" s="33"/>
      <c r="AJ2917" s="33"/>
      <c r="AK2917" s="33"/>
    </row>
    <row r="2918">
      <c r="A2918" s="33"/>
      <c r="B2918" s="33"/>
      <c r="C2918" s="33"/>
      <c r="D2918" s="33"/>
      <c r="E2918" s="33"/>
      <c r="F2918" s="33"/>
      <c r="G2918" s="33"/>
      <c r="H2918" s="33"/>
      <c r="I2918" s="33"/>
      <c r="J2918" s="33"/>
      <c r="K2918" s="33"/>
      <c r="L2918" s="33"/>
      <c r="M2918" s="33"/>
      <c r="N2918" s="33"/>
      <c r="O2918" s="33"/>
      <c r="P2918" s="33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  <c r="AB2918" s="33"/>
      <c r="AC2918" s="33"/>
      <c r="AD2918" s="33"/>
      <c r="AE2918" s="33"/>
      <c r="AF2918" s="33"/>
      <c r="AG2918" s="33"/>
      <c r="AH2918" s="33"/>
      <c r="AI2918" s="33"/>
      <c r="AJ2918" s="33"/>
      <c r="AK2918" s="33"/>
    </row>
    <row r="2919">
      <c r="A2919" s="33"/>
      <c r="B2919" s="33"/>
      <c r="C2919" s="33"/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  <c r="AB2919" s="33"/>
      <c r="AC2919" s="33"/>
      <c r="AD2919" s="33"/>
      <c r="AE2919" s="33"/>
      <c r="AF2919" s="33"/>
      <c r="AG2919" s="33"/>
      <c r="AH2919" s="33"/>
      <c r="AI2919" s="33"/>
      <c r="AJ2919" s="33"/>
      <c r="AK2919" s="33"/>
    </row>
    <row r="2920">
      <c r="A2920" s="33"/>
      <c r="B2920" s="33"/>
      <c r="C2920" s="33"/>
      <c r="D2920" s="33"/>
      <c r="E2920" s="33"/>
      <c r="F2920" s="33"/>
      <c r="G2920" s="33"/>
      <c r="H2920" s="33"/>
      <c r="I2920" s="33"/>
      <c r="J2920" s="33"/>
      <c r="K2920" s="33"/>
      <c r="L2920" s="33"/>
      <c r="M2920" s="33"/>
      <c r="N2920" s="33"/>
      <c r="O2920" s="33"/>
      <c r="P2920" s="33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  <c r="AB2920" s="33"/>
      <c r="AC2920" s="33"/>
      <c r="AD2920" s="33"/>
      <c r="AE2920" s="33"/>
      <c r="AF2920" s="33"/>
      <c r="AG2920" s="33"/>
      <c r="AH2920" s="33"/>
      <c r="AI2920" s="33"/>
      <c r="AJ2920" s="33"/>
      <c r="AK2920" s="33"/>
    </row>
    <row r="2921">
      <c r="A2921" s="33"/>
      <c r="B2921" s="33"/>
      <c r="C2921" s="33"/>
      <c r="D2921" s="33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  <c r="AB2921" s="33"/>
      <c r="AC2921" s="33"/>
      <c r="AD2921" s="33"/>
      <c r="AE2921" s="33"/>
      <c r="AF2921" s="33"/>
      <c r="AG2921" s="33"/>
      <c r="AH2921" s="33"/>
      <c r="AI2921" s="33"/>
      <c r="AJ2921" s="33"/>
      <c r="AK2921" s="33"/>
    </row>
    <row r="2922">
      <c r="A2922" s="33"/>
      <c r="B2922" s="33"/>
      <c r="C2922" s="33"/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33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  <c r="AB2922" s="33"/>
      <c r="AC2922" s="33"/>
      <c r="AD2922" s="33"/>
      <c r="AE2922" s="33"/>
      <c r="AF2922" s="33"/>
      <c r="AG2922" s="33"/>
      <c r="AH2922" s="33"/>
      <c r="AI2922" s="33"/>
      <c r="AJ2922" s="33"/>
      <c r="AK2922" s="33"/>
    </row>
    <row r="2923">
      <c r="A2923" s="33"/>
      <c r="B2923" s="33"/>
      <c r="C2923" s="33"/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  <c r="AB2923" s="33"/>
      <c r="AC2923" s="33"/>
      <c r="AD2923" s="33"/>
      <c r="AE2923" s="33"/>
      <c r="AF2923" s="33"/>
      <c r="AG2923" s="33"/>
      <c r="AH2923" s="33"/>
      <c r="AI2923" s="33"/>
      <c r="AJ2923" s="33"/>
      <c r="AK2923" s="33"/>
    </row>
    <row r="2924">
      <c r="A2924" s="33"/>
      <c r="B2924" s="33"/>
      <c r="C2924" s="33"/>
      <c r="D2924" s="33"/>
      <c r="E2924" s="33"/>
      <c r="F2924" s="33"/>
      <c r="G2924" s="33"/>
      <c r="H2924" s="33"/>
      <c r="I2924" s="33"/>
      <c r="J2924" s="33"/>
      <c r="K2924" s="33"/>
      <c r="L2924" s="33"/>
      <c r="M2924" s="33"/>
      <c r="N2924" s="33"/>
      <c r="O2924" s="33"/>
      <c r="P2924" s="33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  <c r="AB2924" s="33"/>
      <c r="AC2924" s="33"/>
      <c r="AD2924" s="33"/>
      <c r="AE2924" s="33"/>
      <c r="AF2924" s="33"/>
      <c r="AG2924" s="33"/>
      <c r="AH2924" s="33"/>
      <c r="AI2924" s="33"/>
      <c r="AJ2924" s="33"/>
      <c r="AK2924" s="33"/>
    </row>
    <row r="2925">
      <c r="A2925" s="33"/>
      <c r="B2925" s="33"/>
      <c r="C2925" s="33"/>
      <c r="D2925" s="33"/>
      <c r="E2925" s="33"/>
      <c r="F2925" s="33"/>
      <c r="G2925" s="33"/>
      <c r="H2925" s="33"/>
      <c r="I2925" s="33"/>
      <c r="J2925" s="33"/>
      <c r="K2925" s="33"/>
      <c r="L2925" s="33"/>
      <c r="M2925" s="33"/>
      <c r="N2925" s="33"/>
      <c r="O2925" s="33"/>
      <c r="P2925" s="33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  <c r="AB2925" s="33"/>
      <c r="AC2925" s="33"/>
      <c r="AD2925" s="33"/>
      <c r="AE2925" s="33"/>
      <c r="AF2925" s="33"/>
      <c r="AG2925" s="33"/>
      <c r="AH2925" s="33"/>
      <c r="AI2925" s="33"/>
      <c r="AJ2925" s="33"/>
      <c r="AK2925" s="33"/>
    </row>
    <row r="2926">
      <c r="A2926" s="33"/>
      <c r="B2926" s="33"/>
      <c r="C2926" s="33"/>
      <c r="D2926" s="33"/>
      <c r="E2926" s="33"/>
      <c r="F2926" s="33"/>
      <c r="G2926" s="33"/>
      <c r="H2926" s="33"/>
      <c r="I2926" s="33"/>
      <c r="J2926" s="33"/>
      <c r="K2926" s="33"/>
      <c r="L2926" s="33"/>
      <c r="M2926" s="33"/>
      <c r="N2926" s="33"/>
      <c r="O2926" s="33"/>
      <c r="P2926" s="33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  <c r="AB2926" s="33"/>
      <c r="AC2926" s="33"/>
      <c r="AD2926" s="33"/>
      <c r="AE2926" s="33"/>
      <c r="AF2926" s="33"/>
      <c r="AG2926" s="33"/>
      <c r="AH2926" s="33"/>
      <c r="AI2926" s="33"/>
      <c r="AJ2926" s="33"/>
      <c r="AK2926" s="33"/>
    </row>
    <row r="2927">
      <c r="A2927" s="33"/>
      <c r="B2927" s="33"/>
      <c r="C2927" s="33"/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  <c r="AB2927" s="33"/>
      <c r="AC2927" s="33"/>
      <c r="AD2927" s="33"/>
      <c r="AE2927" s="33"/>
      <c r="AF2927" s="33"/>
      <c r="AG2927" s="33"/>
      <c r="AH2927" s="33"/>
      <c r="AI2927" s="33"/>
      <c r="AJ2927" s="33"/>
      <c r="AK2927" s="33"/>
    </row>
    <row r="2928">
      <c r="A2928" s="33"/>
      <c r="B2928" s="33"/>
      <c r="C2928" s="33"/>
      <c r="D2928" s="33"/>
      <c r="E2928" s="33"/>
      <c r="F2928" s="33"/>
      <c r="G2928" s="33"/>
      <c r="H2928" s="33"/>
      <c r="I2928" s="33"/>
      <c r="J2928" s="33"/>
      <c r="K2928" s="33"/>
      <c r="L2928" s="33"/>
      <c r="M2928" s="33"/>
      <c r="N2928" s="33"/>
      <c r="O2928" s="33"/>
      <c r="P2928" s="33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  <c r="AB2928" s="33"/>
      <c r="AC2928" s="33"/>
      <c r="AD2928" s="33"/>
      <c r="AE2928" s="33"/>
      <c r="AF2928" s="33"/>
      <c r="AG2928" s="33"/>
      <c r="AH2928" s="33"/>
      <c r="AI2928" s="33"/>
      <c r="AJ2928" s="33"/>
      <c r="AK2928" s="33"/>
    </row>
    <row r="2929">
      <c r="A2929" s="33"/>
      <c r="B2929" s="33"/>
      <c r="C2929" s="33"/>
      <c r="D2929" s="33"/>
      <c r="E2929" s="33"/>
      <c r="F2929" s="33"/>
      <c r="G2929" s="33"/>
      <c r="H2929" s="33"/>
      <c r="I2929" s="33"/>
      <c r="J2929" s="33"/>
      <c r="K2929" s="33"/>
      <c r="L2929" s="33"/>
      <c r="M2929" s="33"/>
      <c r="N2929" s="33"/>
      <c r="O2929" s="33"/>
      <c r="P2929" s="33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  <c r="AB2929" s="33"/>
      <c r="AC2929" s="33"/>
      <c r="AD2929" s="33"/>
      <c r="AE2929" s="33"/>
      <c r="AF2929" s="33"/>
      <c r="AG2929" s="33"/>
      <c r="AH2929" s="33"/>
      <c r="AI2929" s="33"/>
      <c r="AJ2929" s="33"/>
      <c r="AK2929" s="33"/>
    </row>
    <row r="2930">
      <c r="A2930" s="33"/>
      <c r="B2930" s="33"/>
      <c r="C2930" s="33"/>
      <c r="D2930" s="33"/>
      <c r="E2930" s="33"/>
      <c r="F2930" s="33"/>
      <c r="G2930" s="33"/>
      <c r="H2930" s="33"/>
      <c r="I2930" s="33"/>
      <c r="J2930" s="33"/>
      <c r="K2930" s="33"/>
      <c r="L2930" s="33"/>
      <c r="M2930" s="33"/>
      <c r="N2930" s="33"/>
      <c r="O2930" s="33"/>
      <c r="P2930" s="33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  <c r="AB2930" s="33"/>
      <c r="AC2930" s="33"/>
      <c r="AD2930" s="33"/>
      <c r="AE2930" s="33"/>
      <c r="AF2930" s="33"/>
      <c r="AG2930" s="33"/>
      <c r="AH2930" s="33"/>
      <c r="AI2930" s="33"/>
      <c r="AJ2930" s="33"/>
      <c r="AK2930" s="33"/>
    </row>
    <row r="2931">
      <c r="A2931" s="33"/>
      <c r="B2931" s="33"/>
      <c r="C2931" s="33"/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  <c r="AB2931" s="33"/>
      <c r="AC2931" s="33"/>
      <c r="AD2931" s="33"/>
      <c r="AE2931" s="33"/>
      <c r="AF2931" s="33"/>
      <c r="AG2931" s="33"/>
      <c r="AH2931" s="33"/>
      <c r="AI2931" s="33"/>
      <c r="AJ2931" s="33"/>
      <c r="AK2931" s="33"/>
    </row>
    <row r="2932">
      <c r="A2932" s="33"/>
      <c r="B2932" s="33"/>
      <c r="C2932" s="33"/>
      <c r="D2932" s="33"/>
      <c r="E2932" s="33"/>
      <c r="F2932" s="33"/>
      <c r="G2932" s="33"/>
      <c r="H2932" s="33"/>
      <c r="I2932" s="33"/>
      <c r="J2932" s="33"/>
      <c r="K2932" s="33"/>
      <c r="L2932" s="33"/>
      <c r="M2932" s="33"/>
      <c r="N2932" s="33"/>
      <c r="O2932" s="33"/>
      <c r="P2932" s="33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  <c r="AB2932" s="33"/>
      <c r="AC2932" s="33"/>
      <c r="AD2932" s="33"/>
      <c r="AE2932" s="33"/>
      <c r="AF2932" s="33"/>
      <c r="AG2932" s="33"/>
      <c r="AH2932" s="33"/>
      <c r="AI2932" s="33"/>
      <c r="AJ2932" s="33"/>
      <c r="AK2932" s="33"/>
    </row>
    <row r="2933">
      <c r="A2933" s="33"/>
      <c r="B2933" s="33"/>
      <c r="C2933" s="33"/>
      <c r="D2933" s="33"/>
      <c r="E2933" s="33"/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  <c r="AB2933" s="33"/>
      <c r="AC2933" s="33"/>
      <c r="AD2933" s="33"/>
      <c r="AE2933" s="33"/>
      <c r="AF2933" s="33"/>
      <c r="AG2933" s="33"/>
      <c r="AH2933" s="33"/>
      <c r="AI2933" s="33"/>
      <c r="AJ2933" s="33"/>
      <c r="AK2933" s="33"/>
    </row>
    <row r="2934">
      <c r="A2934" s="33"/>
      <c r="B2934" s="33"/>
      <c r="C2934" s="33"/>
      <c r="D2934" s="33"/>
      <c r="E2934" s="33"/>
      <c r="F2934" s="33"/>
      <c r="G2934" s="33"/>
      <c r="H2934" s="33"/>
      <c r="I2934" s="33"/>
      <c r="J2934" s="33"/>
      <c r="K2934" s="33"/>
      <c r="L2934" s="33"/>
      <c r="M2934" s="33"/>
      <c r="N2934" s="33"/>
      <c r="O2934" s="33"/>
      <c r="P2934" s="33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  <c r="AB2934" s="33"/>
      <c r="AC2934" s="33"/>
      <c r="AD2934" s="33"/>
      <c r="AE2934" s="33"/>
      <c r="AF2934" s="33"/>
      <c r="AG2934" s="33"/>
      <c r="AH2934" s="33"/>
      <c r="AI2934" s="33"/>
      <c r="AJ2934" s="33"/>
      <c r="AK2934" s="33"/>
    </row>
    <row r="2935">
      <c r="A2935" s="33"/>
      <c r="B2935" s="33"/>
      <c r="C2935" s="33"/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  <c r="AB2935" s="33"/>
      <c r="AC2935" s="33"/>
      <c r="AD2935" s="33"/>
      <c r="AE2935" s="33"/>
      <c r="AF2935" s="33"/>
      <c r="AG2935" s="33"/>
      <c r="AH2935" s="33"/>
      <c r="AI2935" s="33"/>
      <c r="AJ2935" s="33"/>
      <c r="AK2935" s="33"/>
    </row>
    <row r="2936">
      <c r="A2936" s="33"/>
      <c r="B2936" s="33"/>
      <c r="C2936" s="33"/>
      <c r="D2936" s="33"/>
      <c r="E2936" s="33"/>
      <c r="F2936" s="33"/>
      <c r="G2936" s="33"/>
      <c r="H2936" s="33"/>
      <c r="I2936" s="33"/>
      <c r="J2936" s="33"/>
      <c r="K2936" s="33"/>
      <c r="L2936" s="33"/>
      <c r="M2936" s="33"/>
      <c r="N2936" s="33"/>
      <c r="O2936" s="33"/>
      <c r="P2936" s="33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  <c r="AB2936" s="33"/>
      <c r="AC2936" s="33"/>
      <c r="AD2936" s="33"/>
      <c r="AE2936" s="33"/>
      <c r="AF2936" s="33"/>
      <c r="AG2936" s="33"/>
      <c r="AH2936" s="33"/>
      <c r="AI2936" s="33"/>
      <c r="AJ2936" s="33"/>
      <c r="AK2936" s="33"/>
    </row>
    <row r="2937">
      <c r="A2937" s="33"/>
      <c r="B2937" s="33"/>
      <c r="C2937" s="33"/>
      <c r="D2937" s="33"/>
      <c r="E2937" s="33"/>
      <c r="F2937" s="33"/>
      <c r="G2937" s="33"/>
      <c r="H2937" s="33"/>
      <c r="I2937" s="33"/>
      <c r="J2937" s="33"/>
      <c r="K2937" s="33"/>
      <c r="L2937" s="33"/>
      <c r="M2937" s="33"/>
      <c r="N2937" s="33"/>
      <c r="O2937" s="33"/>
      <c r="P2937" s="33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  <c r="AB2937" s="33"/>
      <c r="AC2937" s="33"/>
      <c r="AD2937" s="33"/>
      <c r="AE2937" s="33"/>
      <c r="AF2937" s="33"/>
      <c r="AG2937" s="33"/>
      <c r="AH2937" s="33"/>
      <c r="AI2937" s="33"/>
      <c r="AJ2937" s="33"/>
      <c r="AK2937" s="33"/>
    </row>
    <row r="2938">
      <c r="A2938" s="33"/>
      <c r="B2938" s="33"/>
      <c r="C2938" s="33"/>
      <c r="D2938" s="33"/>
      <c r="E2938" s="33"/>
      <c r="F2938" s="33"/>
      <c r="G2938" s="33"/>
      <c r="H2938" s="33"/>
      <c r="I2938" s="33"/>
      <c r="J2938" s="33"/>
      <c r="K2938" s="33"/>
      <c r="L2938" s="33"/>
      <c r="M2938" s="33"/>
      <c r="N2938" s="33"/>
      <c r="O2938" s="33"/>
      <c r="P2938" s="33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  <c r="AB2938" s="33"/>
      <c r="AC2938" s="33"/>
      <c r="AD2938" s="33"/>
      <c r="AE2938" s="33"/>
      <c r="AF2938" s="33"/>
      <c r="AG2938" s="33"/>
      <c r="AH2938" s="33"/>
      <c r="AI2938" s="33"/>
      <c r="AJ2938" s="33"/>
      <c r="AK2938" s="33"/>
    </row>
    <row r="2939">
      <c r="A2939" s="33"/>
      <c r="B2939" s="33"/>
      <c r="C2939" s="33"/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  <c r="AB2939" s="33"/>
      <c r="AC2939" s="33"/>
      <c r="AD2939" s="33"/>
      <c r="AE2939" s="33"/>
      <c r="AF2939" s="33"/>
      <c r="AG2939" s="33"/>
      <c r="AH2939" s="33"/>
      <c r="AI2939" s="33"/>
      <c r="AJ2939" s="33"/>
      <c r="AK2939" s="33"/>
    </row>
    <row r="2940">
      <c r="A2940" s="33"/>
      <c r="B2940" s="33"/>
      <c r="C2940" s="33"/>
      <c r="D2940" s="33"/>
      <c r="E2940" s="33"/>
      <c r="F2940" s="33"/>
      <c r="G2940" s="33"/>
      <c r="H2940" s="33"/>
      <c r="I2940" s="33"/>
      <c r="J2940" s="33"/>
      <c r="K2940" s="33"/>
      <c r="L2940" s="33"/>
      <c r="M2940" s="33"/>
      <c r="N2940" s="33"/>
      <c r="O2940" s="33"/>
      <c r="P2940" s="33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  <c r="AB2940" s="33"/>
      <c r="AC2940" s="33"/>
      <c r="AD2940" s="33"/>
      <c r="AE2940" s="33"/>
      <c r="AF2940" s="33"/>
      <c r="AG2940" s="33"/>
      <c r="AH2940" s="33"/>
      <c r="AI2940" s="33"/>
      <c r="AJ2940" s="33"/>
      <c r="AK2940" s="33"/>
    </row>
    <row r="2941">
      <c r="A2941" s="33"/>
      <c r="B2941" s="33"/>
      <c r="C2941" s="33"/>
      <c r="D2941" s="33"/>
      <c r="E2941" s="33"/>
      <c r="F2941" s="33"/>
      <c r="G2941" s="33"/>
      <c r="H2941" s="33"/>
      <c r="I2941" s="33"/>
      <c r="J2941" s="33"/>
      <c r="K2941" s="33"/>
      <c r="L2941" s="33"/>
      <c r="M2941" s="33"/>
      <c r="N2941" s="33"/>
      <c r="O2941" s="33"/>
      <c r="P2941" s="33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  <c r="AB2941" s="33"/>
      <c r="AC2941" s="33"/>
      <c r="AD2941" s="33"/>
      <c r="AE2941" s="33"/>
      <c r="AF2941" s="33"/>
      <c r="AG2941" s="33"/>
      <c r="AH2941" s="33"/>
      <c r="AI2941" s="33"/>
      <c r="AJ2941" s="33"/>
      <c r="AK2941" s="33"/>
    </row>
    <row r="2942">
      <c r="A2942" s="33"/>
      <c r="B2942" s="33"/>
      <c r="C2942" s="33"/>
      <c r="D2942" s="33"/>
      <c r="E2942" s="33"/>
      <c r="F2942" s="33"/>
      <c r="G2942" s="33"/>
      <c r="H2942" s="33"/>
      <c r="I2942" s="33"/>
      <c r="J2942" s="33"/>
      <c r="K2942" s="33"/>
      <c r="L2942" s="33"/>
      <c r="M2942" s="33"/>
      <c r="N2942" s="33"/>
      <c r="O2942" s="33"/>
      <c r="P2942" s="33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  <c r="AB2942" s="33"/>
      <c r="AC2942" s="33"/>
      <c r="AD2942" s="33"/>
      <c r="AE2942" s="33"/>
      <c r="AF2942" s="33"/>
      <c r="AG2942" s="33"/>
      <c r="AH2942" s="33"/>
      <c r="AI2942" s="33"/>
      <c r="AJ2942" s="33"/>
      <c r="AK2942" s="33"/>
    </row>
    <row r="2943">
      <c r="A2943" s="33"/>
      <c r="B2943" s="33"/>
      <c r="C2943" s="33"/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  <c r="AB2943" s="33"/>
      <c r="AC2943" s="33"/>
      <c r="AD2943" s="33"/>
      <c r="AE2943" s="33"/>
      <c r="AF2943" s="33"/>
      <c r="AG2943" s="33"/>
      <c r="AH2943" s="33"/>
      <c r="AI2943" s="33"/>
      <c r="AJ2943" s="33"/>
      <c r="AK2943" s="33"/>
    </row>
    <row r="2944">
      <c r="A2944" s="33"/>
      <c r="B2944" s="33"/>
      <c r="C2944" s="33"/>
      <c r="D2944" s="33"/>
      <c r="E2944" s="33"/>
      <c r="F2944" s="33"/>
      <c r="G2944" s="33"/>
      <c r="H2944" s="33"/>
      <c r="I2944" s="33"/>
      <c r="J2944" s="33"/>
      <c r="K2944" s="33"/>
      <c r="L2944" s="33"/>
      <c r="M2944" s="33"/>
      <c r="N2944" s="33"/>
      <c r="O2944" s="33"/>
      <c r="P2944" s="33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  <c r="AB2944" s="33"/>
      <c r="AC2944" s="33"/>
      <c r="AD2944" s="33"/>
      <c r="AE2944" s="33"/>
      <c r="AF2944" s="33"/>
      <c r="AG2944" s="33"/>
      <c r="AH2944" s="33"/>
      <c r="AI2944" s="33"/>
      <c r="AJ2944" s="33"/>
      <c r="AK2944" s="33"/>
    </row>
    <row r="2945">
      <c r="A2945" s="33"/>
      <c r="B2945" s="33"/>
      <c r="C2945" s="33"/>
      <c r="D2945" s="33"/>
      <c r="E2945" s="33"/>
      <c r="F2945" s="33"/>
      <c r="G2945" s="33"/>
      <c r="H2945" s="33"/>
      <c r="I2945" s="33"/>
      <c r="J2945" s="33"/>
      <c r="K2945" s="33"/>
      <c r="L2945" s="33"/>
      <c r="M2945" s="33"/>
      <c r="N2945" s="33"/>
      <c r="O2945" s="33"/>
      <c r="P2945" s="33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  <c r="AB2945" s="33"/>
      <c r="AC2945" s="33"/>
      <c r="AD2945" s="33"/>
      <c r="AE2945" s="33"/>
      <c r="AF2945" s="33"/>
      <c r="AG2945" s="33"/>
      <c r="AH2945" s="33"/>
      <c r="AI2945" s="33"/>
      <c r="AJ2945" s="33"/>
      <c r="AK2945" s="33"/>
    </row>
    <row r="2946">
      <c r="A2946" s="33"/>
      <c r="B2946" s="33"/>
      <c r="C2946" s="33"/>
      <c r="D2946" s="33"/>
      <c r="E2946" s="33"/>
      <c r="F2946" s="33"/>
      <c r="G2946" s="33"/>
      <c r="H2946" s="33"/>
      <c r="I2946" s="33"/>
      <c r="J2946" s="33"/>
      <c r="K2946" s="33"/>
      <c r="L2946" s="33"/>
      <c r="M2946" s="33"/>
      <c r="N2946" s="33"/>
      <c r="O2946" s="33"/>
      <c r="P2946" s="33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  <c r="AB2946" s="33"/>
      <c r="AC2946" s="33"/>
      <c r="AD2946" s="33"/>
      <c r="AE2946" s="33"/>
      <c r="AF2946" s="33"/>
      <c r="AG2946" s="33"/>
      <c r="AH2946" s="33"/>
      <c r="AI2946" s="33"/>
      <c r="AJ2946" s="33"/>
      <c r="AK2946" s="33"/>
    </row>
    <row r="2947">
      <c r="A2947" s="33"/>
      <c r="B2947" s="33"/>
      <c r="C2947" s="33"/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  <c r="AB2947" s="33"/>
      <c r="AC2947" s="33"/>
      <c r="AD2947" s="33"/>
      <c r="AE2947" s="33"/>
      <c r="AF2947" s="33"/>
      <c r="AG2947" s="33"/>
      <c r="AH2947" s="33"/>
      <c r="AI2947" s="33"/>
      <c r="AJ2947" s="33"/>
      <c r="AK2947" s="33"/>
    </row>
    <row r="2948">
      <c r="A2948" s="33"/>
      <c r="B2948" s="33"/>
      <c r="C2948" s="33"/>
      <c r="D2948" s="33"/>
      <c r="E2948" s="33"/>
      <c r="F2948" s="33"/>
      <c r="G2948" s="33"/>
      <c r="H2948" s="33"/>
      <c r="I2948" s="33"/>
      <c r="J2948" s="33"/>
      <c r="K2948" s="33"/>
      <c r="L2948" s="33"/>
      <c r="M2948" s="33"/>
      <c r="N2948" s="33"/>
      <c r="O2948" s="33"/>
      <c r="P2948" s="33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  <c r="AB2948" s="33"/>
      <c r="AC2948" s="33"/>
      <c r="AD2948" s="33"/>
      <c r="AE2948" s="33"/>
      <c r="AF2948" s="33"/>
      <c r="AG2948" s="33"/>
      <c r="AH2948" s="33"/>
      <c r="AI2948" s="33"/>
      <c r="AJ2948" s="33"/>
      <c r="AK2948" s="33"/>
    </row>
    <row r="2949">
      <c r="A2949" s="33"/>
      <c r="B2949" s="33"/>
      <c r="C2949" s="33"/>
      <c r="D2949" s="33"/>
      <c r="E2949" s="33"/>
      <c r="F2949" s="33"/>
      <c r="G2949" s="33"/>
      <c r="H2949" s="33"/>
      <c r="I2949" s="33"/>
      <c r="J2949" s="33"/>
      <c r="K2949" s="33"/>
      <c r="L2949" s="33"/>
      <c r="M2949" s="33"/>
      <c r="N2949" s="33"/>
      <c r="O2949" s="33"/>
      <c r="P2949" s="33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  <c r="AB2949" s="33"/>
      <c r="AC2949" s="33"/>
      <c r="AD2949" s="33"/>
      <c r="AE2949" s="33"/>
      <c r="AF2949" s="33"/>
      <c r="AG2949" s="33"/>
      <c r="AH2949" s="33"/>
      <c r="AI2949" s="33"/>
      <c r="AJ2949" s="33"/>
      <c r="AK2949" s="33"/>
    </row>
    <row r="2950">
      <c r="A2950" s="33"/>
      <c r="B2950" s="33"/>
      <c r="C2950" s="33"/>
      <c r="D2950" s="33"/>
      <c r="E2950" s="33"/>
      <c r="F2950" s="33"/>
      <c r="G2950" s="33"/>
      <c r="H2950" s="33"/>
      <c r="I2950" s="33"/>
      <c r="J2950" s="33"/>
      <c r="K2950" s="33"/>
      <c r="L2950" s="33"/>
      <c r="M2950" s="33"/>
      <c r="N2950" s="33"/>
      <c r="O2950" s="33"/>
      <c r="P2950" s="33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  <c r="AB2950" s="33"/>
      <c r="AC2950" s="33"/>
      <c r="AD2950" s="33"/>
      <c r="AE2950" s="33"/>
      <c r="AF2950" s="33"/>
      <c r="AG2950" s="33"/>
      <c r="AH2950" s="33"/>
      <c r="AI2950" s="33"/>
      <c r="AJ2950" s="33"/>
      <c r="AK2950" s="33"/>
    </row>
    <row r="2951">
      <c r="A2951" s="33"/>
      <c r="B2951" s="33"/>
      <c r="C2951" s="33"/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  <c r="AB2951" s="33"/>
      <c r="AC2951" s="33"/>
      <c r="AD2951" s="33"/>
      <c r="AE2951" s="33"/>
      <c r="AF2951" s="33"/>
      <c r="AG2951" s="33"/>
      <c r="AH2951" s="33"/>
      <c r="AI2951" s="33"/>
      <c r="AJ2951" s="33"/>
      <c r="AK2951" s="33"/>
    </row>
    <row r="2952">
      <c r="A2952" s="33"/>
      <c r="B2952" s="33"/>
      <c r="C2952" s="33"/>
      <c r="D2952" s="33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33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  <c r="AB2952" s="33"/>
      <c r="AC2952" s="33"/>
      <c r="AD2952" s="33"/>
      <c r="AE2952" s="33"/>
      <c r="AF2952" s="33"/>
      <c r="AG2952" s="33"/>
      <c r="AH2952" s="33"/>
      <c r="AI2952" s="33"/>
      <c r="AJ2952" s="33"/>
      <c r="AK2952" s="33"/>
    </row>
    <row r="2953">
      <c r="A2953" s="33"/>
      <c r="B2953" s="33"/>
      <c r="C2953" s="33"/>
      <c r="D2953" s="33"/>
      <c r="E2953" s="33"/>
      <c r="F2953" s="33"/>
      <c r="G2953" s="33"/>
      <c r="H2953" s="33"/>
      <c r="I2953" s="33"/>
      <c r="J2953" s="33"/>
      <c r="K2953" s="33"/>
      <c r="L2953" s="33"/>
      <c r="M2953" s="33"/>
      <c r="N2953" s="33"/>
      <c r="O2953" s="33"/>
      <c r="P2953" s="33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  <c r="AB2953" s="33"/>
      <c r="AC2953" s="33"/>
      <c r="AD2953" s="33"/>
      <c r="AE2953" s="33"/>
      <c r="AF2953" s="33"/>
      <c r="AG2953" s="33"/>
      <c r="AH2953" s="33"/>
      <c r="AI2953" s="33"/>
      <c r="AJ2953" s="33"/>
      <c r="AK2953" s="33"/>
    </row>
    <row r="2954">
      <c r="A2954" s="33"/>
      <c r="B2954" s="33"/>
      <c r="C2954" s="33"/>
      <c r="D2954" s="33"/>
      <c r="E2954" s="33"/>
      <c r="F2954" s="33"/>
      <c r="G2954" s="33"/>
      <c r="H2954" s="33"/>
      <c r="I2954" s="33"/>
      <c r="J2954" s="33"/>
      <c r="K2954" s="33"/>
      <c r="L2954" s="33"/>
      <c r="M2954" s="33"/>
      <c r="N2954" s="33"/>
      <c r="O2954" s="33"/>
      <c r="P2954" s="33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  <c r="AB2954" s="33"/>
      <c r="AC2954" s="33"/>
      <c r="AD2954" s="33"/>
      <c r="AE2954" s="33"/>
      <c r="AF2954" s="33"/>
      <c r="AG2954" s="33"/>
      <c r="AH2954" s="33"/>
      <c r="AI2954" s="33"/>
      <c r="AJ2954" s="33"/>
      <c r="AK2954" s="33"/>
    </row>
    <row r="2955">
      <c r="A2955" s="33"/>
      <c r="B2955" s="33"/>
      <c r="C2955" s="33"/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  <c r="AB2955" s="33"/>
      <c r="AC2955" s="33"/>
      <c r="AD2955" s="33"/>
      <c r="AE2955" s="33"/>
      <c r="AF2955" s="33"/>
      <c r="AG2955" s="33"/>
      <c r="AH2955" s="33"/>
      <c r="AI2955" s="33"/>
      <c r="AJ2955" s="33"/>
      <c r="AK2955" s="33"/>
    </row>
    <row r="2956">
      <c r="A2956" s="33"/>
      <c r="B2956" s="33"/>
      <c r="C2956" s="33"/>
      <c r="D2956" s="33"/>
      <c r="E2956" s="33"/>
      <c r="F2956" s="33"/>
      <c r="G2956" s="33"/>
      <c r="H2956" s="33"/>
      <c r="I2956" s="33"/>
      <c r="J2956" s="33"/>
      <c r="K2956" s="33"/>
      <c r="L2956" s="33"/>
      <c r="M2956" s="33"/>
      <c r="N2956" s="33"/>
      <c r="O2956" s="33"/>
      <c r="P2956" s="33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  <c r="AB2956" s="33"/>
      <c r="AC2956" s="33"/>
      <c r="AD2956" s="33"/>
      <c r="AE2956" s="33"/>
      <c r="AF2956" s="33"/>
      <c r="AG2956" s="33"/>
      <c r="AH2956" s="33"/>
      <c r="AI2956" s="33"/>
      <c r="AJ2956" s="33"/>
      <c r="AK2956" s="33"/>
    </row>
    <row r="2957">
      <c r="A2957" s="33"/>
      <c r="B2957" s="33"/>
      <c r="C2957" s="33"/>
      <c r="D2957" s="33"/>
      <c r="E2957" s="33"/>
      <c r="F2957" s="33"/>
      <c r="G2957" s="33"/>
      <c r="H2957" s="33"/>
      <c r="I2957" s="33"/>
      <c r="J2957" s="33"/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  <c r="AB2957" s="33"/>
      <c r="AC2957" s="33"/>
      <c r="AD2957" s="33"/>
      <c r="AE2957" s="33"/>
      <c r="AF2957" s="33"/>
      <c r="AG2957" s="33"/>
      <c r="AH2957" s="33"/>
      <c r="AI2957" s="33"/>
      <c r="AJ2957" s="33"/>
      <c r="AK2957" s="33"/>
    </row>
    <row r="2958">
      <c r="A2958" s="33"/>
      <c r="B2958" s="33"/>
      <c r="C2958" s="33"/>
      <c r="D2958" s="33"/>
      <c r="E2958" s="33"/>
      <c r="F2958" s="33"/>
      <c r="G2958" s="33"/>
      <c r="H2958" s="33"/>
      <c r="I2958" s="33"/>
      <c r="J2958" s="33"/>
      <c r="K2958" s="33"/>
      <c r="L2958" s="33"/>
      <c r="M2958" s="33"/>
      <c r="N2958" s="33"/>
      <c r="O2958" s="33"/>
      <c r="P2958" s="33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  <c r="AB2958" s="33"/>
      <c r="AC2958" s="33"/>
      <c r="AD2958" s="33"/>
      <c r="AE2958" s="33"/>
      <c r="AF2958" s="33"/>
      <c r="AG2958" s="33"/>
      <c r="AH2958" s="33"/>
      <c r="AI2958" s="33"/>
      <c r="AJ2958" s="33"/>
      <c r="AK2958" s="33"/>
    </row>
    <row r="2959">
      <c r="A2959" s="33"/>
      <c r="B2959" s="33"/>
      <c r="C2959" s="33"/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</row>
    <row r="2960">
      <c r="A2960" s="33"/>
      <c r="B2960" s="33"/>
      <c r="C2960" s="33"/>
      <c r="D2960" s="33"/>
      <c r="E2960" s="33"/>
      <c r="F2960" s="33"/>
      <c r="G2960" s="33"/>
      <c r="H2960" s="33"/>
      <c r="I2960" s="33"/>
      <c r="J2960" s="33"/>
      <c r="K2960" s="33"/>
      <c r="L2960" s="33"/>
      <c r="M2960" s="33"/>
      <c r="N2960" s="33"/>
      <c r="O2960" s="33"/>
      <c r="P2960" s="33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  <c r="AB2960" s="33"/>
      <c r="AC2960" s="33"/>
      <c r="AD2960" s="33"/>
      <c r="AE2960" s="33"/>
      <c r="AF2960" s="33"/>
      <c r="AG2960" s="33"/>
      <c r="AH2960" s="33"/>
      <c r="AI2960" s="33"/>
      <c r="AJ2960" s="33"/>
      <c r="AK2960" s="33"/>
    </row>
    <row r="2961">
      <c r="A2961" s="33"/>
      <c r="B2961" s="33"/>
      <c r="C2961" s="33"/>
      <c r="D2961" s="33"/>
      <c r="E2961" s="33"/>
      <c r="F2961" s="33"/>
      <c r="G2961" s="33"/>
      <c r="H2961" s="33"/>
      <c r="I2961" s="33"/>
      <c r="J2961" s="33"/>
      <c r="K2961" s="33"/>
      <c r="L2961" s="33"/>
      <c r="M2961" s="33"/>
      <c r="N2961" s="33"/>
      <c r="O2961" s="33"/>
      <c r="P2961" s="33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  <c r="AB2961" s="33"/>
      <c r="AC2961" s="33"/>
      <c r="AD2961" s="33"/>
      <c r="AE2961" s="33"/>
      <c r="AF2961" s="33"/>
      <c r="AG2961" s="33"/>
      <c r="AH2961" s="33"/>
      <c r="AI2961" s="33"/>
      <c r="AJ2961" s="33"/>
      <c r="AK2961" s="33"/>
    </row>
    <row r="2962">
      <c r="A2962" s="33"/>
      <c r="B2962" s="33"/>
      <c r="C2962" s="33"/>
      <c r="D2962" s="33"/>
      <c r="E2962" s="33"/>
      <c r="F2962" s="33"/>
      <c r="G2962" s="33"/>
      <c r="H2962" s="33"/>
      <c r="I2962" s="33"/>
      <c r="J2962" s="33"/>
      <c r="K2962" s="33"/>
      <c r="L2962" s="33"/>
      <c r="M2962" s="33"/>
      <c r="N2962" s="33"/>
      <c r="O2962" s="33"/>
      <c r="P2962" s="33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  <c r="AB2962" s="33"/>
      <c r="AC2962" s="33"/>
      <c r="AD2962" s="33"/>
      <c r="AE2962" s="33"/>
      <c r="AF2962" s="33"/>
      <c r="AG2962" s="33"/>
      <c r="AH2962" s="33"/>
      <c r="AI2962" s="33"/>
      <c r="AJ2962" s="33"/>
      <c r="AK2962" s="33"/>
    </row>
    <row r="2963">
      <c r="A2963" s="33"/>
      <c r="B2963" s="33"/>
      <c r="C2963" s="33"/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  <c r="AB2963" s="33"/>
      <c r="AC2963" s="33"/>
      <c r="AD2963" s="33"/>
      <c r="AE2963" s="33"/>
      <c r="AF2963" s="33"/>
      <c r="AG2963" s="33"/>
      <c r="AH2963" s="33"/>
      <c r="AI2963" s="33"/>
      <c r="AJ2963" s="33"/>
      <c r="AK2963" s="33"/>
    </row>
    <row r="2964">
      <c r="A2964" s="33"/>
      <c r="B2964" s="33"/>
      <c r="C2964" s="33"/>
      <c r="D2964" s="33"/>
      <c r="E2964" s="33"/>
      <c r="F2964" s="33"/>
      <c r="G2964" s="33"/>
      <c r="H2964" s="33"/>
      <c r="I2964" s="33"/>
      <c r="J2964" s="33"/>
      <c r="K2964" s="33"/>
      <c r="L2964" s="33"/>
      <c r="M2964" s="33"/>
      <c r="N2964" s="33"/>
      <c r="O2964" s="33"/>
      <c r="P2964" s="33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  <c r="AB2964" s="33"/>
      <c r="AC2964" s="33"/>
      <c r="AD2964" s="33"/>
      <c r="AE2964" s="33"/>
      <c r="AF2964" s="33"/>
      <c r="AG2964" s="33"/>
      <c r="AH2964" s="33"/>
      <c r="AI2964" s="33"/>
      <c r="AJ2964" s="33"/>
      <c r="AK2964" s="33"/>
    </row>
    <row r="2965">
      <c r="A2965" s="33"/>
      <c r="B2965" s="33"/>
      <c r="C2965" s="33"/>
      <c r="D2965" s="33"/>
      <c r="E2965" s="33"/>
      <c r="F2965" s="33"/>
      <c r="G2965" s="33"/>
      <c r="H2965" s="33"/>
      <c r="I2965" s="33"/>
      <c r="J2965" s="33"/>
      <c r="K2965" s="33"/>
      <c r="L2965" s="33"/>
      <c r="M2965" s="33"/>
      <c r="N2965" s="33"/>
      <c r="O2965" s="33"/>
      <c r="P2965" s="33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  <c r="AB2965" s="33"/>
      <c r="AC2965" s="33"/>
      <c r="AD2965" s="33"/>
      <c r="AE2965" s="33"/>
      <c r="AF2965" s="33"/>
      <c r="AG2965" s="33"/>
      <c r="AH2965" s="33"/>
      <c r="AI2965" s="33"/>
      <c r="AJ2965" s="33"/>
      <c r="AK2965" s="33"/>
    </row>
    <row r="2966">
      <c r="A2966" s="33"/>
      <c r="B2966" s="33"/>
      <c r="C2966" s="33"/>
      <c r="D2966" s="33"/>
      <c r="E2966" s="33"/>
      <c r="F2966" s="33"/>
      <c r="G2966" s="33"/>
      <c r="H2966" s="33"/>
      <c r="I2966" s="33"/>
      <c r="J2966" s="33"/>
      <c r="K2966" s="33"/>
      <c r="L2966" s="33"/>
      <c r="M2966" s="33"/>
      <c r="N2966" s="33"/>
      <c r="O2966" s="33"/>
      <c r="P2966" s="33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  <c r="AB2966" s="33"/>
      <c r="AC2966" s="33"/>
      <c r="AD2966" s="33"/>
      <c r="AE2966" s="33"/>
      <c r="AF2966" s="33"/>
      <c r="AG2966" s="33"/>
      <c r="AH2966" s="33"/>
      <c r="AI2966" s="33"/>
      <c r="AJ2966" s="33"/>
      <c r="AK2966" s="33"/>
    </row>
    <row r="2967">
      <c r="A2967" s="33"/>
      <c r="B2967" s="33"/>
      <c r="C2967" s="33"/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  <c r="AB2967" s="33"/>
      <c r="AC2967" s="33"/>
      <c r="AD2967" s="33"/>
      <c r="AE2967" s="33"/>
      <c r="AF2967" s="33"/>
      <c r="AG2967" s="33"/>
      <c r="AH2967" s="33"/>
      <c r="AI2967" s="33"/>
      <c r="AJ2967" s="33"/>
      <c r="AK2967" s="33"/>
    </row>
    <row r="2968">
      <c r="A2968" s="33"/>
      <c r="B2968" s="33"/>
      <c r="C2968" s="33"/>
      <c r="D2968" s="33"/>
      <c r="E2968" s="33"/>
      <c r="F2968" s="33"/>
      <c r="G2968" s="33"/>
      <c r="H2968" s="33"/>
      <c r="I2968" s="33"/>
      <c r="J2968" s="33"/>
      <c r="K2968" s="33"/>
      <c r="L2968" s="33"/>
      <c r="M2968" s="33"/>
      <c r="N2968" s="33"/>
      <c r="O2968" s="33"/>
      <c r="P2968" s="33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  <c r="AB2968" s="33"/>
      <c r="AC2968" s="33"/>
      <c r="AD2968" s="33"/>
      <c r="AE2968" s="33"/>
      <c r="AF2968" s="33"/>
      <c r="AG2968" s="33"/>
      <c r="AH2968" s="33"/>
      <c r="AI2968" s="33"/>
      <c r="AJ2968" s="33"/>
      <c r="AK2968" s="33"/>
    </row>
    <row r="2969">
      <c r="A2969" s="33"/>
      <c r="B2969" s="33"/>
      <c r="C2969" s="33"/>
      <c r="D2969" s="33"/>
      <c r="E2969" s="33"/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33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  <c r="AB2969" s="33"/>
      <c r="AC2969" s="33"/>
      <c r="AD2969" s="33"/>
      <c r="AE2969" s="33"/>
      <c r="AF2969" s="33"/>
      <c r="AG2969" s="33"/>
      <c r="AH2969" s="33"/>
      <c r="AI2969" s="33"/>
      <c r="AJ2969" s="33"/>
      <c r="AK2969" s="33"/>
    </row>
    <row r="2970">
      <c r="A2970" s="33"/>
      <c r="B2970" s="33"/>
      <c r="C2970" s="33"/>
      <c r="D2970" s="33"/>
      <c r="E2970" s="33"/>
      <c r="F2970" s="33"/>
      <c r="G2970" s="33"/>
      <c r="H2970" s="33"/>
      <c r="I2970" s="33"/>
      <c r="J2970" s="33"/>
      <c r="K2970" s="33"/>
      <c r="L2970" s="33"/>
      <c r="M2970" s="33"/>
      <c r="N2970" s="33"/>
      <c r="O2970" s="33"/>
      <c r="P2970" s="33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  <c r="AB2970" s="33"/>
      <c r="AC2970" s="33"/>
      <c r="AD2970" s="33"/>
      <c r="AE2970" s="33"/>
      <c r="AF2970" s="33"/>
      <c r="AG2970" s="33"/>
      <c r="AH2970" s="33"/>
      <c r="AI2970" s="33"/>
      <c r="AJ2970" s="33"/>
      <c r="AK2970" s="33"/>
    </row>
    <row r="2971">
      <c r="A2971" s="33"/>
      <c r="B2971" s="33"/>
      <c r="C2971" s="33"/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  <c r="AB2971" s="33"/>
      <c r="AC2971" s="33"/>
      <c r="AD2971" s="33"/>
      <c r="AE2971" s="33"/>
      <c r="AF2971" s="33"/>
      <c r="AG2971" s="33"/>
      <c r="AH2971" s="33"/>
      <c r="AI2971" s="33"/>
      <c r="AJ2971" s="33"/>
      <c r="AK2971" s="33"/>
    </row>
    <row r="2972">
      <c r="A2972" s="33"/>
      <c r="B2972" s="33"/>
      <c r="C2972" s="33"/>
      <c r="D2972" s="33"/>
      <c r="E2972" s="33"/>
      <c r="F2972" s="33"/>
      <c r="G2972" s="33"/>
      <c r="H2972" s="33"/>
      <c r="I2972" s="33"/>
      <c r="J2972" s="33"/>
      <c r="K2972" s="33"/>
      <c r="L2972" s="33"/>
      <c r="M2972" s="33"/>
      <c r="N2972" s="33"/>
      <c r="O2972" s="33"/>
      <c r="P2972" s="33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  <c r="AB2972" s="33"/>
      <c r="AC2972" s="33"/>
      <c r="AD2972" s="33"/>
      <c r="AE2972" s="33"/>
      <c r="AF2972" s="33"/>
      <c r="AG2972" s="33"/>
      <c r="AH2972" s="33"/>
      <c r="AI2972" s="33"/>
      <c r="AJ2972" s="33"/>
      <c r="AK2972" s="33"/>
    </row>
    <row r="2973">
      <c r="A2973" s="33"/>
      <c r="B2973" s="33"/>
      <c r="C2973" s="33"/>
      <c r="D2973" s="33"/>
      <c r="E2973" s="33"/>
      <c r="F2973" s="33"/>
      <c r="G2973" s="33"/>
      <c r="H2973" s="33"/>
      <c r="I2973" s="33"/>
      <c r="J2973" s="33"/>
      <c r="K2973" s="33"/>
      <c r="L2973" s="33"/>
      <c r="M2973" s="33"/>
      <c r="N2973" s="33"/>
      <c r="O2973" s="33"/>
      <c r="P2973" s="33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  <c r="AB2973" s="33"/>
      <c r="AC2973" s="33"/>
      <c r="AD2973" s="33"/>
      <c r="AE2973" s="33"/>
      <c r="AF2973" s="33"/>
      <c r="AG2973" s="33"/>
      <c r="AH2973" s="33"/>
      <c r="AI2973" s="33"/>
      <c r="AJ2973" s="33"/>
      <c r="AK2973" s="33"/>
    </row>
    <row r="2974">
      <c r="A2974" s="33"/>
      <c r="B2974" s="33"/>
      <c r="C2974" s="33"/>
      <c r="D2974" s="33"/>
      <c r="E2974" s="33"/>
      <c r="F2974" s="33"/>
      <c r="G2974" s="33"/>
      <c r="H2974" s="33"/>
      <c r="I2974" s="33"/>
      <c r="J2974" s="33"/>
      <c r="K2974" s="33"/>
      <c r="L2974" s="33"/>
      <c r="M2974" s="33"/>
      <c r="N2974" s="33"/>
      <c r="O2974" s="33"/>
      <c r="P2974" s="33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  <c r="AB2974" s="33"/>
      <c r="AC2974" s="33"/>
      <c r="AD2974" s="33"/>
      <c r="AE2974" s="33"/>
      <c r="AF2974" s="33"/>
      <c r="AG2974" s="33"/>
      <c r="AH2974" s="33"/>
      <c r="AI2974" s="33"/>
      <c r="AJ2974" s="33"/>
      <c r="AK2974" s="33"/>
    </row>
    <row r="2975">
      <c r="A2975" s="33"/>
      <c r="B2975" s="33"/>
      <c r="C2975" s="33"/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  <c r="AB2975" s="33"/>
      <c r="AC2975" s="33"/>
      <c r="AD2975" s="33"/>
      <c r="AE2975" s="33"/>
      <c r="AF2975" s="33"/>
      <c r="AG2975" s="33"/>
      <c r="AH2975" s="33"/>
      <c r="AI2975" s="33"/>
      <c r="AJ2975" s="33"/>
      <c r="AK2975" s="33"/>
    </row>
    <row r="2976">
      <c r="A2976" s="33"/>
      <c r="B2976" s="33"/>
      <c r="C2976" s="33"/>
      <c r="D2976" s="33"/>
      <c r="E2976" s="33"/>
      <c r="F2976" s="33"/>
      <c r="G2976" s="33"/>
      <c r="H2976" s="33"/>
      <c r="I2976" s="33"/>
      <c r="J2976" s="33"/>
      <c r="K2976" s="33"/>
      <c r="L2976" s="33"/>
      <c r="M2976" s="33"/>
      <c r="N2976" s="33"/>
      <c r="O2976" s="33"/>
      <c r="P2976" s="33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  <c r="AB2976" s="33"/>
      <c r="AC2976" s="33"/>
      <c r="AD2976" s="33"/>
      <c r="AE2976" s="33"/>
      <c r="AF2976" s="33"/>
      <c r="AG2976" s="33"/>
      <c r="AH2976" s="33"/>
      <c r="AI2976" s="33"/>
      <c r="AJ2976" s="33"/>
      <c r="AK2976" s="33"/>
    </row>
    <row r="2977">
      <c r="A2977" s="33"/>
      <c r="B2977" s="33"/>
      <c r="C2977" s="33"/>
      <c r="D2977" s="33"/>
      <c r="E2977" s="33"/>
      <c r="F2977" s="33"/>
      <c r="G2977" s="33"/>
      <c r="H2977" s="33"/>
      <c r="I2977" s="33"/>
      <c r="J2977" s="33"/>
      <c r="K2977" s="33"/>
      <c r="L2977" s="33"/>
      <c r="M2977" s="33"/>
      <c r="N2977" s="33"/>
      <c r="O2977" s="33"/>
      <c r="P2977" s="33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  <c r="AB2977" s="33"/>
      <c r="AC2977" s="33"/>
      <c r="AD2977" s="33"/>
      <c r="AE2977" s="33"/>
      <c r="AF2977" s="33"/>
      <c r="AG2977" s="33"/>
      <c r="AH2977" s="33"/>
      <c r="AI2977" s="33"/>
      <c r="AJ2977" s="33"/>
      <c r="AK2977" s="33"/>
    </row>
    <row r="2978">
      <c r="A2978" s="33"/>
      <c r="B2978" s="33"/>
      <c r="C2978" s="33"/>
      <c r="D2978" s="33"/>
      <c r="E2978" s="33"/>
      <c r="F2978" s="33"/>
      <c r="G2978" s="33"/>
      <c r="H2978" s="33"/>
      <c r="I2978" s="33"/>
      <c r="J2978" s="33"/>
      <c r="K2978" s="33"/>
      <c r="L2978" s="33"/>
      <c r="M2978" s="33"/>
      <c r="N2978" s="33"/>
      <c r="O2978" s="33"/>
      <c r="P2978" s="33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  <c r="AB2978" s="33"/>
      <c r="AC2978" s="33"/>
      <c r="AD2978" s="33"/>
      <c r="AE2978" s="33"/>
      <c r="AF2978" s="33"/>
      <c r="AG2978" s="33"/>
      <c r="AH2978" s="33"/>
      <c r="AI2978" s="33"/>
      <c r="AJ2978" s="33"/>
      <c r="AK2978" s="33"/>
    </row>
    <row r="2979">
      <c r="A2979" s="33"/>
      <c r="B2979" s="33"/>
      <c r="C2979" s="33"/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  <c r="AB2979" s="33"/>
      <c r="AC2979" s="33"/>
      <c r="AD2979" s="33"/>
      <c r="AE2979" s="33"/>
      <c r="AF2979" s="33"/>
      <c r="AG2979" s="33"/>
      <c r="AH2979" s="33"/>
      <c r="AI2979" s="33"/>
      <c r="AJ2979" s="33"/>
      <c r="AK2979" s="33"/>
    </row>
    <row r="2980">
      <c r="A2980" s="33"/>
      <c r="B2980" s="33"/>
      <c r="C2980" s="33"/>
      <c r="D2980" s="33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33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  <c r="AB2980" s="33"/>
      <c r="AC2980" s="33"/>
      <c r="AD2980" s="33"/>
      <c r="AE2980" s="33"/>
      <c r="AF2980" s="33"/>
      <c r="AG2980" s="33"/>
      <c r="AH2980" s="33"/>
      <c r="AI2980" s="33"/>
      <c r="AJ2980" s="33"/>
      <c r="AK2980" s="33"/>
    </row>
    <row r="2981">
      <c r="A2981" s="33"/>
      <c r="B2981" s="33"/>
      <c r="C2981" s="33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  <c r="AB2981" s="33"/>
      <c r="AC2981" s="33"/>
      <c r="AD2981" s="33"/>
      <c r="AE2981" s="33"/>
      <c r="AF2981" s="33"/>
      <c r="AG2981" s="33"/>
      <c r="AH2981" s="33"/>
      <c r="AI2981" s="33"/>
      <c r="AJ2981" s="33"/>
      <c r="AK2981" s="33"/>
    </row>
    <row r="2982">
      <c r="A2982" s="33"/>
      <c r="B2982" s="33"/>
      <c r="C2982" s="33"/>
      <c r="D2982" s="33"/>
      <c r="E2982" s="33"/>
      <c r="F2982" s="33"/>
      <c r="G2982" s="33"/>
      <c r="H2982" s="33"/>
      <c r="I2982" s="33"/>
      <c r="J2982" s="33"/>
      <c r="K2982" s="33"/>
      <c r="L2982" s="33"/>
      <c r="M2982" s="33"/>
      <c r="N2982" s="33"/>
      <c r="O2982" s="33"/>
      <c r="P2982" s="33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  <c r="AB2982" s="33"/>
      <c r="AC2982" s="33"/>
      <c r="AD2982" s="33"/>
      <c r="AE2982" s="33"/>
      <c r="AF2982" s="33"/>
      <c r="AG2982" s="33"/>
      <c r="AH2982" s="33"/>
      <c r="AI2982" s="33"/>
      <c r="AJ2982" s="33"/>
      <c r="AK2982" s="33"/>
    </row>
    <row r="2983">
      <c r="A2983" s="33"/>
      <c r="B2983" s="33"/>
      <c r="C2983" s="33"/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  <c r="AB2983" s="33"/>
      <c r="AC2983" s="33"/>
      <c r="AD2983" s="33"/>
      <c r="AE2983" s="33"/>
      <c r="AF2983" s="33"/>
      <c r="AG2983" s="33"/>
      <c r="AH2983" s="33"/>
      <c r="AI2983" s="33"/>
      <c r="AJ2983" s="33"/>
      <c r="AK2983" s="33"/>
    </row>
    <row r="2984">
      <c r="A2984" s="33"/>
      <c r="B2984" s="33"/>
      <c r="C2984" s="33"/>
      <c r="D2984" s="33"/>
      <c r="E2984" s="33"/>
      <c r="F2984" s="33"/>
      <c r="G2984" s="33"/>
      <c r="H2984" s="33"/>
      <c r="I2984" s="33"/>
      <c r="J2984" s="33"/>
      <c r="K2984" s="33"/>
      <c r="L2984" s="33"/>
      <c r="M2984" s="33"/>
      <c r="N2984" s="33"/>
      <c r="O2984" s="33"/>
      <c r="P2984" s="33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  <c r="AB2984" s="33"/>
      <c r="AC2984" s="33"/>
      <c r="AD2984" s="33"/>
      <c r="AE2984" s="33"/>
      <c r="AF2984" s="33"/>
      <c r="AG2984" s="33"/>
      <c r="AH2984" s="33"/>
      <c r="AI2984" s="33"/>
      <c r="AJ2984" s="33"/>
      <c r="AK2984" s="33"/>
    </row>
    <row r="2985">
      <c r="A2985" s="33"/>
      <c r="B2985" s="33"/>
      <c r="C2985" s="33"/>
      <c r="D2985" s="33"/>
      <c r="E2985" s="33"/>
      <c r="F2985" s="33"/>
      <c r="G2985" s="33"/>
      <c r="H2985" s="33"/>
      <c r="I2985" s="33"/>
      <c r="J2985" s="33"/>
      <c r="K2985" s="33"/>
      <c r="L2985" s="33"/>
      <c r="M2985" s="33"/>
      <c r="N2985" s="33"/>
      <c r="O2985" s="33"/>
      <c r="P2985" s="33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  <c r="AB2985" s="33"/>
      <c r="AC2985" s="33"/>
      <c r="AD2985" s="33"/>
      <c r="AE2985" s="33"/>
      <c r="AF2985" s="33"/>
      <c r="AG2985" s="33"/>
      <c r="AH2985" s="33"/>
      <c r="AI2985" s="33"/>
      <c r="AJ2985" s="33"/>
      <c r="AK2985" s="33"/>
    </row>
    <row r="2986">
      <c r="A2986" s="33"/>
      <c r="B2986" s="33"/>
      <c r="C2986" s="33"/>
      <c r="D2986" s="33"/>
      <c r="E2986" s="33"/>
      <c r="F2986" s="33"/>
      <c r="G2986" s="33"/>
      <c r="H2986" s="33"/>
      <c r="I2986" s="33"/>
      <c r="J2986" s="33"/>
      <c r="K2986" s="33"/>
      <c r="L2986" s="33"/>
      <c r="M2986" s="33"/>
      <c r="N2986" s="33"/>
      <c r="O2986" s="33"/>
      <c r="P2986" s="33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  <c r="AB2986" s="33"/>
      <c r="AC2986" s="33"/>
      <c r="AD2986" s="33"/>
      <c r="AE2986" s="33"/>
      <c r="AF2986" s="33"/>
      <c r="AG2986" s="33"/>
      <c r="AH2986" s="33"/>
      <c r="AI2986" s="33"/>
      <c r="AJ2986" s="33"/>
      <c r="AK2986" s="33"/>
    </row>
    <row r="2987">
      <c r="A2987" s="33"/>
      <c r="B2987" s="33"/>
      <c r="C2987" s="33"/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  <c r="AB2987" s="33"/>
      <c r="AC2987" s="33"/>
      <c r="AD2987" s="33"/>
      <c r="AE2987" s="33"/>
      <c r="AF2987" s="33"/>
      <c r="AG2987" s="33"/>
      <c r="AH2987" s="33"/>
      <c r="AI2987" s="33"/>
      <c r="AJ2987" s="33"/>
      <c r="AK2987" s="33"/>
    </row>
    <row r="2988">
      <c r="A2988" s="33"/>
      <c r="B2988" s="33"/>
      <c r="C2988" s="33"/>
      <c r="D2988" s="33"/>
      <c r="E2988" s="33"/>
      <c r="F2988" s="33"/>
      <c r="G2988" s="33"/>
      <c r="H2988" s="33"/>
      <c r="I2988" s="33"/>
      <c r="J2988" s="33"/>
      <c r="K2988" s="33"/>
      <c r="L2988" s="33"/>
      <c r="M2988" s="33"/>
      <c r="N2988" s="33"/>
      <c r="O2988" s="33"/>
      <c r="P2988" s="33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  <c r="AB2988" s="33"/>
      <c r="AC2988" s="33"/>
      <c r="AD2988" s="33"/>
      <c r="AE2988" s="33"/>
      <c r="AF2988" s="33"/>
      <c r="AG2988" s="33"/>
      <c r="AH2988" s="33"/>
      <c r="AI2988" s="33"/>
      <c r="AJ2988" s="33"/>
      <c r="AK2988" s="33"/>
    </row>
    <row r="2989">
      <c r="A2989" s="33"/>
      <c r="B2989" s="33"/>
      <c r="C2989" s="33"/>
      <c r="D2989" s="33"/>
      <c r="E2989" s="33"/>
      <c r="F2989" s="33"/>
      <c r="G2989" s="33"/>
      <c r="H2989" s="33"/>
      <c r="I2989" s="33"/>
      <c r="J2989" s="33"/>
      <c r="K2989" s="33"/>
      <c r="L2989" s="33"/>
      <c r="M2989" s="33"/>
      <c r="N2989" s="33"/>
      <c r="O2989" s="33"/>
      <c r="P2989" s="33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  <c r="AB2989" s="33"/>
      <c r="AC2989" s="33"/>
      <c r="AD2989" s="33"/>
      <c r="AE2989" s="33"/>
      <c r="AF2989" s="33"/>
      <c r="AG2989" s="33"/>
      <c r="AH2989" s="33"/>
      <c r="AI2989" s="33"/>
      <c r="AJ2989" s="33"/>
      <c r="AK2989" s="33"/>
    </row>
    <row r="2990">
      <c r="A2990" s="33"/>
      <c r="B2990" s="33"/>
      <c r="C2990" s="33"/>
      <c r="D2990" s="33"/>
      <c r="E2990" s="33"/>
      <c r="F2990" s="33"/>
      <c r="G2990" s="33"/>
      <c r="H2990" s="33"/>
      <c r="I2990" s="33"/>
      <c r="J2990" s="33"/>
      <c r="K2990" s="33"/>
      <c r="L2990" s="33"/>
      <c r="M2990" s="33"/>
      <c r="N2990" s="33"/>
      <c r="O2990" s="33"/>
      <c r="P2990" s="33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  <c r="AB2990" s="33"/>
      <c r="AC2990" s="33"/>
      <c r="AD2990" s="33"/>
      <c r="AE2990" s="33"/>
      <c r="AF2990" s="33"/>
      <c r="AG2990" s="33"/>
      <c r="AH2990" s="33"/>
      <c r="AI2990" s="33"/>
      <c r="AJ2990" s="33"/>
      <c r="AK2990" s="33"/>
    </row>
    <row r="2991">
      <c r="A2991" s="33"/>
      <c r="B2991" s="33"/>
      <c r="C2991" s="33"/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  <c r="AB2991" s="33"/>
      <c r="AC2991" s="33"/>
      <c r="AD2991" s="33"/>
      <c r="AE2991" s="33"/>
      <c r="AF2991" s="33"/>
      <c r="AG2991" s="33"/>
      <c r="AH2991" s="33"/>
      <c r="AI2991" s="33"/>
      <c r="AJ2991" s="33"/>
      <c r="AK2991" s="33"/>
    </row>
    <row r="2992">
      <c r="A2992" s="33"/>
      <c r="B2992" s="33"/>
      <c r="C2992" s="33"/>
      <c r="D2992" s="33"/>
      <c r="E2992" s="33"/>
      <c r="F2992" s="33"/>
      <c r="G2992" s="33"/>
      <c r="H2992" s="33"/>
      <c r="I2992" s="33"/>
      <c r="J2992" s="33"/>
      <c r="K2992" s="33"/>
      <c r="L2992" s="33"/>
      <c r="M2992" s="33"/>
      <c r="N2992" s="33"/>
      <c r="O2992" s="33"/>
      <c r="P2992" s="33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  <c r="AB2992" s="33"/>
      <c r="AC2992" s="33"/>
      <c r="AD2992" s="33"/>
      <c r="AE2992" s="33"/>
      <c r="AF2992" s="33"/>
      <c r="AG2992" s="33"/>
      <c r="AH2992" s="33"/>
      <c r="AI2992" s="33"/>
      <c r="AJ2992" s="33"/>
      <c r="AK2992" s="33"/>
    </row>
    <row r="2993">
      <c r="A2993" s="33"/>
      <c r="B2993" s="33"/>
      <c r="C2993" s="33"/>
      <c r="D2993" s="33"/>
      <c r="E2993" s="33"/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33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  <c r="AB2993" s="33"/>
      <c r="AC2993" s="33"/>
      <c r="AD2993" s="33"/>
      <c r="AE2993" s="33"/>
      <c r="AF2993" s="33"/>
      <c r="AG2993" s="33"/>
      <c r="AH2993" s="33"/>
      <c r="AI2993" s="33"/>
      <c r="AJ2993" s="33"/>
      <c r="AK2993" s="33"/>
    </row>
    <row r="2994">
      <c r="A2994" s="33"/>
      <c r="B2994" s="33"/>
      <c r="C2994" s="33"/>
      <c r="D2994" s="33"/>
      <c r="E2994" s="33"/>
      <c r="F2994" s="33"/>
      <c r="G2994" s="33"/>
      <c r="H2994" s="33"/>
      <c r="I2994" s="33"/>
      <c r="J2994" s="33"/>
      <c r="K2994" s="33"/>
      <c r="L2994" s="33"/>
      <c r="M2994" s="33"/>
      <c r="N2994" s="33"/>
      <c r="O2994" s="33"/>
      <c r="P2994" s="33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  <c r="AB2994" s="33"/>
      <c r="AC2994" s="33"/>
      <c r="AD2994" s="33"/>
      <c r="AE2994" s="33"/>
      <c r="AF2994" s="33"/>
      <c r="AG2994" s="33"/>
      <c r="AH2994" s="33"/>
      <c r="AI2994" s="33"/>
      <c r="AJ2994" s="33"/>
      <c r="AK2994" s="33"/>
    </row>
    <row r="2995">
      <c r="A2995" s="33"/>
      <c r="B2995" s="33"/>
      <c r="C2995" s="33"/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  <c r="AB2995" s="33"/>
      <c r="AC2995" s="33"/>
      <c r="AD2995" s="33"/>
      <c r="AE2995" s="33"/>
      <c r="AF2995" s="33"/>
      <c r="AG2995" s="33"/>
      <c r="AH2995" s="33"/>
      <c r="AI2995" s="33"/>
      <c r="AJ2995" s="33"/>
      <c r="AK2995" s="33"/>
    </row>
    <row r="2996">
      <c r="A2996" s="33"/>
      <c r="B2996" s="33"/>
      <c r="C2996" s="33"/>
      <c r="D2996" s="33"/>
      <c r="E2996" s="33"/>
      <c r="F2996" s="33"/>
      <c r="G2996" s="33"/>
      <c r="H2996" s="33"/>
      <c r="I2996" s="33"/>
      <c r="J2996" s="33"/>
      <c r="K2996" s="33"/>
      <c r="L2996" s="33"/>
      <c r="M2996" s="33"/>
      <c r="N2996" s="33"/>
      <c r="O2996" s="33"/>
      <c r="P2996" s="33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  <c r="AB2996" s="33"/>
      <c r="AC2996" s="33"/>
      <c r="AD2996" s="33"/>
      <c r="AE2996" s="33"/>
      <c r="AF2996" s="33"/>
      <c r="AG2996" s="33"/>
      <c r="AH2996" s="33"/>
      <c r="AI2996" s="33"/>
      <c r="AJ2996" s="33"/>
      <c r="AK2996" s="33"/>
    </row>
    <row r="2997">
      <c r="A2997" s="33"/>
      <c r="B2997" s="33"/>
      <c r="C2997" s="33"/>
      <c r="D2997" s="33"/>
      <c r="E2997" s="33"/>
      <c r="F2997" s="33"/>
      <c r="G2997" s="33"/>
      <c r="H2997" s="33"/>
      <c r="I2997" s="33"/>
      <c r="J2997" s="33"/>
      <c r="K2997" s="33"/>
      <c r="L2997" s="33"/>
      <c r="M2997" s="33"/>
      <c r="N2997" s="33"/>
      <c r="O2997" s="33"/>
      <c r="P2997" s="33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  <c r="AB2997" s="33"/>
      <c r="AC2997" s="33"/>
      <c r="AD2997" s="33"/>
      <c r="AE2997" s="33"/>
      <c r="AF2997" s="33"/>
      <c r="AG2997" s="33"/>
      <c r="AH2997" s="33"/>
      <c r="AI2997" s="33"/>
      <c r="AJ2997" s="33"/>
      <c r="AK2997" s="33"/>
    </row>
    <row r="2998">
      <c r="A2998" s="33"/>
      <c r="B2998" s="33"/>
      <c r="C2998" s="33"/>
      <c r="D2998" s="33"/>
      <c r="E2998" s="33"/>
      <c r="F2998" s="33"/>
      <c r="G2998" s="33"/>
      <c r="H2998" s="33"/>
      <c r="I2998" s="33"/>
      <c r="J2998" s="33"/>
      <c r="K2998" s="33"/>
      <c r="L2998" s="33"/>
      <c r="M2998" s="33"/>
      <c r="N2998" s="33"/>
      <c r="O2998" s="33"/>
      <c r="P2998" s="33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  <c r="AB2998" s="33"/>
      <c r="AC2998" s="33"/>
      <c r="AD2998" s="33"/>
      <c r="AE2998" s="33"/>
      <c r="AF2998" s="33"/>
      <c r="AG2998" s="33"/>
      <c r="AH2998" s="33"/>
      <c r="AI2998" s="33"/>
      <c r="AJ2998" s="33"/>
      <c r="AK2998" s="33"/>
    </row>
    <row r="2999">
      <c r="A2999" s="33"/>
      <c r="B2999" s="33"/>
      <c r="C2999" s="33"/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  <c r="AB2999" s="33"/>
      <c r="AC2999" s="33"/>
      <c r="AD2999" s="33"/>
      <c r="AE2999" s="33"/>
      <c r="AF2999" s="33"/>
      <c r="AG2999" s="33"/>
      <c r="AH2999" s="33"/>
      <c r="AI2999" s="33"/>
      <c r="AJ2999" s="33"/>
      <c r="AK2999" s="33"/>
    </row>
    <row r="3000">
      <c r="A3000" s="33"/>
      <c r="B3000" s="33"/>
      <c r="C3000" s="33"/>
      <c r="D3000" s="33"/>
      <c r="E3000" s="33"/>
      <c r="F3000" s="33"/>
      <c r="G3000" s="33"/>
      <c r="H3000" s="33"/>
      <c r="I3000" s="33"/>
      <c r="J3000" s="33"/>
      <c r="K3000" s="33"/>
      <c r="L3000" s="33"/>
      <c r="M3000" s="33"/>
      <c r="N3000" s="33"/>
      <c r="O3000" s="33"/>
      <c r="P3000" s="33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  <c r="AB3000" s="33"/>
      <c r="AC3000" s="33"/>
      <c r="AD3000" s="33"/>
      <c r="AE3000" s="33"/>
      <c r="AF3000" s="33"/>
      <c r="AG3000" s="33"/>
      <c r="AH3000" s="33"/>
      <c r="AI3000" s="33"/>
      <c r="AJ3000" s="33"/>
      <c r="AK3000" s="33"/>
    </row>
    <row r="3001">
      <c r="A3001" s="33"/>
      <c r="B3001" s="33"/>
      <c r="C3001" s="33"/>
      <c r="D3001" s="33"/>
      <c r="E3001" s="33"/>
      <c r="F3001" s="33"/>
      <c r="G3001" s="33"/>
      <c r="H3001" s="33"/>
      <c r="I3001" s="33"/>
      <c r="J3001" s="33"/>
      <c r="K3001" s="33"/>
      <c r="L3001" s="33"/>
      <c r="M3001" s="33"/>
      <c r="N3001" s="33"/>
      <c r="O3001" s="33"/>
      <c r="P3001" s="33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  <c r="AB3001" s="33"/>
      <c r="AC3001" s="33"/>
      <c r="AD3001" s="33"/>
      <c r="AE3001" s="33"/>
      <c r="AF3001" s="33"/>
      <c r="AG3001" s="33"/>
      <c r="AH3001" s="33"/>
      <c r="AI3001" s="33"/>
      <c r="AJ3001" s="33"/>
      <c r="AK3001" s="33"/>
    </row>
    <row r="3002">
      <c r="A3002" s="33"/>
      <c r="B3002" s="33"/>
      <c r="C3002" s="33"/>
      <c r="D3002" s="33"/>
      <c r="E3002" s="33"/>
      <c r="F3002" s="33"/>
      <c r="G3002" s="33"/>
      <c r="H3002" s="33"/>
      <c r="I3002" s="33"/>
      <c r="J3002" s="33"/>
      <c r="K3002" s="33"/>
      <c r="L3002" s="33"/>
      <c r="M3002" s="33"/>
      <c r="N3002" s="33"/>
      <c r="O3002" s="33"/>
      <c r="P3002" s="33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  <c r="AB3002" s="33"/>
      <c r="AC3002" s="33"/>
      <c r="AD3002" s="33"/>
      <c r="AE3002" s="33"/>
      <c r="AF3002" s="33"/>
      <c r="AG3002" s="33"/>
      <c r="AH3002" s="33"/>
      <c r="AI3002" s="33"/>
      <c r="AJ3002" s="33"/>
      <c r="AK3002" s="33"/>
    </row>
    <row r="3003">
      <c r="A3003" s="33"/>
      <c r="B3003" s="33"/>
      <c r="C3003" s="33"/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  <c r="AB3003" s="33"/>
      <c r="AC3003" s="33"/>
      <c r="AD3003" s="33"/>
      <c r="AE3003" s="33"/>
      <c r="AF3003" s="33"/>
      <c r="AG3003" s="33"/>
      <c r="AH3003" s="33"/>
      <c r="AI3003" s="33"/>
      <c r="AJ3003" s="33"/>
      <c r="AK3003" s="33"/>
    </row>
    <row r="3004">
      <c r="A3004" s="33"/>
      <c r="B3004" s="33"/>
      <c r="C3004" s="33"/>
      <c r="D3004" s="33"/>
      <c r="E3004" s="33"/>
      <c r="F3004" s="33"/>
      <c r="G3004" s="33"/>
      <c r="H3004" s="33"/>
      <c r="I3004" s="33"/>
      <c r="J3004" s="33"/>
      <c r="K3004" s="33"/>
      <c r="L3004" s="33"/>
      <c r="M3004" s="33"/>
      <c r="N3004" s="33"/>
      <c r="O3004" s="33"/>
      <c r="P3004" s="33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  <c r="AB3004" s="33"/>
      <c r="AC3004" s="33"/>
      <c r="AD3004" s="33"/>
      <c r="AE3004" s="33"/>
      <c r="AF3004" s="33"/>
      <c r="AG3004" s="33"/>
      <c r="AH3004" s="33"/>
      <c r="AI3004" s="33"/>
      <c r="AJ3004" s="33"/>
      <c r="AK3004" s="33"/>
    </row>
    <row r="3005">
      <c r="A3005" s="33"/>
      <c r="B3005" s="33"/>
      <c r="C3005" s="33"/>
      <c r="D3005" s="33"/>
      <c r="E3005" s="33"/>
      <c r="F3005" s="33"/>
      <c r="G3005" s="33"/>
      <c r="H3005" s="33"/>
      <c r="I3005" s="33"/>
      <c r="J3005" s="33"/>
      <c r="K3005" s="33"/>
      <c r="L3005" s="33"/>
      <c r="M3005" s="33"/>
      <c r="N3005" s="33"/>
      <c r="O3005" s="33"/>
      <c r="P3005" s="33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  <c r="AB3005" s="33"/>
      <c r="AC3005" s="33"/>
      <c r="AD3005" s="33"/>
      <c r="AE3005" s="33"/>
      <c r="AF3005" s="33"/>
      <c r="AG3005" s="33"/>
      <c r="AH3005" s="33"/>
      <c r="AI3005" s="33"/>
      <c r="AJ3005" s="33"/>
      <c r="AK3005" s="33"/>
    </row>
    <row r="3006">
      <c r="A3006" s="33"/>
      <c r="B3006" s="33"/>
      <c r="C3006" s="33"/>
      <c r="D3006" s="33"/>
      <c r="E3006" s="33"/>
      <c r="F3006" s="33"/>
      <c r="G3006" s="33"/>
      <c r="H3006" s="33"/>
      <c r="I3006" s="33"/>
      <c r="J3006" s="33"/>
      <c r="K3006" s="33"/>
      <c r="L3006" s="33"/>
      <c r="M3006" s="33"/>
      <c r="N3006" s="33"/>
      <c r="O3006" s="33"/>
      <c r="P3006" s="33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  <c r="AB3006" s="33"/>
      <c r="AC3006" s="33"/>
      <c r="AD3006" s="33"/>
      <c r="AE3006" s="33"/>
      <c r="AF3006" s="33"/>
      <c r="AG3006" s="33"/>
      <c r="AH3006" s="33"/>
      <c r="AI3006" s="33"/>
      <c r="AJ3006" s="33"/>
      <c r="AK3006" s="33"/>
    </row>
    <row r="3007">
      <c r="A3007" s="33"/>
      <c r="B3007" s="33"/>
      <c r="C3007" s="33"/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  <c r="AB3007" s="33"/>
      <c r="AC3007" s="33"/>
      <c r="AD3007" s="33"/>
      <c r="AE3007" s="33"/>
      <c r="AF3007" s="33"/>
      <c r="AG3007" s="33"/>
      <c r="AH3007" s="33"/>
      <c r="AI3007" s="33"/>
      <c r="AJ3007" s="33"/>
      <c r="AK3007" s="33"/>
    </row>
    <row r="3008">
      <c r="A3008" s="33"/>
      <c r="B3008" s="33"/>
      <c r="C3008" s="33"/>
      <c r="D3008" s="33"/>
      <c r="E3008" s="33"/>
      <c r="F3008" s="33"/>
      <c r="G3008" s="33"/>
      <c r="H3008" s="33"/>
      <c r="I3008" s="33"/>
      <c r="J3008" s="33"/>
      <c r="K3008" s="33"/>
      <c r="L3008" s="33"/>
      <c r="M3008" s="33"/>
      <c r="N3008" s="33"/>
      <c r="O3008" s="33"/>
      <c r="P3008" s="33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  <c r="AB3008" s="33"/>
      <c r="AC3008" s="33"/>
      <c r="AD3008" s="33"/>
      <c r="AE3008" s="33"/>
      <c r="AF3008" s="33"/>
      <c r="AG3008" s="33"/>
      <c r="AH3008" s="33"/>
      <c r="AI3008" s="33"/>
      <c r="AJ3008" s="33"/>
      <c r="AK3008" s="33"/>
    </row>
    <row r="3009">
      <c r="A3009" s="33"/>
      <c r="B3009" s="33"/>
      <c r="C3009" s="33"/>
      <c r="D3009" s="33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  <c r="AB3009" s="33"/>
      <c r="AC3009" s="33"/>
      <c r="AD3009" s="33"/>
      <c r="AE3009" s="33"/>
      <c r="AF3009" s="33"/>
      <c r="AG3009" s="33"/>
      <c r="AH3009" s="33"/>
      <c r="AI3009" s="33"/>
      <c r="AJ3009" s="33"/>
      <c r="AK3009" s="33"/>
    </row>
    <row r="3010">
      <c r="A3010" s="33"/>
      <c r="B3010" s="33"/>
      <c r="C3010" s="33"/>
      <c r="D3010" s="33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33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  <c r="AB3010" s="33"/>
      <c r="AC3010" s="33"/>
      <c r="AD3010" s="33"/>
      <c r="AE3010" s="33"/>
      <c r="AF3010" s="33"/>
      <c r="AG3010" s="33"/>
      <c r="AH3010" s="33"/>
      <c r="AI3010" s="33"/>
      <c r="AJ3010" s="33"/>
      <c r="AK3010" s="33"/>
    </row>
    <row r="3011">
      <c r="A3011" s="33"/>
      <c r="B3011" s="33"/>
      <c r="C3011" s="33"/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  <c r="AB3011" s="33"/>
      <c r="AC3011" s="33"/>
      <c r="AD3011" s="33"/>
      <c r="AE3011" s="33"/>
      <c r="AF3011" s="33"/>
      <c r="AG3011" s="33"/>
      <c r="AH3011" s="33"/>
      <c r="AI3011" s="33"/>
      <c r="AJ3011" s="33"/>
      <c r="AK3011" s="33"/>
    </row>
    <row r="3012">
      <c r="A3012" s="33"/>
      <c r="B3012" s="33"/>
      <c r="C3012" s="33"/>
      <c r="D3012" s="33"/>
      <c r="E3012" s="33"/>
      <c r="F3012" s="33"/>
      <c r="G3012" s="33"/>
      <c r="H3012" s="33"/>
      <c r="I3012" s="33"/>
      <c r="J3012" s="33"/>
      <c r="K3012" s="33"/>
      <c r="L3012" s="33"/>
      <c r="M3012" s="33"/>
      <c r="N3012" s="33"/>
      <c r="O3012" s="33"/>
      <c r="P3012" s="33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  <c r="AB3012" s="33"/>
      <c r="AC3012" s="33"/>
      <c r="AD3012" s="33"/>
      <c r="AE3012" s="33"/>
      <c r="AF3012" s="33"/>
      <c r="AG3012" s="33"/>
      <c r="AH3012" s="33"/>
      <c r="AI3012" s="33"/>
      <c r="AJ3012" s="33"/>
      <c r="AK3012" s="33"/>
    </row>
    <row r="3013">
      <c r="A3013" s="33"/>
      <c r="B3013" s="33"/>
      <c r="C3013" s="33"/>
      <c r="D3013" s="33"/>
      <c r="E3013" s="33"/>
      <c r="F3013" s="33"/>
      <c r="G3013" s="33"/>
      <c r="H3013" s="33"/>
      <c r="I3013" s="33"/>
      <c r="J3013" s="33"/>
      <c r="K3013" s="33"/>
      <c r="L3013" s="33"/>
      <c r="M3013" s="33"/>
      <c r="N3013" s="33"/>
      <c r="O3013" s="33"/>
      <c r="P3013" s="33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  <c r="AB3013" s="33"/>
      <c r="AC3013" s="33"/>
      <c r="AD3013" s="33"/>
      <c r="AE3013" s="33"/>
      <c r="AF3013" s="33"/>
      <c r="AG3013" s="33"/>
      <c r="AH3013" s="33"/>
      <c r="AI3013" s="33"/>
      <c r="AJ3013" s="33"/>
      <c r="AK3013" s="33"/>
    </row>
    <row r="3014">
      <c r="A3014" s="33"/>
      <c r="B3014" s="33"/>
      <c r="C3014" s="33"/>
      <c r="D3014" s="33"/>
      <c r="E3014" s="33"/>
      <c r="F3014" s="33"/>
      <c r="G3014" s="33"/>
      <c r="H3014" s="33"/>
      <c r="I3014" s="33"/>
      <c r="J3014" s="33"/>
      <c r="K3014" s="33"/>
      <c r="L3014" s="33"/>
      <c r="M3014" s="33"/>
      <c r="N3014" s="33"/>
      <c r="O3014" s="33"/>
      <c r="P3014" s="33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  <c r="AB3014" s="33"/>
      <c r="AC3014" s="33"/>
      <c r="AD3014" s="33"/>
      <c r="AE3014" s="33"/>
      <c r="AF3014" s="33"/>
      <c r="AG3014" s="33"/>
      <c r="AH3014" s="33"/>
      <c r="AI3014" s="33"/>
      <c r="AJ3014" s="33"/>
      <c r="AK3014" s="33"/>
    </row>
    <row r="3015">
      <c r="A3015" s="33"/>
      <c r="B3015" s="33"/>
      <c r="C3015" s="33"/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  <c r="AB3015" s="33"/>
      <c r="AC3015" s="33"/>
      <c r="AD3015" s="33"/>
      <c r="AE3015" s="33"/>
      <c r="AF3015" s="33"/>
      <c r="AG3015" s="33"/>
      <c r="AH3015" s="33"/>
      <c r="AI3015" s="33"/>
      <c r="AJ3015" s="33"/>
      <c r="AK3015" s="33"/>
    </row>
    <row r="3016">
      <c r="A3016" s="33"/>
      <c r="B3016" s="33"/>
      <c r="C3016" s="33"/>
      <c r="D3016" s="33"/>
      <c r="E3016" s="33"/>
      <c r="F3016" s="33"/>
      <c r="G3016" s="33"/>
      <c r="H3016" s="33"/>
      <c r="I3016" s="33"/>
      <c r="J3016" s="33"/>
      <c r="K3016" s="33"/>
      <c r="L3016" s="33"/>
      <c r="M3016" s="33"/>
      <c r="N3016" s="33"/>
      <c r="O3016" s="33"/>
      <c r="P3016" s="33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  <c r="AB3016" s="33"/>
      <c r="AC3016" s="33"/>
      <c r="AD3016" s="33"/>
      <c r="AE3016" s="33"/>
      <c r="AF3016" s="33"/>
      <c r="AG3016" s="33"/>
      <c r="AH3016" s="33"/>
      <c r="AI3016" s="33"/>
      <c r="AJ3016" s="33"/>
      <c r="AK3016" s="33"/>
    </row>
    <row r="3017">
      <c r="A3017" s="33"/>
      <c r="B3017" s="33"/>
      <c r="C3017" s="33"/>
      <c r="D3017" s="33"/>
      <c r="E3017" s="33"/>
      <c r="F3017" s="33"/>
      <c r="G3017" s="33"/>
      <c r="H3017" s="33"/>
      <c r="I3017" s="33"/>
      <c r="J3017" s="33"/>
      <c r="K3017" s="33"/>
      <c r="L3017" s="33"/>
      <c r="M3017" s="33"/>
      <c r="N3017" s="33"/>
      <c r="O3017" s="33"/>
      <c r="P3017" s="33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  <c r="AB3017" s="33"/>
      <c r="AC3017" s="33"/>
      <c r="AD3017" s="33"/>
      <c r="AE3017" s="33"/>
      <c r="AF3017" s="33"/>
      <c r="AG3017" s="33"/>
      <c r="AH3017" s="33"/>
      <c r="AI3017" s="33"/>
      <c r="AJ3017" s="33"/>
      <c r="AK3017" s="33"/>
    </row>
    <row r="3018">
      <c r="A3018" s="33"/>
      <c r="B3018" s="33"/>
      <c r="C3018" s="33"/>
      <c r="D3018" s="33"/>
      <c r="E3018" s="33"/>
      <c r="F3018" s="33"/>
      <c r="G3018" s="33"/>
      <c r="H3018" s="33"/>
      <c r="I3018" s="33"/>
      <c r="J3018" s="33"/>
      <c r="K3018" s="33"/>
      <c r="L3018" s="33"/>
      <c r="M3018" s="33"/>
      <c r="N3018" s="33"/>
      <c r="O3018" s="33"/>
      <c r="P3018" s="33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  <c r="AB3018" s="33"/>
      <c r="AC3018" s="33"/>
      <c r="AD3018" s="33"/>
      <c r="AE3018" s="33"/>
      <c r="AF3018" s="33"/>
      <c r="AG3018" s="33"/>
      <c r="AH3018" s="33"/>
      <c r="AI3018" s="33"/>
      <c r="AJ3018" s="33"/>
      <c r="AK3018" s="33"/>
    </row>
    <row r="3019">
      <c r="A3019" s="33"/>
      <c r="B3019" s="33"/>
      <c r="C3019" s="33"/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  <c r="AB3019" s="33"/>
      <c r="AC3019" s="33"/>
      <c r="AD3019" s="33"/>
      <c r="AE3019" s="33"/>
      <c r="AF3019" s="33"/>
      <c r="AG3019" s="33"/>
      <c r="AH3019" s="33"/>
      <c r="AI3019" s="33"/>
      <c r="AJ3019" s="33"/>
      <c r="AK3019" s="33"/>
    </row>
    <row r="3020">
      <c r="A3020" s="33"/>
      <c r="B3020" s="33"/>
      <c r="C3020" s="33"/>
      <c r="D3020" s="33"/>
      <c r="E3020" s="33"/>
      <c r="F3020" s="33"/>
      <c r="G3020" s="33"/>
      <c r="H3020" s="33"/>
      <c r="I3020" s="33"/>
      <c r="J3020" s="33"/>
      <c r="K3020" s="33"/>
      <c r="L3020" s="33"/>
      <c r="M3020" s="33"/>
      <c r="N3020" s="33"/>
      <c r="O3020" s="33"/>
      <c r="P3020" s="33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  <c r="AB3020" s="33"/>
      <c r="AC3020" s="33"/>
      <c r="AD3020" s="33"/>
      <c r="AE3020" s="33"/>
      <c r="AF3020" s="33"/>
      <c r="AG3020" s="33"/>
      <c r="AH3020" s="33"/>
      <c r="AI3020" s="33"/>
      <c r="AJ3020" s="33"/>
      <c r="AK3020" s="33"/>
    </row>
    <row r="3021">
      <c r="A3021" s="33"/>
      <c r="B3021" s="33"/>
      <c r="C3021" s="33"/>
      <c r="D3021" s="33"/>
      <c r="E3021" s="33"/>
      <c r="F3021" s="33"/>
      <c r="G3021" s="33"/>
      <c r="H3021" s="33"/>
      <c r="I3021" s="33"/>
      <c r="J3021" s="33"/>
      <c r="K3021" s="33"/>
      <c r="L3021" s="33"/>
      <c r="M3021" s="33"/>
      <c r="N3021" s="33"/>
      <c r="O3021" s="33"/>
      <c r="P3021" s="33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  <c r="AB3021" s="33"/>
      <c r="AC3021" s="33"/>
      <c r="AD3021" s="33"/>
      <c r="AE3021" s="33"/>
      <c r="AF3021" s="33"/>
      <c r="AG3021" s="33"/>
      <c r="AH3021" s="33"/>
      <c r="AI3021" s="33"/>
      <c r="AJ3021" s="33"/>
      <c r="AK3021" s="33"/>
    </row>
    <row r="3022">
      <c r="A3022" s="33"/>
      <c r="B3022" s="33"/>
      <c r="C3022" s="33"/>
      <c r="D3022" s="33"/>
      <c r="E3022" s="33"/>
      <c r="F3022" s="33"/>
      <c r="G3022" s="33"/>
      <c r="H3022" s="33"/>
      <c r="I3022" s="33"/>
      <c r="J3022" s="33"/>
      <c r="K3022" s="33"/>
      <c r="L3022" s="33"/>
      <c r="M3022" s="33"/>
      <c r="N3022" s="33"/>
      <c r="O3022" s="33"/>
      <c r="P3022" s="33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  <c r="AB3022" s="33"/>
      <c r="AC3022" s="33"/>
      <c r="AD3022" s="33"/>
      <c r="AE3022" s="33"/>
      <c r="AF3022" s="33"/>
      <c r="AG3022" s="33"/>
      <c r="AH3022" s="33"/>
      <c r="AI3022" s="33"/>
      <c r="AJ3022" s="33"/>
      <c r="AK3022" s="33"/>
    </row>
    <row r="3023">
      <c r="A3023" s="33"/>
      <c r="B3023" s="33"/>
      <c r="C3023" s="33"/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  <c r="AB3023" s="33"/>
      <c r="AC3023" s="33"/>
      <c r="AD3023" s="33"/>
      <c r="AE3023" s="33"/>
      <c r="AF3023" s="33"/>
      <c r="AG3023" s="33"/>
      <c r="AH3023" s="33"/>
      <c r="AI3023" s="33"/>
      <c r="AJ3023" s="33"/>
      <c r="AK3023" s="33"/>
    </row>
    <row r="3024">
      <c r="A3024" s="33"/>
      <c r="B3024" s="33"/>
      <c r="C3024" s="33"/>
      <c r="D3024" s="33"/>
      <c r="E3024" s="33"/>
      <c r="F3024" s="33"/>
      <c r="G3024" s="33"/>
      <c r="H3024" s="33"/>
      <c r="I3024" s="33"/>
      <c r="J3024" s="33"/>
      <c r="K3024" s="33"/>
      <c r="L3024" s="33"/>
      <c r="M3024" s="33"/>
      <c r="N3024" s="33"/>
      <c r="O3024" s="33"/>
      <c r="P3024" s="33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  <c r="AB3024" s="33"/>
      <c r="AC3024" s="33"/>
      <c r="AD3024" s="33"/>
      <c r="AE3024" s="33"/>
      <c r="AF3024" s="33"/>
      <c r="AG3024" s="33"/>
      <c r="AH3024" s="33"/>
      <c r="AI3024" s="33"/>
      <c r="AJ3024" s="33"/>
      <c r="AK3024" s="33"/>
    </row>
    <row r="3025">
      <c r="A3025" s="33"/>
      <c r="B3025" s="33"/>
      <c r="C3025" s="33"/>
      <c r="D3025" s="33"/>
      <c r="E3025" s="33"/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  <c r="AB3025" s="33"/>
      <c r="AC3025" s="33"/>
      <c r="AD3025" s="33"/>
      <c r="AE3025" s="33"/>
      <c r="AF3025" s="33"/>
      <c r="AG3025" s="33"/>
      <c r="AH3025" s="33"/>
      <c r="AI3025" s="33"/>
      <c r="AJ3025" s="33"/>
      <c r="AK3025" s="33"/>
    </row>
    <row r="3026">
      <c r="A3026" s="33"/>
      <c r="B3026" s="33"/>
      <c r="C3026" s="33"/>
      <c r="D3026" s="33"/>
      <c r="E3026" s="33"/>
      <c r="F3026" s="33"/>
      <c r="G3026" s="33"/>
      <c r="H3026" s="33"/>
      <c r="I3026" s="33"/>
      <c r="J3026" s="33"/>
      <c r="K3026" s="33"/>
      <c r="L3026" s="33"/>
      <c r="M3026" s="33"/>
      <c r="N3026" s="33"/>
      <c r="O3026" s="33"/>
      <c r="P3026" s="33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  <c r="AB3026" s="33"/>
      <c r="AC3026" s="33"/>
      <c r="AD3026" s="33"/>
      <c r="AE3026" s="33"/>
      <c r="AF3026" s="33"/>
      <c r="AG3026" s="33"/>
      <c r="AH3026" s="33"/>
      <c r="AI3026" s="33"/>
      <c r="AJ3026" s="33"/>
      <c r="AK3026" s="33"/>
    </row>
    <row r="3027">
      <c r="A3027" s="33"/>
      <c r="B3027" s="33"/>
      <c r="C3027" s="33"/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  <c r="AB3027" s="33"/>
      <c r="AC3027" s="33"/>
      <c r="AD3027" s="33"/>
      <c r="AE3027" s="33"/>
      <c r="AF3027" s="33"/>
      <c r="AG3027" s="33"/>
      <c r="AH3027" s="33"/>
      <c r="AI3027" s="33"/>
      <c r="AJ3027" s="33"/>
      <c r="AK3027" s="33"/>
    </row>
    <row r="3028">
      <c r="A3028" s="33"/>
      <c r="B3028" s="33"/>
      <c r="C3028" s="33"/>
      <c r="D3028" s="33"/>
      <c r="E3028" s="33"/>
      <c r="F3028" s="33"/>
      <c r="G3028" s="33"/>
      <c r="H3028" s="33"/>
      <c r="I3028" s="33"/>
      <c r="J3028" s="33"/>
      <c r="K3028" s="33"/>
      <c r="L3028" s="33"/>
      <c r="M3028" s="33"/>
      <c r="N3028" s="33"/>
      <c r="O3028" s="33"/>
      <c r="P3028" s="33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  <c r="AB3028" s="33"/>
      <c r="AC3028" s="33"/>
      <c r="AD3028" s="33"/>
      <c r="AE3028" s="33"/>
      <c r="AF3028" s="33"/>
      <c r="AG3028" s="33"/>
      <c r="AH3028" s="33"/>
      <c r="AI3028" s="33"/>
      <c r="AJ3028" s="33"/>
      <c r="AK3028" s="33"/>
    </row>
    <row r="3029">
      <c r="A3029" s="33"/>
      <c r="B3029" s="33"/>
      <c r="C3029" s="33"/>
      <c r="D3029" s="33"/>
      <c r="E3029" s="33"/>
      <c r="F3029" s="33"/>
      <c r="G3029" s="33"/>
      <c r="H3029" s="33"/>
      <c r="I3029" s="33"/>
      <c r="J3029" s="33"/>
      <c r="K3029" s="33"/>
      <c r="L3029" s="33"/>
      <c r="M3029" s="33"/>
      <c r="N3029" s="33"/>
      <c r="O3029" s="33"/>
      <c r="P3029" s="33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  <c r="AB3029" s="33"/>
      <c r="AC3029" s="33"/>
      <c r="AD3029" s="33"/>
      <c r="AE3029" s="33"/>
      <c r="AF3029" s="33"/>
      <c r="AG3029" s="33"/>
      <c r="AH3029" s="33"/>
      <c r="AI3029" s="33"/>
      <c r="AJ3029" s="33"/>
      <c r="AK3029" s="33"/>
    </row>
    <row r="3030">
      <c r="A3030" s="33"/>
      <c r="B3030" s="33"/>
      <c r="C3030" s="33"/>
      <c r="D3030" s="33"/>
      <c r="E3030" s="33"/>
      <c r="F3030" s="33"/>
      <c r="G3030" s="33"/>
      <c r="H3030" s="33"/>
      <c r="I3030" s="33"/>
      <c r="J3030" s="33"/>
      <c r="K3030" s="33"/>
      <c r="L3030" s="33"/>
      <c r="M3030" s="33"/>
      <c r="N3030" s="33"/>
      <c r="O3030" s="33"/>
      <c r="P3030" s="33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  <c r="AB3030" s="33"/>
      <c r="AC3030" s="33"/>
      <c r="AD3030" s="33"/>
      <c r="AE3030" s="33"/>
      <c r="AF3030" s="33"/>
      <c r="AG3030" s="33"/>
      <c r="AH3030" s="33"/>
      <c r="AI3030" s="33"/>
      <c r="AJ3030" s="33"/>
      <c r="AK3030" s="33"/>
    </row>
    <row r="3031">
      <c r="A3031" s="33"/>
      <c r="B3031" s="33"/>
      <c r="C3031" s="33"/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  <c r="AB3031" s="33"/>
      <c r="AC3031" s="33"/>
      <c r="AD3031" s="33"/>
      <c r="AE3031" s="33"/>
      <c r="AF3031" s="33"/>
      <c r="AG3031" s="33"/>
      <c r="AH3031" s="33"/>
      <c r="AI3031" s="33"/>
      <c r="AJ3031" s="33"/>
      <c r="AK3031" s="33"/>
    </row>
    <row r="3032">
      <c r="A3032" s="33"/>
      <c r="B3032" s="33"/>
      <c r="C3032" s="33"/>
      <c r="D3032" s="33"/>
      <c r="E3032" s="33"/>
      <c r="F3032" s="33"/>
      <c r="G3032" s="33"/>
      <c r="H3032" s="33"/>
      <c r="I3032" s="33"/>
      <c r="J3032" s="33"/>
      <c r="K3032" s="33"/>
      <c r="L3032" s="33"/>
      <c r="M3032" s="33"/>
      <c r="N3032" s="33"/>
      <c r="O3032" s="33"/>
      <c r="P3032" s="33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  <c r="AB3032" s="33"/>
      <c r="AC3032" s="33"/>
      <c r="AD3032" s="33"/>
      <c r="AE3032" s="33"/>
      <c r="AF3032" s="33"/>
      <c r="AG3032" s="33"/>
      <c r="AH3032" s="33"/>
      <c r="AI3032" s="33"/>
      <c r="AJ3032" s="33"/>
      <c r="AK3032" s="33"/>
    </row>
    <row r="3033">
      <c r="A3033" s="33"/>
      <c r="B3033" s="33"/>
      <c r="C3033" s="33"/>
      <c r="D3033" s="33"/>
      <c r="E3033" s="33"/>
      <c r="F3033" s="33"/>
      <c r="G3033" s="33"/>
      <c r="H3033" s="33"/>
      <c r="I3033" s="33"/>
      <c r="J3033" s="33"/>
      <c r="K3033" s="33"/>
      <c r="L3033" s="33"/>
      <c r="M3033" s="33"/>
      <c r="N3033" s="33"/>
      <c r="O3033" s="33"/>
      <c r="P3033" s="33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  <c r="AB3033" s="33"/>
      <c r="AC3033" s="33"/>
      <c r="AD3033" s="33"/>
      <c r="AE3033" s="33"/>
      <c r="AF3033" s="33"/>
      <c r="AG3033" s="33"/>
      <c r="AH3033" s="33"/>
      <c r="AI3033" s="33"/>
      <c r="AJ3033" s="33"/>
      <c r="AK3033" s="33"/>
    </row>
    <row r="3034">
      <c r="A3034" s="33"/>
      <c r="B3034" s="33"/>
      <c r="C3034" s="33"/>
      <c r="D3034" s="33"/>
      <c r="E3034" s="33"/>
      <c r="F3034" s="33"/>
      <c r="G3034" s="33"/>
      <c r="H3034" s="33"/>
      <c r="I3034" s="33"/>
      <c r="J3034" s="33"/>
      <c r="K3034" s="33"/>
      <c r="L3034" s="33"/>
      <c r="M3034" s="33"/>
      <c r="N3034" s="33"/>
      <c r="O3034" s="33"/>
      <c r="P3034" s="33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  <c r="AB3034" s="33"/>
      <c r="AC3034" s="33"/>
      <c r="AD3034" s="33"/>
      <c r="AE3034" s="33"/>
      <c r="AF3034" s="33"/>
      <c r="AG3034" s="33"/>
      <c r="AH3034" s="33"/>
      <c r="AI3034" s="33"/>
      <c r="AJ3034" s="33"/>
      <c r="AK3034" s="33"/>
    </row>
    <row r="3035">
      <c r="A3035" s="33"/>
      <c r="B3035" s="33"/>
      <c r="C3035" s="33"/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  <c r="AB3035" s="33"/>
      <c r="AC3035" s="33"/>
      <c r="AD3035" s="33"/>
      <c r="AE3035" s="33"/>
      <c r="AF3035" s="33"/>
      <c r="AG3035" s="33"/>
      <c r="AH3035" s="33"/>
      <c r="AI3035" s="33"/>
      <c r="AJ3035" s="33"/>
      <c r="AK3035" s="33"/>
    </row>
    <row r="3036">
      <c r="A3036" s="33"/>
      <c r="B3036" s="33"/>
      <c r="C3036" s="33"/>
      <c r="D3036" s="33"/>
      <c r="E3036" s="33"/>
      <c r="F3036" s="33"/>
      <c r="G3036" s="33"/>
      <c r="H3036" s="33"/>
      <c r="I3036" s="33"/>
      <c r="J3036" s="33"/>
      <c r="K3036" s="33"/>
      <c r="L3036" s="33"/>
      <c r="M3036" s="33"/>
      <c r="N3036" s="33"/>
      <c r="O3036" s="33"/>
      <c r="P3036" s="33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  <c r="AB3036" s="33"/>
      <c r="AC3036" s="33"/>
      <c r="AD3036" s="33"/>
      <c r="AE3036" s="33"/>
      <c r="AF3036" s="33"/>
      <c r="AG3036" s="33"/>
      <c r="AH3036" s="33"/>
      <c r="AI3036" s="33"/>
      <c r="AJ3036" s="33"/>
      <c r="AK3036" s="33"/>
    </row>
    <row r="3037">
      <c r="A3037" s="33"/>
      <c r="B3037" s="33"/>
      <c r="C3037" s="33"/>
      <c r="D3037" s="33"/>
      <c r="E3037" s="33"/>
      <c r="F3037" s="33"/>
      <c r="G3037" s="33"/>
      <c r="H3037" s="33"/>
      <c r="I3037" s="33"/>
      <c r="J3037" s="33"/>
      <c r="K3037" s="33"/>
      <c r="L3037" s="33"/>
      <c r="M3037" s="33"/>
      <c r="N3037" s="33"/>
      <c r="O3037" s="33"/>
      <c r="P3037" s="33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  <c r="AB3037" s="33"/>
      <c r="AC3037" s="33"/>
      <c r="AD3037" s="33"/>
      <c r="AE3037" s="33"/>
      <c r="AF3037" s="33"/>
      <c r="AG3037" s="33"/>
      <c r="AH3037" s="33"/>
      <c r="AI3037" s="33"/>
      <c r="AJ3037" s="33"/>
      <c r="AK3037" s="33"/>
    </row>
    <row r="3038">
      <c r="A3038" s="33"/>
      <c r="B3038" s="33"/>
      <c r="C3038" s="33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  <c r="AB3038" s="33"/>
      <c r="AC3038" s="33"/>
      <c r="AD3038" s="33"/>
      <c r="AE3038" s="33"/>
      <c r="AF3038" s="33"/>
      <c r="AG3038" s="33"/>
      <c r="AH3038" s="33"/>
      <c r="AI3038" s="33"/>
      <c r="AJ3038" s="33"/>
      <c r="AK3038" s="33"/>
    </row>
    <row r="3039">
      <c r="A3039" s="33"/>
      <c r="B3039" s="33"/>
      <c r="C3039" s="33"/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  <c r="AB3039" s="33"/>
      <c r="AC3039" s="33"/>
      <c r="AD3039" s="33"/>
      <c r="AE3039" s="33"/>
      <c r="AF3039" s="33"/>
      <c r="AG3039" s="33"/>
      <c r="AH3039" s="33"/>
      <c r="AI3039" s="33"/>
      <c r="AJ3039" s="33"/>
      <c r="AK3039" s="33"/>
    </row>
    <row r="3040">
      <c r="A3040" s="33"/>
      <c r="B3040" s="33"/>
      <c r="C3040" s="33"/>
      <c r="D3040" s="33"/>
      <c r="E3040" s="33"/>
      <c r="F3040" s="33"/>
      <c r="G3040" s="33"/>
      <c r="H3040" s="33"/>
      <c r="I3040" s="33"/>
      <c r="J3040" s="33"/>
      <c r="K3040" s="33"/>
      <c r="L3040" s="33"/>
      <c r="M3040" s="33"/>
      <c r="N3040" s="33"/>
      <c r="O3040" s="33"/>
      <c r="P3040" s="33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  <c r="AB3040" s="33"/>
      <c r="AC3040" s="33"/>
      <c r="AD3040" s="33"/>
      <c r="AE3040" s="33"/>
      <c r="AF3040" s="33"/>
      <c r="AG3040" s="33"/>
      <c r="AH3040" s="33"/>
      <c r="AI3040" s="33"/>
      <c r="AJ3040" s="33"/>
      <c r="AK3040" s="33"/>
    </row>
    <row r="3041">
      <c r="A3041" s="33"/>
      <c r="B3041" s="33"/>
      <c r="C3041" s="33"/>
      <c r="D3041" s="33"/>
      <c r="E3041" s="33"/>
      <c r="F3041" s="33"/>
      <c r="G3041" s="33"/>
      <c r="H3041" s="33"/>
      <c r="I3041" s="33"/>
      <c r="J3041" s="33"/>
      <c r="K3041" s="33"/>
      <c r="L3041" s="33"/>
      <c r="M3041" s="33"/>
      <c r="N3041" s="33"/>
      <c r="O3041" s="33"/>
      <c r="P3041" s="33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  <c r="AB3041" s="33"/>
      <c r="AC3041" s="33"/>
      <c r="AD3041" s="33"/>
      <c r="AE3041" s="33"/>
      <c r="AF3041" s="33"/>
      <c r="AG3041" s="33"/>
      <c r="AH3041" s="33"/>
      <c r="AI3041" s="33"/>
      <c r="AJ3041" s="33"/>
      <c r="AK3041" s="33"/>
    </row>
    <row r="3042">
      <c r="A3042" s="33"/>
      <c r="B3042" s="33"/>
      <c r="C3042" s="33"/>
      <c r="D3042" s="33"/>
      <c r="E3042" s="33"/>
      <c r="F3042" s="33"/>
      <c r="G3042" s="33"/>
      <c r="H3042" s="33"/>
      <c r="I3042" s="33"/>
      <c r="J3042" s="33"/>
      <c r="K3042" s="33"/>
      <c r="L3042" s="33"/>
      <c r="M3042" s="33"/>
      <c r="N3042" s="33"/>
      <c r="O3042" s="33"/>
      <c r="P3042" s="33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  <c r="AB3042" s="33"/>
      <c r="AC3042" s="33"/>
      <c r="AD3042" s="33"/>
      <c r="AE3042" s="33"/>
      <c r="AF3042" s="33"/>
      <c r="AG3042" s="33"/>
      <c r="AH3042" s="33"/>
      <c r="AI3042" s="33"/>
      <c r="AJ3042" s="33"/>
      <c r="AK3042" s="33"/>
    </row>
    <row r="3043">
      <c r="A3043" s="33"/>
      <c r="B3043" s="33"/>
      <c r="C3043" s="33"/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  <c r="AB3043" s="33"/>
      <c r="AC3043" s="33"/>
      <c r="AD3043" s="33"/>
      <c r="AE3043" s="33"/>
      <c r="AF3043" s="33"/>
      <c r="AG3043" s="33"/>
      <c r="AH3043" s="33"/>
      <c r="AI3043" s="33"/>
      <c r="AJ3043" s="33"/>
      <c r="AK3043" s="33"/>
    </row>
    <row r="3044">
      <c r="A3044" s="33"/>
      <c r="B3044" s="33"/>
      <c r="C3044" s="33"/>
      <c r="D3044" s="33"/>
      <c r="E3044" s="33"/>
      <c r="F3044" s="33"/>
      <c r="G3044" s="33"/>
      <c r="H3044" s="33"/>
      <c r="I3044" s="33"/>
      <c r="J3044" s="33"/>
      <c r="K3044" s="33"/>
      <c r="L3044" s="33"/>
      <c r="M3044" s="33"/>
      <c r="N3044" s="33"/>
      <c r="O3044" s="33"/>
      <c r="P3044" s="33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  <c r="AB3044" s="33"/>
      <c r="AC3044" s="33"/>
      <c r="AD3044" s="33"/>
      <c r="AE3044" s="33"/>
      <c r="AF3044" s="33"/>
      <c r="AG3044" s="33"/>
      <c r="AH3044" s="33"/>
      <c r="AI3044" s="33"/>
      <c r="AJ3044" s="33"/>
      <c r="AK3044" s="33"/>
    </row>
    <row r="3045">
      <c r="A3045" s="33"/>
      <c r="B3045" s="33"/>
      <c r="C3045" s="33"/>
      <c r="D3045" s="33"/>
      <c r="E3045" s="33"/>
      <c r="F3045" s="33"/>
      <c r="G3045" s="33"/>
      <c r="H3045" s="33"/>
      <c r="I3045" s="33"/>
      <c r="J3045" s="33"/>
      <c r="K3045" s="33"/>
      <c r="L3045" s="33"/>
      <c r="M3045" s="33"/>
      <c r="N3045" s="33"/>
      <c r="O3045" s="33"/>
      <c r="P3045" s="33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  <c r="AB3045" s="33"/>
      <c r="AC3045" s="33"/>
      <c r="AD3045" s="33"/>
      <c r="AE3045" s="33"/>
      <c r="AF3045" s="33"/>
      <c r="AG3045" s="33"/>
      <c r="AH3045" s="33"/>
      <c r="AI3045" s="33"/>
      <c r="AJ3045" s="33"/>
      <c r="AK3045" s="33"/>
    </row>
    <row r="3046">
      <c r="A3046" s="33"/>
      <c r="B3046" s="33"/>
      <c r="C3046" s="33"/>
      <c r="D3046" s="33"/>
      <c r="E3046" s="33"/>
      <c r="F3046" s="33"/>
      <c r="G3046" s="33"/>
      <c r="H3046" s="33"/>
      <c r="I3046" s="33"/>
      <c r="J3046" s="33"/>
      <c r="K3046" s="33"/>
      <c r="L3046" s="33"/>
      <c r="M3046" s="33"/>
      <c r="N3046" s="33"/>
      <c r="O3046" s="33"/>
      <c r="P3046" s="33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  <c r="AB3046" s="33"/>
      <c r="AC3046" s="33"/>
      <c r="AD3046" s="33"/>
      <c r="AE3046" s="33"/>
      <c r="AF3046" s="33"/>
      <c r="AG3046" s="33"/>
      <c r="AH3046" s="33"/>
      <c r="AI3046" s="33"/>
      <c r="AJ3046" s="33"/>
      <c r="AK3046" s="33"/>
    </row>
    <row r="3047">
      <c r="A3047" s="33"/>
      <c r="B3047" s="33"/>
      <c r="C3047" s="33"/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  <c r="AB3047" s="33"/>
      <c r="AC3047" s="33"/>
      <c r="AD3047" s="33"/>
      <c r="AE3047" s="33"/>
      <c r="AF3047" s="33"/>
      <c r="AG3047" s="33"/>
      <c r="AH3047" s="33"/>
      <c r="AI3047" s="33"/>
      <c r="AJ3047" s="33"/>
      <c r="AK3047" s="33"/>
    </row>
    <row r="3048">
      <c r="A3048" s="33"/>
      <c r="B3048" s="33"/>
      <c r="C3048" s="33"/>
      <c r="D3048" s="33"/>
      <c r="E3048" s="33"/>
      <c r="F3048" s="33"/>
      <c r="G3048" s="33"/>
      <c r="H3048" s="33"/>
      <c r="I3048" s="33"/>
      <c r="J3048" s="33"/>
      <c r="K3048" s="33"/>
      <c r="L3048" s="33"/>
      <c r="M3048" s="33"/>
      <c r="N3048" s="33"/>
      <c r="O3048" s="33"/>
      <c r="P3048" s="33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  <c r="AB3048" s="33"/>
      <c r="AC3048" s="33"/>
      <c r="AD3048" s="33"/>
      <c r="AE3048" s="33"/>
      <c r="AF3048" s="33"/>
      <c r="AG3048" s="33"/>
      <c r="AH3048" s="33"/>
      <c r="AI3048" s="33"/>
      <c r="AJ3048" s="33"/>
      <c r="AK3048" s="33"/>
    </row>
    <row r="3049">
      <c r="A3049" s="33"/>
      <c r="B3049" s="33"/>
      <c r="C3049" s="33"/>
      <c r="D3049" s="33"/>
      <c r="E3049" s="33"/>
      <c r="F3049" s="33"/>
      <c r="G3049" s="33"/>
      <c r="H3049" s="33"/>
      <c r="I3049" s="33"/>
      <c r="J3049" s="33"/>
      <c r="K3049" s="33"/>
      <c r="L3049" s="33"/>
      <c r="M3049" s="33"/>
      <c r="N3049" s="33"/>
      <c r="O3049" s="33"/>
      <c r="P3049" s="33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  <c r="AB3049" s="33"/>
      <c r="AC3049" s="33"/>
      <c r="AD3049" s="33"/>
      <c r="AE3049" s="33"/>
      <c r="AF3049" s="33"/>
      <c r="AG3049" s="33"/>
      <c r="AH3049" s="33"/>
      <c r="AI3049" s="33"/>
      <c r="AJ3049" s="33"/>
      <c r="AK3049" s="33"/>
    </row>
    <row r="3050">
      <c r="A3050" s="33"/>
      <c r="B3050" s="33"/>
      <c r="C3050" s="33"/>
      <c r="D3050" s="33"/>
      <c r="E3050" s="33"/>
      <c r="F3050" s="33"/>
      <c r="G3050" s="33"/>
      <c r="H3050" s="33"/>
      <c r="I3050" s="33"/>
      <c r="J3050" s="33"/>
      <c r="K3050" s="33"/>
      <c r="L3050" s="33"/>
      <c r="M3050" s="33"/>
      <c r="N3050" s="33"/>
      <c r="O3050" s="33"/>
      <c r="P3050" s="33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  <c r="AB3050" s="33"/>
      <c r="AC3050" s="33"/>
      <c r="AD3050" s="33"/>
      <c r="AE3050" s="33"/>
      <c r="AF3050" s="33"/>
      <c r="AG3050" s="33"/>
      <c r="AH3050" s="33"/>
      <c r="AI3050" s="33"/>
      <c r="AJ3050" s="33"/>
      <c r="AK3050" s="33"/>
    </row>
    <row r="3051">
      <c r="A3051" s="33"/>
      <c r="B3051" s="33"/>
      <c r="C3051" s="33"/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  <c r="AB3051" s="33"/>
      <c r="AC3051" s="33"/>
      <c r="AD3051" s="33"/>
      <c r="AE3051" s="33"/>
      <c r="AF3051" s="33"/>
      <c r="AG3051" s="33"/>
      <c r="AH3051" s="33"/>
      <c r="AI3051" s="33"/>
      <c r="AJ3051" s="33"/>
      <c r="AK3051" s="33"/>
    </row>
    <row r="3052">
      <c r="A3052" s="33"/>
      <c r="B3052" s="33"/>
      <c r="C3052" s="33"/>
      <c r="D3052" s="33"/>
      <c r="E3052" s="33"/>
      <c r="F3052" s="33"/>
      <c r="G3052" s="33"/>
      <c r="H3052" s="33"/>
      <c r="I3052" s="33"/>
      <c r="J3052" s="33"/>
      <c r="K3052" s="33"/>
      <c r="L3052" s="33"/>
      <c r="M3052" s="33"/>
      <c r="N3052" s="33"/>
      <c r="O3052" s="33"/>
      <c r="P3052" s="33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  <c r="AB3052" s="33"/>
      <c r="AC3052" s="33"/>
      <c r="AD3052" s="33"/>
      <c r="AE3052" s="33"/>
      <c r="AF3052" s="33"/>
      <c r="AG3052" s="33"/>
      <c r="AH3052" s="33"/>
      <c r="AI3052" s="33"/>
      <c r="AJ3052" s="33"/>
      <c r="AK3052" s="33"/>
    </row>
    <row r="3053">
      <c r="A3053" s="33"/>
      <c r="B3053" s="33"/>
      <c r="C3053" s="33"/>
      <c r="D3053" s="33"/>
      <c r="E3053" s="33"/>
      <c r="F3053" s="33"/>
      <c r="G3053" s="33"/>
      <c r="H3053" s="33"/>
      <c r="I3053" s="33"/>
      <c r="J3053" s="33"/>
      <c r="K3053" s="33"/>
      <c r="L3053" s="33"/>
      <c r="M3053" s="33"/>
      <c r="N3053" s="33"/>
      <c r="O3053" s="33"/>
      <c r="P3053" s="33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  <c r="AB3053" s="33"/>
      <c r="AC3053" s="33"/>
      <c r="AD3053" s="33"/>
      <c r="AE3053" s="33"/>
      <c r="AF3053" s="33"/>
      <c r="AG3053" s="33"/>
      <c r="AH3053" s="33"/>
      <c r="AI3053" s="33"/>
      <c r="AJ3053" s="33"/>
      <c r="AK3053" s="33"/>
    </row>
    <row r="3054">
      <c r="A3054" s="33"/>
      <c r="B3054" s="33"/>
      <c r="C3054" s="33"/>
      <c r="D3054" s="33"/>
      <c r="E3054" s="33"/>
      <c r="F3054" s="33"/>
      <c r="G3054" s="33"/>
      <c r="H3054" s="33"/>
      <c r="I3054" s="33"/>
      <c r="J3054" s="33"/>
      <c r="K3054" s="33"/>
      <c r="L3054" s="33"/>
      <c r="M3054" s="33"/>
      <c r="N3054" s="33"/>
      <c r="O3054" s="33"/>
      <c r="P3054" s="33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  <c r="AB3054" s="33"/>
      <c r="AC3054" s="33"/>
      <c r="AD3054" s="33"/>
      <c r="AE3054" s="33"/>
      <c r="AF3054" s="33"/>
      <c r="AG3054" s="33"/>
      <c r="AH3054" s="33"/>
      <c r="AI3054" s="33"/>
      <c r="AJ3054" s="33"/>
      <c r="AK3054" s="33"/>
    </row>
    <row r="3055">
      <c r="A3055" s="33"/>
      <c r="B3055" s="33"/>
      <c r="C3055" s="33"/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  <c r="AB3055" s="33"/>
      <c r="AC3055" s="33"/>
      <c r="AD3055" s="33"/>
      <c r="AE3055" s="33"/>
      <c r="AF3055" s="33"/>
      <c r="AG3055" s="33"/>
      <c r="AH3055" s="33"/>
      <c r="AI3055" s="33"/>
      <c r="AJ3055" s="33"/>
      <c r="AK3055" s="33"/>
    </row>
    <row r="3056">
      <c r="A3056" s="33"/>
      <c r="B3056" s="33"/>
      <c r="C3056" s="33"/>
      <c r="D3056" s="33"/>
      <c r="E3056" s="33"/>
      <c r="F3056" s="33"/>
      <c r="G3056" s="33"/>
      <c r="H3056" s="33"/>
      <c r="I3056" s="33"/>
      <c r="J3056" s="33"/>
      <c r="K3056" s="33"/>
      <c r="L3056" s="33"/>
      <c r="M3056" s="33"/>
      <c r="N3056" s="33"/>
      <c r="O3056" s="33"/>
      <c r="P3056" s="33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  <c r="AB3056" s="33"/>
      <c r="AC3056" s="33"/>
      <c r="AD3056" s="33"/>
      <c r="AE3056" s="33"/>
      <c r="AF3056" s="33"/>
      <c r="AG3056" s="33"/>
      <c r="AH3056" s="33"/>
      <c r="AI3056" s="33"/>
      <c r="AJ3056" s="33"/>
      <c r="AK3056" s="33"/>
    </row>
    <row r="3057">
      <c r="A3057" s="33"/>
      <c r="B3057" s="33"/>
      <c r="C3057" s="33"/>
      <c r="D3057" s="33"/>
      <c r="E3057" s="33"/>
      <c r="F3057" s="33"/>
      <c r="G3057" s="33"/>
      <c r="H3057" s="33"/>
      <c r="I3057" s="33"/>
      <c r="J3057" s="33"/>
      <c r="K3057" s="33"/>
      <c r="L3057" s="33"/>
      <c r="M3057" s="33"/>
      <c r="N3057" s="33"/>
      <c r="O3057" s="33"/>
      <c r="P3057" s="33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  <c r="AB3057" s="33"/>
      <c r="AC3057" s="33"/>
      <c r="AD3057" s="33"/>
      <c r="AE3057" s="33"/>
      <c r="AF3057" s="33"/>
      <c r="AG3057" s="33"/>
      <c r="AH3057" s="33"/>
      <c r="AI3057" s="33"/>
      <c r="AJ3057" s="33"/>
      <c r="AK3057" s="33"/>
    </row>
    <row r="3058">
      <c r="A3058" s="33"/>
      <c r="B3058" s="33"/>
      <c r="C3058" s="33"/>
      <c r="D3058" s="33"/>
      <c r="E3058" s="33"/>
      <c r="F3058" s="33"/>
      <c r="G3058" s="33"/>
      <c r="H3058" s="33"/>
      <c r="I3058" s="33"/>
      <c r="J3058" s="33"/>
      <c r="K3058" s="33"/>
      <c r="L3058" s="33"/>
      <c r="M3058" s="33"/>
      <c r="N3058" s="33"/>
      <c r="O3058" s="33"/>
      <c r="P3058" s="33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  <c r="AB3058" s="33"/>
      <c r="AC3058" s="33"/>
      <c r="AD3058" s="33"/>
      <c r="AE3058" s="33"/>
      <c r="AF3058" s="33"/>
      <c r="AG3058" s="33"/>
      <c r="AH3058" s="33"/>
      <c r="AI3058" s="33"/>
      <c r="AJ3058" s="33"/>
      <c r="AK3058" s="33"/>
    </row>
    <row r="3059">
      <c r="A3059" s="33"/>
      <c r="B3059" s="33"/>
      <c r="C3059" s="33"/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  <c r="AB3059" s="33"/>
      <c r="AC3059" s="33"/>
      <c r="AD3059" s="33"/>
      <c r="AE3059" s="33"/>
      <c r="AF3059" s="33"/>
      <c r="AG3059" s="33"/>
      <c r="AH3059" s="33"/>
      <c r="AI3059" s="33"/>
      <c r="AJ3059" s="33"/>
      <c r="AK3059" s="33"/>
    </row>
    <row r="3060">
      <c r="A3060" s="33"/>
      <c r="B3060" s="33"/>
      <c r="C3060" s="33"/>
      <c r="D3060" s="33"/>
      <c r="E3060" s="33"/>
      <c r="F3060" s="33"/>
      <c r="G3060" s="33"/>
      <c r="H3060" s="33"/>
      <c r="I3060" s="33"/>
      <c r="J3060" s="33"/>
      <c r="K3060" s="33"/>
      <c r="L3060" s="33"/>
      <c r="M3060" s="33"/>
      <c r="N3060" s="33"/>
      <c r="O3060" s="33"/>
      <c r="P3060" s="33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  <c r="AB3060" s="33"/>
      <c r="AC3060" s="33"/>
      <c r="AD3060" s="33"/>
      <c r="AE3060" s="33"/>
      <c r="AF3060" s="33"/>
      <c r="AG3060" s="33"/>
      <c r="AH3060" s="33"/>
      <c r="AI3060" s="33"/>
      <c r="AJ3060" s="33"/>
      <c r="AK3060" s="33"/>
    </row>
    <row r="3061">
      <c r="A3061" s="33"/>
      <c r="B3061" s="33"/>
      <c r="C3061" s="33"/>
      <c r="D3061" s="33"/>
      <c r="E3061" s="33"/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33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  <c r="AB3061" s="33"/>
      <c r="AC3061" s="33"/>
      <c r="AD3061" s="33"/>
      <c r="AE3061" s="33"/>
      <c r="AF3061" s="33"/>
      <c r="AG3061" s="33"/>
      <c r="AH3061" s="33"/>
      <c r="AI3061" s="33"/>
      <c r="AJ3061" s="33"/>
      <c r="AK3061" s="33"/>
    </row>
    <row r="3062">
      <c r="A3062" s="33"/>
      <c r="B3062" s="33"/>
      <c r="C3062" s="33"/>
      <c r="D3062" s="33"/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3"/>
      <c r="P3062" s="33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  <c r="AB3062" s="33"/>
      <c r="AC3062" s="33"/>
      <c r="AD3062" s="33"/>
      <c r="AE3062" s="33"/>
      <c r="AF3062" s="33"/>
      <c r="AG3062" s="33"/>
      <c r="AH3062" s="33"/>
      <c r="AI3062" s="33"/>
      <c r="AJ3062" s="33"/>
      <c r="AK3062" s="33"/>
    </row>
    <row r="3063">
      <c r="A3063" s="33"/>
      <c r="B3063" s="33"/>
      <c r="C3063" s="33"/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  <c r="AB3063" s="33"/>
      <c r="AC3063" s="33"/>
      <c r="AD3063" s="33"/>
      <c r="AE3063" s="33"/>
      <c r="AF3063" s="33"/>
      <c r="AG3063" s="33"/>
      <c r="AH3063" s="33"/>
      <c r="AI3063" s="33"/>
      <c r="AJ3063" s="33"/>
      <c r="AK3063" s="33"/>
    </row>
    <row r="3064">
      <c r="A3064" s="33"/>
      <c r="B3064" s="33"/>
      <c r="C3064" s="33"/>
      <c r="D3064" s="33"/>
      <c r="E3064" s="33"/>
      <c r="F3064" s="33"/>
      <c r="G3064" s="33"/>
      <c r="H3064" s="33"/>
      <c r="I3064" s="33"/>
      <c r="J3064" s="33"/>
      <c r="K3064" s="33"/>
      <c r="L3064" s="33"/>
      <c r="M3064" s="33"/>
      <c r="N3064" s="33"/>
      <c r="O3064" s="33"/>
      <c r="P3064" s="33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  <c r="AB3064" s="33"/>
      <c r="AC3064" s="33"/>
      <c r="AD3064" s="33"/>
      <c r="AE3064" s="33"/>
      <c r="AF3064" s="33"/>
      <c r="AG3064" s="33"/>
      <c r="AH3064" s="33"/>
      <c r="AI3064" s="33"/>
      <c r="AJ3064" s="33"/>
      <c r="AK3064" s="33"/>
    </row>
    <row r="3065">
      <c r="A3065" s="33"/>
      <c r="B3065" s="33"/>
      <c r="C3065" s="33"/>
      <c r="D3065" s="33"/>
      <c r="E3065" s="33"/>
      <c r="F3065" s="33"/>
      <c r="G3065" s="33"/>
      <c r="H3065" s="33"/>
      <c r="I3065" s="33"/>
      <c r="J3065" s="33"/>
      <c r="K3065" s="33"/>
      <c r="L3065" s="33"/>
      <c r="M3065" s="33"/>
      <c r="N3065" s="33"/>
      <c r="O3065" s="33"/>
      <c r="P3065" s="33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  <c r="AB3065" s="33"/>
      <c r="AC3065" s="33"/>
      <c r="AD3065" s="33"/>
      <c r="AE3065" s="33"/>
      <c r="AF3065" s="33"/>
      <c r="AG3065" s="33"/>
      <c r="AH3065" s="33"/>
      <c r="AI3065" s="33"/>
      <c r="AJ3065" s="33"/>
      <c r="AK3065" s="33"/>
    </row>
    <row r="3066">
      <c r="A3066" s="33"/>
      <c r="B3066" s="33"/>
      <c r="C3066" s="33"/>
      <c r="D3066" s="33"/>
      <c r="E3066" s="33"/>
      <c r="F3066" s="33"/>
      <c r="G3066" s="33"/>
      <c r="H3066" s="33"/>
      <c r="I3066" s="33"/>
      <c r="J3066" s="33"/>
      <c r="K3066" s="33"/>
      <c r="L3066" s="33"/>
      <c r="M3066" s="33"/>
      <c r="N3066" s="33"/>
      <c r="O3066" s="33"/>
      <c r="P3066" s="33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  <c r="AB3066" s="33"/>
      <c r="AC3066" s="33"/>
      <c r="AD3066" s="33"/>
      <c r="AE3066" s="33"/>
      <c r="AF3066" s="33"/>
      <c r="AG3066" s="33"/>
      <c r="AH3066" s="33"/>
      <c r="AI3066" s="33"/>
      <c r="AJ3066" s="33"/>
      <c r="AK3066" s="33"/>
    </row>
    <row r="3067">
      <c r="A3067" s="33"/>
      <c r="B3067" s="33"/>
      <c r="C3067" s="33"/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  <c r="AB3067" s="33"/>
      <c r="AC3067" s="33"/>
      <c r="AD3067" s="33"/>
      <c r="AE3067" s="33"/>
      <c r="AF3067" s="33"/>
      <c r="AG3067" s="33"/>
      <c r="AH3067" s="33"/>
      <c r="AI3067" s="33"/>
      <c r="AJ3067" s="33"/>
      <c r="AK3067" s="33"/>
    </row>
    <row r="3068">
      <c r="A3068" s="33"/>
      <c r="B3068" s="33"/>
      <c r="C3068" s="33"/>
      <c r="D3068" s="33"/>
      <c r="E3068" s="33"/>
      <c r="F3068" s="33"/>
      <c r="G3068" s="33"/>
      <c r="H3068" s="33"/>
      <c r="I3068" s="33"/>
      <c r="J3068" s="33"/>
      <c r="K3068" s="33"/>
      <c r="L3068" s="33"/>
      <c r="M3068" s="33"/>
      <c r="N3068" s="33"/>
      <c r="O3068" s="33"/>
      <c r="P3068" s="33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  <c r="AB3068" s="33"/>
      <c r="AC3068" s="33"/>
      <c r="AD3068" s="33"/>
      <c r="AE3068" s="33"/>
      <c r="AF3068" s="33"/>
      <c r="AG3068" s="33"/>
      <c r="AH3068" s="33"/>
      <c r="AI3068" s="33"/>
      <c r="AJ3068" s="33"/>
      <c r="AK3068" s="33"/>
    </row>
    <row r="3069">
      <c r="A3069" s="33"/>
      <c r="B3069" s="33"/>
      <c r="C3069" s="33"/>
      <c r="D3069" s="33"/>
      <c r="E3069" s="33"/>
      <c r="F3069" s="33"/>
      <c r="G3069" s="33"/>
      <c r="H3069" s="33"/>
      <c r="I3069" s="33"/>
      <c r="J3069" s="33"/>
      <c r="K3069" s="33"/>
      <c r="L3069" s="33"/>
      <c r="M3069" s="33"/>
      <c r="N3069" s="33"/>
      <c r="O3069" s="33"/>
      <c r="P3069" s="33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  <c r="AB3069" s="33"/>
      <c r="AC3069" s="33"/>
      <c r="AD3069" s="33"/>
      <c r="AE3069" s="33"/>
      <c r="AF3069" s="33"/>
      <c r="AG3069" s="33"/>
      <c r="AH3069" s="33"/>
      <c r="AI3069" s="33"/>
      <c r="AJ3069" s="33"/>
      <c r="AK3069" s="33"/>
    </row>
    <row r="3070">
      <c r="A3070" s="33"/>
      <c r="B3070" s="33"/>
      <c r="C3070" s="33"/>
      <c r="D3070" s="33"/>
      <c r="E3070" s="33"/>
      <c r="F3070" s="33"/>
      <c r="G3070" s="33"/>
      <c r="H3070" s="33"/>
      <c r="I3070" s="33"/>
      <c r="J3070" s="33"/>
      <c r="K3070" s="33"/>
      <c r="L3070" s="33"/>
      <c r="M3070" s="33"/>
      <c r="N3070" s="33"/>
      <c r="O3070" s="33"/>
      <c r="P3070" s="33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  <c r="AB3070" s="33"/>
      <c r="AC3070" s="33"/>
      <c r="AD3070" s="33"/>
      <c r="AE3070" s="33"/>
      <c r="AF3070" s="33"/>
      <c r="AG3070" s="33"/>
      <c r="AH3070" s="33"/>
      <c r="AI3070" s="33"/>
      <c r="AJ3070" s="33"/>
      <c r="AK3070" s="33"/>
    </row>
    <row r="3071">
      <c r="A3071" s="33"/>
      <c r="B3071" s="33"/>
      <c r="C3071" s="33"/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  <c r="AB3071" s="33"/>
      <c r="AC3071" s="33"/>
      <c r="AD3071" s="33"/>
      <c r="AE3071" s="33"/>
      <c r="AF3071" s="33"/>
      <c r="AG3071" s="33"/>
      <c r="AH3071" s="33"/>
      <c r="AI3071" s="33"/>
      <c r="AJ3071" s="33"/>
      <c r="AK3071" s="33"/>
    </row>
    <row r="3072">
      <c r="A3072" s="33"/>
      <c r="B3072" s="33"/>
      <c r="C3072" s="33"/>
      <c r="D3072" s="33"/>
      <c r="E3072" s="33"/>
      <c r="F3072" s="33"/>
      <c r="G3072" s="33"/>
      <c r="H3072" s="33"/>
      <c r="I3072" s="33"/>
      <c r="J3072" s="33"/>
      <c r="K3072" s="33"/>
      <c r="L3072" s="33"/>
      <c r="M3072" s="33"/>
      <c r="N3072" s="33"/>
      <c r="O3072" s="33"/>
      <c r="P3072" s="33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  <c r="AB3072" s="33"/>
      <c r="AC3072" s="33"/>
      <c r="AD3072" s="33"/>
      <c r="AE3072" s="33"/>
      <c r="AF3072" s="33"/>
      <c r="AG3072" s="33"/>
      <c r="AH3072" s="33"/>
      <c r="AI3072" s="33"/>
      <c r="AJ3072" s="33"/>
      <c r="AK3072" s="33"/>
    </row>
    <row r="3073">
      <c r="A3073" s="33"/>
      <c r="B3073" s="33"/>
      <c r="C3073" s="33"/>
      <c r="D3073" s="33"/>
      <c r="E3073" s="33"/>
      <c r="F3073" s="33"/>
      <c r="G3073" s="33"/>
      <c r="H3073" s="33"/>
      <c r="I3073" s="33"/>
      <c r="J3073" s="33"/>
      <c r="K3073" s="33"/>
      <c r="L3073" s="33"/>
      <c r="M3073" s="33"/>
      <c r="N3073" s="33"/>
      <c r="O3073" s="33"/>
      <c r="P3073" s="33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  <c r="AB3073" s="33"/>
      <c r="AC3073" s="33"/>
      <c r="AD3073" s="33"/>
      <c r="AE3073" s="33"/>
      <c r="AF3073" s="33"/>
      <c r="AG3073" s="33"/>
      <c r="AH3073" s="33"/>
      <c r="AI3073" s="33"/>
      <c r="AJ3073" s="33"/>
      <c r="AK3073" s="33"/>
    </row>
    <row r="3074">
      <c r="A3074" s="33"/>
      <c r="B3074" s="33"/>
      <c r="C3074" s="33"/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33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  <c r="AB3074" s="33"/>
      <c r="AC3074" s="33"/>
      <c r="AD3074" s="33"/>
      <c r="AE3074" s="33"/>
      <c r="AF3074" s="33"/>
      <c r="AG3074" s="33"/>
      <c r="AH3074" s="33"/>
      <c r="AI3074" s="33"/>
      <c r="AJ3074" s="33"/>
      <c r="AK3074" s="33"/>
    </row>
    <row r="3075">
      <c r="A3075" s="33"/>
      <c r="B3075" s="33"/>
      <c r="C3075" s="33"/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  <c r="AB3075" s="33"/>
      <c r="AC3075" s="33"/>
      <c r="AD3075" s="33"/>
      <c r="AE3075" s="33"/>
      <c r="AF3075" s="33"/>
      <c r="AG3075" s="33"/>
      <c r="AH3075" s="33"/>
      <c r="AI3075" s="33"/>
      <c r="AJ3075" s="33"/>
      <c r="AK3075" s="33"/>
    </row>
    <row r="3076">
      <c r="A3076" s="33"/>
      <c r="B3076" s="33"/>
      <c r="C3076" s="33"/>
      <c r="D3076" s="33"/>
      <c r="E3076" s="33"/>
      <c r="F3076" s="33"/>
      <c r="G3076" s="33"/>
      <c r="H3076" s="33"/>
      <c r="I3076" s="33"/>
      <c r="J3076" s="33"/>
      <c r="K3076" s="33"/>
      <c r="L3076" s="33"/>
      <c r="M3076" s="33"/>
      <c r="N3076" s="33"/>
      <c r="O3076" s="33"/>
      <c r="P3076" s="33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  <c r="AB3076" s="33"/>
      <c r="AC3076" s="33"/>
      <c r="AD3076" s="33"/>
      <c r="AE3076" s="33"/>
      <c r="AF3076" s="33"/>
      <c r="AG3076" s="33"/>
      <c r="AH3076" s="33"/>
      <c r="AI3076" s="33"/>
      <c r="AJ3076" s="33"/>
      <c r="AK3076" s="33"/>
    </row>
    <row r="3077">
      <c r="A3077" s="33"/>
      <c r="B3077" s="33"/>
      <c r="C3077" s="33"/>
      <c r="D3077" s="33"/>
      <c r="E3077" s="33"/>
      <c r="F3077" s="33"/>
      <c r="G3077" s="33"/>
      <c r="H3077" s="33"/>
      <c r="I3077" s="33"/>
      <c r="J3077" s="33"/>
      <c r="K3077" s="33"/>
      <c r="L3077" s="33"/>
      <c r="M3077" s="33"/>
      <c r="N3077" s="33"/>
      <c r="O3077" s="33"/>
      <c r="P3077" s="33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  <c r="AB3077" s="33"/>
      <c r="AC3077" s="33"/>
      <c r="AD3077" s="33"/>
      <c r="AE3077" s="33"/>
      <c r="AF3077" s="33"/>
      <c r="AG3077" s="33"/>
      <c r="AH3077" s="33"/>
      <c r="AI3077" s="33"/>
      <c r="AJ3077" s="33"/>
      <c r="AK3077" s="33"/>
    </row>
    <row r="3078">
      <c r="A3078" s="33"/>
      <c r="B3078" s="33"/>
      <c r="C3078" s="33"/>
      <c r="D3078" s="33"/>
      <c r="E3078" s="33"/>
      <c r="F3078" s="33"/>
      <c r="G3078" s="33"/>
      <c r="H3078" s="33"/>
      <c r="I3078" s="33"/>
      <c r="J3078" s="33"/>
      <c r="K3078" s="33"/>
      <c r="L3078" s="33"/>
      <c r="M3078" s="33"/>
      <c r="N3078" s="33"/>
      <c r="O3078" s="33"/>
      <c r="P3078" s="33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  <c r="AB3078" s="33"/>
      <c r="AC3078" s="33"/>
      <c r="AD3078" s="33"/>
      <c r="AE3078" s="33"/>
      <c r="AF3078" s="33"/>
      <c r="AG3078" s="33"/>
      <c r="AH3078" s="33"/>
      <c r="AI3078" s="33"/>
      <c r="AJ3078" s="33"/>
      <c r="AK3078" s="33"/>
    </row>
    <row r="3079">
      <c r="A3079" s="33"/>
      <c r="B3079" s="33"/>
      <c r="C3079" s="33"/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  <c r="AB3079" s="33"/>
      <c r="AC3079" s="33"/>
      <c r="AD3079" s="33"/>
      <c r="AE3079" s="33"/>
      <c r="AF3079" s="33"/>
      <c r="AG3079" s="33"/>
      <c r="AH3079" s="33"/>
      <c r="AI3079" s="33"/>
      <c r="AJ3079" s="33"/>
      <c r="AK3079" s="33"/>
    </row>
    <row r="3080">
      <c r="A3080" s="33"/>
      <c r="B3080" s="33"/>
      <c r="C3080" s="33"/>
      <c r="D3080" s="33"/>
      <c r="E3080" s="33"/>
      <c r="F3080" s="33"/>
      <c r="G3080" s="33"/>
      <c r="H3080" s="33"/>
      <c r="I3080" s="33"/>
      <c r="J3080" s="33"/>
      <c r="K3080" s="33"/>
      <c r="L3080" s="33"/>
      <c r="M3080" s="33"/>
      <c r="N3080" s="33"/>
      <c r="O3080" s="33"/>
      <c r="P3080" s="33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  <c r="AB3080" s="33"/>
      <c r="AC3080" s="33"/>
      <c r="AD3080" s="33"/>
      <c r="AE3080" s="33"/>
      <c r="AF3080" s="33"/>
      <c r="AG3080" s="33"/>
      <c r="AH3080" s="33"/>
      <c r="AI3080" s="33"/>
      <c r="AJ3080" s="33"/>
      <c r="AK3080" s="33"/>
    </row>
    <row r="3081">
      <c r="A3081" s="33"/>
      <c r="B3081" s="33"/>
      <c r="C3081" s="33"/>
      <c r="D3081" s="33"/>
      <c r="E3081" s="33"/>
      <c r="F3081" s="33"/>
      <c r="G3081" s="33"/>
      <c r="H3081" s="33"/>
      <c r="I3081" s="33"/>
      <c r="J3081" s="33"/>
      <c r="K3081" s="33"/>
      <c r="L3081" s="33"/>
      <c r="M3081" s="33"/>
      <c r="N3081" s="33"/>
      <c r="O3081" s="33"/>
      <c r="P3081" s="33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  <c r="AB3081" s="33"/>
      <c r="AC3081" s="33"/>
      <c r="AD3081" s="33"/>
      <c r="AE3081" s="33"/>
      <c r="AF3081" s="33"/>
      <c r="AG3081" s="33"/>
      <c r="AH3081" s="33"/>
      <c r="AI3081" s="33"/>
      <c r="AJ3081" s="33"/>
      <c r="AK3081" s="33"/>
    </row>
    <row r="3082">
      <c r="A3082" s="33"/>
      <c r="B3082" s="33"/>
      <c r="C3082" s="33"/>
      <c r="D3082" s="33"/>
      <c r="E3082" s="33"/>
      <c r="F3082" s="33"/>
      <c r="G3082" s="33"/>
      <c r="H3082" s="33"/>
      <c r="I3082" s="33"/>
      <c r="J3082" s="33"/>
      <c r="K3082" s="33"/>
      <c r="L3082" s="33"/>
      <c r="M3082" s="33"/>
      <c r="N3082" s="33"/>
      <c r="O3082" s="33"/>
      <c r="P3082" s="33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  <c r="AB3082" s="33"/>
      <c r="AC3082" s="33"/>
      <c r="AD3082" s="33"/>
      <c r="AE3082" s="33"/>
      <c r="AF3082" s="33"/>
      <c r="AG3082" s="33"/>
      <c r="AH3082" s="33"/>
      <c r="AI3082" s="33"/>
      <c r="AJ3082" s="33"/>
      <c r="AK3082" s="33"/>
    </row>
    <row r="3083">
      <c r="A3083" s="33"/>
      <c r="B3083" s="33"/>
      <c r="C3083" s="33"/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  <c r="AB3083" s="33"/>
      <c r="AC3083" s="33"/>
      <c r="AD3083" s="33"/>
      <c r="AE3083" s="33"/>
      <c r="AF3083" s="33"/>
      <c r="AG3083" s="33"/>
      <c r="AH3083" s="33"/>
      <c r="AI3083" s="33"/>
      <c r="AJ3083" s="33"/>
      <c r="AK3083" s="33"/>
    </row>
    <row r="3084">
      <c r="A3084" s="33"/>
      <c r="B3084" s="33"/>
      <c r="C3084" s="33"/>
      <c r="D3084" s="33"/>
      <c r="E3084" s="33"/>
      <c r="F3084" s="33"/>
      <c r="G3084" s="33"/>
      <c r="H3084" s="33"/>
      <c r="I3084" s="33"/>
      <c r="J3084" s="33"/>
      <c r="K3084" s="33"/>
      <c r="L3084" s="33"/>
      <c r="M3084" s="33"/>
      <c r="N3084" s="33"/>
      <c r="O3084" s="33"/>
      <c r="P3084" s="33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  <c r="AB3084" s="33"/>
      <c r="AC3084" s="33"/>
      <c r="AD3084" s="33"/>
      <c r="AE3084" s="33"/>
      <c r="AF3084" s="33"/>
      <c r="AG3084" s="33"/>
      <c r="AH3084" s="33"/>
      <c r="AI3084" s="33"/>
      <c r="AJ3084" s="33"/>
      <c r="AK3084" s="33"/>
    </row>
    <row r="3085">
      <c r="A3085" s="33"/>
      <c r="B3085" s="33"/>
      <c r="C3085" s="33"/>
      <c r="D3085" s="33"/>
      <c r="E3085" s="33"/>
      <c r="F3085" s="33"/>
      <c r="G3085" s="33"/>
      <c r="H3085" s="33"/>
      <c r="I3085" s="33"/>
      <c r="J3085" s="33"/>
      <c r="K3085" s="33"/>
      <c r="L3085" s="33"/>
      <c r="M3085" s="33"/>
      <c r="N3085" s="33"/>
      <c r="O3085" s="33"/>
      <c r="P3085" s="33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  <c r="AB3085" s="33"/>
      <c r="AC3085" s="33"/>
      <c r="AD3085" s="33"/>
      <c r="AE3085" s="33"/>
      <c r="AF3085" s="33"/>
      <c r="AG3085" s="33"/>
      <c r="AH3085" s="33"/>
      <c r="AI3085" s="33"/>
      <c r="AJ3085" s="33"/>
      <c r="AK3085" s="33"/>
    </row>
    <row r="3086">
      <c r="A3086" s="33"/>
      <c r="B3086" s="33"/>
      <c r="C3086" s="33"/>
      <c r="D3086" s="33"/>
      <c r="E3086" s="33"/>
      <c r="F3086" s="33"/>
      <c r="G3086" s="33"/>
      <c r="H3086" s="33"/>
      <c r="I3086" s="33"/>
      <c r="J3086" s="33"/>
      <c r="K3086" s="33"/>
      <c r="L3086" s="33"/>
      <c r="M3086" s="33"/>
      <c r="N3086" s="33"/>
      <c r="O3086" s="33"/>
      <c r="P3086" s="33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  <c r="AB3086" s="33"/>
      <c r="AC3086" s="33"/>
      <c r="AD3086" s="33"/>
      <c r="AE3086" s="33"/>
      <c r="AF3086" s="33"/>
      <c r="AG3086" s="33"/>
      <c r="AH3086" s="33"/>
      <c r="AI3086" s="33"/>
      <c r="AJ3086" s="33"/>
      <c r="AK3086" s="33"/>
    </row>
    <row r="3087">
      <c r="A3087" s="33"/>
      <c r="B3087" s="33"/>
      <c r="C3087" s="33"/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  <c r="AB3087" s="33"/>
      <c r="AC3087" s="33"/>
      <c r="AD3087" s="33"/>
      <c r="AE3087" s="33"/>
      <c r="AF3087" s="33"/>
      <c r="AG3087" s="33"/>
      <c r="AH3087" s="33"/>
      <c r="AI3087" s="33"/>
      <c r="AJ3087" s="33"/>
      <c r="AK3087" s="33"/>
    </row>
    <row r="3088">
      <c r="A3088" s="33"/>
      <c r="B3088" s="33"/>
      <c r="C3088" s="33"/>
      <c r="D3088" s="33"/>
      <c r="E3088" s="33"/>
      <c r="F3088" s="33"/>
      <c r="G3088" s="33"/>
      <c r="H3088" s="33"/>
      <c r="I3088" s="33"/>
      <c r="J3088" s="33"/>
      <c r="K3088" s="33"/>
      <c r="L3088" s="33"/>
      <c r="M3088" s="33"/>
      <c r="N3088" s="33"/>
      <c r="O3088" s="33"/>
      <c r="P3088" s="33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  <c r="AB3088" s="33"/>
      <c r="AC3088" s="33"/>
      <c r="AD3088" s="33"/>
      <c r="AE3088" s="33"/>
      <c r="AF3088" s="33"/>
      <c r="AG3088" s="33"/>
      <c r="AH3088" s="33"/>
      <c r="AI3088" s="33"/>
      <c r="AJ3088" s="33"/>
      <c r="AK3088" s="33"/>
    </row>
    <row r="3089">
      <c r="A3089" s="33"/>
      <c r="B3089" s="33"/>
      <c r="C3089" s="33"/>
      <c r="D3089" s="33"/>
      <c r="E3089" s="33"/>
      <c r="F3089" s="33"/>
      <c r="G3089" s="33"/>
      <c r="H3089" s="33"/>
      <c r="I3089" s="33"/>
      <c r="J3089" s="33"/>
      <c r="K3089" s="33"/>
      <c r="L3089" s="33"/>
      <c r="M3089" s="33"/>
      <c r="N3089" s="33"/>
      <c r="O3089" s="33"/>
      <c r="P3089" s="33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  <c r="AB3089" s="33"/>
      <c r="AC3089" s="33"/>
      <c r="AD3089" s="33"/>
      <c r="AE3089" s="33"/>
      <c r="AF3089" s="33"/>
      <c r="AG3089" s="33"/>
      <c r="AH3089" s="33"/>
      <c r="AI3089" s="33"/>
      <c r="AJ3089" s="33"/>
      <c r="AK3089" s="33"/>
    </row>
    <row r="3090">
      <c r="A3090" s="33"/>
      <c r="B3090" s="33"/>
      <c r="C3090" s="33"/>
      <c r="D3090" s="33"/>
      <c r="E3090" s="33"/>
      <c r="F3090" s="33"/>
      <c r="G3090" s="33"/>
      <c r="H3090" s="33"/>
      <c r="I3090" s="33"/>
      <c r="J3090" s="33"/>
      <c r="K3090" s="33"/>
      <c r="L3090" s="33"/>
      <c r="M3090" s="33"/>
      <c r="N3090" s="33"/>
      <c r="O3090" s="33"/>
      <c r="P3090" s="33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  <c r="AB3090" s="33"/>
      <c r="AC3090" s="33"/>
      <c r="AD3090" s="33"/>
      <c r="AE3090" s="33"/>
      <c r="AF3090" s="33"/>
      <c r="AG3090" s="33"/>
      <c r="AH3090" s="33"/>
      <c r="AI3090" s="33"/>
      <c r="AJ3090" s="33"/>
      <c r="AK3090" s="33"/>
    </row>
    <row r="3091">
      <c r="A3091" s="33"/>
      <c r="B3091" s="33"/>
      <c r="C3091" s="33"/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  <c r="AB3091" s="33"/>
      <c r="AC3091" s="33"/>
      <c r="AD3091" s="33"/>
      <c r="AE3091" s="33"/>
      <c r="AF3091" s="33"/>
      <c r="AG3091" s="33"/>
      <c r="AH3091" s="33"/>
      <c r="AI3091" s="33"/>
      <c r="AJ3091" s="33"/>
      <c r="AK3091" s="33"/>
    </row>
    <row r="3092">
      <c r="A3092" s="33"/>
      <c r="B3092" s="33"/>
      <c r="C3092" s="33"/>
      <c r="D3092" s="33"/>
      <c r="E3092" s="33"/>
      <c r="F3092" s="33"/>
      <c r="G3092" s="33"/>
      <c r="H3092" s="33"/>
      <c r="I3092" s="33"/>
      <c r="J3092" s="33"/>
      <c r="K3092" s="33"/>
      <c r="L3092" s="33"/>
      <c r="M3092" s="33"/>
      <c r="N3092" s="33"/>
      <c r="O3092" s="33"/>
      <c r="P3092" s="33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  <c r="AB3092" s="33"/>
      <c r="AC3092" s="33"/>
      <c r="AD3092" s="33"/>
      <c r="AE3092" s="33"/>
      <c r="AF3092" s="33"/>
      <c r="AG3092" s="33"/>
      <c r="AH3092" s="33"/>
      <c r="AI3092" s="33"/>
      <c r="AJ3092" s="33"/>
      <c r="AK3092" s="33"/>
    </row>
    <row r="3093">
      <c r="A3093" s="33"/>
      <c r="B3093" s="33"/>
      <c r="C3093" s="33"/>
      <c r="D3093" s="33"/>
      <c r="E3093" s="33"/>
      <c r="F3093" s="33"/>
      <c r="G3093" s="33"/>
      <c r="H3093" s="33"/>
      <c r="I3093" s="33"/>
      <c r="J3093" s="33"/>
      <c r="K3093" s="33"/>
      <c r="L3093" s="33"/>
      <c r="M3093" s="33"/>
      <c r="N3093" s="33"/>
      <c r="O3093" s="33"/>
      <c r="P3093" s="33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  <c r="AB3093" s="33"/>
      <c r="AC3093" s="33"/>
      <c r="AD3093" s="33"/>
      <c r="AE3093" s="33"/>
      <c r="AF3093" s="33"/>
      <c r="AG3093" s="33"/>
      <c r="AH3093" s="33"/>
      <c r="AI3093" s="33"/>
      <c r="AJ3093" s="33"/>
      <c r="AK3093" s="33"/>
    </row>
    <row r="3094">
      <c r="A3094" s="33"/>
      <c r="B3094" s="33"/>
      <c r="C3094" s="33"/>
      <c r="D3094" s="33"/>
      <c r="E3094" s="33"/>
      <c r="F3094" s="33"/>
      <c r="G3094" s="33"/>
      <c r="H3094" s="33"/>
      <c r="I3094" s="33"/>
      <c r="J3094" s="33"/>
      <c r="K3094" s="33"/>
      <c r="L3094" s="33"/>
      <c r="M3094" s="33"/>
      <c r="N3094" s="33"/>
      <c r="O3094" s="33"/>
      <c r="P3094" s="33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  <c r="AB3094" s="33"/>
      <c r="AC3094" s="33"/>
      <c r="AD3094" s="33"/>
      <c r="AE3094" s="33"/>
      <c r="AF3094" s="33"/>
      <c r="AG3094" s="33"/>
      <c r="AH3094" s="33"/>
      <c r="AI3094" s="33"/>
      <c r="AJ3094" s="33"/>
      <c r="AK3094" s="33"/>
    </row>
    <row r="3095">
      <c r="A3095" s="33"/>
      <c r="B3095" s="33"/>
      <c r="C3095" s="33"/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  <c r="AB3095" s="33"/>
      <c r="AC3095" s="33"/>
      <c r="AD3095" s="33"/>
      <c r="AE3095" s="33"/>
      <c r="AF3095" s="33"/>
      <c r="AG3095" s="33"/>
      <c r="AH3095" s="33"/>
      <c r="AI3095" s="33"/>
      <c r="AJ3095" s="33"/>
      <c r="AK3095" s="33"/>
    </row>
    <row r="3096">
      <c r="A3096" s="33"/>
      <c r="B3096" s="33"/>
      <c r="C3096" s="33"/>
      <c r="D3096" s="33"/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3"/>
      <c r="P3096" s="33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  <c r="AB3096" s="33"/>
      <c r="AC3096" s="33"/>
      <c r="AD3096" s="33"/>
      <c r="AE3096" s="33"/>
      <c r="AF3096" s="33"/>
      <c r="AG3096" s="33"/>
      <c r="AH3096" s="33"/>
      <c r="AI3096" s="33"/>
      <c r="AJ3096" s="33"/>
      <c r="AK3096" s="33"/>
    </row>
    <row r="3097">
      <c r="A3097" s="33"/>
      <c r="B3097" s="33"/>
      <c r="C3097" s="33"/>
      <c r="D3097" s="33"/>
      <c r="E3097" s="33"/>
      <c r="F3097" s="33"/>
      <c r="G3097" s="33"/>
      <c r="H3097" s="33"/>
      <c r="I3097" s="33"/>
      <c r="J3097" s="33"/>
      <c r="K3097" s="33"/>
      <c r="L3097" s="33"/>
      <c r="M3097" s="33"/>
      <c r="N3097" s="33"/>
      <c r="O3097" s="33"/>
      <c r="P3097" s="33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  <c r="AB3097" s="33"/>
      <c r="AC3097" s="33"/>
      <c r="AD3097" s="33"/>
      <c r="AE3097" s="33"/>
      <c r="AF3097" s="33"/>
      <c r="AG3097" s="33"/>
      <c r="AH3097" s="33"/>
      <c r="AI3097" s="33"/>
      <c r="AJ3097" s="33"/>
      <c r="AK3097" s="33"/>
    </row>
    <row r="3098">
      <c r="A3098" s="33"/>
      <c r="B3098" s="33"/>
      <c r="C3098" s="33"/>
      <c r="D3098" s="33"/>
      <c r="E3098" s="33"/>
      <c r="F3098" s="33"/>
      <c r="G3098" s="33"/>
      <c r="H3098" s="33"/>
      <c r="I3098" s="33"/>
      <c r="J3098" s="33"/>
      <c r="K3098" s="33"/>
      <c r="L3098" s="33"/>
      <c r="M3098" s="33"/>
      <c r="N3098" s="33"/>
      <c r="O3098" s="33"/>
      <c r="P3098" s="33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  <c r="AB3098" s="33"/>
      <c r="AC3098" s="33"/>
      <c r="AD3098" s="33"/>
      <c r="AE3098" s="33"/>
      <c r="AF3098" s="33"/>
      <c r="AG3098" s="33"/>
      <c r="AH3098" s="33"/>
      <c r="AI3098" s="33"/>
      <c r="AJ3098" s="33"/>
      <c r="AK3098" s="33"/>
    </row>
    <row r="3099">
      <c r="A3099" s="33"/>
      <c r="B3099" s="33"/>
      <c r="C3099" s="33"/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  <c r="AB3099" s="33"/>
      <c r="AC3099" s="33"/>
      <c r="AD3099" s="33"/>
      <c r="AE3099" s="33"/>
      <c r="AF3099" s="33"/>
      <c r="AG3099" s="33"/>
      <c r="AH3099" s="33"/>
      <c r="AI3099" s="33"/>
      <c r="AJ3099" s="33"/>
      <c r="AK3099" s="33"/>
    </row>
    <row r="3100">
      <c r="A3100" s="33"/>
      <c r="B3100" s="33"/>
      <c r="C3100" s="33"/>
      <c r="D3100" s="33"/>
      <c r="E3100" s="33"/>
      <c r="F3100" s="33"/>
      <c r="G3100" s="33"/>
      <c r="H3100" s="33"/>
      <c r="I3100" s="33"/>
      <c r="J3100" s="33"/>
      <c r="K3100" s="33"/>
      <c r="L3100" s="33"/>
      <c r="M3100" s="33"/>
      <c r="N3100" s="33"/>
      <c r="O3100" s="33"/>
      <c r="P3100" s="33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  <c r="AB3100" s="33"/>
      <c r="AC3100" s="33"/>
      <c r="AD3100" s="33"/>
      <c r="AE3100" s="33"/>
      <c r="AF3100" s="33"/>
      <c r="AG3100" s="33"/>
      <c r="AH3100" s="33"/>
      <c r="AI3100" s="33"/>
      <c r="AJ3100" s="33"/>
      <c r="AK3100" s="33"/>
    </row>
    <row r="3101">
      <c r="A3101" s="33"/>
      <c r="B3101" s="33"/>
      <c r="C3101" s="33"/>
      <c r="D3101" s="33"/>
      <c r="E3101" s="33"/>
      <c r="F3101" s="33"/>
      <c r="G3101" s="33"/>
      <c r="H3101" s="33"/>
      <c r="I3101" s="33"/>
      <c r="J3101" s="33"/>
      <c r="K3101" s="33"/>
      <c r="L3101" s="33"/>
      <c r="M3101" s="33"/>
      <c r="N3101" s="33"/>
      <c r="O3101" s="33"/>
      <c r="P3101" s="33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  <c r="AB3101" s="33"/>
      <c r="AC3101" s="33"/>
      <c r="AD3101" s="33"/>
      <c r="AE3101" s="33"/>
      <c r="AF3101" s="33"/>
      <c r="AG3101" s="33"/>
      <c r="AH3101" s="33"/>
      <c r="AI3101" s="33"/>
      <c r="AJ3101" s="33"/>
      <c r="AK3101" s="33"/>
    </row>
    <row r="3102">
      <c r="A3102" s="33"/>
      <c r="B3102" s="33"/>
      <c r="C3102" s="33"/>
      <c r="D3102" s="33"/>
      <c r="E3102" s="33"/>
      <c r="F3102" s="33"/>
      <c r="G3102" s="33"/>
      <c r="H3102" s="33"/>
      <c r="I3102" s="33"/>
      <c r="J3102" s="33"/>
      <c r="K3102" s="33"/>
      <c r="L3102" s="33"/>
      <c r="M3102" s="33"/>
      <c r="N3102" s="33"/>
      <c r="O3102" s="33"/>
      <c r="P3102" s="33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  <c r="AB3102" s="33"/>
      <c r="AC3102" s="33"/>
      <c r="AD3102" s="33"/>
      <c r="AE3102" s="33"/>
      <c r="AF3102" s="33"/>
      <c r="AG3102" s="33"/>
      <c r="AH3102" s="33"/>
      <c r="AI3102" s="33"/>
      <c r="AJ3102" s="33"/>
      <c r="AK3102" s="33"/>
    </row>
    <row r="3103">
      <c r="A3103" s="33"/>
      <c r="B3103" s="33"/>
      <c r="C3103" s="33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  <c r="AB3103" s="33"/>
      <c r="AC3103" s="33"/>
      <c r="AD3103" s="33"/>
      <c r="AE3103" s="33"/>
      <c r="AF3103" s="33"/>
      <c r="AG3103" s="33"/>
      <c r="AH3103" s="33"/>
      <c r="AI3103" s="33"/>
      <c r="AJ3103" s="33"/>
      <c r="AK3103" s="33"/>
    </row>
    <row r="3104">
      <c r="A3104" s="33"/>
      <c r="B3104" s="33"/>
      <c r="C3104" s="33"/>
      <c r="D3104" s="33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33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  <c r="AB3104" s="33"/>
      <c r="AC3104" s="33"/>
      <c r="AD3104" s="33"/>
      <c r="AE3104" s="33"/>
      <c r="AF3104" s="33"/>
      <c r="AG3104" s="33"/>
      <c r="AH3104" s="33"/>
      <c r="AI3104" s="33"/>
      <c r="AJ3104" s="33"/>
      <c r="AK3104" s="33"/>
    </row>
    <row r="3105">
      <c r="A3105" s="33"/>
      <c r="B3105" s="33"/>
      <c r="C3105" s="33"/>
      <c r="D3105" s="33"/>
      <c r="E3105" s="33"/>
      <c r="F3105" s="33"/>
      <c r="G3105" s="33"/>
      <c r="H3105" s="33"/>
      <c r="I3105" s="33"/>
      <c r="J3105" s="33"/>
      <c r="K3105" s="33"/>
      <c r="L3105" s="33"/>
      <c r="M3105" s="33"/>
      <c r="N3105" s="33"/>
      <c r="O3105" s="33"/>
      <c r="P3105" s="33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  <c r="AB3105" s="33"/>
      <c r="AC3105" s="33"/>
      <c r="AD3105" s="33"/>
      <c r="AE3105" s="33"/>
      <c r="AF3105" s="33"/>
      <c r="AG3105" s="33"/>
      <c r="AH3105" s="33"/>
      <c r="AI3105" s="33"/>
      <c r="AJ3105" s="33"/>
      <c r="AK3105" s="33"/>
    </row>
    <row r="3106">
      <c r="A3106" s="33"/>
      <c r="B3106" s="33"/>
      <c r="C3106" s="33"/>
      <c r="D3106" s="33"/>
      <c r="E3106" s="33"/>
      <c r="F3106" s="33"/>
      <c r="G3106" s="33"/>
      <c r="H3106" s="33"/>
      <c r="I3106" s="33"/>
      <c r="J3106" s="33"/>
      <c r="K3106" s="33"/>
      <c r="L3106" s="33"/>
      <c r="M3106" s="33"/>
      <c r="N3106" s="33"/>
      <c r="O3106" s="33"/>
      <c r="P3106" s="33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  <c r="AB3106" s="33"/>
      <c r="AC3106" s="33"/>
      <c r="AD3106" s="33"/>
      <c r="AE3106" s="33"/>
      <c r="AF3106" s="33"/>
      <c r="AG3106" s="33"/>
      <c r="AH3106" s="33"/>
      <c r="AI3106" s="33"/>
      <c r="AJ3106" s="33"/>
      <c r="AK3106" s="33"/>
    </row>
    <row r="3107">
      <c r="A3107" s="33"/>
      <c r="B3107" s="33"/>
      <c r="C3107" s="33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  <c r="AB3107" s="33"/>
      <c r="AC3107" s="33"/>
      <c r="AD3107" s="33"/>
      <c r="AE3107" s="33"/>
      <c r="AF3107" s="33"/>
      <c r="AG3107" s="33"/>
      <c r="AH3107" s="33"/>
      <c r="AI3107" s="33"/>
      <c r="AJ3107" s="33"/>
      <c r="AK3107" s="33"/>
    </row>
    <row r="3108">
      <c r="A3108" s="33"/>
      <c r="B3108" s="33"/>
      <c r="C3108" s="33"/>
      <c r="D3108" s="33"/>
      <c r="E3108" s="33"/>
      <c r="F3108" s="33"/>
      <c r="G3108" s="33"/>
      <c r="H3108" s="33"/>
      <c r="I3108" s="33"/>
      <c r="J3108" s="33"/>
      <c r="K3108" s="33"/>
      <c r="L3108" s="33"/>
      <c r="M3108" s="33"/>
      <c r="N3108" s="33"/>
      <c r="O3108" s="33"/>
      <c r="P3108" s="33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  <c r="AB3108" s="33"/>
      <c r="AC3108" s="33"/>
      <c r="AD3108" s="33"/>
      <c r="AE3108" s="33"/>
      <c r="AF3108" s="33"/>
      <c r="AG3108" s="33"/>
      <c r="AH3108" s="33"/>
      <c r="AI3108" s="33"/>
      <c r="AJ3108" s="33"/>
      <c r="AK3108" s="33"/>
    </row>
    <row r="3109">
      <c r="A3109" s="33"/>
      <c r="B3109" s="33"/>
      <c r="C3109" s="33"/>
      <c r="D3109" s="33"/>
      <c r="E3109" s="33"/>
      <c r="F3109" s="33"/>
      <c r="G3109" s="33"/>
      <c r="H3109" s="33"/>
      <c r="I3109" s="33"/>
      <c r="J3109" s="33"/>
      <c r="K3109" s="33"/>
      <c r="L3109" s="33"/>
      <c r="M3109" s="33"/>
      <c r="N3109" s="33"/>
      <c r="O3109" s="33"/>
      <c r="P3109" s="33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  <c r="AB3109" s="33"/>
      <c r="AC3109" s="33"/>
      <c r="AD3109" s="33"/>
      <c r="AE3109" s="33"/>
      <c r="AF3109" s="33"/>
      <c r="AG3109" s="33"/>
      <c r="AH3109" s="33"/>
      <c r="AI3109" s="33"/>
      <c r="AJ3109" s="33"/>
      <c r="AK3109" s="33"/>
    </row>
    <row r="3110">
      <c r="A3110" s="33"/>
      <c r="B3110" s="33"/>
      <c r="C3110" s="33"/>
      <c r="D3110" s="33"/>
      <c r="E3110" s="33"/>
      <c r="F3110" s="33"/>
      <c r="G3110" s="33"/>
      <c r="H3110" s="33"/>
      <c r="I3110" s="33"/>
      <c r="J3110" s="33"/>
      <c r="K3110" s="33"/>
      <c r="L3110" s="33"/>
      <c r="M3110" s="33"/>
      <c r="N3110" s="33"/>
      <c r="O3110" s="33"/>
      <c r="P3110" s="33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  <c r="AB3110" s="33"/>
      <c r="AC3110" s="33"/>
      <c r="AD3110" s="33"/>
      <c r="AE3110" s="33"/>
      <c r="AF3110" s="33"/>
      <c r="AG3110" s="33"/>
      <c r="AH3110" s="33"/>
      <c r="AI3110" s="33"/>
      <c r="AJ3110" s="33"/>
      <c r="AK3110" s="33"/>
    </row>
    <row r="3111">
      <c r="A3111" s="33"/>
      <c r="B3111" s="33"/>
      <c r="C3111" s="33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  <c r="AB3111" s="33"/>
      <c r="AC3111" s="33"/>
      <c r="AD3111" s="33"/>
      <c r="AE3111" s="33"/>
      <c r="AF3111" s="33"/>
      <c r="AG3111" s="33"/>
      <c r="AH3111" s="33"/>
      <c r="AI3111" s="33"/>
      <c r="AJ3111" s="33"/>
      <c r="AK3111" s="33"/>
    </row>
    <row r="3112">
      <c r="A3112" s="33"/>
      <c r="B3112" s="33"/>
      <c r="C3112" s="33"/>
      <c r="D3112" s="33"/>
      <c r="E3112" s="33"/>
      <c r="F3112" s="33"/>
      <c r="G3112" s="33"/>
      <c r="H3112" s="33"/>
      <c r="I3112" s="33"/>
      <c r="J3112" s="33"/>
      <c r="K3112" s="33"/>
      <c r="L3112" s="33"/>
      <c r="M3112" s="33"/>
      <c r="N3112" s="33"/>
      <c r="O3112" s="33"/>
      <c r="P3112" s="33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  <c r="AB3112" s="33"/>
      <c r="AC3112" s="33"/>
      <c r="AD3112" s="33"/>
      <c r="AE3112" s="33"/>
      <c r="AF3112" s="33"/>
      <c r="AG3112" s="33"/>
      <c r="AH3112" s="33"/>
      <c r="AI3112" s="33"/>
      <c r="AJ3112" s="33"/>
      <c r="AK3112" s="33"/>
    </row>
    <row r="3113">
      <c r="A3113" s="33"/>
      <c r="B3113" s="33"/>
      <c r="C3113" s="33"/>
      <c r="D3113" s="33"/>
      <c r="E3113" s="33"/>
      <c r="F3113" s="33"/>
      <c r="G3113" s="33"/>
      <c r="H3113" s="33"/>
      <c r="I3113" s="33"/>
      <c r="J3113" s="33"/>
      <c r="K3113" s="33"/>
      <c r="L3113" s="33"/>
      <c r="M3113" s="33"/>
      <c r="N3113" s="33"/>
      <c r="O3113" s="33"/>
      <c r="P3113" s="33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  <c r="AB3113" s="33"/>
      <c r="AC3113" s="33"/>
      <c r="AD3113" s="33"/>
      <c r="AE3113" s="33"/>
      <c r="AF3113" s="33"/>
      <c r="AG3113" s="33"/>
      <c r="AH3113" s="33"/>
      <c r="AI3113" s="33"/>
      <c r="AJ3113" s="33"/>
      <c r="AK3113" s="33"/>
    </row>
    <row r="3114">
      <c r="A3114" s="33"/>
      <c r="B3114" s="33"/>
      <c r="C3114" s="33"/>
      <c r="D3114" s="33"/>
      <c r="E3114" s="33"/>
      <c r="F3114" s="33"/>
      <c r="G3114" s="33"/>
      <c r="H3114" s="33"/>
      <c r="I3114" s="33"/>
      <c r="J3114" s="33"/>
      <c r="K3114" s="33"/>
      <c r="L3114" s="33"/>
      <c r="M3114" s="33"/>
      <c r="N3114" s="33"/>
      <c r="O3114" s="33"/>
      <c r="P3114" s="33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  <c r="AB3114" s="33"/>
      <c r="AC3114" s="33"/>
      <c r="AD3114" s="33"/>
      <c r="AE3114" s="33"/>
      <c r="AF3114" s="33"/>
      <c r="AG3114" s="33"/>
      <c r="AH3114" s="33"/>
      <c r="AI3114" s="33"/>
      <c r="AJ3114" s="33"/>
      <c r="AK3114" s="33"/>
    </row>
    <row r="3115">
      <c r="A3115" s="33"/>
      <c r="B3115" s="33"/>
      <c r="C3115" s="33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  <c r="AB3115" s="33"/>
      <c r="AC3115" s="33"/>
      <c r="AD3115" s="33"/>
      <c r="AE3115" s="33"/>
      <c r="AF3115" s="33"/>
      <c r="AG3115" s="33"/>
      <c r="AH3115" s="33"/>
      <c r="AI3115" s="33"/>
      <c r="AJ3115" s="33"/>
      <c r="AK3115" s="33"/>
    </row>
    <row r="3116">
      <c r="A3116" s="33"/>
      <c r="B3116" s="33"/>
      <c r="C3116" s="33"/>
      <c r="D3116" s="33"/>
      <c r="E3116" s="33"/>
      <c r="F3116" s="33"/>
      <c r="G3116" s="33"/>
      <c r="H3116" s="33"/>
      <c r="I3116" s="33"/>
      <c r="J3116" s="33"/>
      <c r="K3116" s="33"/>
      <c r="L3116" s="33"/>
      <c r="M3116" s="33"/>
      <c r="N3116" s="33"/>
      <c r="O3116" s="33"/>
      <c r="P3116" s="33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  <c r="AB3116" s="33"/>
      <c r="AC3116" s="33"/>
      <c r="AD3116" s="33"/>
      <c r="AE3116" s="33"/>
      <c r="AF3116" s="33"/>
      <c r="AG3116" s="33"/>
      <c r="AH3116" s="33"/>
      <c r="AI3116" s="33"/>
      <c r="AJ3116" s="33"/>
      <c r="AK3116" s="33"/>
    </row>
    <row r="3117">
      <c r="A3117" s="33"/>
      <c r="B3117" s="33"/>
      <c r="C3117" s="33"/>
      <c r="D3117" s="33"/>
      <c r="E3117" s="33"/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  <c r="AB3117" s="33"/>
      <c r="AC3117" s="33"/>
      <c r="AD3117" s="33"/>
      <c r="AE3117" s="33"/>
      <c r="AF3117" s="33"/>
      <c r="AG3117" s="33"/>
      <c r="AH3117" s="33"/>
      <c r="AI3117" s="33"/>
      <c r="AJ3117" s="33"/>
      <c r="AK3117" s="33"/>
    </row>
    <row r="3118">
      <c r="A3118" s="33"/>
      <c r="B3118" s="33"/>
      <c r="C3118" s="33"/>
      <c r="D3118" s="33"/>
      <c r="E3118" s="33"/>
      <c r="F3118" s="33"/>
      <c r="G3118" s="33"/>
      <c r="H3118" s="33"/>
      <c r="I3118" s="33"/>
      <c r="J3118" s="33"/>
      <c r="K3118" s="33"/>
      <c r="L3118" s="33"/>
      <c r="M3118" s="33"/>
      <c r="N3118" s="33"/>
      <c r="O3118" s="33"/>
      <c r="P3118" s="33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  <c r="AB3118" s="33"/>
      <c r="AC3118" s="33"/>
      <c r="AD3118" s="33"/>
      <c r="AE3118" s="33"/>
      <c r="AF3118" s="33"/>
      <c r="AG3118" s="33"/>
      <c r="AH3118" s="33"/>
      <c r="AI3118" s="33"/>
      <c r="AJ3118" s="33"/>
      <c r="AK3118" s="33"/>
    </row>
    <row r="3119">
      <c r="A3119" s="33"/>
      <c r="B3119" s="33"/>
      <c r="C3119" s="33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  <c r="AB3119" s="33"/>
      <c r="AC3119" s="33"/>
      <c r="AD3119" s="33"/>
      <c r="AE3119" s="33"/>
      <c r="AF3119" s="33"/>
      <c r="AG3119" s="33"/>
      <c r="AH3119" s="33"/>
      <c r="AI3119" s="33"/>
      <c r="AJ3119" s="33"/>
      <c r="AK3119" s="33"/>
    </row>
    <row r="3120">
      <c r="A3120" s="33"/>
      <c r="B3120" s="33"/>
      <c r="C3120" s="33"/>
      <c r="D3120" s="33"/>
      <c r="E3120" s="33"/>
      <c r="F3120" s="33"/>
      <c r="G3120" s="33"/>
      <c r="H3120" s="33"/>
      <c r="I3120" s="33"/>
      <c r="J3120" s="33"/>
      <c r="K3120" s="33"/>
      <c r="L3120" s="33"/>
      <c r="M3120" s="33"/>
      <c r="N3120" s="33"/>
      <c r="O3120" s="33"/>
      <c r="P3120" s="33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  <c r="AB3120" s="33"/>
      <c r="AC3120" s="33"/>
      <c r="AD3120" s="33"/>
      <c r="AE3120" s="33"/>
      <c r="AF3120" s="33"/>
      <c r="AG3120" s="33"/>
      <c r="AH3120" s="33"/>
      <c r="AI3120" s="33"/>
      <c r="AJ3120" s="33"/>
      <c r="AK3120" s="33"/>
    </row>
    <row r="3121">
      <c r="A3121" s="33"/>
      <c r="B3121" s="33"/>
      <c r="C3121" s="33"/>
      <c r="D3121" s="33"/>
      <c r="E3121" s="33"/>
      <c r="F3121" s="33"/>
      <c r="G3121" s="33"/>
      <c r="H3121" s="33"/>
      <c r="I3121" s="33"/>
      <c r="J3121" s="33"/>
      <c r="K3121" s="33"/>
      <c r="L3121" s="33"/>
      <c r="M3121" s="33"/>
      <c r="N3121" s="33"/>
      <c r="O3121" s="33"/>
      <c r="P3121" s="33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  <c r="AB3121" s="33"/>
      <c r="AC3121" s="33"/>
      <c r="AD3121" s="33"/>
      <c r="AE3121" s="33"/>
      <c r="AF3121" s="33"/>
      <c r="AG3121" s="33"/>
      <c r="AH3121" s="33"/>
      <c r="AI3121" s="33"/>
      <c r="AJ3121" s="33"/>
      <c r="AK3121" s="33"/>
    </row>
    <row r="3122">
      <c r="A3122" s="33"/>
      <c r="B3122" s="33"/>
      <c r="C3122" s="33"/>
      <c r="D3122" s="33"/>
      <c r="E3122" s="33"/>
      <c r="F3122" s="33"/>
      <c r="G3122" s="33"/>
      <c r="H3122" s="33"/>
      <c r="I3122" s="33"/>
      <c r="J3122" s="33"/>
      <c r="K3122" s="33"/>
      <c r="L3122" s="33"/>
      <c r="M3122" s="33"/>
      <c r="N3122" s="33"/>
      <c r="O3122" s="33"/>
      <c r="P3122" s="33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  <c r="AB3122" s="33"/>
      <c r="AC3122" s="33"/>
      <c r="AD3122" s="33"/>
      <c r="AE3122" s="33"/>
      <c r="AF3122" s="33"/>
      <c r="AG3122" s="33"/>
      <c r="AH3122" s="33"/>
      <c r="AI3122" s="33"/>
      <c r="AJ3122" s="33"/>
      <c r="AK3122" s="33"/>
    </row>
    <row r="3123">
      <c r="A3123" s="33"/>
      <c r="B3123" s="33"/>
      <c r="C3123" s="33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  <c r="AB3123" s="33"/>
      <c r="AC3123" s="33"/>
      <c r="AD3123" s="33"/>
      <c r="AE3123" s="33"/>
      <c r="AF3123" s="33"/>
      <c r="AG3123" s="33"/>
      <c r="AH3123" s="33"/>
      <c r="AI3123" s="33"/>
      <c r="AJ3123" s="33"/>
      <c r="AK3123" s="33"/>
    </row>
    <row r="3124">
      <c r="A3124" s="33"/>
      <c r="B3124" s="33"/>
      <c r="C3124" s="33"/>
      <c r="D3124" s="33"/>
      <c r="E3124" s="33"/>
      <c r="F3124" s="33"/>
      <c r="G3124" s="33"/>
      <c r="H3124" s="33"/>
      <c r="I3124" s="33"/>
      <c r="J3124" s="33"/>
      <c r="K3124" s="33"/>
      <c r="L3124" s="33"/>
      <c r="M3124" s="33"/>
      <c r="N3124" s="33"/>
      <c r="O3124" s="33"/>
      <c r="P3124" s="33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  <c r="AB3124" s="33"/>
      <c r="AC3124" s="33"/>
      <c r="AD3124" s="33"/>
      <c r="AE3124" s="33"/>
      <c r="AF3124" s="33"/>
      <c r="AG3124" s="33"/>
      <c r="AH3124" s="33"/>
      <c r="AI3124" s="33"/>
      <c r="AJ3124" s="33"/>
      <c r="AK3124" s="33"/>
    </row>
    <row r="3125">
      <c r="A3125" s="33"/>
      <c r="B3125" s="33"/>
      <c r="C3125" s="33"/>
      <c r="D3125" s="33"/>
      <c r="E3125" s="33"/>
      <c r="F3125" s="33"/>
      <c r="G3125" s="33"/>
      <c r="H3125" s="33"/>
      <c r="I3125" s="33"/>
      <c r="J3125" s="33"/>
      <c r="K3125" s="33"/>
      <c r="L3125" s="33"/>
      <c r="M3125" s="33"/>
      <c r="N3125" s="33"/>
      <c r="O3125" s="33"/>
      <c r="P3125" s="33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  <c r="AB3125" s="33"/>
      <c r="AC3125" s="33"/>
      <c r="AD3125" s="33"/>
      <c r="AE3125" s="33"/>
      <c r="AF3125" s="33"/>
      <c r="AG3125" s="33"/>
      <c r="AH3125" s="33"/>
      <c r="AI3125" s="33"/>
      <c r="AJ3125" s="33"/>
      <c r="AK3125" s="33"/>
    </row>
    <row r="3126">
      <c r="A3126" s="33"/>
      <c r="B3126" s="33"/>
      <c r="C3126" s="33"/>
      <c r="D3126" s="33"/>
      <c r="E3126" s="33"/>
      <c r="F3126" s="33"/>
      <c r="G3126" s="33"/>
      <c r="H3126" s="33"/>
      <c r="I3126" s="33"/>
      <c r="J3126" s="33"/>
      <c r="K3126" s="33"/>
      <c r="L3126" s="33"/>
      <c r="M3126" s="33"/>
      <c r="N3126" s="33"/>
      <c r="O3126" s="33"/>
      <c r="P3126" s="33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  <c r="AB3126" s="33"/>
      <c r="AC3126" s="33"/>
      <c r="AD3126" s="33"/>
      <c r="AE3126" s="33"/>
      <c r="AF3126" s="33"/>
      <c r="AG3126" s="33"/>
      <c r="AH3126" s="33"/>
      <c r="AI3126" s="33"/>
      <c r="AJ3126" s="33"/>
      <c r="AK3126" s="33"/>
    </row>
    <row r="3127">
      <c r="A3127" s="33"/>
      <c r="B3127" s="33"/>
      <c r="C3127" s="33"/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  <c r="AB3127" s="33"/>
      <c r="AC3127" s="33"/>
      <c r="AD3127" s="33"/>
      <c r="AE3127" s="33"/>
      <c r="AF3127" s="33"/>
      <c r="AG3127" s="33"/>
      <c r="AH3127" s="33"/>
      <c r="AI3127" s="33"/>
      <c r="AJ3127" s="33"/>
      <c r="AK3127" s="33"/>
    </row>
    <row r="3128">
      <c r="A3128" s="33"/>
      <c r="B3128" s="33"/>
      <c r="C3128" s="33"/>
      <c r="D3128" s="33"/>
      <c r="E3128" s="33"/>
      <c r="F3128" s="33"/>
      <c r="G3128" s="33"/>
      <c r="H3128" s="33"/>
      <c r="I3128" s="33"/>
      <c r="J3128" s="33"/>
      <c r="K3128" s="33"/>
      <c r="L3128" s="33"/>
      <c r="M3128" s="33"/>
      <c r="N3128" s="33"/>
      <c r="O3128" s="33"/>
      <c r="P3128" s="33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  <c r="AB3128" s="33"/>
      <c r="AC3128" s="33"/>
      <c r="AD3128" s="33"/>
      <c r="AE3128" s="33"/>
      <c r="AF3128" s="33"/>
      <c r="AG3128" s="33"/>
      <c r="AH3128" s="33"/>
      <c r="AI3128" s="33"/>
      <c r="AJ3128" s="33"/>
      <c r="AK3128" s="33"/>
    </row>
    <row r="3129">
      <c r="A3129" s="33"/>
      <c r="B3129" s="33"/>
      <c r="C3129" s="33"/>
      <c r="D3129" s="33"/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33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  <c r="AB3129" s="33"/>
      <c r="AC3129" s="33"/>
      <c r="AD3129" s="33"/>
      <c r="AE3129" s="33"/>
      <c r="AF3129" s="33"/>
      <c r="AG3129" s="33"/>
      <c r="AH3129" s="33"/>
      <c r="AI3129" s="33"/>
      <c r="AJ3129" s="33"/>
      <c r="AK3129" s="33"/>
    </row>
    <row r="3130">
      <c r="A3130" s="33"/>
      <c r="B3130" s="33"/>
      <c r="C3130" s="33"/>
      <c r="D3130" s="33"/>
      <c r="E3130" s="33"/>
      <c r="F3130" s="33"/>
      <c r="G3130" s="33"/>
      <c r="H3130" s="33"/>
      <c r="I3130" s="33"/>
      <c r="J3130" s="33"/>
      <c r="K3130" s="33"/>
      <c r="L3130" s="33"/>
      <c r="M3130" s="33"/>
      <c r="N3130" s="33"/>
      <c r="O3130" s="33"/>
      <c r="P3130" s="33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  <c r="AB3130" s="33"/>
      <c r="AC3130" s="33"/>
      <c r="AD3130" s="33"/>
      <c r="AE3130" s="33"/>
      <c r="AF3130" s="33"/>
      <c r="AG3130" s="33"/>
      <c r="AH3130" s="33"/>
      <c r="AI3130" s="33"/>
      <c r="AJ3130" s="33"/>
      <c r="AK3130" s="33"/>
    </row>
    <row r="3131">
      <c r="A3131" s="33"/>
      <c r="B3131" s="33"/>
      <c r="C3131" s="33"/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  <c r="AB3131" s="33"/>
      <c r="AC3131" s="33"/>
      <c r="AD3131" s="33"/>
      <c r="AE3131" s="33"/>
      <c r="AF3131" s="33"/>
      <c r="AG3131" s="33"/>
      <c r="AH3131" s="33"/>
      <c r="AI3131" s="33"/>
      <c r="AJ3131" s="33"/>
      <c r="AK3131" s="33"/>
    </row>
    <row r="3132">
      <c r="A3132" s="33"/>
      <c r="B3132" s="33"/>
      <c r="C3132" s="33"/>
      <c r="D3132" s="33"/>
      <c r="E3132" s="33"/>
      <c r="F3132" s="33"/>
      <c r="G3132" s="33"/>
      <c r="H3132" s="33"/>
      <c r="I3132" s="33"/>
      <c r="J3132" s="33"/>
      <c r="K3132" s="33"/>
      <c r="L3132" s="33"/>
      <c r="M3132" s="33"/>
      <c r="N3132" s="33"/>
      <c r="O3132" s="33"/>
      <c r="P3132" s="33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  <c r="AB3132" s="33"/>
      <c r="AC3132" s="33"/>
      <c r="AD3132" s="33"/>
      <c r="AE3132" s="33"/>
      <c r="AF3132" s="33"/>
      <c r="AG3132" s="33"/>
      <c r="AH3132" s="33"/>
      <c r="AI3132" s="33"/>
      <c r="AJ3132" s="33"/>
      <c r="AK3132" s="33"/>
    </row>
    <row r="3133">
      <c r="A3133" s="33"/>
      <c r="B3133" s="33"/>
      <c r="C3133" s="33"/>
      <c r="D3133" s="33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  <c r="AB3133" s="33"/>
      <c r="AC3133" s="33"/>
      <c r="AD3133" s="33"/>
      <c r="AE3133" s="33"/>
      <c r="AF3133" s="33"/>
      <c r="AG3133" s="33"/>
      <c r="AH3133" s="33"/>
      <c r="AI3133" s="33"/>
      <c r="AJ3133" s="33"/>
      <c r="AK3133" s="33"/>
    </row>
    <row r="3134">
      <c r="A3134" s="33"/>
      <c r="B3134" s="33"/>
      <c r="C3134" s="33"/>
      <c r="D3134" s="33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33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  <c r="AB3134" s="33"/>
      <c r="AC3134" s="33"/>
      <c r="AD3134" s="33"/>
      <c r="AE3134" s="33"/>
      <c r="AF3134" s="33"/>
      <c r="AG3134" s="33"/>
      <c r="AH3134" s="33"/>
      <c r="AI3134" s="33"/>
      <c r="AJ3134" s="33"/>
      <c r="AK3134" s="33"/>
    </row>
    <row r="3135">
      <c r="A3135" s="33"/>
      <c r="B3135" s="33"/>
      <c r="C3135" s="33"/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  <c r="AB3135" s="33"/>
      <c r="AC3135" s="33"/>
      <c r="AD3135" s="33"/>
      <c r="AE3135" s="33"/>
      <c r="AF3135" s="33"/>
      <c r="AG3135" s="33"/>
      <c r="AH3135" s="33"/>
      <c r="AI3135" s="33"/>
      <c r="AJ3135" s="33"/>
      <c r="AK3135" s="33"/>
    </row>
    <row r="3136">
      <c r="A3136" s="33"/>
      <c r="B3136" s="33"/>
      <c r="C3136" s="33"/>
      <c r="D3136" s="33"/>
      <c r="E3136" s="33"/>
      <c r="F3136" s="33"/>
      <c r="G3136" s="33"/>
      <c r="H3136" s="33"/>
      <c r="I3136" s="33"/>
      <c r="J3136" s="33"/>
      <c r="K3136" s="33"/>
      <c r="L3136" s="33"/>
      <c r="M3136" s="33"/>
      <c r="N3136" s="33"/>
      <c r="O3136" s="33"/>
      <c r="P3136" s="33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  <c r="AB3136" s="33"/>
      <c r="AC3136" s="33"/>
      <c r="AD3136" s="33"/>
      <c r="AE3136" s="33"/>
      <c r="AF3136" s="33"/>
      <c r="AG3136" s="33"/>
      <c r="AH3136" s="33"/>
      <c r="AI3136" s="33"/>
      <c r="AJ3136" s="33"/>
      <c r="AK3136" s="33"/>
    </row>
    <row r="3137">
      <c r="A3137" s="33"/>
      <c r="B3137" s="33"/>
      <c r="C3137" s="33"/>
      <c r="D3137" s="33"/>
      <c r="E3137" s="33"/>
      <c r="F3137" s="33"/>
      <c r="G3137" s="33"/>
      <c r="H3137" s="33"/>
      <c r="I3137" s="33"/>
      <c r="J3137" s="33"/>
      <c r="K3137" s="33"/>
      <c r="L3137" s="33"/>
      <c r="M3137" s="33"/>
      <c r="N3137" s="33"/>
      <c r="O3137" s="33"/>
      <c r="P3137" s="33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  <c r="AB3137" s="33"/>
      <c r="AC3137" s="33"/>
      <c r="AD3137" s="33"/>
      <c r="AE3137" s="33"/>
      <c r="AF3137" s="33"/>
      <c r="AG3137" s="33"/>
      <c r="AH3137" s="33"/>
      <c r="AI3137" s="33"/>
      <c r="AJ3137" s="33"/>
      <c r="AK3137" s="33"/>
    </row>
    <row r="3138">
      <c r="A3138" s="33"/>
      <c r="B3138" s="33"/>
      <c r="C3138" s="33"/>
      <c r="D3138" s="33"/>
      <c r="E3138" s="33"/>
      <c r="F3138" s="33"/>
      <c r="G3138" s="33"/>
      <c r="H3138" s="33"/>
      <c r="I3138" s="33"/>
      <c r="J3138" s="33"/>
      <c r="K3138" s="33"/>
      <c r="L3138" s="33"/>
      <c r="M3138" s="33"/>
      <c r="N3138" s="33"/>
      <c r="O3138" s="33"/>
      <c r="P3138" s="33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  <c r="AB3138" s="33"/>
      <c r="AC3138" s="33"/>
      <c r="AD3138" s="33"/>
      <c r="AE3138" s="33"/>
      <c r="AF3138" s="33"/>
      <c r="AG3138" s="33"/>
      <c r="AH3138" s="33"/>
      <c r="AI3138" s="33"/>
      <c r="AJ3138" s="33"/>
      <c r="AK3138" s="33"/>
    </row>
    <row r="3139">
      <c r="A3139" s="33"/>
      <c r="B3139" s="33"/>
      <c r="C3139" s="33"/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  <c r="AB3139" s="33"/>
      <c r="AC3139" s="33"/>
      <c r="AD3139" s="33"/>
      <c r="AE3139" s="33"/>
      <c r="AF3139" s="33"/>
      <c r="AG3139" s="33"/>
      <c r="AH3139" s="33"/>
      <c r="AI3139" s="33"/>
      <c r="AJ3139" s="33"/>
      <c r="AK3139" s="33"/>
    </row>
    <row r="3140">
      <c r="A3140" s="33"/>
      <c r="B3140" s="33"/>
      <c r="C3140" s="33"/>
      <c r="D3140" s="33"/>
      <c r="E3140" s="33"/>
      <c r="F3140" s="33"/>
      <c r="G3140" s="33"/>
      <c r="H3140" s="33"/>
      <c r="I3140" s="33"/>
      <c r="J3140" s="33"/>
      <c r="K3140" s="33"/>
      <c r="L3140" s="33"/>
      <c r="M3140" s="33"/>
      <c r="N3140" s="33"/>
      <c r="O3140" s="33"/>
      <c r="P3140" s="33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  <c r="AB3140" s="33"/>
      <c r="AC3140" s="33"/>
      <c r="AD3140" s="33"/>
      <c r="AE3140" s="33"/>
      <c r="AF3140" s="33"/>
      <c r="AG3140" s="33"/>
      <c r="AH3140" s="33"/>
      <c r="AI3140" s="33"/>
      <c r="AJ3140" s="33"/>
      <c r="AK3140" s="33"/>
    </row>
    <row r="3141">
      <c r="A3141" s="33"/>
      <c r="B3141" s="33"/>
      <c r="C3141" s="33"/>
      <c r="D3141" s="33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  <c r="AB3141" s="33"/>
      <c r="AC3141" s="33"/>
      <c r="AD3141" s="33"/>
      <c r="AE3141" s="33"/>
      <c r="AF3141" s="33"/>
      <c r="AG3141" s="33"/>
      <c r="AH3141" s="33"/>
      <c r="AI3141" s="33"/>
      <c r="AJ3141" s="33"/>
      <c r="AK3141" s="33"/>
    </row>
    <row r="3142">
      <c r="A3142" s="33"/>
      <c r="B3142" s="33"/>
      <c r="C3142" s="33"/>
      <c r="D3142" s="33"/>
      <c r="E3142" s="33"/>
      <c r="F3142" s="33"/>
      <c r="G3142" s="33"/>
      <c r="H3142" s="33"/>
      <c r="I3142" s="33"/>
      <c r="J3142" s="33"/>
      <c r="K3142" s="33"/>
      <c r="L3142" s="33"/>
      <c r="M3142" s="33"/>
      <c r="N3142" s="33"/>
      <c r="O3142" s="33"/>
      <c r="P3142" s="33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  <c r="AB3142" s="33"/>
      <c r="AC3142" s="33"/>
      <c r="AD3142" s="33"/>
      <c r="AE3142" s="33"/>
      <c r="AF3142" s="33"/>
      <c r="AG3142" s="33"/>
      <c r="AH3142" s="33"/>
      <c r="AI3142" s="33"/>
      <c r="AJ3142" s="33"/>
      <c r="AK3142" s="33"/>
    </row>
    <row r="3143">
      <c r="A3143" s="33"/>
      <c r="B3143" s="33"/>
      <c r="C3143" s="33"/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  <c r="AB3143" s="33"/>
      <c r="AC3143" s="33"/>
      <c r="AD3143" s="33"/>
      <c r="AE3143" s="33"/>
      <c r="AF3143" s="33"/>
      <c r="AG3143" s="33"/>
      <c r="AH3143" s="33"/>
      <c r="AI3143" s="33"/>
      <c r="AJ3143" s="33"/>
      <c r="AK3143" s="33"/>
    </row>
    <row r="3144">
      <c r="A3144" s="33"/>
      <c r="B3144" s="33"/>
      <c r="C3144" s="33"/>
      <c r="D3144" s="33"/>
      <c r="E3144" s="33"/>
      <c r="F3144" s="33"/>
      <c r="G3144" s="33"/>
      <c r="H3144" s="33"/>
      <c r="I3144" s="33"/>
      <c r="J3144" s="33"/>
      <c r="K3144" s="33"/>
      <c r="L3144" s="33"/>
      <c r="M3144" s="33"/>
      <c r="N3144" s="33"/>
      <c r="O3144" s="33"/>
      <c r="P3144" s="33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  <c r="AB3144" s="33"/>
      <c r="AC3144" s="33"/>
      <c r="AD3144" s="33"/>
      <c r="AE3144" s="33"/>
      <c r="AF3144" s="33"/>
      <c r="AG3144" s="33"/>
      <c r="AH3144" s="33"/>
      <c r="AI3144" s="33"/>
      <c r="AJ3144" s="33"/>
      <c r="AK3144" s="33"/>
    </row>
    <row r="3145">
      <c r="A3145" s="33"/>
      <c r="B3145" s="33"/>
      <c r="C3145" s="33"/>
      <c r="D3145" s="33"/>
      <c r="E3145" s="33"/>
      <c r="F3145" s="33"/>
      <c r="G3145" s="33"/>
      <c r="H3145" s="33"/>
      <c r="I3145" s="33"/>
      <c r="J3145" s="33"/>
      <c r="K3145" s="33"/>
      <c r="L3145" s="33"/>
      <c r="M3145" s="33"/>
      <c r="N3145" s="33"/>
      <c r="O3145" s="33"/>
      <c r="P3145" s="33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  <c r="AB3145" s="33"/>
      <c r="AC3145" s="33"/>
      <c r="AD3145" s="33"/>
      <c r="AE3145" s="33"/>
      <c r="AF3145" s="33"/>
      <c r="AG3145" s="33"/>
      <c r="AH3145" s="33"/>
      <c r="AI3145" s="33"/>
      <c r="AJ3145" s="33"/>
      <c r="AK3145" s="33"/>
    </row>
    <row r="3146">
      <c r="A3146" s="33"/>
      <c r="B3146" s="33"/>
      <c r="C3146" s="33"/>
      <c r="D3146" s="33"/>
      <c r="E3146" s="33"/>
      <c r="F3146" s="33"/>
      <c r="G3146" s="33"/>
      <c r="H3146" s="33"/>
      <c r="I3146" s="33"/>
      <c r="J3146" s="33"/>
      <c r="K3146" s="33"/>
      <c r="L3146" s="33"/>
      <c r="M3146" s="33"/>
      <c r="N3146" s="33"/>
      <c r="O3146" s="33"/>
      <c r="P3146" s="33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  <c r="AB3146" s="33"/>
      <c r="AC3146" s="33"/>
      <c r="AD3146" s="33"/>
      <c r="AE3146" s="33"/>
      <c r="AF3146" s="33"/>
      <c r="AG3146" s="33"/>
      <c r="AH3146" s="33"/>
      <c r="AI3146" s="33"/>
      <c r="AJ3146" s="33"/>
      <c r="AK3146" s="33"/>
    </row>
    <row r="3147">
      <c r="A3147" s="33"/>
      <c r="B3147" s="33"/>
      <c r="C3147" s="33"/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  <c r="AB3147" s="33"/>
      <c r="AC3147" s="33"/>
      <c r="AD3147" s="33"/>
      <c r="AE3147" s="33"/>
      <c r="AF3147" s="33"/>
      <c r="AG3147" s="33"/>
      <c r="AH3147" s="33"/>
      <c r="AI3147" s="33"/>
      <c r="AJ3147" s="33"/>
      <c r="AK3147" s="33"/>
    </row>
    <row r="3148">
      <c r="A3148" s="33"/>
      <c r="B3148" s="33"/>
      <c r="C3148" s="33"/>
      <c r="D3148" s="33"/>
      <c r="E3148" s="33"/>
      <c r="F3148" s="33"/>
      <c r="G3148" s="33"/>
      <c r="H3148" s="33"/>
      <c r="I3148" s="33"/>
      <c r="J3148" s="33"/>
      <c r="K3148" s="33"/>
      <c r="L3148" s="33"/>
      <c r="M3148" s="33"/>
      <c r="N3148" s="33"/>
      <c r="O3148" s="33"/>
      <c r="P3148" s="33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  <c r="AB3148" s="33"/>
      <c r="AC3148" s="33"/>
      <c r="AD3148" s="33"/>
      <c r="AE3148" s="33"/>
      <c r="AF3148" s="33"/>
      <c r="AG3148" s="33"/>
      <c r="AH3148" s="33"/>
      <c r="AI3148" s="33"/>
      <c r="AJ3148" s="33"/>
      <c r="AK3148" s="33"/>
    </row>
    <row r="3149">
      <c r="A3149" s="33"/>
      <c r="B3149" s="33"/>
      <c r="C3149" s="33"/>
      <c r="D3149" s="33"/>
      <c r="E3149" s="33"/>
      <c r="F3149" s="33"/>
      <c r="G3149" s="33"/>
      <c r="H3149" s="33"/>
      <c r="I3149" s="33"/>
      <c r="J3149" s="33"/>
      <c r="K3149" s="33"/>
      <c r="L3149" s="33"/>
      <c r="M3149" s="33"/>
      <c r="N3149" s="33"/>
      <c r="O3149" s="33"/>
      <c r="P3149" s="33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  <c r="AB3149" s="33"/>
      <c r="AC3149" s="33"/>
      <c r="AD3149" s="33"/>
      <c r="AE3149" s="33"/>
      <c r="AF3149" s="33"/>
      <c r="AG3149" s="33"/>
      <c r="AH3149" s="33"/>
      <c r="AI3149" s="33"/>
      <c r="AJ3149" s="33"/>
      <c r="AK3149" s="33"/>
    </row>
    <row r="3150">
      <c r="A3150" s="33"/>
      <c r="B3150" s="33"/>
      <c r="C3150" s="33"/>
      <c r="D3150" s="33"/>
      <c r="E3150" s="33"/>
      <c r="F3150" s="33"/>
      <c r="G3150" s="33"/>
      <c r="H3150" s="33"/>
      <c r="I3150" s="33"/>
      <c r="J3150" s="33"/>
      <c r="K3150" s="33"/>
      <c r="L3150" s="33"/>
      <c r="M3150" s="33"/>
      <c r="N3150" s="33"/>
      <c r="O3150" s="33"/>
      <c r="P3150" s="33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  <c r="AB3150" s="33"/>
      <c r="AC3150" s="33"/>
      <c r="AD3150" s="33"/>
      <c r="AE3150" s="33"/>
      <c r="AF3150" s="33"/>
      <c r="AG3150" s="33"/>
      <c r="AH3150" s="33"/>
      <c r="AI3150" s="33"/>
      <c r="AJ3150" s="33"/>
      <c r="AK3150" s="33"/>
    </row>
    <row r="3151">
      <c r="A3151" s="33"/>
      <c r="B3151" s="33"/>
      <c r="C3151" s="33"/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  <c r="AB3151" s="33"/>
      <c r="AC3151" s="33"/>
      <c r="AD3151" s="33"/>
      <c r="AE3151" s="33"/>
      <c r="AF3151" s="33"/>
      <c r="AG3151" s="33"/>
      <c r="AH3151" s="33"/>
      <c r="AI3151" s="33"/>
      <c r="AJ3151" s="33"/>
      <c r="AK3151" s="33"/>
    </row>
    <row r="3152">
      <c r="A3152" s="33"/>
      <c r="B3152" s="33"/>
      <c r="C3152" s="33"/>
      <c r="D3152" s="33"/>
      <c r="E3152" s="33"/>
      <c r="F3152" s="33"/>
      <c r="G3152" s="33"/>
      <c r="H3152" s="33"/>
      <c r="I3152" s="33"/>
      <c r="J3152" s="33"/>
      <c r="K3152" s="33"/>
      <c r="L3152" s="33"/>
      <c r="M3152" s="33"/>
      <c r="N3152" s="33"/>
      <c r="O3152" s="33"/>
      <c r="P3152" s="33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  <c r="AB3152" s="33"/>
      <c r="AC3152" s="33"/>
      <c r="AD3152" s="33"/>
      <c r="AE3152" s="33"/>
      <c r="AF3152" s="33"/>
      <c r="AG3152" s="33"/>
      <c r="AH3152" s="33"/>
      <c r="AI3152" s="33"/>
      <c r="AJ3152" s="33"/>
      <c r="AK3152" s="33"/>
    </row>
    <row r="3153">
      <c r="A3153" s="33"/>
      <c r="B3153" s="33"/>
      <c r="C3153" s="33"/>
      <c r="D3153" s="33"/>
      <c r="E3153" s="33"/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33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  <c r="AB3153" s="33"/>
      <c r="AC3153" s="33"/>
      <c r="AD3153" s="33"/>
      <c r="AE3153" s="33"/>
      <c r="AF3153" s="33"/>
      <c r="AG3153" s="33"/>
      <c r="AH3153" s="33"/>
      <c r="AI3153" s="33"/>
      <c r="AJ3153" s="33"/>
      <c r="AK3153" s="33"/>
    </row>
    <row r="3154">
      <c r="A3154" s="33"/>
      <c r="B3154" s="33"/>
      <c r="C3154" s="33"/>
      <c r="D3154" s="33"/>
      <c r="E3154" s="33"/>
      <c r="F3154" s="33"/>
      <c r="G3154" s="33"/>
      <c r="H3154" s="33"/>
      <c r="I3154" s="33"/>
      <c r="J3154" s="33"/>
      <c r="K3154" s="33"/>
      <c r="L3154" s="33"/>
      <c r="M3154" s="33"/>
      <c r="N3154" s="33"/>
      <c r="O3154" s="33"/>
      <c r="P3154" s="33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  <c r="AB3154" s="33"/>
      <c r="AC3154" s="33"/>
      <c r="AD3154" s="33"/>
      <c r="AE3154" s="33"/>
      <c r="AF3154" s="33"/>
      <c r="AG3154" s="33"/>
      <c r="AH3154" s="33"/>
      <c r="AI3154" s="33"/>
      <c r="AJ3154" s="33"/>
      <c r="AK3154" s="33"/>
    </row>
    <row r="3155">
      <c r="A3155" s="33"/>
      <c r="B3155" s="33"/>
      <c r="C3155" s="33"/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  <c r="AB3155" s="33"/>
      <c r="AC3155" s="33"/>
      <c r="AD3155" s="33"/>
      <c r="AE3155" s="33"/>
      <c r="AF3155" s="33"/>
      <c r="AG3155" s="33"/>
      <c r="AH3155" s="33"/>
      <c r="AI3155" s="33"/>
      <c r="AJ3155" s="33"/>
      <c r="AK3155" s="33"/>
    </row>
    <row r="3156">
      <c r="A3156" s="33"/>
      <c r="B3156" s="33"/>
      <c r="C3156" s="33"/>
      <c r="D3156" s="33"/>
      <c r="E3156" s="33"/>
      <c r="F3156" s="33"/>
      <c r="G3156" s="33"/>
      <c r="H3156" s="33"/>
      <c r="I3156" s="33"/>
      <c r="J3156" s="33"/>
      <c r="K3156" s="33"/>
      <c r="L3156" s="33"/>
      <c r="M3156" s="33"/>
      <c r="N3156" s="33"/>
      <c r="O3156" s="33"/>
      <c r="P3156" s="33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  <c r="AB3156" s="33"/>
      <c r="AC3156" s="33"/>
      <c r="AD3156" s="33"/>
      <c r="AE3156" s="33"/>
      <c r="AF3156" s="33"/>
      <c r="AG3156" s="33"/>
      <c r="AH3156" s="33"/>
      <c r="AI3156" s="33"/>
      <c r="AJ3156" s="33"/>
      <c r="AK3156" s="33"/>
    </row>
    <row r="3157">
      <c r="A3157" s="33"/>
      <c r="B3157" s="33"/>
      <c r="C3157" s="33"/>
      <c r="D3157" s="33"/>
      <c r="E3157" s="33"/>
      <c r="F3157" s="33"/>
      <c r="G3157" s="33"/>
      <c r="H3157" s="33"/>
      <c r="I3157" s="33"/>
      <c r="J3157" s="33"/>
      <c r="K3157" s="33"/>
      <c r="L3157" s="33"/>
      <c r="M3157" s="33"/>
      <c r="N3157" s="33"/>
      <c r="O3157" s="33"/>
      <c r="P3157" s="33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  <c r="AB3157" s="33"/>
      <c r="AC3157" s="33"/>
      <c r="AD3157" s="33"/>
      <c r="AE3157" s="33"/>
      <c r="AF3157" s="33"/>
      <c r="AG3157" s="33"/>
      <c r="AH3157" s="33"/>
      <c r="AI3157" s="33"/>
      <c r="AJ3157" s="33"/>
      <c r="AK3157" s="33"/>
    </row>
    <row r="3158">
      <c r="A3158" s="33"/>
      <c r="B3158" s="33"/>
      <c r="C3158" s="33"/>
      <c r="D3158" s="33"/>
      <c r="E3158" s="33"/>
      <c r="F3158" s="33"/>
      <c r="G3158" s="33"/>
      <c r="H3158" s="33"/>
      <c r="I3158" s="33"/>
      <c r="J3158" s="33"/>
      <c r="K3158" s="33"/>
      <c r="L3158" s="33"/>
      <c r="M3158" s="33"/>
      <c r="N3158" s="33"/>
      <c r="O3158" s="33"/>
      <c r="P3158" s="33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  <c r="AB3158" s="33"/>
      <c r="AC3158" s="33"/>
      <c r="AD3158" s="33"/>
      <c r="AE3158" s="33"/>
      <c r="AF3158" s="33"/>
      <c r="AG3158" s="33"/>
      <c r="AH3158" s="33"/>
      <c r="AI3158" s="33"/>
      <c r="AJ3158" s="33"/>
      <c r="AK3158" s="33"/>
    </row>
    <row r="3159">
      <c r="A3159" s="33"/>
      <c r="B3159" s="33"/>
      <c r="C3159" s="33"/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  <c r="AB3159" s="33"/>
      <c r="AC3159" s="33"/>
      <c r="AD3159" s="33"/>
      <c r="AE3159" s="33"/>
      <c r="AF3159" s="33"/>
      <c r="AG3159" s="33"/>
      <c r="AH3159" s="33"/>
      <c r="AI3159" s="33"/>
      <c r="AJ3159" s="33"/>
      <c r="AK3159" s="33"/>
    </row>
    <row r="3160">
      <c r="A3160" s="33"/>
      <c r="B3160" s="33"/>
      <c r="C3160" s="33"/>
      <c r="D3160" s="33"/>
      <c r="E3160" s="33"/>
      <c r="F3160" s="33"/>
      <c r="G3160" s="33"/>
      <c r="H3160" s="33"/>
      <c r="I3160" s="33"/>
      <c r="J3160" s="33"/>
      <c r="K3160" s="33"/>
      <c r="L3160" s="33"/>
      <c r="M3160" s="33"/>
      <c r="N3160" s="33"/>
      <c r="O3160" s="33"/>
      <c r="P3160" s="33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  <c r="AB3160" s="33"/>
      <c r="AC3160" s="33"/>
      <c r="AD3160" s="33"/>
      <c r="AE3160" s="33"/>
      <c r="AF3160" s="33"/>
      <c r="AG3160" s="33"/>
      <c r="AH3160" s="33"/>
      <c r="AI3160" s="33"/>
      <c r="AJ3160" s="33"/>
      <c r="AK3160" s="33"/>
    </row>
    <row r="3161">
      <c r="A3161" s="33"/>
      <c r="B3161" s="33"/>
      <c r="C3161" s="33"/>
      <c r="D3161" s="33"/>
      <c r="E3161" s="33"/>
      <c r="F3161" s="33"/>
      <c r="G3161" s="33"/>
      <c r="H3161" s="33"/>
      <c r="I3161" s="33"/>
      <c r="J3161" s="33"/>
      <c r="K3161" s="33"/>
      <c r="L3161" s="33"/>
      <c r="M3161" s="33"/>
      <c r="N3161" s="33"/>
      <c r="O3161" s="33"/>
      <c r="P3161" s="33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  <c r="AB3161" s="33"/>
      <c r="AC3161" s="33"/>
      <c r="AD3161" s="33"/>
      <c r="AE3161" s="33"/>
      <c r="AF3161" s="33"/>
      <c r="AG3161" s="33"/>
      <c r="AH3161" s="33"/>
      <c r="AI3161" s="33"/>
      <c r="AJ3161" s="33"/>
      <c r="AK3161" s="33"/>
    </row>
    <row r="3162">
      <c r="A3162" s="33"/>
      <c r="B3162" s="33"/>
      <c r="C3162" s="33"/>
      <c r="D3162" s="33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33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  <c r="AB3162" s="33"/>
      <c r="AC3162" s="33"/>
      <c r="AD3162" s="33"/>
      <c r="AE3162" s="33"/>
      <c r="AF3162" s="33"/>
      <c r="AG3162" s="33"/>
      <c r="AH3162" s="33"/>
      <c r="AI3162" s="33"/>
      <c r="AJ3162" s="33"/>
      <c r="AK3162" s="33"/>
    </row>
    <row r="3163">
      <c r="A3163" s="33"/>
      <c r="B3163" s="33"/>
      <c r="C3163" s="33"/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  <c r="AB3163" s="33"/>
      <c r="AC3163" s="33"/>
      <c r="AD3163" s="33"/>
      <c r="AE3163" s="33"/>
      <c r="AF3163" s="33"/>
      <c r="AG3163" s="33"/>
      <c r="AH3163" s="33"/>
      <c r="AI3163" s="33"/>
      <c r="AJ3163" s="33"/>
      <c r="AK3163" s="33"/>
    </row>
    <row r="3164">
      <c r="A3164" s="33"/>
      <c r="B3164" s="33"/>
      <c r="C3164" s="33"/>
      <c r="D3164" s="33"/>
      <c r="E3164" s="33"/>
      <c r="F3164" s="33"/>
      <c r="G3164" s="33"/>
      <c r="H3164" s="33"/>
      <c r="I3164" s="33"/>
      <c r="J3164" s="33"/>
      <c r="K3164" s="33"/>
      <c r="L3164" s="33"/>
      <c r="M3164" s="33"/>
      <c r="N3164" s="33"/>
      <c r="O3164" s="33"/>
      <c r="P3164" s="33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  <c r="AB3164" s="33"/>
      <c r="AC3164" s="33"/>
      <c r="AD3164" s="33"/>
      <c r="AE3164" s="33"/>
      <c r="AF3164" s="33"/>
      <c r="AG3164" s="33"/>
      <c r="AH3164" s="33"/>
      <c r="AI3164" s="33"/>
      <c r="AJ3164" s="33"/>
      <c r="AK3164" s="33"/>
    </row>
    <row r="3165">
      <c r="A3165" s="33"/>
      <c r="B3165" s="33"/>
      <c r="C3165" s="33"/>
      <c r="D3165" s="33"/>
      <c r="E3165" s="33"/>
      <c r="F3165" s="33"/>
      <c r="G3165" s="33"/>
      <c r="H3165" s="33"/>
      <c r="I3165" s="33"/>
      <c r="J3165" s="33"/>
      <c r="K3165" s="33"/>
      <c r="L3165" s="33"/>
      <c r="M3165" s="33"/>
      <c r="N3165" s="33"/>
      <c r="O3165" s="33"/>
      <c r="P3165" s="33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  <c r="AB3165" s="33"/>
      <c r="AC3165" s="33"/>
      <c r="AD3165" s="33"/>
      <c r="AE3165" s="33"/>
      <c r="AF3165" s="33"/>
      <c r="AG3165" s="33"/>
      <c r="AH3165" s="33"/>
      <c r="AI3165" s="33"/>
      <c r="AJ3165" s="33"/>
      <c r="AK3165" s="33"/>
    </row>
    <row r="3166">
      <c r="A3166" s="33"/>
      <c r="B3166" s="33"/>
      <c r="C3166" s="33"/>
      <c r="D3166" s="33"/>
      <c r="E3166" s="33"/>
      <c r="F3166" s="33"/>
      <c r="G3166" s="33"/>
      <c r="H3166" s="33"/>
      <c r="I3166" s="33"/>
      <c r="J3166" s="33"/>
      <c r="K3166" s="33"/>
      <c r="L3166" s="33"/>
      <c r="M3166" s="33"/>
      <c r="N3166" s="33"/>
      <c r="O3166" s="33"/>
      <c r="P3166" s="33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  <c r="AB3166" s="33"/>
      <c r="AC3166" s="33"/>
      <c r="AD3166" s="33"/>
      <c r="AE3166" s="33"/>
      <c r="AF3166" s="33"/>
      <c r="AG3166" s="33"/>
      <c r="AH3166" s="33"/>
      <c r="AI3166" s="33"/>
      <c r="AJ3166" s="33"/>
      <c r="AK3166" s="33"/>
    </row>
    <row r="3167">
      <c r="A3167" s="33"/>
      <c r="B3167" s="33"/>
      <c r="C3167" s="33"/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  <c r="AB3167" s="33"/>
      <c r="AC3167" s="33"/>
      <c r="AD3167" s="33"/>
      <c r="AE3167" s="33"/>
      <c r="AF3167" s="33"/>
      <c r="AG3167" s="33"/>
      <c r="AH3167" s="33"/>
      <c r="AI3167" s="33"/>
      <c r="AJ3167" s="33"/>
      <c r="AK3167" s="33"/>
    </row>
    <row r="3168">
      <c r="A3168" s="33"/>
      <c r="B3168" s="33"/>
      <c r="C3168" s="33"/>
      <c r="D3168" s="33"/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3"/>
      <c r="P3168" s="33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  <c r="AB3168" s="33"/>
      <c r="AC3168" s="33"/>
      <c r="AD3168" s="33"/>
      <c r="AE3168" s="33"/>
      <c r="AF3168" s="33"/>
      <c r="AG3168" s="33"/>
      <c r="AH3168" s="33"/>
      <c r="AI3168" s="33"/>
      <c r="AJ3168" s="33"/>
      <c r="AK3168" s="33"/>
    </row>
    <row r="3169">
      <c r="A3169" s="33"/>
      <c r="B3169" s="33"/>
      <c r="C3169" s="33"/>
      <c r="D3169" s="33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  <c r="AB3169" s="33"/>
      <c r="AC3169" s="33"/>
      <c r="AD3169" s="33"/>
      <c r="AE3169" s="33"/>
      <c r="AF3169" s="33"/>
      <c r="AG3169" s="33"/>
      <c r="AH3169" s="33"/>
      <c r="AI3169" s="33"/>
      <c r="AJ3169" s="33"/>
      <c r="AK3169" s="33"/>
    </row>
    <row r="3170">
      <c r="A3170" s="33"/>
      <c r="B3170" s="33"/>
      <c r="C3170" s="33"/>
      <c r="D3170" s="33"/>
      <c r="E3170" s="33"/>
      <c r="F3170" s="33"/>
      <c r="G3170" s="33"/>
      <c r="H3170" s="33"/>
      <c r="I3170" s="33"/>
      <c r="J3170" s="33"/>
      <c r="K3170" s="33"/>
      <c r="L3170" s="33"/>
      <c r="M3170" s="33"/>
      <c r="N3170" s="33"/>
      <c r="O3170" s="33"/>
      <c r="P3170" s="33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  <c r="AB3170" s="33"/>
      <c r="AC3170" s="33"/>
      <c r="AD3170" s="33"/>
      <c r="AE3170" s="33"/>
      <c r="AF3170" s="33"/>
      <c r="AG3170" s="33"/>
      <c r="AH3170" s="33"/>
      <c r="AI3170" s="33"/>
      <c r="AJ3170" s="33"/>
      <c r="AK3170" s="33"/>
    </row>
    <row r="3171">
      <c r="A3171" s="33"/>
      <c r="B3171" s="33"/>
      <c r="C3171" s="33"/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  <c r="AB3171" s="33"/>
      <c r="AC3171" s="33"/>
      <c r="AD3171" s="33"/>
      <c r="AE3171" s="33"/>
      <c r="AF3171" s="33"/>
      <c r="AG3171" s="33"/>
      <c r="AH3171" s="33"/>
      <c r="AI3171" s="33"/>
      <c r="AJ3171" s="33"/>
      <c r="AK3171" s="33"/>
    </row>
    <row r="3172">
      <c r="A3172" s="33"/>
      <c r="B3172" s="33"/>
      <c r="C3172" s="33"/>
      <c r="D3172" s="33"/>
      <c r="E3172" s="33"/>
      <c r="F3172" s="33"/>
      <c r="G3172" s="33"/>
      <c r="H3172" s="33"/>
      <c r="I3172" s="33"/>
      <c r="J3172" s="33"/>
      <c r="K3172" s="33"/>
      <c r="L3172" s="33"/>
      <c r="M3172" s="33"/>
      <c r="N3172" s="33"/>
      <c r="O3172" s="33"/>
      <c r="P3172" s="33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  <c r="AB3172" s="33"/>
      <c r="AC3172" s="33"/>
      <c r="AD3172" s="33"/>
      <c r="AE3172" s="33"/>
      <c r="AF3172" s="33"/>
      <c r="AG3172" s="33"/>
      <c r="AH3172" s="33"/>
      <c r="AI3172" s="33"/>
      <c r="AJ3172" s="33"/>
      <c r="AK3172" s="33"/>
    </row>
    <row r="3173">
      <c r="A3173" s="33"/>
      <c r="B3173" s="33"/>
      <c r="C3173" s="33"/>
      <c r="D3173" s="33"/>
      <c r="E3173" s="33"/>
      <c r="F3173" s="33"/>
      <c r="G3173" s="33"/>
      <c r="H3173" s="33"/>
      <c r="I3173" s="33"/>
      <c r="J3173" s="33"/>
      <c r="K3173" s="33"/>
      <c r="L3173" s="33"/>
      <c r="M3173" s="33"/>
      <c r="N3173" s="33"/>
      <c r="O3173" s="33"/>
      <c r="P3173" s="33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  <c r="AB3173" s="33"/>
      <c r="AC3173" s="33"/>
      <c r="AD3173" s="33"/>
      <c r="AE3173" s="33"/>
      <c r="AF3173" s="33"/>
      <c r="AG3173" s="33"/>
      <c r="AH3173" s="33"/>
      <c r="AI3173" s="33"/>
      <c r="AJ3173" s="33"/>
      <c r="AK3173" s="33"/>
    </row>
    <row r="3174">
      <c r="A3174" s="33"/>
      <c r="B3174" s="33"/>
      <c r="C3174" s="33"/>
      <c r="D3174" s="33"/>
      <c r="E3174" s="33"/>
      <c r="F3174" s="33"/>
      <c r="G3174" s="33"/>
      <c r="H3174" s="33"/>
      <c r="I3174" s="33"/>
      <c r="J3174" s="33"/>
      <c r="K3174" s="33"/>
      <c r="L3174" s="33"/>
      <c r="M3174" s="33"/>
      <c r="N3174" s="33"/>
      <c r="O3174" s="33"/>
      <c r="P3174" s="33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  <c r="AB3174" s="33"/>
      <c r="AC3174" s="33"/>
      <c r="AD3174" s="33"/>
      <c r="AE3174" s="33"/>
      <c r="AF3174" s="33"/>
      <c r="AG3174" s="33"/>
      <c r="AH3174" s="33"/>
      <c r="AI3174" s="33"/>
      <c r="AJ3174" s="33"/>
      <c r="AK3174" s="33"/>
    </row>
    <row r="3175">
      <c r="A3175" s="33"/>
      <c r="B3175" s="33"/>
      <c r="C3175" s="33"/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  <c r="AB3175" s="33"/>
      <c r="AC3175" s="33"/>
      <c r="AD3175" s="33"/>
      <c r="AE3175" s="33"/>
      <c r="AF3175" s="33"/>
      <c r="AG3175" s="33"/>
      <c r="AH3175" s="33"/>
      <c r="AI3175" s="33"/>
      <c r="AJ3175" s="33"/>
      <c r="AK3175" s="33"/>
    </row>
    <row r="3176">
      <c r="A3176" s="33"/>
      <c r="B3176" s="33"/>
      <c r="C3176" s="33"/>
      <c r="D3176" s="33"/>
      <c r="E3176" s="33"/>
      <c r="F3176" s="33"/>
      <c r="G3176" s="33"/>
      <c r="H3176" s="33"/>
      <c r="I3176" s="33"/>
      <c r="J3176" s="33"/>
      <c r="K3176" s="33"/>
      <c r="L3176" s="33"/>
      <c r="M3176" s="33"/>
      <c r="N3176" s="33"/>
      <c r="O3176" s="33"/>
      <c r="P3176" s="33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  <c r="AB3176" s="33"/>
      <c r="AC3176" s="33"/>
      <c r="AD3176" s="33"/>
      <c r="AE3176" s="33"/>
      <c r="AF3176" s="33"/>
      <c r="AG3176" s="33"/>
      <c r="AH3176" s="33"/>
      <c r="AI3176" s="33"/>
      <c r="AJ3176" s="33"/>
      <c r="AK3176" s="33"/>
    </row>
    <row r="3177">
      <c r="A3177" s="33"/>
      <c r="B3177" s="33"/>
      <c r="C3177" s="33"/>
      <c r="D3177" s="33"/>
      <c r="E3177" s="33"/>
      <c r="F3177" s="33"/>
      <c r="G3177" s="33"/>
      <c r="H3177" s="33"/>
      <c r="I3177" s="33"/>
      <c r="J3177" s="33"/>
      <c r="K3177" s="33"/>
      <c r="L3177" s="33"/>
      <c r="M3177" s="33"/>
      <c r="N3177" s="33"/>
      <c r="O3177" s="33"/>
      <c r="P3177" s="33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  <c r="AB3177" s="33"/>
      <c r="AC3177" s="33"/>
      <c r="AD3177" s="33"/>
      <c r="AE3177" s="33"/>
      <c r="AF3177" s="33"/>
      <c r="AG3177" s="33"/>
      <c r="AH3177" s="33"/>
      <c r="AI3177" s="33"/>
      <c r="AJ3177" s="33"/>
      <c r="AK3177" s="33"/>
    </row>
    <row r="3178">
      <c r="A3178" s="33"/>
      <c r="B3178" s="33"/>
      <c r="C3178" s="33"/>
      <c r="D3178" s="33"/>
      <c r="E3178" s="33"/>
      <c r="F3178" s="33"/>
      <c r="G3178" s="33"/>
      <c r="H3178" s="33"/>
      <c r="I3178" s="33"/>
      <c r="J3178" s="33"/>
      <c r="K3178" s="33"/>
      <c r="L3178" s="33"/>
      <c r="M3178" s="33"/>
      <c r="N3178" s="33"/>
      <c r="O3178" s="33"/>
      <c r="P3178" s="33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  <c r="AB3178" s="33"/>
      <c r="AC3178" s="33"/>
      <c r="AD3178" s="33"/>
      <c r="AE3178" s="33"/>
      <c r="AF3178" s="33"/>
      <c r="AG3178" s="33"/>
      <c r="AH3178" s="33"/>
      <c r="AI3178" s="33"/>
      <c r="AJ3178" s="33"/>
      <c r="AK3178" s="33"/>
    </row>
    <row r="3179">
      <c r="A3179" s="33"/>
      <c r="B3179" s="33"/>
      <c r="C3179" s="33"/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  <c r="AB3179" s="33"/>
      <c r="AC3179" s="33"/>
      <c r="AD3179" s="33"/>
      <c r="AE3179" s="33"/>
      <c r="AF3179" s="33"/>
      <c r="AG3179" s="33"/>
      <c r="AH3179" s="33"/>
      <c r="AI3179" s="33"/>
      <c r="AJ3179" s="33"/>
      <c r="AK3179" s="33"/>
    </row>
    <row r="3180">
      <c r="A3180" s="33"/>
      <c r="B3180" s="33"/>
      <c r="C3180" s="33"/>
      <c r="D3180" s="33"/>
      <c r="E3180" s="33"/>
      <c r="F3180" s="33"/>
      <c r="G3180" s="33"/>
      <c r="H3180" s="33"/>
      <c r="I3180" s="33"/>
      <c r="J3180" s="33"/>
      <c r="K3180" s="33"/>
      <c r="L3180" s="33"/>
      <c r="M3180" s="33"/>
      <c r="N3180" s="33"/>
      <c r="O3180" s="33"/>
      <c r="P3180" s="33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  <c r="AB3180" s="33"/>
      <c r="AC3180" s="33"/>
      <c r="AD3180" s="33"/>
      <c r="AE3180" s="33"/>
      <c r="AF3180" s="33"/>
      <c r="AG3180" s="33"/>
      <c r="AH3180" s="33"/>
      <c r="AI3180" s="33"/>
      <c r="AJ3180" s="33"/>
      <c r="AK3180" s="33"/>
    </row>
    <row r="3181">
      <c r="A3181" s="33"/>
      <c r="B3181" s="33"/>
      <c r="C3181" s="33"/>
      <c r="D3181" s="33"/>
      <c r="E3181" s="33"/>
      <c r="F3181" s="33"/>
      <c r="G3181" s="33"/>
      <c r="H3181" s="33"/>
      <c r="I3181" s="33"/>
      <c r="J3181" s="33"/>
      <c r="K3181" s="33"/>
      <c r="L3181" s="33"/>
      <c r="M3181" s="33"/>
      <c r="N3181" s="33"/>
      <c r="O3181" s="33"/>
      <c r="P3181" s="33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  <c r="AB3181" s="33"/>
      <c r="AC3181" s="33"/>
      <c r="AD3181" s="33"/>
      <c r="AE3181" s="33"/>
      <c r="AF3181" s="33"/>
      <c r="AG3181" s="33"/>
      <c r="AH3181" s="33"/>
      <c r="AI3181" s="33"/>
      <c r="AJ3181" s="33"/>
      <c r="AK3181" s="33"/>
    </row>
    <row r="3182">
      <c r="A3182" s="33"/>
      <c r="B3182" s="33"/>
      <c r="C3182" s="33"/>
      <c r="D3182" s="33"/>
      <c r="E3182" s="33"/>
      <c r="F3182" s="33"/>
      <c r="G3182" s="33"/>
      <c r="H3182" s="33"/>
      <c r="I3182" s="33"/>
      <c r="J3182" s="33"/>
      <c r="K3182" s="33"/>
      <c r="L3182" s="33"/>
      <c r="M3182" s="33"/>
      <c r="N3182" s="33"/>
      <c r="O3182" s="33"/>
      <c r="P3182" s="33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  <c r="AB3182" s="33"/>
      <c r="AC3182" s="33"/>
      <c r="AD3182" s="33"/>
      <c r="AE3182" s="33"/>
      <c r="AF3182" s="33"/>
      <c r="AG3182" s="33"/>
      <c r="AH3182" s="33"/>
      <c r="AI3182" s="33"/>
      <c r="AJ3182" s="33"/>
      <c r="AK3182" s="33"/>
    </row>
    <row r="3183">
      <c r="A3183" s="33"/>
      <c r="B3183" s="33"/>
      <c r="C3183" s="33"/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  <c r="AB3183" s="33"/>
      <c r="AC3183" s="33"/>
      <c r="AD3183" s="33"/>
      <c r="AE3183" s="33"/>
      <c r="AF3183" s="33"/>
      <c r="AG3183" s="33"/>
      <c r="AH3183" s="33"/>
      <c r="AI3183" s="33"/>
      <c r="AJ3183" s="33"/>
      <c r="AK3183" s="33"/>
    </row>
    <row r="3184">
      <c r="A3184" s="33"/>
      <c r="B3184" s="33"/>
      <c r="C3184" s="33"/>
      <c r="D3184" s="33"/>
      <c r="E3184" s="33"/>
      <c r="F3184" s="33"/>
      <c r="G3184" s="33"/>
      <c r="H3184" s="33"/>
      <c r="I3184" s="33"/>
      <c r="J3184" s="33"/>
      <c r="K3184" s="33"/>
      <c r="L3184" s="33"/>
      <c r="M3184" s="33"/>
      <c r="N3184" s="33"/>
      <c r="O3184" s="33"/>
      <c r="P3184" s="33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  <c r="AB3184" s="33"/>
      <c r="AC3184" s="33"/>
      <c r="AD3184" s="33"/>
      <c r="AE3184" s="33"/>
      <c r="AF3184" s="33"/>
      <c r="AG3184" s="33"/>
      <c r="AH3184" s="33"/>
      <c r="AI3184" s="33"/>
      <c r="AJ3184" s="33"/>
      <c r="AK3184" s="33"/>
    </row>
    <row r="3185">
      <c r="A3185" s="33"/>
      <c r="B3185" s="33"/>
      <c r="C3185" s="33"/>
      <c r="D3185" s="33"/>
      <c r="E3185" s="33"/>
      <c r="F3185" s="33"/>
      <c r="G3185" s="33"/>
      <c r="H3185" s="33"/>
      <c r="I3185" s="33"/>
      <c r="J3185" s="33"/>
      <c r="K3185" s="33"/>
      <c r="L3185" s="33"/>
      <c r="M3185" s="33"/>
      <c r="N3185" s="33"/>
      <c r="O3185" s="33"/>
      <c r="P3185" s="33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  <c r="AB3185" s="33"/>
      <c r="AC3185" s="33"/>
      <c r="AD3185" s="33"/>
      <c r="AE3185" s="33"/>
      <c r="AF3185" s="33"/>
      <c r="AG3185" s="33"/>
      <c r="AH3185" s="33"/>
      <c r="AI3185" s="33"/>
      <c r="AJ3185" s="33"/>
      <c r="AK3185" s="33"/>
    </row>
    <row r="3186">
      <c r="A3186" s="33"/>
      <c r="B3186" s="33"/>
      <c r="C3186" s="33"/>
      <c r="D3186" s="33"/>
      <c r="E3186" s="33"/>
      <c r="F3186" s="33"/>
      <c r="G3186" s="33"/>
      <c r="H3186" s="33"/>
      <c r="I3186" s="33"/>
      <c r="J3186" s="33"/>
      <c r="K3186" s="33"/>
      <c r="L3186" s="33"/>
      <c r="M3186" s="33"/>
      <c r="N3186" s="33"/>
      <c r="O3186" s="33"/>
      <c r="P3186" s="33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  <c r="AB3186" s="33"/>
      <c r="AC3186" s="33"/>
      <c r="AD3186" s="33"/>
      <c r="AE3186" s="33"/>
      <c r="AF3186" s="33"/>
      <c r="AG3186" s="33"/>
      <c r="AH3186" s="33"/>
      <c r="AI3186" s="33"/>
      <c r="AJ3186" s="33"/>
      <c r="AK3186" s="33"/>
    </row>
    <row r="3187">
      <c r="A3187" s="33"/>
      <c r="B3187" s="33"/>
      <c r="C3187" s="33"/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  <c r="AB3187" s="33"/>
      <c r="AC3187" s="33"/>
      <c r="AD3187" s="33"/>
      <c r="AE3187" s="33"/>
      <c r="AF3187" s="33"/>
      <c r="AG3187" s="33"/>
      <c r="AH3187" s="33"/>
      <c r="AI3187" s="33"/>
      <c r="AJ3187" s="33"/>
      <c r="AK3187" s="33"/>
    </row>
    <row r="3188">
      <c r="A3188" s="33"/>
      <c r="B3188" s="33"/>
      <c r="C3188" s="33"/>
      <c r="D3188" s="33"/>
      <c r="E3188" s="33"/>
      <c r="F3188" s="33"/>
      <c r="G3188" s="33"/>
      <c r="H3188" s="33"/>
      <c r="I3188" s="33"/>
      <c r="J3188" s="33"/>
      <c r="K3188" s="33"/>
      <c r="L3188" s="33"/>
      <c r="M3188" s="33"/>
      <c r="N3188" s="33"/>
      <c r="O3188" s="33"/>
      <c r="P3188" s="33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  <c r="AB3188" s="33"/>
      <c r="AC3188" s="33"/>
      <c r="AD3188" s="33"/>
      <c r="AE3188" s="33"/>
      <c r="AF3188" s="33"/>
      <c r="AG3188" s="33"/>
      <c r="AH3188" s="33"/>
      <c r="AI3188" s="33"/>
      <c r="AJ3188" s="33"/>
      <c r="AK3188" s="33"/>
    </row>
    <row r="3189">
      <c r="A3189" s="33"/>
      <c r="B3189" s="33"/>
      <c r="C3189" s="33"/>
      <c r="D3189" s="33"/>
      <c r="E3189" s="33"/>
      <c r="F3189" s="33"/>
      <c r="G3189" s="33"/>
      <c r="H3189" s="33"/>
      <c r="I3189" s="33"/>
      <c r="J3189" s="33"/>
      <c r="K3189" s="33"/>
      <c r="L3189" s="33"/>
      <c r="M3189" s="33"/>
      <c r="N3189" s="33"/>
      <c r="O3189" s="33"/>
      <c r="P3189" s="33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  <c r="AB3189" s="33"/>
      <c r="AC3189" s="33"/>
      <c r="AD3189" s="33"/>
      <c r="AE3189" s="33"/>
      <c r="AF3189" s="33"/>
      <c r="AG3189" s="33"/>
      <c r="AH3189" s="33"/>
      <c r="AI3189" s="33"/>
      <c r="AJ3189" s="33"/>
      <c r="AK3189" s="33"/>
    </row>
    <row r="3190">
      <c r="A3190" s="33"/>
      <c r="B3190" s="33"/>
      <c r="C3190" s="33"/>
      <c r="D3190" s="33"/>
      <c r="E3190" s="33"/>
      <c r="F3190" s="33"/>
      <c r="G3190" s="33"/>
      <c r="H3190" s="33"/>
      <c r="I3190" s="33"/>
      <c r="J3190" s="33"/>
      <c r="K3190" s="33"/>
      <c r="L3190" s="33"/>
      <c r="M3190" s="33"/>
      <c r="N3190" s="33"/>
      <c r="O3190" s="33"/>
      <c r="P3190" s="33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  <c r="AB3190" s="33"/>
      <c r="AC3190" s="33"/>
      <c r="AD3190" s="33"/>
      <c r="AE3190" s="33"/>
      <c r="AF3190" s="33"/>
      <c r="AG3190" s="33"/>
      <c r="AH3190" s="33"/>
      <c r="AI3190" s="33"/>
      <c r="AJ3190" s="33"/>
      <c r="AK3190" s="33"/>
    </row>
    <row r="3191">
      <c r="A3191" s="33"/>
      <c r="B3191" s="33"/>
      <c r="C3191" s="33"/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  <c r="AB3191" s="33"/>
      <c r="AC3191" s="33"/>
      <c r="AD3191" s="33"/>
      <c r="AE3191" s="33"/>
      <c r="AF3191" s="33"/>
      <c r="AG3191" s="33"/>
      <c r="AH3191" s="33"/>
      <c r="AI3191" s="33"/>
      <c r="AJ3191" s="33"/>
      <c r="AK3191" s="33"/>
    </row>
    <row r="3192">
      <c r="A3192" s="33"/>
      <c r="B3192" s="33"/>
      <c r="C3192" s="33"/>
      <c r="D3192" s="33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33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  <c r="AB3192" s="33"/>
      <c r="AC3192" s="33"/>
      <c r="AD3192" s="33"/>
      <c r="AE3192" s="33"/>
      <c r="AF3192" s="33"/>
      <c r="AG3192" s="33"/>
      <c r="AH3192" s="33"/>
      <c r="AI3192" s="33"/>
      <c r="AJ3192" s="33"/>
      <c r="AK3192" s="33"/>
    </row>
    <row r="3193">
      <c r="A3193" s="33"/>
      <c r="B3193" s="33"/>
      <c r="C3193" s="33"/>
      <c r="D3193" s="33"/>
      <c r="E3193" s="33"/>
      <c r="F3193" s="33"/>
      <c r="G3193" s="33"/>
      <c r="H3193" s="33"/>
      <c r="I3193" s="33"/>
      <c r="J3193" s="33"/>
      <c r="K3193" s="33"/>
      <c r="L3193" s="33"/>
      <c r="M3193" s="33"/>
      <c r="N3193" s="33"/>
      <c r="O3193" s="33"/>
      <c r="P3193" s="33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  <c r="AB3193" s="33"/>
      <c r="AC3193" s="33"/>
      <c r="AD3193" s="33"/>
      <c r="AE3193" s="33"/>
      <c r="AF3193" s="33"/>
      <c r="AG3193" s="33"/>
      <c r="AH3193" s="33"/>
      <c r="AI3193" s="33"/>
      <c r="AJ3193" s="33"/>
      <c r="AK3193" s="33"/>
    </row>
    <row r="3194">
      <c r="A3194" s="33"/>
      <c r="B3194" s="33"/>
      <c r="C3194" s="33"/>
      <c r="D3194" s="33"/>
      <c r="E3194" s="33"/>
      <c r="F3194" s="33"/>
      <c r="G3194" s="33"/>
      <c r="H3194" s="33"/>
      <c r="I3194" s="33"/>
      <c r="J3194" s="33"/>
      <c r="K3194" s="33"/>
      <c r="L3194" s="33"/>
      <c r="M3194" s="33"/>
      <c r="N3194" s="33"/>
      <c r="O3194" s="33"/>
      <c r="P3194" s="33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  <c r="AB3194" s="33"/>
      <c r="AC3194" s="33"/>
      <c r="AD3194" s="33"/>
      <c r="AE3194" s="33"/>
      <c r="AF3194" s="33"/>
      <c r="AG3194" s="33"/>
      <c r="AH3194" s="33"/>
      <c r="AI3194" s="33"/>
      <c r="AJ3194" s="33"/>
      <c r="AK3194" s="33"/>
    </row>
    <row r="3195">
      <c r="A3195" s="33"/>
      <c r="B3195" s="33"/>
      <c r="C3195" s="33"/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  <c r="AB3195" s="33"/>
      <c r="AC3195" s="33"/>
      <c r="AD3195" s="33"/>
      <c r="AE3195" s="33"/>
      <c r="AF3195" s="33"/>
      <c r="AG3195" s="33"/>
      <c r="AH3195" s="33"/>
      <c r="AI3195" s="33"/>
      <c r="AJ3195" s="33"/>
      <c r="AK3195" s="33"/>
    </row>
    <row r="3196">
      <c r="A3196" s="33"/>
      <c r="B3196" s="33"/>
      <c r="C3196" s="33"/>
      <c r="D3196" s="33"/>
      <c r="E3196" s="33"/>
      <c r="F3196" s="33"/>
      <c r="G3196" s="33"/>
      <c r="H3196" s="33"/>
      <c r="I3196" s="33"/>
      <c r="J3196" s="33"/>
      <c r="K3196" s="33"/>
      <c r="L3196" s="33"/>
      <c r="M3196" s="33"/>
      <c r="N3196" s="33"/>
      <c r="O3196" s="33"/>
      <c r="P3196" s="33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  <c r="AB3196" s="33"/>
      <c r="AC3196" s="33"/>
      <c r="AD3196" s="33"/>
      <c r="AE3196" s="33"/>
      <c r="AF3196" s="33"/>
      <c r="AG3196" s="33"/>
      <c r="AH3196" s="33"/>
      <c r="AI3196" s="33"/>
      <c r="AJ3196" s="33"/>
      <c r="AK3196" s="33"/>
    </row>
    <row r="3197">
      <c r="A3197" s="33"/>
      <c r="B3197" s="33"/>
      <c r="C3197" s="33"/>
      <c r="D3197" s="33"/>
      <c r="E3197" s="33"/>
      <c r="F3197" s="33"/>
      <c r="G3197" s="33"/>
      <c r="H3197" s="33"/>
      <c r="I3197" s="33"/>
      <c r="J3197" s="33"/>
      <c r="K3197" s="33"/>
      <c r="L3197" s="33"/>
      <c r="M3197" s="33"/>
      <c r="N3197" s="33"/>
      <c r="O3197" s="33"/>
      <c r="P3197" s="33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  <c r="AB3197" s="33"/>
      <c r="AC3197" s="33"/>
      <c r="AD3197" s="33"/>
      <c r="AE3197" s="33"/>
      <c r="AF3197" s="33"/>
      <c r="AG3197" s="33"/>
      <c r="AH3197" s="33"/>
      <c r="AI3197" s="33"/>
      <c r="AJ3197" s="33"/>
      <c r="AK3197" s="33"/>
    </row>
    <row r="3198">
      <c r="A3198" s="33"/>
      <c r="B3198" s="33"/>
      <c r="C3198" s="33"/>
      <c r="D3198" s="33"/>
      <c r="E3198" s="33"/>
      <c r="F3198" s="33"/>
      <c r="G3198" s="33"/>
      <c r="H3198" s="33"/>
      <c r="I3198" s="33"/>
      <c r="J3198" s="33"/>
      <c r="K3198" s="33"/>
      <c r="L3198" s="33"/>
      <c r="M3198" s="33"/>
      <c r="N3198" s="33"/>
      <c r="O3198" s="33"/>
      <c r="P3198" s="33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  <c r="AB3198" s="33"/>
      <c r="AC3198" s="33"/>
      <c r="AD3198" s="33"/>
      <c r="AE3198" s="33"/>
      <c r="AF3198" s="33"/>
      <c r="AG3198" s="33"/>
      <c r="AH3198" s="33"/>
      <c r="AI3198" s="33"/>
      <c r="AJ3198" s="33"/>
      <c r="AK3198" s="33"/>
    </row>
    <row r="3199">
      <c r="A3199" s="33"/>
      <c r="B3199" s="33"/>
      <c r="C3199" s="33"/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  <c r="AB3199" s="33"/>
      <c r="AC3199" s="33"/>
      <c r="AD3199" s="33"/>
      <c r="AE3199" s="33"/>
      <c r="AF3199" s="33"/>
      <c r="AG3199" s="33"/>
      <c r="AH3199" s="33"/>
      <c r="AI3199" s="33"/>
      <c r="AJ3199" s="33"/>
      <c r="AK3199" s="33"/>
    </row>
    <row r="3200">
      <c r="A3200" s="33"/>
      <c r="B3200" s="33"/>
      <c r="C3200" s="33"/>
      <c r="D3200" s="33"/>
      <c r="E3200" s="33"/>
      <c r="F3200" s="33"/>
      <c r="G3200" s="33"/>
      <c r="H3200" s="33"/>
      <c r="I3200" s="33"/>
      <c r="J3200" s="33"/>
      <c r="K3200" s="33"/>
      <c r="L3200" s="33"/>
      <c r="M3200" s="33"/>
      <c r="N3200" s="33"/>
      <c r="O3200" s="33"/>
      <c r="P3200" s="33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  <c r="AB3200" s="33"/>
      <c r="AC3200" s="33"/>
      <c r="AD3200" s="33"/>
      <c r="AE3200" s="33"/>
      <c r="AF3200" s="33"/>
      <c r="AG3200" s="33"/>
      <c r="AH3200" s="33"/>
      <c r="AI3200" s="33"/>
      <c r="AJ3200" s="33"/>
      <c r="AK3200" s="33"/>
    </row>
    <row r="3201">
      <c r="A3201" s="33"/>
      <c r="B3201" s="33"/>
      <c r="C3201" s="33"/>
      <c r="D3201" s="33"/>
      <c r="E3201" s="33"/>
      <c r="F3201" s="33"/>
      <c r="G3201" s="33"/>
      <c r="H3201" s="33"/>
      <c r="I3201" s="33"/>
      <c r="J3201" s="33"/>
      <c r="K3201" s="33"/>
      <c r="L3201" s="33"/>
      <c r="M3201" s="33"/>
      <c r="N3201" s="33"/>
      <c r="O3201" s="33"/>
      <c r="P3201" s="33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  <c r="AB3201" s="33"/>
      <c r="AC3201" s="33"/>
      <c r="AD3201" s="33"/>
      <c r="AE3201" s="33"/>
      <c r="AF3201" s="33"/>
      <c r="AG3201" s="33"/>
      <c r="AH3201" s="33"/>
      <c r="AI3201" s="33"/>
      <c r="AJ3201" s="33"/>
      <c r="AK3201" s="33"/>
    </row>
    <row r="3202">
      <c r="A3202" s="33"/>
      <c r="B3202" s="33"/>
      <c r="C3202" s="33"/>
      <c r="D3202" s="33"/>
      <c r="E3202" s="33"/>
      <c r="F3202" s="33"/>
      <c r="G3202" s="33"/>
      <c r="H3202" s="33"/>
      <c r="I3202" s="33"/>
      <c r="J3202" s="33"/>
      <c r="K3202" s="33"/>
      <c r="L3202" s="33"/>
      <c r="M3202" s="33"/>
      <c r="N3202" s="33"/>
      <c r="O3202" s="33"/>
      <c r="P3202" s="33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  <c r="AB3202" s="33"/>
      <c r="AC3202" s="33"/>
      <c r="AD3202" s="33"/>
      <c r="AE3202" s="33"/>
      <c r="AF3202" s="33"/>
      <c r="AG3202" s="33"/>
      <c r="AH3202" s="33"/>
      <c r="AI3202" s="33"/>
      <c r="AJ3202" s="33"/>
      <c r="AK3202" s="33"/>
    </row>
    <row r="3203">
      <c r="A3203" s="33"/>
      <c r="B3203" s="33"/>
      <c r="C3203" s="33"/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  <c r="AB3203" s="33"/>
      <c r="AC3203" s="33"/>
      <c r="AD3203" s="33"/>
      <c r="AE3203" s="33"/>
      <c r="AF3203" s="33"/>
      <c r="AG3203" s="33"/>
      <c r="AH3203" s="33"/>
      <c r="AI3203" s="33"/>
      <c r="AJ3203" s="33"/>
      <c r="AK3203" s="33"/>
    </row>
    <row r="3204">
      <c r="A3204" s="33"/>
      <c r="B3204" s="33"/>
      <c r="C3204" s="33"/>
      <c r="D3204" s="33"/>
      <c r="E3204" s="33"/>
      <c r="F3204" s="33"/>
      <c r="G3204" s="33"/>
      <c r="H3204" s="33"/>
      <c r="I3204" s="33"/>
      <c r="J3204" s="33"/>
      <c r="K3204" s="33"/>
      <c r="L3204" s="33"/>
      <c r="M3204" s="33"/>
      <c r="N3204" s="33"/>
      <c r="O3204" s="33"/>
      <c r="P3204" s="33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  <c r="AB3204" s="33"/>
      <c r="AC3204" s="33"/>
      <c r="AD3204" s="33"/>
      <c r="AE3204" s="33"/>
      <c r="AF3204" s="33"/>
      <c r="AG3204" s="33"/>
      <c r="AH3204" s="33"/>
      <c r="AI3204" s="33"/>
      <c r="AJ3204" s="33"/>
      <c r="AK3204" s="33"/>
    </row>
    <row r="3205">
      <c r="A3205" s="33"/>
      <c r="B3205" s="33"/>
      <c r="C3205" s="33"/>
      <c r="D3205" s="33"/>
      <c r="E3205" s="33"/>
      <c r="F3205" s="33"/>
      <c r="G3205" s="33"/>
      <c r="H3205" s="33"/>
      <c r="I3205" s="33"/>
      <c r="J3205" s="33"/>
      <c r="K3205" s="33"/>
      <c r="L3205" s="33"/>
      <c r="M3205" s="33"/>
      <c r="N3205" s="33"/>
      <c r="O3205" s="33"/>
      <c r="P3205" s="33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  <c r="AB3205" s="33"/>
      <c r="AC3205" s="33"/>
      <c r="AD3205" s="33"/>
      <c r="AE3205" s="33"/>
      <c r="AF3205" s="33"/>
      <c r="AG3205" s="33"/>
      <c r="AH3205" s="33"/>
      <c r="AI3205" s="33"/>
      <c r="AJ3205" s="33"/>
      <c r="AK3205" s="33"/>
    </row>
    <row r="3206">
      <c r="A3206" s="33"/>
      <c r="B3206" s="33"/>
      <c r="C3206" s="33"/>
      <c r="D3206" s="33"/>
      <c r="E3206" s="33"/>
      <c r="F3206" s="33"/>
      <c r="G3206" s="33"/>
      <c r="H3206" s="33"/>
      <c r="I3206" s="33"/>
      <c r="J3206" s="33"/>
      <c r="K3206" s="33"/>
      <c r="L3206" s="33"/>
      <c r="M3206" s="33"/>
      <c r="N3206" s="33"/>
      <c r="O3206" s="33"/>
      <c r="P3206" s="33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  <c r="AB3206" s="33"/>
      <c r="AC3206" s="33"/>
      <c r="AD3206" s="33"/>
      <c r="AE3206" s="33"/>
      <c r="AF3206" s="33"/>
      <c r="AG3206" s="33"/>
      <c r="AH3206" s="33"/>
      <c r="AI3206" s="33"/>
      <c r="AJ3206" s="33"/>
      <c r="AK3206" s="33"/>
    </row>
    <row r="3207">
      <c r="A3207" s="33"/>
      <c r="B3207" s="33"/>
      <c r="C3207" s="33"/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  <c r="AB3207" s="33"/>
      <c r="AC3207" s="33"/>
      <c r="AD3207" s="33"/>
      <c r="AE3207" s="33"/>
      <c r="AF3207" s="33"/>
      <c r="AG3207" s="33"/>
      <c r="AH3207" s="33"/>
      <c r="AI3207" s="33"/>
      <c r="AJ3207" s="33"/>
      <c r="AK3207" s="33"/>
    </row>
    <row r="3208">
      <c r="A3208" s="33"/>
      <c r="B3208" s="33"/>
      <c r="C3208" s="33"/>
      <c r="D3208" s="33"/>
      <c r="E3208" s="33"/>
      <c r="F3208" s="33"/>
      <c r="G3208" s="33"/>
      <c r="H3208" s="33"/>
      <c r="I3208" s="33"/>
      <c r="J3208" s="33"/>
      <c r="K3208" s="33"/>
      <c r="L3208" s="33"/>
      <c r="M3208" s="33"/>
      <c r="N3208" s="33"/>
      <c r="O3208" s="33"/>
      <c r="P3208" s="33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  <c r="AB3208" s="33"/>
      <c r="AC3208" s="33"/>
      <c r="AD3208" s="33"/>
      <c r="AE3208" s="33"/>
      <c r="AF3208" s="33"/>
      <c r="AG3208" s="33"/>
      <c r="AH3208" s="33"/>
      <c r="AI3208" s="33"/>
      <c r="AJ3208" s="33"/>
      <c r="AK3208" s="33"/>
    </row>
    <row r="3209">
      <c r="A3209" s="33"/>
      <c r="B3209" s="33"/>
      <c r="C3209" s="33"/>
      <c r="D3209" s="33"/>
      <c r="E3209" s="33"/>
      <c r="F3209" s="33"/>
      <c r="G3209" s="33"/>
      <c r="H3209" s="33"/>
      <c r="I3209" s="33"/>
      <c r="J3209" s="33"/>
      <c r="K3209" s="33"/>
      <c r="L3209" s="33"/>
      <c r="M3209" s="33"/>
      <c r="N3209" s="33"/>
      <c r="O3209" s="33"/>
      <c r="P3209" s="33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  <c r="AB3209" s="33"/>
      <c r="AC3209" s="33"/>
      <c r="AD3209" s="33"/>
      <c r="AE3209" s="33"/>
      <c r="AF3209" s="33"/>
      <c r="AG3209" s="33"/>
      <c r="AH3209" s="33"/>
      <c r="AI3209" s="33"/>
      <c r="AJ3209" s="33"/>
      <c r="AK3209" s="33"/>
    </row>
    <row r="3210">
      <c r="A3210" s="33"/>
      <c r="B3210" s="33"/>
      <c r="C3210" s="33"/>
      <c r="D3210" s="33"/>
      <c r="E3210" s="33"/>
      <c r="F3210" s="33"/>
      <c r="G3210" s="33"/>
      <c r="H3210" s="33"/>
      <c r="I3210" s="33"/>
      <c r="J3210" s="33"/>
      <c r="K3210" s="33"/>
      <c r="L3210" s="33"/>
      <c r="M3210" s="33"/>
      <c r="N3210" s="33"/>
      <c r="O3210" s="33"/>
      <c r="P3210" s="33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  <c r="AB3210" s="33"/>
      <c r="AC3210" s="33"/>
      <c r="AD3210" s="33"/>
      <c r="AE3210" s="33"/>
      <c r="AF3210" s="33"/>
      <c r="AG3210" s="33"/>
      <c r="AH3210" s="33"/>
      <c r="AI3210" s="33"/>
      <c r="AJ3210" s="33"/>
      <c r="AK3210" s="33"/>
    </row>
    <row r="3211">
      <c r="A3211" s="33"/>
      <c r="B3211" s="33"/>
      <c r="C3211" s="33"/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  <c r="AB3211" s="33"/>
      <c r="AC3211" s="33"/>
      <c r="AD3211" s="33"/>
      <c r="AE3211" s="33"/>
      <c r="AF3211" s="33"/>
      <c r="AG3211" s="33"/>
      <c r="AH3211" s="33"/>
      <c r="AI3211" s="33"/>
      <c r="AJ3211" s="33"/>
      <c r="AK3211" s="33"/>
    </row>
    <row r="3212">
      <c r="A3212" s="33"/>
      <c r="B3212" s="33"/>
      <c r="C3212" s="33"/>
      <c r="D3212" s="33"/>
      <c r="E3212" s="33"/>
      <c r="F3212" s="33"/>
      <c r="G3212" s="33"/>
      <c r="H3212" s="33"/>
      <c r="I3212" s="33"/>
      <c r="J3212" s="33"/>
      <c r="K3212" s="33"/>
      <c r="L3212" s="33"/>
      <c r="M3212" s="33"/>
      <c r="N3212" s="33"/>
      <c r="O3212" s="33"/>
      <c r="P3212" s="33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  <c r="AB3212" s="33"/>
      <c r="AC3212" s="33"/>
      <c r="AD3212" s="33"/>
      <c r="AE3212" s="33"/>
      <c r="AF3212" s="33"/>
      <c r="AG3212" s="33"/>
      <c r="AH3212" s="33"/>
      <c r="AI3212" s="33"/>
      <c r="AJ3212" s="33"/>
      <c r="AK3212" s="33"/>
    </row>
    <row r="3213">
      <c r="A3213" s="33"/>
      <c r="B3213" s="33"/>
      <c r="C3213" s="33"/>
      <c r="D3213" s="33"/>
      <c r="E3213" s="33"/>
      <c r="F3213" s="33"/>
      <c r="G3213" s="33"/>
      <c r="H3213" s="33"/>
      <c r="I3213" s="33"/>
      <c r="J3213" s="33"/>
      <c r="K3213" s="33"/>
      <c r="L3213" s="33"/>
      <c r="M3213" s="33"/>
      <c r="N3213" s="33"/>
      <c r="O3213" s="33"/>
      <c r="P3213" s="33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  <c r="AB3213" s="33"/>
      <c r="AC3213" s="33"/>
      <c r="AD3213" s="33"/>
      <c r="AE3213" s="33"/>
      <c r="AF3213" s="33"/>
      <c r="AG3213" s="33"/>
      <c r="AH3213" s="33"/>
      <c r="AI3213" s="33"/>
      <c r="AJ3213" s="33"/>
      <c r="AK3213" s="33"/>
    </row>
    <row r="3214">
      <c r="A3214" s="33"/>
      <c r="B3214" s="33"/>
      <c r="C3214" s="33"/>
      <c r="D3214" s="33"/>
      <c r="E3214" s="33"/>
      <c r="F3214" s="33"/>
      <c r="G3214" s="33"/>
      <c r="H3214" s="33"/>
      <c r="I3214" s="33"/>
      <c r="J3214" s="33"/>
      <c r="K3214" s="33"/>
      <c r="L3214" s="33"/>
      <c r="M3214" s="33"/>
      <c r="N3214" s="33"/>
      <c r="O3214" s="33"/>
      <c r="P3214" s="33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  <c r="AB3214" s="33"/>
      <c r="AC3214" s="33"/>
      <c r="AD3214" s="33"/>
      <c r="AE3214" s="33"/>
      <c r="AF3214" s="33"/>
      <c r="AG3214" s="33"/>
      <c r="AH3214" s="33"/>
      <c r="AI3214" s="33"/>
      <c r="AJ3214" s="33"/>
      <c r="AK3214" s="33"/>
    </row>
    <row r="3215">
      <c r="A3215" s="33"/>
      <c r="B3215" s="33"/>
      <c r="C3215" s="33"/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  <c r="AB3215" s="33"/>
      <c r="AC3215" s="33"/>
      <c r="AD3215" s="33"/>
      <c r="AE3215" s="33"/>
      <c r="AF3215" s="33"/>
      <c r="AG3215" s="33"/>
      <c r="AH3215" s="33"/>
      <c r="AI3215" s="33"/>
      <c r="AJ3215" s="33"/>
      <c r="AK3215" s="33"/>
    </row>
    <row r="3216">
      <c r="A3216" s="33"/>
      <c r="B3216" s="33"/>
      <c r="C3216" s="33"/>
      <c r="D3216" s="33"/>
      <c r="E3216" s="33"/>
      <c r="F3216" s="33"/>
      <c r="G3216" s="33"/>
      <c r="H3216" s="33"/>
      <c r="I3216" s="33"/>
      <c r="J3216" s="33"/>
      <c r="K3216" s="33"/>
      <c r="L3216" s="33"/>
      <c r="M3216" s="33"/>
      <c r="N3216" s="33"/>
      <c r="O3216" s="33"/>
      <c r="P3216" s="33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  <c r="AB3216" s="33"/>
      <c r="AC3216" s="33"/>
      <c r="AD3216" s="33"/>
      <c r="AE3216" s="33"/>
      <c r="AF3216" s="33"/>
      <c r="AG3216" s="33"/>
      <c r="AH3216" s="33"/>
      <c r="AI3216" s="33"/>
      <c r="AJ3216" s="33"/>
      <c r="AK3216" s="33"/>
    </row>
    <row r="3217">
      <c r="A3217" s="33"/>
      <c r="B3217" s="33"/>
      <c r="C3217" s="33"/>
      <c r="D3217" s="33"/>
      <c r="E3217" s="33"/>
      <c r="F3217" s="33"/>
      <c r="G3217" s="33"/>
      <c r="H3217" s="33"/>
      <c r="I3217" s="33"/>
      <c r="J3217" s="33"/>
      <c r="K3217" s="33"/>
      <c r="L3217" s="33"/>
      <c r="M3217" s="33"/>
      <c r="N3217" s="33"/>
      <c r="O3217" s="33"/>
      <c r="P3217" s="33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  <c r="AB3217" s="33"/>
      <c r="AC3217" s="33"/>
      <c r="AD3217" s="33"/>
      <c r="AE3217" s="33"/>
      <c r="AF3217" s="33"/>
      <c r="AG3217" s="33"/>
      <c r="AH3217" s="33"/>
      <c r="AI3217" s="33"/>
      <c r="AJ3217" s="33"/>
      <c r="AK3217" s="33"/>
    </row>
    <row r="3218">
      <c r="A3218" s="33"/>
      <c r="B3218" s="33"/>
      <c r="C3218" s="33"/>
      <c r="D3218" s="33"/>
      <c r="E3218" s="33"/>
      <c r="F3218" s="33"/>
      <c r="G3218" s="33"/>
      <c r="H3218" s="33"/>
      <c r="I3218" s="33"/>
      <c r="J3218" s="33"/>
      <c r="K3218" s="33"/>
      <c r="L3218" s="33"/>
      <c r="M3218" s="33"/>
      <c r="N3218" s="33"/>
      <c r="O3218" s="33"/>
      <c r="P3218" s="33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  <c r="AB3218" s="33"/>
      <c r="AC3218" s="33"/>
      <c r="AD3218" s="33"/>
      <c r="AE3218" s="33"/>
      <c r="AF3218" s="33"/>
      <c r="AG3218" s="33"/>
      <c r="AH3218" s="33"/>
      <c r="AI3218" s="33"/>
      <c r="AJ3218" s="33"/>
      <c r="AK3218" s="33"/>
    </row>
    <row r="3219">
      <c r="A3219" s="33"/>
      <c r="B3219" s="33"/>
      <c r="C3219" s="33"/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  <c r="AB3219" s="33"/>
      <c r="AC3219" s="33"/>
      <c r="AD3219" s="33"/>
      <c r="AE3219" s="33"/>
      <c r="AF3219" s="33"/>
      <c r="AG3219" s="33"/>
      <c r="AH3219" s="33"/>
      <c r="AI3219" s="33"/>
      <c r="AJ3219" s="33"/>
      <c r="AK3219" s="33"/>
    </row>
    <row r="3220">
      <c r="A3220" s="33"/>
      <c r="B3220" s="33"/>
      <c r="C3220" s="33"/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33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  <c r="AB3220" s="33"/>
      <c r="AC3220" s="33"/>
      <c r="AD3220" s="33"/>
      <c r="AE3220" s="33"/>
      <c r="AF3220" s="33"/>
      <c r="AG3220" s="33"/>
      <c r="AH3220" s="33"/>
      <c r="AI3220" s="33"/>
      <c r="AJ3220" s="33"/>
      <c r="AK3220" s="33"/>
    </row>
    <row r="3221">
      <c r="A3221" s="33"/>
      <c r="B3221" s="33"/>
      <c r="C3221" s="33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  <c r="AB3221" s="33"/>
      <c r="AC3221" s="33"/>
      <c r="AD3221" s="33"/>
      <c r="AE3221" s="33"/>
      <c r="AF3221" s="33"/>
      <c r="AG3221" s="33"/>
      <c r="AH3221" s="33"/>
      <c r="AI3221" s="33"/>
      <c r="AJ3221" s="33"/>
      <c r="AK3221" s="33"/>
    </row>
    <row r="3222">
      <c r="A3222" s="33"/>
      <c r="B3222" s="33"/>
      <c r="C3222" s="33"/>
      <c r="D3222" s="33"/>
      <c r="E3222" s="33"/>
      <c r="F3222" s="33"/>
      <c r="G3222" s="33"/>
      <c r="H3222" s="33"/>
      <c r="I3222" s="33"/>
      <c r="J3222" s="33"/>
      <c r="K3222" s="33"/>
      <c r="L3222" s="33"/>
      <c r="M3222" s="33"/>
      <c r="N3222" s="33"/>
      <c r="O3222" s="33"/>
      <c r="P3222" s="33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  <c r="AB3222" s="33"/>
      <c r="AC3222" s="33"/>
      <c r="AD3222" s="33"/>
      <c r="AE3222" s="33"/>
      <c r="AF3222" s="33"/>
      <c r="AG3222" s="33"/>
      <c r="AH3222" s="33"/>
      <c r="AI3222" s="33"/>
      <c r="AJ3222" s="33"/>
      <c r="AK3222" s="33"/>
    </row>
    <row r="3223">
      <c r="A3223" s="33"/>
      <c r="B3223" s="33"/>
      <c r="C3223" s="33"/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  <c r="AB3223" s="33"/>
      <c r="AC3223" s="33"/>
      <c r="AD3223" s="33"/>
      <c r="AE3223" s="33"/>
      <c r="AF3223" s="33"/>
      <c r="AG3223" s="33"/>
      <c r="AH3223" s="33"/>
      <c r="AI3223" s="33"/>
      <c r="AJ3223" s="33"/>
      <c r="AK3223" s="33"/>
    </row>
    <row r="3224">
      <c r="A3224" s="33"/>
      <c r="B3224" s="33"/>
      <c r="C3224" s="33"/>
      <c r="D3224" s="33"/>
      <c r="E3224" s="33"/>
      <c r="F3224" s="33"/>
      <c r="G3224" s="33"/>
      <c r="H3224" s="33"/>
      <c r="I3224" s="33"/>
      <c r="J3224" s="33"/>
      <c r="K3224" s="33"/>
      <c r="L3224" s="33"/>
      <c r="M3224" s="33"/>
      <c r="N3224" s="33"/>
      <c r="O3224" s="33"/>
      <c r="P3224" s="33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  <c r="AB3224" s="33"/>
      <c r="AC3224" s="33"/>
      <c r="AD3224" s="33"/>
      <c r="AE3224" s="33"/>
      <c r="AF3224" s="33"/>
      <c r="AG3224" s="33"/>
      <c r="AH3224" s="33"/>
      <c r="AI3224" s="33"/>
      <c r="AJ3224" s="33"/>
      <c r="AK3224" s="33"/>
    </row>
    <row r="3225">
      <c r="A3225" s="33"/>
      <c r="B3225" s="33"/>
      <c r="C3225" s="33"/>
      <c r="D3225" s="33"/>
      <c r="E3225" s="33"/>
      <c r="F3225" s="33"/>
      <c r="G3225" s="33"/>
      <c r="H3225" s="33"/>
      <c r="I3225" s="33"/>
      <c r="J3225" s="33"/>
      <c r="K3225" s="33"/>
      <c r="L3225" s="33"/>
      <c r="M3225" s="33"/>
      <c r="N3225" s="33"/>
      <c r="O3225" s="33"/>
      <c r="P3225" s="33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  <c r="AB3225" s="33"/>
      <c r="AC3225" s="33"/>
      <c r="AD3225" s="33"/>
      <c r="AE3225" s="33"/>
      <c r="AF3225" s="33"/>
      <c r="AG3225" s="33"/>
      <c r="AH3225" s="33"/>
      <c r="AI3225" s="33"/>
      <c r="AJ3225" s="33"/>
      <c r="AK3225" s="33"/>
    </row>
    <row r="3226">
      <c r="A3226" s="33"/>
      <c r="B3226" s="33"/>
      <c r="C3226" s="33"/>
      <c r="D3226" s="33"/>
      <c r="E3226" s="33"/>
      <c r="F3226" s="33"/>
      <c r="G3226" s="33"/>
      <c r="H3226" s="33"/>
      <c r="I3226" s="33"/>
      <c r="J3226" s="33"/>
      <c r="K3226" s="33"/>
      <c r="L3226" s="33"/>
      <c r="M3226" s="33"/>
      <c r="N3226" s="33"/>
      <c r="O3226" s="33"/>
      <c r="P3226" s="33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  <c r="AB3226" s="33"/>
      <c r="AC3226" s="33"/>
      <c r="AD3226" s="33"/>
      <c r="AE3226" s="33"/>
      <c r="AF3226" s="33"/>
      <c r="AG3226" s="33"/>
      <c r="AH3226" s="33"/>
      <c r="AI3226" s="33"/>
      <c r="AJ3226" s="33"/>
      <c r="AK3226" s="33"/>
    </row>
    <row r="3227">
      <c r="A3227" s="33"/>
      <c r="B3227" s="33"/>
      <c r="C3227" s="33"/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  <c r="AB3227" s="33"/>
      <c r="AC3227" s="33"/>
      <c r="AD3227" s="33"/>
      <c r="AE3227" s="33"/>
      <c r="AF3227" s="33"/>
      <c r="AG3227" s="33"/>
      <c r="AH3227" s="33"/>
      <c r="AI3227" s="33"/>
      <c r="AJ3227" s="33"/>
      <c r="AK3227" s="33"/>
    </row>
    <row r="3228">
      <c r="A3228" s="33"/>
      <c r="B3228" s="33"/>
      <c r="C3228" s="33"/>
      <c r="D3228" s="33"/>
      <c r="E3228" s="33"/>
      <c r="F3228" s="33"/>
      <c r="G3228" s="33"/>
      <c r="H3228" s="33"/>
      <c r="I3228" s="33"/>
      <c r="J3228" s="33"/>
      <c r="K3228" s="33"/>
      <c r="L3228" s="33"/>
      <c r="M3228" s="33"/>
      <c r="N3228" s="33"/>
      <c r="O3228" s="33"/>
      <c r="P3228" s="33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  <c r="AB3228" s="33"/>
      <c r="AC3228" s="33"/>
      <c r="AD3228" s="33"/>
      <c r="AE3228" s="33"/>
      <c r="AF3228" s="33"/>
      <c r="AG3228" s="33"/>
      <c r="AH3228" s="33"/>
      <c r="AI3228" s="33"/>
      <c r="AJ3228" s="33"/>
      <c r="AK3228" s="33"/>
    </row>
    <row r="3229">
      <c r="A3229" s="33"/>
      <c r="B3229" s="33"/>
      <c r="C3229" s="33"/>
      <c r="D3229" s="33"/>
      <c r="E3229" s="33"/>
      <c r="F3229" s="33"/>
      <c r="G3229" s="33"/>
      <c r="H3229" s="33"/>
      <c r="I3229" s="33"/>
      <c r="J3229" s="33"/>
      <c r="K3229" s="33"/>
      <c r="L3229" s="33"/>
      <c r="M3229" s="33"/>
      <c r="N3229" s="33"/>
      <c r="O3229" s="33"/>
      <c r="P3229" s="33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  <c r="AB3229" s="33"/>
      <c r="AC3229" s="33"/>
      <c r="AD3229" s="33"/>
      <c r="AE3229" s="33"/>
      <c r="AF3229" s="33"/>
      <c r="AG3229" s="33"/>
      <c r="AH3229" s="33"/>
      <c r="AI3229" s="33"/>
      <c r="AJ3229" s="33"/>
      <c r="AK3229" s="33"/>
    </row>
    <row r="3230">
      <c r="A3230" s="33"/>
      <c r="B3230" s="33"/>
      <c r="C3230" s="33"/>
      <c r="D3230" s="33"/>
      <c r="E3230" s="33"/>
      <c r="F3230" s="33"/>
      <c r="G3230" s="33"/>
      <c r="H3230" s="33"/>
      <c r="I3230" s="33"/>
      <c r="J3230" s="33"/>
      <c r="K3230" s="33"/>
      <c r="L3230" s="33"/>
      <c r="M3230" s="33"/>
      <c r="N3230" s="33"/>
      <c r="O3230" s="33"/>
      <c r="P3230" s="33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  <c r="AB3230" s="33"/>
      <c r="AC3230" s="33"/>
      <c r="AD3230" s="33"/>
      <c r="AE3230" s="33"/>
      <c r="AF3230" s="33"/>
      <c r="AG3230" s="33"/>
      <c r="AH3230" s="33"/>
      <c r="AI3230" s="33"/>
      <c r="AJ3230" s="33"/>
      <c r="AK3230" s="33"/>
    </row>
    <row r="3231">
      <c r="A3231" s="33"/>
      <c r="B3231" s="33"/>
      <c r="C3231" s="33"/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  <c r="AB3231" s="33"/>
      <c r="AC3231" s="33"/>
      <c r="AD3231" s="33"/>
      <c r="AE3231" s="33"/>
      <c r="AF3231" s="33"/>
      <c r="AG3231" s="33"/>
      <c r="AH3231" s="33"/>
      <c r="AI3231" s="33"/>
      <c r="AJ3231" s="33"/>
      <c r="AK3231" s="33"/>
    </row>
    <row r="3232">
      <c r="A3232" s="33"/>
      <c r="B3232" s="33"/>
      <c r="C3232" s="33"/>
      <c r="D3232" s="33"/>
      <c r="E3232" s="33"/>
      <c r="F3232" s="33"/>
      <c r="G3232" s="33"/>
      <c r="H3232" s="33"/>
      <c r="I3232" s="33"/>
      <c r="J3232" s="33"/>
      <c r="K3232" s="33"/>
      <c r="L3232" s="33"/>
      <c r="M3232" s="33"/>
      <c r="N3232" s="33"/>
      <c r="O3232" s="33"/>
      <c r="P3232" s="33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  <c r="AB3232" s="33"/>
      <c r="AC3232" s="33"/>
      <c r="AD3232" s="33"/>
      <c r="AE3232" s="33"/>
      <c r="AF3232" s="33"/>
      <c r="AG3232" s="33"/>
      <c r="AH3232" s="33"/>
      <c r="AI3232" s="33"/>
      <c r="AJ3232" s="33"/>
      <c r="AK3232" s="33"/>
    </row>
    <row r="3233">
      <c r="A3233" s="33"/>
      <c r="B3233" s="33"/>
      <c r="C3233" s="33"/>
      <c r="D3233" s="33"/>
      <c r="E3233" s="33"/>
      <c r="F3233" s="33"/>
      <c r="G3233" s="33"/>
      <c r="H3233" s="33"/>
      <c r="I3233" s="33"/>
      <c r="J3233" s="33"/>
      <c r="K3233" s="33"/>
      <c r="L3233" s="33"/>
      <c r="M3233" s="33"/>
      <c r="N3233" s="33"/>
      <c r="O3233" s="33"/>
      <c r="P3233" s="33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  <c r="AB3233" s="33"/>
      <c r="AC3233" s="33"/>
      <c r="AD3233" s="33"/>
      <c r="AE3233" s="33"/>
      <c r="AF3233" s="33"/>
      <c r="AG3233" s="33"/>
      <c r="AH3233" s="33"/>
      <c r="AI3233" s="33"/>
      <c r="AJ3233" s="33"/>
      <c r="AK3233" s="33"/>
    </row>
    <row r="3234">
      <c r="A3234" s="33"/>
      <c r="B3234" s="33"/>
      <c r="C3234" s="33"/>
      <c r="D3234" s="33"/>
      <c r="E3234" s="33"/>
      <c r="F3234" s="33"/>
      <c r="G3234" s="33"/>
      <c r="H3234" s="33"/>
      <c r="I3234" s="33"/>
      <c r="J3234" s="33"/>
      <c r="K3234" s="33"/>
      <c r="L3234" s="33"/>
      <c r="M3234" s="33"/>
      <c r="N3234" s="33"/>
      <c r="O3234" s="33"/>
      <c r="P3234" s="33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  <c r="AB3234" s="33"/>
      <c r="AC3234" s="33"/>
      <c r="AD3234" s="33"/>
      <c r="AE3234" s="33"/>
      <c r="AF3234" s="33"/>
      <c r="AG3234" s="33"/>
      <c r="AH3234" s="33"/>
      <c r="AI3234" s="33"/>
      <c r="AJ3234" s="33"/>
      <c r="AK3234" s="33"/>
    </row>
    <row r="3235">
      <c r="A3235" s="33"/>
      <c r="B3235" s="33"/>
      <c r="C3235" s="33"/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  <c r="AB3235" s="33"/>
      <c r="AC3235" s="33"/>
      <c r="AD3235" s="33"/>
      <c r="AE3235" s="33"/>
      <c r="AF3235" s="33"/>
      <c r="AG3235" s="33"/>
      <c r="AH3235" s="33"/>
      <c r="AI3235" s="33"/>
      <c r="AJ3235" s="33"/>
      <c r="AK3235" s="33"/>
    </row>
    <row r="3236">
      <c r="A3236" s="33"/>
      <c r="B3236" s="33"/>
      <c r="C3236" s="33"/>
      <c r="D3236" s="33"/>
      <c r="E3236" s="33"/>
      <c r="F3236" s="33"/>
      <c r="G3236" s="33"/>
      <c r="H3236" s="33"/>
      <c r="I3236" s="33"/>
      <c r="J3236" s="33"/>
      <c r="K3236" s="33"/>
      <c r="L3236" s="33"/>
      <c r="M3236" s="33"/>
      <c r="N3236" s="33"/>
      <c r="O3236" s="33"/>
      <c r="P3236" s="33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  <c r="AB3236" s="33"/>
      <c r="AC3236" s="33"/>
      <c r="AD3236" s="33"/>
      <c r="AE3236" s="33"/>
      <c r="AF3236" s="33"/>
      <c r="AG3236" s="33"/>
      <c r="AH3236" s="33"/>
      <c r="AI3236" s="33"/>
      <c r="AJ3236" s="33"/>
      <c r="AK3236" s="33"/>
    </row>
    <row r="3237">
      <c r="A3237" s="33"/>
      <c r="B3237" s="33"/>
      <c r="C3237" s="33"/>
      <c r="D3237" s="33"/>
      <c r="E3237" s="33"/>
      <c r="F3237" s="33"/>
      <c r="G3237" s="33"/>
      <c r="H3237" s="33"/>
      <c r="I3237" s="33"/>
      <c r="J3237" s="33"/>
      <c r="K3237" s="33"/>
      <c r="L3237" s="33"/>
      <c r="M3237" s="33"/>
      <c r="N3237" s="33"/>
      <c r="O3237" s="33"/>
      <c r="P3237" s="33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  <c r="AB3237" s="33"/>
      <c r="AC3237" s="33"/>
      <c r="AD3237" s="33"/>
      <c r="AE3237" s="33"/>
      <c r="AF3237" s="33"/>
      <c r="AG3237" s="33"/>
      <c r="AH3237" s="33"/>
      <c r="AI3237" s="33"/>
      <c r="AJ3237" s="33"/>
      <c r="AK3237" s="33"/>
    </row>
    <row r="3238">
      <c r="A3238" s="33"/>
      <c r="B3238" s="33"/>
      <c r="C3238" s="33"/>
      <c r="D3238" s="33"/>
      <c r="E3238" s="33"/>
      <c r="F3238" s="33"/>
      <c r="G3238" s="33"/>
      <c r="H3238" s="33"/>
      <c r="I3238" s="33"/>
      <c r="J3238" s="33"/>
      <c r="K3238" s="33"/>
      <c r="L3238" s="33"/>
      <c r="M3238" s="33"/>
      <c r="N3238" s="33"/>
      <c r="O3238" s="33"/>
      <c r="P3238" s="33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  <c r="AB3238" s="33"/>
      <c r="AC3238" s="33"/>
      <c r="AD3238" s="33"/>
      <c r="AE3238" s="33"/>
      <c r="AF3238" s="33"/>
      <c r="AG3238" s="33"/>
      <c r="AH3238" s="33"/>
      <c r="AI3238" s="33"/>
      <c r="AJ3238" s="33"/>
      <c r="AK3238" s="33"/>
    </row>
    <row r="3239">
      <c r="A3239" s="33"/>
      <c r="B3239" s="33"/>
      <c r="C3239" s="33"/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  <c r="AB3239" s="33"/>
      <c r="AC3239" s="33"/>
      <c r="AD3239" s="33"/>
      <c r="AE3239" s="33"/>
      <c r="AF3239" s="33"/>
      <c r="AG3239" s="33"/>
      <c r="AH3239" s="33"/>
      <c r="AI3239" s="33"/>
      <c r="AJ3239" s="33"/>
      <c r="AK3239" s="33"/>
    </row>
    <row r="3240">
      <c r="A3240" s="33"/>
      <c r="B3240" s="33"/>
      <c r="C3240" s="33"/>
      <c r="D3240" s="33"/>
      <c r="E3240" s="33"/>
      <c r="F3240" s="33"/>
      <c r="G3240" s="33"/>
      <c r="H3240" s="33"/>
      <c r="I3240" s="33"/>
      <c r="J3240" s="33"/>
      <c r="K3240" s="33"/>
      <c r="L3240" s="33"/>
      <c r="M3240" s="33"/>
      <c r="N3240" s="33"/>
      <c r="O3240" s="33"/>
      <c r="P3240" s="33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  <c r="AB3240" s="33"/>
      <c r="AC3240" s="33"/>
      <c r="AD3240" s="33"/>
      <c r="AE3240" s="33"/>
      <c r="AF3240" s="33"/>
      <c r="AG3240" s="33"/>
      <c r="AH3240" s="33"/>
      <c r="AI3240" s="33"/>
      <c r="AJ3240" s="33"/>
      <c r="AK3240" s="33"/>
    </row>
    <row r="3241">
      <c r="A3241" s="33"/>
      <c r="B3241" s="33"/>
      <c r="C3241" s="33"/>
      <c r="D3241" s="33"/>
      <c r="E3241" s="33"/>
      <c r="F3241" s="33"/>
      <c r="G3241" s="33"/>
      <c r="H3241" s="33"/>
      <c r="I3241" s="33"/>
      <c r="J3241" s="33"/>
      <c r="K3241" s="33"/>
      <c r="L3241" s="33"/>
      <c r="M3241" s="33"/>
      <c r="N3241" s="33"/>
      <c r="O3241" s="33"/>
      <c r="P3241" s="33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  <c r="AB3241" s="33"/>
      <c r="AC3241" s="33"/>
      <c r="AD3241" s="33"/>
      <c r="AE3241" s="33"/>
      <c r="AF3241" s="33"/>
      <c r="AG3241" s="33"/>
      <c r="AH3241" s="33"/>
      <c r="AI3241" s="33"/>
      <c r="AJ3241" s="33"/>
      <c r="AK3241" s="33"/>
    </row>
    <row r="3242">
      <c r="A3242" s="33"/>
      <c r="B3242" s="33"/>
      <c r="C3242" s="33"/>
      <c r="D3242" s="33"/>
      <c r="E3242" s="33"/>
      <c r="F3242" s="33"/>
      <c r="G3242" s="33"/>
      <c r="H3242" s="33"/>
      <c r="I3242" s="33"/>
      <c r="J3242" s="33"/>
      <c r="K3242" s="33"/>
      <c r="L3242" s="33"/>
      <c r="M3242" s="33"/>
      <c r="N3242" s="33"/>
      <c r="O3242" s="33"/>
      <c r="P3242" s="33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  <c r="AB3242" s="33"/>
      <c r="AC3242" s="33"/>
      <c r="AD3242" s="33"/>
      <c r="AE3242" s="33"/>
      <c r="AF3242" s="33"/>
      <c r="AG3242" s="33"/>
      <c r="AH3242" s="33"/>
      <c r="AI3242" s="33"/>
      <c r="AJ3242" s="33"/>
      <c r="AK3242" s="33"/>
    </row>
    <row r="3243">
      <c r="A3243" s="33"/>
      <c r="B3243" s="33"/>
      <c r="C3243" s="33"/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  <c r="AB3243" s="33"/>
      <c r="AC3243" s="33"/>
      <c r="AD3243" s="33"/>
      <c r="AE3243" s="33"/>
      <c r="AF3243" s="33"/>
      <c r="AG3243" s="33"/>
      <c r="AH3243" s="33"/>
      <c r="AI3243" s="33"/>
      <c r="AJ3243" s="33"/>
      <c r="AK3243" s="33"/>
    </row>
    <row r="3244">
      <c r="A3244" s="33"/>
      <c r="B3244" s="33"/>
      <c r="C3244" s="33"/>
      <c r="D3244" s="33"/>
      <c r="E3244" s="33"/>
      <c r="F3244" s="33"/>
      <c r="G3244" s="33"/>
      <c r="H3244" s="33"/>
      <c r="I3244" s="33"/>
      <c r="J3244" s="33"/>
      <c r="K3244" s="33"/>
      <c r="L3244" s="33"/>
      <c r="M3244" s="33"/>
      <c r="N3244" s="33"/>
      <c r="O3244" s="33"/>
      <c r="P3244" s="33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  <c r="AB3244" s="33"/>
      <c r="AC3244" s="33"/>
      <c r="AD3244" s="33"/>
      <c r="AE3244" s="33"/>
      <c r="AF3244" s="33"/>
      <c r="AG3244" s="33"/>
      <c r="AH3244" s="33"/>
      <c r="AI3244" s="33"/>
      <c r="AJ3244" s="33"/>
      <c r="AK3244" s="33"/>
    </row>
    <row r="3245">
      <c r="A3245" s="33"/>
      <c r="B3245" s="33"/>
      <c r="C3245" s="33"/>
      <c r="D3245" s="33"/>
      <c r="E3245" s="33"/>
      <c r="F3245" s="33"/>
      <c r="G3245" s="33"/>
      <c r="H3245" s="33"/>
      <c r="I3245" s="33"/>
      <c r="J3245" s="33"/>
      <c r="K3245" s="33"/>
      <c r="L3245" s="33"/>
      <c r="M3245" s="33"/>
      <c r="N3245" s="33"/>
      <c r="O3245" s="33"/>
      <c r="P3245" s="33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  <c r="AB3245" s="33"/>
      <c r="AC3245" s="33"/>
      <c r="AD3245" s="33"/>
      <c r="AE3245" s="33"/>
      <c r="AF3245" s="33"/>
      <c r="AG3245" s="33"/>
      <c r="AH3245" s="33"/>
      <c r="AI3245" s="33"/>
      <c r="AJ3245" s="33"/>
      <c r="AK3245" s="33"/>
    </row>
    <row r="3246">
      <c r="A3246" s="33"/>
      <c r="B3246" s="33"/>
      <c r="C3246" s="33"/>
      <c r="D3246" s="33"/>
      <c r="E3246" s="33"/>
      <c r="F3246" s="33"/>
      <c r="G3246" s="33"/>
      <c r="H3246" s="33"/>
      <c r="I3246" s="33"/>
      <c r="J3246" s="33"/>
      <c r="K3246" s="33"/>
      <c r="L3246" s="33"/>
      <c r="M3246" s="33"/>
      <c r="N3246" s="33"/>
      <c r="O3246" s="33"/>
      <c r="P3246" s="33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  <c r="AB3246" s="33"/>
      <c r="AC3246" s="33"/>
      <c r="AD3246" s="33"/>
      <c r="AE3246" s="33"/>
      <c r="AF3246" s="33"/>
      <c r="AG3246" s="33"/>
      <c r="AH3246" s="33"/>
      <c r="AI3246" s="33"/>
      <c r="AJ3246" s="33"/>
      <c r="AK3246" s="33"/>
    </row>
    <row r="3247">
      <c r="A3247" s="33"/>
      <c r="B3247" s="33"/>
      <c r="C3247" s="33"/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  <c r="AB3247" s="33"/>
      <c r="AC3247" s="33"/>
      <c r="AD3247" s="33"/>
      <c r="AE3247" s="33"/>
      <c r="AF3247" s="33"/>
      <c r="AG3247" s="33"/>
      <c r="AH3247" s="33"/>
      <c r="AI3247" s="33"/>
      <c r="AJ3247" s="33"/>
      <c r="AK3247" s="33"/>
    </row>
    <row r="3248">
      <c r="A3248" s="33"/>
      <c r="B3248" s="33"/>
      <c r="C3248" s="33"/>
      <c r="D3248" s="33"/>
      <c r="E3248" s="33"/>
      <c r="F3248" s="33"/>
      <c r="G3248" s="33"/>
      <c r="H3248" s="33"/>
      <c r="I3248" s="33"/>
      <c r="J3248" s="33"/>
      <c r="K3248" s="33"/>
      <c r="L3248" s="33"/>
      <c r="M3248" s="33"/>
      <c r="N3248" s="33"/>
      <c r="O3248" s="33"/>
      <c r="P3248" s="33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  <c r="AB3248" s="33"/>
      <c r="AC3248" s="33"/>
      <c r="AD3248" s="33"/>
      <c r="AE3248" s="33"/>
      <c r="AF3248" s="33"/>
      <c r="AG3248" s="33"/>
      <c r="AH3248" s="33"/>
      <c r="AI3248" s="33"/>
      <c r="AJ3248" s="33"/>
      <c r="AK3248" s="33"/>
    </row>
    <row r="3249">
      <c r="A3249" s="33"/>
      <c r="B3249" s="33"/>
      <c r="C3249" s="33"/>
      <c r="D3249" s="33"/>
      <c r="E3249" s="33"/>
      <c r="F3249" s="33"/>
      <c r="G3249" s="33"/>
      <c r="H3249" s="33"/>
      <c r="I3249" s="33"/>
      <c r="J3249" s="33"/>
      <c r="K3249" s="33"/>
      <c r="L3249" s="33"/>
      <c r="M3249" s="33"/>
      <c r="N3249" s="33"/>
      <c r="O3249" s="33"/>
      <c r="P3249" s="33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  <c r="AB3249" s="33"/>
      <c r="AC3249" s="33"/>
      <c r="AD3249" s="33"/>
      <c r="AE3249" s="33"/>
      <c r="AF3249" s="33"/>
      <c r="AG3249" s="33"/>
      <c r="AH3249" s="33"/>
      <c r="AI3249" s="33"/>
      <c r="AJ3249" s="33"/>
      <c r="AK3249" s="33"/>
    </row>
    <row r="3250">
      <c r="A3250" s="33"/>
      <c r="B3250" s="33"/>
      <c r="C3250" s="33"/>
      <c r="D3250" s="33"/>
      <c r="E3250" s="33"/>
      <c r="F3250" s="33"/>
      <c r="G3250" s="33"/>
      <c r="H3250" s="33"/>
      <c r="I3250" s="33"/>
      <c r="J3250" s="33"/>
      <c r="K3250" s="33"/>
      <c r="L3250" s="33"/>
      <c r="M3250" s="33"/>
      <c r="N3250" s="33"/>
      <c r="O3250" s="33"/>
      <c r="P3250" s="33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  <c r="AB3250" s="33"/>
      <c r="AC3250" s="33"/>
      <c r="AD3250" s="33"/>
      <c r="AE3250" s="33"/>
      <c r="AF3250" s="33"/>
      <c r="AG3250" s="33"/>
      <c r="AH3250" s="33"/>
      <c r="AI3250" s="33"/>
      <c r="AJ3250" s="33"/>
      <c r="AK3250" s="33"/>
    </row>
    <row r="3251">
      <c r="A3251" s="33"/>
      <c r="B3251" s="33"/>
      <c r="C3251" s="33"/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  <c r="AB3251" s="33"/>
      <c r="AC3251" s="33"/>
      <c r="AD3251" s="33"/>
      <c r="AE3251" s="33"/>
      <c r="AF3251" s="33"/>
      <c r="AG3251" s="33"/>
      <c r="AH3251" s="33"/>
      <c r="AI3251" s="33"/>
      <c r="AJ3251" s="33"/>
      <c r="AK3251" s="33"/>
    </row>
    <row r="3252">
      <c r="A3252" s="33"/>
      <c r="B3252" s="33"/>
      <c r="C3252" s="33"/>
      <c r="D3252" s="33"/>
      <c r="E3252" s="33"/>
      <c r="F3252" s="33"/>
      <c r="G3252" s="33"/>
      <c r="H3252" s="33"/>
      <c r="I3252" s="33"/>
      <c r="J3252" s="33"/>
      <c r="K3252" s="33"/>
      <c r="L3252" s="33"/>
      <c r="M3252" s="33"/>
      <c r="N3252" s="33"/>
      <c r="O3252" s="33"/>
      <c r="P3252" s="33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  <c r="AB3252" s="33"/>
      <c r="AC3252" s="33"/>
      <c r="AD3252" s="33"/>
      <c r="AE3252" s="33"/>
      <c r="AF3252" s="33"/>
      <c r="AG3252" s="33"/>
      <c r="AH3252" s="33"/>
      <c r="AI3252" s="33"/>
      <c r="AJ3252" s="33"/>
      <c r="AK3252" s="33"/>
    </row>
    <row r="3253">
      <c r="A3253" s="33"/>
      <c r="B3253" s="33"/>
      <c r="C3253" s="33"/>
      <c r="D3253" s="33"/>
      <c r="E3253" s="33"/>
      <c r="F3253" s="33"/>
      <c r="G3253" s="33"/>
      <c r="H3253" s="33"/>
      <c r="I3253" s="33"/>
      <c r="J3253" s="33"/>
      <c r="K3253" s="33"/>
      <c r="L3253" s="33"/>
      <c r="M3253" s="33"/>
      <c r="N3253" s="33"/>
      <c r="O3253" s="33"/>
      <c r="P3253" s="33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  <c r="AB3253" s="33"/>
      <c r="AC3253" s="33"/>
      <c r="AD3253" s="33"/>
      <c r="AE3253" s="33"/>
      <c r="AF3253" s="33"/>
      <c r="AG3253" s="33"/>
      <c r="AH3253" s="33"/>
      <c r="AI3253" s="33"/>
      <c r="AJ3253" s="33"/>
      <c r="AK3253" s="33"/>
    </row>
    <row r="3254">
      <c r="A3254" s="33"/>
      <c r="B3254" s="33"/>
      <c r="C3254" s="33"/>
      <c r="D3254" s="33"/>
      <c r="E3254" s="33"/>
      <c r="F3254" s="33"/>
      <c r="G3254" s="33"/>
      <c r="H3254" s="33"/>
      <c r="I3254" s="33"/>
      <c r="J3254" s="33"/>
      <c r="K3254" s="33"/>
      <c r="L3254" s="33"/>
      <c r="M3254" s="33"/>
      <c r="N3254" s="33"/>
      <c r="O3254" s="33"/>
      <c r="P3254" s="33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  <c r="AB3254" s="33"/>
      <c r="AC3254" s="33"/>
      <c r="AD3254" s="33"/>
      <c r="AE3254" s="33"/>
      <c r="AF3254" s="33"/>
      <c r="AG3254" s="33"/>
      <c r="AH3254" s="33"/>
      <c r="AI3254" s="33"/>
      <c r="AJ3254" s="33"/>
      <c r="AK3254" s="33"/>
    </row>
    <row r="3255">
      <c r="A3255" s="33"/>
      <c r="B3255" s="33"/>
      <c r="C3255" s="33"/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  <c r="AB3255" s="33"/>
      <c r="AC3255" s="33"/>
      <c r="AD3255" s="33"/>
      <c r="AE3255" s="33"/>
      <c r="AF3255" s="33"/>
      <c r="AG3255" s="33"/>
      <c r="AH3255" s="33"/>
      <c r="AI3255" s="33"/>
      <c r="AJ3255" s="33"/>
      <c r="AK3255" s="33"/>
    </row>
    <row r="3256">
      <c r="A3256" s="33"/>
      <c r="B3256" s="33"/>
      <c r="C3256" s="33"/>
      <c r="D3256" s="33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33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  <c r="AB3256" s="33"/>
      <c r="AC3256" s="33"/>
      <c r="AD3256" s="33"/>
      <c r="AE3256" s="33"/>
      <c r="AF3256" s="33"/>
      <c r="AG3256" s="33"/>
      <c r="AH3256" s="33"/>
      <c r="AI3256" s="33"/>
      <c r="AJ3256" s="33"/>
      <c r="AK3256" s="33"/>
    </row>
    <row r="3257">
      <c r="A3257" s="33"/>
      <c r="B3257" s="33"/>
      <c r="C3257" s="33"/>
      <c r="D3257" s="33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  <c r="AB3257" s="33"/>
      <c r="AC3257" s="33"/>
      <c r="AD3257" s="33"/>
      <c r="AE3257" s="33"/>
      <c r="AF3257" s="33"/>
      <c r="AG3257" s="33"/>
      <c r="AH3257" s="33"/>
      <c r="AI3257" s="33"/>
      <c r="AJ3257" s="33"/>
      <c r="AK3257" s="33"/>
    </row>
    <row r="3258">
      <c r="A3258" s="33"/>
      <c r="B3258" s="33"/>
      <c r="C3258" s="33"/>
      <c r="D3258" s="33"/>
      <c r="E3258" s="33"/>
      <c r="F3258" s="33"/>
      <c r="G3258" s="33"/>
      <c r="H3258" s="33"/>
      <c r="I3258" s="33"/>
      <c r="J3258" s="33"/>
      <c r="K3258" s="33"/>
      <c r="L3258" s="33"/>
      <c r="M3258" s="33"/>
      <c r="N3258" s="33"/>
      <c r="O3258" s="33"/>
      <c r="P3258" s="33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  <c r="AB3258" s="33"/>
      <c r="AC3258" s="33"/>
      <c r="AD3258" s="33"/>
      <c r="AE3258" s="33"/>
      <c r="AF3258" s="33"/>
      <c r="AG3258" s="33"/>
      <c r="AH3258" s="33"/>
      <c r="AI3258" s="33"/>
      <c r="AJ3258" s="33"/>
      <c r="AK3258" s="33"/>
    </row>
    <row r="3259">
      <c r="A3259" s="33"/>
      <c r="B3259" s="33"/>
      <c r="C3259" s="33"/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  <c r="AB3259" s="33"/>
      <c r="AC3259" s="33"/>
      <c r="AD3259" s="33"/>
      <c r="AE3259" s="33"/>
      <c r="AF3259" s="33"/>
      <c r="AG3259" s="33"/>
      <c r="AH3259" s="33"/>
      <c r="AI3259" s="33"/>
      <c r="AJ3259" s="33"/>
      <c r="AK3259" s="33"/>
    </row>
    <row r="3260">
      <c r="A3260" s="33"/>
      <c r="B3260" s="33"/>
      <c r="C3260" s="33"/>
      <c r="D3260" s="33"/>
      <c r="E3260" s="33"/>
      <c r="F3260" s="33"/>
      <c r="G3260" s="33"/>
      <c r="H3260" s="33"/>
      <c r="I3260" s="33"/>
      <c r="J3260" s="33"/>
      <c r="K3260" s="33"/>
      <c r="L3260" s="33"/>
      <c r="M3260" s="33"/>
      <c r="N3260" s="33"/>
      <c r="O3260" s="33"/>
      <c r="P3260" s="33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  <c r="AB3260" s="33"/>
      <c r="AC3260" s="33"/>
      <c r="AD3260" s="33"/>
      <c r="AE3260" s="33"/>
      <c r="AF3260" s="33"/>
      <c r="AG3260" s="33"/>
      <c r="AH3260" s="33"/>
      <c r="AI3260" s="33"/>
      <c r="AJ3260" s="33"/>
      <c r="AK3260" s="33"/>
    </row>
    <row r="3261">
      <c r="A3261" s="33"/>
      <c r="B3261" s="33"/>
      <c r="C3261" s="33"/>
      <c r="D3261" s="33"/>
      <c r="E3261" s="33"/>
      <c r="F3261" s="33"/>
      <c r="G3261" s="33"/>
      <c r="H3261" s="33"/>
      <c r="I3261" s="33"/>
      <c r="J3261" s="33"/>
      <c r="K3261" s="33"/>
      <c r="L3261" s="33"/>
      <c r="M3261" s="33"/>
      <c r="N3261" s="33"/>
      <c r="O3261" s="33"/>
      <c r="P3261" s="33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  <c r="AB3261" s="33"/>
      <c r="AC3261" s="33"/>
      <c r="AD3261" s="33"/>
      <c r="AE3261" s="33"/>
      <c r="AF3261" s="33"/>
      <c r="AG3261" s="33"/>
      <c r="AH3261" s="33"/>
      <c r="AI3261" s="33"/>
      <c r="AJ3261" s="33"/>
      <c r="AK3261" s="33"/>
    </row>
    <row r="3262">
      <c r="A3262" s="33"/>
      <c r="B3262" s="33"/>
      <c r="C3262" s="33"/>
      <c r="D3262" s="33"/>
      <c r="E3262" s="33"/>
      <c r="F3262" s="33"/>
      <c r="G3262" s="33"/>
      <c r="H3262" s="33"/>
      <c r="I3262" s="33"/>
      <c r="J3262" s="33"/>
      <c r="K3262" s="33"/>
      <c r="L3262" s="33"/>
      <c r="M3262" s="33"/>
      <c r="N3262" s="33"/>
      <c r="O3262" s="33"/>
      <c r="P3262" s="33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  <c r="AB3262" s="33"/>
      <c r="AC3262" s="33"/>
      <c r="AD3262" s="33"/>
      <c r="AE3262" s="33"/>
      <c r="AF3262" s="33"/>
      <c r="AG3262" s="33"/>
      <c r="AH3262" s="33"/>
      <c r="AI3262" s="33"/>
      <c r="AJ3262" s="33"/>
      <c r="AK3262" s="33"/>
    </row>
    <row r="3263">
      <c r="A3263" s="33"/>
      <c r="B3263" s="33"/>
      <c r="C3263" s="33"/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  <c r="AB3263" s="33"/>
      <c r="AC3263" s="33"/>
      <c r="AD3263" s="33"/>
      <c r="AE3263" s="33"/>
      <c r="AF3263" s="33"/>
      <c r="AG3263" s="33"/>
      <c r="AH3263" s="33"/>
      <c r="AI3263" s="33"/>
      <c r="AJ3263" s="33"/>
      <c r="AK3263" s="33"/>
    </row>
    <row r="3264">
      <c r="A3264" s="33"/>
      <c r="B3264" s="33"/>
      <c r="C3264" s="33"/>
      <c r="D3264" s="33"/>
      <c r="E3264" s="33"/>
      <c r="F3264" s="33"/>
      <c r="G3264" s="33"/>
      <c r="H3264" s="33"/>
      <c r="I3264" s="33"/>
      <c r="J3264" s="33"/>
      <c r="K3264" s="33"/>
      <c r="L3264" s="33"/>
      <c r="M3264" s="33"/>
      <c r="N3264" s="33"/>
      <c r="O3264" s="33"/>
      <c r="P3264" s="33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  <c r="AB3264" s="33"/>
      <c r="AC3264" s="33"/>
      <c r="AD3264" s="33"/>
      <c r="AE3264" s="33"/>
      <c r="AF3264" s="33"/>
      <c r="AG3264" s="33"/>
      <c r="AH3264" s="33"/>
      <c r="AI3264" s="33"/>
      <c r="AJ3264" s="33"/>
      <c r="AK3264" s="33"/>
    </row>
    <row r="3265">
      <c r="A3265" s="33"/>
      <c r="B3265" s="33"/>
      <c r="C3265" s="33"/>
      <c r="D3265" s="33"/>
      <c r="E3265" s="33"/>
      <c r="F3265" s="33"/>
      <c r="G3265" s="33"/>
      <c r="H3265" s="33"/>
      <c r="I3265" s="33"/>
      <c r="J3265" s="33"/>
      <c r="K3265" s="33"/>
      <c r="L3265" s="33"/>
      <c r="M3265" s="33"/>
      <c r="N3265" s="33"/>
      <c r="O3265" s="33"/>
      <c r="P3265" s="33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  <c r="AB3265" s="33"/>
      <c r="AC3265" s="33"/>
      <c r="AD3265" s="33"/>
      <c r="AE3265" s="33"/>
      <c r="AF3265" s="33"/>
      <c r="AG3265" s="33"/>
      <c r="AH3265" s="33"/>
      <c r="AI3265" s="33"/>
      <c r="AJ3265" s="33"/>
      <c r="AK3265" s="33"/>
    </row>
    <row r="3266">
      <c r="A3266" s="33"/>
      <c r="B3266" s="33"/>
      <c r="C3266" s="33"/>
      <c r="D3266" s="33"/>
      <c r="E3266" s="33"/>
      <c r="F3266" s="33"/>
      <c r="G3266" s="33"/>
      <c r="H3266" s="33"/>
      <c r="I3266" s="33"/>
      <c r="J3266" s="33"/>
      <c r="K3266" s="33"/>
      <c r="L3266" s="33"/>
      <c r="M3266" s="33"/>
      <c r="N3266" s="33"/>
      <c r="O3266" s="33"/>
      <c r="P3266" s="33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  <c r="AB3266" s="33"/>
      <c r="AC3266" s="33"/>
      <c r="AD3266" s="33"/>
      <c r="AE3266" s="33"/>
      <c r="AF3266" s="33"/>
      <c r="AG3266" s="33"/>
      <c r="AH3266" s="33"/>
      <c r="AI3266" s="33"/>
      <c r="AJ3266" s="33"/>
      <c r="AK3266" s="33"/>
    </row>
    <row r="3267">
      <c r="A3267" s="33"/>
      <c r="B3267" s="33"/>
      <c r="C3267" s="33"/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  <c r="AB3267" s="33"/>
      <c r="AC3267" s="33"/>
      <c r="AD3267" s="33"/>
      <c r="AE3267" s="33"/>
      <c r="AF3267" s="33"/>
      <c r="AG3267" s="33"/>
      <c r="AH3267" s="33"/>
      <c r="AI3267" s="33"/>
      <c r="AJ3267" s="33"/>
      <c r="AK3267" s="33"/>
    </row>
    <row r="3268">
      <c r="A3268" s="33"/>
      <c r="B3268" s="33"/>
      <c r="C3268" s="33"/>
      <c r="D3268" s="33"/>
      <c r="E3268" s="33"/>
      <c r="F3268" s="33"/>
      <c r="G3268" s="33"/>
      <c r="H3268" s="33"/>
      <c r="I3268" s="33"/>
      <c r="J3268" s="33"/>
      <c r="K3268" s="33"/>
      <c r="L3268" s="33"/>
      <c r="M3268" s="33"/>
      <c r="N3268" s="33"/>
      <c r="O3268" s="33"/>
      <c r="P3268" s="33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  <c r="AB3268" s="33"/>
      <c r="AC3268" s="33"/>
      <c r="AD3268" s="33"/>
      <c r="AE3268" s="33"/>
      <c r="AF3268" s="33"/>
      <c r="AG3268" s="33"/>
      <c r="AH3268" s="33"/>
      <c r="AI3268" s="33"/>
      <c r="AJ3268" s="33"/>
      <c r="AK3268" s="33"/>
    </row>
    <row r="3269">
      <c r="A3269" s="33"/>
      <c r="B3269" s="33"/>
      <c r="C3269" s="33"/>
      <c r="D3269" s="33"/>
      <c r="E3269" s="33"/>
      <c r="F3269" s="33"/>
      <c r="G3269" s="33"/>
      <c r="H3269" s="33"/>
      <c r="I3269" s="33"/>
      <c r="J3269" s="33"/>
      <c r="K3269" s="33"/>
      <c r="L3269" s="33"/>
      <c r="M3269" s="33"/>
      <c r="N3269" s="33"/>
      <c r="O3269" s="33"/>
      <c r="P3269" s="33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  <c r="AB3269" s="33"/>
      <c r="AC3269" s="33"/>
      <c r="AD3269" s="33"/>
      <c r="AE3269" s="33"/>
      <c r="AF3269" s="33"/>
      <c r="AG3269" s="33"/>
      <c r="AH3269" s="33"/>
      <c r="AI3269" s="33"/>
      <c r="AJ3269" s="33"/>
      <c r="AK3269" s="33"/>
    </row>
    <row r="3270">
      <c r="A3270" s="33"/>
      <c r="B3270" s="33"/>
      <c r="C3270" s="33"/>
      <c r="D3270" s="33"/>
      <c r="E3270" s="33"/>
      <c r="F3270" s="33"/>
      <c r="G3270" s="33"/>
      <c r="H3270" s="33"/>
      <c r="I3270" s="33"/>
      <c r="J3270" s="33"/>
      <c r="K3270" s="33"/>
      <c r="L3270" s="33"/>
      <c r="M3270" s="33"/>
      <c r="N3270" s="33"/>
      <c r="O3270" s="33"/>
      <c r="P3270" s="33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  <c r="AB3270" s="33"/>
      <c r="AC3270" s="33"/>
      <c r="AD3270" s="33"/>
      <c r="AE3270" s="33"/>
      <c r="AF3270" s="33"/>
      <c r="AG3270" s="33"/>
      <c r="AH3270" s="33"/>
      <c r="AI3270" s="33"/>
      <c r="AJ3270" s="33"/>
      <c r="AK3270" s="33"/>
    </row>
    <row r="3271">
      <c r="A3271" s="33"/>
      <c r="B3271" s="33"/>
      <c r="C3271" s="33"/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  <c r="AB3271" s="33"/>
      <c r="AC3271" s="33"/>
      <c r="AD3271" s="33"/>
      <c r="AE3271" s="33"/>
      <c r="AF3271" s="33"/>
      <c r="AG3271" s="33"/>
      <c r="AH3271" s="33"/>
      <c r="AI3271" s="33"/>
      <c r="AJ3271" s="33"/>
      <c r="AK3271" s="33"/>
    </row>
    <row r="3272">
      <c r="A3272" s="33"/>
      <c r="B3272" s="33"/>
      <c r="C3272" s="33"/>
      <c r="D3272" s="33"/>
      <c r="E3272" s="33"/>
      <c r="F3272" s="33"/>
      <c r="G3272" s="33"/>
      <c r="H3272" s="33"/>
      <c r="I3272" s="33"/>
      <c r="J3272" s="33"/>
      <c r="K3272" s="33"/>
      <c r="L3272" s="33"/>
      <c r="M3272" s="33"/>
      <c r="N3272" s="33"/>
      <c r="O3272" s="33"/>
      <c r="P3272" s="33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  <c r="AB3272" s="33"/>
      <c r="AC3272" s="33"/>
      <c r="AD3272" s="33"/>
      <c r="AE3272" s="33"/>
      <c r="AF3272" s="33"/>
      <c r="AG3272" s="33"/>
      <c r="AH3272" s="33"/>
      <c r="AI3272" s="33"/>
      <c r="AJ3272" s="33"/>
      <c r="AK3272" s="33"/>
    </row>
    <row r="3273">
      <c r="A3273" s="33"/>
      <c r="B3273" s="33"/>
      <c r="C3273" s="33"/>
      <c r="D3273" s="33"/>
      <c r="E3273" s="33"/>
      <c r="F3273" s="33"/>
      <c r="G3273" s="33"/>
      <c r="H3273" s="33"/>
      <c r="I3273" s="33"/>
      <c r="J3273" s="33"/>
      <c r="K3273" s="33"/>
      <c r="L3273" s="33"/>
      <c r="M3273" s="33"/>
      <c r="N3273" s="33"/>
      <c r="O3273" s="33"/>
      <c r="P3273" s="33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  <c r="AB3273" s="33"/>
      <c r="AC3273" s="33"/>
      <c r="AD3273" s="33"/>
      <c r="AE3273" s="33"/>
      <c r="AF3273" s="33"/>
      <c r="AG3273" s="33"/>
      <c r="AH3273" s="33"/>
      <c r="AI3273" s="33"/>
      <c r="AJ3273" s="33"/>
      <c r="AK3273" s="33"/>
    </row>
    <row r="3274">
      <c r="A3274" s="33"/>
      <c r="B3274" s="33"/>
      <c r="C3274" s="33"/>
      <c r="D3274" s="33"/>
      <c r="E3274" s="33"/>
      <c r="F3274" s="33"/>
      <c r="G3274" s="33"/>
      <c r="H3274" s="33"/>
      <c r="I3274" s="33"/>
      <c r="J3274" s="33"/>
      <c r="K3274" s="33"/>
      <c r="L3274" s="33"/>
      <c r="M3274" s="33"/>
      <c r="N3274" s="33"/>
      <c r="O3274" s="33"/>
      <c r="P3274" s="33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  <c r="AB3274" s="33"/>
      <c r="AC3274" s="33"/>
      <c r="AD3274" s="33"/>
      <c r="AE3274" s="33"/>
      <c r="AF3274" s="33"/>
      <c r="AG3274" s="33"/>
      <c r="AH3274" s="33"/>
      <c r="AI3274" s="33"/>
      <c r="AJ3274" s="33"/>
      <c r="AK3274" s="33"/>
    </row>
    <row r="3275">
      <c r="A3275" s="33"/>
      <c r="B3275" s="33"/>
      <c r="C3275" s="33"/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  <c r="AB3275" s="33"/>
      <c r="AC3275" s="33"/>
      <c r="AD3275" s="33"/>
      <c r="AE3275" s="33"/>
      <c r="AF3275" s="33"/>
      <c r="AG3275" s="33"/>
      <c r="AH3275" s="33"/>
      <c r="AI3275" s="33"/>
      <c r="AJ3275" s="33"/>
      <c r="AK3275" s="33"/>
    </row>
    <row r="3276">
      <c r="A3276" s="33"/>
      <c r="B3276" s="33"/>
      <c r="C3276" s="33"/>
      <c r="D3276" s="33"/>
      <c r="E3276" s="33"/>
      <c r="F3276" s="33"/>
      <c r="G3276" s="33"/>
      <c r="H3276" s="33"/>
      <c r="I3276" s="33"/>
      <c r="J3276" s="33"/>
      <c r="K3276" s="33"/>
      <c r="L3276" s="33"/>
      <c r="M3276" s="33"/>
      <c r="N3276" s="33"/>
      <c r="O3276" s="33"/>
      <c r="P3276" s="33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  <c r="AB3276" s="33"/>
      <c r="AC3276" s="33"/>
      <c r="AD3276" s="33"/>
      <c r="AE3276" s="33"/>
      <c r="AF3276" s="33"/>
      <c r="AG3276" s="33"/>
      <c r="AH3276" s="33"/>
      <c r="AI3276" s="33"/>
      <c r="AJ3276" s="33"/>
      <c r="AK3276" s="33"/>
    </row>
    <row r="3277">
      <c r="A3277" s="33"/>
      <c r="B3277" s="33"/>
      <c r="C3277" s="33"/>
      <c r="D3277" s="33"/>
      <c r="E3277" s="33"/>
      <c r="F3277" s="33"/>
      <c r="G3277" s="33"/>
      <c r="H3277" s="33"/>
      <c r="I3277" s="33"/>
      <c r="J3277" s="33"/>
      <c r="K3277" s="33"/>
      <c r="L3277" s="33"/>
      <c r="M3277" s="33"/>
      <c r="N3277" s="33"/>
      <c r="O3277" s="33"/>
      <c r="P3277" s="33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  <c r="AB3277" s="33"/>
      <c r="AC3277" s="33"/>
      <c r="AD3277" s="33"/>
      <c r="AE3277" s="33"/>
      <c r="AF3277" s="33"/>
      <c r="AG3277" s="33"/>
      <c r="AH3277" s="33"/>
      <c r="AI3277" s="33"/>
      <c r="AJ3277" s="33"/>
      <c r="AK3277" s="33"/>
    </row>
    <row r="3278">
      <c r="A3278" s="33"/>
      <c r="B3278" s="33"/>
      <c r="C3278" s="33"/>
      <c r="D3278" s="33"/>
      <c r="E3278" s="33"/>
      <c r="F3278" s="33"/>
      <c r="G3278" s="33"/>
      <c r="H3278" s="33"/>
      <c r="I3278" s="33"/>
      <c r="J3278" s="33"/>
      <c r="K3278" s="33"/>
      <c r="L3278" s="33"/>
      <c r="M3278" s="33"/>
      <c r="N3278" s="33"/>
      <c r="O3278" s="33"/>
      <c r="P3278" s="33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  <c r="AB3278" s="33"/>
      <c r="AC3278" s="33"/>
      <c r="AD3278" s="33"/>
      <c r="AE3278" s="33"/>
      <c r="AF3278" s="33"/>
      <c r="AG3278" s="33"/>
      <c r="AH3278" s="33"/>
      <c r="AI3278" s="33"/>
      <c r="AJ3278" s="33"/>
      <c r="AK3278" s="33"/>
    </row>
    <row r="3279">
      <c r="A3279" s="33"/>
      <c r="B3279" s="33"/>
      <c r="C3279" s="33"/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  <c r="AB3279" s="33"/>
      <c r="AC3279" s="33"/>
      <c r="AD3279" s="33"/>
      <c r="AE3279" s="33"/>
      <c r="AF3279" s="33"/>
      <c r="AG3279" s="33"/>
      <c r="AH3279" s="33"/>
      <c r="AI3279" s="33"/>
      <c r="AJ3279" s="33"/>
      <c r="AK3279" s="33"/>
    </row>
    <row r="3280">
      <c r="A3280" s="33"/>
      <c r="B3280" s="33"/>
      <c r="C3280" s="33"/>
      <c r="D3280" s="33"/>
      <c r="E3280" s="33"/>
      <c r="F3280" s="33"/>
      <c r="G3280" s="33"/>
      <c r="H3280" s="33"/>
      <c r="I3280" s="33"/>
      <c r="J3280" s="33"/>
      <c r="K3280" s="33"/>
      <c r="L3280" s="33"/>
      <c r="M3280" s="33"/>
      <c r="N3280" s="33"/>
      <c r="O3280" s="33"/>
      <c r="P3280" s="33"/>
      <c r="Q3280" s="33"/>
      <c r="R3280" s="33"/>
      <c r="S3280" s="33"/>
      <c r="T3280" s="33"/>
      <c r="U3280" s="33"/>
      <c r="V3280" s="33"/>
      <c r="W3280" s="33"/>
      <c r="X3280" s="33"/>
      <c r="Y3280" s="33"/>
      <c r="Z3280" s="33"/>
      <c r="AA3280" s="33"/>
      <c r="AB3280" s="33"/>
      <c r="AC3280" s="33"/>
      <c r="AD3280" s="33"/>
      <c r="AE3280" s="33"/>
      <c r="AF3280" s="33"/>
      <c r="AG3280" s="33"/>
      <c r="AH3280" s="33"/>
      <c r="AI3280" s="33"/>
      <c r="AJ3280" s="33"/>
      <c r="AK3280" s="33"/>
    </row>
    <row r="3281">
      <c r="A3281" s="33"/>
      <c r="B3281" s="33"/>
      <c r="C3281" s="33"/>
      <c r="D3281" s="33"/>
      <c r="E3281" s="33"/>
      <c r="F3281" s="33"/>
      <c r="G3281" s="33"/>
      <c r="H3281" s="33"/>
      <c r="I3281" s="33"/>
      <c r="J3281" s="33"/>
      <c r="K3281" s="33"/>
      <c r="L3281" s="33"/>
      <c r="M3281" s="33"/>
      <c r="N3281" s="33"/>
      <c r="O3281" s="33"/>
      <c r="P3281" s="33"/>
      <c r="Q3281" s="33"/>
      <c r="R3281" s="33"/>
      <c r="S3281" s="33"/>
      <c r="T3281" s="33"/>
      <c r="U3281" s="33"/>
      <c r="V3281" s="33"/>
      <c r="W3281" s="33"/>
      <c r="X3281" s="33"/>
      <c r="Y3281" s="33"/>
      <c r="Z3281" s="33"/>
      <c r="AA3281" s="33"/>
      <c r="AB3281" s="33"/>
      <c r="AC3281" s="33"/>
      <c r="AD3281" s="33"/>
      <c r="AE3281" s="33"/>
      <c r="AF3281" s="33"/>
      <c r="AG3281" s="33"/>
      <c r="AH3281" s="33"/>
      <c r="AI3281" s="33"/>
      <c r="AJ3281" s="33"/>
      <c r="AK3281" s="33"/>
    </row>
    <row r="3282">
      <c r="A3282" s="33"/>
      <c r="B3282" s="33"/>
      <c r="C3282" s="33"/>
      <c r="D3282" s="33"/>
      <c r="E3282" s="33"/>
      <c r="F3282" s="33"/>
      <c r="G3282" s="33"/>
      <c r="H3282" s="33"/>
      <c r="I3282" s="33"/>
      <c r="J3282" s="33"/>
      <c r="K3282" s="33"/>
      <c r="L3282" s="33"/>
      <c r="M3282" s="33"/>
      <c r="N3282" s="33"/>
      <c r="O3282" s="33"/>
      <c r="P3282" s="33"/>
      <c r="Q3282" s="33"/>
      <c r="R3282" s="33"/>
      <c r="S3282" s="33"/>
      <c r="T3282" s="33"/>
      <c r="U3282" s="33"/>
      <c r="V3282" s="33"/>
      <c r="W3282" s="33"/>
      <c r="X3282" s="33"/>
      <c r="Y3282" s="33"/>
      <c r="Z3282" s="33"/>
      <c r="AA3282" s="33"/>
      <c r="AB3282" s="33"/>
      <c r="AC3282" s="33"/>
      <c r="AD3282" s="33"/>
      <c r="AE3282" s="33"/>
      <c r="AF3282" s="33"/>
      <c r="AG3282" s="33"/>
      <c r="AH3282" s="33"/>
      <c r="AI3282" s="33"/>
      <c r="AJ3282" s="33"/>
      <c r="AK3282" s="33"/>
    </row>
    <row r="3283">
      <c r="A3283" s="33"/>
      <c r="B3283" s="33"/>
      <c r="C3283" s="33"/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3"/>
      <c r="V3283" s="33"/>
      <c r="W3283" s="33"/>
      <c r="X3283" s="33"/>
      <c r="Y3283" s="33"/>
      <c r="Z3283" s="33"/>
      <c r="AA3283" s="33"/>
      <c r="AB3283" s="33"/>
      <c r="AC3283" s="33"/>
      <c r="AD3283" s="33"/>
      <c r="AE3283" s="33"/>
      <c r="AF3283" s="33"/>
      <c r="AG3283" s="33"/>
      <c r="AH3283" s="33"/>
      <c r="AI3283" s="33"/>
      <c r="AJ3283" s="33"/>
      <c r="AK3283" s="33"/>
    </row>
    <row r="3284">
      <c r="A3284" s="33"/>
      <c r="B3284" s="33"/>
      <c r="C3284" s="33"/>
      <c r="D3284" s="33"/>
      <c r="E3284" s="33"/>
      <c r="F3284" s="33"/>
      <c r="G3284" s="33"/>
      <c r="H3284" s="33"/>
      <c r="I3284" s="33"/>
      <c r="J3284" s="33"/>
      <c r="K3284" s="33"/>
      <c r="L3284" s="33"/>
      <c r="M3284" s="33"/>
      <c r="N3284" s="33"/>
      <c r="O3284" s="33"/>
      <c r="P3284" s="33"/>
      <c r="Q3284" s="33"/>
      <c r="R3284" s="33"/>
      <c r="S3284" s="33"/>
      <c r="T3284" s="33"/>
      <c r="U3284" s="33"/>
      <c r="V3284" s="33"/>
      <c r="W3284" s="33"/>
      <c r="X3284" s="33"/>
      <c r="Y3284" s="33"/>
      <c r="Z3284" s="33"/>
      <c r="AA3284" s="33"/>
      <c r="AB3284" s="33"/>
      <c r="AC3284" s="33"/>
      <c r="AD3284" s="33"/>
      <c r="AE3284" s="33"/>
      <c r="AF3284" s="33"/>
      <c r="AG3284" s="33"/>
      <c r="AH3284" s="33"/>
      <c r="AI3284" s="33"/>
      <c r="AJ3284" s="33"/>
      <c r="AK3284" s="33"/>
    </row>
    <row r="3285">
      <c r="A3285" s="33"/>
      <c r="B3285" s="33"/>
      <c r="C3285" s="33"/>
      <c r="D3285" s="33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33"/>
      <c r="Q3285" s="33"/>
      <c r="R3285" s="33"/>
      <c r="S3285" s="33"/>
      <c r="T3285" s="33"/>
      <c r="U3285" s="33"/>
      <c r="V3285" s="33"/>
      <c r="W3285" s="33"/>
      <c r="X3285" s="33"/>
      <c r="Y3285" s="33"/>
      <c r="Z3285" s="33"/>
      <c r="AA3285" s="33"/>
      <c r="AB3285" s="33"/>
      <c r="AC3285" s="33"/>
      <c r="AD3285" s="33"/>
      <c r="AE3285" s="33"/>
      <c r="AF3285" s="33"/>
      <c r="AG3285" s="33"/>
      <c r="AH3285" s="33"/>
      <c r="AI3285" s="33"/>
      <c r="AJ3285" s="33"/>
      <c r="AK3285" s="33"/>
    </row>
    <row r="3286">
      <c r="A3286" s="33"/>
      <c r="B3286" s="33"/>
      <c r="C3286" s="33"/>
      <c r="D3286" s="33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33"/>
      <c r="Q3286" s="33"/>
      <c r="R3286" s="33"/>
      <c r="S3286" s="33"/>
      <c r="T3286" s="33"/>
      <c r="U3286" s="33"/>
      <c r="V3286" s="33"/>
      <c r="W3286" s="33"/>
      <c r="X3286" s="33"/>
      <c r="Y3286" s="33"/>
      <c r="Z3286" s="33"/>
      <c r="AA3286" s="33"/>
      <c r="AB3286" s="33"/>
      <c r="AC3286" s="33"/>
      <c r="AD3286" s="33"/>
      <c r="AE3286" s="33"/>
      <c r="AF3286" s="33"/>
      <c r="AG3286" s="33"/>
      <c r="AH3286" s="33"/>
      <c r="AI3286" s="33"/>
      <c r="AJ3286" s="33"/>
      <c r="AK3286" s="33"/>
    </row>
    <row r="3287">
      <c r="A3287" s="33"/>
      <c r="B3287" s="33"/>
      <c r="C3287" s="33"/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3"/>
      <c r="V3287" s="33"/>
      <c r="W3287" s="33"/>
      <c r="X3287" s="33"/>
      <c r="Y3287" s="33"/>
      <c r="Z3287" s="33"/>
      <c r="AA3287" s="33"/>
      <c r="AB3287" s="33"/>
      <c r="AC3287" s="33"/>
      <c r="AD3287" s="33"/>
      <c r="AE3287" s="33"/>
      <c r="AF3287" s="33"/>
      <c r="AG3287" s="33"/>
      <c r="AH3287" s="33"/>
      <c r="AI3287" s="33"/>
      <c r="AJ3287" s="33"/>
      <c r="AK3287" s="33"/>
    </row>
    <row r="3288">
      <c r="A3288" s="33"/>
      <c r="B3288" s="33"/>
      <c r="C3288" s="33"/>
      <c r="D3288" s="33"/>
      <c r="E3288" s="33"/>
      <c r="F3288" s="33"/>
      <c r="G3288" s="33"/>
      <c r="H3288" s="33"/>
      <c r="I3288" s="33"/>
      <c r="J3288" s="33"/>
      <c r="K3288" s="33"/>
      <c r="L3288" s="33"/>
      <c r="M3288" s="33"/>
      <c r="N3288" s="33"/>
      <c r="O3288" s="33"/>
      <c r="P3288" s="33"/>
      <c r="Q3288" s="33"/>
      <c r="R3288" s="33"/>
      <c r="S3288" s="33"/>
      <c r="T3288" s="33"/>
      <c r="U3288" s="33"/>
      <c r="V3288" s="33"/>
      <c r="W3288" s="33"/>
      <c r="X3288" s="33"/>
      <c r="Y3288" s="33"/>
      <c r="Z3288" s="33"/>
      <c r="AA3288" s="33"/>
      <c r="AB3288" s="33"/>
      <c r="AC3288" s="33"/>
      <c r="AD3288" s="33"/>
      <c r="AE3288" s="33"/>
      <c r="AF3288" s="33"/>
      <c r="AG3288" s="33"/>
      <c r="AH3288" s="33"/>
      <c r="AI3288" s="33"/>
      <c r="AJ3288" s="33"/>
      <c r="AK3288" s="33"/>
    </row>
    <row r="3289">
      <c r="A3289" s="33"/>
      <c r="B3289" s="33"/>
      <c r="C3289" s="33"/>
      <c r="D3289" s="33"/>
      <c r="E3289" s="33"/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33"/>
      <c r="Q3289" s="33"/>
      <c r="R3289" s="33"/>
      <c r="S3289" s="33"/>
      <c r="T3289" s="33"/>
      <c r="U3289" s="33"/>
      <c r="V3289" s="33"/>
      <c r="W3289" s="33"/>
      <c r="X3289" s="33"/>
      <c r="Y3289" s="33"/>
      <c r="Z3289" s="33"/>
      <c r="AA3289" s="33"/>
      <c r="AB3289" s="33"/>
      <c r="AC3289" s="33"/>
      <c r="AD3289" s="33"/>
      <c r="AE3289" s="33"/>
      <c r="AF3289" s="33"/>
      <c r="AG3289" s="33"/>
      <c r="AH3289" s="33"/>
      <c r="AI3289" s="33"/>
      <c r="AJ3289" s="33"/>
      <c r="AK3289" s="33"/>
    </row>
    <row r="3290">
      <c r="A3290" s="33"/>
      <c r="B3290" s="33"/>
      <c r="C3290" s="33"/>
      <c r="D3290" s="33"/>
      <c r="E3290" s="33"/>
      <c r="F3290" s="33"/>
      <c r="G3290" s="33"/>
      <c r="H3290" s="33"/>
      <c r="I3290" s="33"/>
      <c r="J3290" s="33"/>
      <c r="K3290" s="33"/>
      <c r="L3290" s="33"/>
      <c r="M3290" s="33"/>
      <c r="N3290" s="33"/>
      <c r="O3290" s="33"/>
      <c r="P3290" s="33"/>
      <c r="Q3290" s="33"/>
      <c r="R3290" s="33"/>
      <c r="S3290" s="33"/>
      <c r="T3290" s="33"/>
      <c r="U3290" s="33"/>
      <c r="V3290" s="33"/>
      <c r="W3290" s="33"/>
      <c r="X3290" s="33"/>
      <c r="Y3290" s="33"/>
      <c r="Z3290" s="33"/>
      <c r="AA3290" s="33"/>
      <c r="AB3290" s="33"/>
      <c r="AC3290" s="33"/>
      <c r="AD3290" s="33"/>
      <c r="AE3290" s="33"/>
      <c r="AF3290" s="33"/>
      <c r="AG3290" s="33"/>
      <c r="AH3290" s="33"/>
      <c r="AI3290" s="33"/>
      <c r="AJ3290" s="33"/>
      <c r="AK3290" s="33"/>
    </row>
    <row r="3291">
      <c r="A3291" s="33"/>
      <c r="B3291" s="33"/>
      <c r="C3291" s="33"/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33"/>
      <c r="V3291" s="33"/>
      <c r="W3291" s="33"/>
      <c r="X3291" s="33"/>
      <c r="Y3291" s="33"/>
      <c r="Z3291" s="33"/>
      <c r="AA3291" s="33"/>
      <c r="AB3291" s="33"/>
      <c r="AC3291" s="33"/>
      <c r="AD3291" s="33"/>
      <c r="AE3291" s="33"/>
      <c r="AF3291" s="33"/>
      <c r="AG3291" s="33"/>
      <c r="AH3291" s="33"/>
      <c r="AI3291" s="33"/>
      <c r="AJ3291" s="33"/>
      <c r="AK3291" s="33"/>
    </row>
    <row r="3292">
      <c r="A3292" s="33"/>
      <c r="B3292" s="33"/>
      <c r="C3292" s="33"/>
      <c r="D3292" s="33"/>
      <c r="E3292" s="33"/>
      <c r="F3292" s="33"/>
      <c r="G3292" s="33"/>
      <c r="H3292" s="33"/>
      <c r="I3292" s="33"/>
      <c r="J3292" s="33"/>
      <c r="K3292" s="33"/>
      <c r="L3292" s="33"/>
      <c r="M3292" s="33"/>
      <c r="N3292" s="33"/>
      <c r="O3292" s="33"/>
      <c r="P3292" s="33"/>
      <c r="Q3292" s="33"/>
      <c r="R3292" s="33"/>
      <c r="S3292" s="33"/>
      <c r="T3292" s="33"/>
      <c r="U3292" s="33"/>
      <c r="V3292" s="33"/>
      <c r="W3292" s="33"/>
      <c r="X3292" s="33"/>
      <c r="Y3292" s="33"/>
      <c r="Z3292" s="33"/>
      <c r="AA3292" s="33"/>
      <c r="AB3292" s="33"/>
      <c r="AC3292" s="33"/>
      <c r="AD3292" s="33"/>
      <c r="AE3292" s="33"/>
      <c r="AF3292" s="33"/>
      <c r="AG3292" s="33"/>
      <c r="AH3292" s="33"/>
      <c r="AI3292" s="33"/>
      <c r="AJ3292" s="33"/>
      <c r="AK3292" s="33"/>
    </row>
    <row r="3293">
      <c r="A3293" s="33"/>
      <c r="B3293" s="33"/>
      <c r="C3293" s="33"/>
      <c r="D3293" s="33"/>
      <c r="E3293" s="33"/>
      <c r="F3293" s="33"/>
      <c r="G3293" s="33"/>
      <c r="H3293" s="33"/>
      <c r="I3293" s="33"/>
      <c r="J3293" s="33"/>
      <c r="K3293" s="33"/>
      <c r="L3293" s="33"/>
      <c r="M3293" s="33"/>
      <c r="N3293" s="33"/>
      <c r="O3293" s="33"/>
      <c r="P3293" s="33"/>
      <c r="Q3293" s="33"/>
      <c r="R3293" s="33"/>
      <c r="S3293" s="33"/>
      <c r="T3293" s="33"/>
      <c r="U3293" s="33"/>
      <c r="V3293" s="33"/>
      <c r="W3293" s="33"/>
      <c r="X3293" s="33"/>
      <c r="Y3293" s="33"/>
      <c r="Z3293" s="33"/>
      <c r="AA3293" s="33"/>
      <c r="AB3293" s="33"/>
      <c r="AC3293" s="33"/>
      <c r="AD3293" s="33"/>
      <c r="AE3293" s="33"/>
      <c r="AF3293" s="33"/>
      <c r="AG3293" s="33"/>
      <c r="AH3293" s="33"/>
      <c r="AI3293" s="33"/>
      <c r="AJ3293" s="33"/>
      <c r="AK3293" s="33"/>
    </row>
    <row r="3294">
      <c r="A3294" s="33"/>
      <c r="B3294" s="33"/>
      <c r="C3294" s="33"/>
      <c r="D3294" s="33"/>
      <c r="E3294" s="33"/>
      <c r="F3294" s="33"/>
      <c r="G3294" s="33"/>
      <c r="H3294" s="33"/>
      <c r="I3294" s="33"/>
      <c r="J3294" s="33"/>
      <c r="K3294" s="33"/>
      <c r="L3294" s="33"/>
      <c r="M3294" s="33"/>
      <c r="N3294" s="33"/>
      <c r="O3294" s="33"/>
      <c r="P3294" s="33"/>
      <c r="Q3294" s="33"/>
      <c r="R3294" s="33"/>
      <c r="S3294" s="33"/>
      <c r="T3294" s="33"/>
      <c r="U3294" s="33"/>
      <c r="V3294" s="33"/>
      <c r="W3294" s="33"/>
      <c r="X3294" s="33"/>
      <c r="Y3294" s="33"/>
      <c r="Z3294" s="33"/>
      <c r="AA3294" s="33"/>
      <c r="AB3294" s="33"/>
      <c r="AC3294" s="33"/>
      <c r="AD3294" s="33"/>
      <c r="AE3294" s="33"/>
      <c r="AF3294" s="33"/>
      <c r="AG3294" s="33"/>
      <c r="AH3294" s="33"/>
      <c r="AI3294" s="33"/>
      <c r="AJ3294" s="33"/>
      <c r="AK3294" s="33"/>
    </row>
    <row r="3295">
      <c r="A3295" s="33"/>
      <c r="B3295" s="33"/>
      <c r="C3295" s="33"/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33"/>
      <c r="V3295" s="33"/>
      <c r="W3295" s="33"/>
      <c r="X3295" s="33"/>
      <c r="Y3295" s="33"/>
      <c r="Z3295" s="33"/>
      <c r="AA3295" s="33"/>
      <c r="AB3295" s="33"/>
      <c r="AC3295" s="33"/>
      <c r="AD3295" s="33"/>
      <c r="AE3295" s="33"/>
      <c r="AF3295" s="33"/>
      <c r="AG3295" s="33"/>
      <c r="AH3295" s="33"/>
      <c r="AI3295" s="33"/>
      <c r="AJ3295" s="33"/>
      <c r="AK3295" s="33"/>
    </row>
    <row r="3296">
      <c r="A3296" s="33"/>
      <c r="B3296" s="33"/>
      <c r="C3296" s="33"/>
      <c r="D3296" s="33"/>
      <c r="E3296" s="33"/>
      <c r="F3296" s="33"/>
      <c r="G3296" s="33"/>
      <c r="H3296" s="33"/>
      <c r="I3296" s="33"/>
      <c r="J3296" s="33"/>
      <c r="K3296" s="33"/>
      <c r="L3296" s="33"/>
      <c r="M3296" s="33"/>
      <c r="N3296" s="33"/>
      <c r="O3296" s="33"/>
      <c r="P3296" s="33"/>
      <c r="Q3296" s="33"/>
      <c r="R3296" s="33"/>
      <c r="S3296" s="33"/>
      <c r="T3296" s="33"/>
      <c r="U3296" s="33"/>
      <c r="V3296" s="33"/>
      <c r="W3296" s="33"/>
      <c r="X3296" s="33"/>
      <c r="Y3296" s="33"/>
      <c r="Z3296" s="33"/>
      <c r="AA3296" s="33"/>
      <c r="AB3296" s="33"/>
      <c r="AC3296" s="33"/>
      <c r="AD3296" s="33"/>
      <c r="AE3296" s="33"/>
      <c r="AF3296" s="33"/>
      <c r="AG3296" s="33"/>
      <c r="AH3296" s="33"/>
      <c r="AI3296" s="33"/>
      <c r="AJ3296" s="33"/>
      <c r="AK3296" s="33"/>
    </row>
    <row r="3297">
      <c r="A3297" s="33"/>
      <c r="B3297" s="33"/>
      <c r="C3297" s="33"/>
      <c r="D3297" s="33"/>
      <c r="E3297" s="33"/>
      <c r="F3297" s="33"/>
      <c r="G3297" s="33"/>
      <c r="H3297" s="33"/>
      <c r="I3297" s="33"/>
      <c r="J3297" s="33"/>
      <c r="K3297" s="33"/>
      <c r="L3297" s="33"/>
      <c r="M3297" s="33"/>
      <c r="N3297" s="33"/>
      <c r="O3297" s="33"/>
      <c r="P3297" s="33"/>
      <c r="Q3297" s="33"/>
      <c r="R3297" s="33"/>
      <c r="S3297" s="33"/>
      <c r="T3297" s="33"/>
      <c r="U3297" s="33"/>
      <c r="V3297" s="33"/>
      <c r="W3297" s="33"/>
      <c r="X3297" s="33"/>
      <c r="Y3297" s="33"/>
      <c r="Z3297" s="33"/>
      <c r="AA3297" s="33"/>
      <c r="AB3297" s="33"/>
      <c r="AC3297" s="33"/>
      <c r="AD3297" s="33"/>
      <c r="AE3297" s="33"/>
      <c r="AF3297" s="33"/>
      <c r="AG3297" s="33"/>
      <c r="AH3297" s="33"/>
      <c r="AI3297" s="33"/>
      <c r="AJ3297" s="33"/>
      <c r="AK3297" s="33"/>
    </row>
    <row r="3298">
      <c r="A3298" s="33"/>
      <c r="B3298" s="33"/>
      <c r="C3298" s="33"/>
      <c r="D3298" s="33"/>
      <c r="E3298" s="33"/>
      <c r="F3298" s="33"/>
      <c r="G3298" s="33"/>
      <c r="H3298" s="33"/>
      <c r="I3298" s="33"/>
      <c r="J3298" s="33"/>
      <c r="K3298" s="33"/>
      <c r="L3298" s="33"/>
      <c r="M3298" s="33"/>
      <c r="N3298" s="33"/>
      <c r="O3298" s="33"/>
      <c r="P3298" s="33"/>
      <c r="Q3298" s="33"/>
      <c r="R3298" s="33"/>
      <c r="S3298" s="33"/>
      <c r="T3298" s="33"/>
      <c r="U3298" s="33"/>
      <c r="V3298" s="33"/>
      <c r="W3298" s="33"/>
      <c r="X3298" s="33"/>
      <c r="Y3298" s="33"/>
      <c r="Z3298" s="33"/>
      <c r="AA3298" s="33"/>
      <c r="AB3298" s="33"/>
      <c r="AC3298" s="33"/>
      <c r="AD3298" s="33"/>
      <c r="AE3298" s="33"/>
      <c r="AF3298" s="33"/>
      <c r="AG3298" s="33"/>
      <c r="AH3298" s="33"/>
      <c r="AI3298" s="33"/>
      <c r="AJ3298" s="33"/>
      <c r="AK3298" s="33"/>
    </row>
    <row r="3299">
      <c r="A3299" s="33"/>
      <c r="B3299" s="33"/>
      <c r="C3299" s="33"/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33"/>
      <c r="V3299" s="33"/>
      <c r="W3299" s="33"/>
      <c r="X3299" s="33"/>
      <c r="Y3299" s="33"/>
      <c r="Z3299" s="33"/>
      <c r="AA3299" s="33"/>
      <c r="AB3299" s="33"/>
      <c r="AC3299" s="33"/>
      <c r="AD3299" s="33"/>
      <c r="AE3299" s="33"/>
      <c r="AF3299" s="33"/>
      <c r="AG3299" s="33"/>
      <c r="AH3299" s="33"/>
      <c r="AI3299" s="33"/>
      <c r="AJ3299" s="33"/>
      <c r="AK3299" s="33"/>
    </row>
    <row r="3300">
      <c r="A3300" s="33"/>
      <c r="B3300" s="33"/>
      <c r="C3300" s="33"/>
      <c r="D3300" s="33"/>
      <c r="E3300" s="33"/>
      <c r="F3300" s="33"/>
      <c r="G3300" s="33"/>
      <c r="H3300" s="33"/>
      <c r="I3300" s="33"/>
      <c r="J3300" s="33"/>
      <c r="K3300" s="33"/>
      <c r="L3300" s="33"/>
      <c r="M3300" s="33"/>
      <c r="N3300" s="33"/>
      <c r="O3300" s="33"/>
      <c r="P3300" s="33"/>
      <c r="Q3300" s="33"/>
      <c r="R3300" s="33"/>
      <c r="S3300" s="33"/>
      <c r="T3300" s="33"/>
      <c r="U3300" s="33"/>
      <c r="V3300" s="33"/>
      <c r="W3300" s="33"/>
      <c r="X3300" s="33"/>
      <c r="Y3300" s="33"/>
      <c r="Z3300" s="33"/>
      <c r="AA3300" s="33"/>
      <c r="AB3300" s="33"/>
      <c r="AC3300" s="33"/>
      <c r="AD3300" s="33"/>
      <c r="AE3300" s="33"/>
      <c r="AF3300" s="33"/>
      <c r="AG3300" s="33"/>
      <c r="AH3300" s="33"/>
      <c r="AI3300" s="33"/>
      <c r="AJ3300" s="33"/>
      <c r="AK3300" s="33"/>
    </row>
    <row r="3301">
      <c r="A3301" s="33"/>
      <c r="B3301" s="33"/>
      <c r="C3301" s="33"/>
      <c r="D3301" s="33"/>
      <c r="E3301" s="33"/>
      <c r="F3301" s="33"/>
      <c r="G3301" s="33"/>
      <c r="H3301" s="33"/>
      <c r="I3301" s="33"/>
      <c r="J3301" s="33"/>
      <c r="K3301" s="33"/>
      <c r="L3301" s="33"/>
      <c r="M3301" s="33"/>
      <c r="N3301" s="33"/>
      <c r="O3301" s="33"/>
      <c r="P3301" s="33"/>
      <c r="Q3301" s="33"/>
      <c r="R3301" s="33"/>
      <c r="S3301" s="33"/>
      <c r="T3301" s="33"/>
      <c r="U3301" s="33"/>
      <c r="V3301" s="33"/>
      <c r="W3301" s="33"/>
      <c r="X3301" s="33"/>
      <c r="Y3301" s="33"/>
      <c r="Z3301" s="33"/>
      <c r="AA3301" s="33"/>
      <c r="AB3301" s="33"/>
      <c r="AC3301" s="33"/>
      <c r="AD3301" s="33"/>
      <c r="AE3301" s="33"/>
      <c r="AF3301" s="33"/>
      <c r="AG3301" s="33"/>
      <c r="AH3301" s="33"/>
      <c r="AI3301" s="33"/>
      <c r="AJ3301" s="33"/>
      <c r="AK3301" s="33"/>
    </row>
    <row r="3302">
      <c r="A3302" s="33"/>
      <c r="B3302" s="33"/>
      <c r="C3302" s="33"/>
      <c r="D3302" s="33"/>
      <c r="E3302" s="33"/>
      <c r="F3302" s="33"/>
      <c r="G3302" s="33"/>
      <c r="H3302" s="33"/>
      <c r="I3302" s="33"/>
      <c r="J3302" s="33"/>
      <c r="K3302" s="33"/>
      <c r="L3302" s="33"/>
      <c r="M3302" s="33"/>
      <c r="N3302" s="33"/>
      <c r="O3302" s="33"/>
      <c r="P3302" s="33"/>
      <c r="Q3302" s="33"/>
      <c r="R3302" s="33"/>
      <c r="S3302" s="33"/>
      <c r="T3302" s="33"/>
      <c r="U3302" s="33"/>
      <c r="V3302" s="33"/>
      <c r="W3302" s="33"/>
      <c r="X3302" s="33"/>
      <c r="Y3302" s="33"/>
      <c r="Z3302" s="33"/>
      <c r="AA3302" s="33"/>
      <c r="AB3302" s="33"/>
      <c r="AC3302" s="33"/>
      <c r="AD3302" s="33"/>
      <c r="AE3302" s="33"/>
      <c r="AF3302" s="33"/>
      <c r="AG3302" s="33"/>
      <c r="AH3302" s="33"/>
      <c r="AI3302" s="33"/>
      <c r="AJ3302" s="33"/>
      <c r="AK3302" s="33"/>
    </row>
    <row r="3303">
      <c r="A3303" s="33"/>
      <c r="B3303" s="33"/>
      <c r="C3303" s="33"/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33"/>
      <c r="V3303" s="33"/>
      <c r="W3303" s="33"/>
      <c r="X3303" s="33"/>
      <c r="Y3303" s="33"/>
      <c r="Z3303" s="33"/>
      <c r="AA3303" s="33"/>
      <c r="AB3303" s="33"/>
      <c r="AC3303" s="33"/>
      <c r="AD3303" s="33"/>
      <c r="AE3303" s="33"/>
      <c r="AF3303" s="33"/>
      <c r="AG3303" s="33"/>
      <c r="AH3303" s="33"/>
      <c r="AI3303" s="33"/>
      <c r="AJ3303" s="33"/>
      <c r="AK3303" s="33"/>
    </row>
    <row r="3304">
      <c r="A3304" s="33"/>
      <c r="B3304" s="33"/>
      <c r="C3304" s="33"/>
      <c r="D3304" s="33"/>
      <c r="E3304" s="33"/>
      <c r="F3304" s="33"/>
      <c r="G3304" s="33"/>
      <c r="H3304" s="33"/>
      <c r="I3304" s="33"/>
      <c r="J3304" s="33"/>
      <c r="K3304" s="33"/>
      <c r="L3304" s="33"/>
      <c r="M3304" s="33"/>
      <c r="N3304" s="33"/>
      <c r="O3304" s="33"/>
      <c r="P3304" s="33"/>
      <c r="Q3304" s="33"/>
      <c r="R3304" s="33"/>
      <c r="S3304" s="33"/>
      <c r="T3304" s="33"/>
      <c r="U3304" s="33"/>
      <c r="V3304" s="33"/>
      <c r="W3304" s="33"/>
      <c r="X3304" s="33"/>
      <c r="Y3304" s="33"/>
      <c r="Z3304" s="33"/>
      <c r="AA3304" s="33"/>
      <c r="AB3304" s="33"/>
      <c r="AC3304" s="33"/>
      <c r="AD3304" s="33"/>
      <c r="AE3304" s="33"/>
      <c r="AF3304" s="33"/>
      <c r="AG3304" s="33"/>
      <c r="AH3304" s="33"/>
      <c r="AI3304" s="33"/>
      <c r="AJ3304" s="33"/>
      <c r="AK3304" s="33"/>
    </row>
    <row r="3305">
      <c r="A3305" s="33"/>
      <c r="B3305" s="33"/>
      <c r="C3305" s="33"/>
      <c r="D3305" s="33"/>
      <c r="E3305" s="33"/>
      <c r="F3305" s="33"/>
      <c r="G3305" s="33"/>
      <c r="H3305" s="33"/>
      <c r="I3305" s="33"/>
      <c r="J3305" s="33"/>
      <c r="K3305" s="33"/>
      <c r="L3305" s="33"/>
      <c r="M3305" s="33"/>
      <c r="N3305" s="33"/>
      <c r="O3305" s="33"/>
      <c r="P3305" s="33"/>
      <c r="Q3305" s="33"/>
      <c r="R3305" s="33"/>
      <c r="S3305" s="33"/>
      <c r="T3305" s="33"/>
      <c r="U3305" s="33"/>
      <c r="V3305" s="33"/>
      <c r="W3305" s="33"/>
      <c r="X3305" s="33"/>
      <c r="Y3305" s="33"/>
      <c r="Z3305" s="33"/>
      <c r="AA3305" s="33"/>
      <c r="AB3305" s="33"/>
      <c r="AC3305" s="33"/>
      <c r="AD3305" s="33"/>
      <c r="AE3305" s="33"/>
      <c r="AF3305" s="33"/>
      <c r="AG3305" s="33"/>
      <c r="AH3305" s="33"/>
      <c r="AI3305" s="33"/>
      <c r="AJ3305" s="33"/>
      <c r="AK3305" s="33"/>
    </row>
    <row r="3306">
      <c r="A3306" s="33"/>
      <c r="B3306" s="33"/>
      <c r="C3306" s="33"/>
      <c r="D3306" s="33"/>
      <c r="E3306" s="33"/>
      <c r="F3306" s="33"/>
      <c r="G3306" s="33"/>
      <c r="H3306" s="33"/>
      <c r="I3306" s="33"/>
      <c r="J3306" s="33"/>
      <c r="K3306" s="33"/>
      <c r="L3306" s="33"/>
      <c r="M3306" s="33"/>
      <c r="N3306" s="33"/>
      <c r="O3306" s="33"/>
      <c r="P3306" s="33"/>
      <c r="Q3306" s="33"/>
      <c r="R3306" s="33"/>
      <c r="S3306" s="33"/>
      <c r="T3306" s="33"/>
      <c r="U3306" s="33"/>
      <c r="V3306" s="33"/>
      <c r="W3306" s="33"/>
      <c r="X3306" s="33"/>
      <c r="Y3306" s="33"/>
      <c r="Z3306" s="33"/>
      <c r="AA3306" s="33"/>
      <c r="AB3306" s="33"/>
      <c r="AC3306" s="33"/>
      <c r="AD3306" s="33"/>
      <c r="AE3306" s="33"/>
      <c r="AF3306" s="33"/>
      <c r="AG3306" s="33"/>
      <c r="AH3306" s="33"/>
      <c r="AI3306" s="33"/>
      <c r="AJ3306" s="33"/>
      <c r="AK3306" s="33"/>
    </row>
    <row r="3307">
      <c r="A3307" s="33"/>
      <c r="B3307" s="33"/>
      <c r="C3307" s="33"/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33"/>
      <c r="V3307" s="33"/>
      <c r="W3307" s="33"/>
      <c r="X3307" s="33"/>
      <c r="Y3307" s="33"/>
      <c r="Z3307" s="33"/>
      <c r="AA3307" s="33"/>
      <c r="AB3307" s="33"/>
      <c r="AC3307" s="33"/>
      <c r="AD3307" s="33"/>
      <c r="AE3307" s="33"/>
      <c r="AF3307" s="33"/>
      <c r="AG3307" s="33"/>
      <c r="AH3307" s="33"/>
      <c r="AI3307" s="33"/>
      <c r="AJ3307" s="33"/>
      <c r="AK3307" s="33"/>
    </row>
    <row r="3308">
      <c r="A3308" s="33"/>
      <c r="B3308" s="33"/>
      <c r="C3308" s="33"/>
      <c r="D3308" s="33"/>
      <c r="E3308" s="33"/>
      <c r="F3308" s="33"/>
      <c r="G3308" s="33"/>
      <c r="H3308" s="33"/>
      <c r="I3308" s="33"/>
      <c r="J3308" s="33"/>
      <c r="K3308" s="33"/>
      <c r="L3308" s="33"/>
      <c r="M3308" s="33"/>
      <c r="N3308" s="33"/>
      <c r="O3308" s="33"/>
      <c r="P3308" s="33"/>
      <c r="Q3308" s="33"/>
      <c r="R3308" s="33"/>
      <c r="S3308" s="33"/>
      <c r="T3308" s="33"/>
      <c r="U3308" s="33"/>
      <c r="V3308" s="33"/>
      <c r="W3308" s="33"/>
      <c r="X3308" s="33"/>
      <c r="Y3308" s="33"/>
      <c r="Z3308" s="33"/>
      <c r="AA3308" s="33"/>
      <c r="AB3308" s="33"/>
      <c r="AC3308" s="33"/>
      <c r="AD3308" s="33"/>
      <c r="AE3308" s="33"/>
      <c r="AF3308" s="33"/>
      <c r="AG3308" s="33"/>
      <c r="AH3308" s="33"/>
      <c r="AI3308" s="33"/>
      <c r="AJ3308" s="33"/>
      <c r="AK3308" s="33"/>
    </row>
    <row r="3309">
      <c r="A3309" s="33"/>
      <c r="B3309" s="33"/>
      <c r="C3309" s="33"/>
      <c r="D3309" s="33"/>
      <c r="E3309" s="33"/>
      <c r="F3309" s="33"/>
      <c r="G3309" s="33"/>
      <c r="H3309" s="33"/>
      <c r="I3309" s="33"/>
      <c r="J3309" s="33"/>
      <c r="K3309" s="33"/>
      <c r="L3309" s="33"/>
      <c r="M3309" s="33"/>
      <c r="N3309" s="33"/>
      <c r="O3309" s="33"/>
      <c r="P3309" s="33"/>
      <c r="Q3309" s="33"/>
      <c r="R3309" s="33"/>
      <c r="S3309" s="33"/>
      <c r="T3309" s="33"/>
      <c r="U3309" s="33"/>
      <c r="V3309" s="33"/>
      <c r="W3309" s="33"/>
      <c r="X3309" s="33"/>
      <c r="Y3309" s="33"/>
      <c r="Z3309" s="33"/>
      <c r="AA3309" s="33"/>
      <c r="AB3309" s="33"/>
      <c r="AC3309" s="33"/>
      <c r="AD3309" s="33"/>
      <c r="AE3309" s="33"/>
      <c r="AF3309" s="33"/>
      <c r="AG3309" s="33"/>
      <c r="AH3309" s="33"/>
      <c r="AI3309" s="33"/>
      <c r="AJ3309" s="33"/>
      <c r="AK3309" s="33"/>
    </row>
    <row r="3310">
      <c r="A3310" s="33"/>
      <c r="B3310" s="33"/>
      <c r="C3310" s="33"/>
      <c r="D3310" s="33"/>
      <c r="E3310" s="33"/>
      <c r="F3310" s="33"/>
      <c r="G3310" s="33"/>
      <c r="H3310" s="33"/>
      <c r="I3310" s="33"/>
      <c r="J3310" s="33"/>
      <c r="K3310" s="33"/>
      <c r="L3310" s="33"/>
      <c r="M3310" s="33"/>
      <c r="N3310" s="33"/>
      <c r="O3310" s="33"/>
      <c r="P3310" s="33"/>
      <c r="Q3310" s="33"/>
      <c r="R3310" s="33"/>
      <c r="S3310" s="33"/>
      <c r="T3310" s="33"/>
      <c r="U3310" s="33"/>
      <c r="V3310" s="33"/>
      <c r="W3310" s="33"/>
      <c r="X3310" s="33"/>
      <c r="Y3310" s="33"/>
      <c r="Z3310" s="33"/>
      <c r="AA3310" s="33"/>
      <c r="AB3310" s="33"/>
      <c r="AC3310" s="33"/>
      <c r="AD3310" s="33"/>
      <c r="AE3310" s="33"/>
      <c r="AF3310" s="33"/>
      <c r="AG3310" s="33"/>
      <c r="AH3310" s="33"/>
      <c r="AI3310" s="33"/>
      <c r="AJ3310" s="33"/>
      <c r="AK3310" s="33"/>
    </row>
    <row r="3311">
      <c r="A3311" s="33"/>
      <c r="B3311" s="33"/>
      <c r="C3311" s="33"/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33"/>
      <c r="V3311" s="33"/>
      <c r="W3311" s="33"/>
      <c r="X3311" s="33"/>
      <c r="Y3311" s="33"/>
      <c r="Z3311" s="33"/>
      <c r="AA3311" s="33"/>
      <c r="AB3311" s="33"/>
      <c r="AC3311" s="33"/>
      <c r="AD3311" s="33"/>
      <c r="AE3311" s="33"/>
      <c r="AF3311" s="33"/>
      <c r="AG3311" s="33"/>
      <c r="AH3311" s="33"/>
      <c r="AI3311" s="33"/>
      <c r="AJ3311" s="33"/>
      <c r="AK3311" s="33"/>
    </row>
    <row r="3312">
      <c r="A3312" s="33"/>
      <c r="B3312" s="33"/>
      <c r="C3312" s="33"/>
      <c r="D3312" s="33"/>
      <c r="E3312" s="33"/>
      <c r="F3312" s="33"/>
      <c r="G3312" s="33"/>
      <c r="H3312" s="33"/>
      <c r="I3312" s="33"/>
      <c r="J3312" s="33"/>
      <c r="K3312" s="33"/>
      <c r="L3312" s="33"/>
      <c r="M3312" s="33"/>
      <c r="N3312" s="33"/>
      <c r="O3312" s="33"/>
      <c r="P3312" s="33"/>
      <c r="Q3312" s="33"/>
      <c r="R3312" s="33"/>
      <c r="S3312" s="33"/>
      <c r="T3312" s="33"/>
      <c r="U3312" s="33"/>
      <c r="V3312" s="33"/>
      <c r="W3312" s="33"/>
      <c r="X3312" s="33"/>
      <c r="Y3312" s="33"/>
      <c r="Z3312" s="33"/>
      <c r="AA3312" s="33"/>
      <c r="AB3312" s="33"/>
      <c r="AC3312" s="33"/>
      <c r="AD3312" s="33"/>
      <c r="AE3312" s="33"/>
      <c r="AF3312" s="33"/>
      <c r="AG3312" s="33"/>
      <c r="AH3312" s="33"/>
      <c r="AI3312" s="33"/>
      <c r="AJ3312" s="33"/>
      <c r="AK3312" s="33"/>
    </row>
    <row r="3313">
      <c r="A3313" s="33"/>
      <c r="B3313" s="33"/>
      <c r="C3313" s="33"/>
      <c r="D3313" s="33"/>
      <c r="E3313" s="33"/>
      <c r="F3313" s="33"/>
      <c r="G3313" s="33"/>
      <c r="H3313" s="33"/>
      <c r="I3313" s="33"/>
      <c r="J3313" s="33"/>
      <c r="K3313" s="33"/>
      <c r="L3313" s="33"/>
      <c r="M3313" s="33"/>
      <c r="N3313" s="33"/>
      <c r="O3313" s="33"/>
      <c r="P3313" s="33"/>
      <c r="Q3313" s="33"/>
      <c r="R3313" s="33"/>
      <c r="S3313" s="33"/>
      <c r="T3313" s="33"/>
      <c r="U3313" s="33"/>
      <c r="V3313" s="33"/>
      <c r="W3313" s="33"/>
      <c r="X3313" s="33"/>
      <c r="Y3313" s="33"/>
      <c r="Z3313" s="33"/>
      <c r="AA3313" s="33"/>
      <c r="AB3313" s="33"/>
      <c r="AC3313" s="33"/>
      <c r="AD3313" s="33"/>
      <c r="AE3313" s="33"/>
      <c r="AF3313" s="33"/>
      <c r="AG3313" s="33"/>
      <c r="AH3313" s="33"/>
      <c r="AI3313" s="33"/>
      <c r="AJ3313" s="33"/>
      <c r="AK3313" s="33"/>
    </row>
    <row r="3314">
      <c r="A3314" s="33"/>
      <c r="B3314" s="33"/>
      <c r="C3314" s="33"/>
      <c r="D3314" s="33"/>
      <c r="E3314" s="33"/>
      <c r="F3314" s="33"/>
      <c r="G3314" s="33"/>
      <c r="H3314" s="33"/>
      <c r="I3314" s="33"/>
      <c r="J3314" s="33"/>
      <c r="K3314" s="33"/>
      <c r="L3314" s="33"/>
      <c r="M3314" s="33"/>
      <c r="N3314" s="33"/>
      <c r="O3314" s="33"/>
      <c r="P3314" s="33"/>
      <c r="Q3314" s="33"/>
      <c r="R3314" s="33"/>
      <c r="S3314" s="33"/>
      <c r="T3314" s="33"/>
      <c r="U3314" s="33"/>
      <c r="V3314" s="33"/>
      <c r="W3314" s="33"/>
      <c r="X3314" s="33"/>
      <c r="Y3314" s="33"/>
      <c r="Z3314" s="33"/>
      <c r="AA3314" s="33"/>
      <c r="AB3314" s="33"/>
      <c r="AC3314" s="33"/>
      <c r="AD3314" s="33"/>
      <c r="AE3314" s="33"/>
      <c r="AF3314" s="33"/>
      <c r="AG3314" s="33"/>
      <c r="AH3314" s="33"/>
      <c r="AI3314" s="33"/>
      <c r="AJ3314" s="33"/>
      <c r="AK3314" s="33"/>
    </row>
    <row r="3315">
      <c r="A3315" s="33"/>
      <c r="B3315" s="33"/>
      <c r="C3315" s="33"/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  <c r="R3315" s="33"/>
      <c r="S3315" s="33"/>
      <c r="T3315" s="33"/>
      <c r="U3315" s="33"/>
      <c r="V3315" s="33"/>
      <c r="W3315" s="33"/>
      <c r="X3315" s="33"/>
      <c r="Y3315" s="33"/>
      <c r="Z3315" s="33"/>
      <c r="AA3315" s="33"/>
      <c r="AB3315" s="33"/>
      <c r="AC3315" s="33"/>
      <c r="AD3315" s="33"/>
      <c r="AE3315" s="33"/>
      <c r="AF3315" s="33"/>
      <c r="AG3315" s="33"/>
      <c r="AH3315" s="33"/>
      <c r="AI3315" s="33"/>
      <c r="AJ3315" s="33"/>
      <c r="AK3315" s="33"/>
    </row>
    <row r="3316">
      <c r="A3316" s="33"/>
      <c r="B3316" s="33"/>
      <c r="C3316" s="33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33"/>
      <c r="Q3316" s="33"/>
      <c r="R3316" s="33"/>
      <c r="S3316" s="33"/>
      <c r="T3316" s="33"/>
      <c r="U3316" s="33"/>
      <c r="V3316" s="33"/>
      <c r="W3316" s="33"/>
      <c r="X3316" s="33"/>
      <c r="Y3316" s="33"/>
      <c r="Z3316" s="33"/>
      <c r="AA3316" s="33"/>
      <c r="AB3316" s="33"/>
      <c r="AC3316" s="33"/>
      <c r="AD3316" s="33"/>
      <c r="AE3316" s="33"/>
      <c r="AF3316" s="33"/>
      <c r="AG3316" s="33"/>
      <c r="AH3316" s="33"/>
      <c r="AI3316" s="33"/>
      <c r="AJ3316" s="33"/>
      <c r="AK3316" s="33"/>
    </row>
    <row r="3317">
      <c r="A3317" s="33"/>
      <c r="B3317" s="33"/>
      <c r="C3317" s="33"/>
      <c r="D3317" s="33"/>
      <c r="E3317" s="33"/>
      <c r="F3317" s="33"/>
      <c r="G3317" s="33"/>
      <c r="H3317" s="33"/>
      <c r="I3317" s="33"/>
      <c r="J3317" s="33"/>
      <c r="K3317" s="33"/>
      <c r="L3317" s="33"/>
      <c r="M3317" s="33"/>
      <c r="N3317" s="33"/>
      <c r="O3317" s="33"/>
      <c r="P3317" s="33"/>
      <c r="Q3317" s="33"/>
      <c r="R3317" s="33"/>
      <c r="S3317" s="33"/>
      <c r="T3317" s="33"/>
      <c r="U3317" s="33"/>
      <c r="V3317" s="33"/>
      <c r="W3317" s="33"/>
      <c r="X3317" s="33"/>
      <c r="Y3317" s="33"/>
      <c r="Z3317" s="33"/>
      <c r="AA3317" s="33"/>
      <c r="AB3317" s="33"/>
      <c r="AC3317" s="33"/>
      <c r="AD3317" s="33"/>
      <c r="AE3317" s="33"/>
      <c r="AF3317" s="33"/>
      <c r="AG3317" s="33"/>
      <c r="AH3317" s="33"/>
      <c r="AI3317" s="33"/>
      <c r="AJ3317" s="33"/>
      <c r="AK3317" s="33"/>
    </row>
    <row r="3318">
      <c r="A3318" s="33"/>
      <c r="B3318" s="33"/>
      <c r="C3318" s="33"/>
      <c r="D3318" s="33"/>
      <c r="E3318" s="33"/>
      <c r="F3318" s="33"/>
      <c r="G3318" s="33"/>
      <c r="H3318" s="33"/>
      <c r="I3318" s="33"/>
      <c r="J3318" s="33"/>
      <c r="K3318" s="33"/>
      <c r="L3318" s="33"/>
      <c r="M3318" s="33"/>
      <c r="N3318" s="33"/>
      <c r="O3318" s="33"/>
      <c r="P3318" s="33"/>
      <c r="Q3318" s="33"/>
      <c r="R3318" s="33"/>
      <c r="S3318" s="33"/>
      <c r="T3318" s="33"/>
      <c r="U3318" s="33"/>
      <c r="V3318" s="33"/>
      <c r="W3318" s="33"/>
      <c r="X3318" s="33"/>
      <c r="Y3318" s="33"/>
      <c r="Z3318" s="33"/>
      <c r="AA3318" s="33"/>
      <c r="AB3318" s="33"/>
      <c r="AC3318" s="33"/>
      <c r="AD3318" s="33"/>
      <c r="AE3318" s="33"/>
      <c r="AF3318" s="33"/>
      <c r="AG3318" s="33"/>
      <c r="AH3318" s="33"/>
      <c r="AI3318" s="33"/>
      <c r="AJ3318" s="33"/>
      <c r="AK3318" s="33"/>
    </row>
    <row r="3319">
      <c r="A3319" s="33"/>
      <c r="B3319" s="33"/>
      <c r="C3319" s="33"/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  <c r="R3319" s="33"/>
      <c r="S3319" s="33"/>
      <c r="T3319" s="33"/>
      <c r="U3319" s="33"/>
      <c r="V3319" s="33"/>
      <c r="W3319" s="33"/>
      <c r="X3319" s="33"/>
      <c r="Y3319" s="33"/>
      <c r="Z3319" s="33"/>
      <c r="AA3319" s="33"/>
      <c r="AB3319" s="33"/>
      <c r="AC3319" s="33"/>
      <c r="AD3319" s="33"/>
      <c r="AE3319" s="33"/>
      <c r="AF3319" s="33"/>
      <c r="AG3319" s="33"/>
      <c r="AH3319" s="33"/>
      <c r="AI3319" s="33"/>
      <c r="AJ3319" s="33"/>
      <c r="AK3319" s="33"/>
    </row>
    <row r="3320">
      <c r="A3320" s="33"/>
      <c r="B3320" s="33"/>
      <c r="C3320" s="33"/>
      <c r="D3320" s="33"/>
      <c r="E3320" s="33"/>
      <c r="F3320" s="33"/>
      <c r="G3320" s="33"/>
      <c r="H3320" s="33"/>
      <c r="I3320" s="33"/>
      <c r="J3320" s="33"/>
      <c r="K3320" s="33"/>
      <c r="L3320" s="33"/>
      <c r="M3320" s="33"/>
      <c r="N3320" s="33"/>
      <c r="O3320" s="33"/>
      <c r="P3320" s="33"/>
      <c r="Q3320" s="33"/>
      <c r="R3320" s="33"/>
      <c r="S3320" s="33"/>
      <c r="T3320" s="33"/>
      <c r="U3320" s="33"/>
      <c r="V3320" s="33"/>
      <c r="W3320" s="33"/>
      <c r="X3320" s="33"/>
      <c r="Y3320" s="33"/>
      <c r="Z3320" s="33"/>
      <c r="AA3320" s="33"/>
      <c r="AB3320" s="33"/>
      <c r="AC3320" s="33"/>
      <c r="AD3320" s="33"/>
      <c r="AE3320" s="33"/>
      <c r="AF3320" s="33"/>
      <c r="AG3320" s="33"/>
      <c r="AH3320" s="33"/>
      <c r="AI3320" s="33"/>
      <c r="AJ3320" s="33"/>
      <c r="AK3320" s="33"/>
    </row>
    <row r="3321">
      <c r="A3321" s="33"/>
      <c r="B3321" s="33"/>
      <c r="C3321" s="33"/>
      <c r="D3321" s="33"/>
      <c r="E3321" s="33"/>
      <c r="F3321" s="33"/>
      <c r="G3321" s="33"/>
      <c r="H3321" s="33"/>
      <c r="I3321" s="33"/>
      <c r="J3321" s="33"/>
      <c r="K3321" s="33"/>
      <c r="L3321" s="33"/>
      <c r="M3321" s="33"/>
      <c r="N3321" s="33"/>
      <c r="O3321" s="33"/>
      <c r="P3321" s="33"/>
      <c r="Q3321" s="33"/>
      <c r="R3321" s="33"/>
      <c r="S3321" s="33"/>
      <c r="T3321" s="33"/>
      <c r="U3321" s="33"/>
      <c r="V3321" s="33"/>
      <c r="W3321" s="33"/>
      <c r="X3321" s="33"/>
      <c r="Y3321" s="33"/>
      <c r="Z3321" s="33"/>
      <c r="AA3321" s="33"/>
      <c r="AB3321" s="33"/>
      <c r="AC3321" s="33"/>
      <c r="AD3321" s="33"/>
      <c r="AE3321" s="33"/>
      <c r="AF3321" s="33"/>
      <c r="AG3321" s="33"/>
      <c r="AH3321" s="33"/>
      <c r="AI3321" s="33"/>
      <c r="AJ3321" s="33"/>
      <c r="AK3321" s="33"/>
    </row>
    <row r="3322">
      <c r="A3322" s="33"/>
      <c r="B3322" s="33"/>
      <c r="C3322" s="33"/>
      <c r="D3322" s="33"/>
      <c r="E3322" s="33"/>
      <c r="F3322" s="33"/>
      <c r="G3322" s="33"/>
      <c r="H3322" s="33"/>
      <c r="I3322" s="33"/>
      <c r="J3322" s="33"/>
      <c r="K3322" s="33"/>
      <c r="L3322" s="33"/>
      <c r="M3322" s="33"/>
      <c r="N3322" s="33"/>
      <c r="O3322" s="33"/>
      <c r="P3322" s="33"/>
      <c r="Q3322" s="33"/>
      <c r="R3322" s="33"/>
      <c r="S3322" s="33"/>
      <c r="T3322" s="33"/>
      <c r="U3322" s="33"/>
      <c r="V3322" s="33"/>
      <c r="W3322" s="33"/>
      <c r="X3322" s="33"/>
      <c r="Y3322" s="33"/>
      <c r="Z3322" s="33"/>
      <c r="AA3322" s="33"/>
      <c r="AB3322" s="33"/>
      <c r="AC3322" s="33"/>
      <c r="AD3322" s="33"/>
      <c r="AE3322" s="33"/>
      <c r="AF3322" s="33"/>
      <c r="AG3322" s="33"/>
      <c r="AH3322" s="33"/>
      <c r="AI3322" s="33"/>
      <c r="AJ3322" s="33"/>
      <c r="AK3322" s="33"/>
    </row>
    <row r="3323">
      <c r="A3323" s="33"/>
      <c r="B3323" s="33"/>
      <c r="C3323" s="33"/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33"/>
      <c r="V3323" s="33"/>
      <c r="W3323" s="33"/>
      <c r="X3323" s="33"/>
      <c r="Y3323" s="33"/>
      <c r="Z3323" s="33"/>
      <c r="AA3323" s="33"/>
      <c r="AB3323" s="33"/>
      <c r="AC3323" s="33"/>
      <c r="AD3323" s="33"/>
      <c r="AE3323" s="33"/>
      <c r="AF3323" s="33"/>
      <c r="AG3323" s="33"/>
      <c r="AH3323" s="33"/>
      <c r="AI3323" s="33"/>
      <c r="AJ3323" s="33"/>
      <c r="AK3323" s="33"/>
    </row>
    <row r="3324">
      <c r="A3324" s="33"/>
      <c r="B3324" s="33"/>
      <c r="C3324" s="33"/>
      <c r="D3324" s="33"/>
      <c r="E3324" s="33"/>
      <c r="F3324" s="33"/>
      <c r="G3324" s="33"/>
      <c r="H3324" s="33"/>
      <c r="I3324" s="33"/>
      <c r="J3324" s="33"/>
      <c r="K3324" s="33"/>
      <c r="L3324" s="33"/>
      <c r="M3324" s="33"/>
      <c r="N3324" s="33"/>
      <c r="O3324" s="33"/>
      <c r="P3324" s="33"/>
      <c r="Q3324" s="33"/>
      <c r="R3324" s="33"/>
      <c r="S3324" s="33"/>
      <c r="T3324" s="33"/>
      <c r="U3324" s="33"/>
      <c r="V3324" s="33"/>
      <c r="W3324" s="33"/>
      <c r="X3324" s="33"/>
      <c r="Y3324" s="33"/>
      <c r="Z3324" s="33"/>
      <c r="AA3324" s="33"/>
      <c r="AB3324" s="33"/>
      <c r="AC3324" s="33"/>
      <c r="AD3324" s="33"/>
      <c r="AE3324" s="33"/>
      <c r="AF3324" s="33"/>
      <c r="AG3324" s="33"/>
      <c r="AH3324" s="33"/>
      <c r="AI3324" s="33"/>
      <c r="AJ3324" s="33"/>
      <c r="AK3324" s="33"/>
    </row>
    <row r="3325">
      <c r="A3325" s="33"/>
      <c r="B3325" s="33"/>
      <c r="C3325" s="33"/>
      <c r="D3325" s="33"/>
      <c r="E3325" s="33"/>
      <c r="F3325" s="33"/>
      <c r="G3325" s="33"/>
      <c r="H3325" s="33"/>
      <c r="I3325" s="33"/>
      <c r="J3325" s="33"/>
      <c r="K3325" s="33"/>
      <c r="L3325" s="33"/>
      <c r="M3325" s="33"/>
      <c r="N3325" s="33"/>
      <c r="O3325" s="33"/>
      <c r="P3325" s="33"/>
      <c r="Q3325" s="33"/>
      <c r="R3325" s="33"/>
      <c r="S3325" s="33"/>
      <c r="T3325" s="33"/>
      <c r="U3325" s="33"/>
      <c r="V3325" s="33"/>
      <c r="W3325" s="33"/>
      <c r="X3325" s="33"/>
      <c r="Y3325" s="33"/>
      <c r="Z3325" s="33"/>
      <c r="AA3325" s="33"/>
      <c r="AB3325" s="33"/>
      <c r="AC3325" s="33"/>
      <c r="AD3325" s="33"/>
      <c r="AE3325" s="33"/>
      <c r="AF3325" s="33"/>
      <c r="AG3325" s="33"/>
      <c r="AH3325" s="33"/>
      <c r="AI3325" s="33"/>
      <c r="AJ3325" s="33"/>
      <c r="AK3325" s="33"/>
    </row>
    <row r="3326">
      <c r="A3326" s="33"/>
      <c r="B3326" s="33"/>
      <c r="C3326" s="33"/>
      <c r="D3326" s="33"/>
      <c r="E3326" s="33"/>
      <c r="F3326" s="33"/>
      <c r="G3326" s="33"/>
      <c r="H3326" s="33"/>
      <c r="I3326" s="33"/>
      <c r="J3326" s="33"/>
      <c r="K3326" s="33"/>
      <c r="L3326" s="33"/>
      <c r="M3326" s="33"/>
      <c r="N3326" s="33"/>
      <c r="O3326" s="33"/>
      <c r="P3326" s="33"/>
      <c r="Q3326" s="33"/>
      <c r="R3326" s="33"/>
      <c r="S3326" s="33"/>
      <c r="T3326" s="33"/>
      <c r="U3326" s="33"/>
      <c r="V3326" s="33"/>
      <c r="W3326" s="33"/>
      <c r="X3326" s="33"/>
      <c r="Y3326" s="33"/>
      <c r="Z3326" s="33"/>
      <c r="AA3326" s="33"/>
      <c r="AB3326" s="33"/>
      <c r="AC3326" s="33"/>
      <c r="AD3326" s="33"/>
      <c r="AE3326" s="33"/>
      <c r="AF3326" s="33"/>
      <c r="AG3326" s="33"/>
      <c r="AH3326" s="33"/>
      <c r="AI3326" s="33"/>
      <c r="AJ3326" s="33"/>
      <c r="AK3326" s="33"/>
    </row>
    <row r="3327">
      <c r="A3327" s="33"/>
      <c r="B3327" s="33"/>
      <c r="C3327" s="33"/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  <c r="R3327" s="33"/>
      <c r="S3327" s="33"/>
      <c r="T3327" s="33"/>
      <c r="U3327" s="33"/>
      <c r="V3327" s="33"/>
      <c r="W3327" s="33"/>
      <c r="X3327" s="33"/>
      <c r="Y3327" s="33"/>
      <c r="Z3327" s="33"/>
      <c r="AA3327" s="33"/>
      <c r="AB3327" s="33"/>
      <c r="AC3327" s="33"/>
      <c r="AD3327" s="33"/>
      <c r="AE3327" s="33"/>
      <c r="AF3327" s="33"/>
      <c r="AG3327" s="33"/>
      <c r="AH3327" s="33"/>
      <c r="AI3327" s="33"/>
      <c r="AJ3327" s="33"/>
      <c r="AK3327" s="33"/>
    </row>
    <row r="3328">
      <c r="A3328" s="33"/>
      <c r="B3328" s="33"/>
      <c r="C3328" s="33"/>
      <c r="D3328" s="33"/>
      <c r="E3328" s="33"/>
      <c r="F3328" s="33"/>
      <c r="G3328" s="33"/>
      <c r="H3328" s="33"/>
      <c r="I3328" s="33"/>
      <c r="J3328" s="33"/>
      <c r="K3328" s="33"/>
      <c r="L3328" s="33"/>
      <c r="M3328" s="33"/>
      <c r="N3328" s="33"/>
      <c r="O3328" s="33"/>
      <c r="P3328" s="33"/>
      <c r="Q3328" s="33"/>
      <c r="R3328" s="33"/>
      <c r="S3328" s="33"/>
      <c r="T3328" s="33"/>
      <c r="U3328" s="33"/>
      <c r="V3328" s="33"/>
      <c r="W3328" s="33"/>
      <c r="X3328" s="33"/>
      <c r="Y3328" s="33"/>
      <c r="Z3328" s="33"/>
      <c r="AA3328" s="33"/>
      <c r="AB3328" s="33"/>
      <c r="AC3328" s="33"/>
      <c r="AD3328" s="33"/>
      <c r="AE3328" s="33"/>
      <c r="AF3328" s="33"/>
      <c r="AG3328" s="33"/>
      <c r="AH3328" s="33"/>
      <c r="AI3328" s="33"/>
      <c r="AJ3328" s="33"/>
      <c r="AK3328" s="33"/>
    </row>
    <row r="3329">
      <c r="A3329" s="33"/>
      <c r="B3329" s="33"/>
      <c r="C3329" s="33"/>
      <c r="D3329" s="33"/>
      <c r="E3329" s="33"/>
      <c r="F3329" s="33"/>
      <c r="G3329" s="33"/>
      <c r="H3329" s="33"/>
      <c r="I3329" s="33"/>
      <c r="J3329" s="33"/>
      <c r="K3329" s="33"/>
      <c r="L3329" s="33"/>
      <c r="M3329" s="33"/>
      <c r="N3329" s="33"/>
      <c r="O3329" s="33"/>
      <c r="P3329" s="33"/>
      <c r="Q3329" s="33"/>
      <c r="R3329" s="33"/>
      <c r="S3329" s="33"/>
      <c r="T3329" s="33"/>
      <c r="U3329" s="33"/>
      <c r="V3329" s="33"/>
      <c r="W3329" s="33"/>
      <c r="X3329" s="33"/>
      <c r="Y3329" s="33"/>
      <c r="Z3329" s="33"/>
      <c r="AA3329" s="33"/>
      <c r="AB3329" s="33"/>
      <c r="AC3329" s="33"/>
      <c r="AD3329" s="33"/>
      <c r="AE3329" s="33"/>
      <c r="AF3329" s="33"/>
      <c r="AG3329" s="33"/>
      <c r="AH3329" s="33"/>
      <c r="AI3329" s="33"/>
      <c r="AJ3329" s="33"/>
      <c r="AK3329" s="33"/>
    </row>
    <row r="3330">
      <c r="A3330" s="33"/>
      <c r="B3330" s="33"/>
      <c r="C3330" s="33"/>
      <c r="D3330" s="33"/>
      <c r="E3330" s="33"/>
      <c r="F3330" s="33"/>
      <c r="G3330" s="33"/>
      <c r="H3330" s="33"/>
      <c r="I3330" s="33"/>
      <c r="J3330" s="33"/>
      <c r="K3330" s="33"/>
      <c r="L3330" s="33"/>
      <c r="M3330" s="33"/>
      <c r="N3330" s="33"/>
      <c r="O3330" s="33"/>
      <c r="P3330" s="33"/>
      <c r="Q3330" s="33"/>
      <c r="R3330" s="33"/>
      <c r="S3330" s="33"/>
      <c r="T3330" s="33"/>
      <c r="U3330" s="33"/>
      <c r="V3330" s="33"/>
      <c r="W3330" s="33"/>
      <c r="X3330" s="33"/>
      <c r="Y3330" s="33"/>
      <c r="Z3330" s="33"/>
      <c r="AA3330" s="33"/>
      <c r="AB3330" s="33"/>
      <c r="AC3330" s="33"/>
      <c r="AD3330" s="33"/>
      <c r="AE3330" s="33"/>
      <c r="AF3330" s="33"/>
      <c r="AG3330" s="33"/>
      <c r="AH3330" s="33"/>
      <c r="AI3330" s="33"/>
      <c r="AJ3330" s="33"/>
      <c r="AK3330" s="33"/>
    </row>
    <row r="3331">
      <c r="A3331" s="33"/>
      <c r="B3331" s="33"/>
      <c r="C3331" s="33"/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  <c r="R3331" s="33"/>
      <c r="S3331" s="33"/>
      <c r="T3331" s="33"/>
      <c r="U3331" s="33"/>
      <c r="V3331" s="33"/>
      <c r="W3331" s="33"/>
      <c r="X3331" s="33"/>
      <c r="Y3331" s="33"/>
      <c r="Z3331" s="33"/>
      <c r="AA3331" s="33"/>
      <c r="AB3331" s="33"/>
      <c r="AC3331" s="33"/>
      <c r="AD3331" s="33"/>
      <c r="AE3331" s="33"/>
      <c r="AF3331" s="33"/>
      <c r="AG3331" s="33"/>
      <c r="AH3331" s="33"/>
      <c r="AI3331" s="33"/>
      <c r="AJ3331" s="33"/>
      <c r="AK3331" s="33"/>
    </row>
    <row r="3332">
      <c r="A3332" s="33"/>
      <c r="B3332" s="33"/>
      <c r="C3332" s="33"/>
      <c r="D3332" s="33"/>
      <c r="E3332" s="33"/>
      <c r="F3332" s="33"/>
      <c r="G3332" s="33"/>
      <c r="H3332" s="33"/>
      <c r="I3332" s="33"/>
      <c r="J3332" s="33"/>
      <c r="K3332" s="33"/>
      <c r="L3332" s="33"/>
      <c r="M3332" s="33"/>
      <c r="N3332" s="33"/>
      <c r="O3332" s="33"/>
      <c r="P3332" s="33"/>
      <c r="Q3332" s="33"/>
      <c r="R3332" s="33"/>
      <c r="S3332" s="33"/>
      <c r="T3332" s="33"/>
      <c r="U3332" s="33"/>
      <c r="V3332" s="33"/>
      <c r="W3332" s="33"/>
      <c r="X3332" s="33"/>
      <c r="Y3332" s="33"/>
      <c r="Z3332" s="33"/>
      <c r="AA3332" s="33"/>
      <c r="AB3332" s="33"/>
      <c r="AC3332" s="33"/>
      <c r="AD3332" s="33"/>
      <c r="AE3332" s="33"/>
      <c r="AF3332" s="33"/>
      <c r="AG3332" s="33"/>
      <c r="AH3332" s="33"/>
      <c r="AI3332" s="33"/>
      <c r="AJ3332" s="33"/>
      <c r="AK3332" s="33"/>
    </row>
    <row r="3333">
      <c r="A3333" s="33"/>
      <c r="B3333" s="33"/>
      <c r="C3333" s="33"/>
      <c r="D3333" s="33"/>
      <c r="E3333" s="33"/>
      <c r="F3333" s="33"/>
      <c r="G3333" s="33"/>
      <c r="H3333" s="33"/>
      <c r="I3333" s="33"/>
      <c r="J3333" s="33"/>
      <c r="K3333" s="33"/>
      <c r="L3333" s="33"/>
      <c r="M3333" s="33"/>
      <c r="N3333" s="33"/>
      <c r="O3333" s="33"/>
      <c r="P3333" s="33"/>
      <c r="Q3333" s="33"/>
      <c r="R3333" s="33"/>
      <c r="S3333" s="33"/>
      <c r="T3333" s="33"/>
      <c r="U3333" s="33"/>
      <c r="V3333" s="33"/>
      <c r="W3333" s="33"/>
      <c r="X3333" s="33"/>
      <c r="Y3333" s="33"/>
      <c r="Z3333" s="33"/>
      <c r="AA3333" s="33"/>
      <c r="AB3333" s="33"/>
      <c r="AC3333" s="33"/>
      <c r="AD3333" s="33"/>
      <c r="AE3333" s="33"/>
      <c r="AF3333" s="33"/>
      <c r="AG3333" s="33"/>
      <c r="AH3333" s="33"/>
      <c r="AI3333" s="33"/>
      <c r="AJ3333" s="33"/>
      <c r="AK3333" s="33"/>
    </row>
    <row r="3334">
      <c r="A3334" s="33"/>
      <c r="B3334" s="33"/>
      <c r="C3334" s="33"/>
      <c r="D3334" s="33"/>
      <c r="E3334" s="33"/>
      <c r="F3334" s="33"/>
      <c r="G3334" s="33"/>
      <c r="H3334" s="33"/>
      <c r="I3334" s="33"/>
      <c r="J3334" s="33"/>
      <c r="K3334" s="33"/>
      <c r="L3334" s="33"/>
      <c r="M3334" s="33"/>
      <c r="N3334" s="33"/>
      <c r="O3334" s="33"/>
      <c r="P3334" s="33"/>
      <c r="Q3334" s="33"/>
      <c r="R3334" s="33"/>
      <c r="S3334" s="33"/>
      <c r="T3334" s="33"/>
      <c r="U3334" s="33"/>
      <c r="V3334" s="33"/>
      <c r="W3334" s="33"/>
      <c r="X3334" s="33"/>
      <c r="Y3334" s="33"/>
      <c r="Z3334" s="33"/>
      <c r="AA3334" s="33"/>
      <c r="AB3334" s="33"/>
      <c r="AC3334" s="33"/>
      <c r="AD3334" s="33"/>
      <c r="AE3334" s="33"/>
      <c r="AF3334" s="33"/>
      <c r="AG3334" s="33"/>
      <c r="AH3334" s="33"/>
      <c r="AI3334" s="33"/>
      <c r="AJ3334" s="33"/>
      <c r="AK3334" s="33"/>
    </row>
    <row r="3335">
      <c r="A3335" s="33"/>
      <c r="B3335" s="33"/>
      <c r="C3335" s="33"/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  <c r="R3335" s="33"/>
      <c r="S3335" s="33"/>
      <c r="T3335" s="33"/>
      <c r="U3335" s="33"/>
      <c r="V3335" s="33"/>
      <c r="W3335" s="33"/>
      <c r="X3335" s="33"/>
      <c r="Y3335" s="33"/>
      <c r="Z3335" s="33"/>
      <c r="AA3335" s="33"/>
      <c r="AB3335" s="33"/>
      <c r="AC3335" s="33"/>
      <c r="AD3335" s="33"/>
      <c r="AE3335" s="33"/>
      <c r="AF3335" s="33"/>
      <c r="AG3335" s="33"/>
      <c r="AH3335" s="33"/>
      <c r="AI3335" s="33"/>
      <c r="AJ3335" s="33"/>
      <c r="AK3335" s="33"/>
    </row>
    <row r="3336">
      <c r="A3336" s="33"/>
      <c r="B3336" s="33"/>
      <c r="C3336" s="33"/>
      <c r="D3336" s="33"/>
      <c r="E3336" s="33"/>
      <c r="F3336" s="33"/>
      <c r="G3336" s="33"/>
      <c r="H3336" s="33"/>
      <c r="I3336" s="33"/>
      <c r="J3336" s="33"/>
      <c r="K3336" s="33"/>
      <c r="L3336" s="33"/>
      <c r="M3336" s="33"/>
      <c r="N3336" s="33"/>
      <c r="O3336" s="33"/>
      <c r="P3336" s="33"/>
      <c r="Q3336" s="33"/>
      <c r="R3336" s="33"/>
      <c r="S3336" s="33"/>
      <c r="T3336" s="33"/>
      <c r="U3336" s="33"/>
      <c r="V3336" s="33"/>
      <c r="W3336" s="33"/>
      <c r="X3336" s="33"/>
      <c r="Y3336" s="33"/>
      <c r="Z3336" s="33"/>
      <c r="AA3336" s="33"/>
      <c r="AB3336" s="33"/>
      <c r="AC3336" s="33"/>
      <c r="AD3336" s="33"/>
      <c r="AE3336" s="33"/>
      <c r="AF3336" s="33"/>
      <c r="AG3336" s="33"/>
      <c r="AH3336" s="33"/>
      <c r="AI3336" s="33"/>
      <c r="AJ3336" s="33"/>
      <c r="AK3336" s="33"/>
    </row>
    <row r="3337">
      <c r="A3337" s="33"/>
      <c r="B3337" s="33"/>
      <c r="C3337" s="33"/>
      <c r="D3337" s="33"/>
      <c r="E3337" s="33"/>
      <c r="F3337" s="33"/>
      <c r="G3337" s="33"/>
      <c r="H3337" s="33"/>
      <c r="I3337" s="33"/>
      <c r="J3337" s="33"/>
      <c r="K3337" s="33"/>
      <c r="L3337" s="33"/>
      <c r="M3337" s="33"/>
      <c r="N3337" s="33"/>
      <c r="O3337" s="33"/>
      <c r="P3337" s="33"/>
      <c r="Q3337" s="33"/>
      <c r="R3337" s="33"/>
      <c r="S3337" s="33"/>
      <c r="T3337" s="33"/>
      <c r="U3337" s="33"/>
      <c r="V3337" s="33"/>
      <c r="W3337" s="33"/>
      <c r="X3337" s="33"/>
      <c r="Y3337" s="33"/>
      <c r="Z3337" s="33"/>
      <c r="AA3337" s="33"/>
      <c r="AB3337" s="33"/>
      <c r="AC3337" s="33"/>
      <c r="AD3337" s="33"/>
      <c r="AE3337" s="33"/>
      <c r="AF3337" s="33"/>
      <c r="AG3337" s="33"/>
      <c r="AH3337" s="33"/>
      <c r="AI3337" s="33"/>
      <c r="AJ3337" s="33"/>
      <c r="AK3337" s="33"/>
    </row>
    <row r="3338">
      <c r="A3338" s="33"/>
      <c r="B3338" s="33"/>
      <c r="C3338" s="33"/>
      <c r="D3338" s="33"/>
      <c r="E3338" s="33"/>
      <c r="F3338" s="33"/>
      <c r="G3338" s="33"/>
      <c r="H3338" s="33"/>
      <c r="I3338" s="33"/>
      <c r="J3338" s="33"/>
      <c r="K3338" s="33"/>
      <c r="L3338" s="33"/>
      <c r="M3338" s="33"/>
      <c r="N3338" s="33"/>
      <c r="O3338" s="33"/>
      <c r="P3338" s="33"/>
      <c r="Q3338" s="33"/>
      <c r="R3338" s="33"/>
      <c r="S3338" s="33"/>
      <c r="T3338" s="33"/>
      <c r="U3338" s="33"/>
      <c r="V3338" s="33"/>
      <c r="W3338" s="33"/>
      <c r="X3338" s="33"/>
      <c r="Y3338" s="33"/>
      <c r="Z3338" s="33"/>
      <c r="AA3338" s="33"/>
      <c r="AB3338" s="33"/>
      <c r="AC3338" s="33"/>
      <c r="AD3338" s="33"/>
      <c r="AE3338" s="33"/>
      <c r="AF3338" s="33"/>
      <c r="AG3338" s="33"/>
      <c r="AH3338" s="33"/>
      <c r="AI3338" s="33"/>
      <c r="AJ3338" s="33"/>
      <c r="AK3338" s="33"/>
    </row>
    <row r="3339">
      <c r="A3339" s="33"/>
      <c r="B3339" s="33"/>
      <c r="C3339" s="33"/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  <c r="R3339" s="33"/>
      <c r="S3339" s="33"/>
      <c r="T3339" s="33"/>
      <c r="U3339" s="33"/>
      <c r="V3339" s="33"/>
      <c r="W3339" s="33"/>
      <c r="X3339" s="33"/>
      <c r="Y3339" s="33"/>
      <c r="Z3339" s="33"/>
      <c r="AA3339" s="33"/>
      <c r="AB3339" s="33"/>
      <c r="AC3339" s="33"/>
      <c r="AD3339" s="33"/>
      <c r="AE3339" s="33"/>
      <c r="AF3339" s="33"/>
      <c r="AG3339" s="33"/>
      <c r="AH3339" s="33"/>
      <c r="AI3339" s="33"/>
      <c r="AJ3339" s="33"/>
      <c r="AK3339" s="33"/>
    </row>
    <row r="3340">
      <c r="A3340" s="33"/>
      <c r="B3340" s="33"/>
      <c r="C3340" s="33"/>
      <c r="D3340" s="33"/>
      <c r="E3340" s="33"/>
      <c r="F3340" s="33"/>
      <c r="G3340" s="33"/>
      <c r="H3340" s="33"/>
      <c r="I3340" s="33"/>
      <c r="J3340" s="33"/>
      <c r="K3340" s="33"/>
      <c r="L3340" s="33"/>
      <c r="M3340" s="33"/>
      <c r="N3340" s="33"/>
      <c r="O3340" s="33"/>
      <c r="P3340" s="33"/>
      <c r="Q3340" s="33"/>
      <c r="R3340" s="33"/>
      <c r="S3340" s="33"/>
      <c r="T3340" s="33"/>
      <c r="U3340" s="33"/>
      <c r="V3340" s="33"/>
      <c r="W3340" s="33"/>
      <c r="X3340" s="33"/>
      <c r="Y3340" s="33"/>
      <c r="Z3340" s="33"/>
      <c r="AA3340" s="33"/>
      <c r="AB3340" s="33"/>
      <c r="AC3340" s="33"/>
      <c r="AD3340" s="33"/>
      <c r="AE3340" s="33"/>
      <c r="AF3340" s="33"/>
      <c r="AG3340" s="33"/>
      <c r="AH3340" s="33"/>
      <c r="AI3340" s="33"/>
      <c r="AJ3340" s="33"/>
      <c r="AK3340" s="33"/>
    </row>
    <row r="3341">
      <c r="A3341" s="33"/>
      <c r="B3341" s="33"/>
      <c r="C3341" s="33"/>
      <c r="D3341" s="33"/>
      <c r="E3341" s="33"/>
      <c r="F3341" s="33"/>
      <c r="G3341" s="33"/>
      <c r="H3341" s="33"/>
      <c r="I3341" s="33"/>
      <c r="J3341" s="33"/>
      <c r="K3341" s="33"/>
      <c r="L3341" s="33"/>
      <c r="M3341" s="33"/>
      <c r="N3341" s="33"/>
      <c r="O3341" s="33"/>
      <c r="P3341" s="33"/>
      <c r="Q3341" s="33"/>
      <c r="R3341" s="33"/>
      <c r="S3341" s="33"/>
      <c r="T3341" s="33"/>
      <c r="U3341" s="33"/>
      <c r="V3341" s="33"/>
      <c r="W3341" s="33"/>
      <c r="X3341" s="33"/>
      <c r="Y3341" s="33"/>
      <c r="Z3341" s="33"/>
      <c r="AA3341" s="33"/>
      <c r="AB3341" s="33"/>
      <c r="AC3341" s="33"/>
      <c r="AD3341" s="33"/>
      <c r="AE3341" s="33"/>
      <c r="AF3341" s="33"/>
      <c r="AG3341" s="33"/>
      <c r="AH3341" s="33"/>
      <c r="AI3341" s="33"/>
      <c r="AJ3341" s="33"/>
      <c r="AK3341" s="33"/>
    </row>
    <row r="3342">
      <c r="A3342" s="33"/>
      <c r="B3342" s="33"/>
      <c r="C3342" s="33"/>
      <c r="D3342" s="33"/>
      <c r="E3342" s="33"/>
      <c r="F3342" s="33"/>
      <c r="G3342" s="33"/>
      <c r="H3342" s="33"/>
      <c r="I3342" s="33"/>
      <c r="J3342" s="33"/>
      <c r="K3342" s="33"/>
      <c r="L3342" s="33"/>
      <c r="M3342" s="33"/>
      <c r="N3342" s="33"/>
      <c r="O3342" s="33"/>
      <c r="P3342" s="33"/>
      <c r="Q3342" s="33"/>
      <c r="R3342" s="33"/>
      <c r="S3342" s="33"/>
      <c r="T3342" s="33"/>
      <c r="U3342" s="33"/>
      <c r="V3342" s="33"/>
      <c r="W3342" s="33"/>
      <c r="X3342" s="33"/>
      <c r="Y3342" s="33"/>
      <c r="Z3342" s="33"/>
      <c r="AA3342" s="33"/>
      <c r="AB3342" s="33"/>
      <c r="AC3342" s="33"/>
      <c r="AD3342" s="33"/>
      <c r="AE3342" s="33"/>
      <c r="AF3342" s="33"/>
      <c r="AG3342" s="33"/>
      <c r="AH3342" s="33"/>
      <c r="AI3342" s="33"/>
      <c r="AJ3342" s="33"/>
      <c r="AK3342" s="33"/>
    </row>
    <row r="3343">
      <c r="A3343" s="33"/>
      <c r="B3343" s="33"/>
      <c r="C3343" s="33"/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  <c r="R3343" s="33"/>
      <c r="S3343" s="33"/>
      <c r="T3343" s="33"/>
      <c r="U3343" s="33"/>
      <c r="V3343" s="33"/>
      <c r="W3343" s="33"/>
      <c r="X3343" s="33"/>
      <c r="Y3343" s="33"/>
      <c r="Z3343" s="33"/>
      <c r="AA3343" s="33"/>
      <c r="AB3343" s="33"/>
      <c r="AC3343" s="33"/>
      <c r="AD3343" s="33"/>
      <c r="AE3343" s="33"/>
      <c r="AF3343" s="33"/>
      <c r="AG3343" s="33"/>
      <c r="AH3343" s="33"/>
      <c r="AI3343" s="33"/>
      <c r="AJ3343" s="33"/>
      <c r="AK3343" s="33"/>
    </row>
    <row r="3344">
      <c r="A3344" s="33"/>
      <c r="B3344" s="33"/>
      <c r="C3344" s="33"/>
      <c r="D3344" s="33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33"/>
      <c r="Q3344" s="33"/>
      <c r="R3344" s="33"/>
      <c r="S3344" s="33"/>
      <c r="T3344" s="33"/>
      <c r="U3344" s="33"/>
      <c r="V3344" s="33"/>
      <c r="W3344" s="33"/>
      <c r="X3344" s="33"/>
      <c r="Y3344" s="33"/>
      <c r="Z3344" s="33"/>
      <c r="AA3344" s="33"/>
      <c r="AB3344" s="33"/>
      <c r="AC3344" s="33"/>
      <c r="AD3344" s="33"/>
      <c r="AE3344" s="33"/>
      <c r="AF3344" s="33"/>
      <c r="AG3344" s="33"/>
      <c r="AH3344" s="33"/>
      <c r="AI3344" s="33"/>
      <c r="AJ3344" s="33"/>
      <c r="AK3344" s="33"/>
    </row>
    <row r="3345">
      <c r="A3345" s="33"/>
      <c r="B3345" s="33"/>
      <c r="C3345" s="33"/>
      <c r="D3345" s="33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33"/>
      <c r="Q3345" s="33"/>
      <c r="R3345" s="33"/>
      <c r="S3345" s="33"/>
      <c r="T3345" s="33"/>
      <c r="U3345" s="33"/>
      <c r="V3345" s="33"/>
      <c r="W3345" s="33"/>
      <c r="X3345" s="33"/>
      <c r="Y3345" s="33"/>
      <c r="Z3345" s="33"/>
      <c r="AA3345" s="33"/>
      <c r="AB3345" s="33"/>
      <c r="AC3345" s="33"/>
      <c r="AD3345" s="33"/>
      <c r="AE3345" s="33"/>
      <c r="AF3345" s="33"/>
      <c r="AG3345" s="33"/>
      <c r="AH3345" s="33"/>
      <c r="AI3345" s="33"/>
      <c r="AJ3345" s="33"/>
      <c r="AK3345" s="33"/>
    </row>
    <row r="3346">
      <c r="A3346" s="33"/>
      <c r="B3346" s="33"/>
      <c r="C3346" s="33"/>
      <c r="D3346" s="33"/>
      <c r="E3346" s="33"/>
      <c r="F3346" s="33"/>
      <c r="G3346" s="33"/>
      <c r="H3346" s="33"/>
      <c r="I3346" s="33"/>
      <c r="J3346" s="33"/>
      <c r="K3346" s="33"/>
      <c r="L3346" s="33"/>
      <c r="M3346" s="33"/>
      <c r="N3346" s="33"/>
      <c r="O3346" s="33"/>
      <c r="P3346" s="33"/>
      <c r="Q3346" s="33"/>
      <c r="R3346" s="33"/>
      <c r="S3346" s="33"/>
      <c r="T3346" s="33"/>
      <c r="U3346" s="33"/>
      <c r="V3346" s="33"/>
      <c r="W3346" s="33"/>
      <c r="X3346" s="33"/>
      <c r="Y3346" s="33"/>
      <c r="Z3346" s="33"/>
      <c r="AA3346" s="33"/>
      <c r="AB3346" s="33"/>
      <c r="AC3346" s="33"/>
      <c r="AD3346" s="33"/>
      <c r="AE3346" s="33"/>
      <c r="AF3346" s="33"/>
      <c r="AG3346" s="33"/>
      <c r="AH3346" s="33"/>
      <c r="AI3346" s="33"/>
      <c r="AJ3346" s="33"/>
      <c r="AK3346" s="33"/>
    </row>
    <row r="3347">
      <c r="A3347" s="33"/>
      <c r="B3347" s="33"/>
      <c r="C3347" s="33"/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  <c r="R3347" s="33"/>
      <c r="S3347" s="33"/>
      <c r="T3347" s="33"/>
      <c r="U3347" s="33"/>
      <c r="V3347" s="33"/>
      <c r="W3347" s="33"/>
      <c r="X3347" s="33"/>
      <c r="Y3347" s="33"/>
      <c r="Z3347" s="33"/>
      <c r="AA3347" s="33"/>
      <c r="AB3347" s="33"/>
      <c r="AC3347" s="33"/>
      <c r="AD3347" s="33"/>
      <c r="AE3347" s="33"/>
      <c r="AF3347" s="33"/>
      <c r="AG3347" s="33"/>
      <c r="AH3347" s="33"/>
      <c r="AI3347" s="33"/>
      <c r="AJ3347" s="33"/>
      <c r="AK3347" s="33"/>
    </row>
    <row r="3348">
      <c r="A3348" s="33"/>
      <c r="B3348" s="33"/>
      <c r="C3348" s="33"/>
      <c r="D3348" s="33"/>
      <c r="E3348" s="33"/>
      <c r="F3348" s="33"/>
      <c r="G3348" s="33"/>
      <c r="H3348" s="33"/>
      <c r="I3348" s="33"/>
      <c r="J3348" s="33"/>
      <c r="K3348" s="33"/>
      <c r="L3348" s="33"/>
      <c r="M3348" s="33"/>
      <c r="N3348" s="33"/>
      <c r="O3348" s="33"/>
      <c r="P3348" s="33"/>
      <c r="Q3348" s="33"/>
      <c r="R3348" s="33"/>
      <c r="S3348" s="33"/>
      <c r="T3348" s="33"/>
      <c r="U3348" s="33"/>
      <c r="V3348" s="33"/>
      <c r="W3348" s="33"/>
      <c r="X3348" s="33"/>
      <c r="Y3348" s="33"/>
      <c r="Z3348" s="33"/>
      <c r="AA3348" s="33"/>
      <c r="AB3348" s="33"/>
      <c r="AC3348" s="33"/>
      <c r="AD3348" s="33"/>
      <c r="AE3348" s="33"/>
      <c r="AF3348" s="33"/>
      <c r="AG3348" s="33"/>
      <c r="AH3348" s="33"/>
      <c r="AI3348" s="33"/>
      <c r="AJ3348" s="33"/>
      <c r="AK3348" s="33"/>
    </row>
    <row r="3349">
      <c r="A3349" s="33"/>
      <c r="B3349" s="33"/>
      <c r="C3349" s="33"/>
      <c r="D3349" s="33"/>
      <c r="E3349" s="33"/>
      <c r="F3349" s="33"/>
      <c r="G3349" s="33"/>
      <c r="H3349" s="33"/>
      <c r="I3349" s="33"/>
      <c r="J3349" s="33"/>
      <c r="K3349" s="33"/>
      <c r="L3349" s="33"/>
      <c r="M3349" s="33"/>
      <c r="N3349" s="33"/>
      <c r="O3349" s="33"/>
      <c r="P3349" s="33"/>
      <c r="Q3349" s="33"/>
      <c r="R3349" s="33"/>
      <c r="S3349" s="33"/>
      <c r="T3349" s="33"/>
      <c r="U3349" s="33"/>
      <c r="V3349" s="33"/>
      <c r="W3349" s="33"/>
      <c r="X3349" s="33"/>
      <c r="Y3349" s="33"/>
      <c r="Z3349" s="33"/>
      <c r="AA3349" s="33"/>
      <c r="AB3349" s="33"/>
      <c r="AC3349" s="33"/>
      <c r="AD3349" s="33"/>
      <c r="AE3349" s="33"/>
      <c r="AF3349" s="33"/>
      <c r="AG3349" s="33"/>
      <c r="AH3349" s="33"/>
      <c r="AI3349" s="33"/>
      <c r="AJ3349" s="33"/>
      <c r="AK3349" s="33"/>
    </row>
    <row r="3350">
      <c r="A3350" s="33"/>
      <c r="B3350" s="33"/>
      <c r="C3350" s="33"/>
      <c r="D3350" s="33"/>
      <c r="E3350" s="33"/>
      <c r="F3350" s="33"/>
      <c r="G3350" s="33"/>
      <c r="H3350" s="33"/>
      <c r="I3350" s="33"/>
      <c r="J3350" s="33"/>
      <c r="K3350" s="33"/>
      <c r="L3350" s="33"/>
      <c r="M3350" s="33"/>
      <c r="N3350" s="33"/>
      <c r="O3350" s="33"/>
      <c r="P3350" s="33"/>
      <c r="Q3350" s="33"/>
      <c r="R3350" s="33"/>
      <c r="S3350" s="33"/>
      <c r="T3350" s="33"/>
      <c r="U3350" s="33"/>
      <c r="V3350" s="33"/>
      <c r="W3350" s="33"/>
      <c r="X3350" s="33"/>
      <c r="Y3350" s="33"/>
      <c r="Z3350" s="33"/>
      <c r="AA3350" s="33"/>
      <c r="AB3350" s="33"/>
      <c r="AC3350" s="33"/>
      <c r="AD3350" s="33"/>
      <c r="AE3350" s="33"/>
      <c r="AF3350" s="33"/>
      <c r="AG3350" s="33"/>
      <c r="AH3350" s="33"/>
      <c r="AI3350" s="33"/>
      <c r="AJ3350" s="33"/>
      <c r="AK3350" s="33"/>
    </row>
    <row r="3351">
      <c r="A3351" s="33"/>
      <c r="B3351" s="33"/>
      <c r="C3351" s="33"/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  <c r="R3351" s="33"/>
      <c r="S3351" s="33"/>
      <c r="T3351" s="33"/>
      <c r="U3351" s="33"/>
      <c r="V3351" s="33"/>
      <c r="W3351" s="33"/>
      <c r="X3351" s="33"/>
      <c r="Y3351" s="33"/>
      <c r="Z3351" s="33"/>
      <c r="AA3351" s="33"/>
      <c r="AB3351" s="33"/>
      <c r="AC3351" s="33"/>
      <c r="AD3351" s="33"/>
      <c r="AE3351" s="33"/>
      <c r="AF3351" s="33"/>
      <c r="AG3351" s="33"/>
      <c r="AH3351" s="33"/>
      <c r="AI3351" s="33"/>
      <c r="AJ3351" s="33"/>
      <c r="AK3351" s="33"/>
    </row>
    <row r="3352">
      <c r="A3352" s="33"/>
      <c r="B3352" s="33"/>
      <c r="C3352" s="33"/>
      <c r="D3352" s="33"/>
      <c r="E3352" s="33"/>
      <c r="F3352" s="33"/>
      <c r="G3352" s="33"/>
      <c r="H3352" s="33"/>
      <c r="I3352" s="33"/>
      <c r="J3352" s="33"/>
      <c r="K3352" s="33"/>
      <c r="L3352" s="33"/>
      <c r="M3352" s="33"/>
      <c r="N3352" s="33"/>
      <c r="O3352" s="33"/>
      <c r="P3352" s="33"/>
      <c r="Q3352" s="33"/>
      <c r="R3352" s="33"/>
      <c r="S3352" s="33"/>
      <c r="T3352" s="33"/>
      <c r="U3352" s="33"/>
      <c r="V3352" s="33"/>
      <c r="W3352" s="33"/>
      <c r="X3352" s="33"/>
      <c r="Y3352" s="33"/>
      <c r="Z3352" s="33"/>
      <c r="AA3352" s="33"/>
      <c r="AB3352" s="33"/>
      <c r="AC3352" s="33"/>
      <c r="AD3352" s="33"/>
      <c r="AE3352" s="33"/>
      <c r="AF3352" s="33"/>
      <c r="AG3352" s="33"/>
      <c r="AH3352" s="33"/>
      <c r="AI3352" s="33"/>
      <c r="AJ3352" s="33"/>
      <c r="AK3352" s="33"/>
    </row>
    <row r="3353">
      <c r="A3353" s="33"/>
      <c r="B3353" s="33"/>
      <c r="C3353" s="33"/>
      <c r="D3353" s="33"/>
      <c r="E3353" s="33"/>
      <c r="F3353" s="33"/>
      <c r="G3353" s="33"/>
      <c r="H3353" s="33"/>
      <c r="I3353" s="33"/>
      <c r="J3353" s="33"/>
      <c r="K3353" s="33"/>
      <c r="L3353" s="33"/>
      <c r="M3353" s="33"/>
      <c r="N3353" s="33"/>
      <c r="O3353" s="33"/>
      <c r="P3353" s="33"/>
      <c r="Q3353" s="33"/>
      <c r="R3353" s="33"/>
      <c r="S3353" s="33"/>
      <c r="T3353" s="33"/>
      <c r="U3353" s="33"/>
      <c r="V3353" s="33"/>
      <c r="W3353" s="33"/>
      <c r="X3353" s="33"/>
      <c r="Y3353" s="33"/>
      <c r="Z3353" s="33"/>
      <c r="AA3353" s="33"/>
      <c r="AB3353" s="33"/>
      <c r="AC3353" s="33"/>
      <c r="AD3353" s="33"/>
      <c r="AE3353" s="33"/>
      <c r="AF3353" s="33"/>
      <c r="AG3353" s="33"/>
      <c r="AH3353" s="33"/>
      <c r="AI3353" s="33"/>
      <c r="AJ3353" s="33"/>
      <c r="AK3353" s="33"/>
    </row>
    <row r="3354">
      <c r="A3354" s="33"/>
      <c r="B3354" s="33"/>
      <c r="C3354" s="33"/>
      <c r="D3354" s="33"/>
      <c r="E3354" s="33"/>
      <c r="F3354" s="33"/>
      <c r="G3354" s="33"/>
      <c r="H3354" s="33"/>
      <c r="I3354" s="33"/>
      <c r="J3354" s="33"/>
      <c r="K3354" s="33"/>
      <c r="L3354" s="33"/>
      <c r="M3354" s="33"/>
      <c r="N3354" s="33"/>
      <c r="O3354" s="33"/>
      <c r="P3354" s="33"/>
      <c r="Q3354" s="33"/>
      <c r="R3354" s="33"/>
      <c r="S3354" s="33"/>
      <c r="T3354" s="33"/>
      <c r="U3354" s="33"/>
      <c r="V3354" s="33"/>
      <c r="W3354" s="33"/>
      <c r="X3354" s="33"/>
      <c r="Y3354" s="33"/>
      <c r="Z3354" s="33"/>
      <c r="AA3354" s="33"/>
      <c r="AB3354" s="33"/>
      <c r="AC3354" s="33"/>
      <c r="AD3354" s="33"/>
      <c r="AE3354" s="33"/>
      <c r="AF3354" s="33"/>
      <c r="AG3354" s="33"/>
      <c r="AH3354" s="33"/>
      <c r="AI3354" s="33"/>
      <c r="AJ3354" s="33"/>
      <c r="AK3354" s="33"/>
    </row>
    <row r="3355">
      <c r="A3355" s="33"/>
      <c r="B3355" s="33"/>
      <c r="C3355" s="33"/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  <c r="R3355" s="33"/>
      <c r="S3355" s="33"/>
      <c r="T3355" s="33"/>
      <c r="U3355" s="33"/>
      <c r="V3355" s="33"/>
      <c r="W3355" s="33"/>
      <c r="X3355" s="33"/>
      <c r="Y3355" s="33"/>
      <c r="Z3355" s="33"/>
      <c r="AA3355" s="33"/>
      <c r="AB3355" s="33"/>
      <c r="AC3355" s="33"/>
      <c r="AD3355" s="33"/>
      <c r="AE3355" s="33"/>
      <c r="AF3355" s="33"/>
      <c r="AG3355" s="33"/>
      <c r="AH3355" s="33"/>
      <c r="AI3355" s="33"/>
      <c r="AJ3355" s="33"/>
      <c r="AK3355" s="33"/>
    </row>
    <row r="3356">
      <c r="A3356" s="33"/>
      <c r="B3356" s="33"/>
      <c r="C3356" s="33"/>
      <c r="D3356" s="33"/>
      <c r="E3356" s="33"/>
      <c r="F3356" s="33"/>
      <c r="G3356" s="33"/>
      <c r="H3356" s="33"/>
      <c r="I3356" s="33"/>
      <c r="J3356" s="33"/>
      <c r="K3356" s="33"/>
      <c r="L3356" s="33"/>
      <c r="M3356" s="33"/>
      <c r="N3356" s="33"/>
      <c r="O3356" s="33"/>
      <c r="P3356" s="33"/>
      <c r="Q3356" s="33"/>
      <c r="R3356" s="33"/>
      <c r="S3356" s="33"/>
      <c r="T3356" s="33"/>
      <c r="U3356" s="33"/>
      <c r="V3356" s="33"/>
      <c r="W3356" s="33"/>
      <c r="X3356" s="33"/>
      <c r="Y3356" s="33"/>
      <c r="Z3356" s="33"/>
      <c r="AA3356" s="33"/>
      <c r="AB3356" s="33"/>
      <c r="AC3356" s="33"/>
      <c r="AD3356" s="33"/>
      <c r="AE3356" s="33"/>
      <c r="AF3356" s="33"/>
      <c r="AG3356" s="33"/>
      <c r="AH3356" s="33"/>
      <c r="AI3356" s="33"/>
      <c r="AJ3356" s="33"/>
      <c r="AK3356" s="33"/>
    </row>
    <row r="3357">
      <c r="A3357" s="33"/>
      <c r="B3357" s="33"/>
      <c r="C3357" s="33"/>
      <c r="D3357" s="33"/>
      <c r="E3357" s="33"/>
      <c r="F3357" s="33"/>
      <c r="G3357" s="33"/>
      <c r="H3357" s="33"/>
      <c r="I3357" s="33"/>
      <c r="J3357" s="33"/>
      <c r="K3357" s="33"/>
      <c r="L3357" s="33"/>
      <c r="M3357" s="33"/>
      <c r="N3357" s="33"/>
      <c r="O3357" s="33"/>
      <c r="P3357" s="33"/>
      <c r="Q3357" s="33"/>
      <c r="R3357" s="33"/>
      <c r="S3357" s="33"/>
      <c r="T3357" s="33"/>
      <c r="U3357" s="33"/>
      <c r="V3357" s="33"/>
      <c r="W3357" s="33"/>
      <c r="X3357" s="33"/>
      <c r="Y3357" s="33"/>
      <c r="Z3357" s="33"/>
      <c r="AA3357" s="33"/>
      <c r="AB3357" s="33"/>
      <c r="AC3357" s="33"/>
      <c r="AD3357" s="33"/>
      <c r="AE3357" s="33"/>
      <c r="AF3357" s="33"/>
      <c r="AG3357" s="33"/>
      <c r="AH3357" s="33"/>
      <c r="AI3357" s="33"/>
      <c r="AJ3357" s="33"/>
      <c r="AK3357" s="33"/>
    </row>
    <row r="3358">
      <c r="A3358" s="33"/>
      <c r="B3358" s="33"/>
      <c r="C3358" s="33"/>
      <c r="D3358" s="33"/>
      <c r="E3358" s="33"/>
      <c r="F3358" s="33"/>
      <c r="G3358" s="33"/>
      <c r="H3358" s="33"/>
      <c r="I3358" s="33"/>
      <c r="J3358" s="33"/>
      <c r="K3358" s="33"/>
      <c r="L3358" s="33"/>
      <c r="M3358" s="33"/>
      <c r="N3358" s="33"/>
      <c r="O3358" s="33"/>
      <c r="P3358" s="33"/>
      <c r="Q3358" s="33"/>
      <c r="R3358" s="33"/>
      <c r="S3358" s="33"/>
      <c r="T3358" s="33"/>
      <c r="U3358" s="33"/>
      <c r="V3358" s="33"/>
      <c r="W3358" s="33"/>
      <c r="X3358" s="33"/>
      <c r="Y3358" s="33"/>
      <c r="Z3358" s="33"/>
      <c r="AA3358" s="33"/>
      <c r="AB3358" s="33"/>
      <c r="AC3358" s="33"/>
      <c r="AD3358" s="33"/>
      <c r="AE3358" s="33"/>
      <c r="AF3358" s="33"/>
      <c r="AG3358" s="33"/>
      <c r="AH3358" s="33"/>
      <c r="AI3358" s="33"/>
      <c r="AJ3358" s="33"/>
      <c r="AK3358" s="33"/>
    </row>
    <row r="3359">
      <c r="A3359" s="33"/>
      <c r="B3359" s="33"/>
      <c r="C3359" s="33"/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33"/>
      <c r="V3359" s="33"/>
      <c r="W3359" s="33"/>
      <c r="X3359" s="33"/>
      <c r="Y3359" s="33"/>
      <c r="Z3359" s="33"/>
      <c r="AA3359" s="33"/>
      <c r="AB3359" s="33"/>
      <c r="AC3359" s="33"/>
      <c r="AD3359" s="33"/>
      <c r="AE3359" s="33"/>
      <c r="AF3359" s="33"/>
      <c r="AG3359" s="33"/>
      <c r="AH3359" s="33"/>
      <c r="AI3359" s="33"/>
      <c r="AJ3359" s="33"/>
      <c r="AK3359" s="33"/>
    </row>
    <row r="3360">
      <c r="A3360" s="33"/>
      <c r="B3360" s="33"/>
      <c r="C3360" s="33"/>
      <c r="D3360" s="33"/>
      <c r="E3360" s="33"/>
      <c r="F3360" s="33"/>
      <c r="G3360" s="33"/>
      <c r="H3360" s="33"/>
      <c r="I3360" s="33"/>
      <c r="J3360" s="33"/>
      <c r="K3360" s="33"/>
      <c r="L3360" s="33"/>
      <c r="M3360" s="33"/>
      <c r="N3360" s="33"/>
      <c r="O3360" s="33"/>
      <c r="P3360" s="33"/>
      <c r="Q3360" s="33"/>
      <c r="R3360" s="33"/>
      <c r="S3360" s="33"/>
      <c r="T3360" s="33"/>
      <c r="U3360" s="33"/>
      <c r="V3360" s="33"/>
      <c r="W3360" s="33"/>
      <c r="X3360" s="33"/>
      <c r="Y3360" s="33"/>
      <c r="Z3360" s="33"/>
      <c r="AA3360" s="33"/>
      <c r="AB3360" s="33"/>
      <c r="AC3360" s="33"/>
      <c r="AD3360" s="33"/>
      <c r="AE3360" s="33"/>
      <c r="AF3360" s="33"/>
      <c r="AG3360" s="33"/>
      <c r="AH3360" s="33"/>
      <c r="AI3360" s="33"/>
      <c r="AJ3360" s="33"/>
      <c r="AK3360" s="33"/>
    </row>
    <row r="3361">
      <c r="A3361" s="33"/>
      <c r="B3361" s="33"/>
      <c r="C3361" s="33"/>
      <c r="D3361" s="33"/>
      <c r="E3361" s="33"/>
      <c r="F3361" s="33"/>
      <c r="G3361" s="33"/>
      <c r="H3361" s="33"/>
      <c r="I3361" s="33"/>
      <c r="J3361" s="33"/>
      <c r="K3361" s="33"/>
      <c r="L3361" s="33"/>
      <c r="M3361" s="33"/>
      <c r="N3361" s="33"/>
      <c r="O3361" s="33"/>
      <c r="P3361" s="33"/>
      <c r="Q3361" s="33"/>
      <c r="R3361" s="33"/>
      <c r="S3361" s="33"/>
      <c r="T3361" s="33"/>
      <c r="U3361" s="33"/>
      <c r="V3361" s="33"/>
      <c r="W3361" s="33"/>
      <c r="X3361" s="33"/>
      <c r="Y3361" s="33"/>
      <c r="Z3361" s="33"/>
      <c r="AA3361" s="33"/>
      <c r="AB3361" s="33"/>
      <c r="AC3361" s="33"/>
      <c r="AD3361" s="33"/>
      <c r="AE3361" s="33"/>
      <c r="AF3361" s="33"/>
      <c r="AG3361" s="33"/>
      <c r="AH3361" s="33"/>
      <c r="AI3361" s="33"/>
      <c r="AJ3361" s="33"/>
      <c r="AK3361" s="33"/>
    </row>
    <row r="3362">
      <c r="A3362" s="33"/>
      <c r="B3362" s="33"/>
      <c r="C3362" s="33"/>
      <c r="D3362" s="33"/>
      <c r="E3362" s="33"/>
      <c r="F3362" s="33"/>
      <c r="G3362" s="33"/>
      <c r="H3362" s="33"/>
      <c r="I3362" s="33"/>
      <c r="J3362" s="33"/>
      <c r="K3362" s="33"/>
      <c r="L3362" s="33"/>
      <c r="M3362" s="33"/>
      <c r="N3362" s="33"/>
      <c r="O3362" s="33"/>
      <c r="P3362" s="33"/>
      <c r="Q3362" s="33"/>
      <c r="R3362" s="33"/>
      <c r="S3362" s="33"/>
      <c r="T3362" s="33"/>
      <c r="U3362" s="33"/>
      <c r="V3362" s="33"/>
      <c r="W3362" s="33"/>
      <c r="X3362" s="33"/>
      <c r="Y3362" s="33"/>
      <c r="Z3362" s="33"/>
      <c r="AA3362" s="33"/>
      <c r="AB3362" s="33"/>
      <c r="AC3362" s="33"/>
      <c r="AD3362" s="33"/>
      <c r="AE3362" s="33"/>
      <c r="AF3362" s="33"/>
      <c r="AG3362" s="33"/>
      <c r="AH3362" s="33"/>
      <c r="AI3362" s="33"/>
      <c r="AJ3362" s="33"/>
      <c r="AK3362" s="33"/>
    </row>
    <row r="3363">
      <c r="A3363" s="33"/>
      <c r="B3363" s="33"/>
      <c r="C3363" s="33"/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  <c r="R3363" s="33"/>
      <c r="S3363" s="33"/>
      <c r="T3363" s="33"/>
      <c r="U3363" s="33"/>
      <c r="V3363" s="33"/>
      <c r="W3363" s="33"/>
      <c r="X3363" s="33"/>
      <c r="Y3363" s="33"/>
      <c r="Z3363" s="33"/>
      <c r="AA3363" s="33"/>
      <c r="AB3363" s="33"/>
      <c r="AC3363" s="33"/>
      <c r="AD3363" s="33"/>
      <c r="AE3363" s="33"/>
      <c r="AF3363" s="33"/>
      <c r="AG3363" s="33"/>
      <c r="AH3363" s="33"/>
      <c r="AI3363" s="33"/>
      <c r="AJ3363" s="33"/>
      <c r="AK3363" s="33"/>
    </row>
    <row r="3364">
      <c r="A3364" s="33"/>
      <c r="B3364" s="33"/>
      <c r="C3364" s="33"/>
      <c r="D3364" s="33"/>
      <c r="E3364" s="33"/>
      <c r="F3364" s="33"/>
      <c r="G3364" s="33"/>
      <c r="H3364" s="33"/>
      <c r="I3364" s="33"/>
      <c r="J3364" s="33"/>
      <c r="K3364" s="33"/>
      <c r="L3364" s="33"/>
      <c r="M3364" s="33"/>
      <c r="N3364" s="33"/>
      <c r="O3364" s="33"/>
      <c r="P3364" s="33"/>
      <c r="Q3364" s="33"/>
      <c r="R3364" s="33"/>
      <c r="S3364" s="33"/>
      <c r="T3364" s="33"/>
      <c r="U3364" s="33"/>
      <c r="V3364" s="33"/>
      <c r="W3364" s="33"/>
      <c r="X3364" s="33"/>
      <c r="Y3364" s="33"/>
      <c r="Z3364" s="33"/>
      <c r="AA3364" s="33"/>
      <c r="AB3364" s="33"/>
      <c r="AC3364" s="33"/>
      <c r="AD3364" s="33"/>
      <c r="AE3364" s="33"/>
      <c r="AF3364" s="33"/>
      <c r="AG3364" s="33"/>
      <c r="AH3364" s="33"/>
      <c r="AI3364" s="33"/>
      <c r="AJ3364" s="33"/>
      <c r="AK3364" s="33"/>
    </row>
    <row r="3365">
      <c r="A3365" s="33"/>
      <c r="B3365" s="33"/>
      <c r="C3365" s="33"/>
      <c r="D3365" s="33"/>
      <c r="E3365" s="33"/>
      <c r="F3365" s="33"/>
      <c r="G3365" s="33"/>
      <c r="H3365" s="33"/>
      <c r="I3365" s="33"/>
      <c r="J3365" s="33"/>
      <c r="K3365" s="33"/>
      <c r="L3365" s="33"/>
      <c r="M3365" s="33"/>
      <c r="N3365" s="33"/>
      <c r="O3365" s="33"/>
      <c r="P3365" s="33"/>
      <c r="Q3365" s="33"/>
      <c r="R3365" s="33"/>
      <c r="S3365" s="33"/>
      <c r="T3365" s="33"/>
      <c r="U3365" s="33"/>
      <c r="V3365" s="33"/>
      <c r="W3365" s="33"/>
      <c r="X3365" s="33"/>
      <c r="Y3365" s="33"/>
      <c r="Z3365" s="33"/>
      <c r="AA3365" s="33"/>
      <c r="AB3365" s="33"/>
      <c r="AC3365" s="33"/>
      <c r="AD3365" s="33"/>
      <c r="AE3365" s="33"/>
      <c r="AF3365" s="33"/>
      <c r="AG3365" s="33"/>
      <c r="AH3365" s="33"/>
      <c r="AI3365" s="33"/>
      <c r="AJ3365" s="33"/>
      <c r="AK3365" s="33"/>
    </row>
    <row r="3366">
      <c r="A3366" s="33"/>
      <c r="B3366" s="33"/>
      <c r="C3366" s="33"/>
      <c r="D3366" s="33"/>
      <c r="E3366" s="33"/>
      <c r="F3366" s="33"/>
      <c r="G3366" s="33"/>
      <c r="H3366" s="33"/>
      <c r="I3366" s="33"/>
      <c r="J3366" s="33"/>
      <c r="K3366" s="33"/>
      <c r="L3366" s="33"/>
      <c r="M3366" s="33"/>
      <c r="N3366" s="33"/>
      <c r="O3366" s="33"/>
      <c r="P3366" s="33"/>
      <c r="Q3366" s="33"/>
      <c r="R3366" s="33"/>
      <c r="S3366" s="33"/>
      <c r="T3366" s="33"/>
      <c r="U3366" s="33"/>
      <c r="V3366" s="33"/>
      <c r="W3366" s="33"/>
      <c r="X3366" s="33"/>
      <c r="Y3366" s="33"/>
      <c r="Z3366" s="33"/>
      <c r="AA3366" s="33"/>
      <c r="AB3366" s="33"/>
      <c r="AC3366" s="33"/>
      <c r="AD3366" s="33"/>
      <c r="AE3366" s="33"/>
      <c r="AF3366" s="33"/>
      <c r="AG3366" s="33"/>
      <c r="AH3366" s="33"/>
      <c r="AI3366" s="33"/>
      <c r="AJ3366" s="33"/>
      <c r="AK3366" s="33"/>
    </row>
    <row r="3367">
      <c r="A3367" s="33"/>
      <c r="B3367" s="33"/>
      <c r="C3367" s="33"/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  <c r="Q3367" s="33"/>
      <c r="R3367" s="33"/>
      <c r="S3367" s="33"/>
      <c r="T3367" s="33"/>
      <c r="U3367" s="33"/>
      <c r="V3367" s="33"/>
      <c r="W3367" s="33"/>
      <c r="X3367" s="33"/>
      <c r="Y3367" s="33"/>
      <c r="Z3367" s="33"/>
      <c r="AA3367" s="33"/>
      <c r="AB3367" s="33"/>
      <c r="AC3367" s="33"/>
      <c r="AD3367" s="33"/>
      <c r="AE3367" s="33"/>
      <c r="AF3367" s="33"/>
      <c r="AG3367" s="33"/>
      <c r="AH3367" s="33"/>
      <c r="AI3367" s="33"/>
      <c r="AJ3367" s="33"/>
      <c r="AK3367" s="33"/>
    </row>
    <row r="3368">
      <c r="A3368" s="33"/>
      <c r="B3368" s="33"/>
      <c r="C3368" s="33"/>
      <c r="D3368" s="33"/>
      <c r="E3368" s="33"/>
      <c r="F3368" s="33"/>
      <c r="G3368" s="33"/>
      <c r="H3368" s="33"/>
      <c r="I3368" s="33"/>
      <c r="J3368" s="33"/>
      <c r="K3368" s="33"/>
      <c r="L3368" s="33"/>
      <c r="M3368" s="33"/>
      <c r="N3368" s="33"/>
      <c r="O3368" s="33"/>
      <c r="P3368" s="33"/>
      <c r="Q3368" s="33"/>
      <c r="R3368" s="33"/>
      <c r="S3368" s="33"/>
      <c r="T3368" s="33"/>
      <c r="U3368" s="33"/>
      <c r="V3368" s="33"/>
      <c r="W3368" s="33"/>
      <c r="X3368" s="33"/>
      <c r="Y3368" s="33"/>
      <c r="Z3368" s="33"/>
      <c r="AA3368" s="33"/>
      <c r="AB3368" s="33"/>
      <c r="AC3368" s="33"/>
      <c r="AD3368" s="33"/>
      <c r="AE3368" s="33"/>
      <c r="AF3368" s="33"/>
      <c r="AG3368" s="33"/>
      <c r="AH3368" s="33"/>
      <c r="AI3368" s="33"/>
      <c r="AJ3368" s="33"/>
      <c r="AK3368" s="33"/>
    </row>
    <row r="3369">
      <c r="A3369" s="33"/>
      <c r="B3369" s="33"/>
      <c r="C3369" s="33"/>
      <c r="D3369" s="33"/>
      <c r="E3369" s="33"/>
      <c r="F3369" s="33"/>
      <c r="G3369" s="33"/>
      <c r="H3369" s="33"/>
      <c r="I3369" s="33"/>
      <c r="J3369" s="33"/>
      <c r="K3369" s="33"/>
      <c r="L3369" s="33"/>
      <c r="M3369" s="33"/>
      <c r="N3369" s="33"/>
      <c r="O3369" s="33"/>
      <c r="P3369" s="33"/>
      <c r="Q3369" s="33"/>
      <c r="R3369" s="33"/>
      <c r="S3369" s="33"/>
      <c r="T3369" s="33"/>
      <c r="U3369" s="33"/>
      <c r="V3369" s="33"/>
      <c r="W3369" s="33"/>
      <c r="X3369" s="33"/>
      <c r="Y3369" s="33"/>
      <c r="Z3369" s="33"/>
      <c r="AA3369" s="33"/>
      <c r="AB3369" s="33"/>
      <c r="AC3369" s="33"/>
      <c r="AD3369" s="33"/>
      <c r="AE3369" s="33"/>
      <c r="AF3369" s="33"/>
      <c r="AG3369" s="33"/>
      <c r="AH3369" s="33"/>
      <c r="AI3369" s="33"/>
      <c r="AJ3369" s="33"/>
      <c r="AK3369" s="33"/>
    </row>
    <row r="3370">
      <c r="A3370" s="33"/>
      <c r="B3370" s="33"/>
      <c r="C3370" s="33"/>
      <c r="D3370" s="33"/>
      <c r="E3370" s="33"/>
      <c r="F3370" s="33"/>
      <c r="G3370" s="33"/>
      <c r="H3370" s="33"/>
      <c r="I3370" s="33"/>
      <c r="J3370" s="33"/>
      <c r="K3370" s="33"/>
      <c r="L3370" s="33"/>
      <c r="M3370" s="33"/>
      <c r="N3370" s="33"/>
      <c r="O3370" s="33"/>
      <c r="P3370" s="33"/>
      <c r="Q3370" s="33"/>
      <c r="R3370" s="33"/>
      <c r="S3370" s="33"/>
      <c r="T3370" s="33"/>
      <c r="U3370" s="33"/>
      <c r="V3370" s="33"/>
      <c r="W3370" s="33"/>
      <c r="X3370" s="33"/>
      <c r="Y3370" s="33"/>
      <c r="Z3370" s="33"/>
      <c r="AA3370" s="33"/>
      <c r="AB3370" s="33"/>
      <c r="AC3370" s="33"/>
      <c r="AD3370" s="33"/>
      <c r="AE3370" s="33"/>
      <c r="AF3370" s="33"/>
      <c r="AG3370" s="33"/>
      <c r="AH3370" s="33"/>
      <c r="AI3370" s="33"/>
      <c r="AJ3370" s="33"/>
      <c r="AK3370" s="33"/>
    </row>
    <row r="3371">
      <c r="A3371" s="33"/>
      <c r="B3371" s="33"/>
      <c r="C3371" s="33"/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  <c r="Q3371" s="33"/>
      <c r="R3371" s="33"/>
      <c r="S3371" s="33"/>
      <c r="T3371" s="33"/>
      <c r="U3371" s="33"/>
      <c r="V3371" s="33"/>
      <c r="W3371" s="33"/>
      <c r="X3371" s="33"/>
      <c r="Y3371" s="33"/>
      <c r="Z3371" s="33"/>
      <c r="AA3371" s="33"/>
      <c r="AB3371" s="33"/>
      <c r="AC3371" s="33"/>
      <c r="AD3371" s="33"/>
      <c r="AE3371" s="33"/>
      <c r="AF3371" s="33"/>
      <c r="AG3371" s="33"/>
      <c r="AH3371" s="33"/>
      <c r="AI3371" s="33"/>
      <c r="AJ3371" s="33"/>
      <c r="AK3371" s="33"/>
    </row>
    <row r="3372">
      <c r="A3372" s="33"/>
      <c r="B3372" s="33"/>
      <c r="C3372" s="33"/>
      <c r="D3372" s="33"/>
      <c r="E3372" s="33"/>
      <c r="F3372" s="33"/>
      <c r="G3372" s="33"/>
      <c r="H3372" s="33"/>
      <c r="I3372" s="33"/>
      <c r="J3372" s="33"/>
      <c r="K3372" s="33"/>
      <c r="L3372" s="33"/>
      <c r="M3372" s="33"/>
      <c r="N3372" s="33"/>
      <c r="O3372" s="33"/>
      <c r="P3372" s="33"/>
      <c r="Q3372" s="33"/>
      <c r="R3372" s="33"/>
      <c r="S3372" s="33"/>
      <c r="T3372" s="33"/>
      <c r="U3372" s="33"/>
      <c r="V3372" s="33"/>
      <c r="W3372" s="33"/>
      <c r="X3372" s="33"/>
      <c r="Y3372" s="33"/>
      <c r="Z3372" s="33"/>
      <c r="AA3372" s="33"/>
      <c r="AB3372" s="33"/>
      <c r="AC3372" s="33"/>
      <c r="AD3372" s="33"/>
      <c r="AE3372" s="33"/>
      <c r="AF3372" s="33"/>
      <c r="AG3372" s="33"/>
      <c r="AH3372" s="33"/>
      <c r="AI3372" s="33"/>
      <c r="AJ3372" s="33"/>
      <c r="AK3372" s="33"/>
    </row>
    <row r="3373">
      <c r="A3373" s="33"/>
      <c r="B3373" s="33"/>
      <c r="C3373" s="33"/>
      <c r="D3373" s="33"/>
      <c r="E3373" s="33"/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33"/>
      <c r="Q3373" s="33"/>
      <c r="R3373" s="33"/>
      <c r="S3373" s="33"/>
      <c r="T3373" s="33"/>
      <c r="U3373" s="33"/>
      <c r="V3373" s="33"/>
      <c r="W3373" s="33"/>
      <c r="X3373" s="33"/>
      <c r="Y3373" s="33"/>
      <c r="Z3373" s="33"/>
      <c r="AA3373" s="33"/>
      <c r="AB3373" s="33"/>
      <c r="AC3373" s="33"/>
      <c r="AD3373" s="33"/>
      <c r="AE3373" s="33"/>
      <c r="AF3373" s="33"/>
      <c r="AG3373" s="33"/>
      <c r="AH3373" s="33"/>
      <c r="AI3373" s="33"/>
      <c r="AJ3373" s="33"/>
      <c r="AK3373" s="33"/>
    </row>
    <row r="3374">
      <c r="A3374" s="33"/>
      <c r="B3374" s="33"/>
      <c r="C3374" s="33"/>
      <c r="D3374" s="33"/>
      <c r="E3374" s="33"/>
      <c r="F3374" s="33"/>
      <c r="G3374" s="33"/>
      <c r="H3374" s="33"/>
      <c r="I3374" s="33"/>
      <c r="J3374" s="33"/>
      <c r="K3374" s="33"/>
      <c r="L3374" s="33"/>
      <c r="M3374" s="33"/>
      <c r="N3374" s="33"/>
      <c r="O3374" s="33"/>
      <c r="P3374" s="33"/>
      <c r="Q3374" s="33"/>
      <c r="R3374" s="33"/>
      <c r="S3374" s="33"/>
      <c r="T3374" s="33"/>
      <c r="U3374" s="33"/>
      <c r="V3374" s="33"/>
      <c r="W3374" s="33"/>
      <c r="X3374" s="33"/>
      <c r="Y3374" s="33"/>
      <c r="Z3374" s="33"/>
      <c r="AA3374" s="33"/>
      <c r="AB3374" s="33"/>
      <c r="AC3374" s="33"/>
      <c r="AD3374" s="33"/>
      <c r="AE3374" s="33"/>
      <c r="AF3374" s="33"/>
      <c r="AG3374" s="33"/>
      <c r="AH3374" s="33"/>
      <c r="AI3374" s="33"/>
      <c r="AJ3374" s="33"/>
      <c r="AK3374" s="33"/>
    </row>
    <row r="3375">
      <c r="A3375" s="33"/>
      <c r="B3375" s="33"/>
      <c r="C3375" s="33"/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  <c r="Q3375" s="33"/>
      <c r="R3375" s="33"/>
      <c r="S3375" s="33"/>
      <c r="T3375" s="33"/>
      <c r="U3375" s="33"/>
      <c r="V3375" s="33"/>
      <c r="W3375" s="33"/>
      <c r="X3375" s="33"/>
      <c r="Y3375" s="33"/>
      <c r="Z3375" s="33"/>
      <c r="AA3375" s="33"/>
      <c r="AB3375" s="33"/>
      <c r="AC3375" s="33"/>
      <c r="AD3375" s="33"/>
      <c r="AE3375" s="33"/>
      <c r="AF3375" s="33"/>
      <c r="AG3375" s="33"/>
      <c r="AH3375" s="33"/>
      <c r="AI3375" s="33"/>
      <c r="AJ3375" s="33"/>
      <c r="AK3375" s="33"/>
    </row>
    <row r="3376">
      <c r="A3376" s="33"/>
      <c r="B3376" s="33"/>
      <c r="C3376" s="33"/>
      <c r="D3376" s="33"/>
      <c r="E3376" s="33"/>
      <c r="F3376" s="33"/>
      <c r="G3376" s="33"/>
      <c r="H3376" s="33"/>
      <c r="I3376" s="33"/>
      <c r="J3376" s="33"/>
      <c r="K3376" s="33"/>
      <c r="L3376" s="33"/>
      <c r="M3376" s="33"/>
      <c r="N3376" s="33"/>
      <c r="O3376" s="33"/>
      <c r="P3376" s="33"/>
      <c r="Q3376" s="33"/>
      <c r="R3376" s="33"/>
      <c r="S3376" s="33"/>
      <c r="T3376" s="33"/>
      <c r="U3376" s="33"/>
      <c r="V3376" s="33"/>
      <c r="W3376" s="33"/>
      <c r="X3376" s="33"/>
      <c r="Y3376" s="33"/>
      <c r="Z3376" s="33"/>
      <c r="AA3376" s="33"/>
      <c r="AB3376" s="33"/>
      <c r="AC3376" s="33"/>
      <c r="AD3376" s="33"/>
      <c r="AE3376" s="33"/>
      <c r="AF3376" s="33"/>
      <c r="AG3376" s="33"/>
      <c r="AH3376" s="33"/>
      <c r="AI3376" s="33"/>
      <c r="AJ3376" s="33"/>
      <c r="AK3376" s="33"/>
    </row>
    <row r="3377">
      <c r="A3377" s="33"/>
      <c r="B3377" s="33"/>
      <c r="C3377" s="33"/>
      <c r="D3377" s="33"/>
      <c r="E3377" s="33"/>
      <c r="F3377" s="33"/>
      <c r="G3377" s="33"/>
      <c r="H3377" s="33"/>
      <c r="I3377" s="33"/>
      <c r="J3377" s="33"/>
      <c r="K3377" s="33"/>
      <c r="L3377" s="33"/>
      <c r="M3377" s="33"/>
      <c r="N3377" s="33"/>
      <c r="O3377" s="33"/>
      <c r="P3377" s="33"/>
      <c r="Q3377" s="33"/>
      <c r="R3377" s="33"/>
      <c r="S3377" s="33"/>
      <c r="T3377" s="33"/>
      <c r="U3377" s="33"/>
      <c r="V3377" s="33"/>
      <c r="W3377" s="33"/>
      <c r="X3377" s="33"/>
      <c r="Y3377" s="33"/>
      <c r="Z3377" s="33"/>
      <c r="AA3377" s="33"/>
      <c r="AB3377" s="33"/>
      <c r="AC3377" s="33"/>
      <c r="AD3377" s="33"/>
      <c r="AE3377" s="33"/>
      <c r="AF3377" s="33"/>
      <c r="AG3377" s="33"/>
      <c r="AH3377" s="33"/>
      <c r="AI3377" s="33"/>
      <c r="AJ3377" s="33"/>
      <c r="AK3377" s="33"/>
    </row>
    <row r="3378">
      <c r="A3378" s="33"/>
      <c r="B3378" s="33"/>
      <c r="C3378" s="33"/>
      <c r="D3378" s="33"/>
      <c r="E3378" s="33"/>
      <c r="F3378" s="33"/>
      <c r="G3378" s="33"/>
      <c r="H3378" s="33"/>
      <c r="I3378" s="33"/>
      <c r="J3378" s="33"/>
      <c r="K3378" s="33"/>
      <c r="L3378" s="33"/>
      <c r="M3378" s="33"/>
      <c r="N3378" s="33"/>
      <c r="O3378" s="33"/>
      <c r="P3378" s="33"/>
      <c r="Q3378" s="33"/>
      <c r="R3378" s="33"/>
      <c r="S3378" s="33"/>
      <c r="T3378" s="33"/>
      <c r="U3378" s="33"/>
      <c r="V3378" s="33"/>
      <c r="W3378" s="33"/>
      <c r="X3378" s="33"/>
      <c r="Y3378" s="33"/>
      <c r="Z3378" s="33"/>
      <c r="AA3378" s="33"/>
      <c r="AB3378" s="33"/>
      <c r="AC3378" s="33"/>
      <c r="AD3378" s="33"/>
      <c r="AE3378" s="33"/>
      <c r="AF3378" s="33"/>
      <c r="AG3378" s="33"/>
      <c r="AH3378" s="33"/>
      <c r="AI3378" s="33"/>
      <c r="AJ3378" s="33"/>
      <c r="AK3378" s="33"/>
    </row>
    <row r="3379">
      <c r="A3379" s="33"/>
      <c r="B3379" s="33"/>
      <c r="C3379" s="33"/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  <c r="Q3379" s="33"/>
      <c r="R3379" s="33"/>
      <c r="S3379" s="33"/>
      <c r="T3379" s="33"/>
      <c r="U3379" s="33"/>
      <c r="V3379" s="33"/>
      <c r="W3379" s="33"/>
      <c r="X3379" s="33"/>
      <c r="Y3379" s="33"/>
      <c r="Z3379" s="33"/>
      <c r="AA3379" s="33"/>
      <c r="AB3379" s="33"/>
      <c r="AC3379" s="33"/>
      <c r="AD3379" s="33"/>
      <c r="AE3379" s="33"/>
      <c r="AF3379" s="33"/>
      <c r="AG3379" s="33"/>
      <c r="AH3379" s="33"/>
      <c r="AI3379" s="33"/>
      <c r="AJ3379" s="33"/>
      <c r="AK3379" s="33"/>
    </row>
    <row r="3380">
      <c r="A3380" s="33"/>
      <c r="B3380" s="33"/>
      <c r="C3380" s="33"/>
      <c r="D3380" s="33"/>
      <c r="E3380" s="33"/>
      <c r="F3380" s="33"/>
      <c r="G3380" s="33"/>
      <c r="H3380" s="33"/>
      <c r="I3380" s="33"/>
      <c r="J3380" s="33"/>
      <c r="K3380" s="33"/>
      <c r="L3380" s="33"/>
      <c r="M3380" s="33"/>
      <c r="N3380" s="33"/>
      <c r="O3380" s="33"/>
      <c r="P3380" s="33"/>
      <c r="Q3380" s="33"/>
      <c r="R3380" s="33"/>
      <c r="S3380" s="33"/>
      <c r="T3380" s="33"/>
      <c r="U3380" s="33"/>
      <c r="V3380" s="33"/>
      <c r="W3380" s="33"/>
      <c r="X3380" s="33"/>
      <c r="Y3380" s="33"/>
      <c r="Z3380" s="33"/>
      <c r="AA3380" s="33"/>
      <c r="AB3380" s="33"/>
      <c r="AC3380" s="33"/>
      <c r="AD3380" s="33"/>
      <c r="AE3380" s="33"/>
      <c r="AF3380" s="33"/>
      <c r="AG3380" s="33"/>
      <c r="AH3380" s="33"/>
      <c r="AI3380" s="33"/>
      <c r="AJ3380" s="33"/>
      <c r="AK3380" s="33"/>
    </row>
    <row r="3381">
      <c r="A3381" s="33"/>
      <c r="B3381" s="33"/>
      <c r="C3381" s="33"/>
      <c r="D3381" s="33"/>
      <c r="E3381" s="33"/>
      <c r="F3381" s="33"/>
      <c r="G3381" s="33"/>
      <c r="H3381" s="33"/>
      <c r="I3381" s="33"/>
      <c r="J3381" s="33"/>
      <c r="K3381" s="33"/>
      <c r="L3381" s="33"/>
      <c r="M3381" s="33"/>
      <c r="N3381" s="33"/>
      <c r="O3381" s="33"/>
      <c r="P3381" s="33"/>
      <c r="Q3381" s="33"/>
      <c r="R3381" s="33"/>
      <c r="S3381" s="33"/>
      <c r="T3381" s="33"/>
      <c r="U3381" s="33"/>
      <c r="V3381" s="33"/>
      <c r="W3381" s="33"/>
      <c r="X3381" s="33"/>
      <c r="Y3381" s="33"/>
      <c r="Z3381" s="33"/>
      <c r="AA3381" s="33"/>
      <c r="AB3381" s="33"/>
      <c r="AC3381" s="33"/>
      <c r="AD3381" s="33"/>
      <c r="AE3381" s="33"/>
      <c r="AF3381" s="33"/>
      <c r="AG3381" s="33"/>
      <c r="AH3381" s="33"/>
      <c r="AI3381" s="33"/>
      <c r="AJ3381" s="33"/>
      <c r="AK3381" s="33"/>
    </row>
    <row r="3382">
      <c r="A3382" s="33"/>
      <c r="B3382" s="33"/>
      <c r="C3382" s="33"/>
      <c r="D3382" s="33"/>
      <c r="E3382" s="33"/>
      <c r="F3382" s="33"/>
      <c r="G3382" s="33"/>
      <c r="H3382" s="33"/>
      <c r="I3382" s="33"/>
      <c r="J3382" s="33"/>
      <c r="K3382" s="33"/>
      <c r="L3382" s="33"/>
      <c r="M3382" s="33"/>
      <c r="N3382" s="33"/>
      <c r="O3382" s="33"/>
      <c r="P3382" s="33"/>
      <c r="Q3382" s="33"/>
      <c r="R3382" s="33"/>
      <c r="S3382" s="33"/>
      <c r="T3382" s="33"/>
      <c r="U3382" s="33"/>
      <c r="V3382" s="33"/>
      <c r="W3382" s="33"/>
      <c r="X3382" s="33"/>
      <c r="Y3382" s="33"/>
      <c r="Z3382" s="33"/>
      <c r="AA3382" s="33"/>
      <c r="AB3382" s="33"/>
      <c r="AC3382" s="33"/>
      <c r="AD3382" s="33"/>
      <c r="AE3382" s="33"/>
      <c r="AF3382" s="33"/>
      <c r="AG3382" s="33"/>
      <c r="AH3382" s="33"/>
      <c r="AI3382" s="33"/>
      <c r="AJ3382" s="33"/>
      <c r="AK3382" s="33"/>
    </row>
    <row r="3383">
      <c r="A3383" s="33"/>
      <c r="B3383" s="33"/>
      <c r="C3383" s="33"/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  <c r="Q3383" s="33"/>
      <c r="R3383" s="33"/>
      <c r="S3383" s="33"/>
      <c r="T3383" s="33"/>
      <c r="U3383" s="33"/>
      <c r="V3383" s="33"/>
      <c r="W3383" s="33"/>
      <c r="X3383" s="33"/>
      <c r="Y3383" s="33"/>
      <c r="Z3383" s="33"/>
      <c r="AA3383" s="33"/>
      <c r="AB3383" s="33"/>
      <c r="AC3383" s="33"/>
      <c r="AD3383" s="33"/>
      <c r="AE3383" s="33"/>
      <c r="AF3383" s="33"/>
      <c r="AG3383" s="33"/>
      <c r="AH3383" s="33"/>
      <c r="AI3383" s="33"/>
      <c r="AJ3383" s="33"/>
      <c r="AK3383" s="33"/>
    </row>
    <row r="3384">
      <c r="A3384" s="33"/>
      <c r="B3384" s="33"/>
      <c r="C3384" s="33"/>
      <c r="D3384" s="33"/>
      <c r="E3384" s="33"/>
      <c r="F3384" s="33"/>
      <c r="G3384" s="33"/>
      <c r="H3384" s="33"/>
      <c r="I3384" s="33"/>
      <c r="J3384" s="33"/>
      <c r="K3384" s="33"/>
      <c r="L3384" s="33"/>
      <c r="M3384" s="33"/>
      <c r="N3384" s="33"/>
      <c r="O3384" s="33"/>
      <c r="P3384" s="33"/>
      <c r="Q3384" s="33"/>
      <c r="R3384" s="33"/>
      <c r="S3384" s="33"/>
      <c r="T3384" s="33"/>
      <c r="U3384" s="33"/>
      <c r="V3384" s="33"/>
      <c r="W3384" s="33"/>
      <c r="X3384" s="33"/>
      <c r="Y3384" s="33"/>
      <c r="Z3384" s="33"/>
      <c r="AA3384" s="33"/>
      <c r="AB3384" s="33"/>
      <c r="AC3384" s="33"/>
      <c r="AD3384" s="33"/>
      <c r="AE3384" s="33"/>
      <c r="AF3384" s="33"/>
      <c r="AG3384" s="33"/>
      <c r="AH3384" s="33"/>
      <c r="AI3384" s="33"/>
      <c r="AJ3384" s="33"/>
      <c r="AK3384" s="33"/>
    </row>
    <row r="3385">
      <c r="A3385" s="33"/>
      <c r="B3385" s="33"/>
      <c r="C3385" s="33"/>
      <c r="D3385" s="33"/>
      <c r="E3385" s="33"/>
      <c r="F3385" s="33"/>
      <c r="G3385" s="33"/>
      <c r="H3385" s="33"/>
      <c r="I3385" s="33"/>
      <c r="J3385" s="33"/>
      <c r="K3385" s="33"/>
      <c r="L3385" s="33"/>
      <c r="M3385" s="33"/>
      <c r="N3385" s="33"/>
      <c r="O3385" s="33"/>
      <c r="P3385" s="33"/>
      <c r="Q3385" s="33"/>
      <c r="R3385" s="33"/>
      <c r="S3385" s="33"/>
      <c r="T3385" s="33"/>
      <c r="U3385" s="33"/>
      <c r="V3385" s="33"/>
      <c r="W3385" s="33"/>
      <c r="X3385" s="33"/>
      <c r="Y3385" s="33"/>
      <c r="Z3385" s="33"/>
      <c r="AA3385" s="33"/>
      <c r="AB3385" s="33"/>
      <c r="AC3385" s="33"/>
      <c r="AD3385" s="33"/>
      <c r="AE3385" s="33"/>
      <c r="AF3385" s="33"/>
      <c r="AG3385" s="33"/>
      <c r="AH3385" s="33"/>
      <c r="AI3385" s="33"/>
      <c r="AJ3385" s="33"/>
      <c r="AK3385" s="33"/>
    </row>
    <row r="3386">
      <c r="A3386" s="33"/>
      <c r="B3386" s="33"/>
      <c r="C3386" s="33"/>
      <c r="D3386" s="33"/>
      <c r="E3386" s="33"/>
      <c r="F3386" s="33"/>
      <c r="G3386" s="33"/>
      <c r="H3386" s="33"/>
      <c r="I3386" s="33"/>
      <c r="J3386" s="33"/>
      <c r="K3386" s="33"/>
      <c r="L3386" s="33"/>
      <c r="M3386" s="33"/>
      <c r="N3386" s="33"/>
      <c r="O3386" s="33"/>
      <c r="P3386" s="33"/>
      <c r="Q3386" s="33"/>
      <c r="R3386" s="33"/>
      <c r="S3386" s="33"/>
      <c r="T3386" s="33"/>
      <c r="U3386" s="33"/>
      <c r="V3386" s="33"/>
      <c r="W3386" s="33"/>
      <c r="X3386" s="33"/>
      <c r="Y3386" s="33"/>
      <c r="Z3386" s="33"/>
      <c r="AA3386" s="33"/>
      <c r="AB3386" s="33"/>
      <c r="AC3386" s="33"/>
      <c r="AD3386" s="33"/>
      <c r="AE3386" s="33"/>
      <c r="AF3386" s="33"/>
      <c r="AG3386" s="33"/>
      <c r="AH3386" s="33"/>
      <c r="AI3386" s="33"/>
      <c r="AJ3386" s="33"/>
      <c r="AK3386" s="33"/>
    </row>
    <row r="3387">
      <c r="A3387" s="33"/>
      <c r="B3387" s="33"/>
      <c r="C3387" s="33"/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  <c r="Q3387" s="33"/>
      <c r="R3387" s="33"/>
      <c r="S3387" s="33"/>
      <c r="T3387" s="33"/>
      <c r="U3387" s="33"/>
      <c r="V3387" s="33"/>
      <c r="W3387" s="33"/>
      <c r="X3387" s="33"/>
      <c r="Y3387" s="33"/>
      <c r="Z3387" s="33"/>
      <c r="AA3387" s="33"/>
      <c r="AB3387" s="33"/>
      <c r="AC3387" s="33"/>
      <c r="AD3387" s="33"/>
      <c r="AE3387" s="33"/>
      <c r="AF3387" s="33"/>
      <c r="AG3387" s="33"/>
      <c r="AH3387" s="33"/>
      <c r="AI3387" s="33"/>
      <c r="AJ3387" s="33"/>
      <c r="AK3387" s="33"/>
    </row>
    <row r="3388">
      <c r="A3388" s="33"/>
      <c r="B3388" s="33"/>
      <c r="C3388" s="33"/>
      <c r="D3388" s="33"/>
      <c r="E3388" s="33"/>
      <c r="F3388" s="33"/>
      <c r="G3388" s="33"/>
      <c r="H3388" s="33"/>
      <c r="I3388" s="33"/>
      <c r="J3388" s="33"/>
      <c r="K3388" s="33"/>
      <c r="L3388" s="33"/>
      <c r="M3388" s="33"/>
      <c r="N3388" s="33"/>
      <c r="O3388" s="33"/>
      <c r="P3388" s="33"/>
      <c r="Q3388" s="33"/>
      <c r="R3388" s="33"/>
      <c r="S3388" s="33"/>
      <c r="T3388" s="33"/>
      <c r="U3388" s="33"/>
      <c r="V3388" s="33"/>
      <c r="W3388" s="33"/>
      <c r="X3388" s="33"/>
      <c r="Y3388" s="33"/>
      <c r="Z3388" s="33"/>
      <c r="AA3388" s="33"/>
      <c r="AB3388" s="33"/>
      <c r="AC3388" s="33"/>
      <c r="AD3388" s="33"/>
      <c r="AE3388" s="33"/>
      <c r="AF3388" s="33"/>
      <c r="AG3388" s="33"/>
      <c r="AH3388" s="33"/>
      <c r="AI3388" s="33"/>
      <c r="AJ3388" s="33"/>
      <c r="AK3388" s="33"/>
    </row>
    <row r="3389">
      <c r="A3389" s="33"/>
      <c r="B3389" s="33"/>
      <c r="C3389" s="33"/>
      <c r="D3389" s="33"/>
      <c r="E3389" s="33"/>
      <c r="F3389" s="33"/>
      <c r="G3389" s="33"/>
      <c r="H3389" s="33"/>
      <c r="I3389" s="33"/>
      <c r="J3389" s="33"/>
      <c r="K3389" s="33"/>
      <c r="L3389" s="33"/>
      <c r="M3389" s="33"/>
      <c r="N3389" s="33"/>
      <c r="O3389" s="33"/>
      <c r="P3389" s="33"/>
      <c r="Q3389" s="33"/>
      <c r="R3389" s="33"/>
      <c r="S3389" s="33"/>
      <c r="T3389" s="33"/>
      <c r="U3389" s="33"/>
      <c r="V3389" s="33"/>
      <c r="W3389" s="33"/>
      <c r="X3389" s="33"/>
      <c r="Y3389" s="33"/>
      <c r="Z3389" s="33"/>
      <c r="AA3389" s="33"/>
      <c r="AB3389" s="33"/>
      <c r="AC3389" s="33"/>
      <c r="AD3389" s="33"/>
      <c r="AE3389" s="33"/>
      <c r="AF3389" s="33"/>
      <c r="AG3389" s="33"/>
      <c r="AH3389" s="33"/>
      <c r="AI3389" s="33"/>
      <c r="AJ3389" s="33"/>
      <c r="AK3389" s="33"/>
    </row>
    <row r="3390">
      <c r="A3390" s="33"/>
      <c r="B3390" s="33"/>
      <c r="C3390" s="33"/>
      <c r="D3390" s="33"/>
      <c r="E3390" s="33"/>
      <c r="F3390" s="33"/>
      <c r="G3390" s="33"/>
      <c r="H3390" s="33"/>
      <c r="I3390" s="33"/>
      <c r="J3390" s="33"/>
      <c r="K3390" s="33"/>
      <c r="L3390" s="33"/>
      <c r="M3390" s="33"/>
      <c r="N3390" s="33"/>
      <c r="O3390" s="33"/>
      <c r="P3390" s="33"/>
      <c r="Q3390" s="33"/>
      <c r="R3390" s="33"/>
      <c r="S3390" s="33"/>
      <c r="T3390" s="33"/>
      <c r="U3390" s="33"/>
      <c r="V3390" s="33"/>
      <c r="W3390" s="33"/>
      <c r="X3390" s="33"/>
      <c r="Y3390" s="33"/>
      <c r="Z3390" s="33"/>
      <c r="AA3390" s="33"/>
      <c r="AB3390" s="33"/>
      <c r="AC3390" s="33"/>
      <c r="AD3390" s="33"/>
      <c r="AE3390" s="33"/>
      <c r="AF3390" s="33"/>
      <c r="AG3390" s="33"/>
      <c r="AH3390" s="33"/>
      <c r="AI3390" s="33"/>
      <c r="AJ3390" s="33"/>
      <c r="AK3390" s="33"/>
    </row>
    <row r="3391">
      <c r="A3391" s="33"/>
      <c r="B3391" s="33"/>
      <c r="C3391" s="33"/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  <c r="Q3391" s="33"/>
      <c r="R3391" s="33"/>
      <c r="S3391" s="33"/>
      <c r="T3391" s="33"/>
      <c r="U3391" s="33"/>
      <c r="V3391" s="33"/>
      <c r="W3391" s="33"/>
      <c r="X3391" s="33"/>
      <c r="Y3391" s="33"/>
      <c r="Z3391" s="33"/>
      <c r="AA3391" s="33"/>
      <c r="AB3391" s="33"/>
      <c r="AC3391" s="33"/>
      <c r="AD3391" s="33"/>
      <c r="AE3391" s="33"/>
      <c r="AF3391" s="33"/>
      <c r="AG3391" s="33"/>
      <c r="AH3391" s="33"/>
      <c r="AI3391" s="33"/>
      <c r="AJ3391" s="33"/>
      <c r="AK3391" s="33"/>
    </row>
    <row r="3392">
      <c r="A3392" s="33"/>
      <c r="B3392" s="33"/>
      <c r="C3392" s="33"/>
      <c r="D3392" s="33"/>
      <c r="E3392" s="33"/>
      <c r="F3392" s="33"/>
      <c r="G3392" s="33"/>
      <c r="H3392" s="33"/>
      <c r="I3392" s="33"/>
      <c r="J3392" s="33"/>
      <c r="K3392" s="33"/>
      <c r="L3392" s="33"/>
      <c r="M3392" s="33"/>
      <c r="N3392" s="33"/>
      <c r="O3392" s="33"/>
      <c r="P3392" s="33"/>
      <c r="Q3392" s="33"/>
      <c r="R3392" s="33"/>
      <c r="S3392" s="33"/>
      <c r="T3392" s="33"/>
      <c r="U3392" s="33"/>
      <c r="V3392" s="33"/>
      <c r="W3392" s="33"/>
      <c r="X3392" s="33"/>
      <c r="Y3392" s="33"/>
      <c r="Z3392" s="33"/>
      <c r="AA3392" s="33"/>
      <c r="AB3392" s="33"/>
      <c r="AC3392" s="33"/>
      <c r="AD3392" s="33"/>
      <c r="AE3392" s="33"/>
      <c r="AF3392" s="33"/>
      <c r="AG3392" s="33"/>
      <c r="AH3392" s="33"/>
      <c r="AI3392" s="33"/>
      <c r="AJ3392" s="33"/>
      <c r="AK3392" s="33"/>
    </row>
    <row r="3393">
      <c r="A3393" s="33"/>
      <c r="B3393" s="33"/>
      <c r="C3393" s="33"/>
      <c r="D3393" s="33"/>
      <c r="E3393" s="33"/>
      <c r="F3393" s="33"/>
      <c r="G3393" s="33"/>
      <c r="H3393" s="33"/>
      <c r="I3393" s="33"/>
      <c r="J3393" s="33"/>
      <c r="K3393" s="33"/>
      <c r="L3393" s="33"/>
      <c r="M3393" s="33"/>
      <c r="N3393" s="33"/>
      <c r="O3393" s="33"/>
      <c r="P3393" s="33"/>
      <c r="Q3393" s="33"/>
      <c r="R3393" s="33"/>
      <c r="S3393" s="33"/>
      <c r="T3393" s="33"/>
      <c r="U3393" s="33"/>
      <c r="V3393" s="33"/>
      <c r="W3393" s="33"/>
      <c r="X3393" s="33"/>
      <c r="Y3393" s="33"/>
      <c r="Z3393" s="33"/>
      <c r="AA3393" s="33"/>
      <c r="AB3393" s="33"/>
      <c r="AC3393" s="33"/>
      <c r="AD3393" s="33"/>
      <c r="AE3393" s="33"/>
      <c r="AF3393" s="33"/>
      <c r="AG3393" s="33"/>
      <c r="AH3393" s="33"/>
      <c r="AI3393" s="33"/>
      <c r="AJ3393" s="33"/>
      <c r="AK3393" s="33"/>
    </row>
    <row r="3394">
      <c r="A3394" s="33"/>
      <c r="B3394" s="33"/>
      <c r="C3394" s="33"/>
      <c r="D3394" s="33"/>
      <c r="E3394" s="33"/>
      <c r="F3394" s="33"/>
      <c r="G3394" s="33"/>
      <c r="H3394" s="33"/>
      <c r="I3394" s="33"/>
      <c r="J3394" s="33"/>
      <c r="K3394" s="33"/>
      <c r="L3394" s="33"/>
      <c r="M3394" s="33"/>
      <c r="N3394" s="33"/>
      <c r="O3394" s="33"/>
      <c r="P3394" s="33"/>
      <c r="Q3394" s="33"/>
      <c r="R3394" s="33"/>
      <c r="S3394" s="33"/>
      <c r="T3394" s="33"/>
      <c r="U3394" s="33"/>
      <c r="V3394" s="33"/>
      <c r="W3394" s="33"/>
      <c r="X3394" s="33"/>
      <c r="Y3394" s="33"/>
      <c r="Z3394" s="33"/>
      <c r="AA3394" s="33"/>
      <c r="AB3394" s="33"/>
      <c r="AC3394" s="33"/>
      <c r="AD3394" s="33"/>
      <c r="AE3394" s="33"/>
      <c r="AF3394" s="33"/>
      <c r="AG3394" s="33"/>
      <c r="AH3394" s="33"/>
      <c r="AI3394" s="33"/>
      <c r="AJ3394" s="33"/>
      <c r="AK3394" s="33"/>
    </row>
    <row r="3395">
      <c r="A3395" s="33"/>
      <c r="B3395" s="33"/>
      <c r="C3395" s="33"/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  <c r="Q3395" s="33"/>
      <c r="R3395" s="33"/>
      <c r="S3395" s="33"/>
      <c r="T3395" s="33"/>
      <c r="U3395" s="33"/>
      <c r="V3395" s="33"/>
      <c r="W3395" s="33"/>
      <c r="X3395" s="33"/>
      <c r="Y3395" s="33"/>
      <c r="Z3395" s="33"/>
      <c r="AA3395" s="33"/>
      <c r="AB3395" s="33"/>
      <c r="AC3395" s="33"/>
      <c r="AD3395" s="33"/>
      <c r="AE3395" s="33"/>
      <c r="AF3395" s="33"/>
      <c r="AG3395" s="33"/>
      <c r="AH3395" s="33"/>
      <c r="AI3395" s="33"/>
      <c r="AJ3395" s="33"/>
      <c r="AK3395" s="33"/>
    </row>
    <row r="3396">
      <c r="A3396" s="33"/>
      <c r="B3396" s="33"/>
      <c r="C3396" s="33"/>
      <c r="D3396" s="33"/>
      <c r="E3396" s="33"/>
      <c r="F3396" s="33"/>
      <c r="G3396" s="33"/>
      <c r="H3396" s="33"/>
      <c r="I3396" s="33"/>
      <c r="J3396" s="33"/>
      <c r="K3396" s="33"/>
      <c r="L3396" s="33"/>
      <c r="M3396" s="33"/>
      <c r="N3396" s="33"/>
      <c r="O3396" s="33"/>
      <c r="P3396" s="33"/>
      <c r="Q3396" s="33"/>
      <c r="R3396" s="33"/>
      <c r="S3396" s="33"/>
      <c r="T3396" s="33"/>
      <c r="U3396" s="33"/>
      <c r="V3396" s="33"/>
      <c r="W3396" s="33"/>
      <c r="X3396" s="33"/>
      <c r="Y3396" s="33"/>
      <c r="Z3396" s="33"/>
      <c r="AA3396" s="33"/>
      <c r="AB3396" s="33"/>
      <c r="AC3396" s="33"/>
      <c r="AD3396" s="33"/>
      <c r="AE3396" s="33"/>
      <c r="AF3396" s="33"/>
      <c r="AG3396" s="33"/>
      <c r="AH3396" s="33"/>
      <c r="AI3396" s="33"/>
      <c r="AJ3396" s="33"/>
      <c r="AK3396" s="33"/>
    </row>
    <row r="3397">
      <c r="A3397" s="33"/>
      <c r="B3397" s="33"/>
      <c r="C3397" s="33"/>
      <c r="D3397" s="33"/>
      <c r="E3397" s="33"/>
      <c r="F3397" s="33"/>
      <c r="G3397" s="33"/>
      <c r="H3397" s="33"/>
      <c r="I3397" s="33"/>
      <c r="J3397" s="33"/>
      <c r="K3397" s="33"/>
      <c r="L3397" s="33"/>
      <c r="M3397" s="33"/>
      <c r="N3397" s="33"/>
      <c r="O3397" s="33"/>
      <c r="P3397" s="33"/>
      <c r="Q3397" s="33"/>
      <c r="R3397" s="33"/>
      <c r="S3397" s="33"/>
      <c r="T3397" s="33"/>
      <c r="U3397" s="33"/>
      <c r="V3397" s="33"/>
      <c r="W3397" s="33"/>
      <c r="X3397" s="33"/>
      <c r="Y3397" s="33"/>
      <c r="Z3397" s="33"/>
      <c r="AA3397" s="33"/>
      <c r="AB3397" s="33"/>
      <c r="AC3397" s="33"/>
      <c r="AD3397" s="33"/>
      <c r="AE3397" s="33"/>
      <c r="AF3397" s="33"/>
      <c r="AG3397" s="33"/>
      <c r="AH3397" s="33"/>
      <c r="AI3397" s="33"/>
      <c r="AJ3397" s="33"/>
      <c r="AK3397" s="33"/>
    </row>
    <row r="3398">
      <c r="A3398" s="33"/>
      <c r="B3398" s="33"/>
      <c r="C3398" s="33"/>
      <c r="D3398" s="33"/>
      <c r="E3398" s="33"/>
      <c r="F3398" s="33"/>
      <c r="G3398" s="33"/>
      <c r="H3398" s="33"/>
      <c r="I3398" s="33"/>
      <c r="J3398" s="33"/>
      <c r="K3398" s="33"/>
      <c r="L3398" s="33"/>
      <c r="M3398" s="33"/>
      <c r="N3398" s="33"/>
      <c r="O3398" s="33"/>
      <c r="P3398" s="33"/>
      <c r="Q3398" s="33"/>
      <c r="R3398" s="33"/>
      <c r="S3398" s="33"/>
      <c r="T3398" s="33"/>
      <c r="U3398" s="33"/>
      <c r="V3398" s="33"/>
      <c r="W3398" s="33"/>
      <c r="X3398" s="33"/>
      <c r="Y3398" s="33"/>
      <c r="Z3398" s="33"/>
      <c r="AA3398" s="33"/>
      <c r="AB3398" s="33"/>
      <c r="AC3398" s="33"/>
      <c r="AD3398" s="33"/>
      <c r="AE3398" s="33"/>
      <c r="AF3398" s="33"/>
      <c r="AG3398" s="33"/>
      <c r="AH3398" s="33"/>
      <c r="AI3398" s="33"/>
      <c r="AJ3398" s="33"/>
      <c r="AK3398" s="33"/>
    </row>
    <row r="3399">
      <c r="A3399" s="33"/>
      <c r="B3399" s="33"/>
      <c r="C3399" s="33"/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  <c r="Q3399" s="33"/>
      <c r="R3399" s="33"/>
      <c r="S3399" s="33"/>
      <c r="T3399" s="33"/>
      <c r="U3399" s="33"/>
      <c r="V3399" s="33"/>
      <c r="W3399" s="33"/>
      <c r="X3399" s="33"/>
      <c r="Y3399" s="33"/>
      <c r="Z3399" s="33"/>
      <c r="AA3399" s="33"/>
      <c r="AB3399" s="33"/>
      <c r="AC3399" s="33"/>
      <c r="AD3399" s="33"/>
      <c r="AE3399" s="33"/>
      <c r="AF3399" s="33"/>
      <c r="AG3399" s="33"/>
      <c r="AH3399" s="33"/>
      <c r="AI3399" s="33"/>
      <c r="AJ3399" s="33"/>
      <c r="AK3399" s="33"/>
    </row>
    <row r="3400">
      <c r="A3400" s="33"/>
      <c r="B3400" s="33"/>
      <c r="C3400" s="33"/>
      <c r="D3400" s="33"/>
      <c r="E3400" s="33"/>
      <c r="F3400" s="33"/>
      <c r="G3400" s="33"/>
      <c r="H3400" s="33"/>
      <c r="I3400" s="33"/>
      <c r="J3400" s="33"/>
      <c r="K3400" s="33"/>
      <c r="L3400" s="33"/>
      <c r="M3400" s="33"/>
      <c r="N3400" s="33"/>
      <c r="O3400" s="33"/>
      <c r="P3400" s="33"/>
      <c r="Q3400" s="33"/>
      <c r="R3400" s="33"/>
      <c r="S3400" s="33"/>
      <c r="T3400" s="33"/>
      <c r="U3400" s="33"/>
      <c r="V3400" s="33"/>
      <c r="W3400" s="33"/>
      <c r="X3400" s="33"/>
      <c r="Y3400" s="33"/>
      <c r="Z3400" s="33"/>
      <c r="AA3400" s="33"/>
      <c r="AB3400" s="33"/>
      <c r="AC3400" s="33"/>
      <c r="AD3400" s="33"/>
      <c r="AE3400" s="33"/>
      <c r="AF3400" s="33"/>
      <c r="AG3400" s="33"/>
      <c r="AH3400" s="33"/>
      <c r="AI3400" s="33"/>
      <c r="AJ3400" s="33"/>
      <c r="AK3400" s="33"/>
    </row>
    <row r="3401">
      <c r="A3401" s="33"/>
      <c r="B3401" s="33"/>
      <c r="C3401" s="33"/>
      <c r="D3401" s="33"/>
      <c r="E3401" s="33"/>
      <c r="F3401" s="33"/>
      <c r="G3401" s="33"/>
      <c r="H3401" s="33"/>
      <c r="I3401" s="33"/>
      <c r="J3401" s="33"/>
      <c r="K3401" s="33"/>
      <c r="L3401" s="33"/>
      <c r="M3401" s="33"/>
      <c r="N3401" s="33"/>
      <c r="O3401" s="33"/>
      <c r="P3401" s="33"/>
      <c r="Q3401" s="33"/>
      <c r="R3401" s="33"/>
      <c r="S3401" s="33"/>
      <c r="T3401" s="33"/>
      <c r="U3401" s="33"/>
      <c r="V3401" s="33"/>
      <c r="W3401" s="33"/>
      <c r="X3401" s="33"/>
      <c r="Y3401" s="33"/>
      <c r="Z3401" s="33"/>
      <c r="AA3401" s="33"/>
      <c r="AB3401" s="33"/>
      <c r="AC3401" s="33"/>
      <c r="AD3401" s="33"/>
      <c r="AE3401" s="33"/>
      <c r="AF3401" s="33"/>
      <c r="AG3401" s="33"/>
      <c r="AH3401" s="33"/>
      <c r="AI3401" s="33"/>
      <c r="AJ3401" s="33"/>
      <c r="AK3401" s="33"/>
    </row>
    <row r="3402">
      <c r="A3402" s="33"/>
      <c r="B3402" s="33"/>
      <c r="C3402" s="33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33"/>
      <c r="Q3402" s="33"/>
      <c r="R3402" s="33"/>
      <c r="S3402" s="33"/>
      <c r="T3402" s="33"/>
      <c r="U3402" s="33"/>
      <c r="V3402" s="33"/>
      <c r="W3402" s="33"/>
      <c r="X3402" s="33"/>
      <c r="Y3402" s="33"/>
      <c r="Z3402" s="33"/>
      <c r="AA3402" s="33"/>
      <c r="AB3402" s="33"/>
      <c r="AC3402" s="33"/>
      <c r="AD3402" s="33"/>
      <c r="AE3402" s="33"/>
      <c r="AF3402" s="33"/>
      <c r="AG3402" s="33"/>
      <c r="AH3402" s="33"/>
      <c r="AI3402" s="33"/>
      <c r="AJ3402" s="33"/>
      <c r="AK3402" s="33"/>
    </row>
    <row r="3403">
      <c r="A3403" s="33"/>
      <c r="B3403" s="33"/>
      <c r="C3403" s="33"/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  <c r="R3403" s="33"/>
      <c r="S3403" s="33"/>
      <c r="T3403" s="33"/>
      <c r="U3403" s="33"/>
      <c r="V3403" s="33"/>
      <c r="W3403" s="33"/>
      <c r="X3403" s="33"/>
      <c r="Y3403" s="33"/>
      <c r="Z3403" s="33"/>
      <c r="AA3403" s="33"/>
      <c r="AB3403" s="33"/>
      <c r="AC3403" s="33"/>
      <c r="AD3403" s="33"/>
      <c r="AE3403" s="33"/>
      <c r="AF3403" s="33"/>
      <c r="AG3403" s="33"/>
      <c r="AH3403" s="33"/>
      <c r="AI3403" s="33"/>
      <c r="AJ3403" s="33"/>
      <c r="AK3403" s="33"/>
    </row>
    <row r="3404">
      <c r="A3404" s="33"/>
      <c r="B3404" s="33"/>
      <c r="C3404" s="33"/>
      <c r="D3404" s="33"/>
      <c r="E3404" s="33"/>
      <c r="F3404" s="33"/>
      <c r="G3404" s="33"/>
      <c r="H3404" s="33"/>
      <c r="I3404" s="33"/>
      <c r="J3404" s="33"/>
      <c r="K3404" s="33"/>
      <c r="L3404" s="33"/>
      <c r="M3404" s="33"/>
      <c r="N3404" s="33"/>
      <c r="O3404" s="33"/>
      <c r="P3404" s="33"/>
      <c r="Q3404" s="33"/>
      <c r="R3404" s="33"/>
      <c r="S3404" s="33"/>
      <c r="T3404" s="33"/>
      <c r="U3404" s="33"/>
      <c r="V3404" s="33"/>
      <c r="W3404" s="33"/>
      <c r="X3404" s="33"/>
      <c r="Y3404" s="33"/>
      <c r="Z3404" s="33"/>
      <c r="AA3404" s="33"/>
      <c r="AB3404" s="33"/>
      <c r="AC3404" s="33"/>
      <c r="AD3404" s="33"/>
      <c r="AE3404" s="33"/>
      <c r="AF3404" s="33"/>
      <c r="AG3404" s="33"/>
      <c r="AH3404" s="33"/>
      <c r="AI3404" s="33"/>
      <c r="AJ3404" s="33"/>
      <c r="AK3404" s="33"/>
    </row>
    <row r="3405">
      <c r="A3405" s="33"/>
      <c r="B3405" s="33"/>
      <c r="C3405" s="33"/>
      <c r="D3405" s="33"/>
      <c r="E3405" s="33"/>
      <c r="F3405" s="33"/>
      <c r="G3405" s="33"/>
      <c r="H3405" s="33"/>
      <c r="I3405" s="33"/>
      <c r="J3405" s="33"/>
      <c r="K3405" s="33"/>
      <c r="L3405" s="33"/>
      <c r="M3405" s="33"/>
      <c r="N3405" s="33"/>
      <c r="O3405" s="33"/>
      <c r="P3405" s="33"/>
      <c r="Q3405" s="33"/>
      <c r="R3405" s="33"/>
      <c r="S3405" s="33"/>
      <c r="T3405" s="33"/>
      <c r="U3405" s="33"/>
      <c r="V3405" s="33"/>
      <c r="W3405" s="33"/>
      <c r="X3405" s="33"/>
      <c r="Y3405" s="33"/>
      <c r="Z3405" s="33"/>
      <c r="AA3405" s="33"/>
      <c r="AB3405" s="33"/>
      <c r="AC3405" s="33"/>
      <c r="AD3405" s="33"/>
      <c r="AE3405" s="33"/>
      <c r="AF3405" s="33"/>
      <c r="AG3405" s="33"/>
      <c r="AH3405" s="33"/>
      <c r="AI3405" s="33"/>
      <c r="AJ3405" s="33"/>
      <c r="AK3405" s="33"/>
    </row>
    <row r="3406">
      <c r="A3406" s="33"/>
      <c r="B3406" s="33"/>
      <c r="C3406" s="33"/>
      <c r="D3406" s="33"/>
      <c r="E3406" s="33"/>
      <c r="F3406" s="33"/>
      <c r="G3406" s="33"/>
      <c r="H3406" s="33"/>
      <c r="I3406" s="33"/>
      <c r="J3406" s="33"/>
      <c r="K3406" s="33"/>
      <c r="L3406" s="33"/>
      <c r="M3406" s="33"/>
      <c r="N3406" s="33"/>
      <c r="O3406" s="33"/>
      <c r="P3406" s="33"/>
      <c r="Q3406" s="33"/>
      <c r="R3406" s="33"/>
      <c r="S3406" s="33"/>
      <c r="T3406" s="33"/>
      <c r="U3406" s="33"/>
      <c r="V3406" s="33"/>
      <c r="W3406" s="33"/>
      <c r="X3406" s="33"/>
      <c r="Y3406" s="33"/>
      <c r="Z3406" s="33"/>
      <c r="AA3406" s="33"/>
      <c r="AB3406" s="33"/>
      <c r="AC3406" s="33"/>
      <c r="AD3406" s="33"/>
      <c r="AE3406" s="33"/>
      <c r="AF3406" s="33"/>
      <c r="AG3406" s="33"/>
      <c r="AH3406" s="33"/>
      <c r="AI3406" s="33"/>
      <c r="AJ3406" s="33"/>
      <c r="AK3406" s="33"/>
    </row>
    <row r="3407">
      <c r="A3407" s="33"/>
      <c r="B3407" s="33"/>
      <c r="C3407" s="33"/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  <c r="Q3407" s="33"/>
      <c r="R3407" s="33"/>
      <c r="S3407" s="33"/>
      <c r="T3407" s="33"/>
      <c r="U3407" s="33"/>
      <c r="V3407" s="33"/>
      <c r="W3407" s="33"/>
      <c r="X3407" s="33"/>
      <c r="Y3407" s="33"/>
      <c r="Z3407" s="33"/>
      <c r="AA3407" s="33"/>
      <c r="AB3407" s="33"/>
      <c r="AC3407" s="33"/>
      <c r="AD3407" s="33"/>
      <c r="AE3407" s="33"/>
      <c r="AF3407" s="33"/>
      <c r="AG3407" s="33"/>
      <c r="AH3407" s="33"/>
      <c r="AI3407" s="33"/>
      <c r="AJ3407" s="33"/>
      <c r="AK3407" s="33"/>
    </row>
    <row r="3408">
      <c r="A3408" s="33"/>
      <c r="B3408" s="33"/>
      <c r="C3408" s="33"/>
      <c r="D3408" s="33"/>
      <c r="E3408" s="33"/>
      <c r="F3408" s="33"/>
      <c r="G3408" s="33"/>
      <c r="H3408" s="33"/>
      <c r="I3408" s="33"/>
      <c r="J3408" s="33"/>
      <c r="K3408" s="33"/>
      <c r="L3408" s="33"/>
      <c r="M3408" s="33"/>
      <c r="N3408" s="33"/>
      <c r="O3408" s="33"/>
      <c r="P3408" s="33"/>
      <c r="Q3408" s="33"/>
      <c r="R3408" s="33"/>
      <c r="S3408" s="33"/>
      <c r="T3408" s="33"/>
      <c r="U3408" s="33"/>
      <c r="V3408" s="33"/>
      <c r="W3408" s="33"/>
      <c r="X3408" s="33"/>
      <c r="Y3408" s="33"/>
      <c r="Z3408" s="33"/>
      <c r="AA3408" s="33"/>
      <c r="AB3408" s="33"/>
      <c r="AC3408" s="33"/>
      <c r="AD3408" s="33"/>
      <c r="AE3408" s="33"/>
      <c r="AF3408" s="33"/>
      <c r="AG3408" s="33"/>
      <c r="AH3408" s="33"/>
      <c r="AI3408" s="33"/>
      <c r="AJ3408" s="33"/>
      <c r="AK3408" s="33"/>
    </row>
    <row r="3409">
      <c r="A3409" s="33"/>
      <c r="B3409" s="33"/>
      <c r="C3409" s="33"/>
      <c r="D3409" s="33"/>
      <c r="E3409" s="33"/>
      <c r="F3409" s="33"/>
      <c r="G3409" s="33"/>
      <c r="H3409" s="33"/>
      <c r="I3409" s="33"/>
      <c r="J3409" s="33"/>
      <c r="K3409" s="33"/>
      <c r="L3409" s="33"/>
      <c r="M3409" s="33"/>
      <c r="N3409" s="33"/>
      <c r="O3409" s="33"/>
      <c r="P3409" s="33"/>
      <c r="Q3409" s="33"/>
      <c r="R3409" s="33"/>
      <c r="S3409" s="33"/>
      <c r="T3409" s="33"/>
      <c r="U3409" s="33"/>
      <c r="V3409" s="33"/>
      <c r="W3409" s="33"/>
      <c r="X3409" s="33"/>
      <c r="Y3409" s="33"/>
      <c r="Z3409" s="33"/>
      <c r="AA3409" s="33"/>
      <c r="AB3409" s="33"/>
      <c r="AC3409" s="33"/>
      <c r="AD3409" s="33"/>
      <c r="AE3409" s="33"/>
      <c r="AF3409" s="33"/>
      <c r="AG3409" s="33"/>
      <c r="AH3409" s="33"/>
      <c r="AI3409" s="33"/>
      <c r="AJ3409" s="33"/>
      <c r="AK3409" s="33"/>
    </row>
    <row r="3410">
      <c r="A3410" s="33"/>
      <c r="B3410" s="33"/>
      <c r="C3410" s="33"/>
      <c r="D3410" s="33"/>
      <c r="E3410" s="33"/>
      <c r="F3410" s="33"/>
      <c r="G3410" s="33"/>
      <c r="H3410" s="33"/>
      <c r="I3410" s="33"/>
      <c r="J3410" s="33"/>
      <c r="K3410" s="33"/>
      <c r="L3410" s="33"/>
      <c r="M3410" s="33"/>
      <c r="N3410" s="33"/>
      <c r="O3410" s="33"/>
      <c r="P3410" s="33"/>
      <c r="Q3410" s="33"/>
      <c r="R3410" s="33"/>
      <c r="S3410" s="33"/>
      <c r="T3410" s="33"/>
      <c r="U3410" s="33"/>
      <c r="V3410" s="33"/>
      <c r="W3410" s="33"/>
      <c r="X3410" s="33"/>
      <c r="Y3410" s="33"/>
      <c r="Z3410" s="33"/>
      <c r="AA3410" s="33"/>
      <c r="AB3410" s="33"/>
      <c r="AC3410" s="33"/>
      <c r="AD3410" s="33"/>
      <c r="AE3410" s="33"/>
      <c r="AF3410" s="33"/>
      <c r="AG3410" s="33"/>
      <c r="AH3410" s="33"/>
      <c r="AI3410" s="33"/>
      <c r="AJ3410" s="33"/>
      <c r="AK3410" s="33"/>
    </row>
    <row r="3411">
      <c r="A3411" s="33"/>
      <c r="B3411" s="33"/>
      <c r="C3411" s="33"/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  <c r="Q3411" s="33"/>
      <c r="R3411" s="33"/>
      <c r="S3411" s="33"/>
      <c r="T3411" s="33"/>
      <c r="U3411" s="33"/>
      <c r="V3411" s="33"/>
      <c r="W3411" s="33"/>
      <c r="X3411" s="33"/>
      <c r="Y3411" s="33"/>
      <c r="Z3411" s="33"/>
      <c r="AA3411" s="33"/>
      <c r="AB3411" s="33"/>
      <c r="AC3411" s="33"/>
      <c r="AD3411" s="33"/>
      <c r="AE3411" s="33"/>
      <c r="AF3411" s="33"/>
      <c r="AG3411" s="33"/>
      <c r="AH3411" s="33"/>
      <c r="AI3411" s="33"/>
      <c r="AJ3411" s="33"/>
      <c r="AK3411" s="33"/>
    </row>
    <row r="3412">
      <c r="A3412" s="33"/>
      <c r="B3412" s="33"/>
      <c r="C3412" s="33"/>
      <c r="D3412" s="33"/>
      <c r="E3412" s="33"/>
      <c r="F3412" s="33"/>
      <c r="G3412" s="33"/>
      <c r="H3412" s="33"/>
      <c r="I3412" s="33"/>
      <c r="J3412" s="33"/>
      <c r="K3412" s="33"/>
      <c r="L3412" s="33"/>
      <c r="M3412" s="33"/>
      <c r="N3412" s="33"/>
      <c r="O3412" s="33"/>
      <c r="P3412" s="33"/>
      <c r="Q3412" s="33"/>
      <c r="R3412" s="33"/>
      <c r="S3412" s="33"/>
      <c r="T3412" s="33"/>
      <c r="U3412" s="33"/>
      <c r="V3412" s="33"/>
      <c r="W3412" s="33"/>
      <c r="X3412" s="33"/>
      <c r="Y3412" s="33"/>
      <c r="Z3412" s="33"/>
      <c r="AA3412" s="33"/>
      <c r="AB3412" s="33"/>
      <c r="AC3412" s="33"/>
      <c r="AD3412" s="33"/>
      <c r="AE3412" s="33"/>
      <c r="AF3412" s="33"/>
      <c r="AG3412" s="33"/>
      <c r="AH3412" s="33"/>
      <c r="AI3412" s="33"/>
      <c r="AJ3412" s="33"/>
      <c r="AK3412" s="33"/>
    </row>
    <row r="3413">
      <c r="A3413" s="33"/>
      <c r="B3413" s="33"/>
      <c r="C3413" s="33"/>
      <c r="D3413" s="33"/>
      <c r="E3413" s="33"/>
      <c r="F3413" s="33"/>
      <c r="G3413" s="33"/>
      <c r="H3413" s="33"/>
      <c r="I3413" s="33"/>
      <c r="J3413" s="33"/>
      <c r="K3413" s="33"/>
      <c r="L3413" s="33"/>
      <c r="M3413" s="33"/>
      <c r="N3413" s="33"/>
      <c r="O3413" s="33"/>
      <c r="P3413" s="33"/>
      <c r="Q3413" s="33"/>
      <c r="R3413" s="33"/>
      <c r="S3413" s="33"/>
      <c r="T3413" s="33"/>
      <c r="U3413" s="33"/>
      <c r="V3413" s="33"/>
      <c r="W3413" s="33"/>
      <c r="X3413" s="33"/>
      <c r="Y3413" s="33"/>
      <c r="Z3413" s="33"/>
      <c r="AA3413" s="33"/>
      <c r="AB3413" s="33"/>
      <c r="AC3413" s="33"/>
      <c r="AD3413" s="33"/>
      <c r="AE3413" s="33"/>
      <c r="AF3413" s="33"/>
      <c r="AG3413" s="33"/>
      <c r="AH3413" s="33"/>
      <c r="AI3413" s="33"/>
      <c r="AJ3413" s="33"/>
      <c r="AK3413" s="33"/>
    </row>
    <row r="3414">
      <c r="A3414" s="33"/>
      <c r="B3414" s="33"/>
      <c r="C3414" s="33"/>
      <c r="D3414" s="33"/>
      <c r="E3414" s="33"/>
      <c r="F3414" s="33"/>
      <c r="G3414" s="33"/>
      <c r="H3414" s="33"/>
      <c r="I3414" s="33"/>
      <c r="J3414" s="33"/>
      <c r="K3414" s="33"/>
      <c r="L3414" s="33"/>
      <c r="M3414" s="33"/>
      <c r="N3414" s="33"/>
      <c r="O3414" s="33"/>
      <c r="P3414" s="33"/>
      <c r="Q3414" s="33"/>
      <c r="R3414" s="33"/>
      <c r="S3414" s="33"/>
      <c r="T3414" s="33"/>
      <c r="U3414" s="33"/>
      <c r="V3414" s="33"/>
      <c r="W3414" s="33"/>
      <c r="X3414" s="33"/>
      <c r="Y3414" s="33"/>
      <c r="Z3414" s="33"/>
      <c r="AA3414" s="33"/>
      <c r="AB3414" s="33"/>
      <c r="AC3414" s="33"/>
      <c r="AD3414" s="33"/>
      <c r="AE3414" s="33"/>
      <c r="AF3414" s="33"/>
      <c r="AG3414" s="33"/>
      <c r="AH3414" s="33"/>
      <c r="AI3414" s="33"/>
      <c r="AJ3414" s="33"/>
      <c r="AK3414" s="33"/>
    </row>
    <row r="3415">
      <c r="A3415" s="33"/>
      <c r="B3415" s="33"/>
      <c r="C3415" s="33"/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33"/>
      <c r="V3415" s="33"/>
      <c r="W3415" s="33"/>
      <c r="X3415" s="33"/>
      <c r="Y3415" s="33"/>
      <c r="Z3415" s="33"/>
      <c r="AA3415" s="33"/>
      <c r="AB3415" s="33"/>
      <c r="AC3415" s="33"/>
      <c r="AD3415" s="33"/>
      <c r="AE3415" s="33"/>
      <c r="AF3415" s="33"/>
      <c r="AG3415" s="33"/>
      <c r="AH3415" s="33"/>
      <c r="AI3415" s="33"/>
      <c r="AJ3415" s="33"/>
      <c r="AK3415" s="33"/>
    </row>
    <row r="3416">
      <c r="A3416" s="33"/>
      <c r="B3416" s="33"/>
      <c r="C3416" s="33"/>
      <c r="D3416" s="33"/>
      <c r="E3416" s="33"/>
      <c r="F3416" s="33"/>
      <c r="G3416" s="33"/>
      <c r="H3416" s="33"/>
      <c r="I3416" s="33"/>
      <c r="J3416" s="33"/>
      <c r="K3416" s="33"/>
      <c r="L3416" s="33"/>
      <c r="M3416" s="33"/>
      <c r="N3416" s="33"/>
      <c r="O3416" s="33"/>
      <c r="P3416" s="33"/>
      <c r="Q3416" s="33"/>
      <c r="R3416" s="33"/>
      <c r="S3416" s="33"/>
      <c r="T3416" s="33"/>
      <c r="U3416" s="33"/>
      <c r="V3416" s="33"/>
      <c r="W3416" s="33"/>
      <c r="X3416" s="33"/>
      <c r="Y3416" s="33"/>
      <c r="Z3416" s="33"/>
      <c r="AA3416" s="33"/>
      <c r="AB3416" s="33"/>
      <c r="AC3416" s="33"/>
      <c r="AD3416" s="33"/>
      <c r="AE3416" s="33"/>
      <c r="AF3416" s="33"/>
      <c r="AG3416" s="33"/>
      <c r="AH3416" s="33"/>
      <c r="AI3416" s="33"/>
      <c r="AJ3416" s="33"/>
      <c r="AK3416" s="33"/>
    </row>
    <row r="3417">
      <c r="A3417" s="33"/>
      <c r="B3417" s="33"/>
      <c r="C3417" s="33"/>
      <c r="D3417" s="33"/>
      <c r="E3417" s="33"/>
      <c r="F3417" s="33"/>
      <c r="G3417" s="33"/>
      <c r="H3417" s="33"/>
      <c r="I3417" s="33"/>
      <c r="J3417" s="33"/>
      <c r="K3417" s="33"/>
      <c r="L3417" s="33"/>
      <c r="M3417" s="33"/>
      <c r="N3417" s="33"/>
      <c r="O3417" s="33"/>
      <c r="P3417" s="33"/>
      <c r="Q3417" s="33"/>
      <c r="R3417" s="33"/>
      <c r="S3417" s="33"/>
      <c r="T3417" s="33"/>
      <c r="U3417" s="33"/>
      <c r="V3417" s="33"/>
      <c r="W3417" s="33"/>
      <c r="X3417" s="33"/>
      <c r="Y3417" s="33"/>
      <c r="Z3417" s="33"/>
      <c r="AA3417" s="33"/>
      <c r="AB3417" s="33"/>
      <c r="AC3417" s="33"/>
      <c r="AD3417" s="33"/>
      <c r="AE3417" s="33"/>
      <c r="AF3417" s="33"/>
      <c r="AG3417" s="33"/>
      <c r="AH3417" s="33"/>
      <c r="AI3417" s="33"/>
      <c r="AJ3417" s="33"/>
      <c r="AK3417" s="33"/>
    </row>
    <row r="3418">
      <c r="A3418" s="33"/>
      <c r="B3418" s="33"/>
      <c r="C3418" s="33"/>
      <c r="D3418" s="33"/>
      <c r="E3418" s="33"/>
      <c r="F3418" s="33"/>
      <c r="G3418" s="33"/>
      <c r="H3418" s="33"/>
      <c r="I3418" s="33"/>
      <c r="J3418" s="33"/>
      <c r="K3418" s="33"/>
      <c r="L3418" s="33"/>
      <c r="M3418" s="33"/>
      <c r="N3418" s="33"/>
      <c r="O3418" s="33"/>
      <c r="P3418" s="33"/>
      <c r="Q3418" s="33"/>
      <c r="R3418" s="33"/>
      <c r="S3418" s="33"/>
      <c r="T3418" s="33"/>
      <c r="U3418" s="33"/>
      <c r="V3418" s="33"/>
      <c r="W3418" s="33"/>
      <c r="X3418" s="33"/>
      <c r="Y3418" s="33"/>
      <c r="Z3418" s="33"/>
      <c r="AA3418" s="33"/>
      <c r="AB3418" s="33"/>
      <c r="AC3418" s="33"/>
      <c r="AD3418" s="33"/>
      <c r="AE3418" s="33"/>
      <c r="AF3418" s="33"/>
      <c r="AG3418" s="33"/>
      <c r="AH3418" s="33"/>
      <c r="AI3418" s="33"/>
      <c r="AJ3418" s="33"/>
      <c r="AK3418" s="33"/>
    </row>
    <row r="3419">
      <c r="A3419" s="33"/>
      <c r="B3419" s="33"/>
      <c r="C3419" s="33"/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  <c r="Q3419" s="33"/>
      <c r="R3419" s="33"/>
      <c r="S3419" s="33"/>
      <c r="T3419" s="33"/>
      <c r="U3419" s="33"/>
      <c r="V3419" s="33"/>
      <c r="W3419" s="33"/>
      <c r="X3419" s="33"/>
      <c r="Y3419" s="33"/>
      <c r="Z3419" s="33"/>
      <c r="AA3419" s="33"/>
      <c r="AB3419" s="33"/>
      <c r="AC3419" s="33"/>
      <c r="AD3419" s="33"/>
      <c r="AE3419" s="33"/>
      <c r="AF3419" s="33"/>
      <c r="AG3419" s="33"/>
      <c r="AH3419" s="33"/>
      <c r="AI3419" s="33"/>
      <c r="AJ3419" s="33"/>
      <c r="AK3419" s="33"/>
    </row>
    <row r="3420">
      <c r="A3420" s="33"/>
      <c r="B3420" s="33"/>
      <c r="C3420" s="33"/>
      <c r="D3420" s="33"/>
      <c r="E3420" s="33"/>
      <c r="F3420" s="33"/>
      <c r="G3420" s="33"/>
      <c r="H3420" s="33"/>
      <c r="I3420" s="33"/>
      <c r="J3420" s="33"/>
      <c r="K3420" s="33"/>
      <c r="L3420" s="33"/>
      <c r="M3420" s="33"/>
      <c r="N3420" s="33"/>
      <c r="O3420" s="33"/>
      <c r="P3420" s="33"/>
      <c r="Q3420" s="33"/>
      <c r="R3420" s="33"/>
      <c r="S3420" s="33"/>
      <c r="T3420" s="33"/>
      <c r="U3420" s="33"/>
      <c r="V3420" s="33"/>
      <c r="W3420" s="33"/>
      <c r="X3420" s="33"/>
      <c r="Y3420" s="33"/>
      <c r="Z3420" s="33"/>
      <c r="AA3420" s="33"/>
      <c r="AB3420" s="33"/>
      <c r="AC3420" s="33"/>
      <c r="AD3420" s="33"/>
      <c r="AE3420" s="33"/>
      <c r="AF3420" s="33"/>
      <c r="AG3420" s="33"/>
      <c r="AH3420" s="33"/>
      <c r="AI3420" s="33"/>
      <c r="AJ3420" s="33"/>
      <c r="AK3420" s="33"/>
    </row>
    <row r="3421">
      <c r="A3421" s="33"/>
      <c r="B3421" s="33"/>
      <c r="C3421" s="33"/>
      <c r="D3421" s="33"/>
      <c r="E3421" s="33"/>
      <c r="F3421" s="33"/>
      <c r="G3421" s="33"/>
      <c r="H3421" s="33"/>
      <c r="I3421" s="33"/>
      <c r="J3421" s="33"/>
      <c r="K3421" s="33"/>
      <c r="L3421" s="33"/>
      <c r="M3421" s="33"/>
      <c r="N3421" s="33"/>
      <c r="O3421" s="33"/>
      <c r="P3421" s="33"/>
      <c r="Q3421" s="33"/>
      <c r="R3421" s="33"/>
      <c r="S3421" s="33"/>
      <c r="T3421" s="33"/>
      <c r="U3421" s="33"/>
      <c r="V3421" s="33"/>
      <c r="W3421" s="33"/>
      <c r="X3421" s="33"/>
      <c r="Y3421" s="33"/>
      <c r="Z3421" s="33"/>
      <c r="AA3421" s="33"/>
      <c r="AB3421" s="33"/>
      <c r="AC3421" s="33"/>
      <c r="AD3421" s="33"/>
      <c r="AE3421" s="33"/>
      <c r="AF3421" s="33"/>
      <c r="AG3421" s="33"/>
      <c r="AH3421" s="33"/>
      <c r="AI3421" s="33"/>
      <c r="AJ3421" s="33"/>
      <c r="AK3421" s="33"/>
    </row>
    <row r="3422">
      <c r="A3422" s="33"/>
      <c r="B3422" s="33"/>
      <c r="C3422" s="33"/>
      <c r="D3422" s="33"/>
      <c r="E3422" s="33"/>
      <c r="F3422" s="33"/>
      <c r="G3422" s="33"/>
      <c r="H3422" s="33"/>
      <c r="I3422" s="33"/>
      <c r="J3422" s="33"/>
      <c r="K3422" s="33"/>
      <c r="L3422" s="33"/>
      <c r="M3422" s="33"/>
      <c r="N3422" s="33"/>
      <c r="O3422" s="33"/>
      <c r="P3422" s="33"/>
      <c r="Q3422" s="33"/>
      <c r="R3422" s="33"/>
      <c r="S3422" s="33"/>
      <c r="T3422" s="33"/>
      <c r="U3422" s="33"/>
      <c r="V3422" s="33"/>
      <c r="W3422" s="33"/>
      <c r="X3422" s="33"/>
      <c r="Y3422" s="33"/>
      <c r="Z3422" s="33"/>
      <c r="AA3422" s="33"/>
      <c r="AB3422" s="33"/>
      <c r="AC3422" s="33"/>
      <c r="AD3422" s="33"/>
      <c r="AE3422" s="33"/>
      <c r="AF3422" s="33"/>
      <c r="AG3422" s="33"/>
      <c r="AH3422" s="33"/>
      <c r="AI3422" s="33"/>
      <c r="AJ3422" s="33"/>
      <c r="AK3422" s="33"/>
    </row>
    <row r="3423">
      <c r="A3423" s="33"/>
      <c r="B3423" s="33"/>
      <c r="C3423" s="33"/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  <c r="Q3423" s="33"/>
      <c r="R3423" s="33"/>
      <c r="S3423" s="33"/>
      <c r="T3423" s="33"/>
      <c r="U3423" s="33"/>
      <c r="V3423" s="33"/>
      <c r="W3423" s="33"/>
      <c r="X3423" s="33"/>
      <c r="Y3423" s="33"/>
      <c r="Z3423" s="33"/>
      <c r="AA3423" s="33"/>
      <c r="AB3423" s="33"/>
      <c r="AC3423" s="33"/>
      <c r="AD3423" s="33"/>
      <c r="AE3423" s="33"/>
      <c r="AF3423" s="33"/>
      <c r="AG3423" s="33"/>
      <c r="AH3423" s="33"/>
      <c r="AI3423" s="33"/>
      <c r="AJ3423" s="33"/>
      <c r="AK3423" s="33"/>
    </row>
    <row r="3424">
      <c r="A3424" s="33"/>
      <c r="B3424" s="33"/>
      <c r="C3424" s="33"/>
      <c r="D3424" s="33"/>
      <c r="E3424" s="33"/>
      <c r="F3424" s="33"/>
      <c r="G3424" s="33"/>
      <c r="H3424" s="33"/>
      <c r="I3424" s="33"/>
      <c r="J3424" s="33"/>
      <c r="K3424" s="33"/>
      <c r="L3424" s="33"/>
      <c r="M3424" s="33"/>
      <c r="N3424" s="33"/>
      <c r="O3424" s="33"/>
      <c r="P3424" s="33"/>
      <c r="Q3424" s="33"/>
      <c r="R3424" s="33"/>
      <c r="S3424" s="33"/>
      <c r="T3424" s="33"/>
      <c r="U3424" s="33"/>
      <c r="V3424" s="33"/>
      <c r="W3424" s="33"/>
      <c r="X3424" s="33"/>
      <c r="Y3424" s="33"/>
      <c r="Z3424" s="33"/>
      <c r="AA3424" s="33"/>
      <c r="AB3424" s="33"/>
      <c r="AC3424" s="33"/>
      <c r="AD3424" s="33"/>
      <c r="AE3424" s="33"/>
      <c r="AF3424" s="33"/>
      <c r="AG3424" s="33"/>
      <c r="AH3424" s="33"/>
      <c r="AI3424" s="33"/>
      <c r="AJ3424" s="33"/>
      <c r="AK3424" s="33"/>
    </row>
    <row r="3425">
      <c r="A3425" s="33"/>
      <c r="B3425" s="33"/>
      <c r="C3425" s="33"/>
      <c r="D3425" s="33"/>
      <c r="E3425" s="33"/>
      <c r="F3425" s="33"/>
      <c r="G3425" s="33"/>
      <c r="H3425" s="33"/>
      <c r="I3425" s="33"/>
      <c r="J3425" s="33"/>
      <c r="K3425" s="33"/>
      <c r="L3425" s="33"/>
      <c r="M3425" s="33"/>
      <c r="N3425" s="33"/>
      <c r="O3425" s="33"/>
      <c r="P3425" s="33"/>
      <c r="Q3425" s="33"/>
      <c r="R3425" s="33"/>
      <c r="S3425" s="33"/>
      <c r="T3425" s="33"/>
      <c r="U3425" s="33"/>
      <c r="V3425" s="33"/>
      <c r="W3425" s="33"/>
      <c r="X3425" s="33"/>
      <c r="Y3425" s="33"/>
      <c r="Z3425" s="33"/>
      <c r="AA3425" s="33"/>
      <c r="AB3425" s="33"/>
      <c r="AC3425" s="33"/>
      <c r="AD3425" s="33"/>
      <c r="AE3425" s="33"/>
      <c r="AF3425" s="33"/>
      <c r="AG3425" s="33"/>
      <c r="AH3425" s="33"/>
      <c r="AI3425" s="33"/>
      <c r="AJ3425" s="33"/>
      <c r="AK3425" s="33"/>
    </row>
    <row r="3426">
      <c r="A3426" s="33"/>
      <c r="B3426" s="33"/>
      <c r="C3426" s="33"/>
      <c r="D3426" s="33"/>
      <c r="E3426" s="33"/>
      <c r="F3426" s="33"/>
      <c r="G3426" s="33"/>
      <c r="H3426" s="33"/>
      <c r="I3426" s="33"/>
      <c r="J3426" s="33"/>
      <c r="K3426" s="33"/>
      <c r="L3426" s="33"/>
      <c r="M3426" s="33"/>
      <c r="N3426" s="33"/>
      <c r="O3426" s="33"/>
      <c r="P3426" s="33"/>
      <c r="Q3426" s="33"/>
      <c r="R3426" s="33"/>
      <c r="S3426" s="33"/>
      <c r="T3426" s="33"/>
      <c r="U3426" s="33"/>
      <c r="V3426" s="33"/>
      <c r="W3426" s="33"/>
      <c r="X3426" s="33"/>
      <c r="Y3426" s="33"/>
      <c r="Z3426" s="33"/>
      <c r="AA3426" s="33"/>
      <c r="AB3426" s="33"/>
      <c r="AC3426" s="33"/>
      <c r="AD3426" s="33"/>
      <c r="AE3426" s="33"/>
      <c r="AF3426" s="33"/>
      <c r="AG3426" s="33"/>
      <c r="AH3426" s="33"/>
      <c r="AI3426" s="33"/>
      <c r="AJ3426" s="33"/>
      <c r="AK3426" s="33"/>
    </row>
    <row r="3427">
      <c r="A3427" s="33"/>
      <c r="B3427" s="33"/>
      <c r="C3427" s="33"/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  <c r="Q3427" s="33"/>
      <c r="R3427" s="33"/>
      <c r="S3427" s="33"/>
      <c r="T3427" s="33"/>
      <c r="U3427" s="33"/>
      <c r="V3427" s="33"/>
      <c r="W3427" s="33"/>
      <c r="X3427" s="33"/>
      <c r="Y3427" s="33"/>
      <c r="Z3427" s="33"/>
      <c r="AA3427" s="33"/>
      <c r="AB3427" s="33"/>
      <c r="AC3427" s="33"/>
      <c r="AD3427" s="33"/>
      <c r="AE3427" s="33"/>
      <c r="AF3427" s="33"/>
      <c r="AG3427" s="33"/>
      <c r="AH3427" s="33"/>
      <c r="AI3427" s="33"/>
      <c r="AJ3427" s="33"/>
      <c r="AK3427" s="33"/>
    </row>
    <row r="3428">
      <c r="A3428" s="33"/>
      <c r="B3428" s="33"/>
      <c r="C3428" s="33"/>
      <c r="D3428" s="33"/>
      <c r="E3428" s="33"/>
      <c r="F3428" s="33"/>
      <c r="G3428" s="33"/>
      <c r="H3428" s="33"/>
      <c r="I3428" s="33"/>
      <c r="J3428" s="33"/>
      <c r="K3428" s="33"/>
      <c r="L3428" s="33"/>
      <c r="M3428" s="33"/>
      <c r="N3428" s="33"/>
      <c r="O3428" s="33"/>
      <c r="P3428" s="33"/>
      <c r="Q3428" s="33"/>
      <c r="R3428" s="33"/>
      <c r="S3428" s="33"/>
      <c r="T3428" s="33"/>
      <c r="U3428" s="33"/>
      <c r="V3428" s="33"/>
      <c r="W3428" s="33"/>
      <c r="X3428" s="33"/>
      <c r="Y3428" s="33"/>
      <c r="Z3428" s="33"/>
      <c r="AA3428" s="33"/>
      <c r="AB3428" s="33"/>
      <c r="AC3428" s="33"/>
      <c r="AD3428" s="33"/>
      <c r="AE3428" s="33"/>
      <c r="AF3428" s="33"/>
      <c r="AG3428" s="33"/>
      <c r="AH3428" s="33"/>
      <c r="AI3428" s="33"/>
      <c r="AJ3428" s="33"/>
      <c r="AK3428" s="33"/>
    </row>
    <row r="3429">
      <c r="A3429" s="33"/>
      <c r="B3429" s="33"/>
      <c r="C3429" s="33"/>
      <c r="D3429" s="33"/>
      <c r="E3429" s="33"/>
      <c r="F3429" s="33"/>
      <c r="G3429" s="33"/>
      <c r="H3429" s="33"/>
      <c r="I3429" s="33"/>
      <c r="J3429" s="33"/>
      <c r="K3429" s="33"/>
      <c r="L3429" s="33"/>
      <c r="M3429" s="33"/>
      <c r="N3429" s="33"/>
      <c r="O3429" s="33"/>
      <c r="P3429" s="33"/>
      <c r="Q3429" s="33"/>
      <c r="R3429" s="33"/>
      <c r="S3429" s="33"/>
      <c r="T3429" s="33"/>
      <c r="U3429" s="33"/>
      <c r="V3429" s="33"/>
      <c r="W3429" s="33"/>
      <c r="X3429" s="33"/>
      <c r="Y3429" s="33"/>
      <c r="Z3429" s="33"/>
      <c r="AA3429" s="33"/>
      <c r="AB3429" s="33"/>
      <c r="AC3429" s="33"/>
      <c r="AD3429" s="33"/>
      <c r="AE3429" s="33"/>
      <c r="AF3429" s="33"/>
      <c r="AG3429" s="33"/>
      <c r="AH3429" s="33"/>
      <c r="AI3429" s="33"/>
      <c r="AJ3429" s="33"/>
      <c r="AK3429" s="33"/>
    </row>
    <row r="3430">
      <c r="A3430" s="33"/>
      <c r="B3430" s="33"/>
      <c r="C3430" s="33"/>
      <c r="D3430" s="33"/>
      <c r="E3430" s="33"/>
      <c r="F3430" s="33"/>
      <c r="G3430" s="33"/>
      <c r="H3430" s="33"/>
      <c r="I3430" s="33"/>
      <c r="J3430" s="33"/>
      <c r="K3430" s="33"/>
      <c r="L3430" s="33"/>
      <c r="M3430" s="33"/>
      <c r="N3430" s="33"/>
      <c r="O3430" s="33"/>
      <c r="P3430" s="33"/>
      <c r="Q3430" s="33"/>
      <c r="R3430" s="33"/>
      <c r="S3430" s="33"/>
      <c r="T3430" s="33"/>
      <c r="U3430" s="33"/>
      <c r="V3430" s="33"/>
      <c r="W3430" s="33"/>
      <c r="X3430" s="33"/>
      <c r="Y3430" s="33"/>
      <c r="Z3430" s="33"/>
      <c r="AA3430" s="33"/>
      <c r="AB3430" s="33"/>
      <c r="AC3430" s="33"/>
      <c r="AD3430" s="33"/>
      <c r="AE3430" s="33"/>
      <c r="AF3430" s="33"/>
      <c r="AG3430" s="33"/>
      <c r="AH3430" s="33"/>
      <c r="AI3430" s="33"/>
      <c r="AJ3430" s="33"/>
      <c r="AK3430" s="33"/>
    </row>
    <row r="3431">
      <c r="A3431" s="33"/>
      <c r="B3431" s="33"/>
      <c r="C3431" s="33"/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  <c r="Q3431" s="33"/>
      <c r="R3431" s="33"/>
      <c r="S3431" s="33"/>
      <c r="T3431" s="33"/>
      <c r="U3431" s="33"/>
      <c r="V3431" s="33"/>
      <c r="W3431" s="33"/>
      <c r="X3431" s="33"/>
      <c r="Y3431" s="33"/>
      <c r="Z3431" s="33"/>
      <c r="AA3431" s="33"/>
      <c r="AB3431" s="33"/>
      <c r="AC3431" s="33"/>
      <c r="AD3431" s="33"/>
      <c r="AE3431" s="33"/>
      <c r="AF3431" s="33"/>
      <c r="AG3431" s="33"/>
      <c r="AH3431" s="33"/>
      <c r="AI3431" s="33"/>
      <c r="AJ3431" s="33"/>
      <c r="AK3431" s="33"/>
    </row>
    <row r="3432">
      <c r="A3432" s="33"/>
      <c r="B3432" s="33"/>
      <c r="C3432" s="33"/>
      <c r="D3432" s="33"/>
      <c r="E3432" s="33"/>
      <c r="F3432" s="33"/>
      <c r="G3432" s="33"/>
      <c r="H3432" s="33"/>
      <c r="I3432" s="33"/>
      <c r="J3432" s="33"/>
      <c r="K3432" s="33"/>
      <c r="L3432" s="33"/>
      <c r="M3432" s="33"/>
      <c r="N3432" s="33"/>
      <c r="O3432" s="33"/>
      <c r="P3432" s="33"/>
      <c r="Q3432" s="33"/>
      <c r="R3432" s="33"/>
      <c r="S3432" s="33"/>
      <c r="T3432" s="33"/>
      <c r="U3432" s="33"/>
      <c r="V3432" s="33"/>
      <c r="W3432" s="33"/>
      <c r="X3432" s="33"/>
      <c r="Y3432" s="33"/>
      <c r="Z3432" s="33"/>
      <c r="AA3432" s="33"/>
      <c r="AB3432" s="33"/>
      <c r="AC3432" s="33"/>
      <c r="AD3432" s="33"/>
      <c r="AE3432" s="33"/>
      <c r="AF3432" s="33"/>
      <c r="AG3432" s="33"/>
      <c r="AH3432" s="33"/>
      <c r="AI3432" s="33"/>
      <c r="AJ3432" s="33"/>
      <c r="AK3432" s="33"/>
    </row>
    <row r="3433">
      <c r="A3433" s="33"/>
      <c r="B3433" s="33"/>
      <c r="C3433" s="33"/>
      <c r="D3433" s="33"/>
      <c r="E3433" s="33"/>
      <c r="F3433" s="33"/>
      <c r="G3433" s="33"/>
      <c r="H3433" s="33"/>
      <c r="I3433" s="33"/>
      <c r="J3433" s="33"/>
      <c r="K3433" s="33"/>
      <c r="L3433" s="33"/>
      <c r="M3433" s="33"/>
      <c r="N3433" s="33"/>
      <c r="O3433" s="33"/>
      <c r="P3433" s="33"/>
      <c r="Q3433" s="33"/>
      <c r="R3433" s="33"/>
      <c r="S3433" s="33"/>
      <c r="T3433" s="33"/>
      <c r="U3433" s="33"/>
      <c r="V3433" s="33"/>
      <c r="W3433" s="33"/>
      <c r="X3433" s="33"/>
      <c r="Y3433" s="33"/>
      <c r="Z3433" s="33"/>
      <c r="AA3433" s="33"/>
      <c r="AB3433" s="33"/>
      <c r="AC3433" s="33"/>
      <c r="AD3433" s="33"/>
      <c r="AE3433" s="33"/>
      <c r="AF3433" s="33"/>
      <c r="AG3433" s="33"/>
      <c r="AH3433" s="33"/>
      <c r="AI3433" s="33"/>
      <c r="AJ3433" s="33"/>
      <c r="AK3433" s="33"/>
    </row>
    <row r="3434">
      <c r="A3434" s="33"/>
      <c r="B3434" s="33"/>
      <c r="C3434" s="33"/>
      <c r="D3434" s="33"/>
      <c r="E3434" s="33"/>
      <c r="F3434" s="33"/>
      <c r="G3434" s="33"/>
      <c r="H3434" s="33"/>
      <c r="I3434" s="33"/>
      <c r="J3434" s="33"/>
      <c r="K3434" s="33"/>
      <c r="L3434" s="33"/>
      <c r="M3434" s="33"/>
      <c r="N3434" s="33"/>
      <c r="O3434" s="33"/>
      <c r="P3434" s="33"/>
      <c r="Q3434" s="33"/>
      <c r="R3434" s="33"/>
      <c r="S3434" s="33"/>
      <c r="T3434" s="33"/>
      <c r="U3434" s="33"/>
      <c r="V3434" s="33"/>
      <c r="W3434" s="33"/>
      <c r="X3434" s="33"/>
      <c r="Y3434" s="33"/>
      <c r="Z3434" s="33"/>
      <c r="AA3434" s="33"/>
      <c r="AB3434" s="33"/>
      <c r="AC3434" s="33"/>
      <c r="AD3434" s="33"/>
      <c r="AE3434" s="33"/>
      <c r="AF3434" s="33"/>
      <c r="AG3434" s="33"/>
      <c r="AH3434" s="33"/>
      <c r="AI3434" s="33"/>
      <c r="AJ3434" s="33"/>
      <c r="AK3434" s="33"/>
    </row>
    <row r="3435">
      <c r="A3435" s="33"/>
      <c r="B3435" s="33"/>
      <c r="C3435" s="33"/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33"/>
      <c r="V3435" s="33"/>
      <c r="W3435" s="33"/>
      <c r="X3435" s="33"/>
      <c r="Y3435" s="33"/>
      <c r="Z3435" s="33"/>
      <c r="AA3435" s="33"/>
      <c r="AB3435" s="33"/>
      <c r="AC3435" s="33"/>
      <c r="AD3435" s="33"/>
      <c r="AE3435" s="33"/>
      <c r="AF3435" s="33"/>
      <c r="AG3435" s="33"/>
      <c r="AH3435" s="33"/>
      <c r="AI3435" s="33"/>
      <c r="AJ3435" s="33"/>
      <c r="AK3435" s="33"/>
    </row>
    <row r="3436">
      <c r="A3436" s="33"/>
      <c r="B3436" s="33"/>
      <c r="C3436" s="33"/>
      <c r="D3436" s="33"/>
      <c r="E3436" s="33"/>
      <c r="F3436" s="33"/>
      <c r="G3436" s="33"/>
      <c r="H3436" s="33"/>
      <c r="I3436" s="33"/>
      <c r="J3436" s="33"/>
      <c r="K3436" s="33"/>
      <c r="L3436" s="33"/>
      <c r="M3436" s="33"/>
      <c r="N3436" s="33"/>
      <c r="O3436" s="33"/>
      <c r="P3436" s="33"/>
      <c r="Q3436" s="33"/>
      <c r="R3436" s="33"/>
      <c r="S3436" s="33"/>
      <c r="T3436" s="33"/>
      <c r="U3436" s="33"/>
      <c r="V3436" s="33"/>
      <c r="W3436" s="33"/>
      <c r="X3436" s="33"/>
      <c r="Y3436" s="33"/>
      <c r="Z3436" s="33"/>
      <c r="AA3436" s="33"/>
      <c r="AB3436" s="33"/>
      <c r="AC3436" s="33"/>
      <c r="AD3436" s="33"/>
      <c r="AE3436" s="33"/>
      <c r="AF3436" s="33"/>
      <c r="AG3436" s="33"/>
      <c r="AH3436" s="33"/>
      <c r="AI3436" s="33"/>
      <c r="AJ3436" s="33"/>
      <c r="AK3436" s="33"/>
    </row>
    <row r="3437">
      <c r="A3437" s="33"/>
      <c r="B3437" s="33"/>
      <c r="C3437" s="33"/>
      <c r="D3437" s="33"/>
      <c r="E3437" s="33"/>
      <c r="F3437" s="33"/>
      <c r="G3437" s="33"/>
      <c r="H3437" s="33"/>
      <c r="I3437" s="33"/>
      <c r="J3437" s="33"/>
      <c r="K3437" s="33"/>
      <c r="L3437" s="33"/>
      <c r="M3437" s="33"/>
      <c r="N3437" s="33"/>
      <c r="O3437" s="33"/>
      <c r="P3437" s="33"/>
      <c r="Q3437" s="33"/>
      <c r="R3437" s="33"/>
      <c r="S3437" s="33"/>
      <c r="T3437" s="33"/>
      <c r="U3437" s="33"/>
      <c r="V3437" s="33"/>
      <c r="W3437" s="33"/>
      <c r="X3437" s="33"/>
      <c r="Y3437" s="33"/>
      <c r="Z3437" s="33"/>
      <c r="AA3437" s="33"/>
      <c r="AB3437" s="33"/>
      <c r="AC3437" s="33"/>
      <c r="AD3437" s="33"/>
      <c r="AE3437" s="33"/>
      <c r="AF3437" s="33"/>
      <c r="AG3437" s="33"/>
      <c r="AH3437" s="33"/>
      <c r="AI3437" s="33"/>
      <c r="AJ3437" s="33"/>
      <c r="AK3437" s="33"/>
    </row>
    <row r="3438">
      <c r="A3438" s="33"/>
      <c r="B3438" s="33"/>
      <c r="C3438" s="33"/>
      <c r="D3438" s="33"/>
      <c r="E3438" s="33"/>
      <c r="F3438" s="33"/>
      <c r="G3438" s="33"/>
      <c r="H3438" s="33"/>
      <c r="I3438" s="33"/>
      <c r="J3438" s="33"/>
      <c r="K3438" s="33"/>
      <c r="L3438" s="33"/>
      <c r="M3438" s="33"/>
      <c r="N3438" s="33"/>
      <c r="O3438" s="33"/>
      <c r="P3438" s="33"/>
      <c r="Q3438" s="33"/>
      <c r="R3438" s="33"/>
      <c r="S3438" s="33"/>
      <c r="T3438" s="33"/>
      <c r="U3438" s="33"/>
      <c r="V3438" s="33"/>
      <c r="W3438" s="33"/>
      <c r="X3438" s="33"/>
      <c r="Y3438" s="33"/>
      <c r="Z3438" s="33"/>
      <c r="AA3438" s="33"/>
      <c r="AB3438" s="33"/>
      <c r="AC3438" s="33"/>
      <c r="AD3438" s="33"/>
      <c r="AE3438" s="33"/>
      <c r="AF3438" s="33"/>
      <c r="AG3438" s="33"/>
      <c r="AH3438" s="33"/>
      <c r="AI3438" s="33"/>
      <c r="AJ3438" s="33"/>
      <c r="AK3438" s="33"/>
    </row>
    <row r="3439">
      <c r="A3439" s="33"/>
      <c r="B3439" s="33"/>
      <c r="C3439" s="33"/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  <c r="R3439" s="33"/>
      <c r="S3439" s="33"/>
      <c r="T3439" s="33"/>
      <c r="U3439" s="33"/>
      <c r="V3439" s="33"/>
      <c r="W3439" s="33"/>
      <c r="X3439" s="33"/>
      <c r="Y3439" s="33"/>
      <c r="Z3439" s="33"/>
      <c r="AA3439" s="33"/>
      <c r="AB3439" s="33"/>
      <c r="AC3439" s="33"/>
      <c r="AD3439" s="33"/>
      <c r="AE3439" s="33"/>
      <c r="AF3439" s="33"/>
      <c r="AG3439" s="33"/>
      <c r="AH3439" s="33"/>
      <c r="AI3439" s="33"/>
      <c r="AJ3439" s="33"/>
      <c r="AK3439" s="33"/>
    </row>
    <row r="3440">
      <c r="A3440" s="33"/>
      <c r="B3440" s="33"/>
      <c r="C3440" s="33"/>
      <c r="D3440" s="33"/>
      <c r="E3440" s="33"/>
      <c r="F3440" s="33"/>
      <c r="G3440" s="33"/>
      <c r="H3440" s="33"/>
      <c r="I3440" s="33"/>
      <c r="J3440" s="33"/>
      <c r="K3440" s="33"/>
      <c r="L3440" s="33"/>
      <c r="M3440" s="33"/>
      <c r="N3440" s="33"/>
      <c r="O3440" s="33"/>
      <c r="P3440" s="33"/>
      <c r="Q3440" s="33"/>
      <c r="R3440" s="33"/>
      <c r="S3440" s="33"/>
      <c r="T3440" s="33"/>
      <c r="U3440" s="33"/>
      <c r="V3440" s="33"/>
      <c r="W3440" s="33"/>
      <c r="X3440" s="33"/>
      <c r="Y3440" s="33"/>
      <c r="Z3440" s="33"/>
      <c r="AA3440" s="33"/>
      <c r="AB3440" s="33"/>
      <c r="AC3440" s="33"/>
      <c r="AD3440" s="33"/>
      <c r="AE3440" s="33"/>
      <c r="AF3440" s="33"/>
      <c r="AG3440" s="33"/>
      <c r="AH3440" s="33"/>
      <c r="AI3440" s="33"/>
      <c r="AJ3440" s="33"/>
      <c r="AK3440" s="33"/>
    </row>
    <row r="3441">
      <c r="A3441" s="33"/>
      <c r="B3441" s="33"/>
      <c r="C3441" s="33"/>
      <c r="D3441" s="33"/>
      <c r="E3441" s="33"/>
      <c r="F3441" s="33"/>
      <c r="G3441" s="33"/>
      <c r="H3441" s="33"/>
      <c r="I3441" s="33"/>
      <c r="J3441" s="33"/>
      <c r="K3441" s="33"/>
      <c r="L3441" s="33"/>
      <c r="M3441" s="33"/>
      <c r="N3441" s="33"/>
      <c r="O3441" s="33"/>
      <c r="P3441" s="33"/>
      <c r="Q3441" s="33"/>
      <c r="R3441" s="33"/>
      <c r="S3441" s="33"/>
      <c r="T3441" s="33"/>
      <c r="U3441" s="33"/>
      <c r="V3441" s="33"/>
      <c r="W3441" s="33"/>
      <c r="X3441" s="33"/>
      <c r="Y3441" s="33"/>
      <c r="Z3441" s="33"/>
      <c r="AA3441" s="33"/>
      <c r="AB3441" s="33"/>
      <c r="AC3441" s="33"/>
      <c r="AD3441" s="33"/>
      <c r="AE3441" s="33"/>
      <c r="AF3441" s="33"/>
      <c r="AG3441" s="33"/>
      <c r="AH3441" s="33"/>
      <c r="AI3441" s="33"/>
      <c r="AJ3441" s="33"/>
      <c r="AK3441" s="33"/>
    </row>
    <row r="3442">
      <c r="A3442" s="33"/>
      <c r="B3442" s="33"/>
      <c r="C3442" s="33"/>
      <c r="D3442" s="33"/>
      <c r="E3442" s="33"/>
      <c r="F3442" s="33"/>
      <c r="G3442" s="33"/>
      <c r="H3442" s="33"/>
      <c r="I3442" s="33"/>
      <c r="J3442" s="33"/>
      <c r="K3442" s="33"/>
      <c r="L3442" s="33"/>
      <c r="M3442" s="33"/>
      <c r="N3442" s="33"/>
      <c r="O3442" s="33"/>
      <c r="P3442" s="33"/>
      <c r="Q3442" s="33"/>
      <c r="R3442" s="33"/>
      <c r="S3442" s="33"/>
      <c r="T3442" s="33"/>
      <c r="U3442" s="33"/>
      <c r="V3442" s="33"/>
      <c r="W3442" s="33"/>
      <c r="X3442" s="33"/>
      <c r="Y3442" s="33"/>
      <c r="Z3442" s="33"/>
      <c r="AA3442" s="33"/>
      <c r="AB3442" s="33"/>
      <c r="AC3442" s="33"/>
      <c r="AD3442" s="33"/>
      <c r="AE3442" s="33"/>
      <c r="AF3442" s="33"/>
      <c r="AG3442" s="33"/>
      <c r="AH3442" s="33"/>
      <c r="AI3442" s="33"/>
      <c r="AJ3442" s="33"/>
      <c r="AK3442" s="33"/>
    </row>
    <row r="3443">
      <c r="A3443" s="33"/>
      <c r="B3443" s="33"/>
      <c r="C3443" s="33"/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33"/>
      <c r="V3443" s="33"/>
      <c r="W3443" s="33"/>
      <c r="X3443" s="33"/>
      <c r="Y3443" s="33"/>
      <c r="Z3443" s="33"/>
      <c r="AA3443" s="33"/>
      <c r="AB3443" s="33"/>
      <c r="AC3443" s="33"/>
      <c r="AD3443" s="33"/>
      <c r="AE3443" s="33"/>
      <c r="AF3443" s="33"/>
      <c r="AG3443" s="33"/>
      <c r="AH3443" s="33"/>
      <c r="AI3443" s="33"/>
      <c r="AJ3443" s="33"/>
      <c r="AK3443" s="33"/>
    </row>
    <row r="3444">
      <c r="A3444" s="33"/>
      <c r="B3444" s="33"/>
      <c r="C3444" s="33"/>
      <c r="D3444" s="33"/>
      <c r="E3444" s="33"/>
      <c r="F3444" s="33"/>
      <c r="G3444" s="33"/>
      <c r="H3444" s="33"/>
      <c r="I3444" s="33"/>
      <c r="J3444" s="33"/>
      <c r="K3444" s="33"/>
      <c r="L3444" s="33"/>
      <c r="M3444" s="33"/>
      <c r="N3444" s="33"/>
      <c r="O3444" s="33"/>
      <c r="P3444" s="33"/>
      <c r="Q3444" s="33"/>
      <c r="R3444" s="33"/>
      <c r="S3444" s="33"/>
      <c r="T3444" s="33"/>
      <c r="U3444" s="33"/>
      <c r="V3444" s="33"/>
      <c r="W3444" s="33"/>
      <c r="X3444" s="33"/>
      <c r="Y3444" s="33"/>
      <c r="Z3444" s="33"/>
      <c r="AA3444" s="33"/>
      <c r="AB3444" s="33"/>
      <c r="AC3444" s="33"/>
      <c r="AD3444" s="33"/>
      <c r="AE3444" s="33"/>
      <c r="AF3444" s="33"/>
      <c r="AG3444" s="33"/>
      <c r="AH3444" s="33"/>
      <c r="AI3444" s="33"/>
      <c r="AJ3444" s="33"/>
      <c r="AK3444" s="33"/>
    </row>
    <row r="3445">
      <c r="A3445" s="33"/>
      <c r="B3445" s="33"/>
      <c r="C3445" s="33"/>
      <c r="D3445" s="33"/>
      <c r="E3445" s="33"/>
      <c r="F3445" s="33"/>
      <c r="G3445" s="33"/>
      <c r="H3445" s="33"/>
      <c r="I3445" s="33"/>
      <c r="J3445" s="33"/>
      <c r="K3445" s="33"/>
      <c r="L3445" s="33"/>
      <c r="M3445" s="33"/>
      <c r="N3445" s="33"/>
      <c r="O3445" s="33"/>
      <c r="P3445" s="33"/>
      <c r="Q3445" s="33"/>
      <c r="R3445" s="33"/>
      <c r="S3445" s="33"/>
      <c r="T3445" s="33"/>
      <c r="U3445" s="33"/>
      <c r="V3445" s="33"/>
      <c r="W3445" s="33"/>
      <c r="X3445" s="33"/>
      <c r="Y3445" s="33"/>
      <c r="Z3445" s="33"/>
      <c r="AA3445" s="33"/>
      <c r="AB3445" s="33"/>
      <c r="AC3445" s="33"/>
      <c r="AD3445" s="33"/>
      <c r="AE3445" s="33"/>
      <c r="AF3445" s="33"/>
      <c r="AG3445" s="33"/>
      <c r="AH3445" s="33"/>
      <c r="AI3445" s="33"/>
      <c r="AJ3445" s="33"/>
      <c r="AK3445" s="33"/>
    </row>
    <row r="3446">
      <c r="A3446" s="33"/>
      <c r="B3446" s="33"/>
      <c r="C3446" s="33"/>
      <c r="D3446" s="33"/>
      <c r="E3446" s="33"/>
      <c r="F3446" s="33"/>
      <c r="G3446" s="33"/>
      <c r="H3446" s="33"/>
      <c r="I3446" s="33"/>
      <c r="J3446" s="33"/>
      <c r="K3446" s="33"/>
      <c r="L3446" s="33"/>
      <c r="M3446" s="33"/>
      <c r="N3446" s="33"/>
      <c r="O3446" s="33"/>
      <c r="P3446" s="33"/>
      <c r="Q3446" s="33"/>
      <c r="R3446" s="33"/>
      <c r="S3446" s="33"/>
      <c r="T3446" s="33"/>
      <c r="U3446" s="33"/>
      <c r="V3446" s="33"/>
      <c r="W3446" s="33"/>
      <c r="X3446" s="33"/>
      <c r="Y3446" s="33"/>
      <c r="Z3446" s="33"/>
      <c r="AA3446" s="33"/>
      <c r="AB3446" s="33"/>
      <c r="AC3446" s="33"/>
      <c r="AD3446" s="33"/>
      <c r="AE3446" s="33"/>
      <c r="AF3446" s="33"/>
      <c r="AG3446" s="33"/>
      <c r="AH3446" s="33"/>
      <c r="AI3446" s="33"/>
      <c r="AJ3446" s="33"/>
      <c r="AK3446" s="33"/>
    </row>
    <row r="3447">
      <c r="A3447" s="33"/>
      <c r="B3447" s="33"/>
      <c r="C3447" s="33"/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  <c r="Q3447" s="33"/>
      <c r="R3447" s="33"/>
      <c r="S3447" s="33"/>
      <c r="T3447" s="33"/>
      <c r="U3447" s="33"/>
      <c r="V3447" s="33"/>
      <c r="W3447" s="33"/>
      <c r="X3447" s="33"/>
      <c r="Y3447" s="33"/>
      <c r="Z3447" s="33"/>
      <c r="AA3447" s="33"/>
      <c r="AB3447" s="33"/>
      <c r="AC3447" s="33"/>
      <c r="AD3447" s="33"/>
      <c r="AE3447" s="33"/>
      <c r="AF3447" s="33"/>
      <c r="AG3447" s="33"/>
      <c r="AH3447" s="33"/>
      <c r="AI3447" s="33"/>
      <c r="AJ3447" s="33"/>
      <c r="AK3447" s="33"/>
    </row>
    <row r="3448">
      <c r="A3448" s="33"/>
      <c r="B3448" s="33"/>
      <c r="C3448" s="33"/>
      <c r="D3448" s="33"/>
      <c r="E3448" s="33"/>
      <c r="F3448" s="33"/>
      <c r="G3448" s="33"/>
      <c r="H3448" s="33"/>
      <c r="I3448" s="33"/>
      <c r="J3448" s="33"/>
      <c r="K3448" s="33"/>
      <c r="L3448" s="33"/>
      <c r="M3448" s="33"/>
      <c r="N3448" s="33"/>
      <c r="O3448" s="33"/>
      <c r="P3448" s="33"/>
      <c r="Q3448" s="33"/>
      <c r="R3448" s="33"/>
      <c r="S3448" s="33"/>
      <c r="T3448" s="33"/>
      <c r="U3448" s="33"/>
      <c r="V3448" s="33"/>
      <c r="W3448" s="33"/>
      <c r="X3448" s="33"/>
      <c r="Y3448" s="33"/>
      <c r="Z3448" s="33"/>
      <c r="AA3448" s="33"/>
      <c r="AB3448" s="33"/>
      <c r="AC3448" s="33"/>
      <c r="AD3448" s="33"/>
      <c r="AE3448" s="33"/>
      <c r="AF3448" s="33"/>
      <c r="AG3448" s="33"/>
      <c r="AH3448" s="33"/>
      <c r="AI3448" s="33"/>
      <c r="AJ3448" s="33"/>
      <c r="AK3448" s="33"/>
    </row>
    <row r="3449">
      <c r="A3449" s="33"/>
      <c r="B3449" s="33"/>
      <c r="C3449" s="33"/>
      <c r="D3449" s="33"/>
      <c r="E3449" s="33"/>
      <c r="F3449" s="33"/>
      <c r="G3449" s="33"/>
      <c r="H3449" s="33"/>
      <c r="I3449" s="33"/>
      <c r="J3449" s="33"/>
      <c r="K3449" s="33"/>
      <c r="L3449" s="33"/>
      <c r="M3449" s="33"/>
      <c r="N3449" s="33"/>
      <c r="O3449" s="33"/>
      <c r="P3449" s="33"/>
      <c r="Q3449" s="33"/>
      <c r="R3449" s="33"/>
      <c r="S3449" s="33"/>
      <c r="T3449" s="33"/>
      <c r="U3449" s="33"/>
      <c r="V3449" s="33"/>
      <c r="W3449" s="33"/>
      <c r="X3449" s="33"/>
      <c r="Y3449" s="33"/>
      <c r="Z3449" s="33"/>
      <c r="AA3449" s="33"/>
      <c r="AB3449" s="33"/>
      <c r="AC3449" s="33"/>
      <c r="AD3449" s="33"/>
      <c r="AE3449" s="33"/>
      <c r="AF3449" s="33"/>
      <c r="AG3449" s="33"/>
      <c r="AH3449" s="33"/>
      <c r="AI3449" s="33"/>
      <c r="AJ3449" s="33"/>
      <c r="AK3449" s="33"/>
    </row>
    <row r="3450">
      <c r="A3450" s="33"/>
      <c r="B3450" s="33"/>
      <c r="C3450" s="33"/>
      <c r="D3450" s="33"/>
      <c r="E3450" s="33"/>
      <c r="F3450" s="33"/>
      <c r="G3450" s="33"/>
      <c r="H3450" s="33"/>
      <c r="I3450" s="33"/>
      <c r="J3450" s="33"/>
      <c r="K3450" s="33"/>
      <c r="L3450" s="33"/>
      <c r="M3450" s="33"/>
      <c r="N3450" s="33"/>
      <c r="O3450" s="33"/>
      <c r="P3450" s="33"/>
      <c r="Q3450" s="33"/>
      <c r="R3450" s="33"/>
      <c r="S3450" s="33"/>
      <c r="T3450" s="33"/>
      <c r="U3450" s="33"/>
      <c r="V3450" s="33"/>
      <c r="W3450" s="33"/>
      <c r="X3450" s="33"/>
      <c r="Y3450" s="33"/>
      <c r="Z3450" s="33"/>
      <c r="AA3450" s="33"/>
      <c r="AB3450" s="33"/>
      <c r="AC3450" s="33"/>
      <c r="AD3450" s="33"/>
      <c r="AE3450" s="33"/>
      <c r="AF3450" s="33"/>
      <c r="AG3450" s="33"/>
      <c r="AH3450" s="33"/>
      <c r="AI3450" s="33"/>
      <c r="AJ3450" s="33"/>
      <c r="AK3450" s="33"/>
    </row>
    <row r="3451">
      <c r="A3451" s="33"/>
      <c r="B3451" s="33"/>
      <c r="C3451" s="33"/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  <c r="Q3451" s="33"/>
      <c r="R3451" s="33"/>
      <c r="S3451" s="33"/>
      <c r="T3451" s="33"/>
      <c r="U3451" s="33"/>
      <c r="V3451" s="33"/>
      <c r="W3451" s="33"/>
      <c r="X3451" s="33"/>
      <c r="Y3451" s="33"/>
      <c r="Z3451" s="33"/>
      <c r="AA3451" s="33"/>
      <c r="AB3451" s="33"/>
      <c r="AC3451" s="33"/>
      <c r="AD3451" s="33"/>
      <c r="AE3451" s="33"/>
      <c r="AF3451" s="33"/>
      <c r="AG3451" s="33"/>
      <c r="AH3451" s="33"/>
      <c r="AI3451" s="33"/>
      <c r="AJ3451" s="33"/>
      <c r="AK3451" s="33"/>
    </row>
    <row r="3452">
      <c r="A3452" s="33"/>
      <c r="B3452" s="33"/>
      <c r="C3452" s="33"/>
      <c r="D3452" s="33"/>
      <c r="E3452" s="33"/>
      <c r="F3452" s="33"/>
      <c r="G3452" s="33"/>
      <c r="H3452" s="33"/>
      <c r="I3452" s="33"/>
      <c r="J3452" s="33"/>
      <c r="K3452" s="33"/>
      <c r="L3452" s="33"/>
      <c r="M3452" s="33"/>
      <c r="N3452" s="33"/>
      <c r="O3452" s="33"/>
      <c r="P3452" s="33"/>
      <c r="Q3452" s="33"/>
      <c r="R3452" s="33"/>
      <c r="S3452" s="33"/>
      <c r="T3452" s="33"/>
      <c r="U3452" s="33"/>
      <c r="V3452" s="33"/>
      <c r="W3452" s="33"/>
      <c r="X3452" s="33"/>
      <c r="Y3452" s="33"/>
      <c r="Z3452" s="33"/>
      <c r="AA3452" s="33"/>
      <c r="AB3452" s="33"/>
      <c r="AC3452" s="33"/>
      <c r="AD3452" s="33"/>
      <c r="AE3452" s="33"/>
      <c r="AF3452" s="33"/>
      <c r="AG3452" s="33"/>
      <c r="AH3452" s="33"/>
      <c r="AI3452" s="33"/>
      <c r="AJ3452" s="33"/>
      <c r="AK3452" s="33"/>
    </row>
    <row r="3453">
      <c r="A3453" s="33"/>
      <c r="B3453" s="33"/>
      <c r="C3453" s="33"/>
      <c r="D3453" s="33"/>
      <c r="E3453" s="33"/>
      <c r="F3453" s="33"/>
      <c r="G3453" s="33"/>
      <c r="H3453" s="33"/>
      <c r="I3453" s="33"/>
      <c r="J3453" s="33"/>
      <c r="K3453" s="33"/>
      <c r="L3453" s="33"/>
      <c r="M3453" s="33"/>
      <c r="N3453" s="33"/>
      <c r="O3453" s="33"/>
      <c r="P3453" s="33"/>
      <c r="Q3453" s="33"/>
      <c r="R3453" s="33"/>
      <c r="S3453" s="33"/>
      <c r="T3453" s="33"/>
      <c r="U3453" s="33"/>
      <c r="V3453" s="33"/>
      <c r="W3453" s="33"/>
      <c r="X3453" s="33"/>
      <c r="Y3453" s="33"/>
      <c r="Z3453" s="33"/>
      <c r="AA3453" s="33"/>
      <c r="AB3453" s="33"/>
      <c r="AC3453" s="33"/>
      <c r="AD3453" s="33"/>
      <c r="AE3453" s="33"/>
      <c r="AF3453" s="33"/>
      <c r="AG3453" s="33"/>
      <c r="AH3453" s="33"/>
      <c r="AI3453" s="33"/>
      <c r="AJ3453" s="33"/>
      <c r="AK3453" s="33"/>
    </row>
    <row r="3454">
      <c r="A3454" s="33"/>
      <c r="B3454" s="33"/>
      <c r="C3454" s="33"/>
      <c r="D3454" s="33"/>
      <c r="E3454" s="33"/>
      <c r="F3454" s="33"/>
      <c r="G3454" s="33"/>
      <c r="H3454" s="33"/>
      <c r="I3454" s="33"/>
      <c r="J3454" s="33"/>
      <c r="K3454" s="33"/>
      <c r="L3454" s="33"/>
      <c r="M3454" s="33"/>
      <c r="N3454" s="33"/>
      <c r="O3454" s="33"/>
      <c r="P3454" s="33"/>
      <c r="Q3454" s="33"/>
      <c r="R3454" s="33"/>
      <c r="S3454" s="33"/>
      <c r="T3454" s="33"/>
      <c r="U3454" s="33"/>
      <c r="V3454" s="33"/>
      <c r="W3454" s="33"/>
      <c r="X3454" s="33"/>
      <c r="Y3454" s="33"/>
      <c r="Z3454" s="33"/>
      <c r="AA3454" s="33"/>
      <c r="AB3454" s="33"/>
      <c r="AC3454" s="33"/>
      <c r="AD3454" s="33"/>
      <c r="AE3454" s="33"/>
      <c r="AF3454" s="33"/>
      <c r="AG3454" s="33"/>
      <c r="AH3454" s="33"/>
      <c r="AI3454" s="33"/>
      <c r="AJ3454" s="33"/>
      <c r="AK3454" s="33"/>
    </row>
    <row r="3455">
      <c r="A3455" s="33"/>
      <c r="B3455" s="33"/>
      <c r="C3455" s="33"/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  <c r="Q3455" s="33"/>
      <c r="R3455" s="33"/>
      <c r="S3455" s="33"/>
      <c r="T3455" s="33"/>
      <c r="U3455" s="33"/>
      <c r="V3455" s="33"/>
      <c r="W3455" s="33"/>
      <c r="X3455" s="33"/>
      <c r="Y3455" s="33"/>
      <c r="Z3455" s="33"/>
      <c r="AA3455" s="33"/>
      <c r="AB3455" s="33"/>
      <c r="AC3455" s="33"/>
      <c r="AD3455" s="33"/>
      <c r="AE3455" s="33"/>
      <c r="AF3455" s="33"/>
      <c r="AG3455" s="33"/>
      <c r="AH3455" s="33"/>
      <c r="AI3455" s="33"/>
      <c r="AJ3455" s="33"/>
      <c r="AK3455" s="33"/>
    </row>
    <row r="3456">
      <c r="A3456" s="33"/>
      <c r="B3456" s="33"/>
      <c r="C3456" s="33"/>
      <c r="D3456" s="33"/>
      <c r="E3456" s="33"/>
      <c r="F3456" s="33"/>
      <c r="G3456" s="33"/>
      <c r="H3456" s="33"/>
      <c r="I3456" s="33"/>
      <c r="J3456" s="33"/>
      <c r="K3456" s="33"/>
      <c r="L3456" s="33"/>
      <c r="M3456" s="33"/>
      <c r="N3456" s="33"/>
      <c r="O3456" s="33"/>
      <c r="P3456" s="33"/>
      <c r="Q3456" s="33"/>
      <c r="R3456" s="33"/>
      <c r="S3456" s="33"/>
      <c r="T3456" s="33"/>
      <c r="U3456" s="33"/>
      <c r="V3456" s="33"/>
      <c r="W3456" s="33"/>
      <c r="X3456" s="33"/>
      <c r="Y3456" s="33"/>
      <c r="Z3456" s="33"/>
      <c r="AA3456" s="33"/>
      <c r="AB3456" s="33"/>
      <c r="AC3456" s="33"/>
      <c r="AD3456" s="33"/>
      <c r="AE3456" s="33"/>
      <c r="AF3456" s="33"/>
      <c r="AG3456" s="33"/>
      <c r="AH3456" s="33"/>
      <c r="AI3456" s="33"/>
      <c r="AJ3456" s="33"/>
      <c r="AK3456" s="33"/>
    </row>
    <row r="3457">
      <c r="A3457" s="33"/>
      <c r="B3457" s="33"/>
      <c r="C3457" s="33"/>
      <c r="D3457" s="33"/>
      <c r="E3457" s="33"/>
      <c r="F3457" s="33"/>
      <c r="G3457" s="33"/>
      <c r="H3457" s="33"/>
      <c r="I3457" s="33"/>
      <c r="J3457" s="33"/>
      <c r="K3457" s="33"/>
      <c r="L3457" s="33"/>
      <c r="M3457" s="33"/>
      <c r="N3457" s="33"/>
      <c r="O3457" s="33"/>
      <c r="P3457" s="33"/>
      <c r="Q3457" s="33"/>
      <c r="R3457" s="33"/>
      <c r="S3457" s="33"/>
      <c r="T3457" s="33"/>
      <c r="U3457" s="33"/>
      <c r="V3457" s="33"/>
      <c r="W3457" s="33"/>
      <c r="X3457" s="33"/>
      <c r="Y3457" s="33"/>
      <c r="Z3457" s="33"/>
      <c r="AA3457" s="33"/>
      <c r="AB3457" s="33"/>
      <c r="AC3457" s="33"/>
      <c r="AD3457" s="33"/>
      <c r="AE3457" s="33"/>
      <c r="AF3457" s="33"/>
      <c r="AG3457" s="33"/>
      <c r="AH3457" s="33"/>
      <c r="AI3457" s="33"/>
      <c r="AJ3457" s="33"/>
      <c r="AK3457" s="33"/>
    </row>
    <row r="3458">
      <c r="A3458" s="33"/>
      <c r="B3458" s="33"/>
      <c r="C3458" s="33"/>
      <c r="D3458" s="33"/>
      <c r="E3458" s="33"/>
      <c r="F3458" s="33"/>
      <c r="G3458" s="33"/>
      <c r="H3458" s="33"/>
      <c r="I3458" s="33"/>
      <c r="J3458" s="33"/>
      <c r="K3458" s="33"/>
      <c r="L3458" s="33"/>
      <c r="M3458" s="33"/>
      <c r="N3458" s="33"/>
      <c r="O3458" s="33"/>
      <c r="P3458" s="33"/>
      <c r="Q3458" s="33"/>
      <c r="R3458" s="33"/>
      <c r="S3458" s="33"/>
      <c r="T3458" s="33"/>
      <c r="U3458" s="33"/>
      <c r="V3458" s="33"/>
      <c r="W3458" s="33"/>
      <c r="X3458" s="33"/>
      <c r="Y3458" s="33"/>
      <c r="Z3458" s="33"/>
      <c r="AA3458" s="33"/>
      <c r="AB3458" s="33"/>
      <c r="AC3458" s="33"/>
      <c r="AD3458" s="33"/>
      <c r="AE3458" s="33"/>
      <c r="AF3458" s="33"/>
      <c r="AG3458" s="33"/>
      <c r="AH3458" s="33"/>
      <c r="AI3458" s="33"/>
      <c r="AJ3458" s="33"/>
      <c r="AK3458" s="33"/>
    </row>
    <row r="3459">
      <c r="A3459" s="33"/>
      <c r="B3459" s="33"/>
      <c r="C3459" s="33"/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  <c r="Q3459" s="33"/>
      <c r="R3459" s="33"/>
      <c r="S3459" s="33"/>
      <c r="T3459" s="33"/>
      <c r="U3459" s="33"/>
      <c r="V3459" s="33"/>
      <c r="W3459" s="33"/>
      <c r="X3459" s="33"/>
      <c r="Y3459" s="33"/>
      <c r="Z3459" s="33"/>
      <c r="AA3459" s="33"/>
      <c r="AB3459" s="33"/>
      <c r="AC3459" s="33"/>
      <c r="AD3459" s="33"/>
      <c r="AE3459" s="33"/>
      <c r="AF3459" s="33"/>
      <c r="AG3459" s="33"/>
      <c r="AH3459" s="33"/>
      <c r="AI3459" s="33"/>
      <c r="AJ3459" s="33"/>
      <c r="AK3459" s="33"/>
    </row>
    <row r="3460">
      <c r="A3460" s="33"/>
      <c r="B3460" s="33"/>
      <c r="C3460" s="33"/>
      <c r="D3460" s="33"/>
      <c r="E3460" s="33"/>
      <c r="F3460" s="33"/>
      <c r="G3460" s="33"/>
      <c r="H3460" s="33"/>
      <c r="I3460" s="33"/>
      <c r="J3460" s="33"/>
      <c r="K3460" s="33"/>
      <c r="L3460" s="33"/>
      <c r="M3460" s="33"/>
      <c r="N3460" s="33"/>
      <c r="O3460" s="33"/>
      <c r="P3460" s="33"/>
      <c r="Q3460" s="33"/>
      <c r="R3460" s="33"/>
      <c r="S3460" s="33"/>
      <c r="T3460" s="33"/>
      <c r="U3460" s="33"/>
      <c r="V3460" s="33"/>
      <c r="W3460" s="33"/>
      <c r="X3460" s="33"/>
      <c r="Y3460" s="33"/>
      <c r="Z3460" s="33"/>
      <c r="AA3460" s="33"/>
      <c r="AB3460" s="33"/>
      <c r="AC3460" s="33"/>
      <c r="AD3460" s="33"/>
      <c r="AE3460" s="33"/>
      <c r="AF3460" s="33"/>
      <c r="AG3460" s="33"/>
      <c r="AH3460" s="33"/>
      <c r="AI3460" s="33"/>
      <c r="AJ3460" s="33"/>
      <c r="AK3460" s="33"/>
    </row>
    <row r="3461">
      <c r="A3461" s="33"/>
      <c r="B3461" s="33"/>
      <c r="C3461" s="33"/>
      <c r="D3461" s="33"/>
      <c r="E3461" s="33"/>
      <c r="F3461" s="33"/>
      <c r="G3461" s="33"/>
      <c r="H3461" s="33"/>
      <c r="I3461" s="33"/>
      <c r="J3461" s="33"/>
      <c r="K3461" s="33"/>
      <c r="L3461" s="33"/>
      <c r="M3461" s="33"/>
      <c r="N3461" s="33"/>
      <c r="O3461" s="33"/>
      <c r="P3461" s="33"/>
      <c r="Q3461" s="33"/>
      <c r="R3461" s="33"/>
      <c r="S3461" s="33"/>
      <c r="T3461" s="33"/>
      <c r="U3461" s="33"/>
      <c r="V3461" s="33"/>
      <c r="W3461" s="33"/>
      <c r="X3461" s="33"/>
      <c r="Y3461" s="33"/>
      <c r="Z3461" s="33"/>
      <c r="AA3461" s="33"/>
      <c r="AB3461" s="33"/>
      <c r="AC3461" s="33"/>
      <c r="AD3461" s="33"/>
      <c r="AE3461" s="33"/>
      <c r="AF3461" s="33"/>
      <c r="AG3461" s="33"/>
      <c r="AH3461" s="33"/>
      <c r="AI3461" s="33"/>
      <c r="AJ3461" s="33"/>
      <c r="AK3461" s="33"/>
    </row>
    <row r="3462">
      <c r="A3462" s="33"/>
      <c r="B3462" s="33"/>
      <c r="C3462" s="33"/>
      <c r="D3462" s="33"/>
      <c r="E3462" s="33"/>
      <c r="F3462" s="33"/>
      <c r="G3462" s="33"/>
      <c r="H3462" s="33"/>
      <c r="I3462" s="33"/>
      <c r="J3462" s="33"/>
      <c r="K3462" s="33"/>
      <c r="L3462" s="33"/>
      <c r="M3462" s="33"/>
      <c r="N3462" s="33"/>
      <c r="O3462" s="33"/>
      <c r="P3462" s="33"/>
      <c r="Q3462" s="33"/>
      <c r="R3462" s="33"/>
      <c r="S3462" s="33"/>
      <c r="T3462" s="33"/>
      <c r="U3462" s="33"/>
      <c r="V3462" s="33"/>
      <c r="W3462" s="33"/>
      <c r="X3462" s="33"/>
      <c r="Y3462" s="33"/>
      <c r="Z3462" s="33"/>
      <c r="AA3462" s="33"/>
      <c r="AB3462" s="33"/>
      <c r="AC3462" s="33"/>
      <c r="AD3462" s="33"/>
      <c r="AE3462" s="33"/>
      <c r="AF3462" s="33"/>
      <c r="AG3462" s="33"/>
      <c r="AH3462" s="33"/>
      <c r="AI3462" s="33"/>
      <c r="AJ3462" s="33"/>
      <c r="AK3462" s="33"/>
    </row>
    <row r="3463">
      <c r="A3463" s="33"/>
      <c r="B3463" s="33"/>
      <c r="C3463" s="33"/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  <c r="Q3463" s="33"/>
      <c r="R3463" s="33"/>
      <c r="S3463" s="33"/>
      <c r="T3463" s="33"/>
      <c r="U3463" s="33"/>
      <c r="V3463" s="33"/>
      <c r="W3463" s="33"/>
      <c r="X3463" s="33"/>
      <c r="Y3463" s="33"/>
      <c r="Z3463" s="33"/>
      <c r="AA3463" s="33"/>
      <c r="AB3463" s="33"/>
      <c r="AC3463" s="33"/>
      <c r="AD3463" s="33"/>
      <c r="AE3463" s="33"/>
      <c r="AF3463" s="33"/>
      <c r="AG3463" s="33"/>
      <c r="AH3463" s="33"/>
      <c r="AI3463" s="33"/>
      <c r="AJ3463" s="33"/>
      <c r="AK3463" s="33"/>
    </row>
    <row r="3464">
      <c r="A3464" s="33"/>
      <c r="B3464" s="33"/>
      <c r="C3464" s="33"/>
      <c r="D3464" s="33"/>
      <c r="E3464" s="33"/>
      <c r="F3464" s="33"/>
      <c r="G3464" s="33"/>
      <c r="H3464" s="33"/>
      <c r="I3464" s="33"/>
      <c r="J3464" s="33"/>
      <c r="K3464" s="33"/>
      <c r="L3464" s="33"/>
      <c r="M3464" s="33"/>
      <c r="N3464" s="33"/>
      <c r="O3464" s="33"/>
      <c r="P3464" s="33"/>
      <c r="Q3464" s="33"/>
      <c r="R3464" s="33"/>
      <c r="S3464" s="33"/>
      <c r="T3464" s="33"/>
      <c r="U3464" s="33"/>
      <c r="V3464" s="33"/>
      <c r="W3464" s="33"/>
      <c r="X3464" s="33"/>
      <c r="Y3464" s="33"/>
      <c r="Z3464" s="33"/>
      <c r="AA3464" s="33"/>
      <c r="AB3464" s="33"/>
      <c r="AC3464" s="33"/>
      <c r="AD3464" s="33"/>
      <c r="AE3464" s="33"/>
      <c r="AF3464" s="33"/>
      <c r="AG3464" s="33"/>
      <c r="AH3464" s="33"/>
      <c r="AI3464" s="33"/>
      <c r="AJ3464" s="33"/>
      <c r="AK3464" s="33"/>
    </row>
    <row r="3465">
      <c r="A3465" s="33"/>
      <c r="B3465" s="33"/>
      <c r="C3465" s="33"/>
      <c r="D3465" s="33"/>
      <c r="E3465" s="33"/>
      <c r="F3465" s="33"/>
      <c r="G3465" s="33"/>
      <c r="H3465" s="33"/>
      <c r="I3465" s="33"/>
      <c r="J3465" s="33"/>
      <c r="K3465" s="33"/>
      <c r="L3465" s="33"/>
      <c r="M3465" s="33"/>
      <c r="N3465" s="33"/>
      <c r="O3465" s="33"/>
      <c r="P3465" s="33"/>
      <c r="Q3465" s="33"/>
      <c r="R3465" s="33"/>
      <c r="S3465" s="33"/>
      <c r="T3465" s="33"/>
      <c r="U3465" s="33"/>
      <c r="V3465" s="33"/>
      <c r="W3465" s="33"/>
      <c r="X3465" s="33"/>
      <c r="Y3465" s="33"/>
      <c r="Z3465" s="33"/>
      <c r="AA3465" s="33"/>
      <c r="AB3465" s="33"/>
      <c r="AC3465" s="33"/>
      <c r="AD3465" s="33"/>
      <c r="AE3465" s="33"/>
      <c r="AF3465" s="33"/>
      <c r="AG3465" s="33"/>
      <c r="AH3465" s="33"/>
      <c r="AI3465" s="33"/>
      <c r="AJ3465" s="33"/>
      <c r="AK3465" s="33"/>
    </row>
    <row r="3466">
      <c r="A3466" s="33"/>
      <c r="B3466" s="33"/>
      <c r="C3466" s="33"/>
      <c r="D3466" s="33"/>
      <c r="E3466" s="33"/>
      <c r="F3466" s="33"/>
      <c r="G3466" s="33"/>
      <c r="H3466" s="33"/>
      <c r="I3466" s="33"/>
      <c r="J3466" s="33"/>
      <c r="K3466" s="33"/>
      <c r="L3466" s="33"/>
      <c r="M3466" s="33"/>
      <c r="N3466" s="33"/>
      <c r="O3466" s="33"/>
      <c r="P3466" s="33"/>
      <c r="Q3466" s="33"/>
      <c r="R3466" s="33"/>
      <c r="S3466" s="33"/>
      <c r="T3466" s="33"/>
      <c r="U3466" s="33"/>
      <c r="V3466" s="33"/>
      <c r="W3466" s="33"/>
      <c r="X3466" s="33"/>
      <c r="Y3466" s="33"/>
      <c r="Z3466" s="33"/>
      <c r="AA3466" s="33"/>
      <c r="AB3466" s="33"/>
      <c r="AC3466" s="33"/>
      <c r="AD3466" s="33"/>
      <c r="AE3466" s="33"/>
      <c r="AF3466" s="33"/>
      <c r="AG3466" s="33"/>
      <c r="AH3466" s="33"/>
      <c r="AI3466" s="33"/>
      <c r="AJ3466" s="33"/>
      <c r="AK3466" s="33"/>
    </row>
    <row r="3467">
      <c r="A3467" s="33"/>
      <c r="B3467" s="33"/>
      <c r="C3467" s="33"/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  <c r="R3467" s="33"/>
      <c r="S3467" s="33"/>
      <c r="T3467" s="33"/>
      <c r="U3467" s="33"/>
      <c r="V3467" s="33"/>
      <c r="W3467" s="33"/>
      <c r="X3467" s="33"/>
      <c r="Y3467" s="33"/>
      <c r="Z3467" s="33"/>
      <c r="AA3467" s="33"/>
      <c r="AB3467" s="33"/>
      <c r="AC3467" s="33"/>
      <c r="AD3467" s="33"/>
      <c r="AE3467" s="33"/>
      <c r="AF3467" s="33"/>
      <c r="AG3467" s="33"/>
      <c r="AH3467" s="33"/>
      <c r="AI3467" s="33"/>
      <c r="AJ3467" s="33"/>
      <c r="AK3467" s="33"/>
    </row>
    <row r="3468">
      <c r="A3468" s="33"/>
      <c r="B3468" s="33"/>
      <c r="C3468" s="33"/>
      <c r="D3468" s="33"/>
      <c r="E3468" s="33"/>
      <c r="F3468" s="33"/>
      <c r="G3468" s="33"/>
      <c r="H3468" s="33"/>
      <c r="I3468" s="33"/>
      <c r="J3468" s="33"/>
      <c r="K3468" s="33"/>
      <c r="L3468" s="33"/>
      <c r="M3468" s="33"/>
      <c r="N3468" s="33"/>
      <c r="O3468" s="33"/>
      <c r="P3468" s="33"/>
      <c r="Q3468" s="33"/>
      <c r="R3468" s="33"/>
      <c r="S3468" s="33"/>
      <c r="T3468" s="33"/>
      <c r="U3468" s="33"/>
      <c r="V3468" s="33"/>
      <c r="W3468" s="33"/>
      <c r="X3468" s="33"/>
      <c r="Y3468" s="33"/>
      <c r="Z3468" s="33"/>
      <c r="AA3468" s="33"/>
      <c r="AB3468" s="33"/>
      <c r="AC3468" s="33"/>
      <c r="AD3468" s="33"/>
      <c r="AE3468" s="33"/>
      <c r="AF3468" s="33"/>
      <c r="AG3468" s="33"/>
      <c r="AH3468" s="33"/>
      <c r="AI3468" s="33"/>
      <c r="AJ3468" s="33"/>
      <c r="AK3468" s="33"/>
    </row>
    <row r="3469">
      <c r="A3469" s="33"/>
      <c r="B3469" s="33"/>
      <c r="C3469" s="33"/>
      <c r="D3469" s="33"/>
      <c r="E3469" s="33"/>
      <c r="F3469" s="33"/>
      <c r="G3469" s="33"/>
      <c r="H3469" s="33"/>
      <c r="I3469" s="33"/>
      <c r="J3469" s="33"/>
      <c r="K3469" s="33"/>
      <c r="L3469" s="33"/>
      <c r="M3469" s="33"/>
      <c r="N3469" s="33"/>
      <c r="O3469" s="33"/>
      <c r="P3469" s="33"/>
      <c r="Q3469" s="33"/>
      <c r="R3469" s="33"/>
      <c r="S3469" s="33"/>
      <c r="T3469" s="33"/>
      <c r="U3469" s="33"/>
      <c r="V3469" s="33"/>
      <c r="W3469" s="33"/>
      <c r="X3469" s="33"/>
      <c r="Y3469" s="33"/>
      <c r="Z3469" s="33"/>
      <c r="AA3469" s="33"/>
      <c r="AB3469" s="33"/>
      <c r="AC3469" s="33"/>
      <c r="AD3469" s="33"/>
      <c r="AE3469" s="33"/>
      <c r="AF3469" s="33"/>
      <c r="AG3469" s="33"/>
      <c r="AH3469" s="33"/>
      <c r="AI3469" s="33"/>
      <c r="AJ3469" s="33"/>
      <c r="AK3469" s="33"/>
    </row>
    <row r="3470">
      <c r="A3470" s="33"/>
      <c r="B3470" s="33"/>
      <c r="C3470" s="33"/>
      <c r="D3470" s="33"/>
      <c r="E3470" s="33"/>
      <c r="F3470" s="33"/>
      <c r="G3470" s="33"/>
      <c r="H3470" s="33"/>
      <c r="I3470" s="33"/>
      <c r="J3470" s="33"/>
      <c r="K3470" s="33"/>
      <c r="L3470" s="33"/>
      <c r="M3470" s="33"/>
      <c r="N3470" s="33"/>
      <c r="O3470" s="33"/>
      <c r="P3470" s="33"/>
      <c r="Q3470" s="33"/>
      <c r="R3470" s="33"/>
      <c r="S3470" s="33"/>
      <c r="T3470" s="33"/>
      <c r="U3470" s="33"/>
      <c r="V3470" s="33"/>
      <c r="W3470" s="33"/>
      <c r="X3470" s="33"/>
      <c r="Y3470" s="33"/>
      <c r="Z3470" s="33"/>
      <c r="AA3470" s="33"/>
      <c r="AB3470" s="33"/>
      <c r="AC3470" s="33"/>
      <c r="AD3470" s="33"/>
      <c r="AE3470" s="33"/>
      <c r="AF3470" s="33"/>
      <c r="AG3470" s="33"/>
      <c r="AH3470" s="33"/>
      <c r="AI3470" s="33"/>
      <c r="AJ3470" s="33"/>
      <c r="AK3470" s="33"/>
    </row>
    <row r="3471">
      <c r="A3471" s="33"/>
      <c r="B3471" s="33"/>
      <c r="C3471" s="33"/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3"/>
      <c r="S3471" s="33"/>
      <c r="T3471" s="33"/>
      <c r="U3471" s="33"/>
      <c r="V3471" s="33"/>
      <c r="W3471" s="33"/>
      <c r="X3471" s="33"/>
      <c r="Y3471" s="33"/>
      <c r="Z3471" s="33"/>
      <c r="AA3471" s="33"/>
      <c r="AB3471" s="33"/>
      <c r="AC3471" s="33"/>
      <c r="AD3471" s="33"/>
      <c r="AE3471" s="33"/>
      <c r="AF3471" s="33"/>
      <c r="AG3471" s="33"/>
      <c r="AH3471" s="33"/>
      <c r="AI3471" s="33"/>
      <c r="AJ3471" s="33"/>
      <c r="AK3471" s="33"/>
    </row>
    <row r="3472">
      <c r="A3472" s="33"/>
      <c r="B3472" s="33"/>
      <c r="C3472" s="33"/>
      <c r="D3472" s="33"/>
      <c r="E3472" s="33"/>
      <c r="F3472" s="33"/>
      <c r="G3472" s="33"/>
      <c r="H3472" s="33"/>
      <c r="I3472" s="33"/>
      <c r="J3472" s="33"/>
      <c r="K3472" s="33"/>
      <c r="L3472" s="33"/>
      <c r="M3472" s="33"/>
      <c r="N3472" s="33"/>
      <c r="O3472" s="33"/>
      <c r="P3472" s="33"/>
      <c r="Q3472" s="33"/>
      <c r="R3472" s="33"/>
      <c r="S3472" s="33"/>
      <c r="T3472" s="33"/>
      <c r="U3472" s="33"/>
      <c r="V3472" s="33"/>
      <c r="W3472" s="33"/>
      <c r="X3472" s="33"/>
      <c r="Y3472" s="33"/>
      <c r="Z3472" s="33"/>
      <c r="AA3472" s="33"/>
      <c r="AB3472" s="33"/>
      <c r="AC3472" s="33"/>
      <c r="AD3472" s="33"/>
      <c r="AE3472" s="33"/>
      <c r="AF3472" s="33"/>
      <c r="AG3472" s="33"/>
      <c r="AH3472" s="33"/>
      <c r="AI3472" s="33"/>
      <c r="AJ3472" s="33"/>
      <c r="AK3472" s="33"/>
    </row>
    <row r="3473">
      <c r="A3473" s="33"/>
      <c r="B3473" s="33"/>
      <c r="C3473" s="33"/>
      <c r="D3473" s="33"/>
      <c r="E3473" s="33"/>
      <c r="F3473" s="33"/>
      <c r="G3473" s="33"/>
      <c r="H3473" s="33"/>
      <c r="I3473" s="33"/>
      <c r="J3473" s="33"/>
      <c r="K3473" s="33"/>
      <c r="L3473" s="33"/>
      <c r="M3473" s="33"/>
      <c r="N3473" s="33"/>
      <c r="O3473" s="33"/>
      <c r="P3473" s="33"/>
      <c r="Q3473" s="33"/>
      <c r="R3473" s="33"/>
      <c r="S3473" s="33"/>
      <c r="T3473" s="33"/>
      <c r="U3473" s="33"/>
      <c r="V3473" s="33"/>
      <c r="W3473" s="33"/>
      <c r="X3473" s="33"/>
      <c r="Y3473" s="33"/>
      <c r="Z3473" s="33"/>
      <c r="AA3473" s="33"/>
      <c r="AB3473" s="33"/>
      <c r="AC3473" s="33"/>
      <c r="AD3473" s="33"/>
      <c r="AE3473" s="33"/>
      <c r="AF3473" s="33"/>
      <c r="AG3473" s="33"/>
      <c r="AH3473" s="33"/>
      <c r="AI3473" s="33"/>
      <c r="AJ3473" s="33"/>
      <c r="AK3473" s="33"/>
    </row>
    <row r="3474">
      <c r="A3474" s="33"/>
      <c r="B3474" s="33"/>
      <c r="C3474" s="33"/>
      <c r="D3474" s="33"/>
      <c r="E3474" s="33"/>
      <c r="F3474" s="33"/>
      <c r="G3474" s="33"/>
      <c r="H3474" s="33"/>
      <c r="I3474" s="33"/>
      <c r="J3474" s="33"/>
      <c r="K3474" s="33"/>
      <c r="L3474" s="33"/>
      <c r="M3474" s="33"/>
      <c r="N3474" s="33"/>
      <c r="O3474" s="33"/>
      <c r="P3474" s="33"/>
      <c r="Q3474" s="33"/>
      <c r="R3474" s="33"/>
      <c r="S3474" s="33"/>
      <c r="T3474" s="33"/>
      <c r="U3474" s="33"/>
      <c r="V3474" s="33"/>
      <c r="W3474" s="33"/>
      <c r="X3474" s="33"/>
      <c r="Y3474" s="33"/>
      <c r="Z3474" s="33"/>
      <c r="AA3474" s="33"/>
      <c r="AB3474" s="33"/>
      <c r="AC3474" s="33"/>
      <c r="AD3474" s="33"/>
      <c r="AE3474" s="33"/>
      <c r="AF3474" s="33"/>
      <c r="AG3474" s="33"/>
      <c r="AH3474" s="33"/>
      <c r="AI3474" s="33"/>
      <c r="AJ3474" s="33"/>
      <c r="AK3474" s="33"/>
    </row>
    <row r="3475">
      <c r="A3475" s="33"/>
      <c r="B3475" s="33"/>
      <c r="C3475" s="33"/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  <c r="Q3475" s="33"/>
      <c r="R3475" s="33"/>
      <c r="S3475" s="33"/>
      <c r="T3475" s="33"/>
      <c r="U3475" s="33"/>
      <c r="V3475" s="33"/>
      <c r="W3475" s="33"/>
      <c r="X3475" s="33"/>
      <c r="Y3475" s="33"/>
      <c r="Z3475" s="33"/>
      <c r="AA3475" s="33"/>
      <c r="AB3475" s="33"/>
      <c r="AC3475" s="33"/>
      <c r="AD3475" s="33"/>
      <c r="AE3475" s="33"/>
      <c r="AF3475" s="33"/>
      <c r="AG3475" s="33"/>
      <c r="AH3475" s="33"/>
      <c r="AI3475" s="33"/>
      <c r="AJ3475" s="33"/>
      <c r="AK3475" s="33"/>
    </row>
    <row r="3476">
      <c r="A3476" s="33"/>
      <c r="B3476" s="33"/>
      <c r="C3476" s="33"/>
      <c r="D3476" s="33"/>
      <c r="E3476" s="33"/>
      <c r="F3476" s="33"/>
      <c r="G3476" s="33"/>
      <c r="H3476" s="33"/>
      <c r="I3476" s="33"/>
      <c r="J3476" s="33"/>
      <c r="K3476" s="33"/>
      <c r="L3476" s="33"/>
      <c r="M3476" s="33"/>
      <c r="N3476" s="33"/>
      <c r="O3476" s="33"/>
      <c r="P3476" s="33"/>
      <c r="Q3476" s="33"/>
      <c r="R3476" s="33"/>
      <c r="S3476" s="33"/>
      <c r="T3476" s="33"/>
      <c r="U3476" s="33"/>
      <c r="V3476" s="33"/>
      <c r="W3476" s="33"/>
      <c r="X3476" s="33"/>
      <c r="Y3476" s="33"/>
      <c r="Z3476" s="33"/>
      <c r="AA3476" s="33"/>
      <c r="AB3476" s="33"/>
      <c r="AC3476" s="33"/>
      <c r="AD3476" s="33"/>
      <c r="AE3476" s="33"/>
      <c r="AF3476" s="33"/>
      <c r="AG3476" s="33"/>
      <c r="AH3476" s="33"/>
      <c r="AI3476" s="33"/>
      <c r="AJ3476" s="33"/>
      <c r="AK3476" s="33"/>
    </row>
    <row r="3477">
      <c r="A3477" s="33"/>
      <c r="B3477" s="33"/>
      <c r="C3477" s="33"/>
      <c r="D3477" s="33"/>
      <c r="E3477" s="33"/>
      <c r="F3477" s="33"/>
      <c r="G3477" s="33"/>
      <c r="H3477" s="33"/>
      <c r="I3477" s="33"/>
      <c r="J3477" s="33"/>
      <c r="K3477" s="33"/>
      <c r="L3477" s="33"/>
      <c r="M3477" s="33"/>
      <c r="N3477" s="33"/>
      <c r="O3477" s="33"/>
      <c r="P3477" s="33"/>
      <c r="Q3477" s="33"/>
      <c r="R3477" s="33"/>
      <c r="S3477" s="33"/>
      <c r="T3477" s="33"/>
      <c r="U3477" s="33"/>
      <c r="V3477" s="33"/>
      <c r="W3477" s="33"/>
      <c r="X3477" s="33"/>
      <c r="Y3477" s="33"/>
      <c r="Z3477" s="33"/>
      <c r="AA3477" s="33"/>
      <c r="AB3477" s="33"/>
      <c r="AC3477" s="33"/>
      <c r="AD3477" s="33"/>
      <c r="AE3477" s="33"/>
      <c r="AF3477" s="33"/>
      <c r="AG3477" s="33"/>
      <c r="AH3477" s="33"/>
      <c r="AI3477" s="33"/>
      <c r="AJ3477" s="33"/>
      <c r="AK3477" s="33"/>
    </row>
    <row r="3478">
      <c r="A3478" s="33"/>
      <c r="B3478" s="33"/>
      <c r="C3478" s="33"/>
      <c r="D3478" s="33"/>
      <c r="E3478" s="33"/>
      <c r="F3478" s="33"/>
      <c r="G3478" s="33"/>
      <c r="H3478" s="33"/>
      <c r="I3478" s="33"/>
      <c r="J3478" s="33"/>
      <c r="K3478" s="33"/>
      <c r="L3478" s="33"/>
      <c r="M3478" s="33"/>
      <c r="N3478" s="33"/>
      <c r="O3478" s="33"/>
      <c r="P3478" s="33"/>
      <c r="Q3478" s="33"/>
      <c r="R3478" s="33"/>
      <c r="S3478" s="33"/>
      <c r="T3478" s="33"/>
      <c r="U3478" s="33"/>
      <c r="V3478" s="33"/>
      <c r="W3478" s="33"/>
      <c r="X3478" s="33"/>
      <c r="Y3478" s="33"/>
      <c r="Z3478" s="33"/>
      <c r="AA3478" s="33"/>
      <c r="AB3478" s="33"/>
      <c r="AC3478" s="33"/>
      <c r="AD3478" s="33"/>
      <c r="AE3478" s="33"/>
      <c r="AF3478" s="33"/>
      <c r="AG3478" s="33"/>
      <c r="AH3478" s="33"/>
      <c r="AI3478" s="33"/>
      <c r="AJ3478" s="33"/>
      <c r="AK3478" s="33"/>
    </row>
    <row r="3479">
      <c r="A3479" s="33"/>
      <c r="B3479" s="33"/>
      <c r="C3479" s="33"/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  <c r="Q3479" s="33"/>
      <c r="R3479" s="33"/>
      <c r="S3479" s="33"/>
      <c r="T3479" s="33"/>
      <c r="U3479" s="33"/>
      <c r="V3479" s="33"/>
      <c r="W3479" s="33"/>
      <c r="X3479" s="33"/>
      <c r="Y3479" s="33"/>
      <c r="Z3479" s="33"/>
      <c r="AA3479" s="33"/>
      <c r="AB3479" s="33"/>
      <c r="AC3479" s="33"/>
      <c r="AD3479" s="33"/>
      <c r="AE3479" s="33"/>
      <c r="AF3479" s="33"/>
      <c r="AG3479" s="33"/>
      <c r="AH3479" s="33"/>
      <c r="AI3479" s="33"/>
      <c r="AJ3479" s="33"/>
      <c r="AK3479" s="33"/>
    </row>
    <row r="3480">
      <c r="A3480" s="33"/>
      <c r="B3480" s="33"/>
      <c r="C3480" s="33"/>
      <c r="D3480" s="33"/>
      <c r="E3480" s="33"/>
      <c r="F3480" s="33"/>
      <c r="G3480" s="33"/>
      <c r="H3480" s="33"/>
      <c r="I3480" s="33"/>
      <c r="J3480" s="33"/>
      <c r="K3480" s="33"/>
      <c r="L3480" s="33"/>
      <c r="M3480" s="33"/>
      <c r="N3480" s="33"/>
      <c r="O3480" s="33"/>
      <c r="P3480" s="33"/>
      <c r="Q3480" s="33"/>
      <c r="R3480" s="33"/>
      <c r="S3480" s="33"/>
      <c r="T3480" s="33"/>
      <c r="U3480" s="33"/>
      <c r="V3480" s="33"/>
      <c r="W3480" s="33"/>
      <c r="X3480" s="33"/>
      <c r="Y3480" s="33"/>
      <c r="Z3480" s="33"/>
      <c r="AA3480" s="33"/>
      <c r="AB3480" s="33"/>
      <c r="AC3480" s="33"/>
      <c r="AD3480" s="33"/>
      <c r="AE3480" s="33"/>
      <c r="AF3480" s="33"/>
      <c r="AG3480" s="33"/>
      <c r="AH3480" s="33"/>
      <c r="AI3480" s="33"/>
      <c r="AJ3480" s="33"/>
      <c r="AK3480" s="33"/>
    </row>
    <row r="3481">
      <c r="A3481" s="33"/>
      <c r="B3481" s="33"/>
      <c r="C3481" s="33"/>
      <c r="D3481" s="33"/>
      <c r="E3481" s="33"/>
      <c r="F3481" s="33"/>
      <c r="G3481" s="33"/>
      <c r="H3481" s="33"/>
      <c r="I3481" s="33"/>
      <c r="J3481" s="33"/>
      <c r="K3481" s="33"/>
      <c r="L3481" s="33"/>
      <c r="M3481" s="33"/>
      <c r="N3481" s="33"/>
      <c r="O3481" s="33"/>
      <c r="P3481" s="33"/>
      <c r="Q3481" s="33"/>
      <c r="R3481" s="33"/>
      <c r="S3481" s="33"/>
      <c r="T3481" s="33"/>
      <c r="U3481" s="33"/>
      <c r="V3481" s="33"/>
      <c r="W3481" s="33"/>
      <c r="X3481" s="33"/>
      <c r="Y3481" s="33"/>
      <c r="Z3481" s="33"/>
      <c r="AA3481" s="33"/>
      <c r="AB3481" s="33"/>
      <c r="AC3481" s="33"/>
      <c r="AD3481" s="33"/>
      <c r="AE3481" s="33"/>
      <c r="AF3481" s="33"/>
      <c r="AG3481" s="33"/>
      <c r="AH3481" s="33"/>
      <c r="AI3481" s="33"/>
      <c r="AJ3481" s="33"/>
      <c r="AK3481" s="33"/>
    </row>
    <row r="3482">
      <c r="A3482" s="33"/>
      <c r="B3482" s="33"/>
      <c r="C3482" s="33"/>
      <c r="D3482" s="33"/>
      <c r="E3482" s="33"/>
      <c r="F3482" s="33"/>
      <c r="G3482" s="33"/>
      <c r="H3482" s="33"/>
      <c r="I3482" s="33"/>
      <c r="J3482" s="33"/>
      <c r="K3482" s="33"/>
      <c r="L3482" s="33"/>
      <c r="M3482" s="33"/>
      <c r="N3482" s="33"/>
      <c r="O3482" s="33"/>
      <c r="P3482" s="33"/>
      <c r="Q3482" s="33"/>
      <c r="R3482" s="33"/>
      <c r="S3482" s="33"/>
      <c r="T3482" s="33"/>
      <c r="U3482" s="33"/>
      <c r="V3482" s="33"/>
      <c r="W3482" s="33"/>
      <c r="X3482" s="33"/>
      <c r="Y3482" s="33"/>
      <c r="Z3482" s="33"/>
      <c r="AA3482" s="33"/>
      <c r="AB3482" s="33"/>
      <c r="AC3482" s="33"/>
      <c r="AD3482" s="33"/>
      <c r="AE3482" s="33"/>
      <c r="AF3482" s="33"/>
      <c r="AG3482" s="33"/>
      <c r="AH3482" s="33"/>
      <c r="AI3482" s="33"/>
      <c r="AJ3482" s="33"/>
      <c r="AK3482" s="33"/>
    </row>
    <row r="3483">
      <c r="A3483" s="33"/>
      <c r="B3483" s="33"/>
      <c r="C3483" s="33"/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  <c r="Q3483" s="33"/>
      <c r="R3483" s="33"/>
      <c r="S3483" s="33"/>
      <c r="T3483" s="33"/>
      <c r="U3483" s="33"/>
      <c r="V3483" s="33"/>
      <c r="W3483" s="33"/>
      <c r="X3483" s="33"/>
      <c r="Y3483" s="33"/>
      <c r="Z3483" s="33"/>
      <c r="AA3483" s="33"/>
      <c r="AB3483" s="33"/>
      <c r="AC3483" s="33"/>
      <c r="AD3483" s="33"/>
      <c r="AE3483" s="33"/>
      <c r="AF3483" s="33"/>
      <c r="AG3483" s="33"/>
      <c r="AH3483" s="33"/>
      <c r="AI3483" s="33"/>
      <c r="AJ3483" s="33"/>
      <c r="AK3483" s="33"/>
    </row>
    <row r="3484">
      <c r="A3484" s="33"/>
      <c r="B3484" s="33"/>
      <c r="C3484" s="33"/>
      <c r="D3484" s="33"/>
      <c r="E3484" s="33"/>
      <c r="F3484" s="33"/>
      <c r="G3484" s="33"/>
      <c r="H3484" s="33"/>
      <c r="I3484" s="33"/>
      <c r="J3484" s="33"/>
      <c r="K3484" s="33"/>
      <c r="L3484" s="33"/>
      <c r="M3484" s="33"/>
      <c r="N3484" s="33"/>
      <c r="O3484" s="33"/>
      <c r="P3484" s="33"/>
      <c r="Q3484" s="33"/>
      <c r="R3484" s="33"/>
      <c r="S3484" s="33"/>
      <c r="T3484" s="33"/>
      <c r="U3484" s="33"/>
      <c r="V3484" s="33"/>
      <c r="W3484" s="33"/>
      <c r="X3484" s="33"/>
      <c r="Y3484" s="33"/>
      <c r="Z3484" s="33"/>
      <c r="AA3484" s="33"/>
      <c r="AB3484" s="33"/>
      <c r="AC3484" s="33"/>
      <c r="AD3484" s="33"/>
      <c r="AE3484" s="33"/>
      <c r="AF3484" s="33"/>
      <c r="AG3484" s="33"/>
      <c r="AH3484" s="33"/>
      <c r="AI3484" s="33"/>
      <c r="AJ3484" s="33"/>
      <c r="AK3484" s="33"/>
    </row>
    <row r="3485">
      <c r="A3485" s="33"/>
      <c r="B3485" s="33"/>
      <c r="C3485" s="33"/>
      <c r="D3485" s="33"/>
      <c r="E3485" s="33"/>
      <c r="F3485" s="33"/>
      <c r="G3485" s="33"/>
      <c r="H3485" s="33"/>
      <c r="I3485" s="33"/>
      <c r="J3485" s="33"/>
      <c r="K3485" s="33"/>
      <c r="L3485" s="33"/>
      <c r="M3485" s="33"/>
      <c r="N3485" s="33"/>
      <c r="O3485" s="33"/>
      <c r="P3485" s="33"/>
      <c r="Q3485" s="33"/>
      <c r="R3485" s="33"/>
      <c r="S3485" s="33"/>
      <c r="T3485" s="33"/>
      <c r="U3485" s="33"/>
      <c r="V3485" s="33"/>
      <c r="W3485" s="33"/>
      <c r="X3485" s="33"/>
      <c r="Y3485" s="33"/>
      <c r="Z3485" s="33"/>
      <c r="AA3485" s="33"/>
      <c r="AB3485" s="33"/>
      <c r="AC3485" s="33"/>
      <c r="AD3485" s="33"/>
      <c r="AE3485" s="33"/>
      <c r="AF3485" s="33"/>
      <c r="AG3485" s="33"/>
      <c r="AH3485" s="33"/>
      <c r="AI3485" s="33"/>
      <c r="AJ3485" s="33"/>
      <c r="AK3485" s="33"/>
    </row>
    <row r="3486">
      <c r="A3486" s="33"/>
      <c r="B3486" s="33"/>
      <c r="C3486" s="33"/>
      <c r="D3486" s="33"/>
      <c r="E3486" s="33"/>
      <c r="F3486" s="33"/>
      <c r="G3486" s="33"/>
      <c r="H3486" s="33"/>
      <c r="I3486" s="33"/>
      <c r="J3486" s="33"/>
      <c r="K3486" s="33"/>
      <c r="L3486" s="33"/>
      <c r="M3486" s="33"/>
      <c r="N3486" s="33"/>
      <c r="O3486" s="33"/>
      <c r="P3486" s="33"/>
      <c r="Q3486" s="33"/>
      <c r="R3486" s="33"/>
      <c r="S3486" s="33"/>
      <c r="T3486" s="33"/>
      <c r="U3486" s="33"/>
      <c r="V3486" s="33"/>
      <c r="W3486" s="33"/>
      <c r="X3486" s="33"/>
      <c r="Y3486" s="33"/>
      <c r="Z3486" s="33"/>
      <c r="AA3486" s="33"/>
      <c r="AB3486" s="33"/>
      <c r="AC3486" s="33"/>
      <c r="AD3486" s="33"/>
      <c r="AE3486" s="33"/>
      <c r="AF3486" s="33"/>
      <c r="AG3486" s="33"/>
      <c r="AH3486" s="33"/>
      <c r="AI3486" s="33"/>
      <c r="AJ3486" s="33"/>
      <c r="AK3486" s="33"/>
    </row>
    <row r="3487">
      <c r="A3487" s="33"/>
      <c r="B3487" s="33"/>
      <c r="C3487" s="33"/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  <c r="Q3487" s="33"/>
      <c r="R3487" s="33"/>
      <c r="S3487" s="33"/>
      <c r="T3487" s="33"/>
      <c r="U3487" s="33"/>
      <c r="V3487" s="33"/>
      <c r="W3487" s="33"/>
      <c r="X3487" s="33"/>
      <c r="Y3487" s="33"/>
      <c r="Z3487" s="33"/>
      <c r="AA3487" s="33"/>
      <c r="AB3487" s="33"/>
      <c r="AC3487" s="33"/>
      <c r="AD3487" s="33"/>
      <c r="AE3487" s="33"/>
      <c r="AF3487" s="33"/>
      <c r="AG3487" s="33"/>
      <c r="AH3487" s="33"/>
      <c r="AI3487" s="33"/>
      <c r="AJ3487" s="33"/>
      <c r="AK3487" s="33"/>
    </row>
    <row r="3488">
      <c r="A3488" s="33"/>
      <c r="B3488" s="33"/>
      <c r="C3488" s="33"/>
      <c r="D3488" s="33"/>
      <c r="E3488" s="33"/>
      <c r="F3488" s="33"/>
      <c r="G3488" s="33"/>
      <c r="H3488" s="33"/>
      <c r="I3488" s="33"/>
      <c r="J3488" s="33"/>
      <c r="K3488" s="33"/>
      <c r="L3488" s="33"/>
      <c r="M3488" s="33"/>
      <c r="N3488" s="33"/>
      <c r="O3488" s="33"/>
      <c r="P3488" s="33"/>
      <c r="Q3488" s="33"/>
      <c r="R3488" s="33"/>
      <c r="S3488" s="33"/>
      <c r="T3488" s="33"/>
      <c r="U3488" s="33"/>
      <c r="V3488" s="33"/>
      <c r="W3488" s="33"/>
      <c r="X3488" s="33"/>
      <c r="Y3488" s="33"/>
      <c r="Z3488" s="33"/>
      <c r="AA3488" s="33"/>
      <c r="AB3488" s="33"/>
      <c r="AC3488" s="33"/>
      <c r="AD3488" s="33"/>
      <c r="AE3488" s="33"/>
      <c r="AF3488" s="33"/>
      <c r="AG3488" s="33"/>
      <c r="AH3488" s="33"/>
      <c r="AI3488" s="33"/>
      <c r="AJ3488" s="33"/>
      <c r="AK3488" s="33"/>
    </row>
    <row r="3489">
      <c r="A3489" s="33"/>
      <c r="B3489" s="33"/>
      <c r="C3489" s="33"/>
      <c r="D3489" s="33"/>
      <c r="E3489" s="33"/>
      <c r="F3489" s="33"/>
      <c r="G3489" s="33"/>
      <c r="H3489" s="33"/>
      <c r="I3489" s="33"/>
      <c r="J3489" s="33"/>
      <c r="K3489" s="33"/>
      <c r="L3489" s="33"/>
      <c r="M3489" s="33"/>
      <c r="N3489" s="33"/>
      <c r="O3489" s="33"/>
      <c r="P3489" s="33"/>
      <c r="Q3489" s="33"/>
      <c r="R3489" s="33"/>
      <c r="S3489" s="33"/>
      <c r="T3489" s="33"/>
      <c r="U3489" s="33"/>
      <c r="V3489" s="33"/>
      <c r="W3489" s="33"/>
      <c r="X3489" s="33"/>
      <c r="Y3489" s="33"/>
      <c r="Z3489" s="33"/>
      <c r="AA3489" s="33"/>
      <c r="AB3489" s="33"/>
      <c r="AC3489" s="33"/>
      <c r="AD3489" s="33"/>
      <c r="AE3489" s="33"/>
      <c r="AF3489" s="33"/>
      <c r="AG3489" s="33"/>
      <c r="AH3489" s="33"/>
      <c r="AI3489" s="33"/>
      <c r="AJ3489" s="33"/>
      <c r="AK3489" s="33"/>
    </row>
    <row r="3490">
      <c r="A3490" s="33"/>
      <c r="B3490" s="33"/>
      <c r="C3490" s="33"/>
      <c r="D3490" s="33"/>
      <c r="E3490" s="33"/>
      <c r="F3490" s="33"/>
      <c r="G3490" s="33"/>
      <c r="H3490" s="33"/>
      <c r="I3490" s="33"/>
      <c r="J3490" s="33"/>
      <c r="K3490" s="33"/>
      <c r="L3490" s="33"/>
      <c r="M3490" s="33"/>
      <c r="N3490" s="33"/>
      <c r="O3490" s="33"/>
      <c r="P3490" s="33"/>
      <c r="Q3490" s="33"/>
      <c r="R3490" s="33"/>
      <c r="S3490" s="33"/>
      <c r="T3490" s="33"/>
      <c r="U3490" s="33"/>
      <c r="V3490" s="33"/>
      <c r="W3490" s="33"/>
      <c r="X3490" s="33"/>
      <c r="Y3490" s="33"/>
      <c r="Z3490" s="33"/>
      <c r="AA3490" s="33"/>
      <c r="AB3490" s="33"/>
      <c r="AC3490" s="33"/>
      <c r="AD3490" s="33"/>
      <c r="AE3490" s="33"/>
      <c r="AF3490" s="33"/>
      <c r="AG3490" s="33"/>
      <c r="AH3490" s="33"/>
      <c r="AI3490" s="33"/>
      <c r="AJ3490" s="33"/>
      <c r="AK3490" s="33"/>
    </row>
    <row r="3491">
      <c r="A3491" s="33"/>
      <c r="B3491" s="33"/>
      <c r="C3491" s="33"/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  <c r="Q3491" s="33"/>
      <c r="R3491" s="33"/>
      <c r="S3491" s="33"/>
      <c r="T3491" s="33"/>
      <c r="U3491" s="33"/>
      <c r="V3491" s="33"/>
      <c r="W3491" s="33"/>
      <c r="X3491" s="33"/>
      <c r="Y3491" s="33"/>
      <c r="Z3491" s="33"/>
      <c r="AA3491" s="33"/>
      <c r="AB3491" s="33"/>
      <c r="AC3491" s="33"/>
      <c r="AD3491" s="33"/>
      <c r="AE3491" s="33"/>
      <c r="AF3491" s="33"/>
      <c r="AG3491" s="33"/>
      <c r="AH3491" s="33"/>
      <c r="AI3491" s="33"/>
      <c r="AJ3491" s="33"/>
      <c r="AK3491" s="33"/>
    </row>
    <row r="3492">
      <c r="A3492" s="33"/>
      <c r="B3492" s="33"/>
      <c r="C3492" s="33"/>
      <c r="D3492" s="33"/>
      <c r="E3492" s="33"/>
      <c r="F3492" s="33"/>
      <c r="G3492" s="33"/>
      <c r="H3492" s="33"/>
      <c r="I3492" s="33"/>
      <c r="J3492" s="33"/>
      <c r="K3492" s="33"/>
      <c r="L3492" s="33"/>
      <c r="M3492" s="33"/>
      <c r="N3492" s="33"/>
      <c r="O3492" s="33"/>
      <c r="P3492" s="33"/>
      <c r="Q3492" s="33"/>
      <c r="R3492" s="33"/>
      <c r="S3492" s="33"/>
      <c r="T3492" s="33"/>
      <c r="U3492" s="33"/>
      <c r="V3492" s="33"/>
      <c r="W3492" s="33"/>
      <c r="X3492" s="33"/>
      <c r="Y3492" s="33"/>
      <c r="Z3492" s="33"/>
      <c r="AA3492" s="33"/>
      <c r="AB3492" s="33"/>
      <c r="AC3492" s="33"/>
      <c r="AD3492" s="33"/>
      <c r="AE3492" s="33"/>
      <c r="AF3492" s="33"/>
      <c r="AG3492" s="33"/>
      <c r="AH3492" s="33"/>
      <c r="AI3492" s="33"/>
      <c r="AJ3492" s="33"/>
      <c r="AK3492" s="33"/>
    </row>
    <row r="3493">
      <c r="A3493" s="33"/>
      <c r="B3493" s="33"/>
      <c r="C3493" s="33"/>
      <c r="D3493" s="33"/>
      <c r="E3493" s="33"/>
      <c r="F3493" s="33"/>
      <c r="G3493" s="33"/>
      <c r="H3493" s="33"/>
      <c r="I3493" s="33"/>
      <c r="J3493" s="33"/>
      <c r="K3493" s="33"/>
      <c r="L3493" s="33"/>
      <c r="M3493" s="33"/>
      <c r="N3493" s="33"/>
      <c r="O3493" s="33"/>
      <c r="P3493" s="33"/>
      <c r="Q3493" s="33"/>
      <c r="R3493" s="33"/>
      <c r="S3493" s="33"/>
      <c r="T3493" s="33"/>
      <c r="U3493" s="33"/>
      <c r="V3493" s="33"/>
      <c r="W3493" s="33"/>
      <c r="X3493" s="33"/>
      <c r="Y3493" s="33"/>
      <c r="Z3493" s="33"/>
      <c r="AA3493" s="33"/>
      <c r="AB3493" s="33"/>
      <c r="AC3493" s="33"/>
      <c r="AD3493" s="33"/>
      <c r="AE3493" s="33"/>
      <c r="AF3493" s="33"/>
      <c r="AG3493" s="33"/>
      <c r="AH3493" s="33"/>
      <c r="AI3493" s="33"/>
      <c r="AJ3493" s="33"/>
      <c r="AK3493" s="33"/>
    </row>
    <row r="3494">
      <c r="A3494" s="33"/>
      <c r="B3494" s="33"/>
      <c r="C3494" s="33"/>
      <c r="D3494" s="33"/>
      <c r="E3494" s="33"/>
      <c r="F3494" s="33"/>
      <c r="G3494" s="33"/>
      <c r="H3494" s="33"/>
      <c r="I3494" s="33"/>
      <c r="J3494" s="33"/>
      <c r="K3494" s="33"/>
      <c r="L3494" s="33"/>
      <c r="M3494" s="33"/>
      <c r="N3494" s="33"/>
      <c r="O3494" s="33"/>
      <c r="P3494" s="33"/>
      <c r="Q3494" s="33"/>
      <c r="R3494" s="33"/>
      <c r="S3494" s="33"/>
      <c r="T3494" s="33"/>
      <c r="U3494" s="33"/>
      <c r="V3494" s="33"/>
      <c r="W3494" s="33"/>
      <c r="X3494" s="33"/>
      <c r="Y3494" s="33"/>
      <c r="Z3494" s="33"/>
      <c r="AA3494" s="33"/>
      <c r="AB3494" s="33"/>
      <c r="AC3494" s="33"/>
      <c r="AD3494" s="33"/>
      <c r="AE3494" s="33"/>
      <c r="AF3494" s="33"/>
      <c r="AG3494" s="33"/>
      <c r="AH3494" s="33"/>
      <c r="AI3494" s="33"/>
      <c r="AJ3494" s="33"/>
      <c r="AK3494" s="33"/>
    </row>
    <row r="3495">
      <c r="A3495" s="33"/>
      <c r="B3495" s="33"/>
      <c r="C3495" s="33"/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  <c r="Q3495" s="33"/>
      <c r="R3495" s="33"/>
      <c r="S3495" s="33"/>
      <c r="T3495" s="33"/>
      <c r="U3495" s="33"/>
      <c r="V3495" s="33"/>
      <c r="W3495" s="33"/>
      <c r="X3495" s="33"/>
      <c r="Y3495" s="33"/>
      <c r="Z3495" s="33"/>
      <c r="AA3495" s="33"/>
      <c r="AB3495" s="33"/>
      <c r="AC3495" s="33"/>
      <c r="AD3495" s="33"/>
      <c r="AE3495" s="33"/>
      <c r="AF3495" s="33"/>
      <c r="AG3495" s="33"/>
      <c r="AH3495" s="33"/>
      <c r="AI3495" s="33"/>
      <c r="AJ3495" s="33"/>
      <c r="AK3495" s="33"/>
    </row>
    <row r="3496">
      <c r="A3496" s="33"/>
      <c r="B3496" s="33"/>
      <c r="C3496" s="33"/>
      <c r="D3496" s="33"/>
      <c r="E3496" s="33"/>
      <c r="F3496" s="33"/>
      <c r="G3496" s="33"/>
      <c r="H3496" s="33"/>
      <c r="I3496" s="33"/>
      <c r="J3496" s="33"/>
      <c r="K3496" s="33"/>
      <c r="L3496" s="33"/>
      <c r="M3496" s="33"/>
      <c r="N3496" s="33"/>
      <c r="O3496" s="33"/>
      <c r="P3496" s="33"/>
      <c r="Q3496" s="33"/>
      <c r="R3496" s="33"/>
      <c r="S3496" s="33"/>
      <c r="T3496" s="33"/>
      <c r="U3496" s="33"/>
      <c r="V3496" s="33"/>
      <c r="W3496" s="33"/>
      <c r="X3496" s="33"/>
      <c r="Y3496" s="33"/>
      <c r="Z3496" s="33"/>
      <c r="AA3496" s="33"/>
      <c r="AB3496" s="33"/>
      <c r="AC3496" s="33"/>
      <c r="AD3496" s="33"/>
      <c r="AE3496" s="33"/>
      <c r="AF3496" s="33"/>
      <c r="AG3496" s="33"/>
      <c r="AH3496" s="33"/>
      <c r="AI3496" s="33"/>
      <c r="AJ3496" s="33"/>
      <c r="AK3496" s="33"/>
    </row>
    <row r="3497">
      <c r="A3497" s="33"/>
      <c r="B3497" s="33"/>
      <c r="C3497" s="33"/>
      <c r="D3497" s="33"/>
      <c r="E3497" s="33"/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33"/>
      <c r="Q3497" s="33"/>
      <c r="R3497" s="33"/>
      <c r="S3497" s="33"/>
      <c r="T3497" s="33"/>
      <c r="U3497" s="33"/>
      <c r="V3497" s="33"/>
      <c r="W3497" s="33"/>
      <c r="X3497" s="33"/>
      <c r="Y3497" s="33"/>
      <c r="Z3497" s="33"/>
      <c r="AA3497" s="33"/>
      <c r="AB3497" s="33"/>
      <c r="AC3497" s="33"/>
      <c r="AD3497" s="33"/>
      <c r="AE3497" s="33"/>
      <c r="AF3497" s="33"/>
      <c r="AG3497" s="33"/>
      <c r="AH3497" s="33"/>
      <c r="AI3497" s="33"/>
      <c r="AJ3497" s="33"/>
      <c r="AK3497" s="33"/>
    </row>
    <row r="3498">
      <c r="A3498" s="33"/>
      <c r="B3498" s="33"/>
      <c r="C3498" s="33"/>
      <c r="D3498" s="33"/>
      <c r="E3498" s="33"/>
      <c r="F3498" s="33"/>
      <c r="G3498" s="33"/>
      <c r="H3498" s="33"/>
      <c r="I3498" s="33"/>
      <c r="J3498" s="33"/>
      <c r="K3498" s="33"/>
      <c r="L3498" s="33"/>
      <c r="M3498" s="33"/>
      <c r="N3498" s="33"/>
      <c r="O3498" s="33"/>
      <c r="P3498" s="33"/>
      <c r="Q3498" s="33"/>
      <c r="R3498" s="33"/>
      <c r="S3498" s="33"/>
      <c r="T3498" s="33"/>
      <c r="U3498" s="33"/>
      <c r="V3498" s="33"/>
      <c r="W3498" s="33"/>
      <c r="X3498" s="33"/>
      <c r="Y3498" s="33"/>
      <c r="Z3498" s="33"/>
      <c r="AA3498" s="33"/>
      <c r="AB3498" s="33"/>
      <c r="AC3498" s="33"/>
      <c r="AD3498" s="33"/>
      <c r="AE3498" s="33"/>
      <c r="AF3498" s="33"/>
      <c r="AG3498" s="33"/>
      <c r="AH3498" s="33"/>
      <c r="AI3498" s="33"/>
      <c r="AJ3498" s="33"/>
      <c r="AK3498" s="33"/>
    </row>
    <row r="3499">
      <c r="A3499" s="33"/>
      <c r="B3499" s="33"/>
      <c r="C3499" s="33"/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  <c r="Q3499" s="33"/>
      <c r="R3499" s="33"/>
      <c r="S3499" s="33"/>
      <c r="T3499" s="33"/>
      <c r="U3499" s="33"/>
      <c r="V3499" s="33"/>
      <c r="W3499" s="33"/>
      <c r="X3499" s="33"/>
      <c r="Y3499" s="33"/>
      <c r="Z3499" s="33"/>
      <c r="AA3499" s="33"/>
      <c r="AB3499" s="33"/>
      <c r="AC3499" s="33"/>
      <c r="AD3499" s="33"/>
      <c r="AE3499" s="33"/>
      <c r="AF3499" s="33"/>
      <c r="AG3499" s="33"/>
      <c r="AH3499" s="33"/>
      <c r="AI3499" s="33"/>
      <c r="AJ3499" s="33"/>
      <c r="AK3499" s="33"/>
    </row>
    <row r="3500">
      <c r="A3500" s="33"/>
      <c r="B3500" s="33"/>
      <c r="C3500" s="33"/>
      <c r="D3500" s="33"/>
      <c r="E3500" s="33"/>
      <c r="F3500" s="33"/>
      <c r="G3500" s="33"/>
      <c r="H3500" s="33"/>
      <c r="I3500" s="33"/>
      <c r="J3500" s="33"/>
      <c r="K3500" s="33"/>
      <c r="L3500" s="33"/>
      <c r="M3500" s="33"/>
      <c r="N3500" s="33"/>
      <c r="O3500" s="33"/>
      <c r="P3500" s="33"/>
      <c r="Q3500" s="33"/>
      <c r="R3500" s="33"/>
      <c r="S3500" s="33"/>
      <c r="T3500" s="33"/>
      <c r="U3500" s="33"/>
      <c r="V3500" s="33"/>
      <c r="W3500" s="33"/>
      <c r="X3500" s="33"/>
      <c r="Y3500" s="33"/>
      <c r="Z3500" s="33"/>
      <c r="AA3500" s="33"/>
      <c r="AB3500" s="33"/>
      <c r="AC3500" s="33"/>
      <c r="AD3500" s="33"/>
      <c r="AE3500" s="33"/>
      <c r="AF3500" s="33"/>
      <c r="AG3500" s="33"/>
      <c r="AH3500" s="33"/>
      <c r="AI3500" s="33"/>
      <c r="AJ3500" s="33"/>
      <c r="AK3500" s="33"/>
    </row>
    <row r="3501">
      <c r="A3501" s="33"/>
      <c r="B3501" s="33"/>
      <c r="C3501" s="33"/>
      <c r="D3501" s="33"/>
      <c r="E3501" s="33"/>
      <c r="F3501" s="33"/>
      <c r="G3501" s="33"/>
      <c r="H3501" s="33"/>
      <c r="I3501" s="33"/>
      <c r="J3501" s="33"/>
      <c r="K3501" s="33"/>
      <c r="L3501" s="33"/>
      <c r="M3501" s="33"/>
      <c r="N3501" s="33"/>
      <c r="O3501" s="33"/>
      <c r="P3501" s="33"/>
      <c r="Q3501" s="33"/>
      <c r="R3501" s="33"/>
      <c r="S3501" s="33"/>
      <c r="T3501" s="33"/>
      <c r="U3501" s="33"/>
      <c r="V3501" s="33"/>
      <c r="W3501" s="33"/>
      <c r="X3501" s="33"/>
      <c r="Y3501" s="33"/>
      <c r="Z3501" s="33"/>
      <c r="AA3501" s="33"/>
      <c r="AB3501" s="33"/>
      <c r="AC3501" s="33"/>
      <c r="AD3501" s="33"/>
      <c r="AE3501" s="33"/>
      <c r="AF3501" s="33"/>
      <c r="AG3501" s="33"/>
      <c r="AH3501" s="33"/>
      <c r="AI3501" s="33"/>
      <c r="AJ3501" s="33"/>
      <c r="AK3501" s="33"/>
    </row>
    <row r="3502">
      <c r="A3502" s="33"/>
      <c r="B3502" s="33"/>
      <c r="C3502" s="33"/>
      <c r="D3502" s="33"/>
      <c r="E3502" s="33"/>
      <c r="F3502" s="33"/>
      <c r="G3502" s="33"/>
      <c r="H3502" s="33"/>
      <c r="I3502" s="33"/>
      <c r="J3502" s="33"/>
      <c r="K3502" s="33"/>
      <c r="L3502" s="33"/>
      <c r="M3502" s="33"/>
      <c r="N3502" s="33"/>
      <c r="O3502" s="33"/>
      <c r="P3502" s="33"/>
      <c r="Q3502" s="33"/>
      <c r="R3502" s="33"/>
      <c r="S3502" s="33"/>
      <c r="T3502" s="33"/>
      <c r="U3502" s="33"/>
      <c r="V3502" s="33"/>
      <c r="W3502" s="33"/>
      <c r="X3502" s="33"/>
      <c r="Y3502" s="33"/>
      <c r="Z3502" s="33"/>
      <c r="AA3502" s="33"/>
      <c r="AB3502" s="33"/>
      <c r="AC3502" s="33"/>
      <c r="AD3502" s="33"/>
      <c r="AE3502" s="33"/>
      <c r="AF3502" s="33"/>
      <c r="AG3502" s="33"/>
      <c r="AH3502" s="33"/>
      <c r="AI3502" s="33"/>
      <c r="AJ3502" s="33"/>
      <c r="AK3502" s="33"/>
    </row>
    <row r="3503">
      <c r="A3503" s="33"/>
      <c r="B3503" s="33"/>
      <c r="C3503" s="33"/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33"/>
      <c r="V3503" s="33"/>
      <c r="W3503" s="33"/>
      <c r="X3503" s="33"/>
      <c r="Y3503" s="33"/>
      <c r="Z3503" s="33"/>
      <c r="AA3503" s="33"/>
      <c r="AB3503" s="33"/>
      <c r="AC3503" s="33"/>
      <c r="AD3503" s="33"/>
      <c r="AE3503" s="33"/>
      <c r="AF3503" s="33"/>
      <c r="AG3503" s="33"/>
      <c r="AH3503" s="33"/>
      <c r="AI3503" s="33"/>
      <c r="AJ3503" s="33"/>
      <c r="AK3503" s="33"/>
    </row>
    <row r="3504">
      <c r="A3504" s="33"/>
      <c r="B3504" s="33"/>
      <c r="C3504" s="33"/>
      <c r="D3504" s="33"/>
      <c r="E3504" s="33"/>
      <c r="F3504" s="33"/>
      <c r="G3504" s="33"/>
      <c r="H3504" s="33"/>
      <c r="I3504" s="33"/>
      <c r="J3504" s="33"/>
      <c r="K3504" s="33"/>
      <c r="L3504" s="33"/>
      <c r="M3504" s="33"/>
      <c r="N3504" s="33"/>
      <c r="O3504" s="33"/>
      <c r="P3504" s="33"/>
      <c r="Q3504" s="33"/>
      <c r="R3504" s="33"/>
      <c r="S3504" s="33"/>
      <c r="T3504" s="33"/>
      <c r="U3504" s="33"/>
      <c r="V3504" s="33"/>
      <c r="W3504" s="33"/>
      <c r="X3504" s="33"/>
      <c r="Y3504" s="33"/>
      <c r="Z3504" s="33"/>
      <c r="AA3504" s="33"/>
      <c r="AB3504" s="33"/>
      <c r="AC3504" s="33"/>
      <c r="AD3504" s="33"/>
      <c r="AE3504" s="33"/>
      <c r="AF3504" s="33"/>
      <c r="AG3504" s="33"/>
      <c r="AH3504" s="33"/>
      <c r="AI3504" s="33"/>
      <c r="AJ3504" s="33"/>
      <c r="AK3504" s="33"/>
    </row>
    <row r="3505">
      <c r="A3505" s="33"/>
      <c r="B3505" s="33"/>
      <c r="C3505" s="33"/>
      <c r="D3505" s="33"/>
      <c r="E3505" s="33"/>
      <c r="F3505" s="33"/>
      <c r="G3505" s="33"/>
      <c r="H3505" s="33"/>
      <c r="I3505" s="33"/>
      <c r="J3505" s="33"/>
      <c r="K3505" s="33"/>
      <c r="L3505" s="33"/>
      <c r="M3505" s="33"/>
      <c r="N3505" s="33"/>
      <c r="O3505" s="33"/>
      <c r="P3505" s="33"/>
      <c r="Q3505" s="33"/>
      <c r="R3505" s="33"/>
      <c r="S3505" s="33"/>
      <c r="T3505" s="33"/>
      <c r="U3505" s="33"/>
      <c r="V3505" s="33"/>
      <c r="W3505" s="33"/>
      <c r="X3505" s="33"/>
      <c r="Y3505" s="33"/>
      <c r="Z3505" s="33"/>
      <c r="AA3505" s="33"/>
      <c r="AB3505" s="33"/>
      <c r="AC3505" s="33"/>
      <c r="AD3505" s="33"/>
      <c r="AE3505" s="33"/>
      <c r="AF3505" s="33"/>
      <c r="AG3505" s="33"/>
      <c r="AH3505" s="33"/>
      <c r="AI3505" s="33"/>
      <c r="AJ3505" s="33"/>
      <c r="AK3505" s="33"/>
    </row>
    <row r="3506">
      <c r="A3506" s="33"/>
      <c r="B3506" s="33"/>
      <c r="C3506" s="33"/>
      <c r="D3506" s="33"/>
      <c r="E3506" s="33"/>
      <c r="F3506" s="33"/>
      <c r="G3506" s="33"/>
      <c r="H3506" s="33"/>
      <c r="I3506" s="33"/>
      <c r="J3506" s="33"/>
      <c r="K3506" s="33"/>
      <c r="L3506" s="33"/>
      <c r="M3506" s="33"/>
      <c r="N3506" s="33"/>
      <c r="O3506" s="33"/>
      <c r="P3506" s="33"/>
      <c r="Q3506" s="33"/>
      <c r="R3506" s="33"/>
      <c r="S3506" s="33"/>
      <c r="T3506" s="33"/>
      <c r="U3506" s="33"/>
      <c r="V3506" s="33"/>
      <c r="W3506" s="33"/>
      <c r="X3506" s="33"/>
      <c r="Y3506" s="33"/>
      <c r="Z3506" s="33"/>
      <c r="AA3506" s="33"/>
      <c r="AB3506" s="33"/>
      <c r="AC3506" s="33"/>
      <c r="AD3506" s="33"/>
      <c r="AE3506" s="33"/>
      <c r="AF3506" s="33"/>
      <c r="AG3506" s="33"/>
      <c r="AH3506" s="33"/>
      <c r="AI3506" s="33"/>
      <c r="AJ3506" s="33"/>
      <c r="AK3506" s="33"/>
    </row>
    <row r="3507">
      <c r="A3507" s="33"/>
      <c r="B3507" s="33"/>
      <c r="C3507" s="33"/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33"/>
      <c r="V3507" s="33"/>
      <c r="W3507" s="33"/>
      <c r="X3507" s="33"/>
      <c r="Y3507" s="33"/>
      <c r="Z3507" s="33"/>
      <c r="AA3507" s="33"/>
      <c r="AB3507" s="33"/>
      <c r="AC3507" s="33"/>
      <c r="AD3507" s="33"/>
      <c r="AE3507" s="33"/>
      <c r="AF3507" s="33"/>
      <c r="AG3507" s="33"/>
      <c r="AH3507" s="33"/>
      <c r="AI3507" s="33"/>
      <c r="AJ3507" s="33"/>
      <c r="AK3507" s="33"/>
    </row>
    <row r="3508">
      <c r="A3508" s="33"/>
      <c r="B3508" s="33"/>
      <c r="C3508" s="33"/>
      <c r="D3508" s="33"/>
      <c r="E3508" s="33"/>
      <c r="F3508" s="33"/>
      <c r="G3508" s="33"/>
      <c r="H3508" s="33"/>
      <c r="I3508" s="33"/>
      <c r="J3508" s="33"/>
      <c r="K3508" s="33"/>
      <c r="L3508" s="33"/>
      <c r="M3508" s="33"/>
      <c r="N3508" s="33"/>
      <c r="O3508" s="33"/>
      <c r="P3508" s="33"/>
      <c r="Q3508" s="33"/>
      <c r="R3508" s="33"/>
      <c r="S3508" s="33"/>
      <c r="T3508" s="33"/>
      <c r="U3508" s="33"/>
      <c r="V3508" s="33"/>
      <c r="W3508" s="33"/>
      <c r="X3508" s="33"/>
      <c r="Y3508" s="33"/>
      <c r="Z3508" s="33"/>
      <c r="AA3508" s="33"/>
      <c r="AB3508" s="33"/>
      <c r="AC3508" s="33"/>
      <c r="AD3508" s="33"/>
      <c r="AE3508" s="33"/>
      <c r="AF3508" s="33"/>
      <c r="AG3508" s="33"/>
      <c r="AH3508" s="33"/>
      <c r="AI3508" s="33"/>
      <c r="AJ3508" s="33"/>
      <c r="AK3508" s="33"/>
    </row>
    <row r="3509">
      <c r="A3509" s="33"/>
      <c r="B3509" s="33"/>
      <c r="C3509" s="33"/>
      <c r="D3509" s="33"/>
      <c r="E3509" s="33"/>
      <c r="F3509" s="33"/>
      <c r="G3509" s="33"/>
      <c r="H3509" s="33"/>
      <c r="I3509" s="33"/>
      <c r="J3509" s="33"/>
      <c r="K3509" s="33"/>
      <c r="L3509" s="33"/>
      <c r="M3509" s="33"/>
      <c r="N3509" s="33"/>
      <c r="O3509" s="33"/>
      <c r="P3509" s="33"/>
      <c r="Q3509" s="33"/>
      <c r="R3509" s="33"/>
      <c r="S3509" s="33"/>
      <c r="T3509" s="33"/>
      <c r="U3509" s="33"/>
      <c r="V3509" s="33"/>
      <c r="W3509" s="33"/>
      <c r="X3509" s="33"/>
      <c r="Y3509" s="33"/>
      <c r="Z3509" s="33"/>
      <c r="AA3509" s="33"/>
      <c r="AB3509" s="33"/>
      <c r="AC3509" s="33"/>
      <c r="AD3509" s="33"/>
      <c r="AE3509" s="33"/>
      <c r="AF3509" s="33"/>
      <c r="AG3509" s="33"/>
      <c r="AH3509" s="33"/>
      <c r="AI3509" s="33"/>
      <c r="AJ3509" s="33"/>
      <c r="AK3509" s="33"/>
    </row>
    <row r="3510">
      <c r="A3510" s="33"/>
      <c r="B3510" s="33"/>
      <c r="C3510" s="33"/>
      <c r="D3510" s="33"/>
      <c r="E3510" s="33"/>
      <c r="F3510" s="33"/>
      <c r="G3510" s="33"/>
      <c r="H3510" s="33"/>
      <c r="I3510" s="33"/>
      <c r="J3510" s="33"/>
      <c r="K3510" s="33"/>
      <c r="L3510" s="33"/>
      <c r="M3510" s="33"/>
      <c r="N3510" s="33"/>
      <c r="O3510" s="33"/>
      <c r="P3510" s="33"/>
      <c r="Q3510" s="33"/>
      <c r="R3510" s="33"/>
      <c r="S3510" s="33"/>
      <c r="T3510" s="33"/>
      <c r="U3510" s="33"/>
      <c r="V3510" s="33"/>
      <c r="W3510" s="33"/>
      <c r="X3510" s="33"/>
      <c r="Y3510" s="33"/>
      <c r="Z3510" s="33"/>
      <c r="AA3510" s="33"/>
      <c r="AB3510" s="33"/>
      <c r="AC3510" s="33"/>
      <c r="AD3510" s="33"/>
      <c r="AE3510" s="33"/>
      <c r="AF3510" s="33"/>
      <c r="AG3510" s="33"/>
      <c r="AH3510" s="33"/>
      <c r="AI3510" s="33"/>
      <c r="AJ3510" s="33"/>
      <c r="AK3510" s="33"/>
    </row>
    <row r="3511">
      <c r="A3511" s="33"/>
      <c r="B3511" s="33"/>
      <c r="C3511" s="33"/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  <c r="Q3511" s="33"/>
      <c r="R3511" s="33"/>
      <c r="S3511" s="33"/>
      <c r="T3511" s="33"/>
      <c r="U3511" s="33"/>
      <c r="V3511" s="33"/>
      <c r="W3511" s="33"/>
      <c r="X3511" s="33"/>
      <c r="Y3511" s="33"/>
      <c r="Z3511" s="33"/>
      <c r="AA3511" s="33"/>
      <c r="AB3511" s="33"/>
      <c r="AC3511" s="33"/>
      <c r="AD3511" s="33"/>
      <c r="AE3511" s="33"/>
      <c r="AF3511" s="33"/>
      <c r="AG3511" s="33"/>
      <c r="AH3511" s="33"/>
      <c r="AI3511" s="33"/>
      <c r="AJ3511" s="33"/>
      <c r="AK3511" s="33"/>
    </row>
    <row r="3512">
      <c r="A3512" s="33"/>
      <c r="B3512" s="33"/>
      <c r="C3512" s="33"/>
      <c r="D3512" s="33"/>
      <c r="E3512" s="33"/>
      <c r="F3512" s="33"/>
      <c r="G3512" s="33"/>
      <c r="H3512" s="33"/>
      <c r="I3512" s="33"/>
      <c r="J3512" s="33"/>
      <c r="K3512" s="33"/>
      <c r="L3512" s="33"/>
      <c r="M3512" s="33"/>
      <c r="N3512" s="33"/>
      <c r="O3512" s="33"/>
      <c r="P3512" s="33"/>
      <c r="Q3512" s="33"/>
      <c r="R3512" s="33"/>
      <c r="S3512" s="33"/>
      <c r="T3512" s="33"/>
      <c r="U3512" s="33"/>
      <c r="V3512" s="33"/>
      <c r="W3512" s="33"/>
      <c r="X3512" s="33"/>
      <c r="Y3512" s="33"/>
      <c r="Z3512" s="33"/>
      <c r="AA3512" s="33"/>
      <c r="AB3512" s="33"/>
      <c r="AC3512" s="33"/>
      <c r="AD3512" s="33"/>
      <c r="AE3512" s="33"/>
      <c r="AF3512" s="33"/>
      <c r="AG3512" s="33"/>
      <c r="AH3512" s="33"/>
      <c r="AI3512" s="33"/>
      <c r="AJ3512" s="33"/>
      <c r="AK3512" s="33"/>
    </row>
    <row r="3513">
      <c r="A3513" s="33"/>
      <c r="B3513" s="33"/>
      <c r="C3513" s="33"/>
      <c r="D3513" s="33"/>
      <c r="E3513" s="33"/>
      <c r="F3513" s="33"/>
      <c r="G3513" s="33"/>
      <c r="H3513" s="33"/>
      <c r="I3513" s="33"/>
      <c r="J3513" s="33"/>
      <c r="K3513" s="33"/>
      <c r="L3513" s="33"/>
      <c r="M3513" s="33"/>
      <c r="N3513" s="33"/>
      <c r="O3513" s="33"/>
      <c r="P3513" s="33"/>
      <c r="Q3513" s="33"/>
      <c r="R3513" s="33"/>
      <c r="S3513" s="33"/>
      <c r="T3513" s="33"/>
      <c r="U3513" s="33"/>
      <c r="V3513" s="33"/>
      <c r="W3513" s="33"/>
      <c r="X3513" s="33"/>
      <c r="Y3513" s="33"/>
      <c r="Z3513" s="33"/>
      <c r="AA3513" s="33"/>
      <c r="AB3513" s="33"/>
      <c r="AC3513" s="33"/>
      <c r="AD3513" s="33"/>
      <c r="AE3513" s="33"/>
      <c r="AF3513" s="33"/>
      <c r="AG3513" s="33"/>
      <c r="AH3513" s="33"/>
      <c r="AI3513" s="33"/>
      <c r="AJ3513" s="33"/>
      <c r="AK3513" s="33"/>
    </row>
    <row r="3514">
      <c r="A3514" s="33"/>
      <c r="B3514" s="33"/>
      <c r="C3514" s="33"/>
      <c r="D3514" s="33"/>
      <c r="E3514" s="33"/>
      <c r="F3514" s="33"/>
      <c r="G3514" s="33"/>
      <c r="H3514" s="33"/>
      <c r="I3514" s="33"/>
      <c r="J3514" s="33"/>
      <c r="K3514" s="33"/>
      <c r="L3514" s="33"/>
      <c r="M3514" s="33"/>
      <c r="N3514" s="33"/>
      <c r="O3514" s="33"/>
      <c r="P3514" s="33"/>
      <c r="Q3514" s="33"/>
      <c r="R3514" s="33"/>
      <c r="S3514" s="33"/>
      <c r="T3514" s="33"/>
      <c r="U3514" s="33"/>
      <c r="V3514" s="33"/>
      <c r="W3514" s="33"/>
      <c r="X3514" s="33"/>
      <c r="Y3514" s="33"/>
      <c r="Z3514" s="33"/>
      <c r="AA3514" s="33"/>
      <c r="AB3514" s="33"/>
      <c r="AC3514" s="33"/>
      <c r="AD3514" s="33"/>
      <c r="AE3514" s="33"/>
      <c r="AF3514" s="33"/>
      <c r="AG3514" s="33"/>
      <c r="AH3514" s="33"/>
      <c r="AI3514" s="33"/>
      <c r="AJ3514" s="33"/>
      <c r="AK3514" s="33"/>
    </row>
    <row r="3515">
      <c r="A3515" s="33"/>
      <c r="B3515" s="33"/>
      <c r="C3515" s="33"/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  <c r="Q3515" s="33"/>
      <c r="R3515" s="33"/>
      <c r="S3515" s="33"/>
      <c r="T3515" s="33"/>
      <c r="U3515" s="33"/>
      <c r="V3515" s="33"/>
      <c r="W3515" s="33"/>
      <c r="X3515" s="33"/>
      <c r="Y3515" s="33"/>
      <c r="Z3515" s="33"/>
      <c r="AA3515" s="33"/>
      <c r="AB3515" s="33"/>
      <c r="AC3515" s="33"/>
      <c r="AD3515" s="33"/>
      <c r="AE3515" s="33"/>
      <c r="AF3515" s="33"/>
      <c r="AG3515" s="33"/>
      <c r="AH3515" s="33"/>
      <c r="AI3515" s="33"/>
      <c r="AJ3515" s="33"/>
      <c r="AK3515" s="33"/>
    </row>
    <row r="3516">
      <c r="A3516" s="33"/>
      <c r="B3516" s="33"/>
      <c r="C3516" s="33"/>
      <c r="D3516" s="33"/>
      <c r="E3516" s="33"/>
      <c r="F3516" s="33"/>
      <c r="G3516" s="33"/>
      <c r="H3516" s="33"/>
      <c r="I3516" s="33"/>
      <c r="J3516" s="33"/>
      <c r="K3516" s="33"/>
      <c r="L3516" s="33"/>
      <c r="M3516" s="33"/>
      <c r="N3516" s="33"/>
      <c r="O3516" s="33"/>
      <c r="P3516" s="33"/>
      <c r="Q3516" s="33"/>
      <c r="R3516" s="33"/>
      <c r="S3516" s="33"/>
      <c r="T3516" s="33"/>
      <c r="U3516" s="33"/>
      <c r="V3516" s="33"/>
      <c r="W3516" s="33"/>
      <c r="X3516" s="33"/>
      <c r="Y3516" s="33"/>
      <c r="Z3516" s="33"/>
      <c r="AA3516" s="33"/>
      <c r="AB3516" s="33"/>
      <c r="AC3516" s="33"/>
      <c r="AD3516" s="33"/>
      <c r="AE3516" s="33"/>
      <c r="AF3516" s="33"/>
      <c r="AG3516" s="33"/>
      <c r="AH3516" s="33"/>
      <c r="AI3516" s="33"/>
      <c r="AJ3516" s="33"/>
      <c r="AK3516" s="33"/>
    </row>
    <row r="3517">
      <c r="A3517" s="33"/>
      <c r="B3517" s="33"/>
      <c r="C3517" s="33"/>
      <c r="D3517" s="33"/>
      <c r="E3517" s="33"/>
      <c r="F3517" s="33"/>
      <c r="G3517" s="33"/>
      <c r="H3517" s="33"/>
      <c r="I3517" s="33"/>
      <c r="J3517" s="33"/>
      <c r="K3517" s="33"/>
      <c r="L3517" s="33"/>
      <c r="M3517" s="33"/>
      <c r="N3517" s="33"/>
      <c r="O3517" s="33"/>
      <c r="P3517" s="33"/>
      <c r="Q3517" s="33"/>
      <c r="R3517" s="33"/>
      <c r="S3517" s="33"/>
      <c r="T3517" s="33"/>
      <c r="U3517" s="33"/>
      <c r="V3517" s="33"/>
      <c r="W3517" s="33"/>
      <c r="X3517" s="33"/>
      <c r="Y3517" s="33"/>
      <c r="Z3517" s="33"/>
      <c r="AA3517" s="33"/>
      <c r="AB3517" s="33"/>
      <c r="AC3517" s="33"/>
      <c r="AD3517" s="33"/>
      <c r="AE3517" s="33"/>
      <c r="AF3517" s="33"/>
      <c r="AG3517" s="33"/>
      <c r="AH3517" s="33"/>
      <c r="AI3517" s="33"/>
      <c r="AJ3517" s="33"/>
      <c r="AK3517" s="33"/>
    </row>
    <row r="3518">
      <c r="A3518" s="33"/>
      <c r="B3518" s="33"/>
      <c r="C3518" s="33"/>
      <c r="D3518" s="33"/>
      <c r="E3518" s="33"/>
      <c r="F3518" s="33"/>
      <c r="G3518" s="33"/>
      <c r="H3518" s="33"/>
      <c r="I3518" s="33"/>
      <c r="J3518" s="33"/>
      <c r="K3518" s="33"/>
      <c r="L3518" s="33"/>
      <c r="M3518" s="33"/>
      <c r="N3518" s="33"/>
      <c r="O3518" s="33"/>
      <c r="P3518" s="33"/>
      <c r="Q3518" s="33"/>
      <c r="R3518" s="33"/>
      <c r="S3518" s="33"/>
      <c r="T3518" s="33"/>
      <c r="U3518" s="33"/>
      <c r="V3518" s="33"/>
      <c r="W3518" s="33"/>
      <c r="X3518" s="33"/>
      <c r="Y3518" s="33"/>
      <c r="Z3518" s="33"/>
      <c r="AA3518" s="33"/>
      <c r="AB3518" s="33"/>
      <c r="AC3518" s="33"/>
      <c r="AD3518" s="33"/>
      <c r="AE3518" s="33"/>
      <c r="AF3518" s="33"/>
      <c r="AG3518" s="33"/>
      <c r="AH3518" s="33"/>
      <c r="AI3518" s="33"/>
      <c r="AJ3518" s="33"/>
      <c r="AK3518" s="33"/>
    </row>
    <row r="3519">
      <c r="A3519" s="33"/>
      <c r="B3519" s="33"/>
      <c r="C3519" s="33"/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  <c r="Q3519" s="33"/>
      <c r="R3519" s="33"/>
      <c r="S3519" s="33"/>
      <c r="T3519" s="33"/>
      <c r="U3519" s="33"/>
      <c r="V3519" s="33"/>
      <c r="W3519" s="33"/>
      <c r="X3519" s="33"/>
      <c r="Y3519" s="33"/>
      <c r="Z3519" s="33"/>
      <c r="AA3519" s="33"/>
      <c r="AB3519" s="33"/>
      <c r="AC3519" s="33"/>
      <c r="AD3519" s="33"/>
      <c r="AE3519" s="33"/>
      <c r="AF3519" s="33"/>
      <c r="AG3519" s="33"/>
      <c r="AH3519" s="33"/>
      <c r="AI3519" s="33"/>
      <c r="AJ3519" s="33"/>
      <c r="AK3519" s="33"/>
    </row>
    <row r="3520">
      <c r="A3520" s="33"/>
      <c r="B3520" s="33"/>
      <c r="C3520" s="33"/>
      <c r="D3520" s="33"/>
      <c r="E3520" s="33"/>
      <c r="F3520" s="33"/>
      <c r="G3520" s="33"/>
      <c r="H3520" s="33"/>
      <c r="I3520" s="33"/>
      <c r="J3520" s="33"/>
      <c r="K3520" s="33"/>
      <c r="L3520" s="33"/>
      <c r="M3520" s="33"/>
      <c r="N3520" s="33"/>
      <c r="O3520" s="33"/>
      <c r="P3520" s="33"/>
      <c r="Q3520" s="33"/>
      <c r="R3520" s="33"/>
      <c r="S3520" s="33"/>
      <c r="T3520" s="33"/>
      <c r="U3520" s="33"/>
      <c r="V3520" s="33"/>
      <c r="W3520" s="33"/>
      <c r="X3520" s="33"/>
      <c r="Y3520" s="33"/>
      <c r="Z3520" s="33"/>
      <c r="AA3520" s="33"/>
      <c r="AB3520" s="33"/>
      <c r="AC3520" s="33"/>
      <c r="AD3520" s="33"/>
      <c r="AE3520" s="33"/>
      <c r="AF3520" s="33"/>
      <c r="AG3520" s="33"/>
      <c r="AH3520" s="33"/>
      <c r="AI3520" s="33"/>
      <c r="AJ3520" s="33"/>
      <c r="AK3520" s="33"/>
    </row>
    <row r="3521">
      <c r="A3521" s="33"/>
      <c r="B3521" s="33"/>
      <c r="C3521" s="33"/>
      <c r="D3521" s="33"/>
      <c r="E3521" s="33"/>
      <c r="F3521" s="33"/>
      <c r="G3521" s="33"/>
      <c r="H3521" s="33"/>
      <c r="I3521" s="33"/>
      <c r="J3521" s="33"/>
      <c r="K3521" s="33"/>
      <c r="L3521" s="33"/>
      <c r="M3521" s="33"/>
      <c r="N3521" s="33"/>
      <c r="O3521" s="33"/>
      <c r="P3521" s="33"/>
      <c r="Q3521" s="33"/>
      <c r="R3521" s="33"/>
      <c r="S3521" s="33"/>
      <c r="T3521" s="33"/>
      <c r="U3521" s="33"/>
      <c r="V3521" s="33"/>
      <c r="W3521" s="33"/>
      <c r="X3521" s="33"/>
      <c r="Y3521" s="33"/>
      <c r="Z3521" s="33"/>
      <c r="AA3521" s="33"/>
      <c r="AB3521" s="33"/>
      <c r="AC3521" s="33"/>
      <c r="AD3521" s="33"/>
      <c r="AE3521" s="33"/>
      <c r="AF3521" s="33"/>
      <c r="AG3521" s="33"/>
      <c r="AH3521" s="33"/>
      <c r="AI3521" s="33"/>
      <c r="AJ3521" s="33"/>
      <c r="AK3521" s="33"/>
    </row>
    <row r="3522">
      <c r="A3522" s="33"/>
      <c r="B3522" s="33"/>
      <c r="C3522" s="33"/>
      <c r="D3522" s="33"/>
      <c r="E3522" s="33"/>
      <c r="F3522" s="33"/>
      <c r="G3522" s="33"/>
      <c r="H3522" s="33"/>
      <c r="I3522" s="33"/>
      <c r="J3522" s="33"/>
      <c r="K3522" s="33"/>
      <c r="L3522" s="33"/>
      <c r="M3522" s="33"/>
      <c r="N3522" s="33"/>
      <c r="O3522" s="33"/>
      <c r="P3522" s="33"/>
      <c r="Q3522" s="33"/>
      <c r="R3522" s="33"/>
      <c r="S3522" s="33"/>
      <c r="T3522" s="33"/>
      <c r="U3522" s="33"/>
      <c r="V3522" s="33"/>
      <c r="W3522" s="33"/>
      <c r="X3522" s="33"/>
      <c r="Y3522" s="33"/>
      <c r="Z3522" s="33"/>
      <c r="AA3522" s="33"/>
      <c r="AB3522" s="33"/>
      <c r="AC3522" s="33"/>
      <c r="AD3522" s="33"/>
      <c r="AE3522" s="33"/>
      <c r="AF3522" s="33"/>
      <c r="AG3522" s="33"/>
      <c r="AH3522" s="33"/>
      <c r="AI3522" s="33"/>
      <c r="AJ3522" s="33"/>
      <c r="AK3522" s="33"/>
    </row>
    <row r="3523">
      <c r="A3523" s="33"/>
      <c r="B3523" s="33"/>
      <c r="C3523" s="33"/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  <c r="Q3523" s="33"/>
      <c r="R3523" s="33"/>
      <c r="S3523" s="33"/>
      <c r="T3523" s="33"/>
      <c r="U3523" s="33"/>
      <c r="V3523" s="33"/>
      <c r="W3523" s="33"/>
      <c r="X3523" s="33"/>
      <c r="Y3523" s="33"/>
      <c r="Z3523" s="33"/>
      <c r="AA3523" s="33"/>
      <c r="AB3523" s="33"/>
      <c r="AC3523" s="33"/>
      <c r="AD3523" s="33"/>
      <c r="AE3523" s="33"/>
      <c r="AF3523" s="33"/>
      <c r="AG3523" s="33"/>
      <c r="AH3523" s="33"/>
      <c r="AI3523" s="33"/>
      <c r="AJ3523" s="33"/>
      <c r="AK3523" s="33"/>
    </row>
    <row r="3524">
      <c r="A3524" s="33"/>
      <c r="B3524" s="33"/>
      <c r="C3524" s="33"/>
      <c r="D3524" s="33"/>
      <c r="E3524" s="33"/>
      <c r="F3524" s="33"/>
      <c r="G3524" s="33"/>
      <c r="H3524" s="33"/>
      <c r="I3524" s="33"/>
      <c r="J3524" s="33"/>
      <c r="K3524" s="33"/>
      <c r="L3524" s="33"/>
      <c r="M3524" s="33"/>
      <c r="N3524" s="33"/>
      <c r="O3524" s="33"/>
      <c r="P3524" s="33"/>
      <c r="Q3524" s="33"/>
      <c r="R3524" s="33"/>
      <c r="S3524" s="33"/>
      <c r="T3524" s="33"/>
      <c r="U3524" s="33"/>
      <c r="V3524" s="33"/>
      <c r="W3524" s="33"/>
      <c r="X3524" s="33"/>
      <c r="Y3524" s="33"/>
      <c r="Z3524" s="33"/>
      <c r="AA3524" s="33"/>
      <c r="AB3524" s="33"/>
      <c r="AC3524" s="33"/>
      <c r="AD3524" s="33"/>
      <c r="AE3524" s="33"/>
      <c r="AF3524" s="33"/>
      <c r="AG3524" s="33"/>
      <c r="AH3524" s="33"/>
      <c r="AI3524" s="33"/>
      <c r="AJ3524" s="33"/>
      <c r="AK3524" s="33"/>
    </row>
    <row r="3525">
      <c r="A3525" s="33"/>
      <c r="B3525" s="33"/>
      <c r="C3525" s="33"/>
      <c r="D3525" s="33"/>
      <c r="E3525" s="33"/>
      <c r="F3525" s="33"/>
      <c r="G3525" s="33"/>
      <c r="H3525" s="33"/>
      <c r="I3525" s="33"/>
      <c r="J3525" s="33"/>
      <c r="K3525" s="33"/>
      <c r="L3525" s="33"/>
      <c r="M3525" s="33"/>
      <c r="N3525" s="33"/>
      <c r="O3525" s="33"/>
      <c r="P3525" s="33"/>
      <c r="Q3525" s="33"/>
      <c r="R3525" s="33"/>
      <c r="S3525" s="33"/>
      <c r="T3525" s="33"/>
      <c r="U3525" s="33"/>
      <c r="V3525" s="33"/>
      <c r="W3525" s="33"/>
      <c r="X3525" s="33"/>
      <c r="Y3525" s="33"/>
      <c r="Z3525" s="33"/>
      <c r="AA3525" s="33"/>
      <c r="AB3525" s="33"/>
      <c r="AC3525" s="33"/>
      <c r="AD3525" s="33"/>
      <c r="AE3525" s="33"/>
      <c r="AF3525" s="33"/>
      <c r="AG3525" s="33"/>
      <c r="AH3525" s="33"/>
      <c r="AI3525" s="33"/>
      <c r="AJ3525" s="33"/>
      <c r="AK3525" s="33"/>
    </row>
    <row r="3526">
      <c r="A3526" s="33"/>
      <c r="B3526" s="33"/>
      <c r="C3526" s="33"/>
      <c r="D3526" s="33"/>
      <c r="E3526" s="33"/>
      <c r="F3526" s="33"/>
      <c r="G3526" s="33"/>
      <c r="H3526" s="33"/>
      <c r="I3526" s="33"/>
      <c r="J3526" s="33"/>
      <c r="K3526" s="33"/>
      <c r="L3526" s="33"/>
      <c r="M3526" s="33"/>
      <c r="N3526" s="33"/>
      <c r="O3526" s="33"/>
      <c r="P3526" s="33"/>
      <c r="Q3526" s="33"/>
      <c r="R3526" s="33"/>
      <c r="S3526" s="33"/>
      <c r="T3526" s="33"/>
      <c r="U3526" s="33"/>
      <c r="V3526" s="33"/>
      <c r="W3526" s="33"/>
      <c r="X3526" s="33"/>
      <c r="Y3526" s="33"/>
      <c r="Z3526" s="33"/>
      <c r="AA3526" s="33"/>
      <c r="AB3526" s="33"/>
      <c r="AC3526" s="33"/>
      <c r="AD3526" s="33"/>
      <c r="AE3526" s="33"/>
      <c r="AF3526" s="33"/>
      <c r="AG3526" s="33"/>
      <c r="AH3526" s="33"/>
      <c r="AI3526" s="33"/>
      <c r="AJ3526" s="33"/>
      <c r="AK3526" s="33"/>
    </row>
    <row r="3527">
      <c r="A3527" s="33"/>
      <c r="B3527" s="33"/>
      <c r="C3527" s="33"/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  <c r="R3527" s="33"/>
      <c r="S3527" s="33"/>
      <c r="T3527" s="33"/>
      <c r="U3527" s="33"/>
      <c r="V3527" s="33"/>
      <c r="W3527" s="33"/>
      <c r="X3527" s="33"/>
      <c r="Y3527" s="33"/>
      <c r="Z3527" s="33"/>
      <c r="AA3527" s="33"/>
      <c r="AB3527" s="33"/>
      <c r="AC3527" s="33"/>
      <c r="AD3527" s="33"/>
      <c r="AE3527" s="33"/>
      <c r="AF3527" s="33"/>
      <c r="AG3527" s="33"/>
      <c r="AH3527" s="33"/>
      <c r="AI3527" s="33"/>
      <c r="AJ3527" s="33"/>
      <c r="AK3527" s="33"/>
    </row>
    <row r="3528">
      <c r="A3528" s="33"/>
      <c r="B3528" s="33"/>
      <c r="C3528" s="33"/>
      <c r="D3528" s="33"/>
      <c r="E3528" s="33"/>
      <c r="F3528" s="33"/>
      <c r="G3528" s="33"/>
      <c r="H3528" s="33"/>
      <c r="I3528" s="33"/>
      <c r="J3528" s="33"/>
      <c r="K3528" s="33"/>
      <c r="L3528" s="33"/>
      <c r="M3528" s="33"/>
      <c r="N3528" s="33"/>
      <c r="O3528" s="33"/>
      <c r="P3528" s="33"/>
      <c r="Q3528" s="33"/>
      <c r="R3528" s="33"/>
      <c r="S3528" s="33"/>
      <c r="T3528" s="33"/>
      <c r="U3528" s="33"/>
      <c r="V3528" s="33"/>
      <c r="W3528" s="33"/>
      <c r="X3528" s="33"/>
      <c r="Y3528" s="33"/>
      <c r="Z3528" s="33"/>
      <c r="AA3528" s="33"/>
      <c r="AB3528" s="33"/>
      <c r="AC3528" s="33"/>
      <c r="AD3528" s="33"/>
      <c r="AE3528" s="33"/>
      <c r="AF3528" s="33"/>
      <c r="AG3528" s="33"/>
      <c r="AH3528" s="33"/>
      <c r="AI3528" s="33"/>
      <c r="AJ3528" s="33"/>
      <c r="AK3528" s="33"/>
    </row>
    <row r="3529">
      <c r="A3529" s="33"/>
      <c r="B3529" s="33"/>
      <c r="C3529" s="33"/>
      <c r="D3529" s="33"/>
      <c r="E3529" s="33"/>
      <c r="F3529" s="33"/>
      <c r="G3529" s="33"/>
      <c r="H3529" s="33"/>
      <c r="I3529" s="33"/>
      <c r="J3529" s="33"/>
      <c r="K3529" s="33"/>
      <c r="L3529" s="33"/>
      <c r="M3529" s="33"/>
      <c r="N3529" s="33"/>
      <c r="O3529" s="33"/>
      <c r="P3529" s="33"/>
      <c r="Q3529" s="33"/>
      <c r="R3529" s="33"/>
      <c r="S3529" s="33"/>
      <c r="T3529" s="33"/>
      <c r="U3529" s="33"/>
      <c r="V3529" s="33"/>
      <c r="W3529" s="33"/>
      <c r="X3529" s="33"/>
      <c r="Y3529" s="33"/>
      <c r="Z3529" s="33"/>
      <c r="AA3529" s="33"/>
      <c r="AB3529" s="33"/>
      <c r="AC3529" s="33"/>
      <c r="AD3529" s="33"/>
      <c r="AE3529" s="33"/>
      <c r="AF3529" s="33"/>
      <c r="AG3529" s="33"/>
      <c r="AH3529" s="33"/>
      <c r="AI3529" s="33"/>
      <c r="AJ3529" s="33"/>
      <c r="AK3529" s="33"/>
    </row>
    <row r="3530">
      <c r="A3530" s="33"/>
      <c r="B3530" s="33"/>
      <c r="C3530" s="33"/>
      <c r="D3530" s="33"/>
      <c r="E3530" s="33"/>
      <c r="F3530" s="33"/>
      <c r="G3530" s="33"/>
      <c r="H3530" s="33"/>
      <c r="I3530" s="33"/>
      <c r="J3530" s="33"/>
      <c r="K3530" s="33"/>
      <c r="L3530" s="33"/>
      <c r="M3530" s="33"/>
      <c r="N3530" s="33"/>
      <c r="O3530" s="33"/>
      <c r="P3530" s="33"/>
      <c r="Q3530" s="33"/>
      <c r="R3530" s="33"/>
      <c r="S3530" s="33"/>
      <c r="T3530" s="33"/>
      <c r="U3530" s="33"/>
      <c r="V3530" s="33"/>
      <c r="W3530" s="33"/>
      <c r="X3530" s="33"/>
      <c r="Y3530" s="33"/>
      <c r="Z3530" s="33"/>
      <c r="AA3530" s="33"/>
      <c r="AB3530" s="33"/>
      <c r="AC3530" s="33"/>
      <c r="AD3530" s="33"/>
      <c r="AE3530" s="33"/>
      <c r="AF3530" s="33"/>
      <c r="AG3530" s="33"/>
      <c r="AH3530" s="33"/>
      <c r="AI3530" s="33"/>
      <c r="AJ3530" s="33"/>
      <c r="AK3530" s="33"/>
    </row>
    <row r="3531">
      <c r="A3531" s="33"/>
      <c r="B3531" s="33"/>
      <c r="C3531" s="33"/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  <c r="Q3531" s="33"/>
      <c r="R3531" s="33"/>
      <c r="S3531" s="33"/>
      <c r="T3531" s="33"/>
      <c r="U3531" s="33"/>
      <c r="V3531" s="33"/>
      <c r="W3531" s="33"/>
      <c r="X3531" s="33"/>
      <c r="Y3531" s="33"/>
      <c r="Z3531" s="33"/>
      <c r="AA3531" s="33"/>
      <c r="AB3531" s="33"/>
      <c r="AC3531" s="33"/>
      <c r="AD3531" s="33"/>
      <c r="AE3531" s="33"/>
      <c r="AF3531" s="33"/>
      <c r="AG3531" s="33"/>
      <c r="AH3531" s="33"/>
      <c r="AI3531" s="33"/>
      <c r="AJ3531" s="33"/>
      <c r="AK3531" s="33"/>
    </row>
    <row r="3532">
      <c r="A3532" s="33"/>
      <c r="B3532" s="33"/>
      <c r="C3532" s="33"/>
      <c r="D3532" s="33"/>
      <c r="E3532" s="33"/>
      <c r="F3532" s="33"/>
      <c r="G3532" s="33"/>
      <c r="H3532" s="33"/>
      <c r="I3532" s="33"/>
      <c r="J3532" s="33"/>
      <c r="K3532" s="33"/>
      <c r="L3532" s="33"/>
      <c r="M3532" s="33"/>
      <c r="N3532" s="33"/>
      <c r="O3532" s="33"/>
      <c r="P3532" s="33"/>
      <c r="Q3532" s="33"/>
      <c r="R3532" s="33"/>
      <c r="S3532" s="33"/>
      <c r="T3532" s="33"/>
      <c r="U3532" s="33"/>
      <c r="V3532" s="33"/>
      <c r="W3532" s="33"/>
      <c r="X3532" s="33"/>
      <c r="Y3532" s="33"/>
      <c r="Z3532" s="33"/>
      <c r="AA3532" s="33"/>
      <c r="AB3532" s="33"/>
      <c r="AC3532" s="33"/>
      <c r="AD3532" s="33"/>
      <c r="AE3532" s="33"/>
      <c r="AF3532" s="33"/>
      <c r="AG3532" s="33"/>
      <c r="AH3532" s="33"/>
      <c r="AI3532" s="33"/>
      <c r="AJ3532" s="33"/>
      <c r="AK3532" s="33"/>
    </row>
    <row r="3533">
      <c r="A3533" s="33"/>
      <c r="B3533" s="33"/>
      <c r="C3533" s="33"/>
      <c r="D3533" s="33"/>
      <c r="E3533" s="33"/>
      <c r="F3533" s="33"/>
      <c r="G3533" s="33"/>
      <c r="H3533" s="33"/>
      <c r="I3533" s="33"/>
      <c r="J3533" s="33"/>
      <c r="K3533" s="33"/>
      <c r="L3533" s="33"/>
      <c r="M3533" s="33"/>
      <c r="N3533" s="33"/>
      <c r="O3533" s="33"/>
      <c r="P3533" s="33"/>
      <c r="Q3533" s="33"/>
      <c r="R3533" s="33"/>
      <c r="S3533" s="33"/>
      <c r="T3533" s="33"/>
      <c r="U3533" s="33"/>
      <c r="V3533" s="33"/>
      <c r="W3533" s="33"/>
      <c r="X3533" s="33"/>
      <c r="Y3533" s="33"/>
      <c r="Z3533" s="33"/>
      <c r="AA3533" s="33"/>
      <c r="AB3533" s="33"/>
      <c r="AC3533" s="33"/>
      <c r="AD3533" s="33"/>
      <c r="AE3533" s="33"/>
      <c r="AF3533" s="33"/>
      <c r="AG3533" s="33"/>
      <c r="AH3533" s="33"/>
      <c r="AI3533" s="33"/>
      <c r="AJ3533" s="33"/>
      <c r="AK3533" s="33"/>
    </row>
    <row r="3534">
      <c r="A3534" s="33"/>
      <c r="B3534" s="33"/>
      <c r="C3534" s="33"/>
      <c r="D3534" s="33"/>
      <c r="E3534" s="33"/>
      <c r="F3534" s="33"/>
      <c r="G3534" s="33"/>
      <c r="H3534" s="33"/>
      <c r="I3534" s="33"/>
      <c r="J3534" s="33"/>
      <c r="K3534" s="33"/>
      <c r="L3534" s="33"/>
      <c r="M3534" s="33"/>
      <c r="N3534" s="33"/>
      <c r="O3534" s="33"/>
      <c r="P3534" s="33"/>
      <c r="Q3534" s="33"/>
      <c r="R3534" s="33"/>
      <c r="S3534" s="33"/>
      <c r="T3534" s="33"/>
      <c r="U3534" s="33"/>
      <c r="V3534" s="33"/>
      <c r="W3534" s="33"/>
      <c r="X3534" s="33"/>
      <c r="Y3534" s="33"/>
      <c r="Z3534" s="33"/>
      <c r="AA3534" s="33"/>
      <c r="AB3534" s="33"/>
      <c r="AC3534" s="33"/>
      <c r="AD3534" s="33"/>
      <c r="AE3534" s="33"/>
      <c r="AF3534" s="33"/>
      <c r="AG3534" s="33"/>
      <c r="AH3534" s="33"/>
      <c r="AI3534" s="33"/>
      <c r="AJ3534" s="33"/>
      <c r="AK3534" s="33"/>
    </row>
    <row r="3535">
      <c r="A3535" s="33"/>
      <c r="B3535" s="33"/>
      <c r="C3535" s="33"/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  <c r="Q3535" s="33"/>
      <c r="R3535" s="33"/>
      <c r="S3535" s="33"/>
      <c r="T3535" s="33"/>
      <c r="U3535" s="33"/>
      <c r="V3535" s="33"/>
      <c r="W3535" s="33"/>
      <c r="X3535" s="33"/>
      <c r="Y3535" s="33"/>
      <c r="Z3535" s="33"/>
      <c r="AA3535" s="33"/>
      <c r="AB3535" s="33"/>
      <c r="AC3535" s="33"/>
      <c r="AD3535" s="33"/>
      <c r="AE3535" s="33"/>
      <c r="AF3535" s="33"/>
      <c r="AG3535" s="33"/>
      <c r="AH3535" s="33"/>
      <c r="AI3535" s="33"/>
      <c r="AJ3535" s="33"/>
      <c r="AK3535" s="33"/>
    </row>
    <row r="3536">
      <c r="A3536" s="33"/>
      <c r="B3536" s="33"/>
      <c r="C3536" s="33"/>
      <c r="D3536" s="33"/>
      <c r="E3536" s="33"/>
      <c r="F3536" s="33"/>
      <c r="G3536" s="33"/>
      <c r="H3536" s="33"/>
      <c r="I3536" s="33"/>
      <c r="J3536" s="33"/>
      <c r="K3536" s="33"/>
      <c r="L3536" s="33"/>
      <c r="M3536" s="33"/>
      <c r="N3536" s="33"/>
      <c r="O3536" s="33"/>
      <c r="P3536" s="33"/>
      <c r="Q3536" s="33"/>
      <c r="R3536" s="33"/>
      <c r="S3536" s="33"/>
      <c r="T3536" s="33"/>
      <c r="U3536" s="33"/>
      <c r="V3536" s="33"/>
      <c r="W3536" s="33"/>
      <c r="X3536" s="33"/>
      <c r="Y3536" s="33"/>
      <c r="Z3536" s="33"/>
      <c r="AA3536" s="33"/>
      <c r="AB3536" s="33"/>
      <c r="AC3536" s="33"/>
      <c r="AD3536" s="33"/>
      <c r="AE3536" s="33"/>
      <c r="AF3536" s="33"/>
      <c r="AG3536" s="33"/>
      <c r="AH3536" s="33"/>
      <c r="AI3536" s="33"/>
      <c r="AJ3536" s="33"/>
      <c r="AK3536" s="33"/>
    </row>
    <row r="3537">
      <c r="A3537" s="33"/>
      <c r="B3537" s="33"/>
      <c r="C3537" s="33"/>
      <c r="D3537" s="33"/>
      <c r="E3537" s="33"/>
      <c r="F3537" s="33"/>
      <c r="G3537" s="33"/>
      <c r="H3537" s="33"/>
      <c r="I3537" s="33"/>
      <c r="J3537" s="33"/>
      <c r="K3537" s="33"/>
      <c r="L3537" s="33"/>
      <c r="M3537" s="33"/>
      <c r="N3537" s="33"/>
      <c r="O3537" s="33"/>
      <c r="P3537" s="33"/>
      <c r="Q3537" s="33"/>
      <c r="R3537" s="33"/>
      <c r="S3537" s="33"/>
      <c r="T3537" s="33"/>
      <c r="U3537" s="33"/>
      <c r="V3537" s="33"/>
      <c r="W3537" s="33"/>
      <c r="X3537" s="33"/>
      <c r="Y3537" s="33"/>
      <c r="Z3537" s="33"/>
      <c r="AA3537" s="33"/>
      <c r="AB3537" s="33"/>
      <c r="AC3537" s="33"/>
      <c r="AD3537" s="33"/>
      <c r="AE3537" s="33"/>
      <c r="AF3537" s="33"/>
      <c r="AG3537" s="33"/>
      <c r="AH3537" s="33"/>
      <c r="AI3537" s="33"/>
      <c r="AJ3537" s="33"/>
      <c r="AK3537" s="33"/>
    </row>
    <row r="3538">
      <c r="A3538" s="33"/>
      <c r="B3538" s="33"/>
      <c r="C3538" s="33"/>
      <c r="D3538" s="33"/>
      <c r="E3538" s="33"/>
      <c r="F3538" s="33"/>
      <c r="G3538" s="33"/>
      <c r="H3538" s="33"/>
      <c r="I3538" s="33"/>
      <c r="J3538" s="33"/>
      <c r="K3538" s="33"/>
      <c r="L3538" s="33"/>
      <c r="M3538" s="33"/>
      <c r="N3538" s="33"/>
      <c r="O3538" s="33"/>
      <c r="P3538" s="33"/>
      <c r="Q3538" s="33"/>
      <c r="R3538" s="33"/>
      <c r="S3538" s="33"/>
      <c r="T3538" s="33"/>
      <c r="U3538" s="33"/>
      <c r="V3538" s="33"/>
      <c r="W3538" s="33"/>
      <c r="X3538" s="33"/>
      <c r="Y3538" s="33"/>
      <c r="Z3538" s="33"/>
      <c r="AA3538" s="33"/>
      <c r="AB3538" s="33"/>
      <c r="AC3538" s="33"/>
      <c r="AD3538" s="33"/>
      <c r="AE3538" s="33"/>
      <c r="AF3538" s="33"/>
      <c r="AG3538" s="33"/>
      <c r="AH3538" s="33"/>
      <c r="AI3538" s="33"/>
      <c r="AJ3538" s="33"/>
      <c r="AK3538" s="33"/>
    </row>
    <row r="3539">
      <c r="A3539" s="33"/>
      <c r="B3539" s="33"/>
      <c r="C3539" s="33"/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33"/>
      <c r="V3539" s="33"/>
      <c r="W3539" s="33"/>
      <c r="X3539" s="33"/>
      <c r="Y3539" s="33"/>
      <c r="Z3539" s="33"/>
      <c r="AA3539" s="33"/>
      <c r="AB3539" s="33"/>
      <c r="AC3539" s="33"/>
      <c r="AD3539" s="33"/>
      <c r="AE3539" s="33"/>
      <c r="AF3539" s="33"/>
      <c r="AG3539" s="33"/>
      <c r="AH3539" s="33"/>
      <c r="AI3539" s="33"/>
      <c r="AJ3539" s="33"/>
      <c r="AK3539" s="33"/>
    </row>
    <row r="3540">
      <c r="A3540" s="33"/>
      <c r="B3540" s="33"/>
      <c r="C3540" s="33"/>
      <c r="D3540" s="33"/>
      <c r="E3540" s="33"/>
      <c r="F3540" s="33"/>
      <c r="G3540" s="33"/>
      <c r="H3540" s="33"/>
      <c r="I3540" s="33"/>
      <c r="J3540" s="33"/>
      <c r="K3540" s="33"/>
      <c r="L3540" s="33"/>
      <c r="M3540" s="33"/>
      <c r="N3540" s="33"/>
      <c r="O3540" s="33"/>
      <c r="P3540" s="33"/>
      <c r="Q3540" s="33"/>
      <c r="R3540" s="33"/>
      <c r="S3540" s="33"/>
      <c r="T3540" s="33"/>
      <c r="U3540" s="33"/>
      <c r="V3540" s="33"/>
      <c r="W3540" s="33"/>
      <c r="X3540" s="33"/>
      <c r="Y3540" s="33"/>
      <c r="Z3540" s="33"/>
      <c r="AA3540" s="33"/>
      <c r="AB3540" s="33"/>
      <c r="AC3540" s="33"/>
      <c r="AD3540" s="33"/>
      <c r="AE3540" s="33"/>
      <c r="AF3540" s="33"/>
      <c r="AG3540" s="33"/>
      <c r="AH3540" s="33"/>
      <c r="AI3540" s="33"/>
      <c r="AJ3540" s="33"/>
      <c r="AK3540" s="33"/>
    </row>
    <row r="3541">
      <c r="A3541" s="33"/>
      <c r="B3541" s="33"/>
      <c r="C3541" s="33"/>
      <c r="D3541" s="33"/>
      <c r="E3541" s="33"/>
      <c r="F3541" s="33"/>
      <c r="G3541" s="33"/>
      <c r="H3541" s="33"/>
      <c r="I3541" s="33"/>
      <c r="J3541" s="33"/>
      <c r="K3541" s="33"/>
      <c r="L3541" s="33"/>
      <c r="M3541" s="33"/>
      <c r="N3541" s="33"/>
      <c r="O3541" s="33"/>
      <c r="P3541" s="33"/>
      <c r="Q3541" s="33"/>
      <c r="R3541" s="33"/>
      <c r="S3541" s="33"/>
      <c r="T3541" s="33"/>
      <c r="U3541" s="33"/>
      <c r="V3541" s="33"/>
      <c r="W3541" s="33"/>
      <c r="X3541" s="33"/>
      <c r="Y3541" s="33"/>
      <c r="Z3541" s="33"/>
      <c r="AA3541" s="33"/>
      <c r="AB3541" s="33"/>
      <c r="AC3541" s="33"/>
      <c r="AD3541" s="33"/>
      <c r="AE3541" s="33"/>
      <c r="AF3541" s="33"/>
      <c r="AG3541" s="33"/>
      <c r="AH3541" s="33"/>
      <c r="AI3541" s="33"/>
      <c r="AJ3541" s="33"/>
      <c r="AK3541" s="33"/>
    </row>
    <row r="3542">
      <c r="A3542" s="33"/>
      <c r="B3542" s="33"/>
      <c r="C3542" s="33"/>
      <c r="D3542" s="33"/>
      <c r="E3542" s="33"/>
      <c r="F3542" s="33"/>
      <c r="G3542" s="33"/>
      <c r="H3542" s="33"/>
      <c r="I3542" s="33"/>
      <c r="J3542" s="33"/>
      <c r="K3542" s="33"/>
      <c r="L3542" s="33"/>
      <c r="M3542" s="33"/>
      <c r="N3542" s="33"/>
      <c r="O3542" s="33"/>
      <c r="P3542" s="33"/>
      <c r="Q3542" s="33"/>
      <c r="R3542" s="33"/>
      <c r="S3542" s="33"/>
      <c r="T3542" s="33"/>
      <c r="U3542" s="33"/>
      <c r="V3542" s="33"/>
      <c r="W3542" s="33"/>
      <c r="X3542" s="33"/>
      <c r="Y3542" s="33"/>
      <c r="Z3542" s="33"/>
      <c r="AA3542" s="33"/>
      <c r="AB3542" s="33"/>
      <c r="AC3542" s="33"/>
      <c r="AD3542" s="33"/>
      <c r="AE3542" s="33"/>
      <c r="AF3542" s="33"/>
      <c r="AG3542" s="33"/>
      <c r="AH3542" s="33"/>
      <c r="AI3542" s="33"/>
      <c r="AJ3542" s="33"/>
      <c r="AK3542" s="33"/>
    </row>
    <row r="3543">
      <c r="A3543" s="33"/>
      <c r="B3543" s="33"/>
      <c r="C3543" s="33"/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  <c r="Q3543" s="33"/>
      <c r="R3543" s="33"/>
      <c r="S3543" s="33"/>
      <c r="T3543" s="33"/>
      <c r="U3543" s="33"/>
      <c r="V3543" s="33"/>
      <c r="W3543" s="33"/>
      <c r="X3543" s="33"/>
      <c r="Y3543" s="33"/>
      <c r="Z3543" s="33"/>
      <c r="AA3543" s="33"/>
      <c r="AB3543" s="33"/>
      <c r="AC3543" s="33"/>
      <c r="AD3543" s="33"/>
      <c r="AE3543" s="33"/>
      <c r="AF3543" s="33"/>
      <c r="AG3543" s="33"/>
      <c r="AH3543" s="33"/>
      <c r="AI3543" s="33"/>
      <c r="AJ3543" s="33"/>
      <c r="AK3543" s="33"/>
    </row>
    <row r="3544">
      <c r="A3544" s="33"/>
      <c r="B3544" s="33"/>
      <c r="C3544" s="33"/>
      <c r="D3544" s="33"/>
      <c r="E3544" s="33"/>
      <c r="F3544" s="33"/>
      <c r="G3544" s="33"/>
      <c r="H3544" s="33"/>
      <c r="I3544" s="33"/>
      <c r="J3544" s="33"/>
      <c r="K3544" s="33"/>
      <c r="L3544" s="33"/>
      <c r="M3544" s="33"/>
      <c r="N3544" s="33"/>
      <c r="O3544" s="33"/>
      <c r="P3544" s="33"/>
      <c r="Q3544" s="33"/>
      <c r="R3544" s="33"/>
      <c r="S3544" s="33"/>
      <c r="T3544" s="33"/>
      <c r="U3544" s="33"/>
      <c r="V3544" s="33"/>
      <c r="W3544" s="33"/>
      <c r="X3544" s="33"/>
      <c r="Y3544" s="33"/>
      <c r="Z3544" s="33"/>
      <c r="AA3544" s="33"/>
      <c r="AB3544" s="33"/>
      <c r="AC3544" s="33"/>
      <c r="AD3544" s="33"/>
      <c r="AE3544" s="33"/>
      <c r="AF3544" s="33"/>
      <c r="AG3544" s="33"/>
      <c r="AH3544" s="33"/>
      <c r="AI3544" s="33"/>
      <c r="AJ3544" s="33"/>
      <c r="AK3544" s="33"/>
    </row>
    <row r="3545">
      <c r="A3545" s="33"/>
      <c r="B3545" s="33"/>
      <c r="C3545" s="33"/>
      <c r="D3545" s="33"/>
      <c r="E3545" s="33"/>
      <c r="F3545" s="33"/>
      <c r="G3545" s="33"/>
      <c r="H3545" s="33"/>
      <c r="I3545" s="33"/>
      <c r="J3545" s="33"/>
      <c r="K3545" s="33"/>
      <c r="L3545" s="33"/>
      <c r="M3545" s="33"/>
      <c r="N3545" s="33"/>
      <c r="O3545" s="33"/>
      <c r="P3545" s="33"/>
      <c r="Q3545" s="33"/>
      <c r="R3545" s="33"/>
      <c r="S3545" s="33"/>
      <c r="T3545" s="33"/>
      <c r="U3545" s="33"/>
      <c r="V3545" s="33"/>
      <c r="W3545" s="33"/>
      <c r="X3545" s="33"/>
      <c r="Y3545" s="33"/>
      <c r="Z3545" s="33"/>
      <c r="AA3545" s="33"/>
      <c r="AB3545" s="33"/>
      <c r="AC3545" s="33"/>
      <c r="AD3545" s="33"/>
      <c r="AE3545" s="33"/>
      <c r="AF3545" s="33"/>
      <c r="AG3545" s="33"/>
      <c r="AH3545" s="33"/>
      <c r="AI3545" s="33"/>
      <c r="AJ3545" s="33"/>
      <c r="AK3545" s="33"/>
    </row>
    <row r="3546">
      <c r="A3546" s="33"/>
      <c r="B3546" s="33"/>
      <c r="C3546" s="33"/>
      <c r="D3546" s="33"/>
      <c r="E3546" s="33"/>
      <c r="F3546" s="33"/>
      <c r="G3546" s="33"/>
      <c r="H3546" s="33"/>
      <c r="I3546" s="33"/>
      <c r="J3546" s="33"/>
      <c r="K3546" s="33"/>
      <c r="L3546" s="33"/>
      <c r="M3546" s="33"/>
      <c r="N3546" s="33"/>
      <c r="O3546" s="33"/>
      <c r="P3546" s="33"/>
      <c r="Q3546" s="33"/>
      <c r="R3546" s="33"/>
      <c r="S3546" s="33"/>
      <c r="T3546" s="33"/>
      <c r="U3546" s="33"/>
      <c r="V3546" s="33"/>
      <c r="W3546" s="33"/>
      <c r="X3546" s="33"/>
      <c r="Y3546" s="33"/>
      <c r="Z3546" s="33"/>
      <c r="AA3546" s="33"/>
      <c r="AB3546" s="33"/>
      <c r="AC3546" s="33"/>
      <c r="AD3546" s="33"/>
      <c r="AE3546" s="33"/>
      <c r="AF3546" s="33"/>
      <c r="AG3546" s="33"/>
      <c r="AH3546" s="33"/>
      <c r="AI3546" s="33"/>
      <c r="AJ3546" s="33"/>
      <c r="AK3546" s="33"/>
    </row>
    <row r="3547">
      <c r="A3547" s="33"/>
      <c r="B3547" s="33"/>
      <c r="C3547" s="33"/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  <c r="Q3547" s="33"/>
      <c r="R3547" s="33"/>
      <c r="S3547" s="33"/>
      <c r="T3547" s="33"/>
      <c r="U3547" s="33"/>
      <c r="V3547" s="33"/>
      <c r="W3547" s="33"/>
      <c r="X3547" s="33"/>
      <c r="Y3547" s="33"/>
      <c r="Z3547" s="33"/>
      <c r="AA3547" s="33"/>
      <c r="AB3547" s="33"/>
      <c r="AC3547" s="33"/>
      <c r="AD3547" s="33"/>
      <c r="AE3547" s="33"/>
      <c r="AF3547" s="33"/>
      <c r="AG3547" s="33"/>
      <c r="AH3547" s="33"/>
      <c r="AI3547" s="33"/>
      <c r="AJ3547" s="33"/>
      <c r="AK3547" s="33"/>
    </row>
    <row r="3548">
      <c r="A3548" s="33"/>
      <c r="B3548" s="33"/>
      <c r="C3548" s="33"/>
      <c r="D3548" s="33"/>
      <c r="E3548" s="33"/>
      <c r="F3548" s="33"/>
      <c r="G3548" s="33"/>
      <c r="H3548" s="33"/>
      <c r="I3548" s="33"/>
      <c r="J3548" s="33"/>
      <c r="K3548" s="33"/>
      <c r="L3548" s="33"/>
      <c r="M3548" s="33"/>
      <c r="N3548" s="33"/>
      <c r="O3548" s="33"/>
      <c r="P3548" s="33"/>
      <c r="Q3548" s="33"/>
      <c r="R3548" s="33"/>
      <c r="S3548" s="33"/>
      <c r="T3548" s="33"/>
      <c r="U3548" s="33"/>
      <c r="V3548" s="33"/>
      <c r="W3548" s="33"/>
      <c r="X3548" s="33"/>
      <c r="Y3548" s="33"/>
      <c r="Z3548" s="33"/>
      <c r="AA3548" s="33"/>
      <c r="AB3548" s="33"/>
      <c r="AC3548" s="33"/>
      <c r="AD3548" s="33"/>
      <c r="AE3548" s="33"/>
      <c r="AF3548" s="33"/>
      <c r="AG3548" s="33"/>
      <c r="AH3548" s="33"/>
      <c r="AI3548" s="33"/>
      <c r="AJ3548" s="33"/>
      <c r="AK3548" s="33"/>
    </row>
    <row r="3549">
      <c r="A3549" s="33"/>
      <c r="B3549" s="33"/>
      <c r="C3549" s="33"/>
      <c r="D3549" s="33"/>
      <c r="E3549" s="33"/>
      <c r="F3549" s="33"/>
      <c r="G3549" s="33"/>
      <c r="H3549" s="33"/>
      <c r="I3549" s="33"/>
      <c r="J3549" s="33"/>
      <c r="K3549" s="33"/>
      <c r="L3549" s="33"/>
      <c r="M3549" s="33"/>
      <c r="N3549" s="33"/>
      <c r="O3549" s="33"/>
      <c r="P3549" s="33"/>
      <c r="Q3549" s="33"/>
      <c r="R3549" s="33"/>
      <c r="S3549" s="33"/>
      <c r="T3549" s="33"/>
      <c r="U3549" s="33"/>
      <c r="V3549" s="33"/>
      <c r="W3549" s="33"/>
      <c r="X3549" s="33"/>
      <c r="Y3549" s="33"/>
      <c r="Z3549" s="33"/>
      <c r="AA3549" s="33"/>
      <c r="AB3549" s="33"/>
      <c r="AC3549" s="33"/>
      <c r="AD3549" s="33"/>
      <c r="AE3549" s="33"/>
      <c r="AF3549" s="33"/>
      <c r="AG3549" s="33"/>
      <c r="AH3549" s="33"/>
      <c r="AI3549" s="33"/>
      <c r="AJ3549" s="33"/>
      <c r="AK3549" s="33"/>
    </row>
    <row r="3550">
      <c r="A3550" s="33"/>
      <c r="B3550" s="33"/>
      <c r="C3550" s="33"/>
      <c r="D3550" s="33"/>
      <c r="E3550" s="33"/>
      <c r="F3550" s="33"/>
      <c r="G3550" s="33"/>
      <c r="H3550" s="33"/>
      <c r="I3550" s="33"/>
      <c r="J3550" s="33"/>
      <c r="K3550" s="33"/>
      <c r="L3550" s="33"/>
      <c r="M3550" s="33"/>
      <c r="N3550" s="33"/>
      <c r="O3550" s="33"/>
      <c r="P3550" s="33"/>
      <c r="Q3550" s="33"/>
      <c r="R3550" s="33"/>
      <c r="S3550" s="33"/>
      <c r="T3550" s="33"/>
      <c r="U3550" s="33"/>
      <c r="V3550" s="33"/>
      <c r="W3550" s="33"/>
      <c r="X3550" s="33"/>
      <c r="Y3550" s="33"/>
      <c r="Z3550" s="33"/>
      <c r="AA3550" s="33"/>
      <c r="AB3550" s="33"/>
      <c r="AC3550" s="33"/>
      <c r="AD3550" s="33"/>
      <c r="AE3550" s="33"/>
      <c r="AF3550" s="33"/>
      <c r="AG3550" s="33"/>
      <c r="AH3550" s="33"/>
      <c r="AI3550" s="33"/>
      <c r="AJ3550" s="33"/>
      <c r="AK3550" s="33"/>
    </row>
    <row r="3551">
      <c r="A3551" s="33"/>
      <c r="B3551" s="33"/>
      <c r="C3551" s="33"/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  <c r="Q3551" s="33"/>
      <c r="R3551" s="33"/>
      <c r="S3551" s="33"/>
      <c r="T3551" s="33"/>
      <c r="U3551" s="33"/>
      <c r="V3551" s="33"/>
      <c r="W3551" s="33"/>
      <c r="X3551" s="33"/>
      <c r="Y3551" s="33"/>
      <c r="Z3551" s="33"/>
      <c r="AA3551" s="33"/>
      <c r="AB3551" s="33"/>
      <c r="AC3551" s="33"/>
      <c r="AD3551" s="33"/>
      <c r="AE3551" s="33"/>
      <c r="AF3551" s="33"/>
      <c r="AG3551" s="33"/>
      <c r="AH3551" s="33"/>
      <c r="AI3551" s="33"/>
      <c r="AJ3551" s="33"/>
      <c r="AK3551" s="33"/>
    </row>
    <row r="3552">
      <c r="A3552" s="33"/>
      <c r="B3552" s="33"/>
      <c r="C3552" s="33"/>
      <c r="D3552" s="33"/>
      <c r="E3552" s="33"/>
      <c r="F3552" s="33"/>
      <c r="G3552" s="33"/>
      <c r="H3552" s="33"/>
      <c r="I3552" s="33"/>
      <c r="J3552" s="33"/>
      <c r="K3552" s="33"/>
      <c r="L3552" s="33"/>
      <c r="M3552" s="33"/>
      <c r="N3552" s="33"/>
      <c r="O3552" s="33"/>
      <c r="P3552" s="33"/>
      <c r="Q3552" s="33"/>
      <c r="R3552" s="33"/>
      <c r="S3552" s="33"/>
      <c r="T3552" s="33"/>
      <c r="U3552" s="33"/>
      <c r="V3552" s="33"/>
      <c r="W3552" s="33"/>
      <c r="X3552" s="33"/>
      <c r="Y3552" s="33"/>
      <c r="Z3552" s="33"/>
      <c r="AA3552" s="33"/>
      <c r="AB3552" s="33"/>
      <c r="AC3552" s="33"/>
      <c r="AD3552" s="33"/>
      <c r="AE3552" s="33"/>
      <c r="AF3552" s="33"/>
      <c r="AG3552" s="33"/>
      <c r="AH3552" s="33"/>
      <c r="AI3552" s="33"/>
      <c r="AJ3552" s="33"/>
      <c r="AK3552" s="33"/>
    </row>
    <row r="3553">
      <c r="A3553" s="33"/>
      <c r="B3553" s="33"/>
      <c r="C3553" s="33"/>
      <c r="D3553" s="33"/>
      <c r="E3553" s="33"/>
      <c r="F3553" s="33"/>
      <c r="G3553" s="33"/>
      <c r="H3553" s="33"/>
      <c r="I3553" s="33"/>
      <c r="J3553" s="33"/>
      <c r="K3553" s="33"/>
      <c r="L3553" s="33"/>
      <c r="M3553" s="33"/>
      <c r="N3553" s="33"/>
      <c r="O3553" s="33"/>
      <c r="P3553" s="33"/>
      <c r="Q3553" s="33"/>
      <c r="R3553" s="33"/>
      <c r="S3553" s="33"/>
      <c r="T3553" s="33"/>
      <c r="U3553" s="33"/>
      <c r="V3553" s="33"/>
      <c r="W3553" s="33"/>
      <c r="X3553" s="33"/>
      <c r="Y3553" s="33"/>
      <c r="Z3553" s="33"/>
      <c r="AA3553" s="33"/>
      <c r="AB3553" s="33"/>
      <c r="AC3553" s="33"/>
      <c r="AD3553" s="33"/>
      <c r="AE3553" s="33"/>
      <c r="AF3553" s="33"/>
      <c r="AG3553" s="33"/>
      <c r="AH3553" s="33"/>
      <c r="AI3553" s="33"/>
      <c r="AJ3553" s="33"/>
      <c r="AK3553" s="33"/>
    </row>
    <row r="3554">
      <c r="A3554" s="33"/>
      <c r="B3554" s="33"/>
      <c r="C3554" s="33"/>
      <c r="D3554" s="33"/>
      <c r="E3554" s="33"/>
      <c r="F3554" s="33"/>
      <c r="G3554" s="33"/>
      <c r="H3554" s="33"/>
      <c r="I3554" s="33"/>
      <c r="J3554" s="33"/>
      <c r="K3554" s="33"/>
      <c r="L3554" s="33"/>
      <c r="M3554" s="33"/>
      <c r="N3554" s="33"/>
      <c r="O3554" s="33"/>
      <c r="P3554" s="33"/>
      <c r="Q3554" s="33"/>
      <c r="R3554" s="33"/>
      <c r="S3554" s="33"/>
      <c r="T3554" s="33"/>
      <c r="U3554" s="33"/>
      <c r="V3554" s="33"/>
      <c r="W3554" s="33"/>
      <c r="X3554" s="33"/>
      <c r="Y3554" s="33"/>
      <c r="Z3554" s="33"/>
      <c r="AA3554" s="33"/>
      <c r="AB3554" s="33"/>
      <c r="AC3554" s="33"/>
      <c r="AD3554" s="33"/>
      <c r="AE3554" s="33"/>
      <c r="AF3554" s="33"/>
      <c r="AG3554" s="33"/>
      <c r="AH3554" s="33"/>
      <c r="AI3554" s="33"/>
      <c r="AJ3554" s="33"/>
      <c r="AK3554" s="33"/>
    </row>
    <row r="3555">
      <c r="A3555" s="33"/>
      <c r="B3555" s="33"/>
      <c r="C3555" s="33"/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  <c r="R3555" s="33"/>
      <c r="S3555" s="33"/>
      <c r="T3555" s="33"/>
      <c r="U3555" s="33"/>
      <c r="V3555" s="33"/>
      <c r="W3555" s="33"/>
      <c r="X3555" s="33"/>
      <c r="Y3555" s="33"/>
      <c r="Z3555" s="33"/>
      <c r="AA3555" s="33"/>
      <c r="AB3555" s="33"/>
      <c r="AC3555" s="33"/>
      <c r="AD3555" s="33"/>
      <c r="AE3555" s="33"/>
      <c r="AF3555" s="33"/>
      <c r="AG3555" s="33"/>
      <c r="AH3555" s="33"/>
      <c r="AI3555" s="33"/>
      <c r="AJ3555" s="33"/>
      <c r="AK3555" s="33"/>
    </row>
    <row r="3556">
      <c r="A3556" s="33"/>
      <c r="B3556" s="33"/>
      <c r="C3556" s="33"/>
      <c r="D3556" s="33"/>
      <c r="E3556" s="33"/>
      <c r="F3556" s="33"/>
      <c r="G3556" s="33"/>
      <c r="H3556" s="33"/>
      <c r="I3556" s="33"/>
      <c r="J3556" s="33"/>
      <c r="K3556" s="33"/>
      <c r="L3556" s="33"/>
      <c r="M3556" s="33"/>
      <c r="N3556" s="33"/>
      <c r="O3556" s="33"/>
      <c r="P3556" s="33"/>
      <c r="Q3556" s="33"/>
      <c r="R3556" s="33"/>
      <c r="S3556" s="33"/>
      <c r="T3556" s="33"/>
      <c r="U3556" s="33"/>
      <c r="V3556" s="33"/>
      <c r="W3556" s="33"/>
      <c r="X3556" s="33"/>
      <c r="Y3556" s="33"/>
      <c r="Z3556" s="33"/>
      <c r="AA3556" s="33"/>
      <c r="AB3556" s="33"/>
      <c r="AC3556" s="33"/>
      <c r="AD3556" s="33"/>
      <c r="AE3556" s="33"/>
      <c r="AF3556" s="33"/>
      <c r="AG3556" s="33"/>
      <c r="AH3556" s="33"/>
      <c r="AI3556" s="33"/>
      <c r="AJ3556" s="33"/>
      <c r="AK3556" s="33"/>
    </row>
    <row r="3557">
      <c r="A3557" s="33"/>
      <c r="B3557" s="33"/>
      <c r="C3557" s="33"/>
      <c r="D3557" s="33"/>
      <c r="E3557" s="33"/>
      <c r="F3557" s="33"/>
      <c r="G3557" s="33"/>
      <c r="H3557" s="33"/>
      <c r="I3557" s="33"/>
      <c r="J3557" s="33"/>
      <c r="K3557" s="33"/>
      <c r="L3557" s="33"/>
      <c r="M3557" s="33"/>
      <c r="N3557" s="33"/>
      <c r="O3557" s="33"/>
      <c r="P3557" s="33"/>
      <c r="Q3557" s="33"/>
      <c r="R3557" s="33"/>
      <c r="S3557" s="33"/>
      <c r="T3557" s="33"/>
      <c r="U3557" s="33"/>
      <c r="V3557" s="33"/>
      <c r="W3557" s="33"/>
      <c r="X3557" s="33"/>
      <c r="Y3557" s="33"/>
      <c r="Z3557" s="33"/>
      <c r="AA3557" s="33"/>
      <c r="AB3557" s="33"/>
      <c r="AC3557" s="33"/>
      <c r="AD3557" s="33"/>
      <c r="AE3557" s="33"/>
      <c r="AF3557" s="33"/>
      <c r="AG3557" s="33"/>
      <c r="AH3557" s="33"/>
      <c r="AI3557" s="33"/>
      <c r="AJ3557" s="33"/>
      <c r="AK3557" s="33"/>
    </row>
    <row r="3558">
      <c r="A3558" s="33"/>
      <c r="B3558" s="33"/>
      <c r="C3558" s="33"/>
      <c r="D3558" s="33"/>
      <c r="E3558" s="33"/>
      <c r="F3558" s="33"/>
      <c r="G3558" s="33"/>
      <c r="H3558" s="33"/>
      <c r="I3558" s="33"/>
      <c r="J3558" s="33"/>
      <c r="K3558" s="33"/>
      <c r="L3558" s="33"/>
      <c r="M3558" s="33"/>
      <c r="N3558" s="33"/>
      <c r="O3558" s="33"/>
      <c r="P3558" s="33"/>
      <c r="Q3558" s="33"/>
      <c r="R3558" s="33"/>
      <c r="S3558" s="33"/>
      <c r="T3558" s="33"/>
      <c r="U3558" s="33"/>
      <c r="V3558" s="33"/>
      <c r="W3558" s="33"/>
      <c r="X3558" s="33"/>
      <c r="Y3558" s="33"/>
      <c r="Z3558" s="33"/>
      <c r="AA3558" s="33"/>
      <c r="AB3558" s="33"/>
      <c r="AC3558" s="33"/>
      <c r="AD3558" s="33"/>
      <c r="AE3558" s="33"/>
      <c r="AF3558" s="33"/>
      <c r="AG3558" s="33"/>
      <c r="AH3558" s="33"/>
      <c r="AI3558" s="33"/>
      <c r="AJ3558" s="33"/>
      <c r="AK3558" s="33"/>
    </row>
    <row r="3559">
      <c r="A3559" s="33"/>
      <c r="B3559" s="33"/>
      <c r="C3559" s="33"/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  <c r="Q3559" s="33"/>
      <c r="R3559" s="33"/>
      <c r="S3559" s="33"/>
      <c r="T3559" s="33"/>
      <c r="U3559" s="33"/>
      <c r="V3559" s="33"/>
      <c r="W3559" s="33"/>
      <c r="X3559" s="33"/>
      <c r="Y3559" s="33"/>
      <c r="Z3559" s="33"/>
      <c r="AA3559" s="33"/>
      <c r="AB3559" s="33"/>
      <c r="AC3559" s="33"/>
      <c r="AD3559" s="33"/>
      <c r="AE3559" s="33"/>
      <c r="AF3559" s="33"/>
      <c r="AG3559" s="33"/>
      <c r="AH3559" s="33"/>
      <c r="AI3559" s="33"/>
      <c r="AJ3559" s="33"/>
      <c r="AK3559" s="33"/>
    </row>
    <row r="3560">
      <c r="A3560" s="33"/>
      <c r="B3560" s="33"/>
      <c r="C3560" s="33"/>
      <c r="D3560" s="33"/>
      <c r="E3560" s="33"/>
      <c r="F3560" s="33"/>
      <c r="G3560" s="33"/>
      <c r="H3560" s="33"/>
      <c r="I3560" s="33"/>
      <c r="J3560" s="33"/>
      <c r="K3560" s="33"/>
      <c r="L3560" s="33"/>
      <c r="M3560" s="33"/>
      <c r="N3560" s="33"/>
      <c r="O3560" s="33"/>
      <c r="P3560" s="33"/>
      <c r="Q3560" s="33"/>
      <c r="R3560" s="33"/>
      <c r="S3560" s="33"/>
      <c r="T3560" s="33"/>
      <c r="U3560" s="33"/>
      <c r="V3560" s="33"/>
      <c r="W3560" s="33"/>
      <c r="X3560" s="33"/>
      <c r="Y3560" s="33"/>
      <c r="Z3560" s="33"/>
      <c r="AA3560" s="33"/>
      <c r="AB3560" s="33"/>
      <c r="AC3560" s="33"/>
      <c r="AD3560" s="33"/>
      <c r="AE3560" s="33"/>
      <c r="AF3560" s="33"/>
      <c r="AG3560" s="33"/>
      <c r="AH3560" s="33"/>
      <c r="AI3560" s="33"/>
      <c r="AJ3560" s="33"/>
      <c r="AK3560" s="33"/>
    </row>
    <row r="3561">
      <c r="A3561" s="33"/>
      <c r="B3561" s="33"/>
      <c r="C3561" s="33"/>
      <c r="D3561" s="33"/>
      <c r="E3561" s="33"/>
      <c r="F3561" s="33"/>
      <c r="G3561" s="33"/>
      <c r="H3561" s="33"/>
      <c r="I3561" s="33"/>
      <c r="J3561" s="33"/>
      <c r="K3561" s="33"/>
      <c r="L3561" s="33"/>
      <c r="M3561" s="33"/>
      <c r="N3561" s="33"/>
      <c r="O3561" s="33"/>
      <c r="P3561" s="33"/>
      <c r="Q3561" s="33"/>
      <c r="R3561" s="33"/>
      <c r="S3561" s="33"/>
      <c r="T3561" s="33"/>
      <c r="U3561" s="33"/>
      <c r="V3561" s="33"/>
      <c r="W3561" s="33"/>
      <c r="X3561" s="33"/>
      <c r="Y3561" s="33"/>
      <c r="Z3561" s="33"/>
      <c r="AA3561" s="33"/>
      <c r="AB3561" s="33"/>
      <c r="AC3561" s="33"/>
      <c r="AD3561" s="33"/>
      <c r="AE3561" s="33"/>
      <c r="AF3561" s="33"/>
      <c r="AG3561" s="33"/>
      <c r="AH3561" s="33"/>
      <c r="AI3561" s="33"/>
      <c r="AJ3561" s="33"/>
      <c r="AK3561" s="33"/>
    </row>
    <row r="3562">
      <c r="A3562" s="33"/>
      <c r="B3562" s="33"/>
      <c r="C3562" s="33"/>
      <c r="D3562" s="33"/>
      <c r="E3562" s="33"/>
      <c r="F3562" s="33"/>
      <c r="G3562" s="33"/>
      <c r="H3562" s="33"/>
      <c r="I3562" s="33"/>
      <c r="J3562" s="33"/>
      <c r="K3562" s="33"/>
      <c r="L3562" s="33"/>
      <c r="M3562" s="33"/>
      <c r="N3562" s="33"/>
      <c r="O3562" s="33"/>
      <c r="P3562" s="33"/>
      <c r="Q3562" s="33"/>
      <c r="R3562" s="33"/>
      <c r="S3562" s="33"/>
      <c r="T3562" s="33"/>
      <c r="U3562" s="33"/>
      <c r="V3562" s="33"/>
      <c r="W3562" s="33"/>
      <c r="X3562" s="33"/>
      <c r="Y3562" s="33"/>
      <c r="Z3562" s="33"/>
      <c r="AA3562" s="33"/>
      <c r="AB3562" s="33"/>
      <c r="AC3562" s="33"/>
      <c r="AD3562" s="33"/>
      <c r="AE3562" s="33"/>
      <c r="AF3562" s="33"/>
      <c r="AG3562" s="33"/>
      <c r="AH3562" s="33"/>
      <c r="AI3562" s="33"/>
      <c r="AJ3562" s="33"/>
      <c r="AK3562" s="33"/>
    </row>
    <row r="3563">
      <c r="A3563" s="33"/>
      <c r="B3563" s="33"/>
      <c r="C3563" s="33"/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  <c r="Q3563" s="33"/>
      <c r="R3563" s="33"/>
      <c r="S3563" s="33"/>
      <c r="T3563" s="33"/>
      <c r="U3563" s="33"/>
      <c r="V3563" s="33"/>
      <c r="W3563" s="33"/>
      <c r="X3563" s="33"/>
      <c r="Y3563" s="33"/>
      <c r="Z3563" s="33"/>
      <c r="AA3563" s="33"/>
      <c r="AB3563" s="33"/>
      <c r="AC3563" s="33"/>
      <c r="AD3563" s="33"/>
      <c r="AE3563" s="33"/>
      <c r="AF3563" s="33"/>
      <c r="AG3563" s="33"/>
      <c r="AH3563" s="33"/>
      <c r="AI3563" s="33"/>
      <c r="AJ3563" s="33"/>
      <c r="AK3563" s="33"/>
    </row>
    <row r="3564">
      <c r="A3564" s="33"/>
      <c r="B3564" s="33"/>
      <c r="C3564" s="33"/>
      <c r="D3564" s="33"/>
      <c r="E3564" s="33"/>
      <c r="F3564" s="33"/>
      <c r="G3564" s="33"/>
      <c r="H3564" s="33"/>
      <c r="I3564" s="33"/>
      <c r="J3564" s="33"/>
      <c r="K3564" s="33"/>
      <c r="L3564" s="33"/>
      <c r="M3564" s="33"/>
      <c r="N3564" s="33"/>
      <c r="O3564" s="33"/>
      <c r="P3564" s="33"/>
      <c r="Q3564" s="33"/>
      <c r="R3564" s="33"/>
      <c r="S3564" s="33"/>
      <c r="T3564" s="33"/>
      <c r="U3564" s="33"/>
      <c r="V3564" s="33"/>
      <c r="W3564" s="33"/>
      <c r="X3564" s="33"/>
      <c r="Y3564" s="33"/>
      <c r="Z3564" s="33"/>
      <c r="AA3564" s="33"/>
      <c r="AB3564" s="33"/>
      <c r="AC3564" s="33"/>
      <c r="AD3564" s="33"/>
      <c r="AE3564" s="33"/>
      <c r="AF3564" s="33"/>
      <c r="AG3564" s="33"/>
      <c r="AH3564" s="33"/>
      <c r="AI3564" s="33"/>
      <c r="AJ3564" s="33"/>
      <c r="AK3564" s="33"/>
    </row>
    <row r="3565">
      <c r="A3565" s="33"/>
      <c r="B3565" s="33"/>
      <c r="C3565" s="33"/>
      <c r="D3565" s="33"/>
      <c r="E3565" s="33"/>
      <c r="F3565" s="33"/>
      <c r="G3565" s="33"/>
      <c r="H3565" s="33"/>
      <c r="I3565" s="33"/>
      <c r="J3565" s="33"/>
      <c r="K3565" s="33"/>
      <c r="L3565" s="33"/>
      <c r="M3565" s="33"/>
      <c r="N3565" s="33"/>
      <c r="O3565" s="33"/>
      <c r="P3565" s="33"/>
      <c r="Q3565" s="33"/>
      <c r="R3565" s="33"/>
      <c r="S3565" s="33"/>
      <c r="T3565" s="33"/>
      <c r="U3565" s="33"/>
      <c r="V3565" s="33"/>
      <c r="W3565" s="33"/>
      <c r="X3565" s="33"/>
      <c r="Y3565" s="33"/>
      <c r="Z3565" s="33"/>
      <c r="AA3565" s="33"/>
      <c r="AB3565" s="33"/>
      <c r="AC3565" s="33"/>
      <c r="AD3565" s="33"/>
      <c r="AE3565" s="33"/>
      <c r="AF3565" s="33"/>
      <c r="AG3565" s="33"/>
      <c r="AH3565" s="33"/>
      <c r="AI3565" s="33"/>
      <c r="AJ3565" s="33"/>
      <c r="AK3565" s="33"/>
    </row>
    <row r="3566">
      <c r="A3566" s="33"/>
      <c r="B3566" s="33"/>
      <c r="C3566" s="33"/>
      <c r="D3566" s="33"/>
      <c r="E3566" s="33"/>
      <c r="F3566" s="33"/>
      <c r="G3566" s="33"/>
      <c r="H3566" s="33"/>
      <c r="I3566" s="33"/>
      <c r="J3566" s="33"/>
      <c r="K3566" s="33"/>
      <c r="L3566" s="33"/>
      <c r="M3566" s="33"/>
      <c r="N3566" s="33"/>
      <c r="O3566" s="33"/>
      <c r="P3566" s="33"/>
      <c r="Q3566" s="33"/>
      <c r="R3566" s="33"/>
      <c r="S3566" s="33"/>
      <c r="T3566" s="33"/>
      <c r="U3566" s="33"/>
      <c r="V3566" s="33"/>
      <c r="W3566" s="33"/>
      <c r="X3566" s="33"/>
      <c r="Y3566" s="33"/>
      <c r="Z3566" s="33"/>
      <c r="AA3566" s="33"/>
      <c r="AB3566" s="33"/>
      <c r="AC3566" s="33"/>
      <c r="AD3566" s="33"/>
      <c r="AE3566" s="33"/>
      <c r="AF3566" s="33"/>
      <c r="AG3566" s="33"/>
      <c r="AH3566" s="33"/>
      <c r="AI3566" s="33"/>
      <c r="AJ3566" s="33"/>
      <c r="AK3566" s="33"/>
    </row>
    <row r="3567">
      <c r="A3567" s="33"/>
      <c r="B3567" s="33"/>
      <c r="C3567" s="33"/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  <c r="Q3567" s="33"/>
      <c r="R3567" s="33"/>
      <c r="S3567" s="33"/>
      <c r="T3567" s="33"/>
      <c r="U3567" s="33"/>
      <c r="V3567" s="33"/>
      <c r="W3567" s="33"/>
      <c r="X3567" s="33"/>
      <c r="Y3567" s="33"/>
      <c r="Z3567" s="33"/>
      <c r="AA3567" s="33"/>
      <c r="AB3567" s="33"/>
      <c r="AC3567" s="33"/>
      <c r="AD3567" s="33"/>
      <c r="AE3567" s="33"/>
      <c r="AF3567" s="33"/>
      <c r="AG3567" s="33"/>
      <c r="AH3567" s="33"/>
      <c r="AI3567" s="33"/>
      <c r="AJ3567" s="33"/>
      <c r="AK3567" s="33"/>
    </row>
    <row r="3568">
      <c r="A3568" s="33"/>
      <c r="B3568" s="33"/>
      <c r="C3568" s="33"/>
      <c r="D3568" s="33"/>
      <c r="E3568" s="33"/>
      <c r="F3568" s="33"/>
      <c r="G3568" s="33"/>
      <c r="H3568" s="33"/>
      <c r="I3568" s="33"/>
      <c r="J3568" s="33"/>
      <c r="K3568" s="33"/>
      <c r="L3568" s="33"/>
      <c r="M3568" s="33"/>
      <c r="N3568" s="33"/>
      <c r="O3568" s="33"/>
      <c r="P3568" s="33"/>
      <c r="Q3568" s="33"/>
      <c r="R3568" s="33"/>
      <c r="S3568" s="33"/>
      <c r="T3568" s="33"/>
      <c r="U3568" s="33"/>
      <c r="V3568" s="33"/>
      <c r="W3568" s="33"/>
      <c r="X3568" s="33"/>
      <c r="Y3568" s="33"/>
      <c r="Z3568" s="33"/>
      <c r="AA3568" s="33"/>
      <c r="AB3568" s="33"/>
      <c r="AC3568" s="33"/>
      <c r="AD3568" s="33"/>
      <c r="AE3568" s="33"/>
      <c r="AF3568" s="33"/>
      <c r="AG3568" s="33"/>
      <c r="AH3568" s="33"/>
      <c r="AI3568" s="33"/>
      <c r="AJ3568" s="33"/>
      <c r="AK3568" s="33"/>
    </row>
    <row r="3569">
      <c r="A3569" s="33"/>
      <c r="B3569" s="33"/>
      <c r="C3569" s="33"/>
      <c r="D3569" s="33"/>
      <c r="E3569" s="33"/>
      <c r="F3569" s="33"/>
      <c r="G3569" s="33"/>
      <c r="H3569" s="33"/>
      <c r="I3569" s="33"/>
      <c r="J3569" s="33"/>
      <c r="K3569" s="33"/>
      <c r="L3569" s="33"/>
      <c r="M3569" s="33"/>
      <c r="N3569" s="33"/>
      <c r="O3569" s="33"/>
      <c r="P3569" s="33"/>
      <c r="Q3569" s="33"/>
      <c r="R3569" s="33"/>
      <c r="S3569" s="33"/>
      <c r="T3569" s="33"/>
      <c r="U3569" s="33"/>
      <c r="V3569" s="33"/>
      <c r="W3569" s="33"/>
      <c r="X3569" s="33"/>
      <c r="Y3569" s="33"/>
      <c r="Z3569" s="33"/>
      <c r="AA3569" s="33"/>
      <c r="AB3569" s="33"/>
      <c r="AC3569" s="33"/>
      <c r="AD3569" s="33"/>
      <c r="AE3569" s="33"/>
      <c r="AF3569" s="33"/>
      <c r="AG3569" s="33"/>
      <c r="AH3569" s="33"/>
      <c r="AI3569" s="33"/>
      <c r="AJ3569" s="33"/>
      <c r="AK3569" s="33"/>
    </row>
    <row r="3570">
      <c r="A3570" s="33"/>
      <c r="B3570" s="33"/>
      <c r="C3570" s="33"/>
      <c r="D3570" s="33"/>
      <c r="E3570" s="33"/>
      <c r="F3570" s="33"/>
      <c r="G3570" s="33"/>
      <c r="H3570" s="33"/>
      <c r="I3570" s="33"/>
      <c r="J3570" s="33"/>
      <c r="K3570" s="33"/>
      <c r="L3570" s="33"/>
      <c r="M3570" s="33"/>
      <c r="N3570" s="33"/>
      <c r="O3570" s="33"/>
      <c r="P3570" s="33"/>
      <c r="Q3570" s="33"/>
      <c r="R3570" s="33"/>
      <c r="S3570" s="33"/>
      <c r="T3570" s="33"/>
      <c r="U3570" s="33"/>
      <c r="V3570" s="33"/>
      <c r="W3570" s="33"/>
      <c r="X3570" s="33"/>
      <c r="Y3570" s="33"/>
      <c r="Z3570" s="33"/>
      <c r="AA3570" s="33"/>
      <c r="AB3570" s="33"/>
      <c r="AC3570" s="33"/>
      <c r="AD3570" s="33"/>
      <c r="AE3570" s="33"/>
      <c r="AF3570" s="33"/>
      <c r="AG3570" s="33"/>
      <c r="AH3570" s="33"/>
      <c r="AI3570" s="33"/>
      <c r="AJ3570" s="33"/>
      <c r="AK3570" s="33"/>
    </row>
    <row r="3571">
      <c r="A3571" s="33"/>
      <c r="B3571" s="33"/>
      <c r="C3571" s="33"/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  <c r="Q3571" s="33"/>
      <c r="R3571" s="33"/>
      <c r="S3571" s="33"/>
      <c r="T3571" s="33"/>
      <c r="U3571" s="33"/>
      <c r="V3571" s="33"/>
      <c r="W3571" s="33"/>
      <c r="X3571" s="33"/>
      <c r="Y3571" s="33"/>
      <c r="Z3571" s="33"/>
      <c r="AA3571" s="33"/>
      <c r="AB3571" s="33"/>
      <c r="AC3571" s="33"/>
      <c r="AD3571" s="33"/>
      <c r="AE3571" s="33"/>
      <c r="AF3571" s="33"/>
      <c r="AG3571" s="33"/>
      <c r="AH3571" s="33"/>
      <c r="AI3571" s="33"/>
      <c r="AJ3571" s="33"/>
      <c r="AK3571" s="33"/>
    </row>
    <row r="3572">
      <c r="A3572" s="33"/>
      <c r="B3572" s="33"/>
      <c r="C3572" s="33"/>
      <c r="D3572" s="33"/>
      <c r="E3572" s="33"/>
      <c r="F3572" s="33"/>
      <c r="G3572" s="33"/>
      <c r="H3572" s="33"/>
      <c r="I3572" s="33"/>
      <c r="J3572" s="33"/>
      <c r="K3572" s="33"/>
      <c r="L3572" s="33"/>
      <c r="M3572" s="33"/>
      <c r="N3572" s="33"/>
      <c r="O3572" s="33"/>
      <c r="P3572" s="33"/>
      <c r="Q3572" s="33"/>
      <c r="R3572" s="33"/>
      <c r="S3572" s="33"/>
      <c r="T3572" s="33"/>
      <c r="U3572" s="33"/>
      <c r="V3572" s="33"/>
      <c r="W3572" s="33"/>
      <c r="X3572" s="33"/>
      <c r="Y3572" s="33"/>
      <c r="Z3572" s="33"/>
      <c r="AA3572" s="33"/>
      <c r="AB3572" s="33"/>
      <c r="AC3572" s="33"/>
      <c r="AD3572" s="33"/>
      <c r="AE3572" s="33"/>
      <c r="AF3572" s="33"/>
      <c r="AG3572" s="33"/>
      <c r="AH3572" s="33"/>
      <c r="AI3572" s="33"/>
      <c r="AJ3572" s="33"/>
      <c r="AK3572" s="33"/>
    </row>
    <row r="3573">
      <c r="A3573" s="33"/>
      <c r="B3573" s="33"/>
      <c r="C3573" s="33"/>
      <c r="D3573" s="33"/>
      <c r="E3573" s="33"/>
      <c r="F3573" s="33"/>
      <c r="G3573" s="33"/>
      <c r="H3573" s="33"/>
      <c r="I3573" s="33"/>
      <c r="J3573" s="33"/>
      <c r="K3573" s="33"/>
      <c r="L3573" s="33"/>
      <c r="M3573" s="33"/>
      <c r="N3573" s="33"/>
      <c r="O3573" s="33"/>
      <c r="P3573" s="33"/>
      <c r="Q3573" s="33"/>
      <c r="R3573" s="33"/>
      <c r="S3573" s="33"/>
      <c r="T3573" s="33"/>
      <c r="U3573" s="33"/>
      <c r="V3573" s="33"/>
      <c r="W3573" s="33"/>
      <c r="X3573" s="33"/>
      <c r="Y3573" s="33"/>
      <c r="Z3573" s="33"/>
      <c r="AA3573" s="33"/>
      <c r="AB3573" s="33"/>
      <c r="AC3573" s="33"/>
      <c r="AD3573" s="33"/>
      <c r="AE3573" s="33"/>
      <c r="AF3573" s="33"/>
      <c r="AG3573" s="33"/>
      <c r="AH3573" s="33"/>
      <c r="AI3573" s="33"/>
      <c r="AJ3573" s="33"/>
      <c r="AK3573" s="33"/>
    </row>
    <row r="3574">
      <c r="A3574" s="33"/>
      <c r="B3574" s="33"/>
      <c r="C3574" s="33"/>
      <c r="D3574" s="33"/>
      <c r="E3574" s="33"/>
      <c r="F3574" s="33"/>
      <c r="G3574" s="33"/>
      <c r="H3574" s="33"/>
      <c r="I3574" s="33"/>
      <c r="J3574" s="33"/>
      <c r="K3574" s="33"/>
      <c r="L3574" s="33"/>
      <c r="M3574" s="33"/>
      <c r="N3574" s="33"/>
      <c r="O3574" s="33"/>
      <c r="P3574" s="33"/>
      <c r="Q3574" s="33"/>
      <c r="R3574" s="33"/>
      <c r="S3574" s="33"/>
      <c r="T3574" s="33"/>
      <c r="U3574" s="33"/>
      <c r="V3574" s="33"/>
      <c r="W3574" s="33"/>
      <c r="X3574" s="33"/>
      <c r="Y3574" s="33"/>
      <c r="Z3574" s="33"/>
      <c r="AA3574" s="33"/>
      <c r="AB3574" s="33"/>
      <c r="AC3574" s="33"/>
      <c r="AD3574" s="33"/>
      <c r="AE3574" s="33"/>
      <c r="AF3574" s="33"/>
      <c r="AG3574" s="33"/>
      <c r="AH3574" s="33"/>
      <c r="AI3574" s="33"/>
      <c r="AJ3574" s="33"/>
      <c r="AK3574" s="33"/>
    </row>
    <row r="3575">
      <c r="A3575" s="33"/>
      <c r="B3575" s="33"/>
      <c r="C3575" s="33"/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  <c r="Q3575" s="33"/>
      <c r="R3575" s="33"/>
      <c r="S3575" s="33"/>
      <c r="T3575" s="33"/>
      <c r="U3575" s="33"/>
      <c r="V3575" s="33"/>
      <c r="W3575" s="33"/>
      <c r="X3575" s="33"/>
      <c r="Y3575" s="33"/>
      <c r="Z3575" s="33"/>
      <c r="AA3575" s="33"/>
      <c r="AB3575" s="33"/>
      <c r="AC3575" s="33"/>
      <c r="AD3575" s="33"/>
      <c r="AE3575" s="33"/>
      <c r="AF3575" s="33"/>
      <c r="AG3575" s="33"/>
      <c r="AH3575" s="33"/>
      <c r="AI3575" s="33"/>
      <c r="AJ3575" s="33"/>
      <c r="AK3575" s="33"/>
    </row>
    <row r="3576">
      <c r="A3576" s="33"/>
      <c r="B3576" s="33"/>
      <c r="C3576" s="33"/>
      <c r="D3576" s="33"/>
      <c r="E3576" s="33"/>
      <c r="F3576" s="33"/>
      <c r="G3576" s="33"/>
      <c r="H3576" s="33"/>
      <c r="I3576" s="33"/>
      <c r="J3576" s="33"/>
      <c r="K3576" s="33"/>
      <c r="L3576" s="33"/>
      <c r="M3576" s="33"/>
      <c r="N3576" s="33"/>
      <c r="O3576" s="33"/>
      <c r="P3576" s="33"/>
      <c r="Q3576" s="33"/>
      <c r="R3576" s="33"/>
      <c r="S3576" s="33"/>
      <c r="T3576" s="33"/>
      <c r="U3576" s="33"/>
      <c r="V3576" s="33"/>
      <c r="W3576" s="33"/>
      <c r="X3576" s="33"/>
      <c r="Y3576" s="33"/>
      <c r="Z3576" s="33"/>
      <c r="AA3576" s="33"/>
      <c r="AB3576" s="33"/>
      <c r="AC3576" s="33"/>
      <c r="AD3576" s="33"/>
      <c r="AE3576" s="33"/>
      <c r="AF3576" s="33"/>
      <c r="AG3576" s="33"/>
      <c r="AH3576" s="33"/>
      <c r="AI3576" s="33"/>
      <c r="AJ3576" s="33"/>
      <c r="AK3576" s="33"/>
    </row>
    <row r="3577">
      <c r="A3577" s="33"/>
      <c r="B3577" s="33"/>
      <c r="C3577" s="33"/>
      <c r="D3577" s="33"/>
      <c r="E3577" s="33"/>
      <c r="F3577" s="33"/>
      <c r="G3577" s="33"/>
      <c r="H3577" s="33"/>
      <c r="I3577" s="33"/>
      <c r="J3577" s="33"/>
      <c r="K3577" s="33"/>
      <c r="L3577" s="33"/>
      <c r="M3577" s="33"/>
      <c r="N3577" s="33"/>
      <c r="O3577" s="33"/>
      <c r="P3577" s="33"/>
      <c r="Q3577" s="33"/>
      <c r="R3577" s="33"/>
      <c r="S3577" s="33"/>
      <c r="T3577" s="33"/>
      <c r="U3577" s="33"/>
      <c r="V3577" s="33"/>
      <c r="W3577" s="33"/>
      <c r="X3577" s="33"/>
      <c r="Y3577" s="33"/>
      <c r="Z3577" s="33"/>
      <c r="AA3577" s="33"/>
      <c r="AB3577" s="33"/>
      <c r="AC3577" s="33"/>
      <c r="AD3577" s="33"/>
      <c r="AE3577" s="33"/>
      <c r="AF3577" s="33"/>
      <c r="AG3577" s="33"/>
      <c r="AH3577" s="33"/>
      <c r="AI3577" s="33"/>
      <c r="AJ3577" s="33"/>
      <c r="AK3577" s="33"/>
    </row>
    <row r="3578">
      <c r="A3578" s="33"/>
      <c r="B3578" s="33"/>
      <c r="C3578" s="33"/>
      <c r="D3578" s="33"/>
      <c r="E3578" s="33"/>
      <c r="F3578" s="33"/>
      <c r="G3578" s="33"/>
      <c r="H3578" s="33"/>
      <c r="I3578" s="33"/>
      <c r="J3578" s="33"/>
      <c r="K3578" s="33"/>
      <c r="L3578" s="33"/>
      <c r="M3578" s="33"/>
      <c r="N3578" s="33"/>
      <c r="O3578" s="33"/>
      <c r="P3578" s="33"/>
      <c r="Q3578" s="33"/>
      <c r="R3578" s="33"/>
      <c r="S3578" s="33"/>
      <c r="T3578" s="33"/>
      <c r="U3578" s="33"/>
      <c r="V3578" s="33"/>
      <c r="W3578" s="33"/>
      <c r="X3578" s="33"/>
      <c r="Y3578" s="33"/>
      <c r="Z3578" s="33"/>
      <c r="AA3578" s="33"/>
      <c r="AB3578" s="33"/>
      <c r="AC3578" s="33"/>
      <c r="AD3578" s="33"/>
      <c r="AE3578" s="33"/>
      <c r="AF3578" s="33"/>
      <c r="AG3578" s="33"/>
      <c r="AH3578" s="33"/>
      <c r="AI3578" s="33"/>
      <c r="AJ3578" s="33"/>
      <c r="AK3578" s="33"/>
    </row>
    <row r="3579">
      <c r="A3579" s="33"/>
      <c r="B3579" s="33"/>
      <c r="C3579" s="33"/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  <c r="Q3579" s="33"/>
      <c r="R3579" s="33"/>
      <c r="S3579" s="33"/>
      <c r="T3579" s="33"/>
      <c r="U3579" s="33"/>
      <c r="V3579" s="33"/>
      <c r="W3579" s="33"/>
      <c r="X3579" s="33"/>
      <c r="Y3579" s="33"/>
      <c r="Z3579" s="33"/>
      <c r="AA3579" s="33"/>
      <c r="AB3579" s="33"/>
      <c r="AC3579" s="33"/>
      <c r="AD3579" s="33"/>
      <c r="AE3579" s="33"/>
      <c r="AF3579" s="33"/>
      <c r="AG3579" s="33"/>
      <c r="AH3579" s="33"/>
      <c r="AI3579" s="33"/>
      <c r="AJ3579" s="33"/>
      <c r="AK3579" s="33"/>
    </row>
    <row r="3580">
      <c r="A3580" s="33"/>
      <c r="B3580" s="33"/>
      <c r="C3580" s="33"/>
      <c r="D3580" s="33"/>
      <c r="E3580" s="33"/>
      <c r="F3580" s="33"/>
      <c r="G3580" s="33"/>
      <c r="H3580" s="33"/>
      <c r="I3580" s="33"/>
      <c r="J3580" s="33"/>
      <c r="K3580" s="33"/>
      <c r="L3580" s="33"/>
      <c r="M3580" s="33"/>
      <c r="N3580" s="33"/>
      <c r="O3580" s="33"/>
      <c r="P3580" s="33"/>
      <c r="Q3580" s="33"/>
      <c r="R3580" s="33"/>
      <c r="S3580" s="33"/>
      <c r="T3580" s="33"/>
      <c r="U3580" s="33"/>
      <c r="V3580" s="33"/>
      <c r="W3580" s="33"/>
      <c r="X3580" s="33"/>
      <c r="Y3580" s="33"/>
      <c r="Z3580" s="33"/>
      <c r="AA3580" s="33"/>
      <c r="AB3580" s="33"/>
      <c r="AC3580" s="33"/>
      <c r="AD3580" s="33"/>
      <c r="AE3580" s="33"/>
      <c r="AF3580" s="33"/>
      <c r="AG3580" s="33"/>
      <c r="AH3580" s="33"/>
      <c r="AI3580" s="33"/>
      <c r="AJ3580" s="33"/>
      <c r="AK3580" s="33"/>
    </row>
    <row r="3581">
      <c r="A3581" s="33"/>
      <c r="B3581" s="33"/>
      <c r="C3581" s="33"/>
      <c r="D3581" s="33"/>
      <c r="E3581" s="33"/>
      <c r="F3581" s="33"/>
      <c r="G3581" s="33"/>
      <c r="H3581" s="33"/>
      <c r="I3581" s="33"/>
      <c r="J3581" s="33"/>
      <c r="K3581" s="33"/>
      <c r="L3581" s="33"/>
      <c r="M3581" s="33"/>
      <c r="N3581" s="33"/>
      <c r="O3581" s="33"/>
      <c r="P3581" s="33"/>
      <c r="Q3581" s="33"/>
      <c r="R3581" s="33"/>
      <c r="S3581" s="33"/>
      <c r="T3581" s="33"/>
      <c r="U3581" s="33"/>
      <c r="V3581" s="33"/>
      <c r="W3581" s="33"/>
      <c r="X3581" s="33"/>
      <c r="Y3581" s="33"/>
      <c r="Z3581" s="33"/>
      <c r="AA3581" s="33"/>
      <c r="AB3581" s="33"/>
      <c r="AC3581" s="33"/>
      <c r="AD3581" s="33"/>
      <c r="AE3581" s="33"/>
      <c r="AF3581" s="33"/>
      <c r="AG3581" s="33"/>
      <c r="AH3581" s="33"/>
      <c r="AI3581" s="33"/>
      <c r="AJ3581" s="33"/>
      <c r="AK3581" s="33"/>
    </row>
    <row r="3582">
      <c r="A3582" s="33"/>
      <c r="B3582" s="33"/>
      <c r="C3582" s="33"/>
      <c r="D3582" s="33"/>
      <c r="E3582" s="33"/>
      <c r="F3582" s="33"/>
      <c r="G3582" s="33"/>
      <c r="H3582" s="33"/>
      <c r="I3582" s="33"/>
      <c r="J3582" s="33"/>
      <c r="K3582" s="33"/>
      <c r="L3582" s="33"/>
      <c r="M3582" s="33"/>
      <c r="N3582" s="33"/>
      <c r="O3582" s="33"/>
      <c r="P3582" s="33"/>
      <c r="Q3582" s="33"/>
      <c r="R3582" s="33"/>
      <c r="S3582" s="33"/>
      <c r="T3582" s="33"/>
      <c r="U3582" s="33"/>
      <c r="V3582" s="33"/>
      <c r="W3582" s="33"/>
      <c r="X3582" s="33"/>
      <c r="Y3582" s="33"/>
      <c r="Z3582" s="33"/>
      <c r="AA3582" s="33"/>
      <c r="AB3582" s="33"/>
      <c r="AC3582" s="33"/>
      <c r="AD3582" s="33"/>
      <c r="AE3582" s="33"/>
      <c r="AF3582" s="33"/>
      <c r="AG3582" s="33"/>
      <c r="AH3582" s="33"/>
      <c r="AI3582" s="33"/>
      <c r="AJ3582" s="33"/>
      <c r="AK3582" s="33"/>
    </row>
    <row r="3583">
      <c r="A3583" s="33"/>
      <c r="B3583" s="33"/>
      <c r="C3583" s="33"/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  <c r="Q3583" s="33"/>
      <c r="R3583" s="33"/>
      <c r="S3583" s="33"/>
      <c r="T3583" s="33"/>
      <c r="U3583" s="33"/>
      <c r="V3583" s="33"/>
      <c r="W3583" s="33"/>
      <c r="X3583" s="33"/>
      <c r="Y3583" s="33"/>
      <c r="Z3583" s="33"/>
      <c r="AA3583" s="33"/>
      <c r="AB3583" s="33"/>
      <c r="AC3583" s="33"/>
      <c r="AD3583" s="33"/>
      <c r="AE3583" s="33"/>
      <c r="AF3583" s="33"/>
      <c r="AG3583" s="33"/>
      <c r="AH3583" s="33"/>
      <c r="AI3583" s="33"/>
      <c r="AJ3583" s="33"/>
      <c r="AK3583" s="33"/>
    </row>
    <row r="3584">
      <c r="A3584" s="33"/>
      <c r="B3584" s="33"/>
      <c r="C3584" s="33"/>
      <c r="D3584" s="33"/>
      <c r="E3584" s="33"/>
      <c r="F3584" s="33"/>
      <c r="G3584" s="33"/>
      <c r="H3584" s="33"/>
      <c r="I3584" s="33"/>
      <c r="J3584" s="33"/>
      <c r="K3584" s="33"/>
      <c r="L3584" s="33"/>
      <c r="M3584" s="33"/>
      <c r="N3584" s="33"/>
      <c r="O3584" s="33"/>
      <c r="P3584" s="33"/>
      <c r="Q3584" s="33"/>
      <c r="R3584" s="33"/>
      <c r="S3584" s="33"/>
      <c r="T3584" s="33"/>
      <c r="U3584" s="33"/>
      <c r="V3584" s="33"/>
      <c r="W3584" s="33"/>
      <c r="X3584" s="33"/>
      <c r="Y3584" s="33"/>
      <c r="Z3584" s="33"/>
      <c r="AA3584" s="33"/>
      <c r="AB3584" s="33"/>
      <c r="AC3584" s="33"/>
      <c r="AD3584" s="33"/>
      <c r="AE3584" s="33"/>
      <c r="AF3584" s="33"/>
      <c r="AG3584" s="33"/>
      <c r="AH3584" s="33"/>
      <c r="AI3584" s="33"/>
      <c r="AJ3584" s="33"/>
      <c r="AK3584" s="33"/>
    </row>
    <row r="3585">
      <c r="A3585" s="33"/>
      <c r="B3585" s="33"/>
      <c r="C3585" s="33"/>
      <c r="D3585" s="33"/>
      <c r="E3585" s="33"/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33"/>
      <c r="Q3585" s="33"/>
      <c r="R3585" s="33"/>
      <c r="S3585" s="33"/>
      <c r="T3585" s="33"/>
      <c r="U3585" s="33"/>
      <c r="V3585" s="33"/>
      <c r="W3585" s="33"/>
      <c r="X3585" s="33"/>
      <c r="Y3585" s="33"/>
      <c r="Z3585" s="33"/>
      <c r="AA3585" s="33"/>
      <c r="AB3585" s="33"/>
      <c r="AC3585" s="33"/>
      <c r="AD3585" s="33"/>
      <c r="AE3585" s="33"/>
      <c r="AF3585" s="33"/>
      <c r="AG3585" s="33"/>
      <c r="AH3585" s="33"/>
      <c r="AI3585" s="33"/>
      <c r="AJ3585" s="33"/>
      <c r="AK3585" s="33"/>
    </row>
    <row r="3586">
      <c r="A3586" s="33"/>
      <c r="B3586" s="33"/>
      <c r="C3586" s="33"/>
      <c r="D3586" s="33"/>
      <c r="E3586" s="33"/>
      <c r="F3586" s="33"/>
      <c r="G3586" s="33"/>
      <c r="H3586" s="33"/>
      <c r="I3586" s="33"/>
      <c r="J3586" s="33"/>
      <c r="K3586" s="33"/>
      <c r="L3586" s="33"/>
      <c r="M3586" s="33"/>
      <c r="N3586" s="33"/>
      <c r="O3586" s="33"/>
      <c r="P3586" s="33"/>
      <c r="Q3586" s="33"/>
      <c r="R3586" s="33"/>
      <c r="S3586" s="33"/>
      <c r="T3586" s="33"/>
      <c r="U3586" s="33"/>
      <c r="V3586" s="33"/>
      <c r="W3586" s="33"/>
      <c r="X3586" s="33"/>
      <c r="Y3586" s="33"/>
      <c r="Z3586" s="33"/>
      <c r="AA3586" s="33"/>
      <c r="AB3586" s="33"/>
      <c r="AC3586" s="33"/>
      <c r="AD3586" s="33"/>
      <c r="AE3586" s="33"/>
      <c r="AF3586" s="33"/>
      <c r="AG3586" s="33"/>
      <c r="AH3586" s="33"/>
      <c r="AI3586" s="33"/>
      <c r="AJ3586" s="33"/>
      <c r="AK3586" s="33"/>
    </row>
    <row r="3587">
      <c r="A3587" s="33"/>
      <c r="B3587" s="33"/>
      <c r="C3587" s="33"/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3"/>
      <c r="S3587" s="33"/>
      <c r="T3587" s="33"/>
      <c r="U3587" s="33"/>
      <c r="V3587" s="33"/>
      <c r="W3587" s="33"/>
      <c r="X3587" s="33"/>
      <c r="Y3587" s="33"/>
      <c r="Z3587" s="33"/>
      <c r="AA3587" s="33"/>
      <c r="AB3587" s="33"/>
      <c r="AC3587" s="33"/>
      <c r="AD3587" s="33"/>
      <c r="AE3587" s="33"/>
      <c r="AF3587" s="33"/>
      <c r="AG3587" s="33"/>
      <c r="AH3587" s="33"/>
      <c r="AI3587" s="33"/>
      <c r="AJ3587" s="33"/>
      <c r="AK3587" s="33"/>
    </row>
    <row r="3588">
      <c r="A3588" s="33"/>
      <c r="B3588" s="33"/>
      <c r="C3588" s="33"/>
      <c r="D3588" s="33"/>
      <c r="E3588" s="33"/>
      <c r="F3588" s="33"/>
      <c r="G3588" s="33"/>
      <c r="H3588" s="33"/>
      <c r="I3588" s="33"/>
      <c r="J3588" s="33"/>
      <c r="K3588" s="33"/>
      <c r="L3588" s="33"/>
      <c r="M3588" s="33"/>
      <c r="N3588" s="33"/>
      <c r="O3588" s="33"/>
      <c r="P3588" s="33"/>
      <c r="Q3588" s="33"/>
      <c r="R3588" s="33"/>
      <c r="S3588" s="33"/>
      <c r="T3588" s="33"/>
      <c r="U3588" s="33"/>
      <c r="V3588" s="33"/>
      <c r="W3588" s="33"/>
      <c r="X3588" s="33"/>
      <c r="Y3588" s="33"/>
      <c r="Z3588" s="33"/>
      <c r="AA3588" s="33"/>
      <c r="AB3588" s="33"/>
      <c r="AC3588" s="33"/>
      <c r="AD3588" s="33"/>
      <c r="AE3588" s="33"/>
      <c r="AF3588" s="33"/>
      <c r="AG3588" s="33"/>
      <c r="AH3588" s="33"/>
      <c r="AI3588" s="33"/>
      <c r="AJ3588" s="33"/>
      <c r="AK3588" s="33"/>
    </row>
    <row r="3589">
      <c r="A3589" s="33"/>
      <c r="B3589" s="33"/>
      <c r="C3589" s="33"/>
      <c r="D3589" s="33"/>
      <c r="E3589" s="33"/>
      <c r="F3589" s="33"/>
      <c r="G3589" s="33"/>
      <c r="H3589" s="33"/>
      <c r="I3589" s="33"/>
      <c r="J3589" s="33"/>
      <c r="K3589" s="33"/>
      <c r="L3589" s="33"/>
      <c r="M3589" s="33"/>
      <c r="N3589" s="33"/>
      <c r="O3589" s="33"/>
      <c r="P3589" s="33"/>
      <c r="Q3589" s="33"/>
      <c r="R3589" s="33"/>
      <c r="S3589" s="33"/>
      <c r="T3589" s="33"/>
      <c r="U3589" s="33"/>
      <c r="V3589" s="33"/>
      <c r="W3589" s="33"/>
      <c r="X3589" s="33"/>
      <c r="Y3589" s="33"/>
      <c r="Z3589" s="33"/>
      <c r="AA3589" s="33"/>
      <c r="AB3589" s="33"/>
      <c r="AC3589" s="33"/>
      <c r="AD3589" s="33"/>
      <c r="AE3589" s="33"/>
      <c r="AF3589" s="33"/>
      <c r="AG3589" s="33"/>
      <c r="AH3589" s="33"/>
      <c r="AI3589" s="33"/>
      <c r="AJ3589" s="33"/>
      <c r="AK3589" s="33"/>
    </row>
    <row r="3590">
      <c r="A3590" s="33"/>
      <c r="B3590" s="33"/>
      <c r="C3590" s="33"/>
      <c r="D3590" s="33"/>
      <c r="E3590" s="33"/>
      <c r="F3590" s="33"/>
      <c r="G3590" s="33"/>
      <c r="H3590" s="33"/>
      <c r="I3590" s="33"/>
      <c r="J3590" s="33"/>
      <c r="K3590" s="33"/>
      <c r="L3590" s="33"/>
      <c r="M3590" s="33"/>
      <c r="N3590" s="33"/>
      <c r="O3590" s="33"/>
      <c r="P3590" s="33"/>
      <c r="Q3590" s="33"/>
      <c r="R3590" s="33"/>
      <c r="S3590" s="33"/>
      <c r="T3590" s="33"/>
      <c r="U3590" s="33"/>
      <c r="V3590" s="33"/>
      <c r="W3590" s="33"/>
      <c r="X3590" s="33"/>
      <c r="Y3590" s="33"/>
      <c r="Z3590" s="33"/>
      <c r="AA3590" s="33"/>
      <c r="AB3590" s="33"/>
      <c r="AC3590" s="33"/>
      <c r="AD3590" s="33"/>
      <c r="AE3590" s="33"/>
      <c r="AF3590" s="33"/>
      <c r="AG3590" s="33"/>
      <c r="AH3590" s="33"/>
      <c r="AI3590" s="33"/>
      <c r="AJ3590" s="33"/>
      <c r="AK3590" s="33"/>
    </row>
    <row r="3591">
      <c r="A3591" s="33"/>
      <c r="B3591" s="33"/>
      <c r="C3591" s="33"/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  <c r="Q3591" s="33"/>
      <c r="R3591" s="33"/>
      <c r="S3591" s="33"/>
      <c r="T3591" s="33"/>
      <c r="U3591" s="33"/>
      <c r="V3591" s="33"/>
      <c r="W3591" s="33"/>
      <c r="X3591" s="33"/>
      <c r="Y3591" s="33"/>
      <c r="Z3591" s="33"/>
      <c r="AA3591" s="33"/>
      <c r="AB3591" s="33"/>
      <c r="AC3591" s="33"/>
      <c r="AD3591" s="33"/>
      <c r="AE3591" s="33"/>
      <c r="AF3591" s="33"/>
      <c r="AG3591" s="33"/>
      <c r="AH3591" s="33"/>
      <c r="AI3591" s="33"/>
      <c r="AJ3591" s="33"/>
      <c r="AK3591" s="33"/>
    </row>
    <row r="3592">
      <c r="A3592" s="33"/>
      <c r="B3592" s="33"/>
      <c r="C3592" s="33"/>
      <c r="D3592" s="33"/>
      <c r="E3592" s="33"/>
      <c r="F3592" s="33"/>
      <c r="G3592" s="33"/>
      <c r="H3592" s="33"/>
      <c r="I3592" s="33"/>
      <c r="J3592" s="33"/>
      <c r="K3592" s="33"/>
      <c r="L3592" s="33"/>
      <c r="M3592" s="33"/>
      <c r="N3592" s="33"/>
      <c r="O3592" s="33"/>
      <c r="P3592" s="33"/>
      <c r="Q3592" s="33"/>
      <c r="R3592" s="33"/>
      <c r="S3592" s="33"/>
      <c r="T3592" s="33"/>
      <c r="U3592" s="33"/>
      <c r="V3592" s="33"/>
      <c r="W3592" s="33"/>
      <c r="X3592" s="33"/>
      <c r="Y3592" s="33"/>
      <c r="Z3592" s="33"/>
      <c r="AA3592" s="33"/>
      <c r="AB3592" s="33"/>
      <c r="AC3592" s="33"/>
      <c r="AD3592" s="33"/>
      <c r="AE3592" s="33"/>
      <c r="AF3592" s="33"/>
      <c r="AG3592" s="33"/>
      <c r="AH3592" s="33"/>
      <c r="AI3592" s="33"/>
      <c r="AJ3592" s="33"/>
      <c r="AK3592" s="33"/>
    </row>
    <row r="3593">
      <c r="A3593" s="33"/>
      <c r="B3593" s="33"/>
      <c r="C3593" s="33"/>
      <c r="D3593" s="33"/>
      <c r="E3593" s="33"/>
      <c r="F3593" s="33"/>
      <c r="G3593" s="33"/>
      <c r="H3593" s="33"/>
      <c r="I3593" s="33"/>
      <c r="J3593" s="33"/>
      <c r="K3593" s="33"/>
      <c r="L3593" s="33"/>
      <c r="M3593" s="33"/>
      <c r="N3593" s="33"/>
      <c r="O3593" s="33"/>
      <c r="P3593" s="33"/>
      <c r="Q3593" s="33"/>
      <c r="R3593" s="33"/>
      <c r="S3593" s="33"/>
      <c r="T3593" s="33"/>
      <c r="U3593" s="33"/>
      <c r="V3593" s="33"/>
      <c r="W3593" s="33"/>
      <c r="X3593" s="33"/>
      <c r="Y3593" s="33"/>
      <c r="Z3593" s="33"/>
      <c r="AA3593" s="33"/>
      <c r="AB3593" s="33"/>
      <c r="AC3593" s="33"/>
      <c r="AD3593" s="33"/>
      <c r="AE3593" s="33"/>
      <c r="AF3593" s="33"/>
      <c r="AG3593" s="33"/>
      <c r="AH3593" s="33"/>
      <c r="AI3593" s="33"/>
      <c r="AJ3593" s="33"/>
      <c r="AK3593" s="33"/>
    </row>
    <row r="3594">
      <c r="A3594" s="33"/>
      <c r="B3594" s="33"/>
      <c r="C3594" s="33"/>
      <c r="D3594" s="33"/>
      <c r="E3594" s="33"/>
      <c r="F3594" s="33"/>
      <c r="G3594" s="33"/>
      <c r="H3594" s="33"/>
      <c r="I3594" s="33"/>
      <c r="J3594" s="33"/>
      <c r="K3594" s="33"/>
      <c r="L3594" s="33"/>
      <c r="M3594" s="33"/>
      <c r="N3594" s="33"/>
      <c r="O3594" s="33"/>
      <c r="P3594" s="33"/>
      <c r="Q3594" s="33"/>
      <c r="R3594" s="33"/>
      <c r="S3594" s="33"/>
      <c r="T3594" s="33"/>
      <c r="U3594" s="33"/>
      <c r="V3594" s="33"/>
      <c r="W3594" s="33"/>
      <c r="X3594" s="33"/>
      <c r="Y3594" s="33"/>
      <c r="Z3594" s="33"/>
      <c r="AA3594" s="33"/>
      <c r="AB3594" s="33"/>
      <c r="AC3594" s="33"/>
      <c r="AD3594" s="33"/>
      <c r="AE3594" s="33"/>
      <c r="AF3594" s="33"/>
      <c r="AG3594" s="33"/>
      <c r="AH3594" s="33"/>
      <c r="AI3594" s="33"/>
      <c r="AJ3594" s="33"/>
      <c r="AK3594" s="33"/>
    </row>
    <row r="3595">
      <c r="A3595" s="33"/>
      <c r="B3595" s="33"/>
      <c r="C3595" s="33"/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  <c r="Q3595" s="33"/>
      <c r="R3595" s="33"/>
      <c r="S3595" s="33"/>
      <c r="T3595" s="33"/>
      <c r="U3595" s="33"/>
      <c r="V3595" s="33"/>
      <c r="W3595" s="33"/>
      <c r="X3595" s="33"/>
      <c r="Y3595" s="33"/>
      <c r="Z3595" s="33"/>
      <c r="AA3595" s="33"/>
      <c r="AB3595" s="33"/>
      <c r="AC3595" s="33"/>
      <c r="AD3595" s="33"/>
      <c r="AE3595" s="33"/>
      <c r="AF3595" s="33"/>
      <c r="AG3595" s="33"/>
      <c r="AH3595" s="33"/>
      <c r="AI3595" s="33"/>
      <c r="AJ3595" s="33"/>
      <c r="AK3595" s="33"/>
    </row>
    <row r="3596">
      <c r="A3596" s="33"/>
      <c r="B3596" s="33"/>
      <c r="C3596" s="33"/>
      <c r="D3596" s="33"/>
      <c r="E3596" s="33"/>
      <c r="F3596" s="33"/>
      <c r="G3596" s="33"/>
      <c r="H3596" s="33"/>
      <c r="I3596" s="33"/>
      <c r="J3596" s="33"/>
      <c r="K3596" s="33"/>
      <c r="L3596" s="33"/>
      <c r="M3596" s="33"/>
      <c r="N3596" s="33"/>
      <c r="O3596" s="33"/>
      <c r="P3596" s="33"/>
      <c r="Q3596" s="33"/>
      <c r="R3596" s="33"/>
      <c r="S3596" s="33"/>
      <c r="T3596" s="33"/>
      <c r="U3596" s="33"/>
      <c r="V3596" s="33"/>
      <c r="W3596" s="33"/>
      <c r="X3596" s="33"/>
      <c r="Y3596" s="33"/>
      <c r="Z3596" s="33"/>
      <c r="AA3596" s="33"/>
      <c r="AB3596" s="33"/>
      <c r="AC3596" s="33"/>
      <c r="AD3596" s="33"/>
      <c r="AE3596" s="33"/>
      <c r="AF3596" s="33"/>
      <c r="AG3596" s="33"/>
      <c r="AH3596" s="33"/>
      <c r="AI3596" s="33"/>
      <c r="AJ3596" s="33"/>
      <c r="AK3596" s="33"/>
    </row>
    <row r="3597">
      <c r="A3597" s="33"/>
      <c r="B3597" s="33"/>
      <c r="C3597" s="33"/>
      <c r="D3597" s="33"/>
      <c r="E3597" s="33"/>
      <c r="F3597" s="33"/>
      <c r="G3597" s="33"/>
      <c r="H3597" s="33"/>
      <c r="I3597" s="33"/>
      <c r="J3597" s="33"/>
      <c r="K3597" s="33"/>
      <c r="L3597" s="33"/>
      <c r="M3597" s="33"/>
      <c r="N3597" s="33"/>
      <c r="O3597" s="33"/>
      <c r="P3597" s="33"/>
      <c r="Q3597" s="33"/>
      <c r="R3597" s="33"/>
      <c r="S3597" s="33"/>
      <c r="T3597" s="33"/>
      <c r="U3597" s="33"/>
      <c r="V3597" s="33"/>
      <c r="W3597" s="33"/>
      <c r="X3597" s="33"/>
      <c r="Y3597" s="33"/>
      <c r="Z3597" s="33"/>
      <c r="AA3597" s="33"/>
      <c r="AB3597" s="33"/>
      <c r="AC3597" s="33"/>
      <c r="AD3597" s="33"/>
      <c r="AE3597" s="33"/>
      <c r="AF3597" s="33"/>
      <c r="AG3597" s="33"/>
      <c r="AH3597" s="33"/>
      <c r="AI3597" s="33"/>
      <c r="AJ3597" s="33"/>
      <c r="AK3597" s="33"/>
    </row>
    <row r="3598">
      <c r="A3598" s="33"/>
      <c r="B3598" s="33"/>
      <c r="C3598" s="33"/>
      <c r="D3598" s="33"/>
      <c r="E3598" s="33"/>
      <c r="F3598" s="33"/>
      <c r="G3598" s="33"/>
      <c r="H3598" s="33"/>
      <c r="I3598" s="33"/>
      <c r="J3598" s="33"/>
      <c r="K3598" s="33"/>
      <c r="L3598" s="33"/>
      <c r="M3598" s="33"/>
      <c r="N3598" s="33"/>
      <c r="O3598" s="33"/>
      <c r="P3598" s="33"/>
      <c r="Q3598" s="33"/>
      <c r="R3598" s="33"/>
      <c r="S3598" s="33"/>
      <c r="T3598" s="33"/>
      <c r="U3598" s="33"/>
      <c r="V3598" s="33"/>
      <c r="W3598" s="33"/>
      <c r="X3598" s="33"/>
      <c r="Y3598" s="33"/>
      <c r="Z3598" s="33"/>
      <c r="AA3598" s="33"/>
      <c r="AB3598" s="33"/>
      <c r="AC3598" s="33"/>
      <c r="AD3598" s="33"/>
      <c r="AE3598" s="33"/>
      <c r="AF3598" s="33"/>
      <c r="AG3598" s="33"/>
      <c r="AH3598" s="33"/>
      <c r="AI3598" s="33"/>
      <c r="AJ3598" s="33"/>
      <c r="AK3598" s="33"/>
    </row>
    <row r="3599">
      <c r="A3599" s="33"/>
      <c r="B3599" s="33"/>
      <c r="C3599" s="33"/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  <c r="Q3599" s="33"/>
      <c r="R3599" s="33"/>
      <c r="S3599" s="33"/>
      <c r="T3599" s="33"/>
      <c r="U3599" s="33"/>
      <c r="V3599" s="33"/>
      <c r="W3599" s="33"/>
      <c r="X3599" s="33"/>
      <c r="Y3599" s="33"/>
      <c r="Z3599" s="33"/>
      <c r="AA3599" s="33"/>
      <c r="AB3599" s="33"/>
      <c r="AC3599" s="33"/>
      <c r="AD3599" s="33"/>
      <c r="AE3599" s="33"/>
      <c r="AF3599" s="33"/>
      <c r="AG3599" s="33"/>
      <c r="AH3599" s="33"/>
      <c r="AI3599" s="33"/>
      <c r="AJ3599" s="33"/>
      <c r="AK3599" s="33"/>
    </row>
    <row r="3600">
      <c r="A3600" s="33"/>
      <c r="B3600" s="33"/>
      <c r="C3600" s="33"/>
      <c r="D3600" s="33"/>
      <c r="E3600" s="33"/>
      <c r="F3600" s="33"/>
      <c r="G3600" s="33"/>
      <c r="H3600" s="33"/>
      <c r="I3600" s="33"/>
      <c r="J3600" s="33"/>
      <c r="K3600" s="33"/>
      <c r="L3600" s="33"/>
      <c r="M3600" s="33"/>
      <c r="N3600" s="33"/>
      <c r="O3600" s="33"/>
      <c r="P3600" s="33"/>
      <c r="Q3600" s="33"/>
      <c r="R3600" s="33"/>
      <c r="S3600" s="33"/>
      <c r="T3600" s="33"/>
      <c r="U3600" s="33"/>
      <c r="V3600" s="33"/>
      <c r="W3600" s="33"/>
      <c r="X3600" s="33"/>
      <c r="Y3600" s="33"/>
      <c r="Z3600" s="33"/>
      <c r="AA3600" s="33"/>
      <c r="AB3600" s="33"/>
      <c r="AC3600" s="33"/>
      <c r="AD3600" s="33"/>
      <c r="AE3600" s="33"/>
      <c r="AF3600" s="33"/>
      <c r="AG3600" s="33"/>
      <c r="AH3600" s="33"/>
      <c r="AI3600" s="33"/>
      <c r="AJ3600" s="33"/>
      <c r="AK3600" s="33"/>
    </row>
    <row r="3601">
      <c r="A3601" s="33"/>
      <c r="B3601" s="33"/>
      <c r="C3601" s="33"/>
      <c r="D3601" s="33"/>
      <c r="E3601" s="33"/>
      <c r="F3601" s="33"/>
      <c r="G3601" s="33"/>
      <c r="H3601" s="33"/>
      <c r="I3601" s="33"/>
      <c r="J3601" s="33"/>
      <c r="K3601" s="33"/>
      <c r="L3601" s="33"/>
      <c r="M3601" s="33"/>
      <c r="N3601" s="33"/>
      <c r="O3601" s="33"/>
      <c r="P3601" s="33"/>
      <c r="Q3601" s="33"/>
      <c r="R3601" s="33"/>
      <c r="S3601" s="33"/>
      <c r="T3601" s="33"/>
      <c r="U3601" s="33"/>
      <c r="V3601" s="33"/>
      <c r="W3601" s="33"/>
      <c r="X3601" s="33"/>
      <c r="Y3601" s="33"/>
      <c r="Z3601" s="33"/>
      <c r="AA3601" s="33"/>
      <c r="AB3601" s="33"/>
      <c r="AC3601" s="33"/>
      <c r="AD3601" s="33"/>
      <c r="AE3601" s="33"/>
      <c r="AF3601" s="33"/>
      <c r="AG3601" s="33"/>
      <c r="AH3601" s="33"/>
      <c r="AI3601" s="33"/>
      <c r="AJ3601" s="33"/>
      <c r="AK3601" s="33"/>
    </row>
    <row r="3602">
      <c r="A3602" s="33"/>
      <c r="B3602" s="33"/>
      <c r="C3602" s="33"/>
      <c r="D3602" s="33"/>
      <c r="E3602" s="33"/>
      <c r="F3602" s="33"/>
      <c r="G3602" s="33"/>
      <c r="H3602" s="33"/>
      <c r="I3602" s="33"/>
      <c r="J3602" s="33"/>
      <c r="K3602" s="33"/>
      <c r="L3602" s="33"/>
      <c r="M3602" s="33"/>
      <c r="N3602" s="33"/>
      <c r="O3602" s="33"/>
      <c r="P3602" s="33"/>
      <c r="Q3602" s="33"/>
      <c r="R3602" s="33"/>
      <c r="S3602" s="33"/>
      <c r="T3602" s="33"/>
      <c r="U3602" s="33"/>
      <c r="V3602" s="33"/>
      <c r="W3602" s="33"/>
      <c r="X3602" s="33"/>
      <c r="Y3602" s="33"/>
      <c r="Z3602" s="33"/>
      <c r="AA3602" s="33"/>
      <c r="AB3602" s="33"/>
      <c r="AC3602" s="33"/>
      <c r="AD3602" s="33"/>
      <c r="AE3602" s="33"/>
      <c r="AF3602" s="33"/>
      <c r="AG3602" s="33"/>
      <c r="AH3602" s="33"/>
      <c r="AI3602" s="33"/>
      <c r="AJ3602" s="33"/>
      <c r="AK3602" s="33"/>
    </row>
    <row r="3603">
      <c r="A3603" s="33"/>
      <c r="B3603" s="33"/>
      <c r="C3603" s="33"/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  <c r="Q3603" s="33"/>
      <c r="R3603" s="33"/>
      <c r="S3603" s="33"/>
      <c r="T3603" s="33"/>
      <c r="U3603" s="33"/>
      <c r="V3603" s="33"/>
      <c r="W3603" s="33"/>
      <c r="X3603" s="33"/>
      <c r="Y3603" s="33"/>
      <c r="Z3603" s="33"/>
      <c r="AA3603" s="33"/>
      <c r="AB3603" s="33"/>
      <c r="AC3603" s="33"/>
      <c r="AD3603" s="33"/>
      <c r="AE3603" s="33"/>
      <c r="AF3603" s="33"/>
      <c r="AG3603" s="33"/>
      <c r="AH3603" s="33"/>
      <c r="AI3603" s="33"/>
      <c r="AJ3603" s="33"/>
      <c r="AK3603" s="33"/>
    </row>
    <row r="3604">
      <c r="A3604" s="33"/>
      <c r="B3604" s="33"/>
      <c r="C3604" s="33"/>
      <c r="D3604" s="33"/>
      <c r="E3604" s="33"/>
      <c r="F3604" s="33"/>
      <c r="G3604" s="33"/>
      <c r="H3604" s="33"/>
      <c r="I3604" s="33"/>
      <c r="J3604" s="33"/>
      <c r="K3604" s="33"/>
      <c r="L3604" s="33"/>
      <c r="M3604" s="33"/>
      <c r="N3604" s="33"/>
      <c r="O3604" s="33"/>
      <c r="P3604" s="33"/>
      <c r="Q3604" s="33"/>
      <c r="R3604" s="33"/>
      <c r="S3604" s="33"/>
      <c r="T3604" s="33"/>
      <c r="U3604" s="33"/>
      <c r="V3604" s="33"/>
      <c r="W3604" s="33"/>
      <c r="X3604" s="33"/>
      <c r="Y3604" s="33"/>
      <c r="Z3604" s="33"/>
      <c r="AA3604" s="33"/>
      <c r="AB3604" s="33"/>
      <c r="AC3604" s="33"/>
      <c r="AD3604" s="33"/>
      <c r="AE3604" s="33"/>
      <c r="AF3604" s="33"/>
      <c r="AG3604" s="33"/>
      <c r="AH3604" s="33"/>
      <c r="AI3604" s="33"/>
      <c r="AJ3604" s="33"/>
      <c r="AK3604" s="33"/>
    </row>
    <row r="3605">
      <c r="A3605" s="33"/>
      <c r="B3605" s="33"/>
      <c r="C3605" s="33"/>
      <c r="D3605" s="33"/>
      <c r="E3605" s="33"/>
      <c r="F3605" s="33"/>
      <c r="G3605" s="33"/>
      <c r="H3605" s="33"/>
      <c r="I3605" s="33"/>
      <c r="J3605" s="33"/>
      <c r="K3605" s="33"/>
      <c r="L3605" s="33"/>
      <c r="M3605" s="33"/>
      <c r="N3605" s="33"/>
      <c r="O3605" s="33"/>
      <c r="P3605" s="33"/>
      <c r="Q3605" s="33"/>
      <c r="R3605" s="33"/>
      <c r="S3605" s="33"/>
      <c r="T3605" s="33"/>
      <c r="U3605" s="33"/>
      <c r="V3605" s="33"/>
      <c r="W3605" s="33"/>
      <c r="X3605" s="33"/>
      <c r="Y3605" s="33"/>
      <c r="Z3605" s="33"/>
      <c r="AA3605" s="33"/>
      <c r="AB3605" s="33"/>
      <c r="AC3605" s="33"/>
      <c r="AD3605" s="33"/>
      <c r="AE3605" s="33"/>
      <c r="AF3605" s="33"/>
      <c r="AG3605" s="33"/>
      <c r="AH3605" s="33"/>
      <c r="AI3605" s="33"/>
      <c r="AJ3605" s="33"/>
      <c r="AK3605" s="33"/>
    </row>
    <row r="3606">
      <c r="A3606" s="33"/>
      <c r="B3606" s="33"/>
      <c r="C3606" s="33"/>
      <c r="D3606" s="33"/>
      <c r="E3606" s="33"/>
      <c r="F3606" s="33"/>
      <c r="G3606" s="33"/>
      <c r="H3606" s="33"/>
      <c r="I3606" s="33"/>
      <c r="J3606" s="33"/>
      <c r="K3606" s="33"/>
      <c r="L3606" s="33"/>
      <c r="M3606" s="33"/>
      <c r="N3606" s="33"/>
      <c r="O3606" s="33"/>
      <c r="P3606" s="33"/>
      <c r="Q3606" s="33"/>
      <c r="R3606" s="33"/>
      <c r="S3606" s="33"/>
      <c r="T3606" s="33"/>
      <c r="U3606" s="33"/>
      <c r="V3606" s="33"/>
      <c r="W3606" s="33"/>
      <c r="X3606" s="33"/>
      <c r="Y3606" s="33"/>
      <c r="Z3606" s="33"/>
      <c r="AA3606" s="33"/>
      <c r="AB3606" s="33"/>
      <c r="AC3606" s="33"/>
      <c r="AD3606" s="33"/>
      <c r="AE3606" s="33"/>
      <c r="AF3606" s="33"/>
      <c r="AG3606" s="33"/>
      <c r="AH3606" s="33"/>
      <c r="AI3606" s="33"/>
      <c r="AJ3606" s="33"/>
      <c r="AK3606" s="33"/>
    </row>
    <row r="3607">
      <c r="A3607" s="33"/>
      <c r="B3607" s="33"/>
      <c r="C3607" s="33"/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33"/>
      <c r="V3607" s="33"/>
      <c r="W3607" s="33"/>
      <c r="X3607" s="33"/>
      <c r="Y3607" s="33"/>
      <c r="Z3607" s="33"/>
      <c r="AA3607" s="33"/>
      <c r="AB3607" s="33"/>
      <c r="AC3607" s="33"/>
      <c r="AD3607" s="33"/>
      <c r="AE3607" s="33"/>
      <c r="AF3607" s="33"/>
      <c r="AG3607" s="33"/>
      <c r="AH3607" s="33"/>
      <c r="AI3607" s="33"/>
      <c r="AJ3607" s="33"/>
      <c r="AK3607" s="33"/>
    </row>
    <row r="3608">
      <c r="A3608" s="33"/>
      <c r="B3608" s="33"/>
      <c r="C3608" s="33"/>
      <c r="D3608" s="33"/>
      <c r="E3608" s="33"/>
      <c r="F3608" s="33"/>
      <c r="G3608" s="33"/>
      <c r="H3608" s="33"/>
      <c r="I3608" s="33"/>
      <c r="J3608" s="33"/>
      <c r="K3608" s="33"/>
      <c r="L3608" s="33"/>
      <c r="M3608" s="33"/>
      <c r="N3608" s="33"/>
      <c r="O3608" s="33"/>
      <c r="P3608" s="33"/>
      <c r="Q3608" s="33"/>
      <c r="R3608" s="33"/>
      <c r="S3608" s="33"/>
      <c r="T3608" s="33"/>
      <c r="U3608" s="33"/>
      <c r="V3608" s="33"/>
      <c r="W3608" s="33"/>
      <c r="X3608" s="33"/>
      <c r="Y3608" s="33"/>
      <c r="Z3608" s="33"/>
      <c r="AA3608" s="33"/>
      <c r="AB3608" s="33"/>
      <c r="AC3608" s="33"/>
      <c r="AD3608" s="33"/>
      <c r="AE3608" s="33"/>
      <c r="AF3608" s="33"/>
      <c r="AG3608" s="33"/>
      <c r="AH3608" s="33"/>
      <c r="AI3608" s="33"/>
      <c r="AJ3608" s="33"/>
      <c r="AK3608" s="33"/>
    </row>
    <row r="3609">
      <c r="A3609" s="33"/>
      <c r="B3609" s="33"/>
      <c r="C3609" s="33"/>
      <c r="D3609" s="33"/>
      <c r="E3609" s="33"/>
      <c r="F3609" s="33"/>
      <c r="G3609" s="33"/>
      <c r="H3609" s="33"/>
      <c r="I3609" s="33"/>
      <c r="J3609" s="33"/>
      <c r="K3609" s="33"/>
      <c r="L3609" s="33"/>
      <c r="M3609" s="33"/>
      <c r="N3609" s="33"/>
      <c r="O3609" s="33"/>
      <c r="P3609" s="33"/>
      <c r="Q3609" s="33"/>
      <c r="R3609" s="33"/>
      <c r="S3609" s="33"/>
      <c r="T3609" s="33"/>
      <c r="U3609" s="33"/>
      <c r="V3609" s="33"/>
      <c r="W3609" s="33"/>
      <c r="X3609" s="33"/>
      <c r="Y3609" s="33"/>
      <c r="Z3609" s="33"/>
      <c r="AA3609" s="33"/>
      <c r="AB3609" s="33"/>
      <c r="AC3609" s="33"/>
      <c r="AD3609" s="33"/>
      <c r="AE3609" s="33"/>
      <c r="AF3609" s="33"/>
      <c r="AG3609" s="33"/>
      <c r="AH3609" s="33"/>
      <c r="AI3609" s="33"/>
      <c r="AJ3609" s="33"/>
      <c r="AK3609" s="33"/>
    </row>
    <row r="3610">
      <c r="A3610" s="33"/>
      <c r="B3610" s="33"/>
      <c r="C3610" s="33"/>
      <c r="D3610" s="33"/>
      <c r="E3610" s="33"/>
      <c r="F3610" s="33"/>
      <c r="G3610" s="33"/>
      <c r="H3610" s="33"/>
      <c r="I3610" s="33"/>
      <c r="J3610" s="33"/>
      <c r="K3610" s="33"/>
      <c r="L3610" s="33"/>
      <c r="M3610" s="33"/>
      <c r="N3610" s="33"/>
      <c r="O3610" s="33"/>
      <c r="P3610" s="33"/>
      <c r="Q3610" s="33"/>
      <c r="R3610" s="33"/>
      <c r="S3610" s="33"/>
      <c r="T3610" s="33"/>
      <c r="U3610" s="33"/>
      <c r="V3610" s="33"/>
      <c r="W3610" s="33"/>
      <c r="X3610" s="33"/>
      <c r="Y3610" s="33"/>
      <c r="Z3610" s="33"/>
      <c r="AA3610" s="33"/>
      <c r="AB3610" s="33"/>
      <c r="AC3610" s="33"/>
      <c r="AD3610" s="33"/>
      <c r="AE3610" s="33"/>
      <c r="AF3610" s="33"/>
      <c r="AG3610" s="33"/>
      <c r="AH3610" s="33"/>
      <c r="AI3610" s="33"/>
      <c r="AJ3610" s="33"/>
      <c r="AK3610" s="33"/>
    </row>
    <row r="3611">
      <c r="A3611" s="33"/>
      <c r="B3611" s="33"/>
      <c r="C3611" s="33"/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  <c r="Q3611" s="33"/>
      <c r="R3611" s="33"/>
      <c r="S3611" s="33"/>
      <c r="T3611" s="33"/>
      <c r="U3611" s="33"/>
      <c r="V3611" s="33"/>
      <c r="W3611" s="33"/>
      <c r="X3611" s="33"/>
      <c r="Y3611" s="33"/>
      <c r="Z3611" s="33"/>
      <c r="AA3611" s="33"/>
      <c r="AB3611" s="33"/>
      <c r="AC3611" s="33"/>
      <c r="AD3611" s="33"/>
      <c r="AE3611" s="33"/>
      <c r="AF3611" s="33"/>
      <c r="AG3611" s="33"/>
      <c r="AH3611" s="33"/>
      <c r="AI3611" s="33"/>
      <c r="AJ3611" s="33"/>
      <c r="AK3611" s="33"/>
    </row>
    <row r="3612">
      <c r="A3612" s="33"/>
      <c r="B3612" s="33"/>
      <c r="C3612" s="33"/>
      <c r="D3612" s="33"/>
      <c r="E3612" s="33"/>
      <c r="F3612" s="33"/>
      <c r="G3612" s="33"/>
      <c r="H3612" s="33"/>
      <c r="I3612" s="33"/>
      <c r="J3612" s="33"/>
      <c r="K3612" s="33"/>
      <c r="L3612" s="33"/>
      <c r="M3612" s="33"/>
      <c r="N3612" s="33"/>
      <c r="O3612" s="33"/>
      <c r="P3612" s="33"/>
      <c r="Q3612" s="33"/>
      <c r="R3612" s="33"/>
      <c r="S3612" s="33"/>
      <c r="T3612" s="33"/>
      <c r="U3612" s="33"/>
      <c r="V3612" s="33"/>
      <c r="W3612" s="33"/>
      <c r="X3612" s="33"/>
      <c r="Y3612" s="33"/>
      <c r="Z3612" s="33"/>
      <c r="AA3612" s="33"/>
      <c r="AB3612" s="33"/>
      <c r="AC3612" s="33"/>
      <c r="AD3612" s="33"/>
      <c r="AE3612" s="33"/>
      <c r="AF3612" s="33"/>
      <c r="AG3612" s="33"/>
      <c r="AH3612" s="33"/>
      <c r="AI3612" s="33"/>
      <c r="AJ3612" s="33"/>
      <c r="AK3612" s="33"/>
    </row>
    <row r="3613">
      <c r="A3613" s="33"/>
      <c r="B3613" s="33"/>
      <c r="C3613" s="33"/>
      <c r="D3613" s="33"/>
      <c r="E3613" s="33"/>
      <c r="F3613" s="33"/>
      <c r="G3613" s="33"/>
      <c r="H3613" s="33"/>
      <c r="I3613" s="33"/>
      <c r="J3613" s="33"/>
      <c r="K3613" s="33"/>
      <c r="L3613" s="33"/>
      <c r="M3613" s="33"/>
      <c r="N3613" s="33"/>
      <c r="O3613" s="33"/>
      <c r="P3613" s="33"/>
      <c r="Q3613" s="33"/>
      <c r="R3613" s="33"/>
      <c r="S3613" s="33"/>
      <c r="T3613" s="33"/>
      <c r="U3613" s="33"/>
      <c r="V3613" s="33"/>
      <c r="W3613" s="33"/>
      <c r="X3613" s="33"/>
      <c r="Y3613" s="33"/>
      <c r="Z3613" s="33"/>
      <c r="AA3613" s="33"/>
      <c r="AB3613" s="33"/>
      <c r="AC3613" s="33"/>
      <c r="AD3613" s="33"/>
      <c r="AE3613" s="33"/>
      <c r="AF3613" s="33"/>
      <c r="AG3613" s="33"/>
      <c r="AH3613" s="33"/>
      <c r="AI3613" s="33"/>
      <c r="AJ3613" s="33"/>
      <c r="AK3613" s="33"/>
    </row>
    <row r="3614">
      <c r="A3614" s="33"/>
      <c r="B3614" s="33"/>
      <c r="C3614" s="33"/>
      <c r="D3614" s="33"/>
      <c r="E3614" s="33"/>
      <c r="F3614" s="33"/>
      <c r="G3614" s="33"/>
      <c r="H3614" s="33"/>
      <c r="I3614" s="33"/>
      <c r="J3614" s="33"/>
      <c r="K3614" s="33"/>
      <c r="L3614" s="33"/>
      <c r="M3614" s="33"/>
      <c r="N3614" s="33"/>
      <c r="O3614" s="33"/>
      <c r="P3614" s="33"/>
      <c r="Q3614" s="33"/>
      <c r="R3614" s="33"/>
      <c r="S3614" s="33"/>
      <c r="T3614" s="33"/>
      <c r="U3614" s="33"/>
      <c r="V3614" s="33"/>
      <c r="W3614" s="33"/>
      <c r="X3614" s="33"/>
      <c r="Y3614" s="33"/>
      <c r="Z3614" s="33"/>
      <c r="AA3614" s="33"/>
      <c r="AB3614" s="33"/>
      <c r="AC3614" s="33"/>
      <c r="AD3614" s="33"/>
      <c r="AE3614" s="33"/>
      <c r="AF3614" s="33"/>
      <c r="AG3614" s="33"/>
      <c r="AH3614" s="33"/>
      <c r="AI3614" s="33"/>
      <c r="AJ3614" s="33"/>
      <c r="AK3614" s="33"/>
    </row>
    <row r="3615">
      <c r="A3615" s="33"/>
      <c r="B3615" s="33"/>
      <c r="C3615" s="33"/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  <c r="Q3615" s="33"/>
      <c r="R3615" s="33"/>
      <c r="S3615" s="33"/>
      <c r="T3615" s="33"/>
      <c r="U3615" s="33"/>
      <c r="V3615" s="33"/>
      <c r="W3615" s="33"/>
      <c r="X3615" s="33"/>
      <c r="Y3615" s="33"/>
      <c r="Z3615" s="33"/>
      <c r="AA3615" s="33"/>
      <c r="AB3615" s="33"/>
      <c r="AC3615" s="33"/>
      <c r="AD3615" s="33"/>
      <c r="AE3615" s="33"/>
      <c r="AF3615" s="33"/>
      <c r="AG3615" s="33"/>
      <c r="AH3615" s="33"/>
      <c r="AI3615" s="33"/>
      <c r="AJ3615" s="33"/>
      <c r="AK3615" s="33"/>
    </row>
    <row r="3616">
      <c r="A3616" s="33"/>
      <c r="B3616" s="33"/>
      <c r="C3616" s="33"/>
      <c r="D3616" s="33"/>
      <c r="E3616" s="33"/>
      <c r="F3616" s="33"/>
      <c r="G3616" s="33"/>
      <c r="H3616" s="33"/>
      <c r="I3616" s="33"/>
      <c r="J3616" s="33"/>
      <c r="K3616" s="33"/>
      <c r="L3616" s="33"/>
      <c r="M3616" s="33"/>
      <c r="N3616" s="33"/>
      <c r="O3616" s="33"/>
      <c r="P3616" s="33"/>
      <c r="Q3616" s="33"/>
      <c r="R3616" s="33"/>
      <c r="S3616" s="33"/>
      <c r="T3616" s="33"/>
      <c r="U3616" s="33"/>
      <c r="V3616" s="33"/>
      <c r="W3616" s="33"/>
      <c r="X3616" s="33"/>
      <c r="Y3616" s="33"/>
      <c r="Z3616" s="33"/>
      <c r="AA3616" s="33"/>
      <c r="AB3616" s="33"/>
      <c r="AC3616" s="33"/>
      <c r="AD3616" s="33"/>
      <c r="AE3616" s="33"/>
      <c r="AF3616" s="33"/>
      <c r="AG3616" s="33"/>
      <c r="AH3616" s="33"/>
      <c r="AI3616" s="33"/>
      <c r="AJ3616" s="33"/>
      <c r="AK3616" s="33"/>
    </row>
    <row r="3617">
      <c r="A3617" s="33"/>
      <c r="B3617" s="33"/>
      <c r="C3617" s="33"/>
      <c r="D3617" s="33"/>
      <c r="E3617" s="33"/>
      <c r="F3617" s="33"/>
      <c r="G3617" s="33"/>
      <c r="H3617" s="33"/>
      <c r="I3617" s="33"/>
      <c r="J3617" s="33"/>
      <c r="K3617" s="33"/>
      <c r="L3617" s="33"/>
      <c r="M3617" s="33"/>
      <c r="N3617" s="33"/>
      <c r="O3617" s="33"/>
      <c r="P3617" s="33"/>
      <c r="Q3617" s="33"/>
      <c r="R3617" s="33"/>
      <c r="S3617" s="33"/>
      <c r="T3617" s="33"/>
      <c r="U3617" s="33"/>
      <c r="V3617" s="33"/>
      <c r="W3617" s="33"/>
      <c r="X3617" s="33"/>
      <c r="Y3617" s="33"/>
      <c r="Z3617" s="33"/>
      <c r="AA3617" s="33"/>
      <c r="AB3617" s="33"/>
      <c r="AC3617" s="33"/>
      <c r="AD3617" s="33"/>
      <c r="AE3617" s="33"/>
      <c r="AF3617" s="33"/>
      <c r="AG3617" s="33"/>
      <c r="AH3617" s="33"/>
      <c r="AI3617" s="33"/>
      <c r="AJ3617" s="33"/>
      <c r="AK3617" s="33"/>
    </row>
    <row r="3618">
      <c r="A3618" s="33"/>
      <c r="B3618" s="33"/>
      <c r="C3618" s="33"/>
      <c r="D3618" s="33"/>
      <c r="E3618" s="33"/>
      <c r="F3618" s="33"/>
      <c r="G3618" s="33"/>
      <c r="H3618" s="33"/>
      <c r="I3618" s="33"/>
      <c r="J3618" s="33"/>
      <c r="K3618" s="33"/>
      <c r="L3618" s="33"/>
      <c r="M3618" s="33"/>
      <c r="N3618" s="33"/>
      <c r="O3618" s="33"/>
      <c r="P3618" s="33"/>
      <c r="Q3618" s="33"/>
      <c r="R3618" s="33"/>
      <c r="S3618" s="33"/>
      <c r="T3618" s="33"/>
      <c r="U3618" s="33"/>
      <c r="V3618" s="33"/>
      <c r="W3618" s="33"/>
      <c r="X3618" s="33"/>
      <c r="Y3618" s="33"/>
      <c r="Z3618" s="33"/>
      <c r="AA3618" s="33"/>
      <c r="AB3618" s="33"/>
      <c r="AC3618" s="33"/>
      <c r="AD3618" s="33"/>
      <c r="AE3618" s="33"/>
      <c r="AF3618" s="33"/>
      <c r="AG3618" s="33"/>
      <c r="AH3618" s="33"/>
      <c r="AI3618" s="33"/>
      <c r="AJ3618" s="33"/>
      <c r="AK3618" s="33"/>
    </row>
    <row r="3619">
      <c r="A3619" s="33"/>
      <c r="B3619" s="33"/>
      <c r="C3619" s="33"/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  <c r="Q3619" s="33"/>
      <c r="R3619" s="33"/>
      <c r="S3619" s="33"/>
      <c r="T3619" s="33"/>
      <c r="U3619" s="33"/>
      <c r="V3619" s="33"/>
      <c r="W3619" s="33"/>
      <c r="X3619" s="33"/>
      <c r="Y3619" s="33"/>
      <c r="Z3619" s="33"/>
      <c r="AA3619" s="33"/>
      <c r="AB3619" s="33"/>
      <c r="AC3619" s="33"/>
      <c r="AD3619" s="33"/>
      <c r="AE3619" s="33"/>
      <c r="AF3619" s="33"/>
      <c r="AG3619" s="33"/>
      <c r="AH3619" s="33"/>
      <c r="AI3619" s="33"/>
      <c r="AJ3619" s="33"/>
      <c r="AK3619" s="33"/>
    </row>
    <row r="3620">
      <c r="A3620" s="33"/>
      <c r="B3620" s="33"/>
      <c r="C3620" s="33"/>
      <c r="D3620" s="33"/>
      <c r="E3620" s="33"/>
      <c r="F3620" s="33"/>
      <c r="G3620" s="33"/>
      <c r="H3620" s="33"/>
      <c r="I3620" s="33"/>
      <c r="J3620" s="33"/>
      <c r="K3620" s="33"/>
      <c r="L3620" s="33"/>
      <c r="M3620" s="33"/>
      <c r="N3620" s="33"/>
      <c r="O3620" s="33"/>
      <c r="P3620" s="33"/>
      <c r="Q3620" s="33"/>
      <c r="R3620" s="33"/>
      <c r="S3620" s="33"/>
      <c r="T3620" s="33"/>
      <c r="U3620" s="33"/>
      <c r="V3620" s="33"/>
      <c r="W3620" s="33"/>
      <c r="X3620" s="33"/>
      <c r="Y3620" s="33"/>
      <c r="Z3620" s="33"/>
      <c r="AA3620" s="33"/>
      <c r="AB3620" s="33"/>
      <c r="AC3620" s="33"/>
      <c r="AD3620" s="33"/>
      <c r="AE3620" s="33"/>
      <c r="AF3620" s="33"/>
      <c r="AG3620" s="33"/>
      <c r="AH3620" s="33"/>
      <c r="AI3620" s="33"/>
      <c r="AJ3620" s="33"/>
      <c r="AK3620" s="33"/>
    </row>
    <row r="3621">
      <c r="A3621" s="33"/>
      <c r="B3621" s="33"/>
      <c r="C3621" s="33"/>
      <c r="D3621" s="33"/>
      <c r="E3621" s="33"/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33"/>
      <c r="Q3621" s="33"/>
      <c r="R3621" s="33"/>
      <c r="S3621" s="33"/>
      <c r="T3621" s="33"/>
      <c r="U3621" s="33"/>
      <c r="V3621" s="33"/>
      <c r="W3621" s="33"/>
      <c r="X3621" s="33"/>
      <c r="Y3621" s="33"/>
      <c r="Z3621" s="33"/>
      <c r="AA3621" s="33"/>
      <c r="AB3621" s="33"/>
      <c r="AC3621" s="33"/>
      <c r="AD3621" s="33"/>
      <c r="AE3621" s="33"/>
      <c r="AF3621" s="33"/>
      <c r="AG3621" s="33"/>
      <c r="AH3621" s="33"/>
      <c r="AI3621" s="33"/>
      <c r="AJ3621" s="33"/>
      <c r="AK3621" s="33"/>
    </row>
    <row r="3622">
      <c r="A3622" s="33"/>
      <c r="B3622" s="33"/>
      <c r="C3622" s="33"/>
      <c r="D3622" s="33"/>
      <c r="E3622" s="33"/>
      <c r="F3622" s="33"/>
      <c r="G3622" s="33"/>
      <c r="H3622" s="33"/>
      <c r="I3622" s="33"/>
      <c r="J3622" s="33"/>
      <c r="K3622" s="33"/>
      <c r="L3622" s="33"/>
      <c r="M3622" s="33"/>
      <c r="N3622" s="33"/>
      <c r="O3622" s="33"/>
      <c r="P3622" s="33"/>
      <c r="Q3622" s="33"/>
      <c r="R3622" s="33"/>
      <c r="S3622" s="33"/>
      <c r="T3622" s="33"/>
      <c r="U3622" s="33"/>
      <c r="V3622" s="33"/>
      <c r="W3622" s="33"/>
      <c r="X3622" s="33"/>
      <c r="Y3622" s="33"/>
      <c r="Z3622" s="33"/>
      <c r="AA3622" s="33"/>
      <c r="AB3622" s="33"/>
      <c r="AC3622" s="33"/>
      <c r="AD3622" s="33"/>
      <c r="AE3622" s="33"/>
      <c r="AF3622" s="33"/>
      <c r="AG3622" s="33"/>
      <c r="AH3622" s="33"/>
      <c r="AI3622" s="33"/>
      <c r="AJ3622" s="33"/>
      <c r="AK3622" s="33"/>
    </row>
    <row r="3623">
      <c r="A3623" s="33"/>
      <c r="B3623" s="33"/>
      <c r="C3623" s="33"/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  <c r="Q3623" s="33"/>
      <c r="R3623" s="33"/>
      <c r="S3623" s="33"/>
      <c r="T3623" s="33"/>
      <c r="U3623" s="33"/>
      <c r="V3623" s="33"/>
      <c r="W3623" s="33"/>
      <c r="X3623" s="33"/>
      <c r="Y3623" s="33"/>
      <c r="Z3623" s="33"/>
      <c r="AA3623" s="33"/>
      <c r="AB3623" s="33"/>
      <c r="AC3623" s="33"/>
      <c r="AD3623" s="33"/>
      <c r="AE3623" s="33"/>
      <c r="AF3623" s="33"/>
      <c r="AG3623" s="33"/>
      <c r="AH3623" s="33"/>
      <c r="AI3623" s="33"/>
      <c r="AJ3623" s="33"/>
      <c r="AK3623" s="33"/>
    </row>
    <row r="3624">
      <c r="A3624" s="33"/>
      <c r="B3624" s="33"/>
      <c r="C3624" s="33"/>
      <c r="D3624" s="33"/>
      <c r="E3624" s="33"/>
      <c r="F3624" s="33"/>
      <c r="G3624" s="33"/>
      <c r="H3624" s="33"/>
      <c r="I3624" s="33"/>
      <c r="J3624" s="33"/>
      <c r="K3624" s="33"/>
      <c r="L3624" s="33"/>
      <c r="M3624" s="33"/>
      <c r="N3624" s="33"/>
      <c r="O3624" s="33"/>
      <c r="P3624" s="33"/>
      <c r="Q3624" s="33"/>
      <c r="R3624" s="33"/>
      <c r="S3624" s="33"/>
      <c r="T3624" s="33"/>
      <c r="U3624" s="33"/>
      <c r="V3624" s="33"/>
      <c r="W3624" s="33"/>
      <c r="X3624" s="33"/>
      <c r="Y3624" s="33"/>
      <c r="Z3624" s="33"/>
      <c r="AA3624" s="33"/>
      <c r="AB3624" s="33"/>
      <c r="AC3624" s="33"/>
      <c r="AD3624" s="33"/>
      <c r="AE3624" s="33"/>
      <c r="AF3624" s="33"/>
      <c r="AG3624" s="33"/>
      <c r="AH3624" s="33"/>
      <c r="AI3624" s="33"/>
      <c r="AJ3624" s="33"/>
      <c r="AK3624" s="33"/>
    </row>
    <row r="3625">
      <c r="A3625" s="33"/>
      <c r="B3625" s="33"/>
      <c r="C3625" s="33"/>
      <c r="D3625" s="33"/>
      <c r="E3625" s="33"/>
      <c r="F3625" s="33"/>
      <c r="G3625" s="33"/>
      <c r="H3625" s="33"/>
      <c r="I3625" s="33"/>
      <c r="J3625" s="33"/>
      <c r="K3625" s="33"/>
      <c r="L3625" s="33"/>
      <c r="M3625" s="33"/>
      <c r="N3625" s="33"/>
      <c r="O3625" s="33"/>
      <c r="P3625" s="33"/>
      <c r="Q3625" s="33"/>
      <c r="R3625" s="33"/>
      <c r="S3625" s="33"/>
      <c r="T3625" s="33"/>
      <c r="U3625" s="33"/>
      <c r="V3625" s="33"/>
      <c r="W3625" s="33"/>
      <c r="X3625" s="33"/>
      <c r="Y3625" s="33"/>
      <c r="Z3625" s="33"/>
      <c r="AA3625" s="33"/>
      <c r="AB3625" s="33"/>
      <c r="AC3625" s="33"/>
      <c r="AD3625" s="33"/>
      <c r="AE3625" s="33"/>
      <c r="AF3625" s="33"/>
      <c r="AG3625" s="33"/>
      <c r="AH3625" s="33"/>
      <c r="AI3625" s="33"/>
      <c r="AJ3625" s="33"/>
      <c r="AK3625" s="33"/>
    </row>
    <row r="3626">
      <c r="A3626" s="33"/>
      <c r="B3626" s="33"/>
      <c r="C3626" s="33"/>
      <c r="D3626" s="33"/>
      <c r="E3626" s="33"/>
      <c r="F3626" s="33"/>
      <c r="G3626" s="33"/>
      <c r="H3626" s="33"/>
      <c r="I3626" s="33"/>
      <c r="J3626" s="33"/>
      <c r="K3626" s="33"/>
      <c r="L3626" s="33"/>
      <c r="M3626" s="33"/>
      <c r="N3626" s="33"/>
      <c r="O3626" s="33"/>
      <c r="P3626" s="33"/>
      <c r="Q3626" s="33"/>
      <c r="R3626" s="33"/>
      <c r="S3626" s="33"/>
      <c r="T3626" s="33"/>
      <c r="U3626" s="33"/>
      <c r="V3626" s="33"/>
      <c r="W3626" s="33"/>
      <c r="X3626" s="33"/>
      <c r="Y3626" s="33"/>
      <c r="Z3626" s="33"/>
      <c r="AA3626" s="33"/>
      <c r="AB3626" s="33"/>
      <c r="AC3626" s="33"/>
      <c r="AD3626" s="33"/>
      <c r="AE3626" s="33"/>
      <c r="AF3626" s="33"/>
      <c r="AG3626" s="33"/>
      <c r="AH3626" s="33"/>
      <c r="AI3626" s="33"/>
      <c r="AJ3626" s="33"/>
      <c r="AK3626" s="33"/>
    </row>
    <row r="3627">
      <c r="A3627" s="33"/>
      <c r="B3627" s="33"/>
      <c r="C3627" s="33"/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  <c r="Q3627" s="33"/>
      <c r="R3627" s="33"/>
      <c r="S3627" s="33"/>
      <c r="T3627" s="33"/>
      <c r="U3627" s="33"/>
      <c r="V3627" s="33"/>
      <c r="W3627" s="33"/>
      <c r="X3627" s="33"/>
      <c r="Y3627" s="33"/>
      <c r="Z3627" s="33"/>
      <c r="AA3627" s="33"/>
      <c r="AB3627" s="33"/>
      <c r="AC3627" s="33"/>
      <c r="AD3627" s="33"/>
      <c r="AE3627" s="33"/>
      <c r="AF3627" s="33"/>
      <c r="AG3627" s="33"/>
      <c r="AH3627" s="33"/>
      <c r="AI3627" s="33"/>
      <c r="AJ3627" s="33"/>
      <c r="AK3627" s="33"/>
    </row>
    <row r="3628">
      <c r="A3628" s="33"/>
      <c r="B3628" s="33"/>
      <c r="C3628" s="33"/>
      <c r="D3628" s="33"/>
      <c r="E3628" s="33"/>
      <c r="F3628" s="33"/>
      <c r="G3628" s="33"/>
      <c r="H3628" s="33"/>
      <c r="I3628" s="33"/>
      <c r="J3628" s="33"/>
      <c r="K3628" s="33"/>
      <c r="L3628" s="33"/>
      <c r="M3628" s="33"/>
      <c r="N3628" s="33"/>
      <c r="O3628" s="33"/>
      <c r="P3628" s="33"/>
      <c r="Q3628" s="33"/>
      <c r="R3628" s="33"/>
      <c r="S3628" s="33"/>
      <c r="T3628" s="33"/>
      <c r="U3628" s="33"/>
      <c r="V3628" s="33"/>
      <c r="W3628" s="33"/>
      <c r="X3628" s="33"/>
      <c r="Y3628" s="33"/>
      <c r="Z3628" s="33"/>
      <c r="AA3628" s="33"/>
      <c r="AB3628" s="33"/>
      <c r="AC3628" s="33"/>
      <c r="AD3628" s="33"/>
      <c r="AE3628" s="33"/>
      <c r="AF3628" s="33"/>
      <c r="AG3628" s="33"/>
      <c r="AH3628" s="33"/>
      <c r="AI3628" s="33"/>
      <c r="AJ3628" s="33"/>
      <c r="AK3628" s="33"/>
    </row>
    <row r="3629">
      <c r="A3629" s="33"/>
      <c r="B3629" s="33"/>
      <c r="C3629" s="33"/>
      <c r="D3629" s="33"/>
      <c r="E3629" s="33"/>
      <c r="F3629" s="33"/>
      <c r="G3629" s="33"/>
      <c r="H3629" s="33"/>
      <c r="I3629" s="33"/>
      <c r="J3629" s="33"/>
      <c r="K3629" s="33"/>
      <c r="L3629" s="33"/>
      <c r="M3629" s="33"/>
      <c r="N3629" s="33"/>
      <c r="O3629" s="33"/>
      <c r="P3629" s="33"/>
      <c r="Q3629" s="33"/>
      <c r="R3629" s="33"/>
      <c r="S3629" s="33"/>
      <c r="T3629" s="33"/>
      <c r="U3629" s="33"/>
      <c r="V3629" s="33"/>
      <c r="W3629" s="33"/>
      <c r="X3629" s="33"/>
      <c r="Y3629" s="33"/>
      <c r="Z3629" s="33"/>
      <c r="AA3629" s="33"/>
      <c r="AB3629" s="33"/>
      <c r="AC3629" s="33"/>
      <c r="AD3629" s="33"/>
      <c r="AE3629" s="33"/>
      <c r="AF3629" s="33"/>
      <c r="AG3629" s="33"/>
      <c r="AH3629" s="33"/>
      <c r="AI3629" s="33"/>
      <c r="AJ3629" s="33"/>
      <c r="AK3629" s="33"/>
    </row>
    <row r="3630">
      <c r="A3630" s="33"/>
      <c r="B3630" s="33"/>
      <c r="C3630" s="33"/>
      <c r="D3630" s="33"/>
      <c r="E3630" s="33"/>
      <c r="F3630" s="33"/>
      <c r="G3630" s="33"/>
      <c r="H3630" s="33"/>
      <c r="I3630" s="33"/>
      <c r="J3630" s="33"/>
      <c r="K3630" s="33"/>
      <c r="L3630" s="33"/>
      <c r="M3630" s="33"/>
      <c r="N3630" s="33"/>
      <c r="O3630" s="33"/>
      <c r="P3630" s="33"/>
      <c r="Q3630" s="33"/>
      <c r="R3630" s="33"/>
      <c r="S3630" s="33"/>
      <c r="T3630" s="33"/>
      <c r="U3630" s="33"/>
      <c r="V3630" s="33"/>
      <c r="W3630" s="33"/>
      <c r="X3630" s="33"/>
      <c r="Y3630" s="33"/>
      <c r="Z3630" s="33"/>
      <c r="AA3630" s="33"/>
      <c r="AB3630" s="33"/>
      <c r="AC3630" s="33"/>
      <c r="AD3630" s="33"/>
      <c r="AE3630" s="33"/>
      <c r="AF3630" s="33"/>
      <c r="AG3630" s="33"/>
      <c r="AH3630" s="33"/>
      <c r="AI3630" s="33"/>
      <c r="AJ3630" s="33"/>
      <c r="AK3630" s="33"/>
    </row>
    <row r="3631">
      <c r="A3631" s="33"/>
      <c r="B3631" s="33"/>
      <c r="C3631" s="33"/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  <c r="Q3631" s="33"/>
      <c r="R3631" s="33"/>
      <c r="S3631" s="33"/>
      <c r="T3631" s="33"/>
      <c r="U3631" s="33"/>
      <c r="V3631" s="33"/>
      <c r="W3631" s="33"/>
      <c r="X3631" s="33"/>
      <c r="Y3631" s="33"/>
      <c r="Z3631" s="33"/>
      <c r="AA3631" s="33"/>
      <c r="AB3631" s="33"/>
      <c r="AC3631" s="33"/>
      <c r="AD3631" s="33"/>
      <c r="AE3631" s="33"/>
      <c r="AF3631" s="33"/>
      <c r="AG3631" s="33"/>
      <c r="AH3631" s="33"/>
      <c r="AI3631" s="33"/>
      <c r="AJ3631" s="33"/>
      <c r="AK3631" s="33"/>
    </row>
    <row r="3632">
      <c r="A3632" s="33"/>
      <c r="B3632" s="33"/>
      <c r="C3632" s="33"/>
      <c r="D3632" s="33"/>
      <c r="E3632" s="33"/>
      <c r="F3632" s="33"/>
      <c r="G3632" s="33"/>
      <c r="H3632" s="33"/>
      <c r="I3632" s="33"/>
      <c r="J3632" s="33"/>
      <c r="K3632" s="33"/>
      <c r="L3632" s="33"/>
      <c r="M3632" s="33"/>
      <c r="N3632" s="33"/>
      <c r="O3632" s="33"/>
      <c r="P3632" s="33"/>
      <c r="Q3632" s="33"/>
      <c r="R3632" s="33"/>
      <c r="S3632" s="33"/>
      <c r="T3632" s="33"/>
      <c r="U3632" s="33"/>
      <c r="V3632" s="33"/>
      <c r="W3632" s="33"/>
      <c r="X3632" s="33"/>
      <c r="Y3632" s="33"/>
      <c r="Z3632" s="33"/>
      <c r="AA3632" s="33"/>
      <c r="AB3632" s="33"/>
      <c r="AC3632" s="33"/>
      <c r="AD3632" s="33"/>
      <c r="AE3632" s="33"/>
      <c r="AF3632" s="33"/>
      <c r="AG3632" s="33"/>
      <c r="AH3632" s="33"/>
      <c r="AI3632" s="33"/>
      <c r="AJ3632" s="33"/>
      <c r="AK3632" s="33"/>
    </row>
    <row r="3633">
      <c r="A3633" s="33"/>
      <c r="B3633" s="33"/>
      <c r="C3633" s="33"/>
      <c r="D3633" s="33"/>
      <c r="E3633" s="33"/>
      <c r="F3633" s="33"/>
      <c r="G3633" s="33"/>
      <c r="H3633" s="33"/>
      <c r="I3633" s="33"/>
      <c r="J3633" s="33"/>
      <c r="K3633" s="33"/>
      <c r="L3633" s="33"/>
      <c r="M3633" s="33"/>
      <c r="N3633" s="33"/>
      <c r="O3633" s="33"/>
      <c r="P3633" s="33"/>
      <c r="Q3633" s="33"/>
      <c r="R3633" s="33"/>
      <c r="S3633" s="33"/>
      <c r="T3633" s="33"/>
      <c r="U3633" s="33"/>
      <c r="V3633" s="33"/>
      <c r="W3633" s="33"/>
      <c r="X3633" s="33"/>
      <c r="Y3633" s="33"/>
      <c r="Z3633" s="33"/>
      <c r="AA3633" s="33"/>
      <c r="AB3633" s="33"/>
      <c r="AC3633" s="33"/>
      <c r="AD3633" s="33"/>
      <c r="AE3633" s="33"/>
      <c r="AF3633" s="33"/>
      <c r="AG3633" s="33"/>
      <c r="AH3633" s="33"/>
      <c r="AI3633" s="33"/>
      <c r="AJ3633" s="33"/>
      <c r="AK3633" s="33"/>
    </row>
    <row r="3634">
      <c r="A3634" s="33"/>
      <c r="B3634" s="33"/>
      <c r="C3634" s="33"/>
      <c r="D3634" s="33"/>
      <c r="E3634" s="33"/>
      <c r="F3634" s="33"/>
      <c r="G3634" s="33"/>
      <c r="H3634" s="33"/>
      <c r="I3634" s="33"/>
      <c r="J3634" s="33"/>
      <c r="K3634" s="33"/>
      <c r="L3634" s="33"/>
      <c r="M3634" s="33"/>
      <c r="N3634" s="33"/>
      <c r="O3634" s="33"/>
      <c r="P3634" s="33"/>
      <c r="Q3634" s="33"/>
      <c r="R3634" s="33"/>
      <c r="S3634" s="33"/>
      <c r="T3634" s="33"/>
      <c r="U3634" s="33"/>
      <c r="V3634" s="33"/>
      <c r="W3634" s="33"/>
      <c r="X3634" s="33"/>
      <c r="Y3634" s="33"/>
      <c r="Z3634" s="33"/>
      <c r="AA3634" s="33"/>
      <c r="AB3634" s="33"/>
      <c r="AC3634" s="33"/>
      <c r="AD3634" s="33"/>
      <c r="AE3634" s="33"/>
      <c r="AF3634" s="33"/>
      <c r="AG3634" s="33"/>
      <c r="AH3634" s="33"/>
      <c r="AI3634" s="33"/>
      <c r="AJ3634" s="33"/>
      <c r="AK3634" s="33"/>
    </row>
    <row r="3635">
      <c r="A3635" s="33"/>
      <c r="B3635" s="33"/>
      <c r="C3635" s="33"/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  <c r="Q3635" s="33"/>
      <c r="R3635" s="33"/>
      <c r="S3635" s="33"/>
      <c r="T3635" s="33"/>
      <c r="U3635" s="33"/>
      <c r="V3635" s="33"/>
      <c r="W3635" s="33"/>
      <c r="X3635" s="33"/>
      <c r="Y3635" s="33"/>
      <c r="Z3635" s="33"/>
      <c r="AA3635" s="33"/>
      <c r="AB3635" s="33"/>
      <c r="AC3635" s="33"/>
      <c r="AD3635" s="33"/>
      <c r="AE3635" s="33"/>
      <c r="AF3635" s="33"/>
      <c r="AG3635" s="33"/>
      <c r="AH3635" s="33"/>
      <c r="AI3635" s="33"/>
      <c r="AJ3635" s="33"/>
      <c r="AK3635" s="33"/>
    </row>
    <row r="3636">
      <c r="A3636" s="33"/>
      <c r="B3636" s="33"/>
      <c r="C3636" s="33"/>
      <c r="D3636" s="33"/>
      <c r="E3636" s="33"/>
      <c r="F3636" s="33"/>
      <c r="G3636" s="33"/>
      <c r="H3636" s="33"/>
      <c r="I3636" s="33"/>
      <c r="J3636" s="33"/>
      <c r="K3636" s="33"/>
      <c r="L3636" s="33"/>
      <c r="M3636" s="33"/>
      <c r="N3636" s="33"/>
      <c r="O3636" s="33"/>
      <c r="P3636" s="33"/>
      <c r="Q3636" s="33"/>
      <c r="R3636" s="33"/>
      <c r="S3636" s="33"/>
      <c r="T3636" s="33"/>
      <c r="U3636" s="33"/>
      <c r="V3636" s="33"/>
      <c r="W3636" s="33"/>
      <c r="X3636" s="33"/>
      <c r="Y3636" s="33"/>
      <c r="Z3636" s="33"/>
      <c r="AA3636" s="33"/>
      <c r="AB3636" s="33"/>
      <c r="AC3636" s="33"/>
      <c r="AD3636" s="33"/>
      <c r="AE3636" s="33"/>
      <c r="AF3636" s="33"/>
      <c r="AG3636" s="33"/>
      <c r="AH3636" s="33"/>
      <c r="AI3636" s="33"/>
      <c r="AJ3636" s="33"/>
      <c r="AK3636" s="33"/>
    </row>
    <row r="3637">
      <c r="A3637" s="33"/>
      <c r="B3637" s="33"/>
      <c r="C3637" s="33"/>
      <c r="D3637" s="33"/>
      <c r="E3637" s="33"/>
      <c r="F3637" s="33"/>
      <c r="G3637" s="33"/>
      <c r="H3637" s="33"/>
      <c r="I3637" s="33"/>
      <c r="J3637" s="33"/>
      <c r="K3637" s="33"/>
      <c r="L3637" s="33"/>
      <c r="M3637" s="33"/>
      <c r="N3637" s="33"/>
      <c r="O3637" s="33"/>
      <c r="P3637" s="33"/>
      <c r="Q3637" s="33"/>
      <c r="R3637" s="33"/>
      <c r="S3637" s="33"/>
      <c r="T3637" s="33"/>
      <c r="U3637" s="33"/>
      <c r="V3637" s="33"/>
      <c r="W3637" s="33"/>
      <c r="X3637" s="33"/>
      <c r="Y3637" s="33"/>
      <c r="Z3637" s="33"/>
      <c r="AA3637" s="33"/>
      <c r="AB3637" s="33"/>
      <c r="AC3637" s="33"/>
      <c r="AD3637" s="33"/>
      <c r="AE3637" s="33"/>
      <c r="AF3637" s="33"/>
      <c r="AG3637" s="33"/>
      <c r="AH3637" s="33"/>
      <c r="AI3637" s="33"/>
      <c r="AJ3637" s="33"/>
      <c r="AK3637" s="33"/>
    </row>
    <row r="3638">
      <c r="A3638" s="33"/>
      <c r="B3638" s="33"/>
      <c r="C3638" s="33"/>
      <c r="D3638" s="33"/>
      <c r="E3638" s="33"/>
      <c r="F3638" s="33"/>
      <c r="G3638" s="33"/>
      <c r="H3638" s="33"/>
      <c r="I3638" s="33"/>
      <c r="J3638" s="33"/>
      <c r="K3638" s="33"/>
      <c r="L3638" s="33"/>
      <c r="M3638" s="33"/>
      <c r="N3638" s="33"/>
      <c r="O3638" s="33"/>
      <c r="P3638" s="33"/>
      <c r="Q3638" s="33"/>
      <c r="R3638" s="33"/>
      <c r="S3638" s="33"/>
      <c r="T3638" s="33"/>
      <c r="U3638" s="33"/>
      <c r="V3638" s="33"/>
      <c r="W3638" s="33"/>
      <c r="X3638" s="33"/>
      <c r="Y3638" s="33"/>
      <c r="Z3638" s="33"/>
      <c r="AA3638" s="33"/>
      <c r="AB3638" s="33"/>
      <c r="AC3638" s="33"/>
      <c r="AD3638" s="33"/>
      <c r="AE3638" s="33"/>
      <c r="AF3638" s="33"/>
      <c r="AG3638" s="33"/>
      <c r="AH3638" s="33"/>
      <c r="AI3638" s="33"/>
      <c r="AJ3638" s="33"/>
      <c r="AK3638" s="33"/>
    </row>
    <row r="3639">
      <c r="A3639" s="33"/>
      <c r="B3639" s="33"/>
      <c r="C3639" s="33"/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  <c r="Q3639" s="33"/>
      <c r="R3639" s="33"/>
      <c r="S3639" s="33"/>
      <c r="T3639" s="33"/>
      <c r="U3639" s="33"/>
      <c r="V3639" s="33"/>
      <c r="W3639" s="33"/>
      <c r="X3639" s="33"/>
      <c r="Y3639" s="33"/>
      <c r="Z3639" s="33"/>
      <c r="AA3639" s="33"/>
      <c r="AB3639" s="33"/>
      <c r="AC3639" s="33"/>
      <c r="AD3639" s="33"/>
      <c r="AE3639" s="33"/>
      <c r="AF3639" s="33"/>
      <c r="AG3639" s="33"/>
      <c r="AH3639" s="33"/>
      <c r="AI3639" s="33"/>
      <c r="AJ3639" s="33"/>
      <c r="AK3639" s="33"/>
    </row>
    <row r="3640">
      <c r="A3640" s="33"/>
      <c r="B3640" s="33"/>
      <c r="C3640" s="33"/>
      <c r="D3640" s="33"/>
      <c r="E3640" s="33"/>
      <c r="F3640" s="33"/>
      <c r="G3640" s="33"/>
      <c r="H3640" s="33"/>
      <c r="I3640" s="33"/>
      <c r="J3640" s="33"/>
      <c r="K3640" s="33"/>
      <c r="L3640" s="33"/>
      <c r="M3640" s="33"/>
      <c r="N3640" s="33"/>
      <c r="O3640" s="33"/>
      <c r="P3640" s="33"/>
      <c r="Q3640" s="33"/>
      <c r="R3640" s="33"/>
      <c r="S3640" s="33"/>
      <c r="T3640" s="33"/>
      <c r="U3640" s="33"/>
      <c r="V3640" s="33"/>
      <c r="W3640" s="33"/>
      <c r="X3640" s="33"/>
      <c r="Y3640" s="33"/>
      <c r="Z3640" s="33"/>
      <c r="AA3640" s="33"/>
      <c r="AB3640" s="33"/>
      <c r="AC3640" s="33"/>
      <c r="AD3640" s="33"/>
      <c r="AE3640" s="33"/>
      <c r="AF3640" s="33"/>
      <c r="AG3640" s="33"/>
      <c r="AH3640" s="33"/>
      <c r="AI3640" s="33"/>
      <c r="AJ3640" s="33"/>
      <c r="AK3640" s="33"/>
    </row>
    <row r="3641">
      <c r="A3641" s="33"/>
      <c r="B3641" s="33"/>
      <c r="C3641" s="33"/>
      <c r="D3641" s="33"/>
      <c r="E3641" s="33"/>
      <c r="F3641" s="33"/>
      <c r="G3641" s="33"/>
      <c r="H3641" s="33"/>
      <c r="I3641" s="33"/>
      <c r="J3641" s="33"/>
      <c r="K3641" s="33"/>
      <c r="L3641" s="33"/>
      <c r="M3641" s="33"/>
      <c r="N3641" s="33"/>
      <c r="O3641" s="33"/>
      <c r="P3641" s="33"/>
      <c r="Q3641" s="33"/>
      <c r="R3641" s="33"/>
      <c r="S3641" s="33"/>
      <c r="T3641" s="33"/>
      <c r="U3641" s="33"/>
      <c r="V3641" s="33"/>
      <c r="W3641" s="33"/>
      <c r="X3641" s="33"/>
      <c r="Y3641" s="33"/>
      <c r="Z3641" s="33"/>
      <c r="AA3641" s="33"/>
      <c r="AB3641" s="33"/>
      <c r="AC3641" s="33"/>
      <c r="AD3641" s="33"/>
      <c r="AE3641" s="33"/>
      <c r="AF3641" s="33"/>
      <c r="AG3641" s="33"/>
      <c r="AH3641" s="33"/>
      <c r="AI3641" s="33"/>
      <c r="AJ3641" s="33"/>
      <c r="AK3641" s="33"/>
    </row>
    <row r="3642">
      <c r="A3642" s="33"/>
      <c r="B3642" s="33"/>
      <c r="C3642" s="33"/>
      <c r="D3642" s="33"/>
      <c r="E3642" s="33"/>
      <c r="F3642" s="33"/>
      <c r="G3642" s="33"/>
      <c r="H3642" s="33"/>
      <c r="I3642" s="33"/>
      <c r="J3642" s="33"/>
      <c r="K3642" s="33"/>
      <c r="L3642" s="33"/>
      <c r="M3642" s="33"/>
      <c r="N3642" s="33"/>
      <c r="O3642" s="33"/>
      <c r="P3642" s="33"/>
      <c r="Q3642" s="33"/>
      <c r="R3642" s="33"/>
      <c r="S3642" s="33"/>
      <c r="T3642" s="33"/>
      <c r="U3642" s="33"/>
      <c r="V3642" s="33"/>
      <c r="W3642" s="33"/>
      <c r="X3642" s="33"/>
      <c r="Y3642" s="33"/>
      <c r="Z3642" s="33"/>
      <c r="AA3642" s="33"/>
      <c r="AB3642" s="33"/>
      <c r="AC3642" s="33"/>
      <c r="AD3642" s="33"/>
      <c r="AE3642" s="33"/>
      <c r="AF3642" s="33"/>
      <c r="AG3642" s="33"/>
      <c r="AH3642" s="33"/>
      <c r="AI3642" s="33"/>
      <c r="AJ3642" s="33"/>
      <c r="AK3642" s="33"/>
    </row>
    <row r="3643">
      <c r="A3643" s="33"/>
      <c r="B3643" s="33"/>
      <c r="C3643" s="33"/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33"/>
      <c r="V3643" s="33"/>
      <c r="W3643" s="33"/>
      <c r="X3643" s="33"/>
      <c r="Y3643" s="33"/>
      <c r="Z3643" s="33"/>
      <c r="AA3643" s="33"/>
      <c r="AB3643" s="33"/>
      <c r="AC3643" s="33"/>
      <c r="AD3643" s="33"/>
      <c r="AE3643" s="33"/>
      <c r="AF3643" s="33"/>
      <c r="AG3643" s="33"/>
      <c r="AH3643" s="33"/>
      <c r="AI3643" s="33"/>
      <c r="AJ3643" s="33"/>
      <c r="AK3643" s="33"/>
    </row>
    <row r="3644">
      <c r="A3644" s="33"/>
      <c r="B3644" s="33"/>
      <c r="C3644" s="33"/>
      <c r="D3644" s="33"/>
      <c r="E3644" s="33"/>
      <c r="F3644" s="33"/>
      <c r="G3644" s="33"/>
      <c r="H3644" s="33"/>
      <c r="I3644" s="33"/>
      <c r="J3644" s="33"/>
      <c r="K3644" s="33"/>
      <c r="L3644" s="33"/>
      <c r="M3644" s="33"/>
      <c r="N3644" s="33"/>
      <c r="O3644" s="33"/>
      <c r="P3644" s="33"/>
      <c r="Q3644" s="33"/>
      <c r="R3644" s="33"/>
      <c r="S3644" s="33"/>
      <c r="T3644" s="33"/>
      <c r="U3644" s="33"/>
      <c r="V3644" s="33"/>
      <c r="W3644" s="33"/>
      <c r="X3644" s="33"/>
      <c r="Y3644" s="33"/>
      <c r="Z3644" s="33"/>
      <c r="AA3644" s="33"/>
      <c r="AB3644" s="33"/>
      <c r="AC3644" s="33"/>
      <c r="AD3644" s="33"/>
      <c r="AE3644" s="33"/>
      <c r="AF3644" s="33"/>
      <c r="AG3644" s="33"/>
      <c r="AH3644" s="33"/>
      <c r="AI3644" s="33"/>
      <c r="AJ3644" s="33"/>
      <c r="AK3644" s="33"/>
    </row>
    <row r="3645">
      <c r="A3645" s="33"/>
      <c r="B3645" s="33"/>
      <c r="C3645" s="33"/>
      <c r="D3645" s="33"/>
      <c r="E3645" s="33"/>
      <c r="F3645" s="33"/>
      <c r="G3645" s="33"/>
      <c r="H3645" s="33"/>
      <c r="I3645" s="33"/>
      <c r="J3645" s="33"/>
      <c r="K3645" s="33"/>
      <c r="L3645" s="33"/>
      <c r="M3645" s="33"/>
      <c r="N3645" s="33"/>
      <c r="O3645" s="33"/>
      <c r="P3645" s="33"/>
      <c r="Q3645" s="33"/>
      <c r="R3645" s="33"/>
      <c r="S3645" s="33"/>
      <c r="T3645" s="33"/>
      <c r="U3645" s="33"/>
      <c r="V3645" s="33"/>
      <c r="W3645" s="33"/>
      <c r="X3645" s="33"/>
      <c r="Y3645" s="33"/>
      <c r="Z3645" s="33"/>
      <c r="AA3645" s="33"/>
      <c r="AB3645" s="33"/>
      <c r="AC3645" s="33"/>
      <c r="AD3645" s="33"/>
      <c r="AE3645" s="33"/>
      <c r="AF3645" s="33"/>
      <c r="AG3645" s="33"/>
      <c r="AH3645" s="33"/>
      <c r="AI3645" s="33"/>
      <c r="AJ3645" s="33"/>
      <c r="AK3645" s="33"/>
    </row>
    <row r="3646">
      <c r="A3646" s="33"/>
      <c r="B3646" s="33"/>
      <c r="C3646" s="33"/>
      <c r="D3646" s="33"/>
      <c r="E3646" s="33"/>
      <c r="F3646" s="33"/>
      <c r="G3646" s="33"/>
      <c r="H3646" s="33"/>
      <c r="I3646" s="33"/>
      <c r="J3646" s="33"/>
      <c r="K3646" s="33"/>
      <c r="L3646" s="33"/>
      <c r="M3646" s="33"/>
      <c r="N3646" s="33"/>
      <c r="O3646" s="33"/>
      <c r="P3646" s="33"/>
      <c r="Q3646" s="33"/>
      <c r="R3646" s="33"/>
      <c r="S3646" s="33"/>
      <c r="T3646" s="33"/>
      <c r="U3646" s="33"/>
      <c r="V3646" s="33"/>
      <c r="W3646" s="33"/>
      <c r="X3646" s="33"/>
      <c r="Y3646" s="33"/>
      <c r="Z3646" s="33"/>
      <c r="AA3646" s="33"/>
      <c r="AB3646" s="33"/>
      <c r="AC3646" s="33"/>
      <c r="AD3646" s="33"/>
      <c r="AE3646" s="33"/>
      <c r="AF3646" s="33"/>
      <c r="AG3646" s="33"/>
      <c r="AH3646" s="33"/>
      <c r="AI3646" s="33"/>
      <c r="AJ3646" s="33"/>
      <c r="AK3646" s="33"/>
    </row>
    <row r="3647">
      <c r="A3647" s="33"/>
      <c r="B3647" s="33"/>
      <c r="C3647" s="33"/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  <c r="Q3647" s="33"/>
      <c r="R3647" s="33"/>
      <c r="S3647" s="33"/>
      <c r="T3647" s="33"/>
      <c r="U3647" s="33"/>
      <c r="V3647" s="33"/>
      <c r="W3647" s="33"/>
      <c r="X3647" s="33"/>
      <c r="Y3647" s="33"/>
      <c r="Z3647" s="33"/>
      <c r="AA3647" s="33"/>
      <c r="AB3647" s="33"/>
      <c r="AC3647" s="33"/>
      <c r="AD3647" s="33"/>
      <c r="AE3647" s="33"/>
      <c r="AF3647" s="33"/>
      <c r="AG3647" s="33"/>
      <c r="AH3647" s="33"/>
      <c r="AI3647" s="33"/>
      <c r="AJ3647" s="33"/>
      <c r="AK3647" s="33"/>
    </row>
    <row r="3648">
      <c r="A3648" s="33"/>
      <c r="B3648" s="33"/>
      <c r="C3648" s="33"/>
      <c r="D3648" s="33"/>
      <c r="E3648" s="33"/>
      <c r="F3648" s="33"/>
      <c r="G3648" s="33"/>
      <c r="H3648" s="33"/>
      <c r="I3648" s="33"/>
      <c r="J3648" s="33"/>
      <c r="K3648" s="33"/>
      <c r="L3648" s="33"/>
      <c r="M3648" s="33"/>
      <c r="N3648" s="33"/>
      <c r="O3648" s="33"/>
      <c r="P3648" s="33"/>
      <c r="Q3648" s="33"/>
      <c r="R3648" s="33"/>
      <c r="S3648" s="33"/>
      <c r="T3648" s="33"/>
      <c r="U3648" s="33"/>
      <c r="V3648" s="33"/>
      <c r="W3648" s="33"/>
      <c r="X3648" s="33"/>
      <c r="Y3648" s="33"/>
      <c r="Z3648" s="33"/>
      <c r="AA3648" s="33"/>
      <c r="AB3648" s="33"/>
      <c r="AC3648" s="33"/>
      <c r="AD3648" s="33"/>
      <c r="AE3648" s="33"/>
      <c r="AF3648" s="33"/>
      <c r="AG3648" s="33"/>
      <c r="AH3648" s="33"/>
      <c r="AI3648" s="33"/>
      <c r="AJ3648" s="33"/>
      <c r="AK3648" s="33"/>
    </row>
    <row r="3649">
      <c r="A3649" s="33"/>
      <c r="B3649" s="33"/>
      <c r="C3649" s="33"/>
      <c r="D3649" s="33"/>
      <c r="E3649" s="33"/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33"/>
      <c r="Q3649" s="33"/>
      <c r="R3649" s="33"/>
      <c r="S3649" s="33"/>
      <c r="T3649" s="33"/>
      <c r="U3649" s="33"/>
      <c r="V3649" s="33"/>
      <c r="W3649" s="33"/>
      <c r="X3649" s="33"/>
      <c r="Y3649" s="33"/>
      <c r="Z3649" s="33"/>
      <c r="AA3649" s="33"/>
      <c r="AB3649" s="33"/>
      <c r="AC3649" s="33"/>
      <c r="AD3649" s="33"/>
      <c r="AE3649" s="33"/>
      <c r="AF3649" s="33"/>
      <c r="AG3649" s="33"/>
      <c r="AH3649" s="33"/>
      <c r="AI3649" s="33"/>
      <c r="AJ3649" s="33"/>
      <c r="AK3649" s="33"/>
    </row>
    <row r="3650">
      <c r="A3650" s="33"/>
      <c r="B3650" s="33"/>
      <c r="C3650" s="33"/>
      <c r="D3650" s="33"/>
      <c r="E3650" s="33"/>
      <c r="F3650" s="33"/>
      <c r="G3650" s="33"/>
      <c r="H3650" s="33"/>
      <c r="I3650" s="33"/>
      <c r="J3650" s="33"/>
      <c r="K3650" s="33"/>
      <c r="L3650" s="33"/>
      <c r="M3650" s="33"/>
      <c r="N3650" s="33"/>
      <c r="O3650" s="33"/>
      <c r="P3650" s="33"/>
      <c r="Q3650" s="33"/>
      <c r="R3650" s="33"/>
      <c r="S3650" s="33"/>
      <c r="T3650" s="33"/>
      <c r="U3650" s="33"/>
      <c r="V3650" s="33"/>
      <c r="W3650" s="33"/>
      <c r="X3650" s="33"/>
      <c r="Y3650" s="33"/>
      <c r="Z3650" s="33"/>
      <c r="AA3650" s="33"/>
      <c r="AB3650" s="33"/>
      <c r="AC3650" s="33"/>
      <c r="AD3650" s="33"/>
      <c r="AE3650" s="33"/>
      <c r="AF3650" s="33"/>
      <c r="AG3650" s="33"/>
      <c r="AH3650" s="33"/>
      <c r="AI3650" s="33"/>
      <c r="AJ3650" s="33"/>
      <c r="AK3650" s="33"/>
    </row>
    <row r="3651">
      <c r="A3651" s="33"/>
      <c r="B3651" s="33"/>
      <c r="C3651" s="33"/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  <c r="Q3651" s="33"/>
      <c r="R3651" s="33"/>
      <c r="S3651" s="33"/>
      <c r="T3651" s="33"/>
      <c r="U3651" s="33"/>
      <c r="V3651" s="33"/>
      <c r="W3651" s="33"/>
      <c r="X3651" s="33"/>
      <c r="Y3651" s="33"/>
      <c r="Z3651" s="33"/>
      <c r="AA3651" s="33"/>
      <c r="AB3651" s="33"/>
      <c r="AC3651" s="33"/>
      <c r="AD3651" s="33"/>
      <c r="AE3651" s="33"/>
      <c r="AF3651" s="33"/>
      <c r="AG3651" s="33"/>
      <c r="AH3651" s="33"/>
      <c r="AI3651" s="33"/>
      <c r="AJ3651" s="33"/>
      <c r="AK3651" s="33"/>
    </row>
    <row r="3652">
      <c r="A3652" s="33"/>
      <c r="B3652" s="33"/>
      <c r="C3652" s="33"/>
      <c r="D3652" s="33"/>
      <c r="E3652" s="33"/>
      <c r="F3652" s="33"/>
      <c r="G3652" s="33"/>
      <c r="H3652" s="33"/>
      <c r="I3652" s="33"/>
      <c r="J3652" s="33"/>
      <c r="K3652" s="33"/>
      <c r="L3652" s="33"/>
      <c r="M3652" s="33"/>
      <c r="N3652" s="33"/>
      <c r="O3652" s="33"/>
      <c r="P3652" s="33"/>
      <c r="Q3652" s="33"/>
      <c r="R3652" s="33"/>
      <c r="S3652" s="33"/>
      <c r="T3652" s="33"/>
      <c r="U3652" s="33"/>
      <c r="V3652" s="33"/>
      <c r="W3652" s="33"/>
      <c r="X3652" s="33"/>
      <c r="Y3652" s="33"/>
      <c r="Z3652" s="33"/>
      <c r="AA3652" s="33"/>
      <c r="AB3652" s="33"/>
      <c r="AC3652" s="33"/>
      <c r="AD3652" s="33"/>
      <c r="AE3652" s="33"/>
      <c r="AF3652" s="33"/>
      <c r="AG3652" s="33"/>
      <c r="AH3652" s="33"/>
      <c r="AI3652" s="33"/>
      <c r="AJ3652" s="33"/>
      <c r="AK3652" s="33"/>
    </row>
    <row r="3653">
      <c r="A3653" s="33"/>
      <c r="B3653" s="33"/>
      <c r="C3653" s="33"/>
      <c r="D3653" s="33"/>
      <c r="E3653" s="33"/>
      <c r="F3653" s="33"/>
      <c r="G3653" s="33"/>
      <c r="H3653" s="33"/>
      <c r="I3653" s="33"/>
      <c r="J3653" s="33"/>
      <c r="K3653" s="33"/>
      <c r="L3653" s="33"/>
      <c r="M3653" s="33"/>
      <c r="N3653" s="33"/>
      <c r="O3653" s="33"/>
      <c r="P3653" s="33"/>
      <c r="Q3653" s="33"/>
      <c r="R3653" s="33"/>
      <c r="S3653" s="33"/>
      <c r="T3653" s="33"/>
      <c r="U3653" s="33"/>
      <c r="V3653" s="33"/>
      <c r="W3653" s="33"/>
      <c r="X3653" s="33"/>
      <c r="Y3653" s="33"/>
      <c r="Z3653" s="33"/>
      <c r="AA3653" s="33"/>
      <c r="AB3653" s="33"/>
      <c r="AC3653" s="33"/>
      <c r="AD3653" s="33"/>
      <c r="AE3653" s="33"/>
      <c r="AF3653" s="33"/>
      <c r="AG3653" s="33"/>
      <c r="AH3653" s="33"/>
      <c r="AI3653" s="33"/>
      <c r="AJ3653" s="33"/>
      <c r="AK3653" s="33"/>
    </row>
    <row r="3654">
      <c r="A3654" s="33"/>
      <c r="B3654" s="33"/>
      <c r="C3654" s="33"/>
      <c r="D3654" s="33"/>
      <c r="E3654" s="33"/>
      <c r="F3654" s="33"/>
      <c r="G3654" s="33"/>
      <c r="H3654" s="33"/>
      <c r="I3654" s="33"/>
      <c r="J3654" s="33"/>
      <c r="K3654" s="33"/>
      <c r="L3654" s="33"/>
      <c r="M3654" s="33"/>
      <c r="N3654" s="33"/>
      <c r="O3654" s="33"/>
      <c r="P3654" s="33"/>
      <c r="Q3654" s="33"/>
      <c r="R3654" s="33"/>
      <c r="S3654" s="33"/>
      <c r="T3654" s="33"/>
      <c r="U3654" s="33"/>
      <c r="V3654" s="33"/>
      <c r="W3654" s="33"/>
      <c r="X3654" s="33"/>
      <c r="Y3654" s="33"/>
      <c r="Z3654" s="33"/>
      <c r="AA3654" s="33"/>
      <c r="AB3654" s="33"/>
      <c r="AC3654" s="33"/>
      <c r="AD3654" s="33"/>
      <c r="AE3654" s="33"/>
      <c r="AF3654" s="33"/>
      <c r="AG3654" s="33"/>
      <c r="AH3654" s="33"/>
      <c r="AI3654" s="33"/>
      <c r="AJ3654" s="33"/>
      <c r="AK3654" s="33"/>
    </row>
    <row r="3655">
      <c r="A3655" s="33"/>
      <c r="B3655" s="33"/>
      <c r="C3655" s="33"/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33"/>
      <c r="Q3655" s="33"/>
      <c r="R3655" s="33"/>
      <c r="S3655" s="33"/>
      <c r="T3655" s="33"/>
      <c r="U3655" s="33"/>
      <c r="V3655" s="33"/>
      <c r="W3655" s="33"/>
      <c r="X3655" s="33"/>
      <c r="Y3655" s="33"/>
      <c r="Z3655" s="33"/>
      <c r="AA3655" s="33"/>
      <c r="AB3655" s="33"/>
      <c r="AC3655" s="33"/>
      <c r="AD3655" s="33"/>
      <c r="AE3655" s="33"/>
      <c r="AF3655" s="33"/>
      <c r="AG3655" s="33"/>
      <c r="AH3655" s="33"/>
      <c r="AI3655" s="33"/>
      <c r="AJ3655" s="33"/>
      <c r="AK3655" s="33"/>
    </row>
    <row r="3656">
      <c r="A3656" s="33"/>
      <c r="B3656" s="33"/>
      <c r="C3656" s="33"/>
      <c r="D3656" s="33"/>
      <c r="E3656" s="33"/>
      <c r="F3656" s="33"/>
      <c r="G3656" s="33"/>
      <c r="H3656" s="33"/>
      <c r="I3656" s="33"/>
      <c r="J3656" s="33"/>
      <c r="K3656" s="33"/>
      <c r="L3656" s="33"/>
      <c r="M3656" s="33"/>
      <c r="N3656" s="33"/>
      <c r="O3656" s="33"/>
      <c r="P3656" s="33"/>
      <c r="Q3656" s="33"/>
      <c r="R3656" s="33"/>
      <c r="S3656" s="33"/>
      <c r="T3656" s="33"/>
      <c r="U3656" s="33"/>
      <c r="V3656" s="33"/>
      <c r="W3656" s="33"/>
      <c r="X3656" s="33"/>
      <c r="Y3656" s="33"/>
      <c r="Z3656" s="33"/>
      <c r="AA3656" s="33"/>
      <c r="AB3656" s="33"/>
      <c r="AC3656" s="33"/>
      <c r="AD3656" s="33"/>
      <c r="AE3656" s="33"/>
      <c r="AF3656" s="33"/>
      <c r="AG3656" s="33"/>
      <c r="AH3656" s="33"/>
      <c r="AI3656" s="33"/>
      <c r="AJ3656" s="33"/>
      <c r="AK3656" s="33"/>
    </row>
    <row r="3657">
      <c r="A3657" s="33"/>
      <c r="B3657" s="33"/>
      <c r="C3657" s="33"/>
      <c r="D3657" s="33"/>
      <c r="E3657" s="33"/>
      <c r="F3657" s="33"/>
      <c r="G3657" s="33"/>
      <c r="H3657" s="33"/>
      <c r="I3657" s="33"/>
      <c r="J3657" s="33"/>
      <c r="K3657" s="33"/>
      <c r="L3657" s="33"/>
      <c r="M3657" s="33"/>
      <c r="N3657" s="33"/>
      <c r="O3657" s="33"/>
      <c r="P3657" s="33"/>
      <c r="Q3657" s="33"/>
      <c r="R3657" s="33"/>
      <c r="S3657" s="33"/>
      <c r="T3657" s="33"/>
      <c r="U3657" s="33"/>
      <c r="V3657" s="33"/>
      <c r="W3657" s="33"/>
      <c r="X3657" s="33"/>
      <c r="Y3657" s="33"/>
      <c r="Z3657" s="33"/>
      <c r="AA3657" s="33"/>
      <c r="AB3657" s="33"/>
      <c r="AC3657" s="33"/>
      <c r="AD3657" s="33"/>
      <c r="AE3657" s="33"/>
      <c r="AF3657" s="33"/>
      <c r="AG3657" s="33"/>
      <c r="AH3657" s="33"/>
      <c r="AI3657" s="33"/>
      <c r="AJ3657" s="33"/>
      <c r="AK3657" s="33"/>
    </row>
    <row r="3658">
      <c r="A3658" s="33"/>
      <c r="B3658" s="33"/>
      <c r="C3658" s="33"/>
      <c r="D3658" s="33"/>
      <c r="E3658" s="33"/>
      <c r="F3658" s="33"/>
      <c r="G3658" s="33"/>
      <c r="H3658" s="33"/>
      <c r="I3658" s="33"/>
      <c r="J3658" s="33"/>
      <c r="K3658" s="33"/>
      <c r="L3658" s="33"/>
      <c r="M3658" s="33"/>
      <c r="N3658" s="33"/>
      <c r="O3658" s="33"/>
      <c r="P3658" s="33"/>
      <c r="Q3658" s="33"/>
      <c r="R3658" s="33"/>
      <c r="S3658" s="33"/>
      <c r="T3658" s="33"/>
      <c r="U3658" s="33"/>
      <c r="V3658" s="33"/>
      <c r="W3658" s="33"/>
      <c r="X3658" s="33"/>
      <c r="Y3658" s="33"/>
      <c r="Z3658" s="33"/>
      <c r="AA3658" s="33"/>
      <c r="AB3658" s="33"/>
      <c r="AC3658" s="33"/>
      <c r="AD3658" s="33"/>
      <c r="AE3658" s="33"/>
      <c r="AF3658" s="33"/>
      <c r="AG3658" s="33"/>
      <c r="AH3658" s="33"/>
      <c r="AI3658" s="33"/>
      <c r="AJ3658" s="33"/>
      <c r="AK3658" s="33"/>
    </row>
    <row r="3659">
      <c r="A3659" s="33"/>
      <c r="B3659" s="33"/>
      <c r="C3659" s="33"/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  <c r="Q3659" s="33"/>
      <c r="R3659" s="33"/>
      <c r="S3659" s="33"/>
      <c r="T3659" s="33"/>
      <c r="U3659" s="33"/>
      <c r="V3659" s="33"/>
      <c r="W3659" s="33"/>
      <c r="X3659" s="33"/>
      <c r="Y3659" s="33"/>
      <c r="Z3659" s="33"/>
      <c r="AA3659" s="33"/>
      <c r="AB3659" s="33"/>
      <c r="AC3659" s="33"/>
      <c r="AD3659" s="33"/>
      <c r="AE3659" s="33"/>
      <c r="AF3659" s="33"/>
      <c r="AG3659" s="33"/>
      <c r="AH3659" s="33"/>
      <c r="AI3659" s="33"/>
      <c r="AJ3659" s="33"/>
      <c r="AK3659" s="33"/>
    </row>
    <row r="3660">
      <c r="A3660" s="33"/>
      <c r="B3660" s="33"/>
      <c r="C3660" s="33"/>
      <c r="D3660" s="33"/>
      <c r="E3660" s="33"/>
      <c r="F3660" s="33"/>
      <c r="G3660" s="33"/>
      <c r="H3660" s="33"/>
      <c r="I3660" s="33"/>
      <c r="J3660" s="33"/>
      <c r="K3660" s="33"/>
      <c r="L3660" s="33"/>
      <c r="M3660" s="33"/>
      <c r="N3660" s="33"/>
      <c r="O3660" s="33"/>
      <c r="P3660" s="33"/>
      <c r="Q3660" s="33"/>
      <c r="R3660" s="33"/>
      <c r="S3660" s="33"/>
      <c r="T3660" s="33"/>
      <c r="U3660" s="33"/>
      <c r="V3660" s="33"/>
      <c r="W3660" s="33"/>
      <c r="X3660" s="33"/>
      <c r="Y3660" s="33"/>
      <c r="Z3660" s="33"/>
      <c r="AA3660" s="33"/>
      <c r="AB3660" s="33"/>
      <c r="AC3660" s="33"/>
      <c r="AD3660" s="33"/>
      <c r="AE3660" s="33"/>
      <c r="AF3660" s="33"/>
      <c r="AG3660" s="33"/>
      <c r="AH3660" s="33"/>
      <c r="AI3660" s="33"/>
      <c r="AJ3660" s="33"/>
      <c r="AK3660" s="33"/>
    </row>
    <row r="3661">
      <c r="A3661" s="33"/>
      <c r="B3661" s="33"/>
      <c r="C3661" s="33"/>
      <c r="D3661" s="33"/>
      <c r="E3661" s="33"/>
      <c r="F3661" s="33"/>
      <c r="G3661" s="33"/>
      <c r="H3661" s="33"/>
      <c r="I3661" s="33"/>
      <c r="J3661" s="33"/>
      <c r="K3661" s="33"/>
      <c r="L3661" s="33"/>
      <c r="M3661" s="33"/>
      <c r="N3661" s="33"/>
      <c r="O3661" s="33"/>
      <c r="P3661" s="33"/>
      <c r="Q3661" s="33"/>
      <c r="R3661" s="33"/>
      <c r="S3661" s="33"/>
      <c r="T3661" s="33"/>
      <c r="U3661" s="33"/>
      <c r="V3661" s="33"/>
      <c r="W3661" s="33"/>
      <c r="X3661" s="33"/>
      <c r="Y3661" s="33"/>
      <c r="Z3661" s="33"/>
      <c r="AA3661" s="33"/>
      <c r="AB3661" s="33"/>
      <c r="AC3661" s="33"/>
      <c r="AD3661" s="33"/>
      <c r="AE3661" s="33"/>
      <c r="AF3661" s="33"/>
      <c r="AG3661" s="33"/>
      <c r="AH3661" s="33"/>
      <c r="AI3661" s="33"/>
      <c r="AJ3661" s="33"/>
      <c r="AK3661" s="33"/>
    </row>
    <row r="3662">
      <c r="A3662" s="33"/>
      <c r="B3662" s="33"/>
      <c r="C3662" s="33"/>
      <c r="D3662" s="33"/>
      <c r="E3662" s="33"/>
      <c r="F3662" s="33"/>
      <c r="G3662" s="33"/>
      <c r="H3662" s="33"/>
      <c r="I3662" s="33"/>
      <c r="J3662" s="33"/>
      <c r="K3662" s="33"/>
      <c r="L3662" s="33"/>
      <c r="M3662" s="33"/>
      <c r="N3662" s="33"/>
      <c r="O3662" s="33"/>
      <c r="P3662" s="33"/>
      <c r="Q3662" s="33"/>
      <c r="R3662" s="33"/>
      <c r="S3662" s="33"/>
      <c r="T3662" s="33"/>
      <c r="U3662" s="33"/>
      <c r="V3662" s="33"/>
      <c r="W3662" s="33"/>
      <c r="X3662" s="33"/>
      <c r="Y3662" s="33"/>
      <c r="Z3662" s="33"/>
      <c r="AA3662" s="33"/>
      <c r="AB3662" s="33"/>
      <c r="AC3662" s="33"/>
      <c r="AD3662" s="33"/>
      <c r="AE3662" s="33"/>
      <c r="AF3662" s="33"/>
      <c r="AG3662" s="33"/>
      <c r="AH3662" s="33"/>
      <c r="AI3662" s="33"/>
      <c r="AJ3662" s="33"/>
      <c r="AK3662" s="33"/>
    </row>
    <row r="3663">
      <c r="A3663" s="33"/>
      <c r="B3663" s="33"/>
      <c r="C3663" s="33"/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  <c r="Q3663" s="33"/>
      <c r="R3663" s="33"/>
      <c r="S3663" s="33"/>
      <c r="T3663" s="33"/>
      <c r="U3663" s="33"/>
      <c r="V3663" s="33"/>
      <c r="W3663" s="33"/>
      <c r="X3663" s="33"/>
      <c r="Y3663" s="33"/>
      <c r="Z3663" s="33"/>
      <c r="AA3663" s="33"/>
      <c r="AB3663" s="33"/>
      <c r="AC3663" s="33"/>
      <c r="AD3663" s="33"/>
      <c r="AE3663" s="33"/>
      <c r="AF3663" s="33"/>
      <c r="AG3663" s="33"/>
      <c r="AH3663" s="33"/>
      <c r="AI3663" s="33"/>
      <c r="AJ3663" s="33"/>
      <c r="AK3663" s="33"/>
    </row>
    <row r="3664">
      <c r="A3664" s="33"/>
      <c r="B3664" s="33"/>
      <c r="C3664" s="33"/>
      <c r="D3664" s="33"/>
      <c r="E3664" s="33"/>
      <c r="F3664" s="33"/>
      <c r="G3664" s="33"/>
      <c r="H3664" s="33"/>
      <c r="I3664" s="33"/>
      <c r="J3664" s="33"/>
      <c r="K3664" s="33"/>
      <c r="L3664" s="33"/>
      <c r="M3664" s="33"/>
      <c r="N3664" s="33"/>
      <c r="O3664" s="33"/>
      <c r="P3664" s="33"/>
      <c r="Q3664" s="33"/>
      <c r="R3664" s="33"/>
      <c r="S3664" s="33"/>
      <c r="T3664" s="33"/>
      <c r="U3664" s="33"/>
      <c r="V3664" s="33"/>
      <c r="W3664" s="33"/>
      <c r="X3664" s="33"/>
      <c r="Y3664" s="33"/>
      <c r="Z3664" s="33"/>
      <c r="AA3664" s="33"/>
      <c r="AB3664" s="33"/>
      <c r="AC3664" s="33"/>
      <c r="AD3664" s="33"/>
      <c r="AE3664" s="33"/>
      <c r="AF3664" s="33"/>
      <c r="AG3664" s="33"/>
      <c r="AH3664" s="33"/>
      <c r="AI3664" s="33"/>
      <c r="AJ3664" s="33"/>
      <c r="AK3664" s="33"/>
    </row>
    <row r="3665">
      <c r="A3665" s="33"/>
      <c r="B3665" s="33"/>
      <c r="C3665" s="33"/>
      <c r="D3665" s="33"/>
      <c r="E3665" s="33"/>
      <c r="F3665" s="33"/>
      <c r="G3665" s="33"/>
      <c r="H3665" s="33"/>
      <c r="I3665" s="33"/>
      <c r="J3665" s="33"/>
      <c r="K3665" s="33"/>
      <c r="L3665" s="33"/>
      <c r="M3665" s="33"/>
      <c r="N3665" s="33"/>
      <c r="O3665" s="33"/>
      <c r="P3665" s="33"/>
      <c r="Q3665" s="33"/>
      <c r="R3665" s="33"/>
      <c r="S3665" s="33"/>
      <c r="T3665" s="33"/>
      <c r="U3665" s="33"/>
      <c r="V3665" s="33"/>
      <c r="W3665" s="33"/>
      <c r="X3665" s="33"/>
      <c r="Y3665" s="33"/>
      <c r="Z3665" s="33"/>
      <c r="AA3665" s="33"/>
      <c r="AB3665" s="33"/>
      <c r="AC3665" s="33"/>
      <c r="AD3665" s="33"/>
      <c r="AE3665" s="33"/>
      <c r="AF3665" s="33"/>
      <c r="AG3665" s="33"/>
      <c r="AH3665" s="33"/>
      <c r="AI3665" s="33"/>
      <c r="AJ3665" s="33"/>
      <c r="AK3665" s="33"/>
    </row>
    <row r="3666">
      <c r="A3666" s="33"/>
      <c r="B3666" s="33"/>
      <c r="C3666" s="33"/>
      <c r="D3666" s="33"/>
      <c r="E3666" s="33"/>
      <c r="F3666" s="33"/>
      <c r="G3666" s="33"/>
      <c r="H3666" s="33"/>
      <c r="I3666" s="33"/>
      <c r="J3666" s="33"/>
      <c r="K3666" s="33"/>
      <c r="L3666" s="33"/>
      <c r="M3666" s="33"/>
      <c r="N3666" s="33"/>
      <c r="O3666" s="33"/>
      <c r="P3666" s="33"/>
      <c r="Q3666" s="33"/>
      <c r="R3666" s="33"/>
      <c r="S3666" s="33"/>
      <c r="T3666" s="33"/>
      <c r="U3666" s="33"/>
      <c r="V3666" s="33"/>
      <c r="W3666" s="33"/>
      <c r="X3666" s="33"/>
      <c r="Y3666" s="33"/>
      <c r="Z3666" s="33"/>
      <c r="AA3666" s="33"/>
      <c r="AB3666" s="33"/>
      <c r="AC3666" s="33"/>
      <c r="AD3666" s="33"/>
      <c r="AE3666" s="33"/>
      <c r="AF3666" s="33"/>
      <c r="AG3666" s="33"/>
      <c r="AH3666" s="33"/>
      <c r="AI3666" s="33"/>
      <c r="AJ3666" s="33"/>
      <c r="AK3666" s="33"/>
    </row>
    <row r="3667">
      <c r="A3667" s="33"/>
      <c r="B3667" s="33"/>
      <c r="C3667" s="33"/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  <c r="Q3667" s="33"/>
      <c r="R3667" s="33"/>
      <c r="S3667" s="33"/>
      <c r="T3667" s="33"/>
      <c r="U3667" s="33"/>
      <c r="V3667" s="33"/>
      <c r="W3667" s="33"/>
      <c r="X3667" s="33"/>
      <c r="Y3667" s="33"/>
      <c r="Z3667" s="33"/>
      <c r="AA3667" s="33"/>
      <c r="AB3667" s="33"/>
      <c r="AC3667" s="33"/>
      <c r="AD3667" s="33"/>
      <c r="AE3667" s="33"/>
      <c r="AF3667" s="33"/>
      <c r="AG3667" s="33"/>
      <c r="AH3667" s="33"/>
      <c r="AI3667" s="33"/>
      <c r="AJ3667" s="33"/>
      <c r="AK3667" s="33"/>
    </row>
    <row r="3668">
      <c r="A3668" s="33"/>
      <c r="B3668" s="33"/>
      <c r="C3668" s="33"/>
      <c r="D3668" s="33"/>
      <c r="E3668" s="33"/>
      <c r="F3668" s="33"/>
      <c r="G3668" s="33"/>
      <c r="H3668" s="33"/>
      <c r="I3668" s="33"/>
      <c r="J3668" s="33"/>
      <c r="K3668" s="33"/>
      <c r="L3668" s="33"/>
      <c r="M3668" s="33"/>
      <c r="N3668" s="33"/>
      <c r="O3668" s="33"/>
      <c r="P3668" s="33"/>
      <c r="Q3668" s="33"/>
      <c r="R3668" s="33"/>
      <c r="S3668" s="33"/>
      <c r="T3668" s="33"/>
      <c r="U3668" s="33"/>
      <c r="V3668" s="33"/>
      <c r="W3668" s="33"/>
      <c r="X3668" s="33"/>
      <c r="Y3668" s="33"/>
      <c r="Z3668" s="33"/>
      <c r="AA3668" s="33"/>
      <c r="AB3668" s="33"/>
      <c r="AC3668" s="33"/>
      <c r="AD3668" s="33"/>
      <c r="AE3668" s="33"/>
      <c r="AF3668" s="33"/>
      <c r="AG3668" s="33"/>
      <c r="AH3668" s="33"/>
      <c r="AI3668" s="33"/>
      <c r="AJ3668" s="33"/>
      <c r="AK3668" s="33"/>
    </row>
    <row r="3669">
      <c r="A3669" s="33"/>
      <c r="B3669" s="33"/>
      <c r="C3669" s="33"/>
      <c r="D3669" s="33"/>
      <c r="E3669" s="33"/>
      <c r="F3669" s="33"/>
      <c r="G3669" s="33"/>
      <c r="H3669" s="33"/>
      <c r="I3669" s="33"/>
      <c r="J3669" s="33"/>
      <c r="K3669" s="33"/>
      <c r="L3669" s="33"/>
      <c r="M3669" s="33"/>
      <c r="N3669" s="33"/>
      <c r="O3669" s="33"/>
      <c r="P3669" s="33"/>
      <c r="Q3669" s="33"/>
      <c r="R3669" s="33"/>
      <c r="S3669" s="33"/>
      <c r="T3669" s="33"/>
      <c r="U3669" s="33"/>
      <c r="V3669" s="33"/>
      <c r="W3669" s="33"/>
      <c r="X3669" s="33"/>
      <c r="Y3669" s="33"/>
      <c r="Z3669" s="33"/>
      <c r="AA3669" s="33"/>
      <c r="AB3669" s="33"/>
      <c r="AC3669" s="33"/>
      <c r="AD3669" s="33"/>
      <c r="AE3669" s="33"/>
      <c r="AF3669" s="33"/>
      <c r="AG3669" s="33"/>
      <c r="AH3669" s="33"/>
      <c r="AI3669" s="33"/>
      <c r="AJ3669" s="33"/>
      <c r="AK3669" s="33"/>
    </row>
    <row r="3670">
      <c r="A3670" s="33"/>
      <c r="B3670" s="33"/>
      <c r="C3670" s="33"/>
      <c r="D3670" s="33"/>
      <c r="E3670" s="33"/>
      <c r="F3670" s="33"/>
      <c r="G3670" s="33"/>
      <c r="H3670" s="33"/>
      <c r="I3670" s="33"/>
      <c r="J3670" s="33"/>
      <c r="K3670" s="33"/>
      <c r="L3670" s="33"/>
      <c r="M3670" s="33"/>
      <c r="N3670" s="33"/>
      <c r="O3670" s="33"/>
      <c r="P3670" s="33"/>
      <c r="Q3670" s="33"/>
      <c r="R3670" s="33"/>
      <c r="S3670" s="33"/>
      <c r="T3670" s="33"/>
      <c r="U3670" s="33"/>
      <c r="V3670" s="33"/>
      <c r="W3670" s="33"/>
      <c r="X3670" s="33"/>
      <c r="Y3670" s="33"/>
      <c r="Z3670" s="33"/>
      <c r="AA3670" s="33"/>
      <c r="AB3670" s="33"/>
      <c r="AC3670" s="33"/>
      <c r="AD3670" s="33"/>
      <c r="AE3670" s="33"/>
      <c r="AF3670" s="33"/>
      <c r="AG3670" s="33"/>
      <c r="AH3670" s="33"/>
      <c r="AI3670" s="33"/>
      <c r="AJ3670" s="33"/>
      <c r="AK3670" s="33"/>
    </row>
    <row r="3671">
      <c r="A3671" s="33"/>
      <c r="B3671" s="33"/>
      <c r="C3671" s="33"/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  <c r="Q3671" s="33"/>
      <c r="R3671" s="33"/>
      <c r="S3671" s="33"/>
      <c r="T3671" s="33"/>
      <c r="U3671" s="33"/>
      <c r="V3671" s="33"/>
      <c r="W3671" s="33"/>
      <c r="X3671" s="33"/>
      <c r="Y3671" s="33"/>
      <c r="Z3671" s="33"/>
      <c r="AA3671" s="33"/>
      <c r="AB3671" s="33"/>
      <c r="AC3671" s="33"/>
      <c r="AD3671" s="33"/>
      <c r="AE3671" s="33"/>
      <c r="AF3671" s="33"/>
      <c r="AG3671" s="33"/>
      <c r="AH3671" s="33"/>
      <c r="AI3671" s="33"/>
      <c r="AJ3671" s="33"/>
      <c r="AK3671" s="33"/>
    </row>
    <row r="3672">
      <c r="A3672" s="33"/>
      <c r="B3672" s="33"/>
      <c r="C3672" s="33"/>
      <c r="D3672" s="33"/>
      <c r="E3672" s="33"/>
      <c r="F3672" s="33"/>
      <c r="G3672" s="33"/>
      <c r="H3672" s="33"/>
      <c r="I3672" s="33"/>
      <c r="J3672" s="33"/>
      <c r="K3672" s="33"/>
      <c r="L3672" s="33"/>
      <c r="M3672" s="33"/>
      <c r="N3672" s="33"/>
      <c r="O3672" s="33"/>
      <c r="P3672" s="33"/>
      <c r="Q3672" s="33"/>
      <c r="R3672" s="33"/>
      <c r="S3672" s="33"/>
      <c r="T3672" s="33"/>
      <c r="U3672" s="33"/>
      <c r="V3672" s="33"/>
      <c r="W3672" s="33"/>
      <c r="X3672" s="33"/>
      <c r="Y3672" s="33"/>
      <c r="Z3672" s="33"/>
      <c r="AA3672" s="33"/>
      <c r="AB3672" s="33"/>
      <c r="AC3672" s="33"/>
      <c r="AD3672" s="33"/>
      <c r="AE3672" s="33"/>
      <c r="AF3672" s="33"/>
      <c r="AG3672" s="33"/>
      <c r="AH3672" s="33"/>
      <c r="AI3672" s="33"/>
      <c r="AJ3672" s="33"/>
      <c r="AK3672" s="33"/>
    </row>
    <row r="3673">
      <c r="A3673" s="33"/>
      <c r="B3673" s="33"/>
      <c r="C3673" s="33"/>
      <c r="D3673" s="33"/>
      <c r="E3673" s="33"/>
      <c r="F3673" s="33"/>
      <c r="G3673" s="33"/>
      <c r="H3673" s="33"/>
      <c r="I3673" s="33"/>
      <c r="J3673" s="33"/>
      <c r="K3673" s="33"/>
      <c r="L3673" s="33"/>
      <c r="M3673" s="33"/>
      <c r="N3673" s="33"/>
      <c r="O3673" s="33"/>
      <c r="P3673" s="33"/>
      <c r="Q3673" s="33"/>
      <c r="R3673" s="33"/>
      <c r="S3673" s="33"/>
      <c r="T3673" s="33"/>
      <c r="U3673" s="33"/>
      <c r="V3673" s="33"/>
      <c r="W3673" s="33"/>
      <c r="X3673" s="33"/>
      <c r="Y3673" s="33"/>
      <c r="Z3673" s="33"/>
      <c r="AA3673" s="33"/>
      <c r="AB3673" s="33"/>
      <c r="AC3673" s="33"/>
      <c r="AD3673" s="33"/>
      <c r="AE3673" s="33"/>
      <c r="AF3673" s="33"/>
      <c r="AG3673" s="33"/>
      <c r="AH3673" s="33"/>
      <c r="AI3673" s="33"/>
      <c r="AJ3673" s="33"/>
      <c r="AK3673" s="33"/>
    </row>
    <row r="3674">
      <c r="A3674" s="33"/>
      <c r="B3674" s="33"/>
      <c r="C3674" s="33"/>
      <c r="D3674" s="33"/>
      <c r="E3674" s="33"/>
      <c r="F3674" s="33"/>
      <c r="G3674" s="33"/>
      <c r="H3674" s="33"/>
      <c r="I3674" s="33"/>
      <c r="J3674" s="33"/>
      <c r="K3674" s="33"/>
      <c r="L3674" s="33"/>
      <c r="M3674" s="33"/>
      <c r="N3674" s="33"/>
      <c r="O3674" s="33"/>
      <c r="P3674" s="33"/>
      <c r="Q3674" s="33"/>
      <c r="R3674" s="33"/>
      <c r="S3674" s="33"/>
      <c r="T3674" s="33"/>
      <c r="U3674" s="33"/>
      <c r="V3674" s="33"/>
      <c r="W3674" s="33"/>
      <c r="X3674" s="33"/>
      <c r="Y3674" s="33"/>
      <c r="Z3674" s="33"/>
      <c r="AA3674" s="33"/>
      <c r="AB3674" s="33"/>
      <c r="AC3674" s="33"/>
      <c r="AD3674" s="33"/>
      <c r="AE3674" s="33"/>
      <c r="AF3674" s="33"/>
      <c r="AG3674" s="33"/>
      <c r="AH3674" s="33"/>
      <c r="AI3674" s="33"/>
      <c r="AJ3674" s="33"/>
      <c r="AK3674" s="33"/>
    </row>
    <row r="3675">
      <c r="A3675" s="33"/>
      <c r="B3675" s="33"/>
      <c r="C3675" s="33"/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  <c r="Q3675" s="33"/>
      <c r="R3675" s="33"/>
      <c r="S3675" s="33"/>
      <c r="T3675" s="33"/>
      <c r="U3675" s="33"/>
      <c r="V3675" s="33"/>
      <c r="W3675" s="33"/>
      <c r="X3675" s="33"/>
      <c r="Y3675" s="33"/>
      <c r="Z3675" s="33"/>
      <c r="AA3675" s="33"/>
      <c r="AB3675" s="33"/>
      <c r="AC3675" s="33"/>
      <c r="AD3675" s="33"/>
      <c r="AE3675" s="33"/>
      <c r="AF3675" s="33"/>
      <c r="AG3675" s="33"/>
      <c r="AH3675" s="33"/>
      <c r="AI3675" s="33"/>
      <c r="AJ3675" s="33"/>
      <c r="AK3675" s="33"/>
    </row>
    <row r="3676">
      <c r="A3676" s="33"/>
      <c r="B3676" s="33"/>
      <c r="C3676" s="33"/>
      <c r="D3676" s="33"/>
      <c r="E3676" s="33"/>
      <c r="F3676" s="33"/>
      <c r="G3676" s="33"/>
      <c r="H3676" s="33"/>
      <c r="I3676" s="33"/>
      <c r="J3676" s="33"/>
      <c r="K3676" s="33"/>
      <c r="L3676" s="33"/>
      <c r="M3676" s="33"/>
      <c r="N3676" s="33"/>
      <c r="O3676" s="33"/>
      <c r="P3676" s="33"/>
      <c r="Q3676" s="33"/>
      <c r="R3676" s="33"/>
      <c r="S3676" s="33"/>
      <c r="T3676" s="33"/>
      <c r="U3676" s="33"/>
      <c r="V3676" s="33"/>
      <c r="W3676" s="33"/>
      <c r="X3676" s="33"/>
      <c r="Y3676" s="33"/>
      <c r="Z3676" s="33"/>
      <c r="AA3676" s="33"/>
      <c r="AB3676" s="33"/>
      <c r="AC3676" s="33"/>
      <c r="AD3676" s="33"/>
      <c r="AE3676" s="33"/>
      <c r="AF3676" s="33"/>
      <c r="AG3676" s="33"/>
      <c r="AH3676" s="33"/>
      <c r="AI3676" s="33"/>
      <c r="AJ3676" s="33"/>
      <c r="AK3676" s="33"/>
    </row>
    <row r="3677">
      <c r="A3677" s="33"/>
      <c r="B3677" s="33"/>
      <c r="C3677" s="33"/>
      <c r="D3677" s="33"/>
      <c r="E3677" s="33"/>
      <c r="F3677" s="33"/>
      <c r="G3677" s="33"/>
      <c r="H3677" s="33"/>
      <c r="I3677" s="33"/>
      <c r="J3677" s="33"/>
      <c r="K3677" s="33"/>
      <c r="L3677" s="33"/>
      <c r="M3677" s="33"/>
      <c r="N3677" s="33"/>
      <c r="O3677" s="33"/>
      <c r="P3677" s="33"/>
      <c r="Q3677" s="33"/>
      <c r="R3677" s="33"/>
      <c r="S3677" s="33"/>
      <c r="T3677" s="33"/>
      <c r="U3677" s="33"/>
      <c r="V3677" s="33"/>
      <c r="W3677" s="33"/>
      <c r="X3677" s="33"/>
      <c r="Y3677" s="33"/>
      <c r="Z3677" s="33"/>
      <c r="AA3677" s="33"/>
      <c r="AB3677" s="33"/>
      <c r="AC3677" s="33"/>
      <c r="AD3677" s="33"/>
      <c r="AE3677" s="33"/>
      <c r="AF3677" s="33"/>
      <c r="AG3677" s="33"/>
      <c r="AH3677" s="33"/>
      <c r="AI3677" s="33"/>
      <c r="AJ3677" s="33"/>
      <c r="AK3677" s="33"/>
    </row>
    <row r="3678">
      <c r="A3678" s="33"/>
      <c r="B3678" s="33"/>
      <c r="C3678" s="33"/>
      <c r="D3678" s="33"/>
      <c r="E3678" s="33"/>
      <c r="F3678" s="33"/>
      <c r="G3678" s="33"/>
      <c r="H3678" s="33"/>
      <c r="I3678" s="33"/>
      <c r="J3678" s="33"/>
      <c r="K3678" s="33"/>
      <c r="L3678" s="33"/>
      <c r="M3678" s="33"/>
      <c r="N3678" s="33"/>
      <c r="O3678" s="33"/>
      <c r="P3678" s="33"/>
      <c r="Q3678" s="33"/>
      <c r="R3678" s="33"/>
      <c r="S3678" s="33"/>
      <c r="T3678" s="33"/>
      <c r="U3678" s="33"/>
      <c r="V3678" s="33"/>
      <c r="W3678" s="33"/>
      <c r="X3678" s="33"/>
      <c r="Y3678" s="33"/>
      <c r="Z3678" s="33"/>
      <c r="AA3678" s="33"/>
      <c r="AB3678" s="33"/>
      <c r="AC3678" s="33"/>
      <c r="AD3678" s="33"/>
      <c r="AE3678" s="33"/>
      <c r="AF3678" s="33"/>
      <c r="AG3678" s="33"/>
      <c r="AH3678" s="33"/>
      <c r="AI3678" s="33"/>
      <c r="AJ3678" s="33"/>
      <c r="AK3678" s="33"/>
    </row>
    <row r="3679">
      <c r="A3679" s="33"/>
      <c r="B3679" s="33"/>
      <c r="C3679" s="33"/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  <c r="R3679" s="33"/>
      <c r="S3679" s="33"/>
      <c r="T3679" s="33"/>
      <c r="U3679" s="33"/>
      <c r="V3679" s="33"/>
      <c r="W3679" s="33"/>
      <c r="X3679" s="33"/>
      <c r="Y3679" s="33"/>
      <c r="Z3679" s="33"/>
      <c r="AA3679" s="33"/>
      <c r="AB3679" s="33"/>
      <c r="AC3679" s="33"/>
      <c r="AD3679" s="33"/>
      <c r="AE3679" s="33"/>
      <c r="AF3679" s="33"/>
      <c r="AG3679" s="33"/>
      <c r="AH3679" s="33"/>
      <c r="AI3679" s="33"/>
      <c r="AJ3679" s="33"/>
      <c r="AK3679" s="33"/>
    </row>
    <row r="3680">
      <c r="A3680" s="33"/>
      <c r="B3680" s="33"/>
      <c r="C3680" s="33"/>
      <c r="D3680" s="33"/>
      <c r="E3680" s="33"/>
      <c r="F3680" s="33"/>
      <c r="G3680" s="33"/>
      <c r="H3680" s="33"/>
      <c r="I3680" s="33"/>
      <c r="J3680" s="33"/>
      <c r="K3680" s="33"/>
      <c r="L3680" s="33"/>
      <c r="M3680" s="33"/>
      <c r="N3680" s="33"/>
      <c r="O3680" s="33"/>
      <c r="P3680" s="33"/>
      <c r="Q3680" s="33"/>
      <c r="R3680" s="33"/>
      <c r="S3680" s="33"/>
      <c r="T3680" s="33"/>
      <c r="U3680" s="33"/>
      <c r="V3680" s="33"/>
      <c r="W3680" s="33"/>
      <c r="X3680" s="33"/>
      <c r="Y3680" s="33"/>
      <c r="Z3680" s="33"/>
      <c r="AA3680" s="33"/>
      <c r="AB3680" s="33"/>
      <c r="AC3680" s="33"/>
      <c r="AD3680" s="33"/>
      <c r="AE3680" s="33"/>
      <c r="AF3680" s="33"/>
      <c r="AG3680" s="33"/>
      <c r="AH3680" s="33"/>
      <c r="AI3680" s="33"/>
      <c r="AJ3680" s="33"/>
      <c r="AK3680" s="33"/>
    </row>
    <row r="3681">
      <c r="A3681" s="33"/>
      <c r="B3681" s="33"/>
      <c r="C3681" s="33"/>
      <c r="D3681" s="33"/>
      <c r="E3681" s="33"/>
      <c r="F3681" s="33"/>
      <c r="G3681" s="33"/>
      <c r="H3681" s="33"/>
      <c r="I3681" s="33"/>
      <c r="J3681" s="33"/>
      <c r="K3681" s="33"/>
      <c r="L3681" s="33"/>
      <c r="M3681" s="33"/>
      <c r="N3681" s="33"/>
      <c r="O3681" s="33"/>
      <c r="P3681" s="33"/>
      <c r="Q3681" s="33"/>
      <c r="R3681" s="33"/>
      <c r="S3681" s="33"/>
      <c r="T3681" s="33"/>
      <c r="U3681" s="33"/>
      <c r="V3681" s="33"/>
      <c r="W3681" s="33"/>
      <c r="X3681" s="33"/>
      <c r="Y3681" s="33"/>
      <c r="Z3681" s="33"/>
      <c r="AA3681" s="33"/>
      <c r="AB3681" s="33"/>
      <c r="AC3681" s="33"/>
      <c r="AD3681" s="33"/>
      <c r="AE3681" s="33"/>
      <c r="AF3681" s="33"/>
      <c r="AG3681" s="33"/>
      <c r="AH3681" s="33"/>
      <c r="AI3681" s="33"/>
      <c r="AJ3681" s="33"/>
      <c r="AK3681" s="33"/>
    </row>
    <row r="3682">
      <c r="A3682" s="33"/>
      <c r="B3682" s="33"/>
      <c r="C3682" s="33"/>
      <c r="D3682" s="33"/>
      <c r="E3682" s="33"/>
      <c r="F3682" s="33"/>
      <c r="G3682" s="33"/>
      <c r="H3682" s="33"/>
      <c r="I3682" s="33"/>
      <c r="J3682" s="33"/>
      <c r="K3682" s="33"/>
      <c r="L3682" s="33"/>
      <c r="M3682" s="33"/>
      <c r="N3682" s="33"/>
      <c r="O3682" s="33"/>
      <c r="P3682" s="33"/>
      <c r="Q3682" s="33"/>
      <c r="R3682" s="33"/>
      <c r="S3682" s="33"/>
      <c r="T3682" s="33"/>
      <c r="U3682" s="33"/>
      <c r="V3682" s="33"/>
      <c r="W3682" s="33"/>
      <c r="X3682" s="33"/>
      <c r="Y3682" s="33"/>
      <c r="Z3682" s="33"/>
      <c r="AA3682" s="33"/>
      <c r="AB3682" s="33"/>
      <c r="AC3682" s="33"/>
      <c r="AD3682" s="33"/>
      <c r="AE3682" s="33"/>
      <c r="AF3682" s="33"/>
      <c r="AG3682" s="33"/>
      <c r="AH3682" s="33"/>
      <c r="AI3682" s="33"/>
      <c r="AJ3682" s="33"/>
      <c r="AK3682" s="33"/>
    </row>
    <row r="3683">
      <c r="A3683" s="33"/>
      <c r="B3683" s="33"/>
      <c r="C3683" s="33"/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  <c r="Q3683" s="33"/>
      <c r="R3683" s="33"/>
      <c r="S3683" s="33"/>
      <c r="T3683" s="33"/>
      <c r="U3683" s="33"/>
      <c r="V3683" s="33"/>
      <c r="W3683" s="33"/>
      <c r="X3683" s="33"/>
      <c r="Y3683" s="33"/>
      <c r="Z3683" s="33"/>
      <c r="AA3683" s="33"/>
      <c r="AB3683" s="33"/>
      <c r="AC3683" s="33"/>
      <c r="AD3683" s="33"/>
      <c r="AE3683" s="33"/>
      <c r="AF3683" s="33"/>
      <c r="AG3683" s="33"/>
      <c r="AH3683" s="33"/>
      <c r="AI3683" s="33"/>
      <c r="AJ3683" s="33"/>
      <c r="AK3683" s="33"/>
    </row>
    <row r="3684">
      <c r="A3684" s="33"/>
      <c r="B3684" s="33"/>
      <c r="C3684" s="33"/>
      <c r="D3684" s="33"/>
      <c r="E3684" s="33"/>
      <c r="F3684" s="33"/>
      <c r="G3684" s="33"/>
      <c r="H3684" s="33"/>
      <c r="I3684" s="33"/>
      <c r="J3684" s="33"/>
      <c r="K3684" s="33"/>
      <c r="L3684" s="33"/>
      <c r="M3684" s="33"/>
      <c r="N3684" s="33"/>
      <c r="O3684" s="33"/>
      <c r="P3684" s="33"/>
      <c r="Q3684" s="33"/>
      <c r="R3684" s="33"/>
      <c r="S3684" s="33"/>
      <c r="T3684" s="33"/>
      <c r="U3684" s="33"/>
      <c r="V3684" s="33"/>
      <c r="W3684" s="33"/>
      <c r="X3684" s="33"/>
      <c r="Y3684" s="33"/>
      <c r="Z3684" s="33"/>
      <c r="AA3684" s="33"/>
      <c r="AB3684" s="33"/>
      <c r="AC3684" s="33"/>
      <c r="AD3684" s="33"/>
      <c r="AE3684" s="33"/>
      <c r="AF3684" s="33"/>
      <c r="AG3684" s="33"/>
      <c r="AH3684" s="33"/>
      <c r="AI3684" s="33"/>
      <c r="AJ3684" s="33"/>
      <c r="AK3684" s="33"/>
    </row>
    <row r="3685">
      <c r="A3685" s="33"/>
      <c r="B3685" s="33"/>
      <c r="C3685" s="33"/>
      <c r="D3685" s="33"/>
      <c r="E3685" s="33"/>
      <c r="F3685" s="33"/>
      <c r="G3685" s="33"/>
      <c r="H3685" s="33"/>
      <c r="I3685" s="33"/>
      <c r="J3685" s="33"/>
      <c r="K3685" s="33"/>
      <c r="L3685" s="33"/>
      <c r="M3685" s="33"/>
      <c r="N3685" s="33"/>
      <c r="O3685" s="33"/>
      <c r="P3685" s="33"/>
      <c r="Q3685" s="33"/>
      <c r="R3685" s="33"/>
      <c r="S3685" s="33"/>
      <c r="T3685" s="33"/>
      <c r="U3685" s="33"/>
      <c r="V3685" s="33"/>
      <c r="W3685" s="33"/>
      <c r="X3685" s="33"/>
      <c r="Y3685" s="33"/>
      <c r="Z3685" s="33"/>
      <c r="AA3685" s="33"/>
      <c r="AB3685" s="33"/>
      <c r="AC3685" s="33"/>
      <c r="AD3685" s="33"/>
      <c r="AE3685" s="33"/>
      <c r="AF3685" s="33"/>
      <c r="AG3685" s="33"/>
      <c r="AH3685" s="33"/>
      <c r="AI3685" s="33"/>
      <c r="AJ3685" s="33"/>
      <c r="AK3685" s="33"/>
    </row>
    <row r="3686">
      <c r="A3686" s="33"/>
      <c r="B3686" s="33"/>
      <c r="C3686" s="33"/>
      <c r="D3686" s="33"/>
      <c r="E3686" s="33"/>
      <c r="F3686" s="33"/>
      <c r="G3686" s="33"/>
      <c r="H3686" s="33"/>
      <c r="I3686" s="33"/>
      <c r="J3686" s="33"/>
      <c r="K3686" s="33"/>
      <c r="L3686" s="33"/>
      <c r="M3686" s="33"/>
      <c r="N3686" s="33"/>
      <c r="O3686" s="33"/>
      <c r="P3686" s="33"/>
      <c r="Q3686" s="33"/>
      <c r="R3686" s="33"/>
      <c r="S3686" s="33"/>
      <c r="T3686" s="33"/>
      <c r="U3686" s="33"/>
      <c r="V3686" s="33"/>
      <c r="W3686" s="33"/>
      <c r="X3686" s="33"/>
      <c r="Y3686" s="33"/>
      <c r="Z3686" s="33"/>
      <c r="AA3686" s="33"/>
      <c r="AB3686" s="33"/>
      <c r="AC3686" s="33"/>
      <c r="AD3686" s="33"/>
      <c r="AE3686" s="33"/>
      <c r="AF3686" s="33"/>
      <c r="AG3686" s="33"/>
      <c r="AH3686" s="33"/>
      <c r="AI3686" s="33"/>
      <c r="AJ3686" s="33"/>
      <c r="AK3686" s="33"/>
    </row>
    <row r="3687">
      <c r="A3687" s="33"/>
      <c r="B3687" s="33"/>
      <c r="C3687" s="33"/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33"/>
      <c r="V3687" s="33"/>
      <c r="W3687" s="33"/>
      <c r="X3687" s="33"/>
      <c r="Y3687" s="33"/>
      <c r="Z3687" s="33"/>
      <c r="AA3687" s="33"/>
      <c r="AB3687" s="33"/>
      <c r="AC3687" s="33"/>
      <c r="AD3687" s="33"/>
      <c r="AE3687" s="33"/>
      <c r="AF3687" s="33"/>
      <c r="AG3687" s="33"/>
      <c r="AH3687" s="33"/>
      <c r="AI3687" s="33"/>
      <c r="AJ3687" s="33"/>
      <c r="AK3687" s="33"/>
    </row>
    <row r="3688">
      <c r="A3688" s="33"/>
      <c r="B3688" s="33"/>
      <c r="C3688" s="33"/>
      <c r="D3688" s="33"/>
      <c r="E3688" s="33"/>
      <c r="F3688" s="33"/>
      <c r="G3688" s="33"/>
      <c r="H3688" s="33"/>
      <c r="I3688" s="33"/>
      <c r="J3688" s="33"/>
      <c r="K3688" s="33"/>
      <c r="L3688" s="33"/>
      <c r="M3688" s="33"/>
      <c r="N3688" s="33"/>
      <c r="O3688" s="33"/>
      <c r="P3688" s="33"/>
      <c r="Q3688" s="33"/>
      <c r="R3688" s="33"/>
      <c r="S3688" s="33"/>
      <c r="T3688" s="33"/>
      <c r="U3688" s="33"/>
      <c r="V3688" s="33"/>
      <c r="W3688" s="33"/>
      <c r="X3688" s="33"/>
      <c r="Y3688" s="33"/>
      <c r="Z3688" s="33"/>
      <c r="AA3688" s="33"/>
      <c r="AB3688" s="33"/>
      <c r="AC3688" s="33"/>
      <c r="AD3688" s="33"/>
      <c r="AE3688" s="33"/>
      <c r="AF3688" s="33"/>
      <c r="AG3688" s="33"/>
      <c r="AH3688" s="33"/>
      <c r="AI3688" s="33"/>
      <c r="AJ3688" s="33"/>
      <c r="AK3688" s="33"/>
    </row>
    <row r="3689">
      <c r="A3689" s="33"/>
      <c r="B3689" s="33"/>
      <c r="C3689" s="33"/>
      <c r="D3689" s="33"/>
      <c r="E3689" s="33"/>
      <c r="F3689" s="33"/>
      <c r="G3689" s="33"/>
      <c r="H3689" s="33"/>
      <c r="I3689" s="33"/>
      <c r="J3689" s="33"/>
      <c r="K3689" s="33"/>
      <c r="L3689" s="33"/>
      <c r="M3689" s="33"/>
      <c r="N3689" s="33"/>
      <c r="O3689" s="33"/>
      <c r="P3689" s="33"/>
      <c r="Q3689" s="33"/>
      <c r="R3689" s="33"/>
      <c r="S3689" s="33"/>
      <c r="T3689" s="33"/>
      <c r="U3689" s="33"/>
      <c r="V3689" s="33"/>
      <c r="W3689" s="33"/>
      <c r="X3689" s="33"/>
      <c r="Y3689" s="33"/>
      <c r="Z3689" s="33"/>
      <c r="AA3689" s="33"/>
      <c r="AB3689" s="33"/>
      <c r="AC3689" s="33"/>
      <c r="AD3689" s="33"/>
      <c r="AE3689" s="33"/>
      <c r="AF3689" s="33"/>
      <c r="AG3689" s="33"/>
      <c r="AH3689" s="33"/>
      <c r="AI3689" s="33"/>
      <c r="AJ3689" s="33"/>
      <c r="AK3689" s="33"/>
    </row>
    <row r="3690">
      <c r="A3690" s="33"/>
      <c r="B3690" s="33"/>
      <c r="C3690" s="33"/>
      <c r="D3690" s="33"/>
      <c r="E3690" s="33"/>
      <c r="F3690" s="33"/>
      <c r="G3690" s="33"/>
      <c r="H3690" s="33"/>
      <c r="I3690" s="33"/>
      <c r="J3690" s="33"/>
      <c r="K3690" s="33"/>
      <c r="L3690" s="33"/>
      <c r="M3690" s="33"/>
      <c r="N3690" s="33"/>
      <c r="O3690" s="33"/>
      <c r="P3690" s="33"/>
      <c r="Q3690" s="33"/>
      <c r="R3690" s="33"/>
      <c r="S3690" s="33"/>
      <c r="T3690" s="33"/>
      <c r="U3690" s="33"/>
      <c r="V3690" s="33"/>
      <c r="W3690" s="33"/>
      <c r="X3690" s="33"/>
      <c r="Y3690" s="33"/>
      <c r="Z3690" s="33"/>
      <c r="AA3690" s="33"/>
      <c r="AB3690" s="33"/>
      <c r="AC3690" s="33"/>
      <c r="AD3690" s="33"/>
      <c r="AE3690" s="33"/>
      <c r="AF3690" s="33"/>
      <c r="AG3690" s="33"/>
      <c r="AH3690" s="33"/>
      <c r="AI3690" s="33"/>
      <c r="AJ3690" s="33"/>
      <c r="AK3690" s="33"/>
    </row>
    <row r="3691">
      <c r="A3691" s="33"/>
      <c r="B3691" s="33"/>
      <c r="C3691" s="33"/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  <c r="Q3691" s="33"/>
      <c r="R3691" s="33"/>
      <c r="S3691" s="33"/>
      <c r="T3691" s="33"/>
      <c r="U3691" s="33"/>
      <c r="V3691" s="33"/>
      <c r="W3691" s="33"/>
      <c r="X3691" s="33"/>
      <c r="Y3691" s="33"/>
      <c r="Z3691" s="33"/>
      <c r="AA3691" s="33"/>
      <c r="AB3691" s="33"/>
      <c r="AC3691" s="33"/>
      <c r="AD3691" s="33"/>
      <c r="AE3691" s="33"/>
      <c r="AF3691" s="33"/>
      <c r="AG3691" s="33"/>
      <c r="AH3691" s="33"/>
      <c r="AI3691" s="33"/>
      <c r="AJ3691" s="33"/>
      <c r="AK3691" s="33"/>
    </row>
    <row r="3692">
      <c r="A3692" s="33"/>
      <c r="B3692" s="33"/>
      <c r="C3692" s="33"/>
      <c r="D3692" s="33"/>
      <c r="E3692" s="33"/>
      <c r="F3692" s="33"/>
      <c r="G3692" s="33"/>
      <c r="H3692" s="33"/>
      <c r="I3692" s="33"/>
      <c r="J3692" s="33"/>
      <c r="K3692" s="33"/>
      <c r="L3692" s="33"/>
      <c r="M3692" s="33"/>
      <c r="N3692" s="33"/>
      <c r="O3692" s="33"/>
      <c r="P3692" s="33"/>
      <c r="Q3692" s="33"/>
      <c r="R3692" s="33"/>
      <c r="S3692" s="33"/>
      <c r="T3692" s="33"/>
      <c r="U3692" s="33"/>
      <c r="V3692" s="33"/>
      <c r="W3692" s="33"/>
      <c r="X3692" s="33"/>
      <c r="Y3692" s="33"/>
      <c r="Z3692" s="33"/>
      <c r="AA3692" s="33"/>
      <c r="AB3692" s="33"/>
      <c r="AC3692" s="33"/>
      <c r="AD3692" s="33"/>
      <c r="AE3692" s="33"/>
      <c r="AF3692" s="33"/>
      <c r="AG3692" s="33"/>
      <c r="AH3692" s="33"/>
      <c r="AI3692" s="33"/>
      <c r="AJ3692" s="33"/>
      <c r="AK3692" s="33"/>
    </row>
    <row r="3693">
      <c r="A3693" s="33"/>
      <c r="B3693" s="33"/>
      <c r="C3693" s="33"/>
      <c r="D3693" s="33"/>
      <c r="E3693" s="33"/>
      <c r="F3693" s="33"/>
      <c r="G3693" s="33"/>
      <c r="H3693" s="33"/>
      <c r="I3693" s="33"/>
      <c r="J3693" s="33"/>
      <c r="K3693" s="33"/>
      <c r="L3693" s="33"/>
      <c r="M3693" s="33"/>
      <c r="N3693" s="33"/>
      <c r="O3693" s="33"/>
      <c r="P3693" s="33"/>
      <c r="Q3693" s="33"/>
      <c r="R3693" s="33"/>
      <c r="S3693" s="33"/>
      <c r="T3693" s="33"/>
      <c r="U3693" s="33"/>
      <c r="V3693" s="33"/>
      <c r="W3693" s="33"/>
      <c r="X3693" s="33"/>
      <c r="Y3693" s="33"/>
      <c r="Z3693" s="33"/>
      <c r="AA3693" s="33"/>
      <c r="AB3693" s="33"/>
      <c r="AC3693" s="33"/>
      <c r="AD3693" s="33"/>
      <c r="AE3693" s="33"/>
      <c r="AF3693" s="33"/>
      <c r="AG3693" s="33"/>
      <c r="AH3693" s="33"/>
      <c r="AI3693" s="33"/>
      <c r="AJ3693" s="33"/>
      <c r="AK3693" s="33"/>
    </row>
    <row r="3694">
      <c r="A3694" s="33"/>
      <c r="B3694" s="33"/>
      <c r="C3694" s="33"/>
      <c r="D3694" s="33"/>
      <c r="E3694" s="33"/>
      <c r="F3694" s="33"/>
      <c r="G3694" s="33"/>
      <c r="H3694" s="33"/>
      <c r="I3694" s="33"/>
      <c r="J3694" s="33"/>
      <c r="K3694" s="33"/>
      <c r="L3694" s="33"/>
      <c r="M3694" s="33"/>
      <c r="N3694" s="33"/>
      <c r="O3694" s="33"/>
      <c r="P3694" s="33"/>
      <c r="Q3694" s="33"/>
      <c r="R3694" s="33"/>
      <c r="S3694" s="33"/>
      <c r="T3694" s="33"/>
      <c r="U3694" s="33"/>
      <c r="V3694" s="33"/>
      <c r="W3694" s="33"/>
      <c r="X3694" s="33"/>
      <c r="Y3694" s="33"/>
      <c r="Z3694" s="33"/>
      <c r="AA3694" s="33"/>
      <c r="AB3694" s="33"/>
      <c r="AC3694" s="33"/>
      <c r="AD3694" s="33"/>
      <c r="AE3694" s="33"/>
      <c r="AF3694" s="33"/>
      <c r="AG3694" s="33"/>
      <c r="AH3694" s="33"/>
      <c r="AI3694" s="33"/>
      <c r="AJ3694" s="33"/>
      <c r="AK3694" s="33"/>
    </row>
    <row r="3695">
      <c r="A3695" s="33"/>
      <c r="B3695" s="33"/>
      <c r="C3695" s="33"/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  <c r="Q3695" s="33"/>
      <c r="R3695" s="33"/>
      <c r="S3695" s="33"/>
      <c r="T3695" s="33"/>
      <c r="U3695" s="33"/>
      <c r="V3695" s="33"/>
      <c r="W3695" s="33"/>
      <c r="X3695" s="33"/>
      <c r="Y3695" s="33"/>
      <c r="Z3695" s="33"/>
      <c r="AA3695" s="33"/>
      <c r="AB3695" s="33"/>
      <c r="AC3695" s="33"/>
      <c r="AD3695" s="33"/>
      <c r="AE3695" s="33"/>
      <c r="AF3695" s="33"/>
      <c r="AG3695" s="33"/>
      <c r="AH3695" s="33"/>
      <c r="AI3695" s="33"/>
      <c r="AJ3695" s="33"/>
      <c r="AK3695" s="33"/>
    </row>
    <row r="3696">
      <c r="A3696" s="33"/>
      <c r="B3696" s="33"/>
      <c r="C3696" s="33"/>
      <c r="D3696" s="33"/>
      <c r="E3696" s="33"/>
      <c r="F3696" s="33"/>
      <c r="G3696" s="33"/>
      <c r="H3696" s="33"/>
      <c r="I3696" s="33"/>
      <c r="J3696" s="33"/>
      <c r="K3696" s="33"/>
      <c r="L3696" s="33"/>
      <c r="M3696" s="33"/>
      <c r="N3696" s="33"/>
      <c r="O3696" s="33"/>
      <c r="P3696" s="33"/>
      <c r="Q3696" s="33"/>
      <c r="R3696" s="33"/>
      <c r="S3696" s="33"/>
      <c r="T3696" s="33"/>
      <c r="U3696" s="33"/>
      <c r="V3696" s="33"/>
      <c r="W3696" s="33"/>
      <c r="X3696" s="33"/>
      <c r="Y3696" s="33"/>
      <c r="Z3696" s="33"/>
      <c r="AA3696" s="33"/>
      <c r="AB3696" s="33"/>
      <c r="AC3696" s="33"/>
      <c r="AD3696" s="33"/>
      <c r="AE3696" s="33"/>
      <c r="AF3696" s="33"/>
      <c r="AG3696" s="33"/>
      <c r="AH3696" s="33"/>
      <c r="AI3696" s="33"/>
      <c r="AJ3696" s="33"/>
      <c r="AK3696" s="33"/>
    </row>
    <row r="3697">
      <c r="A3697" s="33"/>
      <c r="B3697" s="33"/>
      <c r="C3697" s="33"/>
      <c r="D3697" s="33"/>
      <c r="E3697" s="33"/>
      <c r="F3697" s="33"/>
      <c r="G3697" s="33"/>
      <c r="H3697" s="33"/>
      <c r="I3697" s="33"/>
      <c r="J3697" s="33"/>
      <c r="K3697" s="33"/>
      <c r="L3697" s="33"/>
      <c r="M3697" s="33"/>
      <c r="N3697" s="33"/>
      <c r="O3697" s="33"/>
      <c r="P3697" s="33"/>
      <c r="Q3697" s="33"/>
      <c r="R3697" s="33"/>
      <c r="S3697" s="33"/>
      <c r="T3697" s="33"/>
      <c r="U3697" s="33"/>
      <c r="V3697" s="33"/>
      <c r="W3697" s="33"/>
      <c r="X3697" s="33"/>
      <c r="Y3697" s="33"/>
      <c r="Z3697" s="33"/>
      <c r="AA3697" s="33"/>
      <c r="AB3697" s="33"/>
      <c r="AC3697" s="33"/>
      <c r="AD3697" s="33"/>
      <c r="AE3697" s="33"/>
      <c r="AF3697" s="33"/>
      <c r="AG3697" s="33"/>
      <c r="AH3697" s="33"/>
      <c r="AI3697" s="33"/>
      <c r="AJ3697" s="33"/>
      <c r="AK3697" s="33"/>
    </row>
    <row r="3698">
      <c r="A3698" s="33"/>
      <c r="B3698" s="33"/>
      <c r="C3698" s="33"/>
      <c r="D3698" s="33"/>
      <c r="E3698" s="33"/>
      <c r="F3698" s="33"/>
      <c r="G3698" s="33"/>
      <c r="H3698" s="33"/>
      <c r="I3698" s="33"/>
      <c r="J3698" s="33"/>
      <c r="K3698" s="33"/>
      <c r="L3698" s="33"/>
      <c r="M3698" s="33"/>
      <c r="N3698" s="33"/>
      <c r="O3698" s="33"/>
      <c r="P3698" s="33"/>
      <c r="Q3698" s="33"/>
      <c r="R3698" s="33"/>
      <c r="S3698" s="33"/>
      <c r="T3698" s="33"/>
      <c r="U3698" s="33"/>
      <c r="V3698" s="33"/>
      <c r="W3698" s="33"/>
      <c r="X3698" s="33"/>
      <c r="Y3698" s="33"/>
      <c r="Z3698" s="33"/>
      <c r="AA3698" s="33"/>
      <c r="AB3698" s="33"/>
      <c r="AC3698" s="33"/>
      <c r="AD3698" s="33"/>
      <c r="AE3698" s="33"/>
      <c r="AF3698" s="33"/>
      <c r="AG3698" s="33"/>
      <c r="AH3698" s="33"/>
      <c r="AI3698" s="33"/>
      <c r="AJ3698" s="33"/>
      <c r="AK3698" s="33"/>
    </row>
    <row r="3699">
      <c r="A3699" s="33"/>
      <c r="B3699" s="33"/>
      <c r="C3699" s="33"/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  <c r="Q3699" s="33"/>
      <c r="R3699" s="33"/>
      <c r="S3699" s="33"/>
      <c r="T3699" s="33"/>
      <c r="U3699" s="33"/>
      <c r="V3699" s="33"/>
      <c r="W3699" s="33"/>
      <c r="X3699" s="33"/>
      <c r="Y3699" s="33"/>
      <c r="Z3699" s="33"/>
      <c r="AA3699" s="33"/>
      <c r="AB3699" s="33"/>
      <c r="AC3699" s="33"/>
      <c r="AD3699" s="33"/>
      <c r="AE3699" s="33"/>
      <c r="AF3699" s="33"/>
      <c r="AG3699" s="33"/>
      <c r="AH3699" s="33"/>
      <c r="AI3699" s="33"/>
      <c r="AJ3699" s="33"/>
      <c r="AK3699" s="33"/>
    </row>
    <row r="3700">
      <c r="A3700" s="33"/>
      <c r="B3700" s="33"/>
      <c r="C3700" s="33"/>
      <c r="D3700" s="33"/>
      <c r="E3700" s="33"/>
      <c r="F3700" s="33"/>
      <c r="G3700" s="33"/>
      <c r="H3700" s="33"/>
      <c r="I3700" s="33"/>
      <c r="J3700" s="33"/>
      <c r="K3700" s="33"/>
      <c r="L3700" s="33"/>
      <c r="M3700" s="33"/>
      <c r="N3700" s="33"/>
      <c r="O3700" s="33"/>
      <c r="P3700" s="33"/>
      <c r="Q3700" s="33"/>
      <c r="R3700" s="33"/>
      <c r="S3700" s="33"/>
      <c r="T3700" s="33"/>
      <c r="U3700" s="33"/>
      <c r="V3700" s="33"/>
      <c r="W3700" s="33"/>
      <c r="X3700" s="33"/>
      <c r="Y3700" s="33"/>
      <c r="Z3700" s="33"/>
      <c r="AA3700" s="33"/>
      <c r="AB3700" s="33"/>
      <c r="AC3700" s="33"/>
      <c r="AD3700" s="33"/>
      <c r="AE3700" s="33"/>
      <c r="AF3700" s="33"/>
      <c r="AG3700" s="33"/>
      <c r="AH3700" s="33"/>
      <c r="AI3700" s="33"/>
      <c r="AJ3700" s="33"/>
      <c r="AK3700" s="33"/>
    </row>
    <row r="3701">
      <c r="A3701" s="33"/>
      <c r="B3701" s="33"/>
      <c r="C3701" s="33"/>
      <c r="D3701" s="33"/>
      <c r="E3701" s="33"/>
      <c r="F3701" s="33"/>
      <c r="G3701" s="33"/>
      <c r="H3701" s="33"/>
      <c r="I3701" s="33"/>
      <c r="J3701" s="33"/>
      <c r="K3701" s="33"/>
      <c r="L3701" s="33"/>
      <c r="M3701" s="33"/>
      <c r="N3701" s="33"/>
      <c r="O3701" s="33"/>
      <c r="P3701" s="33"/>
      <c r="Q3701" s="33"/>
      <c r="R3701" s="33"/>
      <c r="S3701" s="33"/>
      <c r="T3701" s="33"/>
      <c r="U3701" s="33"/>
      <c r="V3701" s="33"/>
      <c r="W3701" s="33"/>
      <c r="X3701" s="33"/>
      <c r="Y3701" s="33"/>
      <c r="Z3701" s="33"/>
      <c r="AA3701" s="33"/>
      <c r="AB3701" s="33"/>
      <c r="AC3701" s="33"/>
      <c r="AD3701" s="33"/>
      <c r="AE3701" s="33"/>
      <c r="AF3701" s="33"/>
      <c r="AG3701" s="33"/>
      <c r="AH3701" s="33"/>
      <c r="AI3701" s="33"/>
      <c r="AJ3701" s="33"/>
      <c r="AK3701" s="33"/>
    </row>
    <row r="3702">
      <c r="A3702" s="33"/>
      <c r="B3702" s="33"/>
      <c r="C3702" s="33"/>
      <c r="D3702" s="33"/>
      <c r="E3702" s="33"/>
      <c r="F3702" s="33"/>
      <c r="G3702" s="33"/>
      <c r="H3702" s="33"/>
      <c r="I3702" s="33"/>
      <c r="J3702" s="33"/>
      <c r="K3702" s="33"/>
      <c r="L3702" s="33"/>
      <c r="M3702" s="33"/>
      <c r="N3702" s="33"/>
      <c r="O3702" s="33"/>
      <c r="P3702" s="33"/>
      <c r="Q3702" s="33"/>
      <c r="R3702" s="33"/>
      <c r="S3702" s="33"/>
      <c r="T3702" s="33"/>
      <c r="U3702" s="33"/>
      <c r="V3702" s="33"/>
      <c r="W3702" s="33"/>
      <c r="X3702" s="33"/>
      <c r="Y3702" s="33"/>
      <c r="Z3702" s="33"/>
      <c r="AA3702" s="33"/>
      <c r="AB3702" s="33"/>
      <c r="AC3702" s="33"/>
      <c r="AD3702" s="33"/>
      <c r="AE3702" s="33"/>
      <c r="AF3702" s="33"/>
      <c r="AG3702" s="33"/>
      <c r="AH3702" s="33"/>
      <c r="AI3702" s="33"/>
      <c r="AJ3702" s="33"/>
      <c r="AK3702" s="33"/>
    </row>
    <row r="3703">
      <c r="A3703" s="33"/>
      <c r="B3703" s="33"/>
      <c r="C3703" s="33"/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  <c r="Q3703" s="33"/>
      <c r="R3703" s="33"/>
      <c r="S3703" s="33"/>
      <c r="T3703" s="33"/>
      <c r="U3703" s="33"/>
      <c r="V3703" s="33"/>
      <c r="W3703" s="33"/>
      <c r="X3703" s="33"/>
      <c r="Y3703" s="33"/>
      <c r="Z3703" s="33"/>
      <c r="AA3703" s="33"/>
      <c r="AB3703" s="33"/>
      <c r="AC3703" s="33"/>
      <c r="AD3703" s="33"/>
      <c r="AE3703" s="33"/>
      <c r="AF3703" s="33"/>
      <c r="AG3703" s="33"/>
      <c r="AH3703" s="33"/>
      <c r="AI3703" s="33"/>
      <c r="AJ3703" s="33"/>
      <c r="AK3703" s="33"/>
    </row>
    <row r="3704">
      <c r="A3704" s="33"/>
      <c r="B3704" s="33"/>
      <c r="C3704" s="33"/>
      <c r="D3704" s="33"/>
      <c r="E3704" s="33"/>
      <c r="F3704" s="33"/>
      <c r="G3704" s="33"/>
      <c r="H3704" s="33"/>
      <c r="I3704" s="33"/>
      <c r="J3704" s="33"/>
      <c r="K3704" s="33"/>
      <c r="L3704" s="33"/>
      <c r="M3704" s="33"/>
      <c r="N3704" s="33"/>
      <c r="O3704" s="33"/>
      <c r="P3704" s="33"/>
      <c r="Q3704" s="33"/>
      <c r="R3704" s="33"/>
      <c r="S3704" s="33"/>
      <c r="T3704" s="33"/>
      <c r="U3704" s="33"/>
      <c r="V3704" s="33"/>
      <c r="W3704" s="33"/>
      <c r="X3704" s="33"/>
      <c r="Y3704" s="33"/>
      <c r="Z3704" s="33"/>
      <c r="AA3704" s="33"/>
      <c r="AB3704" s="33"/>
      <c r="AC3704" s="33"/>
      <c r="AD3704" s="33"/>
      <c r="AE3704" s="33"/>
      <c r="AF3704" s="33"/>
      <c r="AG3704" s="33"/>
      <c r="AH3704" s="33"/>
      <c r="AI3704" s="33"/>
      <c r="AJ3704" s="33"/>
      <c r="AK3704" s="33"/>
    </row>
    <row r="3705">
      <c r="A3705" s="33"/>
      <c r="B3705" s="33"/>
      <c r="C3705" s="33"/>
      <c r="D3705" s="33"/>
      <c r="E3705" s="33"/>
      <c r="F3705" s="33"/>
      <c r="G3705" s="33"/>
      <c r="H3705" s="33"/>
      <c r="I3705" s="33"/>
      <c r="J3705" s="33"/>
      <c r="K3705" s="33"/>
      <c r="L3705" s="33"/>
      <c r="M3705" s="33"/>
      <c r="N3705" s="33"/>
      <c r="O3705" s="33"/>
      <c r="P3705" s="33"/>
      <c r="Q3705" s="33"/>
      <c r="R3705" s="33"/>
      <c r="S3705" s="33"/>
      <c r="T3705" s="33"/>
      <c r="U3705" s="33"/>
      <c r="V3705" s="33"/>
      <c r="W3705" s="33"/>
      <c r="X3705" s="33"/>
      <c r="Y3705" s="33"/>
      <c r="Z3705" s="33"/>
      <c r="AA3705" s="33"/>
      <c r="AB3705" s="33"/>
      <c r="AC3705" s="33"/>
      <c r="AD3705" s="33"/>
      <c r="AE3705" s="33"/>
      <c r="AF3705" s="33"/>
      <c r="AG3705" s="33"/>
      <c r="AH3705" s="33"/>
      <c r="AI3705" s="33"/>
      <c r="AJ3705" s="33"/>
      <c r="AK3705" s="33"/>
    </row>
    <row r="3706">
      <c r="A3706" s="33"/>
      <c r="B3706" s="33"/>
      <c r="C3706" s="33"/>
      <c r="D3706" s="33"/>
      <c r="E3706" s="33"/>
      <c r="F3706" s="33"/>
      <c r="G3706" s="33"/>
      <c r="H3706" s="33"/>
      <c r="I3706" s="33"/>
      <c r="J3706" s="33"/>
      <c r="K3706" s="33"/>
      <c r="L3706" s="33"/>
      <c r="M3706" s="33"/>
      <c r="N3706" s="33"/>
      <c r="O3706" s="33"/>
      <c r="P3706" s="33"/>
      <c r="Q3706" s="33"/>
      <c r="R3706" s="33"/>
      <c r="S3706" s="33"/>
      <c r="T3706" s="33"/>
      <c r="U3706" s="33"/>
      <c r="V3706" s="33"/>
      <c r="W3706" s="33"/>
      <c r="X3706" s="33"/>
      <c r="Y3706" s="33"/>
      <c r="Z3706" s="33"/>
      <c r="AA3706" s="33"/>
      <c r="AB3706" s="33"/>
      <c r="AC3706" s="33"/>
      <c r="AD3706" s="33"/>
      <c r="AE3706" s="33"/>
      <c r="AF3706" s="33"/>
      <c r="AG3706" s="33"/>
      <c r="AH3706" s="33"/>
      <c r="AI3706" s="33"/>
      <c r="AJ3706" s="33"/>
      <c r="AK3706" s="33"/>
    </row>
    <row r="3707">
      <c r="A3707" s="33"/>
      <c r="B3707" s="33"/>
      <c r="C3707" s="33"/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  <c r="Q3707" s="33"/>
      <c r="R3707" s="33"/>
      <c r="S3707" s="33"/>
      <c r="T3707" s="33"/>
      <c r="U3707" s="33"/>
      <c r="V3707" s="33"/>
      <c r="W3707" s="33"/>
      <c r="X3707" s="33"/>
      <c r="Y3707" s="33"/>
      <c r="Z3707" s="33"/>
      <c r="AA3707" s="33"/>
      <c r="AB3707" s="33"/>
      <c r="AC3707" s="33"/>
      <c r="AD3707" s="33"/>
      <c r="AE3707" s="33"/>
      <c r="AF3707" s="33"/>
      <c r="AG3707" s="33"/>
      <c r="AH3707" s="33"/>
      <c r="AI3707" s="33"/>
      <c r="AJ3707" s="33"/>
      <c r="AK3707" s="33"/>
    </row>
    <row r="3708">
      <c r="A3708" s="33"/>
      <c r="B3708" s="33"/>
      <c r="C3708" s="33"/>
      <c r="D3708" s="33"/>
      <c r="E3708" s="33"/>
      <c r="F3708" s="33"/>
      <c r="G3708" s="33"/>
      <c r="H3708" s="33"/>
      <c r="I3708" s="33"/>
      <c r="J3708" s="33"/>
      <c r="K3708" s="33"/>
      <c r="L3708" s="33"/>
      <c r="M3708" s="33"/>
      <c r="N3708" s="33"/>
      <c r="O3708" s="33"/>
      <c r="P3708" s="33"/>
      <c r="Q3708" s="33"/>
      <c r="R3708" s="33"/>
      <c r="S3708" s="33"/>
      <c r="T3708" s="33"/>
      <c r="U3708" s="33"/>
      <c r="V3708" s="33"/>
      <c r="W3708" s="33"/>
      <c r="X3708" s="33"/>
      <c r="Y3708" s="33"/>
      <c r="Z3708" s="33"/>
      <c r="AA3708" s="33"/>
      <c r="AB3708" s="33"/>
      <c r="AC3708" s="33"/>
      <c r="AD3708" s="33"/>
      <c r="AE3708" s="33"/>
      <c r="AF3708" s="33"/>
      <c r="AG3708" s="33"/>
      <c r="AH3708" s="33"/>
      <c r="AI3708" s="33"/>
      <c r="AJ3708" s="33"/>
      <c r="AK3708" s="33"/>
    </row>
    <row r="3709">
      <c r="A3709" s="33"/>
      <c r="B3709" s="33"/>
      <c r="C3709" s="33"/>
      <c r="D3709" s="33"/>
      <c r="E3709" s="33"/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33"/>
      <c r="Q3709" s="33"/>
      <c r="R3709" s="33"/>
      <c r="S3709" s="33"/>
      <c r="T3709" s="33"/>
      <c r="U3709" s="33"/>
      <c r="V3709" s="33"/>
      <c r="W3709" s="33"/>
      <c r="X3709" s="33"/>
      <c r="Y3709" s="33"/>
      <c r="Z3709" s="33"/>
      <c r="AA3709" s="33"/>
      <c r="AB3709" s="33"/>
      <c r="AC3709" s="33"/>
      <c r="AD3709" s="33"/>
      <c r="AE3709" s="33"/>
      <c r="AF3709" s="33"/>
      <c r="AG3709" s="33"/>
      <c r="AH3709" s="33"/>
      <c r="AI3709" s="33"/>
      <c r="AJ3709" s="33"/>
      <c r="AK3709" s="33"/>
    </row>
    <row r="3710">
      <c r="A3710" s="33"/>
      <c r="B3710" s="33"/>
      <c r="C3710" s="33"/>
      <c r="D3710" s="33"/>
      <c r="E3710" s="33"/>
      <c r="F3710" s="33"/>
      <c r="G3710" s="33"/>
      <c r="H3710" s="33"/>
      <c r="I3710" s="33"/>
      <c r="J3710" s="33"/>
      <c r="K3710" s="33"/>
      <c r="L3710" s="33"/>
      <c r="M3710" s="33"/>
      <c r="N3710" s="33"/>
      <c r="O3710" s="33"/>
      <c r="P3710" s="33"/>
      <c r="Q3710" s="33"/>
      <c r="R3710" s="33"/>
      <c r="S3710" s="33"/>
      <c r="T3710" s="33"/>
      <c r="U3710" s="33"/>
      <c r="V3710" s="33"/>
      <c r="W3710" s="33"/>
      <c r="X3710" s="33"/>
      <c r="Y3710" s="33"/>
      <c r="Z3710" s="33"/>
      <c r="AA3710" s="33"/>
      <c r="AB3710" s="33"/>
      <c r="AC3710" s="33"/>
      <c r="AD3710" s="33"/>
      <c r="AE3710" s="33"/>
      <c r="AF3710" s="33"/>
      <c r="AG3710" s="33"/>
      <c r="AH3710" s="33"/>
      <c r="AI3710" s="33"/>
      <c r="AJ3710" s="33"/>
      <c r="AK3710" s="33"/>
    </row>
    <row r="3711">
      <c r="A3711" s="33"/>
      <c r="B3711" s="33"/>
      <c r="C3711" s="33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  <c r="Q3711" s="33"/>
      <c r="R3711" s="33"/>
      <c r="S3711" s="33"/>
      <c r="T3711" s="33"/>
      <c r="U3711" s="33"/>
      <c r="V3711" s="33"/>
      <c r="W3711" s="33"/>
      <c r="X3711" s="33"/>
      <c r="Y3711" s="33"/>
      <c r="Z3711" s="33"/>
      <c r="AA3711" s="33"/>
      <c r="AB3711" s="33"/>
      <c r="AC3711" s="33"/>
      <c r="AD3711" s="33"/>
      <c r="AE3711" s="33"/>
      <c r="AF3711" s="33"/>
      <c r="AG3711" s="33"/>
      <c r="AH3711" s="33"/>
      <c r="AI3711" s="33"/>
      <c r="AJ3711" s="33"/>
      <c r="AK3711" s="33"/>
    </row>
    <row r="3712">
      <c r="A3712" s="33"/>
      <c r="B3712" s="33"/>
      <c r="C3712" s="33"/>
      <c r="D3712" s="33"/>
      <c r="E3712" s="33"/>
      <c r="F3712" s="33"/>
      <c r="G3712" s="33"/>
      <c r="H3712" s="33"/>
      <c r="I3712" s="33"/>
      <c r="J3712" s="33"/>
      <c r="K3712" s="33"/>
      <c r="L3712" s="33"/>
      <c r="M3712" s="33"/>
      <c r="N3712" s="33"/>
      <c r="O3712" s="33"/>
      <c r="P3712" s="33"/>
      <c r="Q3712" s="33"/>
      <c r="R3712" s="33"/>
      <c r="S3712" s="33"/>
      <c r="T3712" s="33"/>
      <c r="U3712" s="33"/>
      <c r="V3712" s="33"/>
      <c r="W3712" s="33"/>
      <c r="X3712" s="33"/>
      <c r="Y3712" s="33"/>
      <c r="Z3712" s="33"/>
      <c r="AA3712" s="33"/>
      <c r="AB3712" s="33"/>
      <c r="AC3712" s="33"/>
      <c r="AD3712" s="33"/>
      <c r="AE3712" s="33"/>
      <c r="AF3712" s="33"/>
      <c r="AG3712" s="33"/>
      <c r="AH3712" s="33"/>
      <c r="AI3712" s="33"/>
      <c r="AJ3712" s="33"/>
      <c r="AK3712" s="33"/>
    </row>
    <row r="3713">
      <c r="A3713" s="33"/>
      <c r="B3713" s="33"/>
      <c r="C3713" s="33"/>
      <c r="D3713" s="33"/>
      <c r="E3713" s="33"/>
      <c r="F3713" s="33"/>
      <c r="G3713" s="33"/>
      <c r="H3713" s="33"/>
      <c r="I3713" s="33"/>
      <c r="J3713" s="33"/>
      <c r="K3713" s="33"/>
      <c r="L3713" s="33"/>
      <c r="M3713" s="33"/>
      <c r="N3713" s="33"/>
      <c r="O3713" s="33"/>
      <c r="P3713" s="33"/>
      <c r="Q3713" s="33"/>
      <c r="R3713" s="33"/>
      <c r="S3713" s="33"/>
      <c r="T3713" s="33"/>
      <c r="U3713" s="33"/>
      <c r="V3713" s="33"/>
      <c r="W3713" s="33"/>
      <c r="X3713" s="33"/>
      <c r="Y3713" s="33"/>
      <c r="Z3713" s="33"/>
      <c r="AA3713" s="33"/>
      <c r="AB3713" s="33"/>
      <c r="AC3713" s="33"/>
      <c r="AD3713" s="33"/>
      <c r="AE3713" s="33"/>
      <c r="AF3713" s="33"/>
      <c r="AG3713" s="33"/>
      <c r="AH3713" s="33"/>
      <c r="AI3713" s="33"/>
      <c r="AJ3713" s="33"/>
      <c r="AK3713" s="33"/>
    </row>
    <row r="3714">
      <c r="A3714" s="33"/>
      <c r="B3714" s="33"/>
      <c r="C3714" s="33"/>
      <c r="D3714" s="33"/>
      <c r="E3714" s="33"/>
      <c r="F3714" s="33"/>
      <c r="G3714" s="33"/>
      <c r="H3714" s="33"/>
      <c r="I3714" s="33"/>
      <c r="J3714" s="33"/>
      <c r="K3714" s="33"/>
      <c r="L3714" s="33"/>
      <c r="M3714" s="33"/>
      <c r="N3714" s="33"/>
      <c r="O3714" s="33"/>
      <c r="P3714" s="33"/>
      <c r="Q3714" s="33"/>
      <c r="R3714" s="33"/>
      <c r="S3714" s="33"/>
      <c r="T3714" s="33"/>
      <c r="U3714" s="33"/>
      <c r="V3714" s="33"/>
      <c r="W3714" s="33"/>
      <c r="X3714" s="33"/>
      <c r="Y3714" s="33"/>
      <c r="Z3714" s="33"/>
      <c r="AA3714" s="33"/>
      <c r="AB3714" s="33"/>
      <c r="AC3714" s="33"/>
      <c r="AD3714" s="33"/>
      <c r="AE3714" s="33"/>
      <c r="AF3714" s="33"/>
      <c r="AG3714" s="33"/>
      <c r="AH3714" s="33"/>
      <c r="AI3714" s="33"/>
      <c r="AJ3714" s="33"/>
      <c r="AK3714" s="33"/>
    </row>
    <row r="3715">
      <c r="A3715" s="33"/>
      <c r="B3715" s="33"/>
      <c r="C3715" s="33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  <c r="Q3715" s="33"/>
      <c r="R3715" s="33"/>
      <c r="S3715" s="33"/>
      <c r="T3715" s="33"/>
      <c r="U3715" s="33"/>
      <c r="V3715" s="33"/>
      <c r="W3715" s="33"/>
      <c r="X3715" s="33"/>
      <c r="Y3715" s="33"/>
      <c r="Z3715" s="33"/>
      <c r="AA3715" s="33"/>
      <c r="AB3715" s="33"/>
      <c r="AC3715" s="33"/>
      <c r="AD3715" s="33"/>
      <c r="AE3715" s="33"/>
      <c r="AF3715" s="33"/>
      <c r="AG3715" s="33"/>
      <c r="AH3715" s="33"/>
      <c r="AI3715" s="33"/>
      <c r="AJ3715" s="33"/>
      <c r="AK3715" s="33"/>
    </row>
    <row r="3716">
      <c r="A3716" s="33"/>
      <c r="B3716" s="33"/>
      <c r="C3716" s="33"/>
      <c r="D3716" s="33"/>
      <c r="E3716" s="33"/>
      <c r="F3716" s="33"/>
      <c r="G3716" s="33"/>
      <c r="H3716" s="33"/>
      <c r="I3716" s="33"/>
      <c r="J3716" s="33"/>
      <c r="K3716" s="33"/>
      <c r="L3716" s="33"/>
      <c r="M3716" s="33"/>
      <c r="N3716" s="33"/>
      <c r="O3716" s="33"/>
      <c r="P3716" s="33"/>
      <c r="Q3716" s="33"/>
      <c r="R3716" s="33"/>
      <c r="S3716" s="33"/>
      <c r="T3716" s="33"/>
      <c r="U3716" s="33"/>
      <c r="V3716" s="33"/>
      <c r="W3716" s="33"/>
      <c r="X3716" s="33"/>
      <c r="Y3716" s="33"/>
      <c r="Z3716" s="33"/>
      <c r="AA3716" s="33"/>
      <c r="AB3716" s="33"/>
      <c r="AC3716" s="33"/>
      <c r="AD3716" s="33"/>
      <c r="AE3716" s="33"/>
      <c r="AF3716" s="33"/>
      <c r="AG3716" s="33"/>
      <c r="AH3716" s="33"/>
      <c r="AI3716" s="33"/>
      <c r="AJ3716" s="33"/>
      <c r="AK3716" s="33"/>
    </row>
    <row r="3717">
      <c r="A3717" s="33"/>
      <c r="B3717" s="33"/>
      <c r="C3717" s="33"/>
      <c r="D3717" s="33"/>
      <c r="E3717" s="33"/>
      <c r="F3717" s="33"/>
      <c r="G3717" s="33"/>
      <c r="H3717" s="33"/>
      <c r="I3717" s="33"/>
      <c r="J3717" s="33"/>
      <c r="K3717" s="33"/>
      <c r="L3717" s="33"/>
      <c r="M3717" s="33"/>
      <c r="N3717" s="33"/>
      <c r="O3717" s="33"/>
      <c r="P3717" s="33"/>
      <c r="Q3717" s="33"/>
      <c r="R3717" s="33"/>
      <c r="S3717" s="33"/>
      <c r="T3717" s="33"/>
      <c r="U3717" s="33"/>
      <c r="V3717" s="33"/>
      <c r="W3717" s="33"/>
      <c r="X3717" s="33"/>
      <c r="Y3717" s="33"/>
      <c r="Z3717" s="33"/>
      <c r="AA3717" s="33"/>
      <c r="AB3717" s="33"/>
      <c r="AC3717" s="33"/>
      <c r="AD3717" s="33"/>
      <c r="AE3717" s="33"/>
      <c r="AF3717" s="33"/>
      <c r="AG3717" s="33"/>
      <c r="AH3717" s="33"/>
      <c r="AI3717" s="33"/>
      <c r="AJ3717" s="33"/>
      <c r="AK3717" s="33"/>
    </row>
    <row r="3718">
      <c r="A3718" s="33"/>
      <c r="B3718" s="33"/>
      <c r="C3718" s="33"/>
      <c r="D3718" s="33"/>
      <c r="E3718" s="33"/>
      <c r="F3718" s="33"/>
      <c r="G3718" s="33"/>
      <c r="H3718" s="33"/>
      <c r="I3718" s="33"/>
      <c r="J3718" s="33"/>
      <c r="K3718" s="33"/>
      <c r="L3718" s="33"/>
      <c r="M3718" s="33"/>
      <c r="N3718" s="33"/>
      <c r="O3718" s="33"/>
      <c r="P3718" s="33"/>
      <c r="Q3718" s="33"/>
      <c r="R3718" s="33"/>
      <c r="S3718" s="33"/>
      <c r="T3718" s="33"/>
      <c r="U3718" s="33"/>
      <c r="V3718" s="33"/>
      <c r="W3718" s="33"/>
      <c r="X3718" s="33"/>
      <c r="Y3718" s="33"/>
      <c r="Z3718" s="33"/>
      <c r="AA3718" s="33"/>
      <c r="AB3718" s="33"/>
      <c r="AC3718" s="33"/>
      <c r="AD3718" s="33"/>
      <c r="AE3718" s="33"/>
      <c r="AF3718" s="33"/>
      <c r="AG3718" s="33"/>
      <c r="AH3718" s="33"/>
      <c r="AI3718" s="33"/>
      <c r="AJ3718" s="33"/>
      <c r="AK3718" s="33"/>
    </row>
    <row r="3719">
      <c r="A3719" s="33"/>
      <c r="B3719" s="33"/>
      <c r="C3719" s="33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  <c r="Q3719" s="33"/>
      <c r="R3719" s="33"/>
      <c r="S3719" s="33"/>
      <c r="T3719" s="33"/>
      <c r="U3719" s="33"/>
      <c r="V3719" s="33"/>
      <c r="W3719" s="33"/>
      <c r="X3719" s="33"/>
      <c r="Y3719" s="33"/>
      <c r="Z3719" s="33"/>
      <c r="AA3719" s="33"/>
      <c r="AB3719" s="33"/>
      <c r="AC3719" s="33"/>
      <c r="AD3719" s="33"/>
      <c r="AE3719" s="33"/>
      <c r="AF3719" s="33"/>
      <c r="AG3719" s="33"/>
      <c r="AH3719" s="33"/>
      <c r="AI3719" s="33"/>
      <c r="AJ3719" s="33"/>
      <c r="AK3719" s="33"/>
    </row>
    <row r="3720">
      <c r="A3720" s="33"/>
      <c r="B3720" s="33"/>
      <c r="C3720" s="33"/>
      <c r="D3720" s="33"/>
      <c r="E3720" s="33"/>
      <c r="F3720" s="33"/>
      <c r="G3720" s="33"/>
      <c r="H3720" s="33"/>
      <c r="I3720" s="33"/>
      <c r="J3720" s="33"/>
      <c r="K3720" s="33"/>
      <c r="L3720" s="33"/>
      <c r="M3720" s="33"/>
      <c r="N3720" s="33"/>
      <c r="O3720" s="33"/>
      <c r="P3720" s="33"/>
      <c r="Q3720" s="33"/>
      <c r="R3720" s="33"/>
      <c r="S3720" s="33"/>
      <c r="T3720" s="33"/>
      <c r="U3720" s="33"/>
      <c r="V3720" s="33"/>
      <c r="W3720" s="33"/>
      <c r="X3720" s="33"/>
      <c r="Y3720" s="33"/>
      <c r="Z3720" s="33"/>
      <c r="AA3720" s="33"/>
      <c r="AB3720" s="33"/>
      <c r="AC3720" s="33"/>
      <c r="AD3720" s="33"/>
      <c r="AE3720" s="33"/>
      <c r="AF3720" s="33"/>
      <c r="AG3720" s="33"/>
      <c r="AH3720" s="33"/>
      <c r="AI3720" s="33"/>
      <c r="AJ3720" s="33"/>
      <c r="AK3720" s="33"/>
    </row>
    <row r="3721">
      <c r="A3721" s="33"/>
      <c r="B3721" s="33"/>
      <c r="C3721" s="33"/>
      <c r="D3721" s="33"/>
      <c r="E3721" s="33"/>
      <c r="F3721" s="33"/>
      <c r="G3721" s="33"/>
      <c r="H3721" s="33"/>
      <c r="I3721" s="33"/>
      <c r="J3721" s="33"/>
      <c r="K3721" s="33"/>
      <c r="L3721" s="33"/>
      <c r="M3721" s="33"/>
      <c r="N3721" s="33"/>
      <c r="O3721" s="33"/>
      <c r="P3721" s="33"/>
      <c r="Q3721" s="33"/>
      <c r="R3721" s="33"/>
      <c r="S3721" s="33"/>
      <c r="T3721" s="33"/>
      <c r="U3721" s="33"/>
      <c r="V3721" s="33"/>
      <c r="W3721" s="33"/>
      <c r="X3721" s="33"/>
      <c r="Y3721" s="33"/>
      <c r="Z3721" s="33"/>
      <c r="AA3721" s="33"/>
      <c r="AB3721" s="33"/>
      <c r="AC3721" s="33"/>
      <c r="AD3721" s="33"/>
      <c r="AE3721" s="33"/>
      <c r="AF3721" s="33"/>
      <c r="AG3721" s="33"/>
      <c r="AH3721" s="33"/>
      <c r="AI3721" s="33"/>
      <c r="AJ3721" s="33"/>
      <c r="AK3721" s="33"/>
    </row>
    <row r="3722">
      <c r="A3722" s="33"/>
      <c r="B3722" s="33"/>
      <c r="C3722" s="33"/>
      <c r="D3722" s="33"/>
      <c r="E3722" s="33"/>
      <c r="F3722" s="33"/>
      <c r="G3722" s="33"/>
      <c r="H3722" s="33"/>
      <c r="I3722" s="33"/>
      <c r="J3722" s="33"/>
      <c r="K3722" s="33"/>
      <c r="L3722" s="33"/>
      <c r="M3722" s="33"/>
      <c r="N3722" s="33"/>
      <c r="O3722" s="33"/>
      <c r="P3722" s="33"/>
      <c r="Q3722" s="33"/>
      <c r="R3722" s="33"/>
      <c r="S3722" s="33"/>
      <c r="T3722" s="33"/>
      <c r="U3722" s="33"/>
      <c r="V3722" s="33"/>
      <c r="W3722" s="33"/>
      <c r="X3722" s="33"/>
      <c r="Y3722" s="33"/>
      <c r="Z3722" s="33"/>
      <c r="AA3722" s="33"/>
      <c r="AB3722" s="33"/>
      <c r="AC3722" s="33"/>
      <c r="AD3722" s="33"/>
      <c r="AE3722" s="33"/>
      <c r="AF3722" s="33"/>
      <c r="AG3722" s="33"/>
      <c r="AH3722" s="33"/>
      <c r="AI3722" s="33"/>
      <c r="AJ3722" s="33"/>
      <c r="AK3722" s="33"/>
    </row>
    <row r="3723">
      <c r="A3723" s="33"/>
      <c r="B3723" s="33"/>
      <c r="C3723" s="33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  <c r="Q3723" s="33"/>
      <c r="R3723" s="33"/>
      <c r="S3723" s="33"/>
      <c r="T3723" s="33"/>
      <c r="U3723" s="33"/>
      <c r="V3723" s="33"/>
      <c r="W3723" s="33"/>
      <c r="X3723" s="33"/>
      <c r="Y3723" s="33"/>
      <c r="Z3723" s="33"/>
      <c r="AA3723" s="33"/>
      <c r="AB3723" s="33"/>
      <c r="AC3723" s="33"/>
      <c r="AD3723" s="33"/>
      <c r="AE3723" s="33"/>
      <c r="AF3723" s="33"/>
      <c r="AG3723" s="33"/>
      <c r="AH3723" s="33"/>
      <c r="AI3723" s="33"/>
      <c r="AJ3723" s="33"/>
      <c r="AK3723" s="33"/>
    </row>
    <row r="3724">
      <c r="A3724" s="33"/>
      <c r="B3724" s="33"/>
      <c r="C3724" s="33"/>
      <c r="D3724" s="33"/>
      <c r="E3724" s="33"/>
      <c r="F3724" s="33"/>
      <c r="G3724" s="33"/>
      <c r="H3724" s="33"/>
      <c r="I3724" s="33"/>
      <c r="J3724" s="33"/>
      <c r="K3724" s="33"/>
      <c r="L3724" s="33"/>
      <c r="M3724" s="33"/>
      <c r="N3724" s="33"/>
      <c r="O3724" s="33"/>
      <c r="P3724" s="33"/>
      <c r="Q3724" s="33"/>
      <c r="R3724" s="33"/>
      <c r="S3724" s="33"/>
      <c r="T3724" s="33"/>
      <c r="U3724" s="33"/>
      <c r="V3724" s="33"/>
      <c r="W3724" s="33"/>
      <c r="X3724" s="33"/>
      <c r="Y3724" s="33"/>
      <c r="Z3724" s="33"/>
      <c r="AA3724" s="33"/>
      <c r="AB3724" s="33"/>
      <c r="AC3724" s="33"/>
      <c r="AD3724" s="33"/>
      <c r="AE3724" s="33"/>
      <c r="AF3724" s="33"/>
      <c r="AG3724" s="33"/>
      <c r="AH3724" s="33"/>
      <c r="AI3724" s="33"/>
      <c r="AJ3724" s="33"/>
      <c r="AK3724" s="33"/>
    </row>
    <row r="3725">
      <c r="A3725" s="33"/>
      <c r="B3725" s="33"/>
      <c r="C3725" s="33"/>
      <c r="D3725" s="33"/>
      <c r="E3725" s="33"/>
      <c r="F3725" s="33"/>
      <c r="G3725" s="33"/>
      <c r="H3725" s="33"/>
      <c r="I3725" s="33"/>
      <c r="J3725" s="33"/>
      <c r="K3725" s="33"/>
      <c r="L3725" s="33"/>
      <c r="M3725" s="33"/>
      <c r="N3725" s="33"/>
      <c r="O3725" s="33"/>
      <c r="P3725" s="33"/>
      <c r="Q3725" s="33"/>
      <c r="R3725" s="33"/>
      <c r="S3725" s="33"/>
      <c r="T3725" s="33"/>
      <c r="U3725" s="33"/>
      <c r="V3725" s="33"/>
      <c r="W3725" s="33"/>
      <c r="X3725" s="33"/>
      <c r="Y3725" s="33"/>
      <c r="Z3725" s="33"/>
      <c r="AA3725" s="33"/>
      <c r="AB3725" s="33"/>
      <c r="AC3725" s="33"/>
      <c r="AD3725" s="33"/>
      <c r="AE3725" s="33"/>
      <c r="AF3725" s="33"/>
      <c r="AG3725" s="33"/>
      <c r="AH3725" s="33"/>
      <c r="AI3725" s="33"/>
      <c r="AJ3725" s="33"/>
      <c r="AK3725" s="33"/>
    </row>
    <row r="3726">
      <c r="A3726" s="33"/>
      <c r="B3726" s="33"/>
      <c r="C3726" s="33"/>
      <c r="D3726" s="33"/>
      <c r="E3726" s="33"/>
      <c r="F3726" s="33"/>
      <c r="G3726" s="33"/>
      <c r="H3726" s="33"/>
      <c r="I3726" s="33"/>
      <c r="J3726" s="33"/>
      <c r="K3726" s="33"/>
      <c r="L3726" s="33"/>
      <c r="M3726" s="33"/>
      <c r="N3726" s="33"/>
      <c r="O3726" s="33"/>
      <c r="P3726" s="33"/>
      <c r="Q3726" s="33"/>
      <c r="R3726" s="33"/>
      <c r="S3726" s="33"/>
      <c r="T3726" s="33"/>
      <c r="U3726" s="33"/>
      <c r="V3726" s="33"/>
      <c r="W3726" s="33"/>
      <c r="X3726" s="33"/>
      <c r="Y3726" s="33"/>
      <c r="Z3726" s="33"/>
      <c r="AA3726" s="33"/>
      <c r="AB3726" s="33"/>
      <c r="AC3726" s="33"/>
      <c r="AD3726" s="33"/>
      <c r="AE3726" s="33"/>
      <c r="AF3726" s="33"/>
      <c r="AG3726" s="33"/>
      <c r="AH3726" s="33"/>
      <c r="AI3726" s="33"/>
      <c r="AJ3726" s="33"/>
      <c r="AK3726" s="33"/>
    </row>
    <row r="3727">
      <c r="A3727" s="33"/>
      <c r="B3727" s="33"/>
      <c r="C3727" s="33"/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3"/>
      <c r="S3727" s="33"/>
      <c r="T3727" s="33"/>
      <c r="U3727" s="33"/>
      <c r="V3727" s="33"/>
      <c r="W3727" s="33"/>
      <c r="X3727" s="33"/>
      <c r="Y3727" s="33"/>
      <c r="Z3727" s="33"/>
      <c r="AA3727" s="33"/>
      <c r="AB3727" s="33"/>
      <c r="AC3727" s="33"/>
      <c r="AD3727" s="33"/>
      <c r="AE3727" s="33"/>
      <c r="AF3727" s="33"/>
      <c r="AG3727" s="33"/>
      <c r="AH3727" s="33"/>
      <c r="AI3727" s="33"/>
      <c r="AJ3727" s="33"/>
      <c r="AK3727" s="33"/>
    </row>
    <row r="3728">
      <c r="A3728" s="33"/>
      <c r="B3728" s="33"/>
      <c r="C3728" s="33"/>
      <c r="D3728" s="33"/>
      <c r="E3728" s="33"/>
      <c r="F3728" s="33"/>
      <c r="G3728" s="33"/>
      <c r="H3728" s="33"/>
      <c r="I3728" s="33"/>
      <c r="J3728" s="33"/>
      <c r="K3728" s="33"/>
      <c r="L3728" s="33"/>
      <c r="M3728" s="33"/>
      <c r="N3728" s="33"/>
      <c r="O3728" s="33"/>
      <c r="P3728" s="33"/>
      <c r="Q3728" s="33"/>
      <c r="R3728" s="33"/>
      <c r="S3728" s="33"/>
      <c r="T3728" s="33"/>
      <c r="U3728" s="33"/>
      <c r="V3728" s="33"/>
      <c r="W3728" s="33"/>
      <c r="X3728" s="33"/>
      <c r="Y3728" s="33"/>
      <c r="Z3728" s="33"/>
      <c r="AA3728" s="33"/>
      <c r="AB3728" s="33"/>
      <c r="AC3728" s="33"/>
      <c r="AD3728" s="33"/>
      <c r="AE3728" s="33"/>
      <c r="AF3728" s="33"/>
      <c r="AG3728" s="33"/>
      <c r="AH3728" s="33"/>
      <c r="AI3728" s="33"/>
      <c r="AJ3728" s="33"/>
      <c r="AK3728" s="33"/>
    </row>
    <row r="3729">
      <c r="A3729" s="33"/>
      <c r="B3729" s="33"/>
      <c r="C3729" s="33"/>
      <c r="D3729" s="33"/>
      <c r="E3729" s="33"/>
      <c r="F3729" s="33"/>
      <c r="G3729" s="33"/>
      <c r="H3729" s="33"/>
      <c r="I3729" s="33"/>
      <c r="J3729" s="33"/>
      <c r="K3729" s="33"/>
      <c r="L3729" s="33"/>
      <c r="M3729" s="33"/>
      <c r="N3729" s="33"/>
      <c r="O3729" s="33"/>
      <c r="P3729" s="33"/>
      <c r="Q3729" s="33"/>
      <c r="R3729" s="33"/>
      <c r="S3729" s="33"/>
      <c r="T3729" s="33"/>
      <c r="U3729" s="33"/>
      <c r="V3729" s="33"/>
      <c r="W3729" s="33"/>
      <c r="X3729" s="33"/>
      <c r="Y3729" s="33"/>
      <c r="Z3729" s="33"/>
      <c r="AA3729" s="33"/>
      <c r="AB3729" s="33"/>
      <c r="AC3729" s="33"/>
      <c r="AD3729" s="33"/>
      <c r="AE3729" s="33"/>
      <c r="AF3729" s="33"/>
      <c r="AG3729" s="33"/>
      <c r="AH3729" s="33"/>
      <c r="AI3729" s="33"/>
      <c r="AJ3729" s="33"/>
      <c r="AK3729" s="33"/>
    </row>
    <row r="3730">
      <c r="A3730" s="33"/>
      <c r="B3730" s="33"/>
      <c r="C3730" s="33"/>
      <c r="D3730" s="33"/>
      <c r="E3730" s="33"/>
      <c r="F3730" s="33"/>
      <c r="G3730" s="33"/>
      <c r="H3730" s="33"/>
      <c r="I3730" s="33"/>
      <c r="J3730" s="33"/>
      <c r="K3730" s="33"/>
      <c r="L3730" s="33"/>
      <c r="M3730" s="33"/>
      <c r="N3730" s="33"/>
      <c r="O3730" s="33"/>
      <c r="P3730" s="33"/>
      <c r="Q3730" s="33"/>
      <c r="R3730" s="33"/>
      <c r="S3730" s="33"/>
      <c r="T3730" s="33"/>
      <c r="U3730" s="33"/>
      <c r="V3730" s="33"/>
      <c r="W3730" s="33"/>
      <c r="X3730" s="33"/>
      <c r="Y3730" s="33"/>
      <c r="Z3730" s="33"/>
      <c r="AA3730" s="33"/>
      <c r="AB3730" s="33"/>
      <c r="AC3730" s="33"/>
      <c r="AD3730" s="33"/>
      <c r="AE3730" s="33"/>
      <c r="AF3730" s="33"/>
      <c r="AG3730" s="33"/>
      <c r="AH3730" s="33"/>
      <c r="AI3730" s="33"/>
      <c r="AJ3730" s="33"/>
      <c r="AK3730" s="33"/>
    </row>
    <row r="3731">
      <c r="A3731" s="33"/>
      <c r="B3731" s="33"/>
      <c r="C3731" s="33"/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33"/>
      <c r="V3731" s="33"/>
      <c r="W3731" s="33"/>
      <c r="X3731" s="33"/>
      <c r="Y3731" s="33"/>
      <c r="Z3731" s="33"/>
      <c r="AA3731" s="33"/>
      <c r="AB3731" s="33"/>
      <c r="AC3731" s="33"/>
      <c r="AD3731" s="33"/>
      <c r="AE3731" s="33"/>
      <c r="AF3731" s="33"/>
      <c r="AG3731" s="33"/>
      <c r="AH3731" s="33"/>
      <c r="AI3731" s="33"/>
      <c r="AJ3731" s="33"/>
      <c r="AK3731" s="33"/>
    </row>
    <row r="3732">
      <c r="A3732" s="33"/>
      <c r="B3732" s="33"/>
      <c r="C3732" s="33"/>
      <c r="D3732" s="33"/>
      <c r="E3732" s="33"/>
      <c r="F3732" s="33"/>
      <c r="G3732" s="33"/>
      <c r="H3732" s="33"/>
      <c r="I3732" s="33"/>
      <c r="J3732" s="33"/>
      <c r="K3732" s="33"/>
      <c r="L3732" s="33"/>
      <c r="M3732" s="33"/>
      <c r="N3732" s="33"/>
      <c r="O3732" s="33"/>
      <c r="P3732" s="33"/>
      <c r="Q3732" s="33"/>
      <c r="R3732" s="33"/>
      <c r="S3732" s="33"/>
      <c r="T3732" s="33"/>
      <c r="U3732" s="33"/>
      <c r="V3732" s="33"/>
      <c r="W3732" s="33"/>
      <c r="X3732" s="33"/>
      <c r="Y3732" s="33"/>
      <c r="Z3732" s="33"/>
      <c r="AA3732" s="33"/>
      <c r="AB3732" s="33"/>
      <c r="AC3732" s="33"/>
      <c r="AD3732" s="33"/>
      <c r="AE3732" s="33"/>
      <c r="AF3732" s="33"/>
      <c r="AG3732" s="33"/>
      <c r="AH3732" s="33"/>
      <c r="AI3732" s="33"/>
      <c r="AJ3732" s="33"/>
      <c r="AK3732" s="33"/>
    </row>
    <row r="3733">
      <c r="A3733" s="33"/>
      <c r="B3733" s="33"/>
      <c r="C3733" s="33"/>
      <c r="D3733" s="33"/>
      <c r="E3733" s="33"/>
      <c r="F3733" s="33"/>
      <c r="G3733" s="33"/>
      <c r="H3733" s="33"/>
      <c r="I3733" s="33"/>
      <c r="J3733" s="33"/>
      <c r="K3733" s="33"/>
      <c r="L3733" s="33"/>
      <c r="M3733" s="33"/>
      <c r="N3733" s="33"/>
      <c r="O3733" s="33"/>
      <c r="P3733" s="33"/>
      <c r="Q3733" s="33"/>
      <c r="R3733" s="33"/>
      <c r="S3733" s="33"/>
      <c r="T3733" s="33"/>
      <c r="U3733" s="33"/>
      <c r="V3733" s="33"/>
      <c r="W3733" s="33"/>
      <c r="X3733" s="33"/>
      <c r="Y3733" s="33"/>
      <c r="Z3733" s="33"/>
      <c r="AA3733" s="33"/>
      <c r="AB3733" s="33"/>
      <c r="AC3733" s="33"/>
      <c r="AD3733" s="33"/>
      <c r="AE3733" s="33"/>
      <c r="AF3733" s="33"/>
      <c r="AG3733" s="33"/>
      <c r="AH3733" s="33"/>
      <c r="AI3733" s="33"/>
      <c r="AJ3733" s="33"/>
      <c r="AK3733" s="33"/>
    </row>
    <row r="3734">
      <c r="A3734" s="33"/>
      <c r="B3734" s="33"/>
      <c r="C3734" s="33"/>
      <c r="D3734" s="33"/>
      <c r="E3734" s="33"/>
      <c r="F3734" s="33"/>
      <c r="G3734" s="33"/>
      <c r="H3734" s="33"/>
      <c r="I3734" s="33"/>
      <c r="J3734" s="33"/>
      <c r="K3734" s="33"/>
      <c r="L3734" s="33"/>
      <c r="M3734" s="33"/>
      <c r="N3734" s="33"/>
      <c r="O3734" s="33"/>
      <c r="P3734" s="33"/>
      <c r="Q3734" s="33"/>
      <c r="R3734" s="33"/>
      <c r="S3734" s="33"/>
      <c r="T3734" s="33"/>
      <c r="U3734" s="33"/>
      <c r="V3734" s="33"/>
      <c r="W3734" s="33"/>
      <c r="X3734" s="33"/>
      <c r="Y3734" s="33"/>
      <c r="Z3734" s="33"/>
      <c r="AA3734" s="33"/>
      <c r="AB3734" s="33"/>
      <c r="AC3734" s="33"/>
      <c r="AD3734" s="33"/>
      <c r="AE3734" s="33"/>
      <c r="AF3734" s="33"/>
      <c r="AG3734" s="33"/>
      <c r="AH3734" s="33"/>
      <c r="AI3734" s="33"/>
      <c r="AJ3734" s="33"/>
      <c r="AK3734" s="33"/>
    </row>
    <row r="3735">
      <c r="A3735" s="33"/>
      <c r="B3735" s="33"/>
      <c r="C3735" s="33"/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  <c r="Q3735" s="33"/>
      <c r="R3735" s="33"/>
      <c r="S3735" s="33"/>
      <c r="T3735" s="33"/>
      <c r="U3735" s="33"/>
      <c r="V3735" s="33"/>
      <c r="W3735" s="33"/>
      <c r="X3735" s="33"/>
      <c r="Y3735" s="33"/>
      <c r="Z3735" s="33"/>
      <c r="AA3735" s="33"/>
      <c r="AB3735" s="33"/>
      <c r="AC3735" s="33"/>
      <c r="AD3735" s="33"/>
      <c r="AE3735" s="33"/>
      <c r="AF3735" s="33"/>
      <c r="AG3735" s="33"/>
      <c r="AH3735" s="33"/>
      <c r="AI3735" s="33"/>
      <c r="AJ3735" s="33"/>
      <c r="AK3735" s="33"/>
    </row>
    <row r="3736">
      <c r="A3736" s="33"/>
      <c r="B3736" s="33"/>
      <c r="C3736" s="33"/>
      <c r="D3736" s="33"/>
      <c r="E3736" s="33"/>
      <c r="F3736" s="33"/>
      <c r="G3736" s="33"/>
      <c r="H3736" s="33"/>
      <c r="I3736" s="33"/>
      <c r="J3736" s="33"/>
      <c r="K3736" s="33"/>
      <c r="L3736" s="33"/>
      <c r="M3736" s="33"/>
      <c r="N3736" s="33"/>
      <c r="O3736" s="33"/>
      <c r="P3736" s="33"/>
      <c r="Q3736" s="33"/>
      <c r="R3736" s="33"/>
      <c r="S3736" s="33"/>
      <c r="T3736" s="33"/>
      <c r="U3736" s="33"/>
      <c r="V3736" s="33"/>
      <c r="W3736" s="33"/>
      <c r="X3736" s="33"/>
      <c r="Y3736" s="33"/>
      <c r="Z3736" s="33"/>
      <c r="AA3736" s="33"/>
      <c r="AB3736" s="33"/>
      <c r="AC3736" s="33"/>
      <c r="AD3736" s="33"/>
      <c r="AE3736" s="33"/>
      <c r="AF3736" s="33"/>
      <c r="AG3736" s="33"/>
      <c r="AH3736" s="33"/>
      <c r="AI3736" s="33"/>
      <c r="AJ3736" s="33"/>
      <c r="AK3736" s="33"/>
    </row>
    <row r="3737">
      <c r="A3737" s="33"/>
      <c r="B3737" s="33"/>
      <c r="C3737" s="33"/>
      <c r="D3737" s="33"/>
      <c r="E3737" s="33"/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33"/>
      <c r="Q3737" s="33"/>
      <c r="R3737" s="33"/>
      <c r="S3737" s="33"/>
      <c r="T3737" s="33"/>
      <c r="U3737" s="33"/>
      <c r="V3737" s="33"/>
      <c r="W3737" s="33"/>
      <c r="X3737" s="33"/>
      <c r="Y3737" s="33"/>
      <c r="Z3737" s="33"/>
      <c r="AA3737" s="33"/>
      <c r="AB3737" s="33"/>
      <c r="AC3737" s="33"/>
      <c r="AD3737" s="33"/>
      <c r="AE3737" s="33"/>
      <c r="AF3737" s="33"/>
      <c r="AG3737" s="33"/>
      <c r="AH3737" s="33"/>
      <c r="AI3737" s="33"/>
      <c r="AJ3737" s="33"/>
      <c r="AK3737" s="33"/>
    </row>
    <row r="3738">
      <c r="A3738" s="33"/>
      <c r="B3738" s="33"/>
      <c r="C3738" s="33"/>
      <c r="D3738" s="33"/>
      <c r="E3738" s="33"/>
      <c r="F3738" s="33"/>
      <c r="G3738" s="33"/>
      <c r="H3738" s="33"/>
      <c r="I3738" s="33"/>
      <c r="J3738" s="33"/>
      <c r="K3738" s="33"/>
      <c r="L3738" s="33"/>
      <c r="M3738" s="33"/>
      <c r="N3738" s="33"/>
      <c r="O3738" s="33"/>
      <c r="P3738" s="33"/>
      <c r="Q3738" s="33"/>
      <c r="R3738" s="33"/>
      <c r="S3738" s="33"/>
      <c r="T3738" s="33"/>
      <c r="U3738" s="33"/>
      <c r="V3738" s="33"/>
      <c r="W3738" s="33"/>
      <c r="X3738" s="33"/>
      <c r="Y3738" s="33"/>
      <c r="Z3738" s="33"/>
      <c r="AA3738" s="33"/>
      <c r="AB3738" s="33"/>
      <c r="AC3738" s="33"/>
      <c r="AD3738" s="33"/>
      <c r="AE3738" s="33"/>
      <c r="AF3738" s="33"/>
      <c r="AG3738" s="33"/>
      <c r="AH3738" s="33"/>
      <c r="AI3738" s="33"/>
      <c r="AJ3738" s="33"/>
      <c r="AK3738" s="33"/>
    </row>
    <row r="3739">
      <c r="A3739" s="33"/>
      <c r="B3739" s="33"/>
      <c r="C3739" s="33"/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  <c r="Q3739" s="33"/>
      <c r="R3739" s="33"/>
      <c r="S3739" s="33"/>
      <c r="T3739" s="33"/>
      <c r="U3739" s="33"/>
      <c r="V3739" s="33"/>
      <c r="W3739" s="33"/>
      <c r="X3739" s="33"/>
      <c r="Y3739" s="33"/>
      <c r="Z3739" s="33"/>
      <c r="AA3739" s="33"/>
      <c r="AB3739" s="33"/>
      <c r="AC3739" s="33"/>
      <c r="AD3739" s="33"/>
      <c r="AE3739" s="33"/>
      <c r="AF3739" s="33"/>
      <c r="AG3739" s="33"/>
      <c r="AH3739" s="33"/>
      <c r="AI3739" s="33"/>
      <c r="AJ3739" s="33"/>
      <c r="AK3739" s="33"/>
    </row>
    <row r="3740">
      <c r="A3740" s="33"/>
      <c r="B3740" s="33"/>
      <c r="C3740" s="33"/>
      <c r="D3740" s="33"/>
      <c r="E3740" s="33"/>
      <c r="F3740" s="33"/>
      <c r="G3740" s="33"/>
      <c r="H3740" s="33"/>
      <c r="I3740" s="33"/>
      <c r="J3740" s="33"/>
      <c r="K3740" s="33"/>
      <c r="L3740" s="33"/>
      <c r="M3740" s="33"/>
      <c r="N3740" s="33"/>
      <c r="O3740" s="33"/>
      <c r="P3740" s="33"/>
      <c r="Q3740" s="33"/>
      <c r="R3740" s="33"/>
      <c r="S3740" s="33"/>
      <c r="T3740" s="33"/>
      <c r="U3740" s="33"/>
      <c r="V3740" s="33"/>
      <c r="W3740" s="33"/>
      <c r="X3740" s="33"/>
      <c r="Y3740" s="33"/>
      <c r="Z3740" s="33"/>
      <c r="AA3740" s="33"/>
      <c r="AB3740" s="33"/>
      <c r="AC3740" s="33"/>
      <c r="AD3740" s="33"/>
      <c r="AE3740" s="33"/>
      <c r="AF3740" s="33"/>
      <c r="AG3740" s="33"/>
      <c r="AH3740" s="33"/>
      <c r="AI3740" s="33"/>
      <c r="AJ3740" s="33"/>
      <c r="AK3740" s="33"/>
    </row>
    <row r="3741">
      <c r="A3741" s="33"/>
      <c r="B3741" s="33"/>
      <c r="C3741" s="33"/>
      <c r="D3741" s="33"/>
      <c r="E3741" s="33"/>
      <c r="F3741" s="33"/>
      <c r="G3741" s="33"/>
      <c r="H3741" s="33"/>
      <c r="I3741" s="33"/>
      <c r="J3741" s="33"/>
      <c r="K3741" s="33"/>
      <c r="L3741" s="33"/>
      <c r="M3741" s="33"/>
      <c r="N3741" s="33"/>
      <c r="O3741" s="33"/>
      <c r="P3741" s="33"/>
      <c r="Q3741" s="33"/>
      <c r="R3741" s="33"/>
      <c r="S3741" s="33"/>
      <c r="T3741" s="33"/>
      <c r="U3741" s="33"/>
      <c r="V3741" s="33"/>
      <c r="W3741" s="33"/>
      <c r="X3741" s="33"/>
      <c r="Y3741" s="33"/>
      <c r="Z3741" s="33"/>
      <c r="AA3741" s="33"/>
      <c r="AB3741" s="33"/>
      <c r="AC3741" s="33"/>
      <c r="AD3741" s="33"/>
      <c r="AE3741" s="33"/>
      <c r="AF3741" s="33"/>
      <c r="AG3741" s="33"/>
      <c r="AH3741" s="33"/>
      <c r="AI3741" s="33"/>
      <c r="AJ3741" s="33"/>
      <c r="AK3741" s="33"/>
    </row>
    <row r="3742">
      <c r="A3742" s="33"/>
      <c r="B3742" s="33"/>
      <c r="C3742" s="33"/>
      <c r="D3742" s="33"/>
      <c r="E3742" s="33"/>
      <c r="F3742" s="33"/>
      <c r="G3742" s="33"/>
      <c r="H3742" s="33"/>
      <c r="I3742" s="33"/>
      <c r="J3742" s="33"/>
      <c r="K3742" s="33"/>
      <c r="L3742" s="33"/>
      <c r="M3742" s="33"/>
      <c r="N3742" s="33"/>
      <c r="O3742" s="33"/>
      <c r="P3742" s="33"/>
      <c r="Q3742" s="33"/>
      <c r="R3742" s="33"/>
      <c r="S3742" s="33"/>
      <c r="T3742" s="33"/>
      <c r="U3742" s="33"/>
      <c r="V3742" s="33"/>
      <c r="W3742" s="33"/>
      <c r="X3742" s="33"/>
      <c r="Y3742" s="33"/>
      <c r="Z3742" s="33"/>
      <c r="AA3742" s="33"/>
      <c r="AB3742" s="33"/>
      <c r="AC3742" s="33"/>
      <c r="AD3742" s="33"/>
      <c r="AE3742" s="33"/>
      <c r="AF3742" s="33"/>
      <c r="AG3742" s="33"/>
      <c r="AH3742" s="33"/>
      <c r="AI3742" s="33"/>
      <c r="AJ3742" s="33"/>
      <c r="AK3742" s="33"/>
    </row>
    <row r="3743">
      <c r="A3743" s="33"/>
      <c r="B3743" s="33"/>
      <c r="C3743" s="33"/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  <c r="Q3743" s="33"/>
      <c r="R3743" s="33"/>
      <c r="S3743" s="33"/>
      <c r="T3743" s="33"/>
      <c r="U3743" s="33"/>
      <c r="V3743" s="33"/>
      <c r="W3743" s="33"/>
      <c r="X3743" s="33"/>
      <c r="Y3743" s="33"/>
      <c r="Z3743" s="33"/>
      <c r="AA3743" s="33"/>
      <c r="AB3743" s="33"/>
      <c r="AC3743" s="33"/>
      <c r="AD3743" s="33"/>
      <c r="AE3743" s="33"/>
      <c r="AF3743" s="33"/>
      <c r="AG3743" s="33"/>
      <c r="AH3743" s="33"/>
      <c r="AI3743" s="33"/>
      <c r="AJ3743" s="33"/>
      <c r="AK3743" s="33"/>
    </row>
    <row r="3744">
      <c r="A3744" s="33"/>
      <c r="B3744" s="33"/>
      <c r="C3744" s="33"/>
      <c r="D3744" s="33"/>
      <c r="E3744" s="33"/>
      <c r="F3744" s="33"/>
      <c r="G3744" s="33"/>
      <c r="H3744" s="33"/>
      <c r="I3744" s="33"/>
      <c r="J3744" s="33"/>
      <c r="K3744" s="33"/>
      <c r="L3744" s="33"/>
      <c r="M3744" s="33"/>
      <c r="N3744" s="33"/>
      <c r="O3744" s="33"/>
      <c r="P3744" s="33"/>
      <c r="Q3744" s="33"/>
      <c r="R3744" s="33"/>
      <c r="S3744" s="33"/>
      <c r="T3744" s="33"/>
      <c r="U3744" s="33"/>
      <c r="V3744" s="33"/>
      <c r="W3744" s="33"/>
      <c r="X3744" s="33"/>
      <c r="Y3744" s="33"/>
      <c r="Z3744" s="33"/>
      <c r="AA3744" s="33"/>
      <c r="AB3744" s="33"/>
      <c r="AC3744" s="33"/>
      <c r="AD3744" s="33"/>
      <c r="AE3744" s="33"/>
      <c r="AF3744" s="33"/>
      <c r="AG3744" s="33"/>
      <c r="AH3744" s="33"/>
      <c r="AI3744" s="33"/>
      <c r="AJ3744" s="33"/>
      <c r="AK3744" s="33"/>
    </row>
    <row r="3745">
      <c r="A3745" s="33"/>
      <c r="B3745" s="33"/>
      <c r="C3745" s="33"/>
      <c r="D3745" s="33"/>
      <c r="E3745" s="33"/>
      <c r="F3745" s="33"/>
      <c r="G3745" s="33"/>
      <c r="H3745" s="33"/>
      <c r="I3745" s="33"/>
      <c r="J3745" s="33"/>
      <c r="K3745" s="33"/>
      <c r="L3745" s="33"/>
      <c r="M3745" s="33"/>
      <c r="N3745" s="33"/>
      <c r="O3745" s="33"/>
      <c r="P3745" s="33"/>
      <c r="Q3745" s="33"/>
      <c r="R3745" s="33"/>
      <c r="S3745" s="33"/>
      <c r="T3745" s="33"/>
      <c r="U3745" s="33"/>
      <c r="V3745" s="33"/>
      <c r="W3745" s="33"/>
      <c r="X3745" s="33"/>
      <c r="Y3745" s="33"/>
      <c r="Z3745" s="33"/>
      <c r="AA3745" s="33"/>
      <c r="AB3745" s="33"/>
      <c r="AC3745" s="33"/>
      <c r="AD3745" s="33"/>
      <c r="AE3745" s="33"/>
      <c r="AF3745" s="33"/>
      <c r="AG3745" s="33"/>
      <c r="AH3745" s="33"/>
      <c r="AI3745" s="33"/>
      <c r="AJ3745" s="33"/>
      <c r="AK3745" s="33"/>
    </row>
    <row r="3746">
      <c r="A3746" s="33"/>
      <c r="B3746" s="33"/>
      <c r="C3746" s="33"/>
      <c r="D3746" s="33"/>
      <c r="E3746" s="33"/>
      <c r="F3746" s="33"/>
      <c r="G3746" s="33"/>
      <c r="H3746" s="33"/>
      <c r="I3746" s="33"/>
      <c r="J3746" s="33"/>
      <c r="K3746" s="33"/>
      <c r="L3746" s="33"/>
      <c r="M3746" s="33"/>
      <c r="N3746" s="33"/>
      <c r="O3746" s="33"/>
      <c r="P3746" s="33"/>
      <c r="Q3746" s="33"/>
      <c r="R3746" s="33"/>
      <c r="S3746" s="33"/>
      <c r="T3746" s="33"/>
      <c r="U3746" s="33"/>
      <c r="V3746" s="33"/>
      <c r="W3746" s="33"/>
      <c r="X3746" s="33"/>
      <c r="Y3746" s="33"/>
      <c r="Z3746" s="33"/>
      <c r="AA3746" s="33"/>
      <c r="AB3746" s="33"/>
      <c r="AC3746" s="33"/>
      <c r="AD3746" s="33"/>
      <c r="AE3746" s="33"/>
      <c r="AF3746" s="33"/>
      <c r="AG3746" s="33"/>
      <c r="AH3746" s="33"/>
      <c r="AI3746" s="33"/>
      <c r="AJ3746" s="33"/>
      <c r="AK3746" s="33"/>
    </row>
    <row r="3747">
      <c r="A3747" s="33"/>
      <c r="B3747" s="33"/>
      <c r="C3747" s="33"/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  <c r="Q3747" s="33"/>
      <c r="R3747" s="33"/>
      <c r="S3747" s="33"/>
      <c r="T3747" s="33"/>
      <c r="U3747" s="33"/>
      <c r="V3747" s="33"/>
      <c r="W3747" s="33"/>
      <c r="X3747" s="33"/>
      <c r="Y3747" s="33"/>
      <c r="Z3747" s="33"/>
      <c r="AA3747" s="33"/>
      <c r="AB3747" s="33"/>
      <c r="AC3747" s="33"/>
      <c r="AD3747" s="33"/>
      <c r="AE3747" s="33"/>
      <c r="AF3747" s="33"/>
      <c r="AG3747" s="33"/>
      <c r="AH3747" s="33"/>
      <c r="AI3747" s="33"/>
      <c r="AJ3747" s="33"/>
      <c r="AK3747" s="33"/>
    </row>
    <row r="3748">
      <c r="A3748" s="33"/>
      <c r="B3748" s="33"/>
      <c r="C3748" s="33"/>
      <c r="D3748" s="33"/>
      <c r="E3748" s="33"/>
      <c r="F3748" s="33"/>
      <c r="G3748" s="33"/>
      <c r="H3748" s="33"/>
      <c r="I3748" s="33"/>
      <c r="J3748" s="33"/>
      <c r="K3748" s="33"/>
      <c r="L3748" s="33"/>
      <c r="M3748" s="33"/>
      <c r="N3748" s="33"/>
      <c r="O3748" s="33"/>
      <c r="P3748" s="33"/>
      <c r="Q3748" s="33"/>
      <c r="R3748" s="33"/>
      <c r="S3748" s="33"/>
      <c r="T3748" s="33"/>
      <c r="U3748" s="33"/>
      <c r="V3748" s="33"/>
      <c r="W3748" s="33"/>
      <c r="X3748" s="33"/>
      <c r="Y3748" s="33"/>
      <c r="Z3748" s="33"/>
      <c r="AA3748" s="33"/>
      <c r="AB3748" s="33"/>
      <c r="AC3748" s="33"/>
      <c r="AD3748" s="33"/>
      <c r="AE3748" s="33"/>
      <c r="AF3748" s="33"/>
      <c r="AG3748" s="33"/>
      <c r="AH3748" s="33"/>
      <c r="AI3748" s="33"/>
      <c r="AJ3748" s="33"/>
      <c r="AK3748" s="33"/>
    </row>
    <row r="3749">
      <c r="A3749" s="33"/>
      <c r="B3749" s="33"/>
      <c r="C3749" s="33"/>
      <c r="D3749" s="33"/>
      <c r="E3749" s="33"/>
      <c r="F3749" s="33"/>
      <c r="G3749" s="33"/>
      <c r="H3749" s="33"/>
      <c r="I3749" s="33"/>
      <c r="J3749" s="33"/>
      <c r="K3749" s="33"/>
      <c r="L3749" s="33"/>
      <c r="M3749" s="33"/>
      <c r="N3749" s="33"/>
      <c r="O3749" s="33"/>
      <c r="P3749" s="33"/>
      <c r="Q3749" s="33"/>
      <c r="R3749" s="33"/>
      <c r="S3749" s="33"/>
      <c r="T3749" s="33"/>
      <c r="U3749" s="33"/>
      <c r="V3749" s="33"/>
      <c r="W3749" s="33"/>
      <c r="X3749" s="33"/>
      <c r="Y3749" s="33"/>
      <c r="Z3749" s="33"/>
      <c r="AA3749" s="33"/>
      <c r="AB3749" s="33"/>
      <c r="AC3749" s="33"/>
      <c r="AD3749" s="33"/>
      <c r="AE3749" s="33"/>
      <c r="AF3749" s="33"/>
      <c r="AG3749" s="33"/>
      <c r="AH3749" s="33"/>
      <c r="AI3749" s="33"/>
      <c r="AJ3749" s="33"/>
      <c r="AK3749" s="33"/>
    </row>
    <row r="3750">
      <c r="A3750" s="33"/>
      <c r="B3750" s="33"/>
      <c r="C3750" s="33"/>
      <c r="D3750" s="33"/>
      <c r="E3750" s="33"/>
      <c r="F3750" s="33"/>
      <c r="G3750" s="33"/>
      <c r="H3750" s="33"/>
      <c r="I3750" s="33"/>
      <c r="J3750" s="33"/>
      <c r="K3750" s="33"/>
      <c r="L3750" s="33"/>
      <c r="M3750" s="33"/>
      <c r="N3750" s="33"/>
      <c r="O3750" s="33"/>
      <c r="P3750" s="33"/>
      <c r="Q3750" s="33"/>
      <c r="R3750" s="33"/>
      <c r="S3750" s="33"/>
      <c r="T3750" s="33"/>
      <c r="U3750" s="33"/>
      <c r="V3750" s="33"/>
      <c r="W3750" s="33"/>
      <c r="X3750" s="33"/>
      <c r="Y3750" s="33"/>
      <c r="Z3750" s="33"/>
      <c r="AA3750" s="33"/>
      <c r="AB3750" s="33"/>
      <c r="AC3750" s="33"/>
      <c r="AD3750" s="33"/>
      <c r="AE3750" s="33"/>
      <c r="AF3750" s="33"/>
      <c r="AG3750" s="33"/>
      <c r="AH3750" s="33"/>
      <c r="AI3750" s="33"/>
      <c r="AJ3750" s="33"/>
      <c r="AK3750" s="33"/>
    </row>
    <row r="3751">
      <c r="A3751" s="33"/>
      <c r="B3751" s="33"/>
      <c r="C3751" s="33"/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3"/>
      <c r="S3751" s="33"/>
      <c r="T3751" s="33"/>
      <c r="U3751" s="33"/>
      <c r="V3751" s="33"/>
      <c r="W3751" s="33"/>
      <c r="X3751" s="33"/>
      <c r="Y3751" s="33"/>
      <c r="Z3751" s="33"/>
      <c r="AA3751" s="33"/>
      <c r="AB3751" s="33"/>
      <c r="AC3751" s="33"/>
      <c r="AD3751" s="33"/>
      <c r="AE3751" s="33"/>
      <c r="AF3751" s="33"/>
      <c r="AG3751" s="33"/>
      <c r="AH3751" s="33"/>
      <c r="AI3751" s="33"/>
      <c r="AJ3751" s="33"/>
      <c r="AK3751" s="33"/>
    </row>
    <row r="3752">
      <c r="A3752" s="33"/>
      <c r="B3752" s="33"/>
      <c r="C3752" s="33"/>
      <c r="D3752" s="33"/>
      <c r="E3752" s="33"/>
      <c r="F3752" s="33"/>
      <c r="G3752" s="33"/>
      <c r="H3752" s="33"/>
      <c r="I3752" s="33"/>
      <c r="J3752" s="33"/>
      <c r="K3752" s="33"/>
      <c r="L3752" s="33"/>
      <c r="M3752" s="33"/>
      <c r="N3752" s="33"/>
      <c r="O3752" s="33"/>
      <c r="P3752" s="33"/>
      <c r="Q3752" s="33"/>
      <c r="R3752" s="33"/>
      <c r="S3752" s="33"/>
      <c r="T3752" s="33"/>
      <c r="U3752" s="33"/>
      <c r="V3752" s="33"/>
      <c r="W3752" s="33"/>
      <c r="X3752" s="33"/>
      <c r="Y3752" s="33"/>
      <c r="Z3752" s="33"/>
      <c r="AA3752" s="33"/>
      <c r="AB3752" s="33"/>
      <c r="AC3752" s="33"/>
      <c r="AD3752" s="33"/>
      <c r="AE3752" s="33"/>
      <c r="AF3752" s="33"/>
      <c r="AG3752" s="33"/>
      <c r="AH3752" s="33"/>
      <c r="AI3752" s="33"/>
      <c r="AJ3752" s="33"/>
      <c r="AK3752" s="33"/>
    </row>
    <row r="3753">
      <c r="A3753" s="33"/>
      <c r="B3753" s="33"/>
      <c r="C3753" s="33"/>
      <c r="D3753" s="33"/>
      <c r="E3753" s="33"/>
      <c r="F3753" s="33"/>
      <c r="G3753" s="33"/>
      <c r="H3753" s="33"/>
      <c r="I3753" s="33"/>
      <c r="J3753" s="33"/>
      <c r="K3753" s="33"/>
      <c r="L3753" s="33"/>
      <c r="M3753" s="33"/>
      <c r="N3753" s="33"/>
      <c r="O3753" s="33"/>
      <c r="P3753" s="33"/>
      <c r="Q3753" s="33"/>
      <c r="R3753" s="33"/>
      <c r="S3753" s="33"/>
      <c r="T3753" s="33"/>
      <c r="U3753" s="33"/>
      <c r="V3753" s="33"/>
      <c r="W3753" s="33"/>
      <c r="X3753" s="33"/>
      <c r="Y3753" s="33"/>
      <c r="Z3753" s="33"/>
      <c r="AA3753" s="33"/>
      <c r="AB3753" s="33"/>
      <c r="AC3753" s="33"/>
      <c r="AD3753" s="33"/>
      <c r="AE3753" s="33"/>
      <c r="AF3753" s="33"/>
      <c r="AG3753" s="33"/>
      <c r="AH3753" s="33"/>
      <c r="AI3753" s="33"/>
      <c r="AJ3753" s="33"/>
      <c r="AK3753" s="33"/>
    </row>
    <row r="3754">
      <c r="A3754" s="33"/>
      <c r="B3754" s="33"/>
      <c r="C3754" s="33"/>
      <c r="D3754" s="33"/>
      <c r="E3754" s="33"/>
      <c r="F3754" s="33"/>
      <c r="G3754" s="33"/>
      <c r="H3754" s="33"/>
      <c r="I3754" s="33"/>
      <c r="J3754" s="33"/>
      <c r="K3754" s="33"/>
      <c r="L3754" s="33"/>
      <c r="M3754" s="33"/>
      <c r="N3754" s="33"/>
      <c r="O3754" s="33"/>
      <c r="P3754" s="33"/>
      <c r="Q3754" s="33"/>
      <c r="R3754" s="33"/>
      <c r="S3754" s="33"/>
      <c r="T3754" s="33"/>
      <c r="U3754" s="33"/>
      <c r="V3754" s="33"/>
      <c r="W3754" s="33"/>
      <c r="X3754" s="33"/>
      <c r="Y3754" s="33"/>
      <c r="Z3754" s="33"/>
      <c r="AA3754" s="33"/>
      <c r="AB3754" s="33"/>
      <c r="AC3754" s="33"/>
      <c r="AD3754" s="33"/>
      <c r="AE3754" s="33"/>
      <c r="AF3754" s="33"/>
      <c r="AG3754" s="33"/>
      <c r="AH3754" s="33"/>
      <c r="AI3754" s="33"/>
      <c r="AJ3754" s="33"/>
      <c r="AK3754" s="33"/>
    </row>
    <row r="3755">
      <c r="A3755" s="33"/>
      <c r="B3755" s="33"/>
      <c r="C3755" s="33"/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  <c r="Q3755" s="33"/>
      <c r="R3755" s="33"/>
      <c r="S3755" s="33"/>
      <c r="T3755" s="33"/>
      <c r="U3755" s="33"/>
      <c r="V3755" s="33"/>
      <c r="W3755" s="33"/>
      <c r="X3755" s="33"/>
      <c r="Y3755" s="33"/>
      <c r="Z3755" s="33"/>
      <c r="AA3755" s="33"/>
      <c r="AB3755" s="33"/>
      <c r="AC3755" s="33"/>
      <c r="AD3755" s="33"/>
      <c r="AE3755" s="33"/>
      <c r="AF3755" s="33"/>
      <c r="AG3755" s="33"/>
      <c r="AH3755" s="33"/>
      <c r="AI3755" s="33"/>
      <c r="AJ3755" s="33"/>
      <c r="AK3755" s="33"/>
    </row>
    <row r="3756">
      <c r="A3756" s="33"/>
      <c r="B3756" s="33"/>
      <c r="C3756" s="33"/>
      <c r="D3756" s="33"/>
      <c r="E3756" s="33"/>
      <c r="F3756" s="33"/>
      <c r="G3756" s="33"/>
      <c r="H3756" s="33"/>
      <c r="I3756" s="33"/>
      <c r="J3756" s="33"/>
      <c r="K3756" s="33"/>
      <c r="L3756" s="33"/>
      <c r="M3756" s="33"/>
      <c r="N3756" s="33"/>
      <c r="O3756" s="33"/>
      <c r="P3756" s="33"/>
      <c r="Q3756" s="33"/>
      <c r="R3756" s="33"/>
      <c r="S3756" s="33"/>
      <c r="T3756" s="33"/>
      <c r="U3756" s="33"/>
      <c r="V3756" s="33"/>
      <c r="W3756" s="33"/>
      <c r="X3756" s="33"/>
      <c r="Y3756" s="33"/>
      <c r="Z3756" s="33"/>
      <c r="AA3756" s="33"/>
      <c r="AB3756" s="33"/>
      <c r="AC3756" s="33"/>
      <c r="AD3756" s="33"/>
      <c r="AE3756" s="33"/>
      <c r="AF3756" s="33"/>
      <c r="AG3756" s="33"/>
      <c r="AH3756" s="33"/>
      <c r="AI3756" s="33"/>
      <c r="AJ3756" s="33"/>
      <c r="AK3756" s="33"/>
    </row>
    <row r="3757">
      <c r="A3757" s="33"/>
      <c r="B3757" s="33"/>
      <c r="C3757" s="33"/>
      <c r="D3757" s="33"/>
      <c r="E3757" s="33"/>
      <c r="F3757" s="33"/>
      <c r="G3757" s="33"/>
      <c r="H3757" s="33"/>
      <c r="I3757" s="33"/>
      <c r="J3757" s="33"/>
      <c r="K3757" s="33"/>
      <c r="L3757" s="33"/>
      <c r="M3757" s="33"/>
      <c r="N3757" s="33"/>
      <c r="O3757" s="33"/>
      <c r="P3757" s="33"/>
      <c r="Q3757" s="33"/>
      <c r="R3757" s="33"/>
      <c r="S3757" s="33"/>
      <c r="T3757" s="33"/>
      <c r="U3757" s="33"/>
      <c r="V3757" s="33"/>
      <c r="W3757" s="33"/>
      <c r="X3757" s="33"/>
      <c r="Y3757" s="33"/>
      <c r="Z3757" s="33"/>
      <c r="AA3757" s="33"/>
      <c r="AB3757" s="33"/>
      <c r="AC3757" s="33"/>
      <c r="AD3757" s="33"/>
      <c r="AE3757" s="33"/>
      <c r="AF3757" s="33"/>
      <c r="AG3757" s="33"/>
      <c r="AH3757" s="33"/>
      <c r="AI3757" s="33"/>
      <c r="AJ3757" s="33"/>
      <c r="AK3757" s="33"/>
    </row>
    <row r="3758">
      <c r="A3758" s="33"/>
      <c r="B3758" s="33"/>
      <c r="C3758" s="33"/>
      <c r="D3758" s="33"/>
      <c r="E3758" s="33"/>
      <c r="F3758" s="33"/>
      <c r="G3758" s="33"/>
      <c r="H3758" s="33"/>
      <c r="I3758" s="33"/>
      <c r="J3758" s="33"/>
      <c r="K3758" s="33"/>
      <c r="L3758" s="33"/>
      <c r="M3758" s="33"/>
      <c r="N3758" s="33"/>
      <c r="O3758" s="33"/>
      <c r="P3758" s="33"/>
      <c r="Q3758" s="33"/>
      <c r="R3758" s="33"/>
      <c r="S3758" s="33"/>
      <c r="T3758" s="33"/>
      <c r="U3758" s="33"/>
      <c r="V3758" s="33"/>
      <c r="W3758" s="33"/>
      <c r="X3758" s="33"/>
      <c r="Y3758" s="33"/>
      <c r="Z3758" s="33"/>
      <c r="AA3758" s="33"/>
      <c r="AB3758" s="33"/>
      <c r="AC3758" s="33"/>
      <c r="AD3758" s="33"/>
      <c r="AE3758" s="33"/>
      <c r="AF3758" s="33"/>
      <c r="AG3758" s="33"/>
      <c r="AH3758" s="33"/>
      <c r="AI3758" s="33"/>
      <c r="AJ3758" s="33"/>
      <c r="AK3758" s="33"/>
    </row>
    <row r="3759">
      <c r="A3759" s="33"/>
      <c r="B3759" s="33"/>
      <c r="C3759" s="33"/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  <c r="Q3759" s="33"/>
      <c r="R3759" s="33"/>
      <c r="S3759" s="33"/>
      <c r="T3759" s="33"/>
      <c r="U3759" s="33"/>
      <c r="V3759" s="33"/>
      <c r="W3759" s="33"/>
      <c r="X3759" s="33"/>
      <c r="Y3759" s="33"/>
      <c r="Z3759" s="33"/>
      <c r="AA3759" s="33"/>
      <c r="AB3759" s="33"/>
      <c r="AC3759" s="33"/>
      <c r="AD3759" s="33"/>
      <c r="AE3759" s="33"/>
      <c r="AF3759" s="33"/>
      <c r="AG3759" s="33"/>
      <c r="AH3759" s="33"/>
      <c r="AI3759" s="33"/>
      <c r="AJ3759" s="33"/>
      <c r="AK3759" s="33"/>
    </row>
    <row r="3760">
      <c r="A3760" s="33"/>
      <c r="B3760" s="33"/>
      <c r="C3760" s="33"/>
      <c r="D3760" s="33"/>
      <c r="E3760" s="33"/>
      <c r="F3760" s="33"/>
      <c r="G3760" s="33"/>
      <c r="H3760" s="33"/>
      <c r="I3760" s="33"/>
      <c r="J3760" s="33"/>
      <c r="K3760" s="33"/>
      <c r="L3760" s="33"/>
      <c r="M3760" s="33"/>
      <c r="N3760" s="33"/>
      <c r="O3760" s="33"/>
      <c r="P3760" s="33"/>
      <c r="Q3760" s="33"/>
      <c r="R3760" s="33"/>
      <c r="S3760" s="33"/>
      <c r="T3760" s="33"/>
      <c r="U3760" s="33"/>
      <c r="V3760" s="33"/>
      <c r="W3760" s="33"/>
      <c r="X3760" s="33"/>
      <c r="Y3760" s="33"/>
      <c r="Z3760" s="33"/>
      <c r="AA3760" s="33"/>
      <c r="AB3760" s="33"/>
      <c r="AC3760" s="33"/>
      <c r="AD3760" s="33"/>
      <c r="AE3760" s="33"/>
      <c r="AF3760" s="33"/>
      <c r="AG3760" s="33"/>
      <c r="AH3760" s="33"/>
      <c r="AI3760" s="33"/>
      <c r="AJ3760" s="33"/>
      <c r="AK3760" s="33"/>
    </row>
    <row r="3761">
      <c r="A3761" s="33"/>
      <c r="B3761" s="33"/>
      <c r="C3761" s="33"/>
      <c r="D3761" s="33"/>
      <c r="E3761" s="33"/>
      <c r="F3761" s="33"/>
      <c r="G3761" s="33"/>
      <c r="H3761" s="33"/>
      <c r="I3761" s="33"/>
      <c r="J3761" s="33"/>
      <c r="K3761" s="33"/>
      <c r="L3761" s="33"/>
      <c r="M3761" s="33"/>
      <c r="N3761" s="33"/>
      <c r="O3761" s="33"/>
      <c r="P3761" s="33"/>
      <c r="Q3761" s="33"/>
      <c r="R3761" s="33"/>
      <c r="S3761" s="33"/>
      <c r="T3761" s="33"/>
      <c r="U3761" s="33"/>
      <c r="V3761" s="33"/>
      <c r="W3761" s="33"/>
      <c r="X3761" s="33"/>
      <c r="Y3761" s="33"/>
      <c r="Z3761" s="33"/>
      <c r="AA3761" s="33"/>
      <c r="AB3761" s="33"/>
      <c r="AC3761" s="33"/>
      <c r="AD3761" s="33"/>
      <c r="AE3761" s="33"/>
      <c r="AF3761" s="33"/>
      <c r="AG3761" s="33"/>
      <c r="AH3761" s="33"/>
      <c r="AI3761" s="33"/>
      <c r="AJ3761" s="33"/>
      <c r="AK3761" s="33"/>
    </row>
    <row r="3762">
      <c r="A3762" s="33"/>
      <c r="B3762" s="33"/>
      <c r="C3762" s="33"/>
      <c r="D3762" s="33"/>
      <c r="E3762" s="33"/>
      <c r="F3762" s="33"/>
      <c r="G3762" s="33"/>
      <c r="H3762" s="33"/>
      <c r="I3762" s="33"/>
      <c r="J3762" s="33"/>
      <c r="K3762" s="33"/>
      <c r="L3762" s="33"/>
      <c r="M3762" s="33"/>
      <c r="N3762" s="33"/>
      <c r="O3762" s="33"/>
      <c r="P3762" s="33"/>
      <c r="Q3762" s="33"/>
      <c r="R3762" s="33"/>
      <c r="S3762" s="33"/>
      <c r="T3762" s="33"/>
      <c r="U3762" s="33"/>
      <c r="V3762" s="33"/>
      <c r="W3762" s="33"/>
      <c r="X3762" s="33"/>
      <c r="Y3762" s="33"/>
      <c r="Z3762" s="33"/>
      <c r="AA3762" s="33"/>
      <c r="AB3762" s="33"/>
      <c r="AC3762" s="33"/>
      <c r="AD3762" s="33"/>
      <c r="AE3762" s="33"/>
      <c r="AF3762" s="33"/>
      <c r="AG3762" s="33"/>
      <c r="AH3762" s="33"/>
      <c r="AI3762" s="33"/>
      <c r="AJ3762" s="33"/>
      <c r="AK3762" s="33"/>
    </row>
    <row r="3763">
      <c r="A3763" s="33"/>
      <c r="B3763" s="33"/>
      <c r="C3763" s="33"/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  <c r="Q3763" s="33"/>
      <c r="R3763" s="33"/>
      <c r="S3763" s="33"/>
      <c r="T3763" s="33"/>
      <c r="U3763" s="33"/>
      <c r="V3763" s="33"/>
      <c r="W3763" s="33"/>
      <c r="X3763" s="33"/>
      <c r="Y3763" s="33"/>
      <c r="Z3763" s="33"/>
      <c r="AA3763" s="33"/>
      <c r="AB3763" s="33"/>
      <c r="AC3763" s="33"/>
      <c r="AD3763" s="33"/>
      <c r="AE3763" s="33"/>
      <c r="AF3763" s="33"/>
      <c r="AG3763" s="33"/>
      <c r="AH3763" s="33"/>
      <c r="AI3763" s="33"/>
      <c r="AJ3763" s="33"/>
      <c r="AK3763" s="33"/>
    </row>
    <row r="3764">
      <c r="A3764" s="33"/>
      <c r="B3764" s="33"/>
      <c r="C3764" s="33"/>
      <c r="D3764" s="33"/>
      <c r="E3764" s="33"/>
      <c r="F3764" s="33"/>
      <c r="G3764" s="33"/>
      <c r="H3764" s="33"/>
      <c r="I3764" s="33"/>
      <c r="J3764" s="33"/>
      <c r="K3764" s="33"/>
      <c r="L3764" s="33"/>
      <c r="M3764" s="33"/>
      <c r="N3764" s="33"/>
      <c r="O3764" s="33"/>
      <c r="P3764" s="33"/>
      <c r="Q3764" s="33"/>
      <c r="R3764" s="33"/>
      <c r="S3764" s="33"/>
      <c r="T3764" s="33"/>
      <c r="U3764" s="33"/>
      <c r="V3764" s="33"/>
      <c r="W3764" s="33"/>
      <c r="X3764" s="33"/>
      <c r="Y3764" s="33"/>
      <c r="Z3764" s="33"/>
      <c r="AA3764" s="33"/>
      <c r="AB3764" s="33"/>
      <c r="AC3764" s="33"/>
      <c r="AD3764" s="33"/>
      <c r="AE3764" s="33"/>
      <c r="AF3764" s="33"/>
      <c r="AG3764" s="33"/>
      <c r="AH3764" s="33"/>
      <c r="AI3764" s="33"/>
      <c r="AJ3764" s="33"/>
      <c r="AK3764" s="33"/>
    </row>
    <row r="3765">
      <c r="A3765" s="33"/>
      <c r="B3765" s="33"/>
      <c r="C3765" s="33"/>
      <c r="D3765" s="33"/>
      <c r="E3765" s="33"/>
      <c r="F3765" s="33"/>
      <c r="G3765" s="33"/>
      <c r="H3765" s="33"/>
      <c r="I3765" s="33"/>
      <c r="J3765" s="33"/>
      <c r="K3765" s="33"/>
      <c r="L3765" s="33"/>
      <c r="M3765" s="33"/>
      <c r="N3765" s="33"/>
      <c r="O3765" s="33"/>
      <c r="P3765" s="33"/>
      <c r="Q3765" s="33"/>
      <c r="R3765" s="33"/>
      <c r="S3765" s="33"/>
      <c r="T3765" s="33"/>
      <c r="U3765" s="33"/>
      <c r="V3765" s="33"/>
      <c r="W3765" s="33"/>
      <c r="X3765" s="33"/>
      <c r="Y3765" s="33"/>
      <c r="Z3765" s="33"/>
      <c r="AA3765" s="33"/>
      <c r="AB3765" s="33"/>
      <c r="AC3765" s="33"/>
      <c r="AD3765" s="33"/>
      <c r="AE3765" s="33"/>
      <c r="AF3765" s="33"/>
      <c r="AG3765" s="33"/>
      <c r="AH3765" s="33"/>
      <c r="AI3765" s="33"/>
      <c r="AJ3765" s="33"/>
      <c r="AK3765" s="33"/>
    </row>
    <row r="3766">
      <c r="A3766" s="33"/>
      <c r="B3766" s="33"/>
      <c r="C3766" s="33"/>
      <c r="D3766" s="33"/>
      <c r="E3766" s="33"/>
      <c r="F3766" s="33"/>
      <c r="G3766" s="33"/>
      <c r="H3766" s="33"/>
      <c r="I3766" s="33"/>
      <c r="J3766" s="33"/>
      <c r="K3766" s="33"/>
      <c r="L3766" s="33"/>
      <c r="M3766" s="33"/>
      <c r="N3766" s="33"/>
      <c r="O3766" s="33"/>
      <c r="P3766" s="33"/>
      <c r="Q3766" s="33"/>
      <c r="R3766" s="33"/>
      <c r="S3766" s="33"/>
      <c r="T3766" s="33"/>
      <c r="U3766" s="33"/>
      <c r="V3766" s="33"/>
      <c r="W3766" s="33"/>
      <c r="X3766" s="33"/>
      <c r="Y3766" s="33"/>
      <c r="Z3766" s="33"/>
      <c r="AA3766" s="33"/>
      <c r="AB3766" s="33"/>
      <c r="AC3766" s="33"/>
      <c r="AD3766" s="33"/>
      <c r="AE3766" s="33"/>
      <c r="AF3766" s="33"/>
      <c r="AG3766" s="33"/>
      <c r="AH3766" s="33"/>
      <c r="AI3766" s="33"/>
      <c r="AJ3766" s="33"/>
      <c r="AK3766" s="33"/>
    </row>
    <row r="3767">
      <c r="A3767" s="33"/>
      <c r="B3767" s="33"/>
      <c r="C3767" s="33"/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  <c r="R3767" s="33"/>
      <c r="S3767" s="33"/>
      <c r="T3767" s="33"/>
      <c r="U3767" s="33"/>
      <c r="V3767" s="33"/>
      <c r="W3767" s="33"/>
      <c r="X3767" s="33"/>
      <c r="Y3767" s="33"/>
      <c r="Z3767" s="33"/>
      <c r="AA3767" s="33"/>
      <c r="AB3767" s="33"/>
      <c r="AC3767" s="33"/>
      <c r="AD3767" s="33"/>
      <c r="AE3767" s="33"/>
      <c r="AF3767" s="33"/>
      <c r="AG3767" s="33"/>
      <c r="AH3767" s="33"/>
      <c r="AI3767" s="33"/>
      <c r="AJ3767" s="33"/>
      <c r="AK3767" s="33"/>
    </row>
    <row r="3768">
      <c r="A3768" s="33"/>
      <c r="B3768" s="33"/>
      <c r="C3768" s="33"/>
      <c r="D3768" s="33"/>
      <c r="E3768" s="33"/>
      <c r="F3768" s="33"/>
      <c r="G3768" s="33"/>
      <c r="H3768" s="33"/>
      <c r="I3768" s="33"/>
      <c r="J3768" s="33"/>
      <c r="K3768" s="33"/>
      <c r="L3768" s="33"/>
      <c r="M3768" s="33"/>
      <c r="N3768" s="33"/>
      <c r="O3768" s="33"/>
      <c r="P3768" s="33"/>
      <c r="Q3768" s="33"/>
      <c r="R3768" s="33"/>
      <c r="S3768" s="33"/>
      <c r="T3768" s="33"/>
      <c r="U3768" s="33"/>
      <c r="V3768" s="33"/>
      <c r="W3768" s="33"/>
      <c r="X3768" s="33"/>
      <c r="Y3768" s="33"/>
      <c r="Z3768" s="33"/>
      <c r="AA3768" s="33"/>
      <c r="AB3768" s="33"/>
      <c r="AC3768" s="33"/>
      <c r="AD3768" s="33"/>
      <c r="AE3768" s="33"/>
      <c r="AF3768" s="33"/>
      <c r="AG3768" s="33"/>
      <c r="AH3768" s="33"/>
      <c r="AI3768" s="33"/>
      <c r="AJ3768" s="33"/>
      <c r="AK3768" s="33"/>
    </row>
    <row r="3769">
      <c r="A3769" s="33"/>
      <c r="B3769" s="33"/>
      <c r="C3769" s="33"/>
      <c r="D3769" s="33"/>
      <c r="E3769" s="33"/>
      <c r="F3769" s="33"/>
      <c r="G3769" s="33"/>
      <c r="H3769" s="33"/>
      <c r="I3769" s="33"/>
      <c r="J3769" s="33"/>
      <c r="K3769" s="33"/>
      <c r="L3769" s="33"/>
      <c r="M3769" s="33"/>
      <c r="N3769" s="33"/>
      <c r="O3769" s="33"/>
      <c r="P3769" s="33"/>
      <c r="Q3769" s="33"/>
      <c r="R3769" s="33"/>
      <c r="S3769" s="33"/>
      <c r="T3769" s="33"/>
      <c r="U3769" s="33"/>
      <c r="V3769" s="33"/>
      <c r="W3769" s="33"/>
      <c r="X3769" s="33"/>
      <c r="Y3769" s="33"/>
      <c r="Z3769" s="33"/>
      <c r="AA3769" s="33"/>
      <c r="AB3769" s="33"/>
      <c r="AC3769" s="33"/>
      <c r="AD3769" s="33"/>
      <c r="AE3769" s="33"/>
      <c r="AF3769" s="33"/>
      <c r="AG3769" s="33"/>
      <c r="AH3769" s="33"/>
      <c r="AI3769" s="33"/>
      <c r="AJ3769" s="33"/>
      <c r="AK3769" s="33"/>
    </row>
    <row r="3770">
      <c r="A3770" s="33"/>
      <c r="B3770" s="33"/>
      <c r="C3770" s="33"/>
      <c r="D3770" s="33"/>
      <c r="E3770" s="33"/>
      <c r="F3770" s="33"/>
      <c r="G3770" s="33"/>
      <c r="H3770" s="33"/>
      <c r="I3770" s="33"/>
      <c r="J3770" s="33"/>
      <c r="K3770" s="33"/>
      <c r="L3770" s="33"/>
      <c r="M3770" s="33"/>
      <c r="N3770" s="33"/>
      <c r="O3770" s="33"/>
      <c r="P3770" s="33"/>
      <c r="Q3770" s="33"/>
      <c r="R3770" s="33"/>
      <c r="S3770" s="33"/>
      <c r="T3770" s="33"/>
      <c r="U3770" s="33"/>
      <c r="V3770" s="33"/>
      <c r="W3770" s="33"/>
      <c r="X3770" s="33"/>
      <c r="Y3770" s="33"/>
      <c r="Z3770" s="33"/>
      <c r="AA3770" s="33"/>
      <c r="AB3770" s="33"/>
      <c r="AC3770" s="33"/>
      <c r="AD3770" s="33"/>
      <c r="AE3770" s="33"/>
      <c r="AF3770" s="33"/>
      <c r="AG3770" s="33"/>
      <c r="AH3770" s="33"/>
      <c r="AI3770" s="33"/>
      <c r="AJ3770" s="33"/>
      <c r="AK3770" s="33"/>
    </row>
    <row r="3771">
      <c r="A3771" s="33"/>
      <c r="B3771" s="33"/>
      <c r="C3771" s="33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  <c r="Q3771" s="33"/>
      <c r="R3771" s="33"/>
      <c r="S3771" s="33"/>
      <c r="T3771" s="33"/>
      <c r="U3771" s="33"/>
      <c r="V3771" s="33"/>
      <c r="W3771" s="33"/>
      <c r="X3771" s="33"/>
      <c r="Y3771" s="33"/>
      <c r="Z3771" s="33"/>
      <c r="AA3771" s="33"/>
      <c r="AB3771" s="33"/>
      <c r="AC3771" s="33"/>
      <c r="AD3771" s="33"/>
      <c r="AE3771" s="33"/>
      <c r="AF3771" s="33"/>
      <c r="AG3771" s="33"/>
      <c r="AH3771" s="33"/>
      <c r="AI3771" s="33"/>
      <c r="AJ3771" s="33"/>
      <c r="AK3771" s="33"/>
    </row>
    <row r="3772">
      <c r="A3772" s="33"/>
      <c r="B3772" s="33"/>
      <c r="C3772" s="33"/>
      <c r="D3772" s="33"/>
      <c r="E3772" s="33"/>
      <c r="F3772" s="33"/>
      <c r="G3772" s="33"/>
      <c r="H3772" s="33"/>
      <c r="I3772" s="33"/>
      <c r="J3772" s="33"/>
      <c r="K3772" s="33"/>
      <c r="L3772" s="33"/>
      <c r="M3772" s="33"/>
      <c r="N3772" s="33"/>
      <c r="O3772" s="33"/>
      <c r="P3772" s="33"/>
      <c r="Q3772" s="33"/>
      <c r="R3772" s="33"/>
      <c r="S3772" s="33"/>
      <c r="T3772" s="33"/>
      <c r="U3772" s="33"/>
      <c r="V3772" s="33"/>
      <c r="W3772" s="33"/>
      <c r="X3772" s="33"/>
      <c r="Y3772" s="33"/>
      <c r="Z3772" s="33"/>
      <c r="AA3772" s="33"/>
      <c r="AB3772" s="33"/>
      <c r="AC3772" s="33"/>
      <c r="AD3772" s="33"/>
      <c r="AE3772" s="33"/>
      <c r="AF3772" s="33"/>
      <c r="AG3772" s="33"/>
      <c r="AH3772" s="33"/>
      <c r="AI3772" s="33"/>
      <c r="AJ3772" s="33"/>
      <c r="AK3772" s="33"/>
    </row>
    <row r="3773">
      <c r="A3773" s="33"/>
      <c r="B3773" s="33"/>
      <c r="C3773" s="33"/>
      <c r="D3773" s="33"/>
      <c r="E3773" s="33"/>
      <c r="F3773" s="33"/>
      <c r="G3773" s="33"/>
      <c r="H3773" s="33"/>
      <c r="I3773" s="33"/>
      <c r="J3773" s="33"/>
      <c r="K3773" s="33"/>
      <c r="L3773" s="33"/>
      <c r="M3773" s="33"/>
      <c r="N3773" s="33"/>
      <c r="O3773" s="33"/>
      <c r="P3773" s="33"/>
      <c r="Q3773" s="33"/>
      <c r="R3773" s="33"/>
      <c r="S3773" s="33"/>
      <c r="T3773" s="33"/>
      <c r="U3773" s="33"/>
      <c r="V3773" s="33"/>
      <c r="W3773" s="33"/>
      <c r="X3773" s="33"/>
      <c r="Y3773" s="33"/>
      <c r="Z3773" s="33"/>
      <c r="AA3773" s="33"/>
      <c r="AB3773" s="33"/>
      <c r="AC3773" s="33"/>
      <c r="AD3773" s="33"/>
      <c r="AE3773" s="33"/>
      <c r="AF3773" s="33"/>
      <c r="AG3773" s="33"/>
      <c r="AH3773" s="33"/>
      <c r="AI3773" s="33"/>
      <c r="AJ3773" s="33"/>
      <c r="AK3773" s="33"/>
    </row>
    <row r="3774">
      <c r="A3774" s="33"/>
      <c r="B3774" s="33"/>
      <c r="C3774" s="33"/>
      <c r="D3774" s="33"/>
      <c r="E3774" s="33"/>
      <c r="F3774" s="33"/>
      <c r="G3774" s="33"/>
      <c r="H3774" s="33"/>
      <c r="I3774" s="33"/>
      <c r="J3774" s="33"/>
      <c r="K3774" s="33"/>
      <c r="L3774" s="33"/>
      <c r="M3774" s="33"/>
      <c r="N3774" s="33"/>
      <c r="O3774" s="33"/>
      <c r="P3774" s="33"/>
      <c r="Q3774" s="33"/>
      <c r="R3774" s="33"/>
      <c r="S3774" s="33"/>
      <c r="T3774" s="33"/>
      <c r="U3774" s="33"/>
      <c r="V3774" s="33"/>
      <c r="W3774" s="33"/>
      <c r="X3774" s="33"/>
      <c r="Y3774" s="33"/>
      <c r="Z3774" s="33"/>
      <c r="AA3774" s="33"/>
      <c r="AB3774" s="33"/>
      <c r="AC3774" s="33"/>
      <c r="AD3774" s="33"/>
      <c r="AE3774" s="33"/>
      <c r="AF3774" s="33"/>
      <c r="AG3774" s="33"/>
      <c r="AH3774" s="33"/>
      <c r="AI3774" s="33"/>
      <c r="AJ3774" s="33"/>
      <c r="AK3774" s="33"/>
    </row>
    <row r="3775">
      <c r="A3775" s="33"/>
      <c r="B3775" s="33"/>
      <c r="C3775" s="33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  <c r="Q3775" s="33"/>
      <c r="R3775" s="33"/>
      <c r="S3775" s="33"/>
      <c r="T3775" s="33"/>
      <c r="U3775" s="33"/>
      <c r="V3775" s="33"/>
      <c r="W3775" s="33"/>
      <c r="X3775" s="33"/>
      <c r="Y3775" s="33"/>
      <c r="Z3775" s="33"/>
      <c r="AA3775" s="33"/>
      <c r="AB3775" s="33"/>
      <c r="AC3775" s="33"/>
      <c r="AD3775" s="33"/>
      <c r="AE3775" s="33"/>
      <c r="AF3775" s="33"/>
      <c r="AG3775" s="33"/>
      <c r="AH3775" s="33"/>
      <c r="AI3775" s="33"/>
      <c r="AJ3775" s="33"/>
      <c r="AK3775" s="33"/>
    </row>
    <row r="3776">
      <c r="A3776" s="33"/>
      <c r="B3776" s="33"/>
      <c r="C3776" s="33"/>
      <c r="D3776" s="33"/>
      <c r="E3776" s="33"/>
      <c r="F3776" s="33"/>
      <c r="G3776" s="33"/>
      <c r="H3776" s="33"/>
      <c r="I3776" s="33"/>
      <c r="J3776" s="33"/>
      <c r="K3776" s="33"/>
      <c r="L3776" s="33"/>
      <c r="M3776" s="33"/>
      <c r="N3776" s="33"/>
      <c r="O3776" s="33"/>
      <c r="P3776" s="33"/>
      <c r="Q3776" s="33"/>
      <c r="R3776" s="33"/>
      <c r="S3776" s="33"/>
      <c r="T3776" s="33"/>
      <c r="U3776" s="33"/>
      <c r="V3776" s="33"/>
      <c r="W3776" s="33"/>
      <c r="X3776" s="33"/>
      <c r="Y3776" s="33"/>
      <c r="Z3776" s="33"/>
      <c r="AA3776" s="33"/>
      <c r="AB3776" s="33"/>
      <c r="AC3776" s="33"/>
      <c r="AD3776" s="33"/>
      <c r="AE3776" s="33"/>
      <c r="AF3776" s="33"/>
      <c r="AG3776" s="33"/>
      <c r="AH3776" s="33"/>
      <c r="AI3776" s="33"/>
      <c r="AJ3776" s="33"/>
      <c r="AK3776" s="33"/>
    </row>
    <row r="3777">
      <c r="A3777" s="33"/>
      <c r="B3777" s="33"/>
      <c r="C3777" s="33"/>
      <c r="D3777" s="33"/>
      <c r="E3777" s="33"/>
      <c r="F3777" s="33"/>
      <c r="G3777" s="33"/>
      <c r="H3777" s="33"/>
      <c r="I3777" s="33"/>
      <c r="J3777" s="33"/>
      <c r="K3777" s="33"/>
      <c r="L3777" s="33"/>
      <c r="M3777" s="33"/>
      <c r="N3777" s="33"/>
      <c r="O3777" s="33"/>
      <c r="P3777" s="33"/>
      <c r="Q3777" s="33"/>
      <c r="R3777" s="33"/>
      <c r="S3777" s="33"/>
      <c r="T3777" s="33"/>
      <c r="U3777" s="33"/>
      <c r="V3777" s="33"/>
      <c r="W3777" s="33"/>
      <c r="X3777" s="33"/>
      <c r="Y3777" s="33"/>
      <c r="Z3777" s="33"/>
      <c r="AA3777" s="33"/>
      <c r="AB3777" s="33"/>
      <c r="AC3777" s="33"/>
      <c r="AD3777" s="33"/>
      <c r="AE3777" s="33"/>
      <c r="AF3777" s="33"/>
      <c r="AG3777" s="33"/>
      <c r="AH3777" s="33"/>
      <c r="AI3777" s="33"/>
      <c r="AJ3777" s="33"/>
      <c r="AK3777" s="33"/>
    </row>
    <row r="3778">
      <c r="A3778" s="33"/>
      <c r="B3778" s="33"/>
      <c r="C3778" s="33"/>
      <c r="D3778" s="33"/>
      <c r="E3778" s="33"/>
      <c r="F3778" s="33"/>
      <c r="G3778" s="33"/>
      <c r="H3778" s="33"/>
      <c r="I3778" s="33"/>
      <c r="J3778" s="33"/>
      <c r="K3778" s="33"/>
      <c r="L3778" s="33"/>
      <c r="M3778" s="33"/>
      <c r="N3778" s="33"/>
      <c r="O3778" s="33"/>
      <c r="P3778" s="33"/>
      <c r="Q3778" s="33"/>
      <c r="R3778" s="33"/>
      <c r="S3778" s="33"/>
      <c r="T3778" s="33"/>
      <c r="U3778" s="33"/>
      <c r="V3778" s="33"/>
      <c r="W3778" s="33"/>
      <c r="X3778" s="33"/>
      <c r="Y3778" s="33"/>
      <c r="Z3778" s="33"/>
      <c r="AA3778" s="33"/>
      <c r="AB3778" s="33"/>
      <c r="AC3778" s="33"/>
      <c r="AD3778" s="33"/>
      <c r="AE3778" s="33"/>
      <c r="AF3778" s="33"/>
      <c r="AG3778" s="33"/>
      <c r="AH3778" s="33"/>
      <c r="AI3778" s="33"/>
      <c r="AJ3778" s="33"/>
      <c r="AK3778" s="33"/>
    </row>
    <row r="3779">
      <c r="A3779" s="33"/>
      <c r="B3779" s="33"/>
      <c r="C3779" s="33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  <c r="Q3779" s="33"/>
      <c r="R3779" s="33"/>
      <c r="S3779" s="33"/>
      <c r="T3779" s="33"/>
      <c r="U3779" s="33"/>
      <c r="V3779" s="33"/>
      <c r="W3779" s="33"/>
      <c r="X3779" s="33"/>
      <c r="Y3779" s="33"/>
      <c r="Z3779" s="33"/>
      <c r="AA3779" s="33"/>
      <c r="AB3779" s="33"/>
      <c r="AC3779" s="33"/>
      <c r="AD3779" s="33"/>
      <c r="AE3779" s="33"/>
      <c r="AF3779" s="33"/>
      <c r="AG3779" s="33"/>
      <c r="AH3779" s="33"/>
      <c r="AI3779" s="33"/>
      <c r="AJ3779" s="33"/>
      <c r="AK3779" s="33"/>
    </row>
    <row r="3780">
      <c r="A3780" s="33"/>
      <c r="B3780" s="33"/>
      <c r="C3780" s="33"/>
      <c r="D3780" s="33"/>
      <c r="E3780" s="33"/>
      <c r="F3780" s="33"/>
      <c r="G3780" s="33"/>
      <c r="H3780" s="33"/>
      <c r="I3780" s="33"/>
      <c r="J3780" s="33"/>
      <c r="K3780" s="33"/>
      <c r="L3780" s="33"/>
      <c r="M3780" s="33"/>
      <c r="N3780" s="33"/>
      <c r="O3780" s="33"/>
      <c r="P3780" s="33"/>
      <c r="Q3780" s="33"/>
      <c r="R3780" s="33"/>
      <c r="S3780" s="33"/>
      <c r="T3780" s="33"/>
      <c r="U3780" s="33"/>
      <c r="V3780" s="33"/>
      <c r="W3780" s="33"/>
      <c r="X3780" s="33"/>
      <c r="Y3780" s="33"/>
      <c r="Z3780" s="33"/>
      <c r="AA3780" s="33"/>
      <c r="AB3780" s="33"/>
      <c r="AC3780" s="33"/>
      <c r="AD3780" s="33"/>
      <c r="AE3780" s="33"/>
      <c r="AF3780" s="33"/>
      <c r="AG3780" s="33"/>
      <c r="AH3780" s="33"/>
      <c r="AI3780" s="33"/>
      <c r="AJ3780" s="33"/>
      <c r="AK3780" s="33"/>
    </row>
    <row r="3781">
      <c r="A3781" s="33"/>
      <c r="B3781" s="33"/>
      <c r="C3781" s="33"/>
      <c r="D3781" s="33"/>
      <c r="E3781" s="33"/>
      <c r="F3781" s="33"/>
      <c r="G3781" s="33"/>
      <c r="H3781" s="33"/>
      <c r="I3781" s="33"/>
      <c r="J3781" s="33"/>
      <c r="K3781" s="33"/>
      <c r="L3781" s="33"/>
      <c r="M3781" s="33"/>
      <c r="N3781" s="33"/>
      <c r="O3781" s="33"/>
      <c r="P3781" s="33"/>
      <c r="Q3781" s="33"/>
      <c r="R3781" s="33"/>
      <c r="S3781" s="33"/>
      <c r="T3781" s="33"/>
      <c r="U3781" s="33"/>
      <c r="V3781" s="33"/>
      <c r="W3781" s="33"/>
      <c r="X3781" s="33"/>
      <c r="Y3781" s="33"/>
      <c r="Z3781" s="33"/>
      <c r="AA3781" s="33"/>
      <c r="AB3781" s="33"/>
      <c r="AC3781" s="33"/>
      <c r="AD3781" s="33"/>
      <c r="AE3781" s="33"/>
      <c r="AF3781" s="33"/>
      <c r="AG3781" s="33"/>
      <c r="AH3781" s="33"/>
      <c r="AI3781" s="33"/>
      <c r="AJ3781" s="33"/>
      <c r="AK3781" s="33"/>
    </row>
    <row r="3782">
      <c r="A3782" s="33"/>
      <c r="B3782" s="33"/>
      <c r="C3782" s="33"/>
      <c r="D3782" s="33"/>
      <c r="E3782" s="33"/>
      <c r="F3782" s="33"/>
      <c r="G3782" s="33"/>
      <c r="H3782" s="33"/>
      <c r="I3782" s="33"/>
      <c r="J3782" s="33"/>
      <c r="K3782" s="33"/>
      <c r="L3782" s="33"/>
      <c r="M3782" s="33"/>
      <c r="N3782" s="33"/>
      <c r="O3782" s="33"/>
      <c r="P3782" s="33"/>
      <c r="Q3782" s="33"/>
      <c r="R3782" s="33"/>
      <c r="S3782" s="33"/>
      <c r="T3782" s="33"/>
      <c r="U3782" s="33"/>
      <c r="V3782" s="33"/>
      <c r="W3782" s="33"/>
      <c r="X3782" s="33"/>
      <c r="Y3782" s="33"/>
      <c r="Z3782" s="33"/>
      <c r="AA3782" s="33"/>
      <c r="AB3782" s="33"/>
      <c r="AC3782" s="33"/>
      <c r="AD3782" s="33"/>
      <c r="AE3782" s="33"/>
      <c r="AF3782" s="33"/>
      <c r="AG3782" s="33"/>
      <c r="AH3782" s="33"/>
      <c r="AI3782" s="33"/>
      <c r="AJ3782" s="33"/>
      <c r="AK3782" s="33"/>
    </row>
    <row r="3783">
      <c r="A3783" s="33"/>
      <c r="B3783" s="33"/>
      <c r="C3783" s="33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  <c r="Q3783" s="33"/>
      <c r="R3783" s="33"/>
      <c r="S3783" s="33"/>
      <c r="T3783" s="33"/>
      <c r="U3783" s="33"/>
      <c r="V3783" s="33"/>
      <c r="W3783" s="33"/>
      <c r="X3783" s="33"/>
      <c r="Y3783" s="33"/>
      <c r="Z3783" s="33"/>
      <c r="AA3783" s="33"/>
      <c r="AB3783" s="33"/>
      <c r="AC3783" s="33"/>
      <c r="AD3783" s="33"/>
      <c r="AE3783" s="33"/>
      <c r="AF3783" s="33"/>
      <c r="AG3783" s="33"/>
      <c r="AH3783" s="33"/>
      <c r="AI3783" s="33"/>
      <c r="AJ3783" s="33"/>
      <c r="AK3783" s="33"/>
    </row>
    <row r="3784">
      <c r="A3784" s="33"/>
      <c r="B3784" s="33"/>
      <c r="C3784" s="33"/>
      <c r="D3784" s="33"/>
      <c r="E3784" s="33"/>
      <c r="F3784" s="33"/>
      <c r="G3784" s="33"/>
      <c r="H3784" s="33"/>
      <c r="I3784" s="33"/>
      <c r="J3784" s="33"/>
      <c r="K3784" s="33"/>
      <c r="L3784" s="33"/>
      <c r="M3784" s="33"/>
      <c r="N3784" s="33"/>
      <c r="O3784" s="33"/>
      <c r="P3784" s="33"/>
      <c r="Q3784" s="33"/>
      <c r="R3784" s="33"/>
      <c r="S3784" s="33"/>
      <c r="T3784" s="33"/>
      <c r="U3784" s="33"/>
      <c r="V3784" s="33"/>
      <c r="W3784" s="33"/>
      <c r="X3784" s="33"/>
      <c r="Y3784" s="33"/>
      <c r="Z3784" s="33"/>
      <c r="AA3784" s="33"/>
      <c r="AB3784" s="33"/>
      <c r="AC3784" s="33"/>
      <c r="AD3784" s="33"/>
      <c r="AE3784" s="33"/>
      <c r="AF3784" s="33"/>
      <c r="AG3784" s="33"/>
      <c r="AH3784" s="33"/>
      <c r="AI3784" s="33"/>
      <c r="AJ3784" s="33"/>
      <c r="AK3784" s="33"/>
    </row>
    <row r="3785">
      <c r="A3785" s="33"/>
      <c r="B3785" s="33"/>
      <c r="C3785" s="33"/>
      <c r="D3785" s="33"/>
      <c r="E3785" s="33"/>
      <c r="F3785" s="33"/>
      <c r="G3785" s="33"/>
      <c r="H3785" s="33"/>
      <c r="I3785" s="33"/>
      <c r="J3785" s="33"/>
      <c r="K3785" s="33"/>
      <c r="L3785" s="33"/>
      <c r="M3785" s="33"/>
      <c r="N3785" s="33"/>
      <c r="O3785" s="33"/>
      <c r="P3785" s="33"/>
      <c r="Q3785" s="33"/>
      <c r="R3785" s="33"/>
      <c r="S3785" s="33"/>
      <c r="T3785" s="33"/>
      <c r="U3785" s="33"/>
      <c r="V3785" s="33"/>
      <c r="W3785" s="33"/>
      <c r="X3785" s="33"/>
      <c r="Y3785" s="33"/>
      <c r="Z3785" s="33"/>
      <c r="AA3785" s="33"/>
      <c r="AB3785" s="33"/>
      <c r="AC3785" s="33"/>
      <c r="AD3785" s="33"/>
      <c r="AE3785" s="33"/>
      <c r="AF3785" s="33"/>
      <c r="AG3785" s="33"/>
      <c r="AH3785" s="33"/>
      <c r="AI3785" s="33"/>
      <c r="AJ3785" s="33"/>
      <c r="AK3785" s="33"/>
    </row>
    <row r="3786">
      <c r="A3786" s="33"/>
      <c r="B3786" s="33"/>
      <c r="C3786" s="33"/>
      <c r="D3786" s="33"/>
      <c r="E3786" s="33"/>
      <c r="F3786" s="33"/>
      <c r="G3786" s="33"/>
      <c r="H3786" s="33"/>
      <c r="I3786" s="33"/>
      <c r="J3786" s="33"/>
      <c r="K3786" s="33"/>
      <c r="L3786" s="33"/>
      <c r="M3786" s="33"/>
      <c r="N3786" s="33"/>
      <c r="O3786" s="33"/>
      <c r="P3786" s="33"/>
      <c r="Q3786" s="33"/>
      <c r="R3786" s="33"/>
      <c r="S3786" s="33"/>
      <c r="T3786" s="33"/>
      <c r="U3786" s="33"/>
      <c r="V3786" s="33"/>
      <c r="W3786" s="33"/>
      <c r="X3786" s="33"/>
      <c r="Y3786" s="33"/>
      <c r="Z3786" s="33"/>
      <c r="AA3786" s="33"/>
      <c r="AB3786" s="33"/>
      <c r="AC3786" s="33"/>
      <c r="AD3786" s="33"/>
      <c r="AE3786" s="33"/>
      <c r="AF3786" s="33"/>
      <c r="AG3786" s="33"/>
      <c r="AH3786" s="33"/>
      <c r="AI3786" s="33"/>
      <c r="AJ3786" s="33"/>
      <c r="AK3786" s="33"/>
    </row>
    <row r="3787">
      <c r="A3787" s="33"/>
      <c r="B3787" s="33"/>
      <c r="C3787" s="33"/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  <c r="Q3787" s="33"/>
      <c r="R3787" s="33"/>
      <c r="S3787" s="33"/>
      <c r="T3787" s="33"/>
      <c r="U3787" s="33"/>
      <c r="V3787" s="33"/>
      <c r="W3787" s="33"/>
      <c r="X3787" s="33"/>
      <c r="Y3787" s="33"/>
      <c r="Z3787" s="33"/>
      <c r="AA3787" s="33"/>
      <c r="AB3787" s="33"/>
      <c r="AC3787" s="33"/>
      <c r="AD3787" s="33"/>
      <c r="AE3787" s="33"/>
      <c r="AF3787" s="33"/>
      <c r="AG3787" s="33"/>
      <c r="AH3787" s="33"/>
      <c r="AI3787" s="33"/>
      <c r="AJ3787" s="33"/>
      <c r="AK3787" s="33"/>
    </row>
    <row r="3788">
      <c r="A3788" s="33"/>
      <c r="B3788" s="33"/>
      <c r="C3788" s="33"/>
      <c r="D3788" s="33"/>
      <c r="E3788" s="33"/>
      <c r="F3788" s="33"/>
      <c r="G3788" s="33"/>
      <c r="H3788" s="33"/>
      <c r="I3788" s="33"/>
      <c r="J3788" s="33"/>
      <c r="K3788" s="33"/>
      <c r="L3788" s="33"/>
      <c r="M3788" s="33"/>
      <c r="N3788" s="33"/>
      <c r="O3788" s="33"/>
      <c r="P3788" s="33"/>
      <c r="Q3788" s="33"/>
      <c r="R3788" s="33"/>
      <c r="S3788" s="33"/>
      <c r="T3788" s="33"/>
      <c r="U3788" s="33"/>
      <c r="V3788" s="33"/>
      <c r="W3788" s="33"/>
      <c r="X3788" s="33"/>
      <c r="Y3788" s="33"/>
      <c r="Z3788" s="33"/>
      <c r="AA3788" s="33"/>
      <c r="AB3788" s="33"/>
      <c r="AC3788" s="33"/>
      <c r="AD3788" s="33"/>
      <c r="AE3788" s="33"/>
      <c r="AF3788" s="33"/>
      <c r="AG3788" s="33"/>
      <c r="AH3788" s="33"/>
      <c r="AI3788" s="33"/>
      <c r="AJ3788" s="33"/>
      <c r="AK3788" s="33"/>
    </row>
    <row r="3789">
      <c r="A3789" s="33"/>
      <c r="B3789" s="33"/>
      <c r="C3789" s="33"/>
      <c r="D3789" s="33"/>
      <c r="E3789" s="33"/>
      <c r="F3789" s="33"/>
      <c r="G3789" s="33"/>
      <c r="H3789" s="33"/>
      <c r="I3789" s="33"/>
      <c r="J3789" s="33"/>
      <c r="K3789" s="33"/>
      <c r="L3789" s="33"/>
      <c r="M3789" s="33"/>
      <c r="N3789" s="33"/>
      <c r="O3789" s="33"/>
      <c r="P3789" s="33"/>
      <c r="Q3789" s="33"/>
      <c r="R3789" s="33"/>
      <c r="S3789" s="33"/>
      <c r="T3789" s="33"/>
      <c r="U3789" s="33"/>
      <c r="V3789" s="33"/>
      <c r="W3789" s="33"/>
      <c r="X3789" s="33"/>
      <c r="Y3789" s="33"/>
      <c r="Z3789" s="33"/>
      <c r="AA3789" s="33"/>
      <c r="AB3789" s="33"/>
      <c r="AC3789" s="33"/>
      <c r="AD3789" s="33"/>
      <c r="AE3789" s="33"/>
      <c r="AF3789" s="33"/>
      <c r="AG3789" s="33"/>
      <c r="AH3789" s="33"/>
      <c r="AI3789" s="33"/>
      <c r="AJ3789" s="33"/>
      <c r="AK3789" s="33"/>
    </row>
    <row r="3790">
      <c r="A3790" s="33"/>
      <c r="B3790" s="33"/>
      <c r="C3790" s="33"/>
      <c r="D3790" s="33"/>
      <c r="E3790" s="33"/>
      <c r="F3790" s="33"/>
      <c r="G3790" s="33"/>
      <c r="H3790" s="33"/>
      <c r="I3790" s="33"/>
      <c r="J3790" s="33"/>
      <c r="K3790" s="33"/>
      <c r="L3790" s="33"/>
      <c r="M3790" s="33"/>
      <c r="N3790" s="33"/>
      <c r="O3790" s="33"/>
      <c r="P3790" s="33"/>
      <c r="Q3790" s="33"/>
      <c r="R3790" s="33"/>
      <c r="S3790" s="33"/>
      <c r="T3790" s="33"/>
      <c r="U3790" s="33"/>
      <c r="V3790" s="33"/>
      <c r="W3790" s="33"/>
      <c r="X3790" s="33"/>
      <c r="Y3790" s="33"/>
      <c r="Z3790" s="33"/>
      <c r="AA3790" s="33"/>
      <c r="AB3790" s="33"/>
      <c r="AC3790" s="33"/>
      <c r="AD3790" s="33"/>
      <c r="AE3790" s="33"/>
      <c r="AF3790" s="33"/>
      <c r="AG3790" s="33"/>
      <c r="AH3790" s="33"/>
      <c r="AI3790" s="33"/>
      <c r="AJ3790" s="33"/>
      <c r="AK3790" s="33"/>
    </row>
    <row r="3791">
      <c r="A3791" s="33"/>
      <c r="B3791" s="33"/>
      <c r="C3791" s="33"/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  <c r="Q3791" s="33"/>
      <c r="R3791" s="33"/>
      <c r="S3791" s="33"/>
      <c r="T3791" s="33"/>
      <c r="U3791" s="33"/>
      <c r="V3791" s="33"/>
      <c r="W3791" s="33"/>
      <c r="X3791" s="33"/>
      <c r="Y3791" s="33"/>
      <c r="Z3791" s="33"/>
      <c r="AA3791" s="33"/>
      <c r="AB3791" s="33"/>
      <c r="AC3791" s="33"/>
      <c r="AD3791" s="33"/>
      <c r="AE3791" s="33"/>
      <c r="AF3791" s="33"/>
      <c r="AG3791" s="33"/>
      <c r="AH3791" s="33"/>
      <c r="AI3791" s="33"/>
      <c r="AJ3791" s="33"/>
      <c r="AK3791" s="33"/>
    </row>
    <row r="3792">
      <c r="A3792" s="33"/>
      <c r="B3792" s="33"/>
      <c r="C3792" s="33"/>
      <c r="D3792" s="33"/>
      <c r="E3792" s="33"/>
      <c r="F3792" s="33"/>
      <c r="G3792" s="33"/>
      <c r="H3792" s="33"/>
      <c r="I3792" s="33"/>
      <c r="J3792" s="33"/>
      <c r="K3792" s="33"/>
      <c r="L3792" s="33"/>
      <c r="M3792" s="33"/>
      <c r="N3792" s="33"/>
      <c r="O3792" s="33"/>
      <c r="P3792" s="33"/>
      <c r="Q3792" s="33"/>
      <c r="R3792" s="33"/>
      <c r="S3792" s="33"/>
      <c r="T3792" s="33"/>
      <c r="U3792" s="33"/>
      <c r="V3792" s="33"/>
      <c r="W3792" s="33"/>
      <c r="X3792" s="33"/>
      <c r="Y3792" s="33"/>
      <c r="Z3792" s="33"/>
      <c r="AA3792" s="33"/>
      <c r="AB3792" s="33"/>
      <c r="AC3792" s="33"/>
      <c r="AD3792" s="33"/>
      <c r="AE3792" s="33"/>
      <c r="AF3792" s="33"/>
      <c r="AG3792" s="33"/>
      <c r="AH3792" s="33"/>
      <c r="AI3792" s="33"/>
      <c r="AJ3792" s="33"/>
      <c r="AK3792" s="33"/>
    </row>
    <row r="3793">
      <c r="A3793" s="33"/>
      <c r="B3793" s="33"/>
      <c r="C3793" s="33"/>
      <c r="D3793" s="33"/>
      <c r="E3793" s="33"/>
      <c r="F3793" s="33"/>
      <c r="G3793" s="33"/>
      <c r="H3793" s="33"/>
      <c r="I3793" s="33"/>
      <c r="J3793" s="33"/>
      <c r="K3793" s="33"/>
      <c r="L3793" s="33"/>
      <c r="M3793" s="33"/>
      <c r="N3793" s="33"/>
      <c r="O3793" s="33"/>
      <c r="P3793" s="33"/>
      <c r="Q3793" s="33"/>
      <c r="R3793" s="33"/>
      <c r="S3793" s="33"/>
      <c r="T3793" s="33"/>
      <c r="U3793" s="33"/>
      <c r="V3793" s="33"/>
      <c r="W3793" s="33"/>
      <c r="X3793" s="33"/>
      <c r="Y3793" s="33"/>
      <c r="Z3793" s="33"/>
      <c r="AA3793" s="33"/>
      <c r="AB3793" s="33"/>
      <c r="AC3793" s="33"/>
      <c r="AD3793" s="33"/>
      <c r="AE3793" s="33"/>
      <c r="AF3793" s="33"/>
      <c r="AG3793" s="33"/>
      <c r="AH3793" s="33"/>
      <c r="AI3793" s="33"/>
      <c r="AJ3793" s="33"/>
      <c r="AK3793" s="33"/>
    </row>
    <row r="3794">
      <c r="A3794" s="33"/>
      <c r="B3794" s="33"/>
      <c r="C3794" s="33"/>
      <c r="D3794" s="33"/>
      <c r="E3794" s="33"/>
      <c r="F3794" s="33"/>
      <c r="G3794" s="33"/>
      <c r="H3794" s="33"/>
      <c r="I3794" s="33"/>
      <c r="J3794" s="33"/>
      <c r="K3794" s="33"/>
      <c r="L3794" s="33"/>
      <c r="M3794" s="33"/>
      <c r="N3794" s="33"/>
      <c r="O3794" s="33"/>
      <c r="P3794" s="33"/>
      <c r="Q3794" s="33"/>
      <c r="R3794" s="33"/>
      <c r="S3794" s="33"/>
      <c r="T3794" s="33"/>
      <c r="U3794" s="33"/>
      <c r="V3794" s="33"/>
      <c r="W3794" s="33"/>
      <c r="X3794" s="33"/>
      <c r="Y3794" s="33"/>
      <c r="Z3794" s="33"/>
      <c r="AA3794" s="33"/>
      <c r="AB3794" s="33"/>
      <c r="AC3794" s="33"/>
      <c r="AD3794" s="33"/>
      <c r="AE3794" s="33"/>
      <c r="AF3794" s="33"/>
      <c r="AG3794" s="33"/>
      <c r="AH3794" s="33"/>
      <c r="AI3794" s="33"/>
      <c r="AJ3794" s="33"/>
      <c r="AK3794" s="33"/>
    </row>
    <row r="3795">
      <c r="A3795" s="33"/>
      <c r="B3795" s="33"/>
      <c r="C3795" s="33"/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  <c r="Q3795" s="33"/>
      <c r="R3795" s="33"/>
      <c r="S3795" s="33"/>
      <c r="T3795" s="33"/>
      <c r="U3795" s="33"/>
      <c r="V3795" s="33"/>
      <c r="W3795" s="33"/>
      <c r="X3795" s="33"/>
      <c r="Y3795" s="33"/>
      <c r="Z3795" s="33"/>
      <c r="AA3795" s="33"/>
      <c r="AB3795" s="33"/>
      <c r="AC3795" s="33"/>
      <c r="AD3795" s="33"/>
      <c r="AE3795" s="33"/>
      <c r="AF3795" s="33"/>
      <c r="AG3795" s="33"/>
      <c r="AH3795" s="33"/>
      <c r="AI3795" s="33"/>
      <c r="AJ3795" s="33"/>
      <c r="AK3795" s="33"/>
    </row>
    <row r="3796">
      <c r="A3796" s="33"/>
      <c r="B3796" s="33"/>
      <c r="C3796" s="33"/>
      <c r="D3796" s="33"/>
      <c r="E3796" s="33"/>
      <c r="F3796" s="33"/>
      <c r="G3796" s="33"/>
      <c r="H3796" s="33"/>
      <c r="I3796" s="33"/>
      <c r="J3796" s="33"/>
      <c r="K3796" s="33"/>
      <c r="L3796" s="33"/>
      <c r="M3796" s="33"/>
      <c r="N3796" s="33"/>
      <c r="O3796" s="33"/>
      <c r="P3796" s="33"/>
      <c r="Q3796" s="33"/>
      <c r="R3796" s="33"/>
      <c r="S3796" s="33"/>
      <c r="T3796" s="33"/>
      <c r="U3796" s="33"/>
      <c r="V3796" s="33"/>
      <c r="W3796" s="33"/>
      <c r="X3796" s="33"/>
      <c r="Y3796" s="33"/>
      <c r="Z3796" s="33"/>
      <c r="AA3796" s="33"/>
      <c r="AB3796" s="33"/>
      <c r="AC3796" s="33"/>
      <c r="AD3796" s="33"/>
      <c r="AE3796" s="33"/>
      <c r="AF3796" s="33"/>
      <c r="AG3796" s="33"/>
      <c r="AH3796" s="33"/>
      <c r="AI3796" s="33"/>
      <c r="AJ3796" s="33"/>
      <c r="AK3796" s="33"/>
    </row>
    <row r="3797">
      <c r="A3797" s="33"/>
      <c r="B3797" s="33"/>
      <c r="C3797" s="33"/>
      <c r="D3797" s="33"/>
      <c r="E3797" s="33"/>
      <c r="F3797" s="33"/>
      <c r="G3797" s="33"/>
      <c r="H3797" s="33"/>
      <c r="I3797" s="33"/>
      <c r="J3797" s="33"/>
      <c r="K3797" s="33"/>
      <c r="L3797" s="33"/>
      <c r="M3797" s="33"/>
      <c r="N3797" s="33"/>
      <c r="O3797" s="33"/>
      <c r="P3797" s="33"/>
      <c r="Q3797" s="33"/>
      <c r="R3797" s="33"/>
      <c r="S3797" s="33"/>
      <c r="T3797" s="33"/>
      <c r="U3797" s="33"/>
      <c r="V3797" s="33"/>
      <c r="W3797" s="33"/>
      <c r="X3797" s="33"/>
      <c r="Y3797" s="33"/>
      <c r="Z3797" s="33"/>
      <c r="AA3797" s="33"/>
      <c r="AB3797" s="33"/>
      <c r="AC3797" s="33"/>
      <c r="AD3797" s="33"/>
      <c r="AE3797" s="33"/>
      <c r="AF3797" s="33"/>
      <c r="AG3797" s="33"/>
      <c r="AH3797" s="33"/>
      <c r="AI3797" s="33"/>
      <c r="AJ3797" s="33"/>
      <c r="AK3797" s="33"/>
    </row>
    <row r="3798">
      <c r="A3798" s="33"/>
      <c r="B3798" s="33"/>
      <c r="C3798" s="33"/>
      <c r="D3798" s="33"/>
      <c r="E3798" s="33"/>
      <c r="F3798" s="33"/>
      <c r="G3798" s="33"/>
      <c r="H3798" s="33"/>
      <c r="I3798" s="33"/>
      <c r="J3798" s="33"/>
      <c r="K3798" s="33"/>
      <c r="L3798" s="33"/>
      <c r="M3798" s="33"/>
      <c r="N3798" s="33"/>
      <c r="O3798" s="33"/>
      <c r="P3798" s="33"/>
      <c r="Q3798" s="33"/>
      <c r="R3798" s="33"/>
      <c r="S3798" s="33"/>
      <c r="T3798" s="33"/>
      <c r="U3798" s="33"/>
      <c r="V3798" s="33"/>
      <c r="W3798" s="33"/>
      <c r="X3798" s="33"/>
      <c r="Y3798" s="33"/>
      <c r="Z3798" s="33"/>
      <c r="AA3798" s="33"/>
      <c r="AB3798" s="33"/>
      <c r="AC3798" s="33"/>
      <c r="AD3798" s="33"/>
      <c r="AE3798" s="33"/>
      <c r="AF3798" s="33"/>
      <c r="AG3798" s="33"/>
      <c r="AH3798" s="33"/>
      <c r="AI3798" s="33"/>
      <c r="AJ3798" s="33"/>
      <c r="AK3798" s="33"/>
    </row>
    <row r="3799">
      <c r="A3799" s="33"/>
      <c r="B3799" s="33"/>
      <c r="C3799" s="33"/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  <c r="Q3799" s="33"/>
      <c r="R3799" s="33"/>
      <c r="S3799" s="33"/>
      <c r="T3799" s="33"/>
      <c r="U3799" s="33"/>
      <c r="V3799" s="33"/>
      <c r="W3799" s="33"/>
      <c r="X3799" s="33"/>
      <c r="Y3799" s="33"/>
      <c r="Z3799" s="33"/>
      <c r="AA3799" s="33"/>
      <c r="AB3799" s="33"/>
      <c r="AC3799" s="33"/>
      <c r="AD3799" s="33"/>
      <c r="AE3799" s="33"/>
      <c r="AF3799" s="33"/>
      <c r="AG3799" s="33"/>
      <c r="AH3799" s="33"/>
      <c r="AI3799" s="33"/>
      <c r="AJ3799" s="33"/>
      <c r="AK3799" s="33"/>
    </row>
    <row r="3800">
      <c r="A3800" s="33"/>
      <c r="B3800" s="33"/>
      <c r="C3800" s="33"/>
      <c r="D3800" s="33"/>
      <c r="E3800" s="33"/>
      <c r="F3800" s="33"/>
      <c r="G3800" s="33"/>
      <c r="H3800" s="33"/>
      <c r="I3800" s="33"/>
      <c r="J3800" s="33"/>
      <c r="K3800" s="33"/>
      <c r="L3800" s="33"/>
      <c r="M3800" s="33"/>
      <c r="N3800" s="33"/>
      <c r="O3800" s="33"/>
      <c r="P3800" s="33"/>
      <c r="Q3800" s="33"/>
      <c r="R3800" s="33"/>
      <c r="S3800" s="33"/>
      <c r="T3800" s="33"/>
      <c r="U3800" s="33"/>
      <c r="V3800" s="33"/>
      <c r="W3800" s="33"/>
      <c r="X3800" s="33"/>
      <c r="Y3800" s="33"/>
      <c r="Z3800" s="33"/>
      <c r="AA3800" s="33"/>
      <c r="AB3800" s="33"/>
      <c r="AC3800" s="33"/>
      <c r="AD3800" s="33"/>
      <c r="AE3800" s="33"/>
      <c r="AF3800" s="33"/>
      <c r="AG3800" s="33"/>
      <c r="AH3800" s="33"/>
      <c r="AI3800" s="33"/>
      <c r="AJ3800" s="33"/>
      <c r="AK3800" s="33"/>
    </row>
    <row r="3801">
      <c r="A3801" s="33"/>
      <c r="B3801" s="33"/>
      <c r="C3801" s="33"/>
      <c r="D3801" s="33"/>
      <c r="E3801" s="33"/>
      <c r="F3801" s="33"/>
      <c r="G3801" s="33"/>
      <c r="H3801" s="33"/>
      <c r="I3801" s="33"/>
      <c r="J3801" s="33"/>
      <c r="K3801" s="33"/>
      <c r="L3801" s="33"/>
      <c r="M3801" s="33"/>
      <c r="N3801" s="33"/>
      <c r="O3801" s="33"/>
      <c r="P3801" s="33"/>
      <c r="Q3801" s="33"/>
      <c r="R3801" s="33"/>
      <c r="S3801" s="33"/>
      <c r="T3801" s="33"/>
      <c r="U3801" s="33"/>
      <c r="V3801" s="33"/>
      <c r="W3801" s="33"/>
      <c r="X3801" s="33"/>
      <c r="Y3801" s="33"/>
      <c r="Z3801" s="33"/>
      <c r="AA3801" s="33"/>
      <c r="AB3801" s="33"/>
      <c r="AC3801" s="33"/>
      <c r="AD3801" s="33"/>
      <c r="AE3801" s="33"/>
      <c r="AF3801" s="33"/>
      <c r="AG3801" s="33"/>
      <c r="AH3801" s="33"/>
      <c r="AI3801" s="33"/>
      <c r="AJ3801" s="33"/>
      <c r="AK3801" s="33"/>
    </row>
    <row r="3802">
      <c r="A3802" s="33"/>
      <c r="B3802" s="33"/>
      <c r="C3802" s="33"/>
      <c r="D3802" s="33"/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3"/>
      <c r="P3802" s="33"/>
      <c r="Q3802" s="33"/>
      <c r="R3802" s="33"/>
      <c r="S3802" s="33"/>
      <c r="T3802" s="33"/>
      <c r="U3802" s="33"/>
      <c r="V3802" s="33"/>
      <c r="W3802" s="33"/>
      <c r="X3802" s="33"/>
      <c r="Y3802" s="33"/>
      <c r="Z3802" s="33"/>
      <c r="AA3802" s="33"/>
      <c r="AB3802" s="33"/>
      <c r="AC3802" s="33"/>
      <c r="AD3802" s="33"/>
      <c r="AE3802" s="33"/>
      <c r="AF3802" s="33"/>
      <c r="AG3802" s="33"/>
      <c r="AH3802" s="33"/>
      <c r="AI3802" s="33"/>
      <c r="AJ3802" s="33"/>
      <c r="AK3802" s="33"/>
    </row>
    <row r="3803">
      <c r="A3803" s="33"/>
      <c r="B3803" s="33"/>
      <c r="C3803" s="33"/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  <c r="R3803" s="33"/>
      <c r="S3803" s="33"/>
      <c r="T3803" s="33"/>
      <c r="U3803" s="33"/>
      <c r="V3803" s="33"/>
      <c r="W3803" s="33"/>
      <c r="X3803" s="33"/>
      <c r="Y3803" s="33"/>
      <c r="Z3803" s="33"/>
      <c r="AA3803" s="33"/>
      <c r="AB3803" s="33"/>
      <c r="AC3803" s="33"/>
      <c r="AD3803" s="33"/>
      <c r="AE3803" s="33"/>
      <c r="AF3803" s="33"/>
      <c r="AG3803" s="33"/>
      <c r="AH3803" s="33"/>
      <c r="AI3803" s="33"/>
      <c r="AJ3803" s="33"/>
      <c r="AK3803" s="33"/>
    </row>
    <row r="3804">
      <c r="A3804" s="33"/>
      <c r="B3804" s="33"/>
      <c r="C3804" s="33"/>
      <c r="D3804" s="33"/>
      <c r="E3804" s="33"/>
      <c r="F3804" s="33"/>
      <c r="G3804" s="33"/>
      <c r="H3804" s="33"/>
      <c r="I3804" s="33"/>
      <c r="J3804" s="33"/>
      <c r="K3804" s="33"/>
      <c r="L3804" s="33"/>
      <c r="M3804" s="33"/>
      <c r="N3804" s="33"/>
      <c r="O3804" s="33"/>
      <c r="P3804" s="33"/>
      <c r="Q3804" s="33"/>
      <c r="R3804" s="33"/>
      <c r="S3804" s="33"/>
      <c r="T3804" s="33"/>
      <c r="U3804" s="33"/>
      <c r="V3804" s="33"/>
      <c r="W3804" s="33"/>
      <c r="X3804" s="33"/>
      <c r="Y3804" s="33"/>
      <c r="Z3804" s="33"/>
      <c r="AA3804" s="33"/>
      <c r="AB3804" s="33"/>
      <c r="AC3804" s="33"/>
      <c r="AD3804" s="33"/>
      <c r="AE3804" s="33"/>
      <c r="AF3804" s="33"/>
      <c r="AG3804" s="33"/>
      <c r="AH3804" s="33"/>
      <c r="AI3804" s="33"/>
      <c r="AJ3804" s="33"/>
      <c r="AK3804" s="33"/>
    </row>
    <row r="3805">
      <c r="A3805" s="33"/>
      <c r="B3805" s="33"/>
      <c r="C3805" s="33"/>
      <c r="D3805" s="33"/>
      <c r="E3805" s="33"/>
      <c r="F3805" s="33"/>
      <c r="G3805" s="33"/>
      <c r="H3805" s="33"/>
      <c r="I3805" s="33"/>
      <c r="J3805" s="33"/>
      <c r="K3805" s="33"/>
      <c r="L3805" s="33"/>
      <c r="M3805" s="33"/>
      <c r="N3805" s="33"/>
      <c r="O3805" s="33"/>
      <c r="P3805" s="33"/>
      <c r="Q3805" s="33"/>
      <c r="R3805" s="33"/>
      <c r="S3805" s="33"/>
      <c r="T3805" s="33"/>
      <c r="U3805" s="33"/>
      <c r="V3805" s="33"/>
      <c r="W3805" s="33"/>
      <c r="X3805" s="33"/>
      <c r="Y3805" s="33"/>
      <c r="Z3805" s="33"/>
      <c r="AA3805" s="33"/>
      <c r="AB3805" s="33"/>
      <c r="AC3805" s="33"/>
      <c r="AD3805" s="33"/>
      <c r="AE3805" s="33"/>
      <c r="AF3805" s="33"/>
      <c r="AG3805" s="33"/>
      <c r="AH3805" s="33"/>
      <c r="AI3805" s="33"/>
      <c r="AJ3805" s="33"/>
      <c r="AK3805" s="33"/>
    </row>
    <row r="3806">
      <c r="A3806" s="33"/>
      <c r="B3806" s="33"/>
      <c r="C3806" s="33"/>
      <c r="D3806" s="33"/>
      <c r="E3806" s="33"/>
      <c r="F3806" s="33"/>
      <c r="G3806" s="33"/>
      <c r="H3806" s="33"/>
      <c r="I3806" s="33"/>
      <c r="J3806" s="33"/>
      <c r="K3806" s="33"/>
      <c r="L3806" s="33"/>
      <c r="M3806" s="33"/>
      <c r="N3806" s="33"/>
      <c r="O3806" s="33"/>
      <c r="P3806" s="33"/>
      <c r="Q3806" s="33"/>
      <c r="R3806" s="33"/>
      <c r="S3806" s="33"/>
      <c r="T3806" s="33"/>
      <c r="U3806" s="33"/>
      <c r="V3806" s="33"/>
      <c r="W3806" s="33"/>
      <c r="X3806" s="33"/>
      <c r="Y3806" s="33"/>
      <c r="Z3806" s="33"/>
      <c r="AA3806" s="33"/>
      <c r="AB3806" s="33"/>
      <c r="AC3806" s="33"/>
      <c r="AD3806" s="33"/>
      <c r="AE3806" s="33"/>
      <c r="AF3806" s="33"/>
      <c r="AG3806" s="33"/>
      <c r="AH3806" s="33"/>
      <c r="AI3806" s="33"/>
      <c r="AJ3806" s="33"/>
      <c r="AK3806" s="33"/>
    </row>
    <row r="3807">
      <c r="A3807" s="33"/>
      <c r="B3807" s="33"/>
      <c r="C3807" s="33"/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  <c r="Q3807" s="33"/>
      <c r="R3807" s="33"/>
      <c r="S3807" s="33"/>
      <c r="T3807" s="33"/>
      <c r="U3807" s="33"/>
      <c r="V3807" s="33"/>
      <c r="W3807" s="33"/>
      <c r="X3807" s="33"/>
      <c r="Y3807" s="33"/>
      <c r="Z3807" s="33"/>
      <c r="AA3807" s="33"/>
      <c r="AB3807" s="33"/>
      <c r="AC3807" s="33"/>
      <c r="AD3807" s="33"/>
      <c r="AE3807" s="33"/>
      <c r="AF3807" s="33"/>
      <c r="AG3807" s="33"/>
      <c r="AH3807" s="33"/>
      <c r="AI3807" s="33"/>
      <c r="AJ3807" s="33"/>
      <c r="AK3807" s="33"/>
    </row>
    <row r="3808">
      <c r="A3808" s="33"/>
      <c r="B3808" s="33"/>
      <c r="C3808" s="33"/>
      <c r="D3808" s="33"/>
      <c r="E3808" s="33"/>
      <c r="F3808" s="33"/>
      <c r="G3808" s="33"/>
      <c r="H3808" s="33"/>
      <c r="I3808" s="33"/>
      <c r="J3808" s="33"/>
      <c r="K3808" s="33"/>
      <c r="L3808" s="33"/>
      <c r="M3808" s="33"/>
      <c r="N3808" s="33"/>
      <c r="O3808" s="33"/>
      <c r="P3808" s="33"/>
      <c r="Q3808" s="33"/>
      <c r="R3808" s="33"/>
      <c r="S3808" s="33"/>
      <c r="T3808" s="33"/>
      <c r="U3808" s="33"/>
      <c r="V3808" s="33"/>
      <c r="W3808" s="33"/>
      <c r="X3808" s="33"/>
      <c r="Y3808" s="33"/>
      <c r="Z3808" s="33"/>
      <c r="AA3808" s="33"/>
      <c r="AB3808" s="33"/>
      <c r="AC3808" s="33"/>
      <c r="AD3808" s="33"/>
      <c r="AE3808" s="33"/>
      <c r="AF3808" s="33"/>
      <c r="AG3808" s="33"/>
      <c r="AH3808" s="33"/>
      <c r="AI3808" s="33"/>
      <c r="AJ3808" s="33"/>
      <c r="AK3808" s="33"/>
    </row>
    <row r="3809">
      <c r="A3809" s="33"/>
      <c r="B3809" s="33"/>
      <c r="C3809" s="33"/>
      <c r="D3809" s="33"/>
      <c r="E3809" s="33"/>
      <c r="F3809" s="33"/>
      <c r="G3809" s="33"/>
      <c r="H3809" s="33"/>
      <c r="I3809" s="33"/>
      <c r="J3809" s="33"/>
      <c r="K3809" s="33"/>
      <c r="L3809" s="33"/>
      <c r="M3809" s="33"/>
      <c r="N3809" s="33"/>
      <c r="O3809" s="33"/>
      <c r="P3809" s="33"/>
      <c r="Q3809" s="33"/>
      <c r="R3809" s="33"/>
      <c r="S3809" s="33"/>
      <c r="T3809" s="33"/>
      <c r="U3809" s="33"/>
      <c r="V3809" s="33"/>
      <c r="W3809" s="33"/>
      <c r="X3809" s="33"/>
      <c r="Y3809" s="33"/>
      <c r="Z3809" s="33"/>
      <c r="AA3809" s="33"/>
      <c r="AB3809" s="33"/>
      <c r="AC3809" s="33"/>
      <c r="AD3809" s="33"/>
      <c r="AE3809" s="33"/>
      <c r="AF3809" s="33"/>
      <c r="AG3809" s="33"/>
      <c r="AH3809" s="33"/>
      <c r="AI3809" s="33"/>
      <c r="AJ3809" s="33"/>
      <c r="AK3809" s="33"/>
    </row>
    <row r="3810">
      <c r="A3810" s="33"/>
      <c r="B3810" s="33"/>
      <c r="C3810" s="33"/>
      <c r="D3810" s="33"/>
      <c r="E3810" s="33"/>
      <c r="F3810" s="33"/>
      <c r="G3810" s="33"/>
      <c r="H3810" s="33"/>
      <c r="I3810" s="33"/>
      <c r="J3810" s="33"/>
      <c r="K3810" s="33"/>
      <c r="L3810" s="33"/>
      <c r="M3810" s="33"/>
      <c r="N3810" s="33"/>
      <c r="O3810" s="33"/>
      <c r="P3810" s="33"/>
      <c r="Q3810" s="33"/>
      <c r="R3810" s="33"/>
      <c r="S3810" s="33"/>
      <c r="T3810" s="33"/>
      <c r="U3810" s="33"/>
      <c r="V3810" s="33"/>
      <c r="W3810" s="33"/>
      <c r="X3810" s="33"/>
      <c r="Y3810" s="33"/>
      <c r="Z3810" s="33"/>
      <c r="AA3810" s="33"/>
      <c r="AB3810" s="33"/>
      <c r="AC3810" s="33"/>
      <c r="AD3810" s="33"/>
      <c r="AE3810" s="33"/>
      <c r="AF3810" s="33"/>
      <c r="AG3810" s="33"/>
      <c r="AH3810" s="33"/>
      <c r="AI3810" s="33"/>
      <c r="AJ3810" s="33"/>
      <c r="AK3810" s="33"/>
    </row>
    <row r="3811">
      <c r="A3811" s="33"/>
      <c r="B3811" s="33"/>
      <c r="C3811" s="33"/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33"/>
      <c r="V3811" s="33"/>
      <c r="W3811" s="33"/>
      <c r="X3811" s="33"/>
      <c r="Y3811" s="33"/>
      <c r="Z3811" s="33"/>
      <c r="AA3811" s="33"/>
      <c r="AB3811" s="33"/>
      <c r="AC3811" s="33"/>
      <c r="AD3811" s="33"/>
      <c r="AE3811" s="33"/>
      <c r="AF3811" s="33"/>
      <c r="AG3811" s="33"/>
      <c r="AH3811" s="33"/>
      <c r="AI3811" s="33"/>
      <c r="AJ3811" s="33"/>
      <c r="AK3811" s="33"/>
    </row>
    <row r="3812">
      <c r="A3812" s="33"/>
      <c r="B3812" s="33"/>
      <c r="C3812" s="33"/>
      <c r="D3812" s="33"/>
      <c r="E3812" s="33"/>
      <c r="F3812" s="33"/>
      <c r="G3812" s="33"/>
      <c r="H3812" s="33"/>
      <c r="I3812" s="33"/>
      <c r="J3812" s="33"/>
      <c r="K3812" s="33"/>
      <c r="L3812" s="33"/>
      <c r="M3812" s="33"/>
      <c r="N3812" s="33"/>
      <c r="O3812" s="33"/>
      <c r="P3812" s="33"/>
      <c r="Q3812" s="33"/>
      <c r="R3812" s="33"/>
      <c r="S3812" s="33"/>
      <c r="T3812" s="33"/>
      <c r="U3812" s="33"/>
      <c r="V3812" s="33"/>
      <c r="W3812" s="33"/>
      <c r="X3812" s="33"/>
      <c r="Y3812" s="33"/>
      <c r="Z3812" s="33"/>
      <c r="AA3812" s="33"/>
      <c r="AB3812" s="33"/>
      <c r="AC3812" s="33"/>
      <c r="AD3812" s="33"/>
      <c r="AE3812" s="33"/>
      <c r="AF3812" s="33"/>
      <c r="AG3812" s="33"/>
      <c r="AH3812" s="33"/>
      <c r="AI3812" s="33"/>
      <c r="AJ3812" s="33"/>
      <c r="AK3812" s="33"/>
    </row>
    <row r="3813">
      <c r="A3813" s="33"/>
      <c r="B3813" s="33"/>
      <c r="C3813" s="33"/>
      <c r="D3813" s="33"/>
      <c r="E3813" s="33"/>
      <c r="F3813" s="33"/>
      <c r="G3813" s="33"/>
      <c r="H3813" s="33"/>
      <c r="I3813" s="33"/>
      <c r="J3813" s="33"/>
      <c r="K3813" s="33"/>
      <c r="L3813" s="33"/>
      <c r="M3813" s="33"/>
      <c r="N3813" s="33"/>
      <c r="O3813" s="33"/>
      <c r="P3813" s="33"/>
      <c r="Q3813" s="33"/>
      <c r="R3813" s="33"/>
      <c r="S3813" s="33"/>
      <c r="T3813" s="33"/>
      <c r="U3813" s="33"/>
      <c r="V3813" s="33"/>
      <c r="W3813" s="33"/>
      <c r="X3813" s="33"/>
      <c r="Y3813" s="33"/>
      <c r="Z3813" s="33"/>
      <c r="AA3813" s="33"/>
      <c r="AB3813" s="33"/>
      <c r="AC3813" s="33"/>
      <c r="AD3813" s="33"/>
      <c r="AE3813" s="33"/>
      <c r="AF3813" s="33"/>
      <c r="AG3813" s="33"/>
      <c r="AH3813" s="33"/>
      <c r="AI3813" s="33"/>
      <c r="AJ3813" s="33"/>
      <c r="AK3813" s="33"/>
    </row>
    <row r="3814">
      <c r="A3814" s="33"/>
      <c r="B3814" s="33"/>
      <c r="C3814" s="33"/>
      <c r="D3814" s="33"/>
      <c r="E3814" s="33"/>
      <c r="F3814" s="33"/>
      <c r="G3814" s="33"/>
      <c r="H3814" s="33"/>
      <c r="I3814" s="33"/>
      <c r="J3814" s="33"/>
      <c r="K3814" s="33"/>
      <c r="L3814" s="33"/>
      <c r="M3814" s="33"/>
      <c r="N3814" s="33"/>
      <c r="O3814" s="33"/>
      <c r="P3814" s="33"/>
      <c r="Q3814" s="33"/>
      <c r="R3814" s="33"/>
      <c r="S3814" s="33"/>
      <c r="T3814" s="33"/>
      <c r="U3814" s="33"/>
      <c r="V3814" s="33"/>
      <c r="W3814" s="33"/>
      <c r="X3814" s="33"/>
      <c r="Y3814" s="33"/>
      <c r="Z3814" s="33"/>
      <c r="AA3814" s="33"/>
      <c r="AB3814" s="33"/>
      <c r="AC3814" s="33"/>
      <c r="AD3814" s="33"/>
      <c r="AE3814" s="33"/>
      <c r="AF3814" s="33"/>
      <c r="AG3814" s="33"/>
      <c r="AH3814" s="33"/>
      <c r="AI3814" s="33"/>
      <c r="AJ3814" s="33"/>
      <c r="AK3814" s="33"/>
    </row>
    <row r="3815">
      <c r="A3815" s="33"/>
      <c r="B3815" s="33"/>
      <c r="C3815" s="33"/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  <c r="Q3815" s="33"/>
      <c r="R3815" s="33"/>
      <c r="S3815" s="33"/>
      <c r="T3815" s="33"/>
      <c r="U3815" s="33"/>
      <c r="V3815" s="33"/>
      <c r="W3815" s="33"/>
      <c r="X3815" s="33"/>
      <c r="Y3815" s="33"/>
      <c r="Z3815" s="33"/>
      <c r="AA3815" s="33"/>
      <c r="AB3815" s="33"/>
      <c r="AC3815" s="33"/>
      <c r="AD3815" s="33"/>
      <c r="AE3815" s="33"/>
      <c r="AF3815" s="33"/>
      <c r="AG3815" s="33"/>
      <c r="AH3815" s="33"/>
      <c r="AI3815" s="33"/>
      <c r="AJ3815" s="33"/>
      <c r="AK3815" s="33"/>
    </row>
    <row r="3816">
      <c r="A3816" s="33"/>
      <c r="B3816" s="33"/>
      <c r="C3816" s="33"/>
      <c r="D3816" s="33"/>
      <c r="E3816" s="33"/>
      <c r="F3816" s="33"/>
      <c r="G3816" s="33"/>
      <c r="H3816" s="33"/>
      <c r="I3816" s="33"/>
      <c r="J3816" s="33"/>
      <c r="K3816" s="33"/>
      <c r="L3816" s="33"/>
      <c r="M3816" s="33"/>
      <c r="N3816" s="33"/>
      <c r="O3816" s="33"/>
      <c r="P3816" s="33"/>
      <c r="Q3816" s="33"/>
      <c r="R3816" s="33"/>
      <c r="S3816" s="33"/>
      <c r="T3816" s="33"/>
      <c r="U3816" s="33"/>
      <c r="V3816" s="33"/>
      <c r="W3816" s="33"/>
      <c r="X3816" s="33"/>
      <c r="Y3816" s="33"/>
      <c r="Z3816" s="33"/>
      <c r="AA3816" s="33"/>
      <c r="AB3816" s="33"/>
      <c r="AC3816" s="33"/>
      <c r="AD3816" s="33"/>
      <c r="AE3816" s="33"/>
      <c r="AF3816" s="33"/>
      <c r="AG3816" s="33"/>
      <c r="AH3816" s="33"/>
      <c r="AI3816" s="33"/>
      <c r="AJ3816" s="33"/>
      <c r="AK3816" s="33"/>
    </row>
    <row r="3817">
      <c r="A3817" s="33"/>
      <c r="B3817" s="33"/>
      <c r="C3817" s="33"/>
      <c r="D3817" s="33"/>
      <c r="E3817" s="33"/>
      <c r="F3817" s="33"/>
      <c r="G3817" s="33"/>
      <c r="H3817" s="33"/>
      <c r="I3817" s="33"/>
      <c r="J3817" s="33"/>
      <c r="K3817" s="33"/>
      <c r="L3817" s="33"/>
      <c r="M3817" s="33"/>
      <c r="N3817" s="33"/>
      <c r="O3817" s="33"/>
      <c r="P3817" s="33"/>
      <c r="Q3817" s="33"/>
      <c r="R3817" s="33"/>
      <c r="S3817" s="33"/>
      <c r="T3817" s="33"/>
      <c r="U3817" s="33"/>
      <c r="V3817" s="33"/>
      <c r="W3817" s="33"/>
      <c r="X3817" s="33"/>
      <c r="Y3817" s="33"/>
      <c r="Z3817" s="33"/>
      <c r="AA3817" s="33"/>
      <c r="AB3817" s="33"/>
      <c r="AC3817" s="33"/>
      <c r="AD3817" s="33"/>
      <c r="AE3817" s="33"/>
      <c r="AF3817" s="33"/>
      <c r="AG3817" s="33"/>
      <c r="AH3817" s="33"/>
      <c r="AI3817" s="33"/>
      <c r="AJ3817" s="33"/>
      <c r="AK3817" s="33"/>
    </row>
    <row r="3818">
      <c r="A3818" s="33"/>
      <c r="B3818" s="33"/>
      <c r="C3818" s="33"/>
      <c r="D3818" s="33"/>
      <c r="E3818" s="33"/>
      <c r="F3818" s="33"/>
      <c r="G3818" s="33"/>
      <c r="H3818" s="33"/>
      <c r="I3818" s="33"/>
      <c r="J3818" s="33"/>
      <c r="K3818" s="33"/>
      <c r="L3818" s="33"/>
      <c r="M3818" s="33"/>
      <c r="N3818" s="33"/>
      <c r="O3818" s="33"/>
      <c r="P3818" s="33"/>
      <c r="Q3818" s="33"/>
      <c r="R3818" s="33"/>
      <c r="S3818" s="33"/>
      <c r="T3818" s="33"/>
      <c r="U3818" s="33"/>
      <c r="V3818" s="33"/>
      <c r="W3818" s="33"/>
      <c r="X3818" s="33"/>
      <c r="Y3818" s="33"/>
      <c r="Z3818" s="33"/>
      <c r="AA3818" s="33"/>
      <c r="AB3818" s="33"/>
      <c r="AC3818" s="33"/>
      <c r="AD3818" s="33"/>
      <c r="AE3818" s="33"/>
      <c r="AF3818" s="33"/>
      <c r="AG3818" s="33"/>
      <c r="AH3818" s="33"/>
      <c r="AI3818" s="33"/>
      <c r="AJ3818" s="33"/>
      <c r="AK3818" s="33"/>
    </row>
    <row r="3819">
      <c r="A3819" s="33"/>
      <c r="B3819" s="33"/>
      <c r="C3819" s="33"/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33"/>
      <c r="V3819" s="33"/>
      <c r="W3819" s="33"/>
      <c r="X3819" s="33"/>
      <c r="Y3819" s="33"/>
      <c r="Z3819" s="33"/>
      <c r="AA3819" s="33"/>
      <c r="AB3819" s="33"/>
      <c r="AC3819" s="33"/>
      <c r="AD3819" s="33"/>
      <c r="AE3819" s="33"/>
      <c r="AF3819" s="33"/>
      <c r="AG3819" s="33"/>
      <c r="AH3819" s="33"/>
      <c r="AI3819" s="33"/>
      <c r="AJ3819" s="33"/>
      <c r="AK3819" s="33"/>
    </row>
    <row r="3820">
      <c r="A3820" s="33"/>
      <c r="B3820" s="33"/>
      <c r="C3820" s="33"/>
      <c r="D3820" s="33"/>
      <c r="E3820" s="33"/>
      <c r="F3820" s="33"/>
      <c r="G3820" s="33"/>
      <c r="H3820" s="33"/>
      <c r="I3820" s="33"/>
      <c r="J3820" s="33"/>
      <c r="K3820" s="33"/>
      <c r="L3820" s="33"/>
      <c r="M3820" s="33"/>
      <c r="N3820" s="33"/>
      <c r="O3820" s="33"/>
      <c r="P3820" s="33"/>
      <c r="Q3820" s="33"/>
      <c r="R3820" s="33"/>
      <c r="S3820" s="33"/>
      <c r="T3820" s="33"/>
      <c r="U3820" s="33"/>
      <c r="V3820" s="33"/>
      <c r="W3820" s="33"/>
      <c r="X3820" s="33"/>
      <c r="Y3820" s="33"/>
      <c r="Z3820" s="33"/>
      <c r="AA3820" s="33"/>
      <c r="AB3820" s="33"/>
      <c r="AC3820" s="33"/>
      <c r="AD3820" s="33"/>
      <c r="AE3820" s="33"/>
      <c r="AF3820" s="33"/>
      <c r="AG3820" s="33"/>
      <c r="AH3820" s="33"/>
      <c r="AI3820" s="33"/>
      <c r="AJ3820" s="33"/>
      <c r="AK3820" s="33"/>
    </row>
    <row r="3821">
      <c r="A3821" s="33"/>
      <c r="B3821" s="33"/>
      <c r="C3821" s="33"/>
      <c r="D3821" s="33"/>
      <c r="E3821" s="33"/>
      <c r="F3821" s="33"/>
      <c r="G3821" s="33"/>
      <c r="H3821" s="33"/>
      <c r="I3821" s="33"/>
      <c r="J3821" s="33"/>
      <c r="K3821" s="33"/>
      <c r="L3821" s="33"/>
      <c r="M3821" s="33"/>
      <c r="N3821" s="33"/>
      <c r="O3821" s="33"/>
      <c r="P3821" s="33"/>
      <c r="Q3821" s="33"/>
      <c r="R3821" s="33"/>
      <c r="S3821" s="33"/>
      <c r="T3821" s="33"/>
      <c r="U3821" s="33"/>
      <c r="V3821" s="33"/>
      <c r="W3821" s="33"/>
      <c r="X3821" s="33"/>
      <c r="Y3821" s="33"/>
      <c r="Z3821" s="33"/>
      <c r="AA3821" s="33"/>
      <c r="AB3821" s="33"/>
      <c r="AC3821" s="33"/>
      <c r="AD3821" s="33"/>
      <c r="AE3821" s="33"/>
      <c r="AF3821" s="33"/>
      <c r="AG3821" s="33"/>
      <c r="AH3821" s="33"/>
      <c r="AI3821" s="33"/>
      <c r="AJ3821" s="33"/>
      <c r="AK3821" s="33"/>
    </row>
    <row r="3822">
      <c r="A3822" s="33"/>
      <c r="B3822" s="33"/>
      <c r="C3822" s="33"/>
      <c r="D3822" s="33"/>
      <c r="E3822" s="33"/>
      <c r="F3822" s="33"/>
      <c r="G3822" s="33"/>
      <c r="H3822" s="33"/>
      <c r="I3822" s="33"/>
      <c r="J3822" s="33"/>
      <c r="K3822" s="33"/>
      <c r="L3822" s="33"/>
      <c r="M3822" s="33"/>
      <c r="N3822" s="33"/>
      <c r="O3822" s="33"/>
      <c r="P3822" s="33"/>
      <c r="Q3822" s="33"/>
      <c r="R3822" s="33"/>
      <c r="S3822" s="33"/>
      <c r="T3822" s="33"/>
      <c r="U3822" s="33"/>
      <c r="V3822" s="33"/>
      <c r="W3822" s="33"/>
      <c r="X3822" s="33"/>
      <c r="Y3822" s="33"/>
      <c r="Z3822" s="33"/>
      <c r="AA3822" s="33"/>
      <c r="AB3822" s="33"/>
      <c r="AC3822" s="33"/>
      <c r="AD3822" s="33"/>
      <c r="AE3822" s="33"/>
      <c r="AF3822" s="33"/>
      <c r="AG3822" s="33"/>
      <c r="AH3822" s="33"/>
      <c r="AI3822" s="33"/>
      <c r="AJ3822" s="33"/>
      <c r="AK3822" s="33"/>
    </row>
    <row r="3823">
      <c r="A3823" s="33"/>
      <c r="B3823" s="33"/>
      <c r="C3823" s="33"/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  <c r="Q3823" s="33"/>
      <c r="R3823" s="33"/>
      <c r="S3823" s="33"/>
      <c r="T3823" s="33"/>
      <c r="U3823" s="33"/>
      <c r="V3823" s="33"/>
      <c r="W3823" s="33"/>
      <c r="X3823" s="33"/>
      <c r="Y3823" s="33"/>
      <c r="Z3823" s="33"/>
      <c r="AA3823" s="33"/>
      <c r="AB3823" s="33"/>
      <c r="AC3823" s="33"/>
      <c r="AD3823" s="33"/>
      <c r="AE3823" s="33"/>
      <c r="AF3823" s="33"/>
      <c r="AG3823" s="33"/>
      <c r="AH3823" s="33"/>
      <c r="AI3823" s="33"/>
      <c r="AJ3823" s="33"/>
      <c r="AK3823" s="33"/>
    </row>
    <row r="3824">
      <c r="A3824" s="33"/>
      <c r="B3824" s="33"/>
      <c r="C3824" s="33"/>
      <c r="D3824" s="33"/>
      <c r="E3824" s="33"/>
      <c r="F3824" s="33"/>
      <c r="G3824" s="33"/>
      <c r="H3824" s="33"/>
      <c r="I3824" s="33"/>
      <c r="J3824" s="33"/>
      <c r="K3824" s="33"/>
      <c r="L3824" s="33"/>
      <c r="M3824" s="33"/>
      <c r="N3824" s="33"/>
      <c r="O3824" s="33"/>
      <c r="P3824" s="33"/>
      <c r="Q3824" s="33"/>
      <c r="R3824" s="33"/>
      <c r="S3824" s="33"/>
      <c r="T3824" s="33"/>
      <c r="U3824" s="33"/>
      <c r="V3824" s="33"/>
      <c r="W3824" s="33"/>
      <c r="X3824" s="33"/>
      <c r="Y3824" s="33"/>
      <c r="Z3824" s="33"/>
      <c r="AA3824" s="33"/>
      <c r="AB3824" s="33"/>
      <c r="AC3824" s="33"/>
      <c r="AD3824" s="33"/>
      <c r="AE3824" s="33"/>
      <c r="AF3824" s="33"/>
      <c r="AG3824" s="33"/>
      <c r="AH3824" s="33"/>
      <c r="AI3824" s="33"/>
      <c r="AJ3824" s="33"/>
      <c r="AK3824" s="33"/>
    </row>
    <row r="3825">
      <c r="A3825" s="33"/>
      <c r="B3825" s="33"/>
      <c r="C3825" s="33"/>
      <c r="D3825" s="33"/>
      <c r="E3825" s="33"/>
      <c r="F3825" s="33"/>
      <c r="G3825" s="33"/>
      <c r="H3825" s="33"/>
      <c r="I3825" s="33"/>
      <c r="J3825" s="33"/>
      <c r="K3825" s="33"/>
      <c r="L3825" s="33"/>
      <c r="M3825" s="33"/>
      <c r="N3825" s="33"/>
      <c r="O3825" s="33"/>
      <c r="P3825" s="33"/>
      <c r="Q3825" s="33"/>
      <c r="R3825" s="33"/>
      <c r="S3825" s="33"/>
      <c r="T3825" s="33"/>
      <c r="U3825" s="33"/>
      <c r="V3825" s="33"/>
      <c r="W3825" s="33"/>
      <c r="X3825" s="33"/>
      <c r="Y3825" s="33"/>
      <c r="Z3825" s="33"/>
      <c r="AA3825" s="33"/>
      <c r="AB3825" s="33"/>
      <c r="AC3825" s="33"/>
      <c r="AD3825" s="33"/>
      <c r="AE3825" s="33"/>
      <c r="AF3825" s="33"/>
      <c r="AG3825" s="33"/>
      <c r="AH3825" s="33"/>
      <c r="AI3825" s="33"/>
      <c r="AJ3825" s="33"/>
      <c r="AK3825" s="33"/>
    </row>
    <row r="3826">
      <c r="A3826" s="33"/>
      <c r="B3826" s="33"/>
      <c r="C3826" s="33"/>
      <c r="D3826" s="33"/>
      <c r="E3826" s="33"/>
      <c r="F3826" s="33"/>
      <c r="G3826" s="33"/>
      <c r="H3826" s="33"/>
      <c r="I3826" s="33"/>
      <c r="J3826" s="33"/>
      <c r="K3826" s="33"/>
      <c r="L3826" s="33"/>
      <c r="M3826" s="33"/>
      <c r="N3826" s="33"/>
      <c r="O3826" s="33"/>
      <c r="P3826" s="33"/>
      <c r="Q3826" s="33"/>
      <c r="R3826" s="33"/>
      <c r="S3826" s="33"/>
      <c r="T3826" s="33"/>
      <c r="U3826" s="33"/>
      <c r="V3826" s="33"/>
      <c r="W3826" s="33"/>
      <c r="X3826" s="33"/>
      <c r="Y3826" s="33"/>
      <c r="Z3826" s="33"/>
      <c r="AA3826" s="33"/>
      <c r="AB3826" s="33"/>
      <c r="AC3826" s="33"/>
      <c r="AD3826" s="33"/>
      <c r="AE3826" s="33"/>
      <c r="AF3826" s="33"/>
      <c r="AG3826" s="33"/>
      <c r="AH3826" s="33"/>
      <c r="AI3826" s="33"/>
      <c r="AJ3826" s="33"/>
      <c r="AK3826" s="33"/>
    </row>
    <row r="3827">
      <c r="A3827" s="33"/>
      <c r="B3827" s="33"/>
      <c r="C3827" s="33"/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33"/>
      <c r="V3827" s="33"/>
      <c r="W3827" s="33"/>
      <c r="X3827" s="33"/>
      <c r="Y3827" s="33"/>
      <c r="Z3827" s="33"/>
      <c r="AA3827" s="33"/>
      <c r="AB3827" s="33"/>
      <c r="AC3827" s="33"/>
      <c r="AD3827" s="33"/>
      <c r="AE3827" s="33"/>
      <c r="AF3827" s="33"/>
      <c r="AG3827" s="33"/>
      <c r="AH3827" s="33"/>
      <c r="AI3827" s="33"/>
      <c r="AJ3827" s="33"/>
      <c r="AK3827" s="33"/>
    </row>
    <row r="3828">
      <c r="A3828" s="33"/>
      <c r="B3828" s="33"/>
      <c r="C3828" s="33"/>
      <c r="D3828" s="33"/>
      <c r="E3828" s="33"/>
      <c r="F3828" s="33"/>
      <c r="G3828" s="33"/>
      <c r="H3828" s="33"/>
      <c r="I3828" s="33"/>
      <c r="J3828" s="33"/>
      <c r="K3828" s="33"/>
      <c r="L3828" s="33"/>
      <c r="M3828" s="33"/>
      <c r="N3828" s="33"/>
      <c r="O3828" s="33"/>
      <c r="P3828" s="33"/>
      <c r="Q3828" s="33"/>
      <c r="R3828" s="33"/>
      <c r="S3828" s="33"/>
      <c r="T3828" s="33"/>
      <c r="U3828" s="33"/>
      <c r="V3828" s="33"/>
      <c r="W3828" s="33"/>
      <c r="X3828" s="33"/>
      <c r="Y3828" s="33"/>
      <c r="Z3828" s="33"/>
      <c r="AA3828" s="33"/>
      <c r="AB3828" s="33"/>
      <c r="AC3828" s="33"/>
      <c r="AD3828" s="33"/>
      <c r="AE3828" s="33"/>
      <c r="AF3828" s="33"/>
      <c r="AG3828" s="33"/>
      <c r="AH3828" s="33"/>
      <c r="AI3828" s="33"/>
      <c r="AJ3828" s="33"/>
      <c r="AK3828" s="33"/>
    </row>
    <row r="3829">
      <c r="A3829" s="33"/>
      <c r="B3829" s="33"/>
      <c r="C3829" s="33"/>
      <c r="D3829" s="33"/>
      <c r="E3829" s="33"/>
      <c r="F3829" s="33"/>
      <c r="G3829" s="33"/>
      <c r="H3829" s="33"/>
      <c r="I3829" s="33"/>
      <c r="J3829" s="33"/>
      <c r="K3829" s="33"/>
      <c r="L3829" s="33"/>
      <c r="M3829" s="33"/>
      <c r="N3829" s="33"/>
      <c r="O3829" s="33"/>
      <c r="P3829" s="33"/>
      <c r="Q3829" s="33"/>
      <c r="R3829" s="33"/>
      <c r="S3829" s="33"/>
      <c r="T3829" s="33"/>
      <c r="U3829" s="33"/>
      <c r="V3829" s="33"/>
      <c r="W3829" s="33"/>
      <c r="X3829" s="33"/>
      <c r="Y3829" s="33"/>
      <c r="Z3829" s="33"/>
      <c r="AA3829" s="33"/>
      <c r="AB3829" s="33"/>
      <c r="AC3829" s="33"/>
      <c r="AD3829" s="33"/>
      <c r="AE3829" s="33"/>
      <c r="AF3829" s="33"/>
      <c r="AG3829" s="33"/>
      <c r="AH3829" s="33"/>
      <c r="AI3829" s="33"/>
      <c r="AJ3829" s="33"/>
      <c r="AK3829" s="33"/>
    </row>
    <row r="3830">
      <c r="A3830" s="33"/>
      <c r="B3830" s="33"/>
      <c r="C3830" s="33"/>
      <c r="D3830" s="33"/>
      <c r="E3830" s="33"/>
      <c r="F3830" s="33"/>
      <c r="G3830" s="33"/>
      <c r="H3830" s="33"/>
      <c r="I3830" s="33"/>
      <c r="J3830" s="33"/>
      <c r="K3830" s="33"/>
      <c r="L3830" s="33"/>
      <c r="M3830" s="33"/>
      <c r="N3830" s="33"/>
      <c r="O3830" s="33"/>
      <c r="P3830" s="33"/>
      <c r="Q3830" s="33"/>
      <c r="R3830" s="33"/>
      <c r="S3830" s="33"/>
      <c r="T3830" s="33"/>
      <c r="U3830" s="33"/>
      <c r="V3830" s="33"/>
      <c r="W3830" s="33"/>
      <c r="X3830" s="33"/>
      <c r="Y3830" s="33"/>
      <c r="Z3830" s="33"/>
      <c r="AA3830" s="33"/>
      <c r="AB3830" s="33"/>
      <c r="AC3830" s="33"/>
      <c r="AD3830" s="33"/>
      <c r="AE3830" s="33"/>
      <c r="AF3830" s="33"/>
      <c r="AG3830" s="33"/>
      <c r="AH3830" s="33"/>
      <c r="AI3830" s="33"/>
      <c r="AJ3830" s="33"/>
      <c r="AK3830" s="33"/>
    </row>
    <row r="3831">
      <c r="A3831" s="33"/>
      <c r="B3831" s="33"/>
      <c r="C3831" s="33"/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33"/>
      <c r="V3831" s="33"/>
      <c r="W3831" s="33"/>
      <c r="X3831" s="33"/>
      <c r="Y3831" s="33"/>
      <c r="Z3831" s="33"/>
      <c r="AA3831" s="33"/>
      <c r="AB3831" s="33"/>
      <c r="AC3831" s="33"/>
      <c r="AD3831" s="33"/>
      <c r="AE3831" s="33"/>
      <c r="AF3831" s="33"/>
      <c r="AG3831" s="33"/>
      <c r="AH3831" s="33"/>
      <c r="AI3831" s="33"/>
      <c r="AJ3831" s="33"/>
      <c r="AK3831" s="33"/>
    </row>
    <row r="3832">
      <c r="A3832" s="33"/>
      <c r="B3832" s="33"/>
      <c r="C3832" s="33"/>
      <c r="D3832" s="33"/>
      <c r="E3832" s="33"/>
      <c r="F3832" s="33"/>
      <c r="G3832" s="33"/>
      <c r="H3832" s="33"/>
      <c r="I3832" s="33"/>
      <c r="J3832" s="33"/>
      <c r="K3832" s="33"/>
      <c r="L3832" s="33"/>
      <c r="M3832" s="33"/>
      <c r="N3832" s="33"/>
      <c r="O3832" s="33"/>
      <c r="P3832" s="33"/>
      <c r="Q3832" s="33"/>
      <c r="R3832" s="33"/>
      <c r="S3832" s="33"/>
      <c r="T3832" s="33"/>
      <c r="U3832" s="33"/>
      <c r="V3832" s="33"/>
      <c r="W3832" s="33"/>
      <c r="X3832" s="33"/>
      <c r="Y3832" s="33"/>
      <c r="Z3832" s="33"/>
      <c r="AA3832" s="33"/>
      <c r="AB3832" s="33"/>
      <c r="AC3832" s="33"/>
      <c r="AD3832" s="33"/>
      <c r="AE3832" s="33"/>
      <c r="AF3832" s="33"/>
      <c r="AG3832" s="33"/>
      <c r="AH3832" s="33"/>
      <c r="AI3832" s="33"/>
      <c r="AJ3832" s="33"/>
      <c r="AK3832" s="33"/>
    </row>
    <row r="3833">
      <c r="A3833" s="33"/>
      <c r="B3833" s="33"/>
      <c r="C3833" s="33"/>
      <c r="D3833" s="33"/>
      <c r="E3833" s="33"/>
      <c r="F3833" s="33"/>
      <c r="G3833" s="33"/>
      <c r="H3833" s="33"/>
      <c r="I3833" s="33"/>
      <c r="J3833" s="33"/>
      <c r="K3833" s="33"/>
      <c r="L3833" s="33"/>
      <c r="M3833" s="33"/>
      <c r="N3833" s="33"/>
      <c r="O3833" s="33"/>
      <c r="P3833" s="33"/>
      <c r="Q3833" s="33"/>
      <c r="R3833" s="33"/>
      <c r="S3833" s="33"/>
      <c r="T3833" s="33"/>
      <c r="U3833" s="33"/>
      <c r="V3833" s="33"/>
      <c r="W3833" s="33"/>
      <c r="X3833" s="33"/>
      <c r="Y3833" s="33"/>
      <c r="Z3833" s="33"/>
      <c r="AA3833" s="33"/>
      <c r="AB3833" s="33"/>
      <c r="AC3833" s="33"/>
      <c r="AD3833" s="33"/>
      <c r="AE3833" s="33"/>
      <c r="AF3833" s="33"/>
      <c r="AG3833" s="33"/>
      <c r="AH3833" s="33"/>
      <c r="AI3833" s="33"/>
      <c r="AJ3833" s="33"/>
      <c r="AK3833" s="33"/>
    </row>
    <row r="3834">
      <c r="A3834" s="33"/>
      <c r="B3834" s="33"/>
      <c r="C3834" s="33"/>
      <c r="D3834" s="33"/>
      <c r="E3834" s="33"/>
      <c r="F3834" s="33"/>
      <c r="G3834" s="33"/>
      <c r="H3834" s="33"/>
      <c r="I3834" s="33"/>
      <c r="J3834" s="33"/>
      <c r="K3834" s="33"/>
      <c r="L3834" s="33"/>
      <c r="M3834" s="33"/>
      <c r="N3834" s="33"/>
      <c r="O3834" s="33"/>
      <c r="P3834" s="33"/>
      <c r="Q3834" s="33"/>
      <c r="R3834" s="33"/>
      <c r="S3834" s="33"/>
      <c r="T3834" s="33"/>
      <c r="U3834" s="33"/>
      <c r="V3834" s="33"/>
      <c r="W3834" s="33"/>
      <c r="X3834" s="33"/>
      <c r="Y3834" s="33"/>
      <c r="Z3834" s="33"/>
      <c r="AA3834" s="33"/>
      <c r="AB3834" s="33"/>
      <c r="AC3834" s="33"/>
      <c r="AD3834" s="33"/>
      <c r="AE3834" s="33"/>
      <c r="AF3834" s="33"/>
      <c r="AG3834" s="33"/>
      <c r="AH3834" s="33"/>
      <c r="AI3834" s="33"/>
      <c r="AJ3834" s="33"/>
      <c r="AK3834" s="33"/>
    </row>
    <row r="3835">
      <c r="A3835" s="33"/>
      <c r="B3835" s="33"/>
      <c r="C3835" s="33"/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  <c r="Q3835" s="33"/>
      <c r="R3835" s="33"/>
      <c r="S3835" s="33"/>
      <c r="T3835" s="33"/>
      <c r="U3835" s="33"/>
      <c r="V3835" s="33"/>
      <c r="W3835" s="33"/>
      <c r="X3835" s="33"/>
      <c r="Y3835" s="33"/>
      <c r="Z3835" s="33"/>
      <c r="AA3835" s="33"/>
      <c r="AB3835" s="33"/>
      <c r="AC3835" s="33"/>
      <c r="AD3835" s="33"/>
      <c r="AE3835" s="33"/>
      <c r="AF3835" s="33"/>
      <c r="AG3835" s="33"/>
      <c r="AH3835" s="33"/>
      <c r="AI3835" s="33"/>
      <c r="AJ3835" s="33"/>
      <c r="AK3835" s="33"/>
    </row>
    <row r="3836">
      <c r="A3836" s="33"/>
      <c r="B3836" s="33"/>
      <c r="C3836" s="33"/>
      <c r="D3836" s="33"/>
      <c r="E3836" s="33"/>
      <c r="F3836" s="33"/>
      <c r="G3836" s="33"/>
      <c r="H3836" s="33"/>
      <c r="I3836" s="33"/>
      <c r="J3836" s="33"/>
      <c r="K3836" s="33"/>
      <c r="L3836" s="33"/>
      <c r="M3836" s="33"/>
      <c r="N3836" s="33"/>
      <c r="O3836" s="33"/>
      <c r="P3836" s="33"/>
      <c r="Q3836" s="33"/>
      <c r="R3836" s="33"/>
      <c r="S3836" s="33"/>
      <c r="T3836" s="33"/>
      <c r="U3836" s="33"/>
      <c r="V3836" s="33"/>
      <c r="W3836" s="33"/>
      <c r="X3836" s="33"/>
      <c r="Y3836" s="33"/>
      <c r="Z3836" s="33"/>
      <c r="AA3836" s="33"/>
      <c r="AB3836" s="33"/>
      <c r="AC3836" s="33"/>
      <c r="AD3836" s="33"/>
      <c r="AE3836" s="33"/>
      <c r="AF3836" s="33"/>
      <c r="AG3836" s="33"/>
      <c r="AH3836" s="33"/>
      <c r="AI3836" s="33"/>
      <c r="AJ3836" s="33"/>
      <c r="AK3836" s="33"/>
    </row>
    <row r="3837">
      <c r="A3837" s="33"/>
      <c r="B3837" s="33"/>
      <c r="C3837" s="33"/>
      <c r="D3837" s="33"/>
      <c r="E3837" s="33"/>
      <c r="F3837" s="33"/>
      <c r="G3837" s="33"/>
      <c r="H3837" s="33"/>
      <c r="I3837" s="33"/>
      <c r="J3837" s="33"/>
      <c r="K3837" s="33"/>
      <c r="L3837" s="33"/>
      <c r="M3837" s="33"/>
      <c r="N3837" s="33"/>
      <c r="O3837" s="33"/>
      <c r="P3837" s="33"/>
      <c r="Q3837" s="33"/>
      <c r="R3837" s="33"/>
      <c r="S3837" s="33"/>
      <c r="T3837" s="33"/>
      <c r="U3837" s="33"/>
      <c r="V3837" s="33"/>
      <c r="W3837" s="33"/>
      <c r="X3837" s="33"/>
      <c r="Y3837" s="33"/>
      <c r="Z3837" s="33"/>
      <c r="AA3837" s="33"/>
      <c r="AB3837" s="33"/>
      <c r="AC3837" s="33"/>
      <c r="AD3837" s="33"/>
      <c r="AE3837" s="33"/>
      <c r="AF3837" s="33"/>
      <c r="AG3837" s="33"/>
      <c r="AH3837" s="33"/>
      <c r="AI3837" s="33"/>
      <c r="AJ3837" s="33"/>
      <c r="AK3837" s="33"/>
    </row>
    <row r="3838">
      <c r="A3838" s="33"/>
      <c r="B3838" s="33"/>
      <c r="C3838" s="33"/>
      <c r="D3838" s="33"/>
      <c r="E3838" s="33"/>
      <c r="F3838" s="33"/>
      <c r="G3838" s="33"/>
      <c r="H3838" s="33"/>
      <c r="I3838" s="33"/>
      <c r="J3838" s="33"/>
      <c r="K3838" s="33"/>
      <c r="L3838" s="33"/>
      <c r="M3838" s="33"/>
      <c r="N3838" s="33"/>
      <c r="O3838" s="33"/>
      <c r="P3838" s="33"/>
      <c r="Q3838" s="33"/>
      <c r="R3838" s="33"/>
      <c r="S3838" s="33"/>
      <c r="T3838" s="33"/>
      <c r="U3838" s="33"/>
      <c r="V3838" s="33"/>
      <c r="W3838" s="33"/>
      <c r="X3838" s="33"/>
      <c r="Y3838" s="33"/>
      <c r="Z3838" s="33"/>
      <c r="AA3838" s="33"/>
      <c r="AB3838" s="33"/>
      <c r="AC3838" s="33"/>
      <c r="AD3838" s="33"/>
      <c r="AE3838" s="33"/>
      <c r="AF3838" s="33"/>
      <c r="AG3838" s="33"/>
      <c r="AH3838" s="33"/>
      <c r="AI3838" s="33"/>
      <c r="AJ3838" s="33"/>
      <c r="AK3838" s="33"/>
    </row>
    <row r="3839">
      <c r="A3839" s="33"/>
      <c r="B3839" s="33"/>
      <c r="C3839" s="33"/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  <c r="Q3839" s="33"/>
      <c r="R3839" s="33"/>
      <c r="S3839" s="33"/>
      <c r="T3839" s="33"/>
      <c r="U3839" s="33"/>
      <c r="V3839" s="33"/>
      <c r="W3839" s="33"/>
      <c r="X3839" s="33"/>
      <c r="Y3839" s="33"/>
      <c r="Z3839" s="33"/>
      <c r="AA3839" s="33"/>
      <c r="AB3839" s="33"/>
      <c r="AC3839" s="33"/>
      <c r="AD3839" s="33"/>
      <c r="AE3839" s="33"/>
      <c r="AF3839" s="33"/>
      <c r="AG3839" s="33"/>
      <c r="AH3839" s="33"/>
      <c r="AI3839" s="33"/>
      <c r="AJ3839" s="33"/>
      <c r="AK3839" s="33"/>
    </row>
    <row r="3840">
      <c r="A3840" s="33"/>
      <c r="B3840" s="33"/>
      <c r="C3840" s="33"/>
      <c r="D3840" s="33"/>
      <c r="E3840" s="33"/>
      <c r="F3840" s="33"/>
      <c r="G3840" s="33"/>
      <c r="H3840" s="33"/>
      <c r="I3840" s="33"/>
      <c r="J3840" s="33"/>
      <c r="K3840" s="33"/>
      <c r="L3840" s="33"/>
      <c r="M3840" s="33"/>
      <c r="N3840" s="33"/>
      <c r="O3840" s="33"/>
      <c r="P3840" s="33"/>
      <c r="Q3840" s="33"/>
      <c r="R3840" s="33"/>
      <c r="S3840" s="33"/>
      <c r="T3840" s="33"/>
      <c r="U3840" s="33"/>
      <c r="V3840" s="33"/>
      <c r="W3840" s="33"/>
      <c r="X3840" s="33"/>
      <c r="Y3840" s="33"/>
      <c r="Z3840" s="33"/>
      <c r="AA3840" s="33"/>
      <c r="AB3840" s="33"/>
      <c r="AC3840" s="33"/>
      <c r="AD3840" s="33"/>
      <c r="AE3840" s="33"/>
      <c r="AF3840" s="33"/>
      <c r="AG3840" s="33"/>
      <c r="AH3840" s="33"/>
      <c r="AI3840" s="33"/>
      <c r="AJ3840" s="33"/>
      <c r="AK3840" s="33"/>
    </row>
    <row r="3841">
      <c r="A3841" s="33"/>
      <c r="B3841" s="33"/>
      <c r="C3841" s="33"/>
      <c r="D3841" s="33"/>
      <c r="E3841" s="33"/>
      <c r="F3841" s="33"/>
      <c r="G3841" s="33"/>
      <c r="H3841" s="33"/>
      <c r="I3841" s="33"/>
      <c r="J3841" s="33"/>
      <c r="K3841" s="33"/>
      <c r="L3841" s="33"/>
      <c r="M3841" s="33"/>
      <c r="N3841" s="33"/>
      <c r="O3841" s="33"/>
      <c r="P3841" s="33"/>
      <c r="Q3841" s="33"/>
      <c r="R3841" s="33"/>
      <c r="S3841" s="33"/>
      <c r="T3841" s="33"/>
      <c r="U3841" s="33"/>
      <c r="V3841" s="33"/>
      <c r="W3841" s="33"/>
      <c r="X3841" s="33"/>
      <c r="Y3841" s="33"/>
      <c r="Z3841" s="33"/>
      <c r="AA3841" s="33"/>
      <c r="AB3841" s="33"/>
      <c r="AC3841" s="33"/>
      <c r="AD3841" s="33"/>
      <c r="AE3841" s="33"/>
      <c r="AF3841" s="33"/>
      <c r="AG3841" s="33"/>
      <c r="AH3841" s="33"/>
      <c r="AI3841" s="33"/>
      <c r="AJ3841" s="33"/>
      <c r="AK3841" s="33"/>
    </row>
    <row r="3842">
      <c r="A3842" s="33"/>
      <c r="B3842" s="33"/>
      <c r="C3842" s="33"/>
      <c r="D3842" s="33"/>
      <c r="E3842" s="33"/>
      <c r="F3842" s="33"/>
      <c r="G3842" s="33"/>
      <c r="H3842" s="33"/>
      <c r="I3842" s="33"/>
      <c r="J3842" s="33"/>
      <c r="K3842" s="33"/>
      <c r="L3842" s="33"/>
      <c r="M3842" s="33"/>
      <c r="N3842" s="33"/>
      <c r="O3842" s="33"/>
      <c r="P3842" s="33"/>
      <c r="Q3842" s="33"/>
      <c r="R3842" s="33"/>
      <c r="S3842" s="33"/>
      <c r="T3842" s="33"/>
      <c r="U3842" s="33"/>
      <c r="V3842" s="33"/>
      <c r="W3842" s="33"/>
      <c r="X3842" s="33"/>
      <c r="Y3842" s="33"/>
      <c r="Z3842" s="33"/>
      <c r="AA3842" s="33"/>
      <c r="AB3842" s="33"/>
      <c r="AC3842" s="33"/>
      <c r="AD3842" s="33"/>
      <c r="AE3842" s="33"/>
      <c r="AF3842" s="33"/>
      <c r="AG3842" s="33"/>
      <c r="AH3842" s="33"/>
      <c r="AI3842" s="33"/>
      <c r="AJ3842" s="33"/>
      <c r="AK3842" s="33"/>
    </row>
    <row r="3843">
      <c r="A3843" s="33"/>
      <c r="B3843" s="33"/>
      <c r="C3843" s="33"/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  <c r="Q3843" s="33"/>
      <c r="R3843" s="33"/>
      <c r="S3843" s="33"/>
      <c r="T3843" s="33"/>
      <c r="U3843" s="33"/>
      <c r="V3843" s="33"/>
      <c r="W3843" s="33"/>
      <c r="X3843" s="33"/>
      <c r="Y3843" s="33"/>
      <c r="Z3843" s="33"/>
      <c r="AA3843" s="33"/>
      <c r="AB3843" s="33"/>
      <c r="AC3843" s="33"/>
      <c r="AD3843" s="33"/>
      <c r="AE3843" s="33"/>
      <c r="AF3843" s="33"/>
      <c r="AG3843" s="33"/>
      <c r="AH3843" s="33"/>
      <c r="AI3843" s="33"/>
      <c r="AJ3843" s="33"/>
      <c r="AK3843" s="33"/>
    </row>
    <row r="3844">
      <c r="A3844" s="33"/>
      <c r="B3844" s="33"/>
      <c r="C3844" s="33"/>
      <c r="D3844" s="33"/>
      <c r="E3844" s="33"/>
      <c r="F3844" s="33"/>
      <c r="G3844" s="33"/>
      <c r="H3844" s="33"/>
      <c r="I3844" s="33"/>
      <c r="J3844" s="33"/>
      <c r="K3844" s="33"/>
      <c r="L3844" s="33"/>
      <c r="M3844" s="33"/>
      <c r="N3844" s="33"/>
      <c r="O3844" s="33"/>
      <c r="P3844" s="33"/>
      <c r="Q3844" s="33"/>
      <c r="R3844" s="33"/>
      <c r="S3844" s="33"/>
      <c r="T3844" s="33"/>
      <c r="U3844" s="33"/>
      <c r="V3844" s="33"/>
      <c r="W3844" s="33"/>
      <c r="X3844" s="33"/>
      <c r="Y3844" s="33"/>
      <c r="Z3844" s="33"/>
      <c r="AA3844" s="33"/>
      <c r="AB3844" s="33"/>
      <c r="AC3844" s="33"/>
      <c r="AD3844" s="33"/>
      <c r="AE3844" s="33"/>
      <c r="AF3844" s="33"/>
      <c r="AG3844" s="33"/>
      <c r="AH3844" s="33"/>
      <c r="AI3844" s="33"/>
      <c r="AJ3844" s="33"/>
      <c r="AK3844" s="33"/>
    </row>
    <row r="3845">
      <c r="A3845" s="33"/>
      <c r="B3845" s="33"/>
      <c r="C3845" s="33"/>
      <c r="D3845" s="33"/>
      <c r="E3845" s="33"/>
      <c r="F3845" s="33"/>
      <c r="G3845" s="33"/>
      <c r="H3845" s="33"/>
      <c r="I3845" s="33"/>
      <c r="J3845" s="33"/>
      <c r="K3845" s="33"/>
      <c r="L3845" s="33"/>
      <c r="M3845" s="33"/>
      <c r="N3845" s="33"/>
      <c r="O3845" s="33"/>
      <c r="P3845" s="33"/>
      <c r="Q3845" s="33"/>
      <c r="R3845" s="33"/>
      <c r="S3845" s="33"/>
      <c r="T3845" s="33"/>
      <c r="U3845" s="33"/>
      <c r="V3845" s="33"/>
      <c r="W3845" s="33"/>
      <c r="X3845" s="33"/>
      <c r="Y3845" s="33"/>
      <c r="Z3845" s="33"/>
      <c r="AA3845" s="33"/>
      <c r="AB3845" s="33"/>
      <c r="AC3845" s="33"/>
      <c r="AD3845" s="33"/>
      <c r="AE3845" s="33"/>
      <c r="AF3845" s="33"/>
      <c r="AG3845" s="33"/>
      <c r="AH3845" s="33"/>
      <c r="AI3845" s="33"/>
      <c r="AJ3845" s="33"/>
      <c r="AK3845" s="33"/>
    </row>
    <row r="3846">
      <c r="A3846" s="33"/>
      <c r="B3846" s="33"/>
      <c r="C3846" s="33"/>
      <c r="D3846" s="33"/>
      <c r="E3846" s="33"/>
      <c r="F3846" s="33"/>
      <c r="G3846" s="33"/>
      <c r="H3846" s="33"/>
      <c r="I3846" s="33"/>
      <c r="J3846" s="33"/>
      <c r="K3846" s="33"/>
      <c r="L3846" s="33"/>
      <c r="M3846" s="33"/>
      <c r="N3846" s="33"/>
      <c r="O3846" s="33"/>
      <c r="P3846" s="33"/>
      <c r="Q3846" s="33"/>
      <c r="R3846" s="33"/>
      <c r="S3846" s="33"/>
      <c r="T3846" s="33"/>
      <c r="U3846" s="33"/>
      <c r="V3846" s="33"/>
      <c r="W3846" s="33"/>
      <c r="X3846" s="33"/>
      <c r="Y3846" s="33"/>
      <c r="Z3846" s="33"/>
      <c r="AA3846" s="33"/>
      <c r="AB3846" s="33"/>
      <c r="AC3846" s="33"/>
      <c r="AD3846" s="33"/>
      <c r="AE3846" s="33"/>
      <c r="AF3846" s="33"/>
      <c r="AG3846" s="33"/>
      <c r="AH3846" s="33"/>
      <c r="AI3846" s="33"/>
      <c r="AJ3846" s="33"/>
      <c r="AK3846" s="33"/>
    </row>
    <row r="3847">
      <c r="A3847" s="33"/>
      <c r="B3847" s="33"/>
      <c r="C3847" s="33"/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  <c r="Q3847" s="33"/>
      <c r="R3847" s="33"/>
      <c r="S3847" s="33"/>
      <c r="T3847" s="33"/>
      <c r="U3847" s="33"/>
      <c r="V3847" s="33"/>
      <c r="W3847" s="33"/>
      <c r="X3847" s="33"/>
      <c r="Y3847" s="33"/>
      <c r="Z3847" s="33"/>
      <c r="AA3847" s="33"/>
      <c r="AB3847" s="33"/>
      <c r="AC3847" s="33"/>
      <c r="AD3847" s="33"/>
      <c r="AE3847" s="33"/>
      <c r="AF3847" s="33"/>
      <c r="AG3847" s="33"/>
      <c r="AH3847" s="33"/>
      <c r="AI3847" s="33"/>
      <c r="AJ3847" s="33"/>
      <c r="AK3847" s="33"/>
    </row>
    <row r="3848">
      <c r="A3848" s="33"/>
      <c r="B3848" s="33"/>
      <c r="C3848" s="33"/>
      <c r="D3848" s="33"/>
      <c r="E3848" s="33"/>
      <c r="F3848" s="33"/>
      <c r="G3848" s="33"/>
      <c r="H3848" s="33"/>
      <c r="I3848" s="33"/>
      <c r="J3848" s="33"/>
      <c r="K3848" s="33"/>
      <c r="L3848" s="33"/>
      <c r="M3848" s="33"/>
      <c r="N3848" s="33"/>
      <c r="O3848" s="33"/>
      <c r="P3848" s="33"/>
      <c r="Q3848" s="33"/>
      <c r="R3848" s="33"/>
      <c r="S3848" s="33"/>
      <c r="T3848" s="33"/>
      <c r="U3848" s="33"/>
      <c r="V3848" s="33"/>
      <c r="W3848" s="33"/>
      <c r="X3848" s="33"/>
      <c r="Y3848" s="33"/>
      <c r="Z3848" s="33"/>
      <c r="AA3848" s="33"/>
      <c r="AB3848" s="33"/>
      <c r="AC3848" s="33"/>
      <c r="AD3848" s="33"/>
      <c r="AE3848" s="33"/>
      <c r="AF3848" s="33"/>
      <c r="AG3848" s="33"/>
      <c r="AH3848" s="33"/>
      <c r="AI3848" s="33"/>
      <c r="AJ3848" s="33"/>
      <c r="AK3848" s="33"/>
    </row>
    <row r="3849">
      <c r="A3849" s="33"/>
      <c r="B3849" s="33"/>
      <c r="C3849" s="33"/>
      <c r="D3849" s="33"/>
      <c r="E3849" s="33"/>
      <c r="F3849" s="33"/>
      <c r="G3849" s="33"/>
      <c r="H3849" s="33"/>
      <c r="I3849" s="33"/>
      <c r="J3849" s="33"/>
      <c r="K3849" s="33"/>
      <c r="L3849" s="33"/>
      <c r="M3849" s="33"/>
      <c r="N3849" s="33"/>
      <c r="O3849" s="33"/>
      <c r="P3849" s="33"/>
      <c r="Q3849" s="33"/>
      <c r="R3849" s="33"/>
      <c r="S3849" s="33"/>
      <c r="T3849" s="33"/>
      <c r="U3849" s="33"/>
      <c r="V3849" s="33"/>
      <c r="W3849" s="33"/>
      <c r="X3849" s="33"/>
      <c r="Y3849" s="33"/>
      <c r="Z3849" s="33"/>
      <c r="AA3849" s="33"/>
      <c r="AB3849" s="33"/>
      <c r="AC3849" s="33"/>
      <c r="AD3849" s="33"/>
      <c r="AE3849" s="33"/>
      <c r="AF3849" s="33"/>
      <c r="AG3849" s="33"/>
      <c r="AH3849" s="33"/>
      <c r="AI3849" s="33"/>
      <c r="AJ3849" s="33"/>
      <c r="AK3849" s="33"/>
    </row>
    <row r="3850">
      <c r="A3850" s="33"/>
      <c r="B3850" s="33"/>
      <c r="C3850" s="33"/>
      <c r="D3850" s="33"/>
      <c r="E3850" s="33"/>
      <c r="F3850" s="33"/>
      <c r="G3850" s="33"/>
      <c r="H3850" s="33"/>
      <c r="I3850" s="33"/>
      <c r="J3850" s="33"/>
      <c r="K3850" s="33"/>
      <c r="L3850" s="33"/>
      <c r="M3850" s="33"/>
      <c r="N3850" s="33"/>
      <c r="O3850" s="33"/>
      <c r="P3850" s="33"/>
      <c r="Q3850" s="33"/>
      <c r="R3850" s="33"/>
      <c r="S3850" s="33"/>
      <c r="T3850" s="33"/>
      <c r="U3850" s="33"/>
      <c r="V3850" s="33"/>
      <c r="W3850" s="33"/>
      <c r="X3850" s="33"/>
      <c r="Y3850" s="33"/>
      <c r="Z3850" s="33"/>
      <c r="AA3850" s="33"/>
      <c r="AB3850" s="33"/>
      <c r="AC3850" s="33"/>
      <c r="AD3850" s="33"/>
      <c r="AE3850" s="33"/>
      <c r="AF3850" s="33"/>
      <c r="AG3850" s="33"/>
      <c r="AH3850" s="33"/>
      <c r="AI3850" s="33"/>
      <c r="AJ3850" s="33"/>
      <c r="AK3850" s="33"/>
    </row>
    <row r="3851">
      <c r="A3851" s="33"/>
      <c r="B3851" s="33"/>
      <c r="C3851" s="33"/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  <c r="Q3851" s="33"/>
      <c r="R3851" s="33"/>
      <c r="S3851" s="33"/>
      <c r="T3851" s="33"/>
      <c r="U3851" s="33"/>
      <c r="V3851" s="33"/>
      <c r="W3851" s="33"/>
      <c r="X3851" s="33"/>
      <c r="Y3851" s="33"/>
      <c r="Z3851" s="33"/>
      <c r="AA3851" s="33"/>
      <c r="AB3851" s="33"/>
      <c r="AC3851" s="33"/>
      <c r="AD3851" s="33"/>
      <c r="AE3851" s="33"/>
      <c r="AF3851" s="33"/>
      <c r="AG3851" s="33"/>
      <c r="AH3851" s="33"/>
      <c r="AI3851" s="33"/>
      <c r="AJ3851" s="33"/>
      <c r="AK3851" s="33"/>
    </row>
    <row r="3852">
      <c r="A3852" s="33"/>
      <c r="B3852" s="33"/>
      <c r="C3852" s="33"/>
      <c r="D3852" s="33"/>
      <c r="E3852" s="33"/>
      <c r="F3852" s="33"/>
      <c r="G3852" s="33"/>
      <c r="H3852" s="33"/>
      <c r="I3852" s="33"/>
      <c r="J3852" s="33"/>
      <c r="K3852" s="33"/>
      <c r="L3852" s="33"/>
      <c r="M3852" s="33"/>
      <c r="N3852" s="33"/>
      <c r="O3852" s="33"/>
      <c r="P3852" s="33"/>
      <c r="Q3852" s="33"/>
      <c r="R3852" s="33"/>
      <c r="S3852" s="33"/>
      <c r="T3852" s="33"/>
      <c r="U3852" s="33"/>
      <c r="V3852" s="33"/>
      <c r="W3852" s="33"/>
      <c r="X3852" s="33"/>
      <c r="Y3852" s="33"/>
      <c r="Z3852" s="33"/>
      <c r="AA3852" s="33"/>
      <c r="AB3852" s="33"/>
      <c r="AC3852" s="33"/>
      <c r="AD3852" s="33"/>
      <c r="AE3852" s="33"/>
      <c r="AF3852" s="33"/>
      <c r="AG3852" s="33"/>
      <c r="AH3852" s="33"/>
      <c r="AI3852" s="33"/>
      <c r="AJ3852" s="33"/>
      <c r="AK3852" s="33"/>
    </row>
    <row r="3853">
      <c r="A3853" s="33"/>
      <c r="B3853" s="33"/>
      <c r="C3853" s="33"/>
      <c r="D3853" s="33"/>
      <c r="E3853" s="33"/>
      <c r="F3853" s="33"/>
      <c r="G3853" s="33"/>
      <c r="H3853" s="33"/>
      <c r="I3853" s="33"/>
      <c r="J3853" s="33"/>
      <c r="K3853" s="33"/>
      <c r="L3853" s="33"/>
      <c r="M3853" s="33"/>
      <c r="N3853" s="33"/>
      <c r="O3853" s="33"/>
      <c r="P3853" s="33"/>
      <c r="Q3853" s="33"/>
      <c r="R3853" s="33"/>
      <c r="S3853" s="33"/>
      <c r="T3853" s="33"/>
      <c r="U3853" s="33"/>
      <c r="V3853" s="33"/>
      <c r="W3853" s="33"/>
      <c r="X3853" s="33"/>
      <c r="Y3853" s="33"/>
      <c r="Z3853" s="33"/>
      <c r="AA3853" s="33"/>
      <c r="AB3853" s="33"/>
      <c r="AC3853" s="33"/>
      <c r="AD3853" s="33"/>
      <c r="AE3853" s="33"/>
      <c r="AF3853" s="33"/>
      <c r="AG3853" s="33"/>
      <c r="AH3853" s="33"/>
      <c r="AI3853" s="33"/>
      <c r="AJ3853" s="33"/>
      <c r="AK3853" s="33"/>
    </row>
    <row r="3854">
      <c r="A3854" s="33"/>
      <c r="B3854" s="33"/>
      <c r="C3854" s="33"/>
      <c r="D3854" s="33"/>
      <c r="E3854" s="33"/>
      <c r="F3854" s="33"/>
      <c r="G3854" s="33"/>
      <c r="H3854" s="33"/>
      <c r="I3854" s="33"/>
      <c r="J3854" s="33"/>
      <c r="K3854" s="33"/>
      <c r="L3854" s="33"/>
      <c r="M3854" s="33"/>
      <c r="N3854" s="33"/>
      <c r="O3854" s="33"/>
      <c r="P3854" s="33"/>
      <c r="Q3854" s="33"/>
      <c r="R3854" s="33"/>
      <c r="S3854" s="33"/>
      <c r="T3854" s="33"/>
      <c r="U3854" s="33"/>
      <c r="V3854" s="33"/>
      <c r="W3854" s="33"/>
      <c r="X3854" s="33"/>
      <c r="Y3854" s="33"/>
      <c r="Z3854" s="33"/>
      <c r="AA3854" s="33"/>
      <c r="AB3854" s="33"/>
      <c r="AC3854" s="33"/>
      <c r="AD3854" s="33"/>
      <c r="AE3854" s="33"/>
      <c r="AF3854" s="33"/>
      <c r="AG3854" s="33"/>
      <c r="AH3854" s="33"/>
      <c r="AI3854" s="33"/>
      <c r="AJ3854" s="33"/>
      <c r="AK3854" s="33"/>
    </row>
    <row r="3855">
      <c r="A3855" s="33"/>
      <c r="B3855" s="33"/>
      <c r="C3855" s="33"/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  <c r="Q3855" s="33"/>
      <c r="R3855" s="33"/>
      <c r="S3855" s="33"/>
      <c r="T3855" s="33"/>
      <c r="U3855" s="33"/>
      <c r="V3855" s="33"/>
      <c r="W3855" s="33"/>
      <c r="X3855" s="33"/>
      <c r="Y3855" s="33"/>
      <c r="Z3855" s="33"/>
      <c r="AA3855" s="33"/>
      <c r="AB3855" s="33"/>
      <c r="AC3855" s="33"/>
      <c r="AD3855" s="33"/>
      <c r="AE3855" s="33"/>
      <c r="AF3855" s="33"/>
      <c r="AG3855" s="33"/>
      <c r="AH3855" s="33"/>
      <c r="AI3855" s="33"/>
      <c r="AJ3855" s="33"/>
      <c r="AK3855" s="33"/>
    </row>
    <row r="3856">
      <c r="A3856" s="33"/>
      <c r="B3856" s="33"/>
      <c r="C3856" s="33"/>
      <c r="D3856" s="33"/>
      <c r="E3856" s="33"/>
      <c r="F3856" s="33"/>
      <c r="G3856" s="33"/>
      <c r="H3856" s="33"/>
      <c r="I3856" s="33"/>
      <c r="J3856" s="33"/>
      <c r="K3856" s="33"/>
      <c r="L3856" s="33"/>
      <c r="M3856" s="33"/>
      <c r="N3856" s="33"/>
      <c r="O3856" s="33"/>
      <c r="P3856" s="33"/>
      <c r="Q3856" s="33"/>
      <c r="R3856" s="33"/>
      <c r="S3856" s="33"/>
      <c r="T3856" s="33"/>
      <c r="U3856" s="33"/>
      <c r="V3856" s="33"/>
      <c r="W3856" s="33"/>
      <c r="X3856" s="33"/>
      <c r="Y3856" s="33"/>
      <c r="Z3856" s="33"/>
      <c r="AA3856" s="33"/>
      <c r="AB3856" s="33"/>
      <c r="AC3856" s="33"/>
      <c r="AD3856" s="33"/>
      <c r="AE3856" s="33"/>
      <c r="AF3856" s="33"/>
      <c r="AG3856" s="33"/>
      <c r="AH3856" s="33"/>
      <c r="AI3856" s="33"/>
      <c r="AJ3856" s="33"/>
      <c r="AK3856" s="33"/>
    </row>
    <row r="3857">
      <c r="A3857" s="33"/>
      <c r="B3857" s="33"/>
      <c r="C3857" s="33"/>
      <c r="D3857" s="33"/>
      <c r="E3857" s="33"/>
      <c r="F3857" s="33"/>
      <c r="G3857" s="33"/>
      <c r="H3857" s="33"/>
      <c r="I3857" s="33"/>
      <c r="J3857" s="33"/>
      <c r="K3857" s="33"/>
      <c r="L3857" s="33"/>
      <c r="M3857" s="33"/>
      <c r="N3857" s="33"/>
      <c r="O3857" s="33"/>
      <c r="P3857" s="33"/>
      <c r="Q3857" s="33"/>
      <c r="R3857" s="33"/>
      <c r="S3857" s="33"/>
      <c r="T3857" s="33"/>
      <c r="U3857" s="33"/>
      <c r="V3857" s="33"/>
      <c r="W3857" s="33"/>
      <c r="X3857" s="33"/>
      <c r="Y3857" s="33"/>
      <c r="Z3857" s="33"/>
      <c r="AA3857" s="33"/>
      <c r="AB3857" s="33"/>
      <c r="AC3857" s="33"/>
      <c r="AD3857" s="33"/>
      <c r="AE3857" s="33"/>
      <c r="AF3857" s="33"/>
      <c r="AG3857" s="33"/>
      <c r="AH3857" s="33"/>
      <c r="AI3857" s="33"/>
      <c r="AJ3857" s="33"/>
      <c r="AK3857" s="33"/>
    </row>
    <row r="3858">
      <c r="A3858" s="33"/>
      <c r="B3858" s="33"/>
      <c r="C3858" s="33"/>
      <c r="D3858" s="33"/>
      <c r="E3858" s="33"/>
      <c r="F3858" s="33"/>
      <c r="G3858" s="33"/>
      <c r="H3858" s="33"/>
      <c r="I3858" s="33"/>
      <c r="J3858" s="33"/>
      <c r="K3858" s="33"/>
      <c r="L3858" s="33"/>
      <c r="M3858" s="33"/>
      <c r="N3858" s="33"/>
      <c r="O3858" s="33"/>
      <c r="P3858" s="33"/>
      <c r="Q3858" s="33"/>
      <c r="R3858" s="33"/>
      <c r="S3858" s="33"/>
      <c r="T3858" s="33"/>
      <c r="U3858" s="33"/>
      <c r="V3858" s="33"/>
      <c r="W3858" s="33"/>
      <c r="X3858" s="33"/>
      <c r="Y3858" s="33"/>
      <c r="Z3858" s="33"/>
      <c r="AA3858" s="33"/>
      <c r="AB3858" s="33"/>
      <c r="AC3858" s="33"/>
      <c r="AD3858" s="33"/>
      <c r="AE3858" s="33"/>
      <c r="AF3858" s="33"/>
      <c r="AG3858" s="33"/>
      <c r="AH3858" s="33"/>
      <c r="AI3858" s="33"/>
      <c r="AJ3858" s="33"/>
      <c r="AK3858" s="33"/>
    </row>
    <row r="3859">
      <c r="A3859" s="33"/>
      <c r="B3859" s="33"/>
      <c r="C3859" s="33"/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  <c r="Q3859" s="33"/>
      <c r="R3859" s="33"/>
      <c r="S3859" s="33"/>
      <c r="T3859" s="33"/>
      <c r="U3859" s="33"/>
      <c r="V3859" s="33"/>
      <c r="W3859" s="33"/>
      <c r="X3859" s="33"/>
      <c r="Y3859" s="33"/>
      <c r="Z3859" s="33"/>
      <c r="AA3859" s="33"/>
      <c r="AB3859" s="33"/>
      <c r="AC3859" s="33"/>
      <c r="AD3859" s="33"/>
      <c r="AE3859" s="33"/>
      <c r="AF3859" s="33"/>
      <c r="AG3859" s="33"/>
      <c r="AH3859" s="33"/>
      <c r="AI3859" s="33"/>
      <c r="AJ3859" s="33"/>
      <c r="AK3859" s="33"/>
    </row>
    <row r="3860">
      <c r="A3860" s="33"/>
      <c r="B3860" s="33"/>
      <c r="C3860" s="33"/>
      <c r="D3860" s="33"/>
      <c r="E3860" s="33"/>
      <c r="F3860" s="33"/>
      <c r="G3860" s="33"/>
      <c r="H3860" s="33"/>
      <c r="I3860" s="33"/>
      <c r="J3860" s="33"/>
      <c r="K3860" s="33"/>
      <c r="L3860" s="33"/>
      <c r="M3860" s="33"/>
      <c r="N3860" s="33"/>
      <c r="O3860" s="33"/>
      <c r="P3860" s="33"/>
      <c r="Q3860" s="33"/>
      <c r="R3860" s="33"/>
      <c r="S3860" s="33"/>
      <c r="T3860" s="33"/>
      <c r="U3860" s="33"/>
      <c r="V3860" s="33"/>
      <c r="W3860" s="33"/>
      <c r="X3860" s="33"/>
      <c r="Y3860" s="33"/>
      <c r="Z3860" s="33"/>
      <c r="AA3860" s="33"/>
      <c r="AB3860" s="33"/>
      <c r="AC3860" s="33"/>
      <c r="AD3860" s="33"/>
      <c r="AE3860" s="33"/>
      <c r="AF3860" s="33"/>
      <c r="AG3860" s="33"/>
      <c r="AH3860" s="33"/>
      <c r="AI3860" s="33"/>
      <c r="AJ3860" s="33"/>
      <c r="AK3860" s="33"/>
    </row>
    <row r="3861">
      <c r="A3861" s="33"/>
      <c r="B3861" s="33"/>
      <c r="C3861" s="33"/>
      <c r="D3861" s="33"/>
      <c r="E3861" s="33"/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33"/>
      <c r="Q3861" s="33"/>
      <c r="R3861" s="33"/>
      <c r="S3861" s="33"/>
      <c r="T3861" s="33"/>
      <c r="U3861" s="33"/>
      <c r="V3861" s="33"/>
      <c r="W3861" s="33"/>
      <c r="X3861" s="33"/>
      <c r="Y3861" s="33"/>
      <c r="Z3861" s="33"/>
      <c r="AA3861" s="33"/>
      <c r="AB3861" s="33"/>
      <c r="AC3861" s="33"/>
      <c r="AD3861" s="33"/>
      <c r="AE3861" s="33"/>
      <c r="AF3861" s="33"/>
      <c r="AG3861" s="33"/>
      <c r="AH3861" s="33"/>
      <c r="AI3861" s="33"/>
      <c r="AJ3861" s="33"/>
      <c r="AK3861" s="33"/>
    </row>
    <row r="3862">
      <c r="A3862" s="33"/>
      <c r="B3862" s="33"/>
      <c r="C3862" s="33"/>
      <c r="D3862" s="33"/>
      <c r="E3862" s="33"/>
      <c r="F3862" s="33"/>
      <c r="G3862" s="33"/>
      <c r="H3862" s="33"/>
      <c r="I3862" s="33"/>
      <c r="J3862" s="33"/>
      <c r="K3862" s="33"/>
      <c r="L3862" s="33"/>
      <c r="M3862" s="33"/>
      <c r="N3862" s="33"/>
      <c r="O3862" s="33"/>
      <c r="P3862" s="33"/>
      <c r="Q3862" s="33"/>
      <c r="R3862" s="33"/>
      <c r="S3862" s="33"/>
      <c r="T3862" s="33"/>
      <c r="U3862" s="33"/>
      <c r="V3862" s="33"/>
      <c r="W3862" s="33"/>
      <c r="X3862" s="33"/>
      <c r="Y3862" s="33"/>
      <c r="Z3862" s="33"/>
      <c r="AA3862" s="33"/>
      <c r="AB3862" s="33"/>
      <c r="AC3862" s="33"/>
      <c r="AD3862" s="33"/>
      <c r="AE3862" s="33"/>
      <c r="AF3862" s="33"/>
      <c r="AG3862" s="33"/>
      <c r="AH3862" s="33"/>
      <c r="AI3862" s="33"/>
      <c r="AJ3862" s="33"/>
      <c r="AK3862" s="33"/>
    </row>
    <row r="3863">
      <c r="A3863" s="33"/>
      <c r="B3863" s="33"/>
      <c r="C3863" s="33"/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3"/>
      <c r="S3863" s="33"/>
      <c r="T3863" s="33"/>
      <c r="U3863" s="33"/>
      <c r="V3863" s="33"/>
      <c r="W3863" s="33"/>
      <c r="X3863" s="33"/>
      <c r="Y3863" s="33"/>
      <c r="Z3863" s="33"/>
      <c r="AA3863" s="33"/>
      <c r="AB3863" s="33"/>
      <c r="AC3863" s="33"/>
      <c r="AD3863" s="33"/>
      <c r="AE3863" s="33"/>
      <c r="AF3863" s="33"/>
      <c r="AG3863" s="33"/>
      <c r="AH3863" s="33"/>
      <c r="AI3863" s="33"/>
      <c r="AJ3863" s="33"/>
      <c r="AK3863" s="33"/>
    </row>
    <row r="3864">
      <c r="A3864" s="33"/>
      <c r="B3864" s="33"/>
      <c r="C3864" s="33"/>
      <c r="D3864" s="33"/>
      <c r="E3864" s="33"/>
      <c r="F3864" s="33"/>
      <c r="G3864" s="33"/>
      <c r="H3864" s="33"/>
      <c r="I3864" s="33"/>
      <c r="J3864" s="33"/>
      <c r="K3864" s="33"/>
      <c r="L3864" s="33"/>
      <c r="M3864" s="33"/>
      <c r="N3864" s="33"/>
      <c r="O3864" s="33"/>
      <c r="P3864" s="33"/>
      <c r="Q3864" s="33"/>
      <c r="R3864" s="33"/>
      <c r="S3864" s="33"/>
      <c r="T3864" s="33"/>
      <c r="U3864" s="33"/>
      <c r="V3864" s="33"/>
      <c r="W3864" s="33"/>
      <c r="X3864" s="33"/>
      <c r="Y3864" s="33"/>
      <c r="Z3864" s="33"/>
      <c r="AA3864" s="33"/>
      <c r="AB3864" s="33"/>
      <c r="AC3864" s="33"/>
      <c r="AD3864" s="33"/>
      <c r="AE3864" s="33"/>
      <c r="AF3864" s="33"/>
      <c r="AG3864" s="33"/>
      <c r="AH3864" s="33"/>
      <c r="AI3864" s="33"/>
      <c r="AJ3864" s="33"/>
      <c r="AK3864" s="33"/>
    </row>
    <row r="3865">
      <c r="A3865" s="33"/>
      <c r="B3865" s="33"/>
      <c r="C3865" s="33"/>
      <c r="D3865" s="33"/>
      <c r="E3865" s="33"/>
      <c r="F3865" s="33"/>
      <c r="G3865" s="33"/>
      <c r="H3865" s="33"/>
      <c r="I3865" s="33"/>
      <c r="J3865" s="33"/>
      <c r="K3865" s="33"/>
      <c r="L3865" s="33"/>
      <c r="M3865" s="33"/>
      <c r="N3865" s="33"/>
      <c r="O3865" s="33"/>
      <c r="P3865" s="33"/>
      <c r="Q3865" s="33"/>
      <c r="R3865" s="33"/>
      <c r="S3865" s="33"/>
      <c r="T3865" s="33"/>
      <c r="U3865" s="33"/>
      <c r="V3865" s="33"/>
      <c r="W3865" s="33"/>
      <c r="X3865" s="33"/>
      <c r="Y3865" s="33"/>
      <c r="Z3865" s="33"/>
      <c r="AA3865" s="33"/>
      <c r="AB3865" s="33"/>
      <c r="AC3865" s="33"/>
      <c r="AD3865" s="33"/>
      <c r="AE3865" s="33"/>
      <c r="AF3865" s="33"/>
      <c r="AG3865" s="33"/>
      <c r="AH3865" s="33"/>
      <c r="AI3865" s="33"/>
      <c r="AJ3865" s="33"/>
      <c r="AK3865" s="33"/>
    </row>
    <row r="3866">
      <c r="A3866" s="33"/>
      <c r="B3866" s="33"/>
      <c r="C3866" s="33"/>
      <c r="D3866" s="33"/>
      <c r="E3866" s="33"/>
      <c r="F3866" s="33"/>
      <c r="G3866" s="33"/>
      <c r="H3866" s="33"/>
      <c r="I3866" s="33"/>
      <c r="J3866" s="33"/>
      <c r="K3866" s="33"/>
      <c r="L3866" s="33"/>
      <c r="M3866" s="33"/>
      <c r="N3866" s="33"/>
      <c r="O3866" s="33"/>
      <c r="P3866" s="33"/>
      <c r="Q3866" s="33"/>
      <c r="R3866" s="33"/>
      <c r="S3866" s="33"/>
      <c r="T3866" s="33"/>
      <c r="U3866" s="33"/>
      <c r="V3866" s="33"/>
      <c r="W3866" s="33"/>
      <c r="X3866" s="33"/>
      <c r="Y3866" s="33"/>
      <c r="Z3866" s="33"/>
      <c r="AA3866" s="33"/>
      <c r="AB3866" s="33"/>
      <c r="AC3866" s="33"/>
      <c r="AD3866" s="33"/>
      <c r="AE3866" s="33"/>
      <c r="AF3866" s="33"/>
      <c r="AG3866" s="33"/>
      <c r="AH3866" s="33"/>
      <c r="AI3866" s="33"/>
      <c r="AJ3866" s="33"/>
      <c r="AK3866" s="33"/>
    </row>
    <row r="3867">
      <c r="A3867" s="33"/>
      <c r="B3867" s="33"/>
      <c r="C3867" s="33"/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  <c r="Q3867" s="33"/>
      <c r="R3867" s="33"/>
      <c r="S3867" s="33"/>
      <c r="T3867" s="33"/>
      <c r="U3867" s="33"/>
      <c r="V3867" s="33"/>
      <c r="W3867" s="33"/>
      <c r="X3867" s="33"/>
      <c r="Y3867" s="33"/>
      <c r="Z3867" s="33"/>
      <c r="AA3867" s="33"/>
      <c r="AB3867" s="33"/>
      <c r="AC3867" s="33"/>
      <c r="AD3867" s="33"/>
      <c r="AE3867" s="33"/>
      <c r="AF3867" s="33"/>
      <c r="AG3867" s="33"/>
      <c r="AH3867" s="33"/>
      <c r="AI3867" s="33"/>
      <c r="AJ3867" s="33"/>
      <c r="AK3867" s="33"/>
    </row>
    <row r="3868">
      <c r="A3868" s="33"/>
      <c r="B3868" s="33"/>
      <c r="C3868" s="33"/>
      <c r="D3868" s="33"/>
      <c r="E3868" s="33"/>
      <c r="F3868" s="33"/>
      <c r="G3868" s="33"/>
      <c r="H3868" s="33"/>
      <c r="I3868" s="33"/>
      <c r="J3868" s="33"/>
      <c r="K3868" s="33"/>
      <c r="L3868" s="33"/>
      <c r="M3868" s="33"/>
      <c r="N3868" s="33"/>
      <c r="O3868" s="33"/>
      <c r="P3868" s="33"/>
      <c r="Q3868" s="33"/>
      <c r="R3868" s="33"/>
      <c r="S3868" s="33"/>
      <c r="T3868" s="33"/>
      <c r="U3868" s="33"/>
      <c r="V3868" s="33"/>
      <c r="W3868" s="33"/>
      <c r="X3868" s="33"/>
      <c r="Y3868" s="33"/>
      <c r="Z3868" s="33"/>
      <c r="AA3868" s="33"/>
      <c r="AB3868" s="33"/>
      <c r="AC3868" s="33"/>
      <c r="AD3868" s="33"/>
      <c r="AE3868" s="33"/>
      <c r="AF3868" s="33"/>
      <c r="AG3868" s="33"/>
      <c r="AH3868" s="33"/>
      <c r="AI3868" s="33"/>
      <c r="AJ3868" s="33"/>
      <c r="AK3868" s="33"/>
    </row>
    <row r="3869">
      <c r="A3869" s="33"/>
      <c r="B3869" s="33"/>
      <c r="C3869" s="33"/>
      <c r="D3869" s="33"/>
      <c r="E3869" s="33"/>
      <c r="F3869" s="33"/>
      <c r="G3869" s="33"/>
      <c r="H3869" s="33"/>
      <c r="I3869" s="33"/>
      <c r="J3869" s="33"/>
      <c r="K3869" s="33"/>
      <c r="L3869" s="33"/>
      <c r="M3869" s="33"/>
      <c r="N3869" s="33"/>
      <c r="O3869" s="33"/>
      <c r="P3869" s="33"/>
      <c r="Q3869" s="33"/>
      <c r="R3869" s="33"/>
      <c r="S3869" s="33"/>
      <c r="T3869" s="33"/>
      <c r="U3869" s="33"/>
      <c r="V3869" s="33"/>
      <c r="W3869" s="33"/>
      <c r="X3869" s="33"/>
      <c r="Y3869" s="33"/>
      <c r="Z3869" s="33"/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</row>
    <row r="3870">
      <c r="A3870" s="33"/>
      <c r="B3870" s="33"/>
      <c r="C3870" s="33"/>
      <c r="D3870" s="33"/>
      <c r="E3870" s="33"/>
      <c r="F3870" s="33"/>
      <c r="G3870" s="33"/>
      <c r="H3870" s="33"/>
      <c r="I3870" s="33"/>
      <c r="J3870" s="33"/>
      <c r="K3870" s="33"/>
      <c r="L3870" s="33"/>
      <c r="M3870" s="33"/>
      <c r="N3870" s="33"/>
      <c r="O3870" s="33"/>
      <c r="P3870" s="33"/>
      <c r="Q3870" s="33"/>
      <c r="R3870" s="33"/>
      <c r="S3870" s="33"/>
      <c r="T3870" s="33"/>
      <c r="U3870" s="33"/>
      <c r="V3870" s="33"/>
      <c r="W3870" s="33"/>
      <c r="X3870" s="33"/>
      <c r="Y3870" s="33"/>
      <c r="Z3870" s="33"/>
      <c r="AA3870" s="33"/>
      <c r="AB3870" s="33"/>
      <c r="AC3870" s="33"/>
      <c r="AD3870" s="33"/>
      <c r="AE3870" s="33"/>
      <c r="AF3870" s="33"/>
      <c r="AG3870" s="33"/>
      <c r="AH3870" s="33"/>
      <c r="AI3870" s="33"/>
      <c r="AJ3870" s="33"/>
      <c r="AK3870" s="33"/>
    </row>
    <row r="3871">
      <c r="A3871" s="33"/>
      <c r="B3871" s="33"/>
      <c r="C3871" s="33"/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  <c r="Q3871" s="33"/>
      <c r="R3871" s="33"/>
      <c r="S3871" s="33"/>
      <c r="T3871" s="33"/>
      <c r="U3871" s="33"/>
      <c r="V3871" s="33"/>
      <c r="W3871" s="33"/>
      <c r="X3871" s="33"/>
      <c r="Y3871" s="33"/>
      <c r="Z3871" s="33"/>
      <c r="AA3871" s="33"/>
      <c r="AB3871" s="33"/>
      <c r="AC3871" s="33"/>
      <c r="AD3871" s="33"/>
      <c r="AE3871" s="33"/>
      <c r="AF3871" s="33"/>
      <c r="AG3871" s="33"/>
      <c r="AH3871" s="33"/>
      <c r="AI3871" s="33"/>
      <c r="AJ3871" s="33"/>
      <c r="AK3871" s="33"/>
    </row>
    <row r="3872">
      <c r="A3872" s="33"/>
      <c r="B3872" s="33"/>
      <c r="C3872" s="33"/>
      <c r="D3872" s="33"/>
      <c r="E3872" s="33"/>
      <c r="F3872" s="33"/>
      <c r="G3872" s="33"/>
      <c r="H3872" s="33"/>
      <c r="I3872" s="33"/>
      <c r="J3872" s="33"/>
      <c r="K3872" s="33"/>
      <c r="L3872" s="33"/>
      <c r="M3872" s="33"/>
      <c r="N3872" s="33"/>
      <c r="O3872" s="33"/>
      <c r="P3872" s="33"/>
      <c r="Q3872" s="33"/>
      <c r="R3872" s="33"/>
      <c r="S3872" s="33"/>
      <c r="T3872" s="33"/>
      <c r="U3872" s="33"/>
      <c r="V3872" s="33"/>
      <c r="W3872" s="33"/>
      <c r="X3872" s="33"/>
      <c r="Y3872" s="33"/>
      <c r="Z3872" s="33"/>
      <c r="AA3872" s="33"/>
      <c r="AB3872" s="33"/>
      <c r="AC3872" s="33"/>
      <c r="AD3872" s="33"/>
      <c r="AE3872" s="33"/>
      <c r="AF3872" s="33"/>
      <c r="AG3872" s="33"/>
      <c r="AH3872" s="33"/>
      <c r="AI3872" s="33"/>
      <c r="AJ3872" s="33"/>
      <c r="AK3872" s="33"/>
    </row>
    <row r="3873">
      <c r="A3873" s="33"/>
      <c r="B3873" s="33"/>
      <c r="C3873" s="33"/>
      <c r="D3873" s="33"/>
      <c r="E3873" s="33"/>
      <c r="F3873" s="33"/>
      <c r="G3873" s="33"/>
      <c r="H3873" s="33"/>
      <c r="I3873" s="33"/>
      <c r="J3873" s="33"/>
      <c r="K3873" s="33"/>
      <c r="L3873" s="33"/>
      <c r="M3873" s="33"/>
      <c r="N3873" s="33"/>
      <c r="O3873" s="33"/>
      <c r="P3873" s="33"/>
      <c r="Q3873" s="33"/>
      <c r="R3873" s="33"/>
      <c r="S3873" s="33"/>
      <c r="T3873" s="33"/>
      <c r="U3873" s="33"/>
      <c r="V3873" s="33"/>
      <c r="W3873" s="33"/>
      <c r="X3873" s="33"/>
      <c r="Y3873" s="33"/>
      <c r="Z3873" s="33"/>
      <c r="AA3873" s="33"/>
      <c r="AB3873" s="33"/>
      <c r="AC3873" s="33"/>
      <c r="AD3873" s="33"/>
      <c r="AE3873" s="33"/>
      <c r="AF3873" s="33"/>
      <c r="AG3873" s="33"/>
      <c r="AH3873" s="33"/>
      <c r="AI3873" s="33"/>
      <c r="AJ3873" s="33"/>
      <c r="AK3873" s="33"/>
    </row>
    <row r="3874">
      <c r="A3874" s="33"/>
      <c r="B3874" s="33"/>
      <c r="C3874" s="33"/>
      <c r="D3874" s="33"/>
      <c r="E3874" s="33"/>
      <c r="F3874" s="33"/>
      <c r="G3874" s="33"/>
      <c r="H3874" s="33"/>
      <c r="I3874" s="33"/>
      <c r="J3874" s="33"/>
      <c r="K3874" s="33"/>
      <c r="L3874" s="33"/>
      <c r="M3874" s="33"/>
      <c r="N3874" s="33"/>
      <c r="O3874" s="33"/>
      <c r="P3874" s="33"/>
      <c r="Q3874" s="33"/>
      <c r="R3874" s="33"/>
      <c r="S3874" s="33"/>
      <c r="T3874" s="33"/>
      <c r="U3874" s="33"/>
      <c r="V3874" s="33"/>
      <c r="W3874" s="33"/>
      <c r="X3874" s="33"/>
      <c r="Y3874" s="33"/>
      <c r="Z3874" s="33"/>
      <c r="AA3874" s="33"/>
      <c r="AB3874" s="33"/>
      <c r="AC3874" s="33"/>
      <c r="AD3874" s="33"/>
      <c r="AE3874" s="33"/>
      <c r="AF3874" s="33"/>
      <c r="AG3874" s="33"/>
      <c r="AH3874" s="33"/>
      <c r="AI3874" s="33"/>
      <c r="AJ3874" s="33"/>
      <c r="AK3874" s="33"/>
    </row>
    <row r="3875">
      <c r="A3875" s="33"/>
      <c r="B3875" s="33"/>
      <c r="C3875" s="33"/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  <c r="Q3875" s="33"/>
      <c r="R3875" s="33"/>
      <c r="S3875" s="33"/>
      <c r="T3875" s="33"/>
      <c r="U3875" s="33"/>
      <c r="V3875" s="33"/>
      <c r="W3875" s="33"/>
      <c r="X3875" s="33"/>
      <c r="Y3875" s="33"/>
      <c r="Z3875" s="33"/>
      <c r="AA3875" s="33"/>
      <c r="AB3875" s="33"/>
      <c r="AC3875" s="33"/>
      <c r="AD3875" s="33"/>
      <c r="AE3875" s="33"/>
      <c r="AF3875" s="33"/>
      <c r="AG3875" s="33"/>
      <c r="AH3875" s="33"/>
      <c r="AI3875" s="33"/>
      <c r="AJ3875" s="33"/>
      <c r="AK3875" s="33"/>
    </row>
    <row r="3876">
      <c r="A3876" s="33"/>
      <c r="B3876" s="33"/>
      <c r="C3876" s="33"/>
      <c r="D3876" s="33"/>
      <c r="E3876" s="33"/>
      <c r="F3876" s="33"/>
      <c r="G3876" s="33"/>
      <c r="H3876" s="33"/>
      <c r="I3876" s="33"/>
      <c r="J3876" s="33"/>
      <c r="K3876" s="33"/>
      <c r="L3876" s="33"/>
      <c r="M3876" s="33"/>
      <c r="N3876" s="33"/>
      <c r="O3876" s="33"/>
      <c r="P3876" s="33"/>
      <c r="Q3876" s="33"/>
      <c r="R3876" s="33"/>
      <c r="S3876" s="33"/>
      <c r="T3876" s="33"/>
      <c r="U3876" s="33"/>
      <c r="V3876" s="33"/>
      <c r="W3876" s="33"/>
      <c r="X3876" s="33"/>
      <c r="Y3876" s="33"/>
      <c r="Z3876" s="33"/>
      <c r="AA3876" s="33"/>
      <c r="AB3876" s="33"/>
      <c r="AC3876" s="33"/>
      <c r="AD3876" s="33"/>
      <c r="AE3876" s="33"/>
      <c r="AF3876" s="33"/>
      <c r="AG3876" s="33"/>
      <c r="AH3876" s="33"/>
      <c r="AI3876" s="33"/>
      <c r="AJ3876" s="33"/>
      <c r="AK3876" s="33"/>
    </row>
    <row r="3877">
      <c r="A3877" s="33"/>
      <c r="B3877" s="33"/>
      <c r="C3877" s="33"/>
      <c r="D3877" s="33"/>
      <c r="E3877" s="33"/>
      <c r="F3877" s="33"/>
      <c r="G3877" s="33"/>
      <c r="H3877" s="33"/>
      <c r="I3877" s="33"/>
      <c r="J3877" s="33"/>
      <c r="K3877" s="33"/>
      <c r="L3877" s="33"/>
      <c r="M3877" s="33"/>
      <c r="N3877" s="33"/>
      <c r="O3877" s="33"/>
      <c r="P3877" s="33"/>
      <c r="Q3877" s="33"/>
      <c r="R3877" s="33"/>
      <c r="S3877" s="33"/>
      <c r="T3877" s="33"/>
      <c r="U3877" s="33"/>
      <c r="V3877" s="33"/>
      <c r="W3877" s="33"/>
      <c r="X3877" s="33"/>
      <c r="Y3877" s="33"/>
      <c r="Z3877" s="33"/>
      <c r="AA3877" s="33"/>
      <c r="AB3877" s="33"/>
      <c r="AC3877" s="33"/>
      <c r="AD3877" s="33"/>
      <c r="AE3877" s="33"/>
      <c r="AF3877" s="33"/>
      <c r="AG3877" s="33"/>
      <c r="AH3877" s="33"/>
      <c r="AI3877" s="33"/>
      <c r="AJ3877" s="33"/>
      <c r="AK3877" s="33"/>
    </row>
    <row r="3878">
      <c r="A3878" s="33"/>
      <c r="B3878" s="33"/>
      <c r="C3878" s="33"/>
      <c r="D3878" s="33"/>
      <c r="E3878" s="33"/>
      <c r="F3878" s="33"/>
      <c r="G3878" s="33"/>
      <c r="H3878" s="33"/>
      <c r="I3878" s="33"/>
      <c r="J3878" s="33"/>
      <c r="K3878" s="33"/>
      <c r="L3878" s="33"/>
      <c r="M3878" s="33"/>
      <c r="N3878" s="33"/>
      <c r="O3878" s="33"/>
      <c r="P3878" s="33"/>
      <c r="Q3878" s="33"/>
      <c r="R3878" s="33"/>
      <c r="S3878" s="33"/>
      <c r="T3878" s="33"/>
      <c r="U3878" s="33"/>
      <c r="V3878" s="33"/>
      <c r="W3878" s="33"/>
      <c r="X3878" s="33"/>
      <c r="Y3878" s="33"/>
      <c r="Z3878" s="33"/>
      <c r="AA3878" s="33"/>
      <c r="AB3878" s="33"/>
      <c r="AC3878" s="33"/>
      <c r="AD3878" s="33"/>
      <c r="AE3878" s="33"/>
      <c r="AF3878" s="33"/>
      <c r="AG3878" s="33"/>
      <c r="AH3878" s="33"/>
      <c r="AI3878" s="33"/>
      <c r="AJ3878" s="33"/>
      <c r="AK3878" s="33"/>
    </row>
    <row r="3879">
      <c r="A3879" s="33"/>
      <c r="B3879" s="33"/>
      <c r="C3879" s="33"/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  <c r="Q3879" s="33"/>
      <c r="R3879" s="33"/>
      <c r="S3879" s="33"/>
      <c r="T3879" s="33"/>
      <c r="U3879" s="33"/>
      <c r="V3879" s="33"/>
      <c r="W3879" s="33"/>
      <c r="X3879" s="33"/>
      <c r="Y3879" s="33"/>
      <c r="Z3879" s="33"/>
      <c r="AA3879" s="33"/>
      <c r="AB3879" s="33"/>
      <c r="AC3879" s="33"/>
      <c r="AD3879" s="33"/>
      <c r="AE3879" s="33"/>
      <c r="AF3879" s="33"/>
      <c r="AG3879" s="33"/>
      <c r="AH3879" s="33"/>
      <c r="AI3879" s="33"/>
      <c r="AJ3879" s="33"/>
      <c r="AK3879" s="33"/>
    </row>
    <row r="3880">
      <c r="A3880" s="33"/>
      <c r="B3880" s="33"/>
      <c r="C3880" s="33"/>
      <c r="D3880" s="33"/>
      <c r="E3880" s="33"/>
      <c r="F3880" s="33"/>
      <c r="G3880" s="33"/>
      <c r="H3880" s="33"/>
      <c r="I3880" s="33"/>
      <c r="J3880" s="33"/>
      <c r="K3880" s="33"/>
      <c r="L3880" s="33"/>
      <c r="M3880" s="33"/>
      <c r="N3880" s="33"/>
      <c r="O3880" s="33"/>
      <c r="P3880" s="33"/>
      <c r="Q3880" s="33"/>
      <c r="R3880" s="33"/>
      <c r="S3880" s="33"/>
      <c r="T3880" s="33"/>
      <c r="U3880" s="33"/>
      <c r="V3880" s="33"/>
      <c r="W3880" s="33"/>
      <c r="X3880" s="33"/>
      <c r="Y3880" s="33"/>
      <c r="Z3880" s="33"/>
      <c r="AA3880" s="33"/>
      <c r="AB3880" s="33"/>
      <c r="AC3880" s="33"/>
      <c r="AD3880" s="33"/>
      <c r="AE3880" s="33"/>
      <c r="AF3880" s="33"/>
      <c r="AG3880" s="33"/>
      <c r="AH3880" s="33"/>
      <c r="AI3880" s="33"/>
      <c r="AJ3880" s="33"/>
      <c r="AK3880" s="33"/>
    </row>
    <row r="3881">
      <c r="A3881" s="33"/>
      <c r="B3881" s="33"/>
      <c r="C3881" s="33"/>
      <c r="D3881" s="33"/>
      <c r="E3881" s="33"/>
      <c r="F3881" s="33"/>
      <c r="G3881" s="33"/>
      <c r="H3881" s="33"/>
      <c r="I3881" s="33"/>
      <c r="J3881" s="33"/>
      <c r="K3881" s="33"/>
      <c r="L3881" s="33"/>
      <c r="M3881" s="33"/>
      <c r="N3881" s="33"/>
      <c r="O3881" s="33"/>
      <c r="P3881" s="33"/>
      <c r="Q3881" s="33"/>
      <c r="R3881" s="33"/>
      <c r="S3881" s="33"/>
      <c r="T3881" s="33"/>
      <c r="U3881" s="33"/>
      <c r="V3881" s="33"/>
      <c r="W3881" s="33"/>
      <c r="X3881" s="33"/>
      <c r="Y3881" s="33"/>
      <c r="Z3881" s="33"/>
      <c r="AA3881" s="33"/>
      <c r="AB3881" s="33"/>
      <c r="AC3881" s="33"/>
      <c r="AD3881" s="33"/>
      <c r="AE3881" s="33"/>
      <c r="AF3881" s="33"/>
      <c r="AG3881" s="33"/>
      <c r="AH3881" s="33"/>
      <c r="AI3881" s="33"/>
      <c r="AJ3881" s="33"/>
      <c r="AK3881" s="33"/>
    </row>
    <row r="3882">
      <c r="A3882" s="33"/>
      <c r="B3882" s="33"/>
      <c r="C3882" s="33"/>
      <c r="D3882" s="33"/>
      <c r="E3882" s="33"/>
      <c r="F3882" s="33"/>
      <c r="G3882" s="33"/>
      <c r="H3882" s="33"/>
      <c r="I3882" s="33"/>
      <c r="J3882" s="33"/>
      <c r="K3882" s="33"/>
      <c r="L3882" s="33"/>
      <c r="M3882" s="33"/>
      <c r="N3882" s="33"/>
      <c r="O3882" s="33"/>
      <c r="P3882" s="33"/>
      <c r="Q3882" s="33"/>
      <c r="R3882" s="33"/>
      <c r="S3882" s="33"/>
      <c r="T3882" s="33"/>
      <c r="U3882" s="33"/>
      <c r="V3882" s="33"/>
      <c r="W3882" s="33"/>
      <c r="X3882" s="33"/>
      <c r="Y3882" s="33"/>
      <c r="Z3882" s="33"/>
      <c r="AA3882" s="33"/>
      <c r="AB3882" s="33"/>
      <c r="AC3882" s="33"/>
      <c r="AD3882" s="33"/>
      <c r="AE3882" s="33"/>
      <c r="AF3882" s="33"/>
      <c r="AG3882" s="33"/>
      <c r="AH3882" s="33"/>
      <c r="AI3882" s="33"/>
      <c r="AJ3882" s="33"/>
      <c r="AK3882" s="33"/>
    </row>
    <row r="3883">
      <c r="A3883" s="33"/>
      <c r="B3883" s="33"/>
      <c r="C3883" s="33"/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  <c r="Q3883" s="33"/>
      <c r="R3883" s="33"/>
      <c r="S3883" s="33"/>
      <c r="T3883" s="33"/>
      <c r="U3883" s="33"/>
      <c r="V3883" s="33"/>
      <c r="W3883" s="33"/>
      <c r="X3883" s="33"/>
      <c r="Y3883" s="33"/>
      <c r="Z3883" s="33"/>
      <c r="AA3883" s="33"/>
      <c r="AB3883" s="33"/>
      <c r="AC3883" s="33"/>
      <c r="AD3883" s="33"/>
      <c r="AE3883" s="33"/>
      <c r="AF3883" s="33"/>
      <c r="AG3883" s="33"/>
      <c r="AH3883" s="33"/>
      <c r="AI3883" s="33"/>
      <c r="AJ3883" s="33"/>
      <c r="AK3883" s="33"/>
    </row>
    <row r="3884">
      <c r="A3884" s="33"/>
      <c r="B3884" s="33"/>
      <c r="C3884" s="33"/>
      <c r="D3884" s="33"/>
      <c r="E3884" s="33"/>
      <c r="F3884" s="33"/>
      <c r="G3884" s="33"/>
      <c r="H3884" s="33"/>
      <c r="I3884" s="33"/>
      <c r="J3884" s="33"/>
      <c r="K3884" s="33"/>
      <c r="L3884" s="33"/>
      <c r="M3884" s="33"/>
      <c r="N3884" s="33"/>
      <c r="O3884" s="33"/>
      <c r="P3884" s="33"/>
      <c r="Q3884" s="33"/>
      <c r="R3884" s="33"/>
      <c r="S3884" s="33"/>
      <c r="T3884" s="33"/>
      <c r="U3884" s="33"/>
      <c r="V3884" s="33"/>
      <c r="W3884" s="33"/>
      <c r="X3884" s="33"/>
      <c r="Y3884" s="33"/>
      <c r="Z3884" s="33"/>
      <c r="AA3884" s="33"/>
      <c r="AB3884" s="33"/>
      <c r="AC3884" s="33"/>
      <c r="AD3884" s="33"/>
      <c r="AE3884" s="33"/>
      <c r="AF3884" s="33"/>
      <c r="AG3884" s="33"/>
      <c r="AH3884" s="33"/>
      <c r="AI3884" s="33"/>
      <c r="AJ3884" s="33"/>
      <c r="AK3884" s="33"/>
    </row>
    <row r="3885">
      <c r="A3885" s="33"/>
      <c r="B3885" s="33"/>
      <c r="C3885" s="33"/>
      <c r="D3885" s="33"/>
      <c r="E3885" s="33"/>
      <c r="F3885" s="33"/>
      <c r="G3885" s="33"/>
      <c r="H3885" s="33"/>
      <c r="I3885" s="33"/>
      <c r="J3885" s="33"/>
      <c r="K3885" s="33"/>
      <c r="L3885" s="33"/>
      <c r="M3885" s="33"/>
      <c r="N3885" s="33"/>
      <c r="O3885" s="33"/>
      <c r="P3885" s="33"/>
      <c r="Q3885" s="33"/>
      <c r="R3885" s="33"/>
      <c r="S3885" s="33"/>
      <c r="T3885" s="33"/>
      <c r="U3885" s="33"/>
      <c r="V3885" s="33"/>
      <c r="W3885" s="33"/>
      <c r="X3885" s="33"/>
      <c r="Y3885" s="33"/>
      <c r="Z3885" s="33"/>
      <c r="AA3885" s="33"/>
      <c r="AB3885" s="33"/>
      <c r="AC3885" s="33"/>
      <c r="AD3885" s="33"/>
      <c r="AE3885" s="33"/>
      <c r="AF3885" s="33"/>
      <c r="AG3885" s="33"/>
      <c r="AH3885" s="33"/>
      <c r="AI3885" s="33"/>
      <c r="AJ3885" s="33"/>
      <c r="AK3885" s="33"/>
    </row>
    <row r="3886">
      <c r="A3886" s="33"/>
      <c r="B3886" s="33"/>
      <c r="C3886" s="33"/>
      <c r="D3886" s="33"/>
      <c r="E3886" s="33"/>
      <c r="F3886" s="33"/>
      <c r="G3886" s="33"/>
      <c r="H3886" s="33"/>
      <c r="I3886" s="33"/>
      <c r="J3886" s="33"/>
      <c r="K3886" s="33"/>
      <c r="L3886" s="33"/>
      <c r="M3886" s="33"/>
      <c r="N3886" s="33"/>
      <c r="O3886" s="33"/>
      <c r="P3886" s="33"/>
      <c r="Q3886" s="33"/>
      <c r="R3886" s="33"/>
      <c r="S3886" s="33"/>
      <c r="T3886" s="33"/>
      <c r="U3886" s="33"/>
      <c r="V3886" s="33"/>
      <c r="W3886" s="33"/>
      <c r="X3886" s="33"/>
      <c r="Y3886" s="33"/>
      <c r="Z3886" s="33"/>
      <c r="AA3886" s="33"/>
      <c r="AB3886" s="33"/>
      <c r="AC3886" s="33"/>
      <c r="AD3886" s="33"/>
      <c r="AE3886" s="33"/>
      <c r="AF3886" s="33"/>
      <c r="AG3886" s="33"/>
      <c r="AH3886" s="33"/>
      <c r="AI3886" s="33"/>
      <c r="AJ3886" s="33"/>
      <c r="AK3886" s="33"/>
    </row>
    <row r="3887">
      <c r="A3887" s="33"/>
      <c r="B3887" s="33"/>
      <c r="C3887" s="33"/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  <c r="Q3887" s="33"/>
      <c r="R3887" s="33"/>
      <c r="S3887" s="33"/>
      <c r="T3887" s="33"/>
      <c r="U3887" s="33"/>
      <c r="V3887" s="33"/>
      <c r="W3887" s="33"/>
      <c r="X3887" s="33"/>
      <c r="Y3887" s="33"/>
      <c r="Z3887" s="33"/>
      <c r="AA3887" s="33"/>
      <c r="AB3887" s="33"/>
      <c r="AC3887" s="33"/>
      <c r="AD3887" s="33"/>
      <c r="AE3887" s="33"/>
      <c r="AF3887" s="33"/>
      <c r="AG3887" s="33"/>
      <c r="AH3887" s="33"/>
      <c r="AI3887" s="33"/>
      <c r="AJ3887" s="33"/>
      <c r="AK3887" s="33"/>
    </row>
    <row r="3888">
      <c r="A3888" s="33"/>
      <c r="B3888" s="33"/>
      <c r="C3888" s="33"/>
      <c r="D3888" s="33"/>
      <c r="E3888" s="33"/>
      <c r="F3888" s="33"/>
      <c r="G3888" s="33"/>
      <c r="H3888" s="33"/>
      <c r="I3888" s="33"/>
      <c r="J3888" s="33"/>
      <c r="K3888" s="33"/>
      <c r="L3888" s="33"/>
      <c r="M3888" s="33"/>
      <c r="N3888" s="33"/>
      <c r="O3888" s="33"/>
      <c r="P3888" s="33"/>
      <c r="Q3888" s="33"/>
      <c r="R3888" s="33"/>
      <c r="S3888" s="33"/>
      <c r="T3888" s="33"/>
      <c r="U3888" s="33"/>
      <c r="V3888" s="33"/>
      <c r="W3888" s="33"/>
      <c r="X3888" s="33"/>
      <c r="Y3888" s="33"/>
      <c r="Z3888" s="33"/>
      <c r="AA3888" s="33"/>
      <c r="AB3888" s="33"/>
      <c r="AC3888" s="33"/>
      <c r="AD3888" s="33"/>
      <c r="AE3888" s="33"/>
      <c r="AF3888" s="33"/>
      <c r="AG3888" s="33"/>
      <c r="AH3888" s="33"/>
      <c r="AI3888" s="33"/>
      <c r="AJ3888" s="33"/>
      <c r="AK3888" s="33"/>
    </row>
    <row r="3889">
      <c r="A3889" s="33"/>
      <c r="B3889" s="33"/>
      <c r="C3889" s="33"/>
      <c r="D3889" s="33"/>
      <c r="E3889" s="33"/>
      <c r="F3889" s="33"/>
      <c r="G3889" s="33"/>
      <c r="H3889" s="33"/>
      <c r="I3889" s="33"/>
      <c r="J3889" s="33"/>
      <c r="K3889" s="33"/>
      <c r="L3889" s="33"/>
      <c r="M3889" s="33"/>
      <c r="N3889" s="33"/>
      <c r="O3889" s="33"/>
      <c r="P3889" s="33"/>
      <c r="Q3889" s="33"/>
      <c r="R3889" s="33"/>
      <c r="S3889" s="33"/>
      <c r="T3889" s="33"/>
      <c r="U3889" s="33"/>
      <c r="V3889" s="33"/>
      <c r="W3889" s="33"/>
      <c r="X3889" s="33"/>
      <c r="Y3889" s="33"/>
      <c r="Z3889" s="33"/>
      <c r="AA3889" s="33"/>
      <c r="AB3889" s="33"/>
      <c r="AC3889" s="33"/>
      <c r="AD3889" s="33"/>
      <c r="AE3889" s="33"/>
      <c r="AF3889" s="33"/>
      <c r="AG3889" s="33"/>
      <c r="AH3889" s="33"/>
      <c r="AI3889" s="33"/>
      <c r="AJ3889" s="33"/>
      <c r="AK3889" s="33"/>
    </row>
    <row r="3890">
      <c r="A3890" s="33"/>
      <c r="B3890" s="33"/>
      <c r="C3890" s="33"/>
      <c r="D3890" s="33"/>
      <c r="E3890" s="33"/>
      <c r="F3890" s="33"/>
      <c r="G3890" s="33"/>
      <c r="H3890" s="33"/>
      <c r="I3890" s="33"/>
      <c r="J3890" s="33"/>
      <c r="K3890" s="33"/>
      <c r="L3890" s="33"/>
      <c r="M3890" s="33"/>
      <c r="N3890" s="33"/>
      <c r="O3890" s="33"/>
      <c r="P3890" s="33"/>
      <c r="Q3890" s="33"/>
      <c r="R3890" s="33"/>
      <c r="S3890" s="33"/>
      <c r="T3890" s="33"/>
      <c r="U3890" s="33"/>
      <c r="V3890" s="33"/>
      <c r="W3890" s="33"/>
      <c r="X3890" s="33"/>
      <c r="Y3890" s="33"/>
      <c r="Z3890" s="33"/>
      <c r="AA3890" s="33"/>
      <c r="AB3890" s="33"/>
      <c r="AC3890" s="33"/>
      <c r="AD3890" s="33"/>
      <c r="AE3890" s="33"/>
      <c r="AF3890" s="33"/>
      <c r="AG3890" s="33"/>
      <c r="AH3890" s="33"/>
      <c r="AI3890" s="33"/>
      <c r="AJ3890" s="33"/>
      <c r="AK3890" s="33"/>
    </row>
    <row r="3891">
      <c r="A3891" s="33"/>
      <c r="B3891" s="33"/>
      <c r="C3891" s="33"/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  <c r="R3891" s="33"/>
      <c r="S3891" s="33"/>
      <c r="T3891" s="33"/>
      <c r="U3891" s="33"/>
      <c r="V3891" s="33"/>
      <c r="W3891" s="33"/>
      <c r="X3891" s="33"/>
      <c r="Y3891" s="33"/>
      <c r="Z3891" s="33"/>
      <c r="AA3891" s="33"/>
      <c r="AB3891" s="33"/>
      <c r="AC3891" s="33"/>
      <c r="AD3891" s="33"/>
      <c r="AE3891" s="33"/>
      <c r="AF3891" s="33"/>
      <c r="AG3891" s="33"/>
      <c r="AH3891" s="33"/>
      <c r="AI3891" s="33"/>
      <c r="AJ3891" s="33"/>
      <c r="AK3891" s="33"/>
    </row>
    <row r="3892">
      <c r="A3892" s="33"/>
      <c r="B3892" s="33"/>
      <c r="C3892" s="33"/>
      <c r="D3892" s="33"/>
      <c r="E3892" s="33"/>
      <c r="F3892" s="33"/>
      <c r="G3892" s="33"/>
      <c r="H3892" s="33"/>
      <c r="I3892" s="33"/>
      <c r="J3892" s="33"/>
      <c r="K3892" s="33"/>
      <c r="L3892" s="33"/>
      <c r="M3892" s="33"/>
      <c r="N3892" s="33"/>
      <c r="O3892" s="33"/>
      <c r="P3892" s="33"/>
      <c r="Q3892" s="33"/>
      <c r="R3892" s="33"/>
      <c r="S3892" s="33"/>
      <c r="T3892" s="33"/>
      <c r="U3892" s="33"/>
      <c r="V3892" s="33"/>
      <c r="W3892" s="33"/>
      <c r="X3892" s="33"/>
      <c r="Y3892" s="33"/>
      <c r="Z3892" s="33"/>
      <c r="AA3892" s="33"/>
      <c r="AB3892" s="33"/>
      <c r="AC3892" s="33"/>
      <c r="AD3892" s="33"/>
      <c r="AE3892" s="33"/>
      <c r="AF3892" s="33"/>
      <c r="AG3892" s="33"/>
      <c r="AH3892" s="33"/>
      <c r="AI3892" s="33"/>
      <c r="AJ3892" s="33"/>
      <c r="AK3892" s="33"/>
    </row>
    <row r="3893">
      <c r="A3893" s="33"/>
      <c r="B3893" s="33"/>
      <c r="C3893" s="33"/>
      <c r="D3893" s="33"/>
      <c r="E3893" s="33"/>
      <c r="F3893" s="33"/>
      <c r="G3893" s="33"/>
      <c r="H3893" s="33"/>
      <c r="I3893" s="33"/>
      <c r="J3893" s="33"/>
      <c r="K3893" s="33"/>
      <c r="L3893" s="33"/>
      <c r="M3893" s="33"/>
      <c r="N3893" s="33"/>
      <c r="O3893" s="33"/>
      <c r="P3893" s="33"/>
      <c r="Q3893" s="33"/>
      <c r="R3893" s="33"/>
      <c r="S3893" s="33"/>
      <c r="T3893" s="33"/>
      <c r="U3893" s="33"/>
      <c r="V3893" s="33"/>
      <c r="W3893" s="33"/>
      <c r="X3893" s="33"/>
      <c r="Y3893" s="33"/>
      <c r="Z3893" s="33"/>
      <c r="AA3893" s="33"/>
      <c r="AB3893" s="33"/>
      <c r="AC3893" s="33"/>
      <c r="AD3893" s="33"/>
      <c r="AE3893" s="33"/>
      <c r="AF3893" s="33"/>
      <c r="AG3893" s="33"/>
      <c r="AH3893" s="33"/>
      <c r="AI3893" s="33"/>
      <c r="AJ3893" s="33"/>
      <c r="AK3893" s="33"/>
    </row>
    <row r="3894">
      <c r="A3894" s="33"/>
      <c r="B3894" s="33"/>
      <c r="C3894" s="33"/>
      <c r="D3894" s="33"/>
      <c r="E3894" s="33"/>
      <c r="F3894" s="33"/>
      <c r="G3894" s="33"/>
      <c r="H3894" s="33"/>
      <c r="I3894" s="33"/>
      <c r="J3894" s="33"/>
      <c r="K3894" s="33"/>
      <c r="L3894" s="33"/>
      <c r="M3894" s="33"/>
      <c r="N3894" s="33"/>
      <c r="O3894" s="33"/>
      <c r="P3894" s="33"/>
      <c r="Q3894" s="33"/>
      <c r="R3894" s="33"/>
      <c r="S3894" s="33"/>
      <c r="T3894" s="33"/>
      <c r="U3894" s="33"/>
      <c r="V3894" s="33"/>
      <c r="W3894" s="33"/>
      <c r="X3894" s="33"/>
      <c r="Y3894" s="33"/>
      <c r="Z3894" s="33"/>
      <c r="AA3894" s="33"/>
      <c r="AB3894" s="33"/>
      <c r="AC3894" s="33"/>
      <c r="AD3894" s="33"/>
      <c r="AE3894" s="33"/>
      <c r="AF3894" s="33"/>
      <c r="AG3894" s="33"/>
      <c r="AH3894" s="33"/>
      <c r="AI3894" s="33"/>
      <c r="AJ3894" s="33"/>
      <c r="AK3894" s="33"/>
    </row>
    <row r="3895">
      <c r="A3895" s="33"/>
      <c r="B3895" s="33"/>
      <c r="C3895" s="33"/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  <c r="Q3895" s="33"/>
      <c r="R3895" s="33"/>
      <c r="S3895" s="33"/>
      <c r="T3895" s="33"/>
      <c r="U3895" s="33"/>
      <c r="V3895" s="33"/>
      <c r="W3895" s="33"/>
      <c r="X3895" s="33"/>
      <c r="Y3895" s="33"/>
      <c r="Z3895" s="33"/>
      <c r="AA3895" s="33"/>
      <c r="AB3895" s="33"/>
      <c r="AC3895" s="33"/>
      <c r="AD3895" s="33"/>
      <c r="AE3895" s="33"/>
      <c r="AF3895" s="33"/>
      <c r="AG3895" s="33"/>
      <c r="AH3895" s="33"/>
      <c r="AI3895" s="33"/>
      <c r="AJ3895" s="33"/>
      <c r="AK3895" s="33"/>
    </row>
    <row r="3896">
      <c r="A3896" s="33"/>
      <c r="B3896" s="33"/>
      <c r="C3896" s="33"/>
      <c r="D3896" s="33"/>
      <c r="E3896" s="33"/>
      <c r="F3896" s="33"/>
      <c r="G3896" s="33"/>
      <c r="H3896" s="33"/>
      <c r="I3896" s="33"/>
      <c r="J3896" s="33"/>
      <c r="K3896" s="33"/>
      <c r="L3896" s="33"/>
      <c r="M3896" s="33"/>
      <c r="N3896" s="33"/>
      <c r="O3896" s="33"/>
      <c r="P3896" s="33"/>
      <c r="Q3896" s="33"/>
      <c r="R3896" s="33"/>
      <c r="S3896" s="33"/>
      <c r="T3896" s="33"/>
      <c r="U3896" s="33"/>
      <c r="V3896" s="33"/>
      <c r="W3896" s="33"/>
      <c r="X3896" s="33"/>
      <c r="Y3896" s="33"/>
      <c r="Z3896" s="33"/>
      <c r="AA3896" s="33"/>
      <c r="AB3896" s="33"/>
      <c r="AC3896" s="33"/>
      <c r="AD3896" s="33"/>
      <c r="AE3896" s="33"/>
      <c r="AF3896" s="33"/>
      <c r="AG3896" s="33"/>
      <c r="AH3896" s="33"/>
      <c r="AI3896" s="33"/>
      <c r="AJ3896" s="33"/>
      <c r="AK3896" s="33"/>
    </row>
    <row r="3897">
      <c r="A3897" s="33"/>
      <c r="B3897" s="33"/>
      <c r="C3897" s="33"/>
      <c r="D3897" s="33"/>
      <c r="E3897" s="33"/>
      <c r="F3897" s="33"/>
      <c r="G3897" s="33"/>
      <c r="H3897" s="33"/>
      <c r="I3897" s="33"/>
      <c r="J3897" s="33"/>
      <c r="K3897" s="33"/>
      <c r="L3897" s="33"/>
      <c r="M3897" s="33"/>
      <c r="N3897" s="33"/>
      <c r="O3897" s="33"/>
      <c r="P3897" s="33"/>
      <c r="Q3897" s="33"/>
      <c r="R3897" s="33"/>
      <c r="S3897" s="33"/>
      <c r="T3897" s="33"/>
      <c r="U3897" s="33"/>
      <c r="V3897" s="33"/>
      <c r="W3897" s="33"/>
      <c r="X3897" s="33"/>
      <c r="Y3897" s="33"/>
      <c r="Z3897" s="33"/>
      <c r="AA3897" s="33"/>
      <c r="AB3897" s="33"/>
      <c r="AC3897" s="33"/>
      <c r="AD3897" s="33"/>
      <c r="AE3897" s="33"/>
      <c r="AF3897" s="33"/>
      <c r="AG3897" s="33"/>
      <c r="AH3897" s="33"/>
      <c r="AI3897" s="33"/>
      <c r="AJ3897" s="33"/>
      <c r="AK3897" s="33"/>
    </row>
    <row r="3898">
      <c r="A3898" s="33"/>
      <c r="B3898" s="33"/>
      <c r="C3898" s="33"/>
      <c r="D3898" s="33"/>
      <c r="E3898" s="33"/>
      <c r="F3898" s="33"/>
      <c r="G3898" s="33"/>
      <c r="H3898" s="33"/>
      <c r="I3898" s="33"/>
      <c r="J3898" s="33"/>
      <c r="K3898" s="33"/>
      <c r="L3898" s="33"/>
      <c r="M3898" s="33"/>
      <c r="N3898" s="33"/>
      <c r="O3898" s="33"/>
      <c r="P3898" s="33"/>
      <c r="Q3898" s="33"/>
      <c r="R3898" s="33"/>
      <c r="S3898" s="33"/>
      <c r="T3898" s="33"/>
      <c r="U3898" s="33"/>
      <c r="V3898" s="33"/>
      <c r="W3898" s="33"/>
      <c r="X3898" s="33"/>
      <c r="Y3898" s="33"/>
      <c r="Z3898" s="33"/>
      <c r="AA3898" s="33"/>
      <c r="AB3898" s="33"/>
      <c r="AC3898" s="33"/>
      <c r="AD3898" s="33"/>
      <c r="AE3898" s="33"/>
      <c r="AF3898" s="33"/>
      <c r="AG3898" s="33"/>
      <c r="AH3898" s="33"/>
      <c r="AI3898" s="33"/>
      <c r="AJ3898" s="33"/>
      <c r="AK3898" s="33"/>
    </row>
    <row r="3899">
      <c r="A3899" s="33"/>
      <c r="B3899" s="33"/>
      <c r="C3899" s="33"/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  <c r="Q3899" s="33"/>
      <c r="R3899" s="33"/>
      <c r="S3899" s="33"/>
      <c r="T3899" s="33"/>
      <c r="U3899" s="33"/>
      <c r="V3899" s="33"/>
      <c r="W3899" s="33"/>
      <c r="X3899" s="33"/>
      <c r="Y3899" s="33"/>
      <c r="Z3899" s="33"/>
      <c r="AA3899" s="33"/>
      <c r="AB3899" s="33"/>
      <c r="AC3899" s="33"/>
      <c r="AD3899" s="33"/>
      <c r="AE3899" s="33"/>
      <c r="AF3899" s="33"/>
      <c r="AG3899" s="33"/>
      <c r="AH3899" s="33"/>
      <c r="AI3899" s="33"/>
      <c r="AJ3899" s="33"/>
      <c r="AK3899" s="33"/>
    </row>
    <row r="3900">
      <c r="A3900" s="33"/>
      <c r="B3900" s="33"/>
      <c r="C3900" s="33"/>
      <c r="D3900" s="33"/>
      <c r="E3900" s="33"/>
      <c r="F3900" s="33"/>
      <c r="G3900" s="33"/>
      <c r="H3900" s="33"/>
      <c r="I3900" s="33"/>
      <c r="J3900" s="33"/>
      <c r="K3900" s="33"/>
      <c r="L3900" s="33"/>
      <c r="M3900" s="33"/>
      <c r="N3900" s="33"/>
      <c r="O3900" s="33"/>
      <c r="P3900" s="33"/>
      <c r="Q3900" s="33"/>
      <c r="R3900" s="33"/>
      <c r="S3900" s="33"/>
      <c r="T3900" s="33"/>
      <c r="U3900" s="33"/>
      <c r="V3900" s="33"/>
      <c r="W3900" s="33"/>
      <c r="X3900" s="33"/>
      <c r="Y3900" s="33"/>
      <c r="Z3900" s="33"/>
      <c r="AA3900" s="33"/>
      <c r="AB3900" s="33"/>
      <c r="AC3900" s="33"/>
      <c r="AD3900" s="33"/>
      <c r="AE3900" s="33"/>
      <c r="AF3900" s="33"/>
      <c r="AG3900" s="33"/>
      <c r="AH3900" s="33"/>
      <c r="AI3900" s="33"/>
      <c r="AJ3900" s="33"/>
      <c r="AK3900" s="33"/>
    </row>
    <row r="3901">
      <c r="A3901" s="33"/>
      <c r="B3901" s="33"/>
      <c r="C3901" s="33"/>
      <c r="D3901" s="33"/>
      <c r="E3901" s="33"/>
      <c r="F3901" s="33"/>
      <c r="G3901" s="33"/>
      <c r="H3901" s="33"/>
      <c r="I3901" s="33"/>
      <c r="J3901" s="33"/>
      <c r="K3901" s="33"/>
      <c r="L3901" s="33"/>
      <c r="M3901" s="33"/>
      <c r="N3901" s="33"/>
      <c r="O3901" s="33"/>
      <c r="P3901" s="33"/>
      <c r="Q3901" s="33"/>
      <c r="R3901" s="33"/>
      <c r="S3901" s="33"/>
      <c r="T3901" s="33"/>
      <c r="U3901" s="33"/>
      <c r="V3901" s="33"/>
      <c r="W3901" s="33"/>
      <c r="X3901" s="33"/>
      <c r="Y3901" s="33"/>
      <c r="Z3901" s="33"/>
      <c r="AA3901" s="33"/>
      <c r="AB3901" s="33"/>
      <c r="AC3901" s="33"/>
      <c r="AD3901" s="33"/>
      <c r="AE3901" s="33"/>
      <c r="AF3901" s="33"/>
      <c r="AG3901" s="33"/>
      <c r="AH3901" s="33"/>
      <c r="AI3901" s="33"/>
      <c r="AJ3901" s="33"/>
      <c r="AK3901" s="33"/>
    </row>
    <row r="3902">
      <c r="A3902" s="33"/>
      <c r="B3902" s="33"/>
      <c r="C3902" s="33"/>
      <c r="D3902" s="33"/>
      <c r="E3902" s="33"/>
      <c r="F3902" s="33"/>
      <c r="G3902" s="33"/>
      <c r="H3902" s="33"/>
      <c r="I3902" s="33"/>
      <c r="J3902" s="33"/>
      <c r="K3902" s="33"/>
      <c r="L3902" s="33"/>
      <c r="M3902" s="33"/>
      <c r="N3902" s="33"/>
      <c r="O3902" s="33"/>
      <c r="P3902" s="33"/>
      <c r="Q3902" s="33"/>
      <c r="R3902" s="33"/>
      <c r="S3902" s="33"/>
      <c r="T3902" s="33"/>
      <c r="U3902" s="33"/>
      <c r="V3902" s="33"/>
      <c r="W3902" s="33"/>
      <c r="X3902" s="33"/>
      <c r="Y3902" s="33"/>
      <c r="Z3902" s="33"/>
      <c r="AA3902" s="33"/>
      <c r="AB3902" s="33"/>
      <c r="AC3902" s="33"/>
      <c r="AD3902" s="33"/>
      <c r="AE3902" s="33"/>
      <c r="AF3902" s="33"/>
      <c r="AG3902" s="33"/>
      <c r="AH3902" s="33"/>
      <c r="AI3902" s="33"/>
      <c r="AJ3902" s="33"/>
      <c r="AK3902" s="33"/>
    </row>
    <row r="3903">
      <c r="A3903" s="33"/>
      <c r="B3903" s="33"/>
      <c r="C3903" s="33"/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  <c r="Q3903" s="33"/>
      <c r="R3903" s="33"/>
      <c r="S3903" s="33"/>
      <c r="T3903" s="33"/>
      <c r="U3903" s="33"/>
      <c r="V3903" s="33"/>
      <c r="W3903" s="33"/>
      <c r="X3903" s="33"/>
      <c r="Y3903" s="33"/>
      <c r="Z3903" s="33"/>
      <c r="AA3903" s="33"/>
      <c r="AB3903" s="33"/>
      <c r="AC3903" s="33"/>
      <c r="AD3903" s="33"/>
      <c r="AE3903" s="33"/>
      <c r="AF3903" s="33"/>
      <c r="AG3903" s="33"/>
      <c r="AH3903" s="33"/>
      <c r="AI3903" s="33"/>
      <c r="AJ3903" s="33"/>
      <c r="AK3903" s="33"/>
    </row>
    <row r="3904">
      <c r="A3904" s="33"/>
      <c r="B3904" s="33"/>
      <c r="C3904" s="33"/>
      <c r="D3904" s="33"/>
      <c r="E3904" s="33"/>
      <c r="F3904" s="33"/>
      <c r="G3904" s="33"/>
      <c r="H3904" s="33"/>
      <c r="I3904" s="33"/>
      <c r="J3904" s="33"/>
      <c r="K3904" s="33"/>
      <c r="L3904" s="33"/>
      <c r="M3904" s="33"/>
      <c r="N3904" s="33"/>
      <c r="O3904" s="33"/>
      <c r="P3904" s="33"/>
      <c r="Q3904" s="33"/>
      <c r="R3904" s="33"/>
      <c r="S3904" s="33"/>
      <c r="T3904" s="33"/>
      <c r="U3904" s="33"/>
      <c r="V3904" s="33"/>
      <c r="W3904" s="33"/>
      <c r="X3904" s="33"/>
      <c r="Y3904" s="33"/>
      <c r="Z3904" s="33"/>
      <c r="AA3904" s="33"/>
      <c r="AB3904" s="33"/>
      <c r="AC3904" s="33"/>
      <c r="AD3904" s="33"/>
      <c r="AE3904" s="33"/>
      <c r="AF3904" s="33"/>
      <c r="AG3904" s="33"/>
      <c r="AH3904" s="33"/>
      <c r="AI3904" s="33"/>
      <c r="AJ3904" s="33"/>
      <c r="AK3904" s="33"/>
    </row>
    <row r="3905">
      <c r="A3905" s="33"/>
      <c r="B3905" s="33"/>
      <c r="C3905" s="33"/>
      <c r="D3905" s="33"/>
      <c r="E3905" s="33"/>
      <c r="F3905" s="33"/>
      <c r="G3905" s="33"/>
      <c r="H3905" s="33"/>
      <c r="I3905" s="33"/>
      <c r="J3905" s="33"/>
      <c r="K3905" s="33"/>
      <c r="L3905" s="33"/>
      <c r="M3905" s="33"/>
      <c r="N3905" s="33"/>
      <c r="O3905" s="33"/>
      <c r="P3905" s="33"/>
      <c r="Q3905" s="33"/>
      <c r="R3905" s="33"/>
      <c r="S3905" s="33"/>
      <c r="T3905" s="33"/>
      <c r="U3905" s="33"/>
      <c r="V3905" s="33"/>
      <c r="W3905" s="33"/>
      <c r="X3905" s="33"/>
      <c r="Y3905" s="33"/>
      <c r="Z3905" s="33"/>
      <c r="AA3905" s="33"/>
      <c r="AB3905" s="33"/>
      <c r="AC3905" s="33"/>
      <c r="AD3905" s="33"/>
      <c r="AE3905" s="33"/>
      <c r="AF3905" s="33"/>
      <c r="AG3905" s="33"/>
      <c r="AH3905" s="33"/>
      <c r="AI3905" s="33"/>
      <c r="AJ3905" s="33"/>
      <c r="AK3905" s="33"/>
    </row>
    <row r="3906">
      <c r="A3906" s="33"/>
      <c r="B3906" s="33"/>
      <c r="C3906" s="33"/>
      <c r="D3906" s="33"/>
      <c r="E3906" s="33"/>
      <c r="F3906" s="33"/>
      <c r="G3906" s="33"/>
      <c r="H3906" s="33"/>
      <c r="I3906" s="33"/>
      <c r="J3906" s="33"/>
      <c r="K3906" s="33"/>
      <c r="L3906" s="33"/>
      <c r="M3906" s="33"/>
      <c r="N3906" s="33"/>
      <c r="O3906" s="33"/>
      <c r="P3906" s="33"/>
      <c r="Q3906" s="33"/>
      <c r="R3906" s="33"/>
      <c r="S3906" s="33"/>
      <c r="T3906" s="33"/>
      <c r="U3906" s="33"/>
      <c r="V3906" s="33"/>
      <c r="W3906" s="33"/>
      <c r="X3906" s="33"/>
      <c r="Y3906" s="33"/>
      <c r="Z3906" s="33"/>
      <c r="AA3906" s="33"/>
      <c r="AB3906" s="33"/>
      <c r="AC3906" s="33"/>
      <c r="AD3906" s="33"/>
      <c r="AE3906" s="33"/>
      <c r="AF3906" s="33"/>
      <c r="AG3906" s="33"/>
      <c r="AH3906" s="33"/>
      <c r="AI3906" s="33"/>
      <c r="AJ3906" s="33"/>
      <c r="AK3906" s="33"/>
    </row>
    <row r="3907">
      <c r="A3907" s="33"/>
      <c r="B3907" s="33"/>
      <c r="C3907" s="33"/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  <c r="Q3907" s="33"/>
      <c r="R3907" s="33"/>
      <c r="S3907" s="33"/>
      <c r="T3907" s="33"/>
      <c r="U3907" s="33"/>
      <c r="V3907" s="33"/>
      <c r="W3907" s="33"/>
      <c r="X3907" s="33"/>
      <c r="Y3907" s="33"/>
      <c r="Z3907" s="33"/>
      <c r="AA3907" s="33"/>
      <c r="AB3907" s="33"/>
      <c r="AC3907" s="33"/>
      <c r="AD3907" s="33"/>
      <c r="AE3907" s="33"/>
      <c r="AF3907" s="33"/>
      <c r="AG3907" s="33"/>
      <c r="AH3907" s="33"/>
      <c r="AI3907" s="33"/>
      <c r="AJ3907" s="33"/>
      <c r="AK3907" s="33"/>
    </row>
    <row r="3908">
      <c r="A3908" s="33"/>
      <c r="B3908" s="33"/>
      <c r="C3908" s="33"/>
      <c r="D3908" s="33"/>
      <c r="E3908" s="33"/>
      <c r="F3908" s="33"/>
      <c r="G3908" s="33"/>
      <c r="H3908" s="33"/>
      <c r="I3908" s="33"/>
      <c r="J3908" s="33"/>
      <c r="K3908" s="33"/>
      <c r="L3908" s="33"/>
      <c r="M3908" s="33"/>
      <c r="N3908" s="33"/>
      <c r="O3908" s="33"/>
      <c r="P3908" s="33"/>
      <c r="Q3908" s="33"/>
      <c r="R3908" s="33"/>
      <c r="S3908" s="33"/>
      <c r="T3908" s="33"/>
      <c r="U3908" s="33"/>
      <c r="V3908" s="33"/>
      <c r="W3908" s="33"/>
      <c r="X3908" s="33"/>
      <c r="Y3908" s="33"/>
      <c r="Z3908" s="33"/>
      <c r="AA3908" s="33"/>
      <c r="AB3908" s="33"/>
      <c r="AC3908" s="33"/>
      <c r="AD3908" s="33"/>
      <c r="AE3908" s="33"/>
      <c r="AF3908" s="33"/>
      <c r="AG3908" s="33"/>
      <c r="AH3908" s="33"/>
      <c r="AI3908" s="33"/>
      <c r="AJ3908" s="33"/>
      <c r="AK3908" s="33"/>
    </row>
    <row r="3909">
      <c r="A3909" s="33"/>
      <c r="B3909" s="33"/>
      <c r="C3909" s="33"/>
      <c r="D3909" s="33"/>
      <c r="E3909" s="33"/>
      <c r="F3909" s="33"/>
      <c r="G3909" s="33"/>
      <c r="H3909" s="33"/>
      <c r="I3909" s="33"/>
      <c r="J3909" s="33"/>
      <c r="K3909" s="33"/>
      <c r="L3909" s="33"/>
      <c r="M3909" s="33"/>
      <c r="N3909" s="33"/>
      <c r="O3909" s="33"/>
      <c r="P3909" s="33"/>
      <c r="Q3909" s="33"/>
      <c r="R3909" s="33"/>
      <c r="S3909" s="33"/>
      <c r="T3909" s="33"/>
      <c r="U3909" s="33"/>
      <c r="V3909" s="33"/>
      <c r="W3909" s="33"/>
      <c r="X3909" s="33"/>
      <c r="Y3909" s="33"/>
      <c r="Z3909" s="33"/>
      <c r="AA3909" s="33"/>
      <c r="AB3909" s="33"/>
      <c r="AC3909" s="33"/>
      <c r="AD3909" s="33"/>
      <c r="AE3909" s="33"/>
      <c r="AF3909" s="33"/>
      <c r="AG3909" s="33"/>
      <c r="AH3909" s="33"/>
      <c r="AI3909" s="33"/>
      <c r="AJ3909" s="33"/>
      <c r="AK3909" s="33"/>
    </row>
    <row r="3910">
      <c r="A3910" s="33"/>
      <c r="B3910" s="33"/>
      <c r="C3910" s="33"/>
      <c r="D3910" s="33"/>
      <c r="E3910" s="33"/>
      <c r="F3910" s="33"/>
      <c r="G3910" s="33"/>
      <c r="H3910" s="33"/>
      <c r="I3910" s="33"/>
      <c r="J3910" s="33"/>
      <c r="K3910" s="33"/>
      <c r="L3910" s="33"/>
      <c r="M3910" s="33"/>
      <c r="N3910" s="33"/>
      <c r="O3910" s="33"/>
      <c r="P3910" s="33"/>
      <c r="Q3910" s="33"/>
      <c r="R3910" s="33"/>
      <c r="S3910" s="33"/>
      <c r="T3910" s="33"/>
      <c r="U3910" s="33"/>
      <c r="V3910" s="33"/>
      <c r="W3910" s="33"/>
      <c r="X3910" s="33"/>
      <c r="Y3910" s="33"/>
      <c r="Z3910" s="33"/>
      <c r="AA3910" s="33"/>
      <c r="AB3910" s="33"/>
      <c r="AC3910" s="33"/>
      <c r="AD3910" s="33"/>
      <c r="AE3910" s="33"/>
      <c r="AF3910" s="33"/>
      <c r="AG3910" s="33"/>
      <c r="AH3910" s="33"/>
      <c r="AI3910" s="33"/>
      <c r="AJ3910" s="33"/>
      <c r="AK3910" s="33"/>
    </row>
    <row r="3911">
      <c r="A3911" s="33"/>
      <c r="B3911" s="33"/>
      <c r="C3911" s="33"/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  <c r="Q3911" s="33"/>
      <c r="R3911" s="33"/>
      <c r="S3911" s="33"/>
      <c r="T3911" s="33"/>
      <c r="U3911" s="33"/>
      <c r="V3911" s="33"/>
      <c r="W3911" s="33"/>
      <c r="X3911" s="33"/>
      <c r="Y3911" s="33"/>
      <c r="Z3911" s="33"/>
      <c r="AA3911" s="33"/>
      <c r="AB3911" s="33"/>
      <c r="AC3911" s="33"/>
      <c r="AD3911" s="33"/>
      <c r="AE3911" s="33"/>
      <c r="AF3911" s="33"/>
      <c r="AG3911" s="33"/>
      <c r="AH3911" s="33"/>
      <c r="AI3911" s="33"/>
      <c r="AJ3911" s="33"/>
      <c r="AK3911" s="33"/>
    </row>
    <row r="3912">
      <c r="A3912" s="33"/>
      <c r="B3912" s="33"/>
      <c r="C3912" s="33"/>
      <c r="D3912" s="33"/>
      <c r="E3912" s="33"/>
      <c r="F3912" s="33"/>
      <c r="G3912" s="33"/>
      <c r="H3912" s="33"/>
      <c r="I3912" s="33"/>
      <c r="J3912" s="33"/>
      <c r="K3912" s="33"/>
      <c r="L3912" s="33"/>
      <c r="M3912" s="33"/>
      <c r="N3912" s="33"/>
      <c r="O3912" s="33"/>
      <c r="P3912" s="33"/>
      <c r="Q3912" s="33"/>
      <c r="R3912" s="33"/>
      <c r="S3912" s="33"/>
      <c r="T3912" s="33"/>
      <c r="U3912" s="33"/>
      <c r="V3912" s="33"/>
      <c r="W3912" s="33"/>
      <c r="X3912" s="33"/>
      <c r="Y3912" s="33"/>
      <c r="Z3912" s="33"/>
      <c r="AA3912" s="33"/>
      <c r="AB3912" s="33"/>
      <c r="AC3912" s="33"/>
      <c r="AD3912" s="33"/>
      <c r="AE3912" s="33"/>
      <c r="AF3912" s="33"/>
      <c r="AG3912" s="33"/>
      <c r="AH3912" s="33"/>
      <c r="AI3912" s="33"/>
      <c r="AJ3912" s="33"/>
      <c r="AK3912" s="33"/>
    </row>
    <row r="3913">
      <c r="A3913" s="33"/>
      <c r="B3913" s="33"/>
      <c r="C3913" s="33"/>
      <c r="D3913" s="33"/>
      <c r="E3913" s="33"/>
      <c r="F3913" s="33"/>
      <c r="G3913" s="33"/>
      <c r="H3913" s="33"/>
      <c r="I3913" s="33"/>
      <c r="J3913" s="33"/>
      <c r="K3913" s="33"/>
      <c r="L3913" s="33"/>
      <c r="M3913" s="33"/>
      <c r="N3913" s="33"/>
      <c r="O3913" s="33"/>
      <c r="P3913" s="33"/>
      <c r="Q3913" s="33"/>
      <c r="R3913" s="33"/>
      <c r="S3913" s="33"/>
      <c r="T3913" s="33"/>
      <c r="U3913" s="33"/>
      <c r="V3913" s="33"/>
      <c r="W3913" s="33"/>
      <c r="X3913" s="33"/>
      <c r="Y3913" s="33"/>
      <c r="Z3913" s="33"/>
      <c r="AA3913" s="33"/>
      <c r="AB3913" s="33"/>
      <c r="AC3913" s="33"/>
      <c r="AD3913" s="33"/>
      <c r="AE3913" s="33"/>
      <c r="AF3913" s="33"/>
      <c r="AG3913" s="33"/>
      <c r="AH3913" s="33"/>
      <c r="AI3913" s="33"/>
      <c r="AJ3913" s="33"/>
      <c r="AK3913" s="33"/>
    </row>
    <row r="3914">
      <c r="A3914" s="33"/>
      <c r="B3914" s="33"/>
      <c r="C3914" s="33"/>
      <c r="D3914" s="33"/>
      <c r="E3914" s="33"/>
      <c r="F3914" s="33"/>
      <c r="G3914" s="33"/>
      <c r="H3914" s="33"/>
      <c r="I3914" s="33"/>
      <c r="J3914" s="33"/>
      <c r="K3914" s="33"/>
      <c r="L3914" s="33"/>
      <c r="M3914" s="33"/>
      <c r="N3914" s="33"/>
      <c r="O3914" s="33"/>
      <c r="P3914" s="33"/>
      <c r="Q3914" s="33"/>
      <c r="R3914" s="33"/>
      <c r="S3914" s="33"/>
      <c r="T3914" s="33"/>
      <c r="U3914" s="33"/>
      <c r="V3914" s="33"/>
      <c r="W3914" s="33"/>
      <c r="X3914" s="33"/>
      <c r="Y3914" s="33"/>
      <c r="Z3914" s="33"/>
      <c r="AA3914" s="33"/>
      <c r="AB3914" s="33"/>
      <c r="AC3914" s="33"/>
      <c r="AD3914" s="33"/>
      <c r="AE3914" s="33"/>
      <c r="AF3914" s="33"/>
      <c r="AG3914" s="33"/>
      <c r="AH3914" s="33"/>
      <c r="AI3914" s="33"/>
      <c r="AJ3914" s="33"/>
      <c r="AK3914" s="33"/>
    </row>
    <row r="3915">
      <c r="A3915" s="33"/>
      <c r="B3915" s="33"/>
      <c r="C3915" s="33"/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  <c r="Q3915" s="33"/>
      <c r="R3915" s="33"/>
      <c r="S3915" s="33"/>
      <c r="T3915" s="33"/>
      <c r="U3915" s="33"/>
      <c r="V3915" s="33"/>
      <c r="W3915" s="33"/>
      <c r="X3915" s="33"/>
      <c r="Y3915" s="33"/>
      <c r="Z3915" s="33"/>
      <c r="AA3915" s="33"/>
      <c r="AB3915" s="33"/>
      <c r="AC3915" s="33"/>
      <c r="AD3915" s="33"/>
      <c r="AE3915" s="33"/>
      <c r="AF3915" s="33"/>
      <c r="AG3915" s="33"/>
      <c r="AH3915" s="33"/>
      <c r="AI3915" s="33"/>
      <c r="AJ3915" s="33"/>
      <c r="AK3915" s="33"/>
    </row>
    <row r="3916">
      <c r="A3916" s="33"/>
      <c r="B3916" s="33"/>
      <c r="C3916" s="33"/>
      <c r="D3916" s="33"/>
      <c r="E3916" s="33"/>
      <c r="F3916" s="33"/>
      <c r="G3916" s="33"/>
      <c r="H3916" s="33"/>
      <c r="I3916" s="33"/>
      <c r="J3916" s="33"/>
      <c r="K3916" s="33"/>
      <c r="L3916" s="33"/>
      <c r="M3916" s="33"/>
      <c r="N3916" s="33"/>
      <c r="O3916" s="33"/>
      <c r="P3916" s="33"/>
      <c r="Q3916" s="33"/>
      <c r="R3916" s="33"/>
      <c r="S3916" s="33"/>
      <c r="T3916" s="33"/>
      <c r="U3916" s="33"/>
      <c r="V3916" s="33"/>
      <c r="W3916" s="33"/>
      <c r="X3916" s="33"/>
      <c r="Y3916" s="33"/>
      <c r="Z3916" s="33"/>
      <c r="AA3916" s="33"/>
      <c r="AB3916" s="33"/>
      <c r="AC3916" s="33"/>
      <c r="AD3916" s="33"/>
      <c r="AE3916" s="33"/>
      <c r="AF3916" s="33"/>
      <c r="AG3916" s="33"/>
      <c r="AH3916" s="33"/>
      <c r="AI3916" s="33"/>
      <c r="AJ3916" s="33"/>
      <c r="AK3916" s="33"/>
    </row>
    <row r="3917">
      <c r="A3917" s="33"/>
      <c r="B3917" s="33"/>
      <c r="C3917" s="33"/>
      <c r="D3917" s="33"/>
      <c r="E3917" s="33"/>
      <c r="F3917" s="33"/>
      <c r="G3917" s="33"/>
      <c r="H3917" s="33"/>
      <c r="I3917" s="33"/>
      <c r="J3917" s="33"/>
      <c r="K3917" s="33"/>
      <c r="L3917" s="33"/>
      <c r="M3917" s="33"/>
      <c r="N3917" s="33"/>
      <c r="O3917" s="33"/>
      <c r="P3917" s="33"/>
      <c r="Q3917" s="33"/>
      <c r="R3917" s="33"/>
      <c r="S3917" s="33"/>
      <c r="T3917" s="33"/>
      <c r="U3917" s="33"/>
      <c r="V3917" s="33"/>
      <c r="W3917" s="33"/>
      <c r="X3917" s="33"/>
      <c r="Y3917" s="33"/>
      <c r="Z3917" s="33"/>
      <c r="AA3917" s="33"/>
      <c r="AB3917" s="33"/>
      <c r="AC3917" s="33"/>
      <c r="AD3917" s="33"/>
      <c r="AE3917" s="33"/>
      <c r="AF3917" s="33"/>
      <c r="AG3917" s="33"/>
      <c r="AH3917" s="33"/>
      <c r="AI3917" s="33"/>
      <c r="AJ3917" s="33"/>
      <c r="AK3917" s="33"/>
    </row>
    <row r="3918">
      <c r="A3918" s="33"/>
      <c r="B3918" s="33"/>
      <c r="C3918" s="33"/>
      <c r="D3918" s="33"/>
      <c r="E3918" s="33"/>
      <c r="F3918" s="33"/>
      <c r="G3918" s="33"/>
      <c r="H3918" s="33"/>
      <c r="I3918" s="33"/>
      <c r="J3918" s="33"/>
      <c r="K3918" s="33"/>
      <c r="L3918" s="33"/>
      <c r="M3918" s="33"/>
      <c r="N3918" s="33"/>
      <c r="O3918" s="33"/>
      <c r="P3918" s="33"/>
      <c r="Q3918" s="33"/>
      <c r="R3918" s="33"/>
      <c r="S3918" s="33"/>
      <c r="T3918" s="33"/>
      <c r="U3918" s="33"/>
      <c r="V3918" s="33"/>
      <c r="W3918" s="33"/>
      <c r="X3918" s="33"/>
      <c r="Y3918" s="33"/>
      <c r="Z3918" s="33"/>
      <c r="AA3918" s="33"/>
      <c r="AB3918" s="33"/>
      <c r="AC3918" s="33"/>
      <c r="AD3918" s="33"/>
      <c r="AE3918" s="33"/>
      <c r="AF3918" s="33"/>
      <c r="AG3918" s="33"/>
      <c r="AH3918" s="33"/>
      <c r="AI3918" s="33"/>
      <c r="AJ3918" s="33"/>
      <c r="AK3918" s="33"/>
    </row>
    <row r="3919">
      <c r="A3919" s="33"/>
      <c r="B3919" s="33"/>
      <c r="C3919" s="33"/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  <c r="R3919" s="33"/>
      <c r="S3919" s="33"/>
      <c r="T3919" s="33"/>
      <c r="U3919" s="33"/>
      <c r="V3919" s="33"/>
      <c r="W3919" s="33"/>
      <c r="X3919" s="33"/>
      <c r="Y3919" s="33"/>
      <c r="Z3919" s="33"/>
      <c r="AA3919" s="33"/>
      <c r="AB3919" s="33"/>
      <c r="AC3919" s="33"/>
      <c r="AD3919" s="33"/>
      <c r="AE3919" s="33"/>
      <c r="AF3919" s="33"/>
      <c r="AG3919" s="33"/>
      <c r="AH3919" s="33"/>
      <c r="AI3919" s="33"/>
      <c r="AJ3919" s="33"/>
      <c r="AK3919" s="33"/>
    </row>
    <row r="3920">
      <c r="A3920" s="33"/>
      <c r="B3920" s="33"/>
      <c r="C3920" s="33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33"/>
      <c r="Q3920" s="33"/>
      <c r="R3920" s="33"/>
      <c r="S3920" s="33"/>
      <c r="T3920" s="33"/>
      <c r="U3920" s="33"/>
      <c r="V3920" s="33"/>
      <c r="W3920" s="33"/>
      <c r="X3920" s="33"/>
      <c r="Y3920" s="33"/>
      <c r="Z3920" s="33"/>
      <c r="AA3920" s="33"/>
      <c r="AB3920" s="33"/>
      <c r="AC3920" s="33"/>
      <c r="AD3920" s="33"/>
      <c r="AE3920" s="33"/>
      <c r="AF3920" s="33"/>
      <c r="AG3920" s="33"/>
      <c r="AH3920" s="33"/>
      <c r="AI3920" s="33"/>
      <c r="AJ3920" s="33"/>
      <c r="AK3920" s="33"/>
    </row>
    <row r="3921">
      <c r="A3921" s="33"/>
      <c r="B3921" s="33"/>
      <c r="C3921" s="33"/>
      <c r="D3921" s="33"/>
      <c r="E3921" s="33"/>
      <c r="F3921" s="33"/>
      <c r="G3921" s="33"/>
      <c r="H3921" s="33"/>
      <c r="I3921" s="33"/>
      <c r="J3921" s="33"/>
      <c r="K3921" s="33"/>
      <c r="L3921" s="33"/>
      <c r="M3921" s="33"/>
      <c r="N3921" s="33"/>
      <c r="O3921" s="33"/>
      <c r="P3921" s="33"/>
      <c r="Q3921" s="33"/>
      <c r="R3921" s="33"/>
      <c r="S3921" s="33"/>
      <c r="T3921" s="33"/>
      <c r="U3921" s="33"/>
      <c r="V3921" s="33"/>
      <c r="W3921" s="33"/>
      <c r="X3921" s="33"/>
      <c r="Y3921" s="33"/>
      <c r="Z3921" s="33"/>
      <c r="AA3921" s="33"/>
      <c r="AB3921" s="33"/>
      <c r="AC3921" s="33"/>
      <c r="AD3921" s="33"/>
      <c r="AE3921" s="33"/>
      <c r="AF3921" s="33"/>
      <c r="AG3921" s="33"/>
      <c r="AH3921" s="33"/>
      <c r="AI3921" s="33"/>
      <c r="AJ3921" s="33"/>
      <c r="AK3921" s="33"/>
    </row>
    <row r="3922">
      <c r="A3922" s="33"/>
      <c r="B3922" s="33"/>
      <c r="C3922" s="33"/>
      <c r="D3922" s="33"/>
      <c r="E3922" s="33"/>
      <c r="F3922" s="33"/>
      <c r="G3922" s="33"/>
      <c r="H3922" s="33"/>
      <c r="I3922" s="33"/>
      <c r="J3922" s="33"/>
      <c r="K3922" s="33"/>
      <c r="L3922" s="33"/>
      <c r="M3922" s="33"/>
      <c r="N3922" s="33"/>
      <c r="O3922" s="33"/>
      <c r="P3922" s="33"/>
      <c r="Q3922" s="33"/>
      <c r="R3922" s="33"/>
      <c r="S3922" s="33"/>
      <c r="T3922" s="33"/>
      <c r="U3922" s="33"/>
      <c r="V3922" s="33"/>
      <c r="W3922" s="33"/>
      <c r="X3922" s="33"/>
      <c r="Y3922" s="33"/>
      <c r="Z3922" s="33"/>
      <c r="AA3922" s="33"/>
      <c r="AB3922" s="33"/>
      <c r="AC3922" s="33"/>
      <c r="AD3922" s="33"/>
      <c r="AE3922" s="33"/>
      <c r="AF3922" s="33"/>
      <c r="AG3922" s="33"/>
      <c r="AH3922" s="33"/>
      <c r="AI3922" s="33"/>
      <c r="AJ3922" s="33"/>
      <c r="AK3922" s="33"/>
    </row>
    <row r="3923">
      <c r="A3923" s="33"/>
      <c r="B3923" s="33"/>
      <c r="C3923" s="33"/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  <c r="Q3923" s="33"/>
      <c r="R3923" s="33"/>
      <c r="S3923" s="33"/>
      <c r="T3923" s="33"/>
      <c r="U3923" s="33"/>
      <c r="V3923" s="33"/>
      <c r="W3923" s="33"/>
      <c r="X3923" s="33"/>
      <c r="Y3923" s="33"/>
      <c r="Z3923" s="33"/>
      <c r="AA3923" s="33"/>
      <c r="AB3923" s="33"/>
      <c r="AC3923" s="33"/>
      <c r="AD3923" s="33"/>
      <c r="AE3923" s="33"/>
      <c r="AF3923" s="33"/>
      <c r="AG3923" s="33"/>
      <c r="AH3923" s="33"/>
      <c r="AI3923" s="33"/>
      <c r="AJ3923" s="33"/>
      <c r="AK3923" s="33"/>
    </row>
    <row r="3924">
      <c r="A3924" s="33"/>
      <c r="B3924" s="33"/>
      <c r="C3924" s="33"/>
      <c r="D3924" s="33"/>
      <c r="E3924" s="33"/>
      <c r="F3924" s="33"/>
      <c r="G3924" s="33"/>
      <c r="H3924" s="33"/>
      <c r="I3924" s="33"/>
      <c r="J3924" s="33"/>
      <c r="K3924" s="33"/>
      <c r="L3924" s="33"/>
      <c r="M3924" s="33"/>
      <c r="N3924" s="33"/>
      <c r="O3924" s="33"/>
      <c r="P3924" s="33"/>
      <c r="Q3924" s="33"/>
      <c r="R3924" s="33"/>
      <c r="S3924" s="33"/>
      <c r="T3924" s="33"/>
      <c r="U3924" s="33"/>
      <c r="V3924" s="33"/>
      <c r="W3924" s="33"/>
      <c r="X3924" s="33"/>
      <c r="Y3924" s="33"/>
      <c r="Z3924" s="33"/>
      <c r="AA3924" s="33"/>
      <c r="AB3924" s="33"/>
      <c r="AC3924" s="33"/>
      <c r="AD3924" s="33"/>
      <c r="AE3924" s="33"/>
      <c r="AF3924" s="33"/>
      <c r="AG3924" s="33"/>
      <c r="AH3924" s="33"/>
      <c r="AI3924" s="33"/>
      <c r="AJ3924" s="33"/>
      <c r="AK3924" s="33"/>
    </row>
    <row r="3925">
      <c r="A3925" s="33"/>
      <c r="B3925" s="33"/>
      <c r="C3925" s="33"/>
      <c r="D3925" s="33"/>
      <c r="E3925" s="33"/>
      <c r="F3925" s="33"/>
      <c r="G3925" s="33"/>
      <c r="H3925" s="33"/>
      <c r="I3925" s="33"/>
      <c r="J3925" s="33"/>
      <c r="K3925" s="33"/>
      <c r="L3925" s="33"/>
      <c r="M3925" s="33"/>
      <c r="N3925" s="33"/>
      <c r="O3925" s="33"/>
      <c r="P3925" s="33"/>
      <c r="Q3925" s="33"/>
      <c r="R3925" s="33"/>
      <c r="S3925" s="33"/>
      <c r="T3925" s="33"/>
      <c r="U3925" s="33"/>
      <c r="V3925" s="33"/>
      <c r="W3925" s="33"/>
      <c r="X3925" s="33"/>
      <c r="Y3925" s="33"/>
      <c r="Z3925" s="33"/>
      <c r="AA3925" s="33"/>
      <c r="AB3925" s="33"/>
      <c r="AC3925" s="33"/>
      <c r="AD3925" s="33"/>
      <c r="AE3925" s="33"/>
      <c r="AF3925" s="33"/>
      <c r="AG3925" s="33"/>
      <c r="AH3925" s="33"/>
      <c r="AI3925" s="33"/>
      <c r="AJ3925" s="33"/>
      <c r="AK3925" s="33"/>
    </row>
    <row r="3926">
      <c r="A3926" s="33"/>
      <c r="B3926" s="33"/>
      <c r="C3926" s="33"/>
      <c r="D3926" s="33"/>
      <c r="E3926" s="33"/>
      <c r="F3926" s="33"/>
      <c r="G3926" s="33"/>
      <c r="H3926" s="33"/>
      <c r="I3926" s="33"/>
      <c r="J3926" s="33"/>
      <c r="K3926" s="33"/>
      <c r="L3926" s="33"/>
      <c r="M3926" s="33"/>
      <c r="N3926" s="33"/>
      <c r="O3926" s="33"/>
      <c r="P3926" s="33"/>
      <c r="Q3926" s="33"/>
      <c r="R3926" s="33"/>
      <c r="S3926" s="33"/>
      <c r="T3926" s="33"/>
      <c r="U3926" s="33"/>
      <c r="V3926" s="33"/>
      <c r="W3926" s="33"/>
      <c r="X3926" s="33"/>
      <c r="Y3926" s="33"/>
      <c r="Z3926" s="33"/>
      <c r="AA3926" s="33"/>
      <c r="AB3926" s="33"/>
      <c r="AC3926" s="33"/>
      <c r="AD3926" s="33"/>
      <c r="AE3926" s="33"/>
      <c r="AF3926" s="33"/>
      <c r="AG3926" s="33"/>
      <c r="AH3926" s="33"/>
      <c r="AI3926" s="33"/>
      <c r="AJ3926" s="33"/>
      <c r="AK3926" s="33"/>
    </row>
    <row r="3927">
      <c r="A3927" s="33"/>
      <c r="B3927" s="33"/>
      <c r="C3927" s="33"/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  <c r="Q3927" s="33"/>
      <c r="R3927" s="33"/>
      <c r="S3927" s="33"/>
      <c r="T3927" s="33"/>
      <c r="U3927" s="33"/>
      <c r="V3927" s="33"/>
      <c r="W3927" s="33"/>
      <c r="X3927" s="33"/>
      <c r="Y3927" s="33"/>
      <c r="Z3927" s="33"/>
      <c r="AA3927" s="33"/>
      <c r="AB3927" s="33"/>
      <c r="AC3927" s="33"/>
      <c r="AD3927" s="33"/>
      <c r="AE3927" s="33"/>
      <c r="AF3927" s="33"/>
      <c r="AG3927" s="33"/>
      <c r="AH3927" s="33"/>
      <c r="AI3927" s="33"/>
      <c r="AJ3927" s="33"/>
      <c r="AK3927" s="33"/>
    </row>
    <row r="3928">
      <c r="A3928" s="33"/>
      <c r="B3928" s="33"/>
      <c r="C3928" s="33"/>
      <c r="D3928" s="33"/>
      <c r="E3928" s="33"/>
      <c r="F3928" s="33"/>
      <c r="G3928" s="33"/>
      <c r="H3928" s="33"/>
      <c r="I3928" s="33"/>
      <c r="J3928" s="33"/>
      <c r="K3928" s="33"/>
      <c r="L3928" s="33"/>
      <c r="M3928" s="33"/>
      <c r="N3928" s="33"/>
      <c r="O3928" s="33"/>
      <c r="P3928" s="33"/>
      <c r="Q3928" s="33"/>
      <c r="R3928" s="33"/>
      <c r="S3928" s="33"/>
      <c r="T3928" s="33"/>
      <c r="U3928" s="33"/>
      <c r="V3928" s="33"/>
      <c r="W3928" s="33"/>
      <c r="X3928" s="33"/>
      <c r="Y3928" s="33"/>
      <c r="Z3928" s="33"/>
      <c r="AA3928" s="33"/>
      <c r="AB3928" s="33"/>
      <c r="AC3928" s="33"/>
      <c r="AD3928" s="33"/>
      <c r="AE3928" s="33"/>
      <c r="AF3928" s="33"/>
      <c r="AG3928" s="33"/>
      <c r="AH3928" s="33"/>
      <c r="AI3928" s="33"/>
      <c r="AJ3928" s="33"/>
      <c r="AK3928" s="33"/>
    </row>
    <row r="3929">
      <c r="A3929" s="33"/>
      <c r="B3929" s="33"/>
      <c r="C3929" s="33"/>
      <c r="D3929" s="33"/>
      <c r="E3929" s="33"/>
      <c r="F3929" s="33"/>
      <c r="G3929" s="33"/>
      <c r="H3929" s="33"/>
      <c r="I3929" s="33"/>
      <c r="J3929" s="33"/>
      <c r="K3929" s="33"/>
      <c r="L3929" s="33"/>
      <c r="M3929" s="33"/>
      <c r="N3929" s="33"/>
      <c r="O3929" s="33"/>
      <c r="P3929" s="33"/>
      <c r="Q3929" s="33"/>
      <c r="R3929" s="33"/>
      <c r="S3929" s="33"/>
      <c r="T3929" s="33"/>
      <c r="U3929" s="33"/>
      <c r="V3929" s="33"/>
      <c r="W3929" s="33"/>
      <c r="X3929" s="33"/>
      <c r="Y3929" s="33"/>
      <c r="Z3929" s="33"/>
      <c r="AA3929" s="33"/>
      <c r="AB3929" s="33"/>
      <c r="AC3929" s="33"/>
      <c r="AD3929" s="33"/>
      <c r="AE3929" s="33"/>
      <c r="AF3929" s="33"/>
      <c r="AG3929" s="33"/>
      <c r="AH3929" s="33"/>
      <c r="AI3929" s="33"/>
      <c r="AJ3929" s="33"/>
      <c r="AK3929" s="33"/>
    </row>
    <row r="3930">
      <c r="A3930" s="33"/>
      <c r="B3930" s="33"/>
      <c r="C3930" s="33"/>
      <c r="D3930" s="33"/>
      <c r="E3930" s="33"/>
      <c r="F3930" s="33"/>
      <c r="G3930" s="33"/>
      <c r="H3930" s="33"/>
      <c r="I3930" s="33"/>
      <c r="J3930" s="33"/>
      <c r="K3930" s="33"/>
      <c r="L3930" s="33"/>
      <c r="M3930" s="33"/>
      <c r="N3930" s="33"/>
      <c r="O3930" s="33"/>
      <c r="P3930" s="33"/>
      <c r="Q3930" s="33"/>
      <c r="R3930" s="33"/>
      <c r="S3930" s="33"/>
      <c r="T3930" s="33"/>
      <c r="U3930" s="33"/>
      <c r="V3930" s="33"/>
      <c r="W3930" s="33"/>
      <c r="X3930" s="33"/>
      <c r="Y3930" s="33"/>
      <c r="Z3930" s="33"/>
      <c r="AA3930" s="33"/>
      <c r="AB3930" s="33"/>
      <c r="AC3930" s="33"/>
      <c r="AD3930" s="33"/>
      <c r="AE3930" s="33"/>
      <c r="AF3930" s="33"/>
      <c r="AG3930" s="33"/>
      <c r="AH3930" s="33"/>
      <c r="AI3930" s="33"/>
      <c r="AJ3930" s="33"/>
      <c r="AK3930" s="33"/>
    </row>
    <row r="3931">
      <c r="A3931" s="33"/>
      <c r="B3931" s="33"/>
      <c r="C3931" s="33"/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  <c r="Q3931" s="33"/>
      <c r="R3931" s="33"/>
      <c r="S3931" s="33"/>
      <c r="T3931" s="33"/>
      <c r="U3931" s="33"/>
      <c r="V3931" s="33"/>
      <c r="W3931" s="33"/>
      <c r="X3931" s="33"/>
      <c r="Y3931" s="33"/>
      <c r="Z3931" s="33"/>
      <c r="AA3931" s="33"/>
      <c r="AB3931" s="33"/>
      <c r="AC3931" s="33"/>
      <c r="AD3931" s="33"/>
      <c r="AE3931" s="33"/>
      <c r="AF3931" s="33"/>
      <c r="AG3931" s="33"/>
      <c r="AH3931" s="33"/>
      <c r="AI3931" s="33"/>
      <c r="AJ3931" s="33"/>
      <c r="AK3931" s="33"/>
    </row>
    <row r="3932">
      <c r="A3932" s="33"/>
      <c r="B3932" s="33"/>
      <c r="C3932" s="33"/>
      <c r="D3932" s="33"/>
      <c r="E3932" s="33"/>
      <c r="F3932" s="33"/>
      <c r="G3932" s="33"/>
      <c r="H3932" s="33"/>
      <c r="I3932" s="33"/>
      <c r="J3932" s="33"/>
      <c r="K3932" s="33"/>
      <c r="L3932" s="33"/>
      <c r="M3932" s="33"/>
      <c r="N3932" s="33"/>
      <c r="O3932" s="33"/>
      <c r="P3932" s="33"/>
      <c r="Q3932" s="33"/>
      <c r="R3932" s="33"/>
      <c r="S3932" s="33"/>
      <c r="T3932" s="33"/>
      <c r="U3932" s="33"/>
      <c r="V3932" s="33"/>
      <c r="W3932" s="33"/>
      <c r="X3932" s="33"/>
      <c r="Y3932" s="33"/>
      <c r="Z3932" s="33"/>
      <c r="AA3932" s="33"/>
      <c r="AB3932" s="33"/>
      <c r="AC3932" s="33"/>
      <c r="AD3932" s="33"/>
      <c r="AE3932" s="33"/>
      <c r="AF3932" s="33"/>
      <c r="AG3932" s="33"/>
      <c r="AH3932" s="33"/>
      <c r="AI3932" s="33"/>
      <c r="AJ3932" s="33"/>
      <c r="AK3932" s="33"/>
    </row>
    <row r="3933">
      <c r="A3933" s="33"/>
      <c r="B3933" s="33"/>
      <c r="C3933" s="33"/>
      <c r="D3933" s="33"/>
      <c r="E3933" s="33"/>
      <c r="F3933" s="33"/>
      <c r="G3933" s="33"/>
      <c r="H3933" s="33"/>
      <c r="I3933" s="33"/>
      <c r="J3933" s="33"/>
      <c r="K3933" s="33"/>
      <c r="L3933" s="33"/>
      <c r="M3933" s="33"/>
      <c r="N3933" s="33"/>
      <c r="O3933" s="33"/>
      <c r="P3933" s="33"/>
      <c r="Q3933" s="33"/>
      <c r="R3933" s="33"/>
      <c r="S3933" s="33"/>
      <c r="T3933" s="33"/>
      <c r="U3933" s="33"/>
      <c r="V3933" s="33"/>
      <c r="W3933" s="33"/>
      <c r="X3933" s="33"/>
      <c r="Y3933" s="33"/>
      <c r="Z3933" s="33"/>
      <c r="AA3933" s="33"/>
      <c r="AB3933" s="33"/>
      <c r="AC3933" s="33"/>
      <c r="AD3933" s="33"/>
      <c r="AE3933" s="33"/>
      <c r="AF3933" s="33"/>
      <c r="AG3933" s="33"/>
      <c r="AH3933" s="33"/>
      <c r="AI3933" s="33"/>
      <c r="AJ3933" s="33"/>
      <c r="AK3933" s="33"/>
    </row>
    <row r="3934">
      <c r="A3934" s="33"/>
      <c r="B3934" s="33"/>
      <c r="C3934" s="33"/>
      <c r="D3934" s="33"/>
      <c r="E3934" s="33"/>
      <c r="F3934" s="33"/>
      <c r="G3934" s="33"/>
      <c r="H3934" s="33"/>
      <c r="I3934" s="33"/>
      <c r="J3934" s="33"/>
      <c r="K3934" s="33"/>
      <c r="L3934" s="33"/>
      <c r="M3934" s="33"/>
      <c r="N3934" s="33"/>
      <c r="O3934" s="33"/>
      <c r="P3934" s="33"/>
      <c r="Q3934" s="33"/>
      <c r="R3934" s="33"/>
      <c r="S3934" s="33"/>
      <c r="T3934" s="33"/>
      <c r="U3934" s="33"/>
      <c r="V3934" s="33"/>
      <c r="W3934" s="33"/>
      <c r="X3934" s="33"/>
      <c r="Y3934" s="33"/>
      <c r="Z3934" s="33"/>
      <c r="AA3934" s="33"/>
      <c r="AB3934" s="33"/>
      <c r="AC3934" s="33"/>
      <c r="AD3934" s="33"/>
      <c r="AE3934" s="33"/>
      <c r="AF3934" s="33"/>
      <c r="AG3934" s="33"/>
      <c r="AH3934" s="33"/>
      <c r="AI3934" s="33"/>
      <c r="AJ3934" s="33"/>
      <c r="AK3934" s="33"/>
    </row>
    <row r="3935">
      <c r="A3935" s="33"/>
      <c r="B3935" s="33"/>
      <c r="C3935" s="33"/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  <c r="Q3935" s="33"/>
      <c r="R3935" s="33"/>
      <c r="S3935" s="33"/>
      <c r="T3935" s="33"/>
      <c r="U3935" s="33"/>
      <c r="V3935" s="33"/>
      <c r="W3935" s="33"/>
      <c r="X3935" s="33"/>
      <c r="Y3935" s="33"/>
      <c r="Z3935" s="33"/>
      <c r="AA3935" s="33"/>
      <c r="AB3935" s="33"/>
      <c r="AC3935" s="33"/>
      <c r="AD3935" s="33"/>
      <c r="AE3935" s="33"/>
      <c r="AF3935" s="33"/>
      <c r="AG3935" s="33"/>
      <c r="AH3935" s="33"/>
      <c r="AI3935" s="33"/>
      <c r="AJ3935" s="33"/>
      <c r="AK3935" s="33"/>
    </row>
    <row r="3936">
      <c r="A3936" s="33"/>
      <c r="B3936" s="33"/>
      <c r="C3936" s="33"/>
      <c r="D3936" s="33"/>
      <c r="E3936" s="33"/>
      <c r="F3936" s="33"/>
      <c r="G3936" s="33"/>
      <c r="H3936" s="33"/>
      <c r="I3936" s="33"/>
      <c r="J3936" s="33"/>
      <c r="K3936" s="33"/>
      <c r="L3936" s="33"/>
      <c r="M3936" s="33"/>
      <c r="N3936" s="33"/>
      <c r="O3936" s="33"/>
      <c r="P3936" s="33"/>
      <c r="Q3936" s="33"/>
      <c r="R3936" s="33"/>
      <c r="S3936" s="33"/>
      <c r="T3936" s="33"/>
      <c r="U3936" s="33"/>
      <c r="V3936" s="33"/>
      <c r="W3936" s="33"/>
      <c r="X3936" s="33"/>
      <c r="Y3936" s="33"/>
      <c r="Z3936" s="33"/>
      <c r="AA3936" s="33"/>
      <c r="AB3936" s="33"/>
      <c r="AC3936" s="33"/>
      <c r="AD3936" s="33"/>
      <c r="AE3936" s="33"/>
      <c r="AF3936" s="33"/>
      <c r="AG3936" s="33"/>
      <c r="AH3936" s="33"/>
      <c r="AI3936" s="33"/>
      <c r="AJ3936" s="33"/>
      <c r="AK3936" s="33"/>
    </row>
    <row r="3937">
      <c r="A3937" s="33"/>
      <c r="B3937" s="33"/>
      <c r="C3937" s="33"/>
      <c r="D3937" s="33"/>
      <c r="E3937" s="33"/>
      <c r="F3937" s="33"/>
      <c r="G3937" s="33"/>
      <c r="H3937" s="33"/>
      <c r="I3937" s="33"/>
      <c r="J3937" s="33"/>
      <c r="K3937" s="33"/>
      <c r="L3937" s="33"/>
      <c r="M3937" s="33"/>
      <c r="N3937" s="33"/>
      <c r="O3937" s="33"/>
      <c r="P3937" s="33"/>
      <c r="Q3937" s="33"/>
      <c r="R3937" s="33"/>
      <c r="S3937" s="33"/>
      <c r="T3937" s="33"/>
      <c r="U3937" s="33"/>
      <c r="V3937" s="33"/>
      <c r="W3937" s="33"/>
      <c r="X3937" s="33"/>
      <c r="Y3937" s="33"/>
      <c r="Z3937" s="33"/>
      <c r="AA3937" s="33"/>
      <c r="AB3937" s="33"/>
      <c r="AC3937" s="33"/>
      <c r="AD3937" s="33"/>
      <c r="AE3937" s="33"/>
      <c r="AF3937" s="33"/>
      <c r="AG3937" s="33"/>
      <c r="AH3937" s="33"/>
      <c r="AI3937" s="33"/>
      <c r="AJ3937" s="33"/>
      <c r="AK3937" s="33"/>
    </row>
    <row r="3938">
      <c r="A3938" s="33"/>
      <c r="B3938" s="33"/>
      <c r="C3938" s="33"/>
      <c r="D3938" s="33"/>
      <c r="E3938" s="33"/>
      <c r="F3938" s="33"/>
      <c r="G3938" s="33"/>
      <c r="H3938" s="33"/>
      <c r="I3938" s="33"/>
      <c r="J3938" s="33"/>
      <c r="K3938" s="33"/>
      <c r="L3938" s="33"/>
      <c r="M3938" s="33"/>
      <c r="N3938" s="33"/>
      <c r="O3938" s="33"/>
      <c r="P3938" s="33"/>
      <c r="Q3938" s="33"/>
      <c r="R3938" s="33"/>
      <c r="S3938" s="33"/>
      <c r="T3938" s="33"/>
      <c r="U3938" s="33"/>
      <c r="V3938" s="33"/>
      <c r="W3938" s="33"/>
      <c r="X3938" s="33"/>
      <c r="Y3938" s="33"/>
      <c r="Z3938" s="33"/>
      <c r="AA3938" s="33"/>
      <c r="AB3938" s="33"/>
      <c r="AC3938" s="33"/>
      <c r="AD3938" s="33"/>
      <c r="AE3938" s="33"/>
      <c r="AF3938" s="33"/>
      <c r="AG3938" s="33"/>
      <c r="AH3938" s="33"/>
      <c r="AI3938" s="33"/>
      <c r="AJ3938" s="33"/>
      <c r="AK3938" s="33"/>
    </row>
    <row r="3939">
      <c r="A3939" s="33"/>
      <c r="B3939" s="33"/>
      <c r="C3939" s="33"/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  <c r="Q3939" s="33"/>
      <c r="R3939" s="33"/>
      <c r="S3939" s="33"/>
      <c r="T3939" s="33"/>
      <c r="U3939" s="33"/>
      <c r="V3939" s="33"/>
      <c r="W3939" s="33"/>
      <c r="X3939" s="33"/>
      <c r="Y3939" s="33"/>
      <c r="Z3939" s="33"/>
      <c r="AA3939" s="33"/>
      <c r="AB3939" s="33"/>
      <c r="AC3939" s="33"/>
      <c r="AD3939" s="33"/>
      <c r="AE3939" s="33"/>
      <c r="AF3939" s="33"/>
      <c r="AG3939" s="33"/>
      <c r="AH3939" s="33"/>
      <c r="AI3939" s="33"/>
      <c r="AJ3939" s="33"/>
      <c r="AK3939" s="33"/>
    </row>
    <row r="3940">
      <c r="A3940" s="33"/>
      <c r="B3940" s="33"/>
      <c r="C3940" s="33"/>
      <c r="D3940" s="33"/>
      <c r="E3940" s="33"/>
      <c r="F3940" s="33"/>
      <c r="G3940" s="33"/>
      <c r="H3940" s="33"/>
      <c r="I3940" s="33"/>
      <c r="J3940" s="33"/>
      <c r="K3940" s="33"/>
      <c r="L3940" s="33"/>
      <c r="M3940" s="33"/>
      <c r="N3940" s="33"/>
      <c r="O3940" s="33"/>
      <c r="P3940" s="33"/>
      <c r="Q3940" s="33"/>
      <c r="R3940" s="33"/>
      <c r="S3940" s="33"/>
      <c r="T3940" s="33"/>
      <c r="U3940" s="33"/>
      <c r="V3940" s="33"/>
      <c r="W3940" s="33"/>
      <c r="X3940" s="33"/>
      <c r="Y3940" s="33"/>
      <c r="Z3940" s="33"/>
      <c r="AA3940" s="33"/>
      <c r="AB3940" s="33"/>
      <c r="AC3940" s="33"/>
      <c r="AD3940" s="33"/>
      <c r="AE3940" s="33"/>
      <c r="AF3940" s="33"/>
      <c r="AG3940" s="33"/>
      <c r="AH3940" s="33"/>
      <c r="AI3940" s="33"/>
      <c r="AJ3940" s="33"/>
      <c r="AK3940" s="33"/>
    </row>
    <row r="3941">
      <c r="A3941" s="33"/>
      <c r="B3941" s="33"/>
      <c r="C3941" s="33"/>
      <c r="D3941" s="33"/>
      <c r="E3941" s="33"/>
      <c r="F3941" s="33"/>
      <c r="G3941" s="33"/>
      <c r="H3941" s="33"/>
      <c r="I3941" s="33"/>
      <c r="J3941" s="33"/>
      <c r="K3941" s="33"/>
      <c r="L3941" s="33"/>
      <c r="M3941" s="33"/>
      <c r="N3941" s="33"/>
      <c r="O3941" s="33"/>
      <c r="P3941" s="33"/>
      <c r="Q3941" s="33"/>
      <c r="R3941" s="33"/>
      <c r="S3941" s="33"/>
      <c r="T3941" s="33"/>
      <c r="U3941" s="33"/>
      <c r="V3941" s="33"/>
      <c r="W3941" s="33"/>
      <c r="X3941" s="33"/>
      <c r="Y3941" s="33"/>
      <c r="Z3941" s="33"/>
      <c r="AA3941" s="33"/>
      <c r="AB3941" s="33"/>
      <c r="AC3941" s="33"/>
      <c r="AD3941" s="33"/>
      <c r="AE3941" s="33"/>
      <c r="AF3941" s="33"/>
      <c r="AG3941" s="33"/>
      <c r="AH3941" s="33"/>
      <c r="AI3941" s="33"/>
      <c r="AJ3941" s="33"/>
      <c r="AK3941" s="33"/>
    </row>
    <row r="3942">
      <c r="A3942" s="33"/>
      <c r="B3942" s="33"/>
      <c r="C3942" s="33"/>
      <c r="D3942" s="33"/>
      <c r="E3942" s="33"/>
      <c r="F3942" s="33"/>
      <c r="G3942" s="33"/>
      <c r="H3942" s="33"/>
      <c r="I3942" s="33"/>
      <c r="J3942" s="33"/>
      <c r="K3942" s="33"/>
      <c r="L3942" s="33"/>
      <c r="M3942" s="33"/>
      <c r="N3942" s="33"/>
      <c r="O3942" s="33"/>
      <c r="P3942" s="33"/>
      <c r="Q3942" s="33"/>
      <c r="R3942" s="33"/>
      <c r="S3942" s="33"/>
      <c r="T3942" s="33"/>
      <c r="U3942" s="33"/>
      <c r="V3942" s="33"/>
      <c r="W3942" s="33"/>
      <c r="X3942" s="33"/>
      <c r="Y3942" s="33"/>
      <c r="Z3942" s="33"/>
      <c r="AA3942" s="33"/>
      <c r="AB3942" s="33"/>
      <c r="AC3942" s="33"/>
      <c r="AD3942" s="33"/>
      <c r="AE3942" s="33"/>
      <c r="AF3942" s="33"/>
      <c r="AG3942" s="33"/>
      <c r="AH3942" s="33"/>
      <c r="AI3942" s="33"/>
      <c r="AJ3942" s="33"/>
      <c r="AK3942" s="33"/>
    </row>
    <row r="3943">
      <c r="A3943" s="33"/>
      <c r="B3943" s="33"/>
      <c r="C3943" s="33"/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  <c r="Q3943" s="33"/>
      <c r="R3943" s="33"/>
      <c r="S3943" s="33"/>
      <c r="T3943" s="33"/>
      <c r="U3943" s="33"/>
      <c r="V3943" s="33"/>
      <c r="W3943" s="33"/>
      <c r="X3943" s="33"/>
      <c r="Y3943" s="33"/>
      <c r="Z3943" s="33"/>
      <c r="AA3943" s="33"/>
      <c r="AB3943" s="33"/>
      <c r="AC3943" s="33"/>
      <c r="AD3943" s="33"/>
      <c r="AE3943" s="33"/>
      <c r="AF3943" s="33"/>
      <c r="AG3943" s="33"/>
      <c r="AH3943" s="33"/>
      <c r="AI3943" s="33"/>
      <c r="AJ3943" s="33"/>
      <c r="AK3943" s="33"/>
    </row>
    <row r="3944">
      <c r="A3944" s="33"/>
      <c r="B3944" s="33"/>
      <c r="C3944" s="33"/>
      <c r="D3944" s="33"/>
      <c r="E3944" s="33"/>
      <c r="F3944" s="33"/>
      <c r="G3944" s="33"/>
      <c r="H3944" s="33"/>
      <c r="I3944" s="33"/>
      <c r="J3944" s="33"/>
      <c r="K3944" s="33"/>
      <c r="L3944" s="33"/>
      <c r="M3944" s="33"/>
      <c r="N3944" s="33"/>
      <c r="O3944" s="33"/>
      <c r="P3944" s="33"/>
      <c r="Q3944" s="33"/>
      <c r="R3944" s="33"/>
      <c r="S3944" s="33"/>
      <c r="T3944" s="33"/>
      <c r="U3944" s="33"/>
      <c r="V3944" s="33"/>
      <c r="W3944" s="33"/>
      <c r="X3944" s="33"/>
      <c r="Y3944" s="33"/>
      <c r="Z3944" s="33"/>
      <c r="AA3944" s="33"/>
      <c r="AB3944" s="33"/>
      <c r="AC3944" s="33"/>
      <c r="AD3944" s="33"/>
      <c r="AE3944" s="33"/>
      <c r="AF3944" s="33"/>
      <c r="AG3944" s="33"/>
      <c r="AH3944" s="33"/>
      <c r="AI3944" s="33"/>
      <c r="AJ3944" s="33"/>
      <c r="AK3944" s="33"/>
    </row>
    <row r="3945">
      <c r="A3945" s="33"/>
      <c r="B3945" s="33"/>
      <c r="C3945" s="33"/>
      <c r="D3945" s="33"/>
      <c r="E3945" s="33"/>
      <c r="F3945" s="33"/>
      <c r="G3945" s="33"/>
      <c r="H3945" s="33"/>
      <c r="I3945" s="33"/>
      <c r="J3945" s="33"/>
      <c r="K3945" s="33"/>
      <c r="L3945" s="33"/>
      <c r="M3945" s="33"/>
      <c r="N3945" s="33"/>
      <c r="O3945" s="33"/>
      <c r="P3945" s="33"/>
      <c r="Q3945" s="33"/>
      <c r="R3945" s="33"/>
      <c r="S3945" s="33"/>
      <c r="T3945" s="33"/>
      <c r="U3945" s="33"/>
      <c r="V3945" s="33"/>
      <c r="W3945" s="33"/>
      <c r="X3945" s="33"/>
      <c r="Y3945" s="33"/>
      <c r="Z3945" s="33"/>
      <c r="AA3945" s="33"/>
      <c r="AB3945" s="33"/>
      <c r="AC3945" s="33"/>
      <c r="AD3945" s="33"/>
      <c r="AE3945" s="33"/>
      <c r="AF3945" s="33"/>
      <c r="AG3945" s="33"/>
      <c r="AH3945" s="33"/>
      <c r="AI3945" s="33"/>
      <c r="AJ3945" s="33"/>
      <c r="AK3945" s="33"/>
    </row>
    <row r="3946">
      <c r="A3946" s="33"/>
      <c r="B3946" s="33"/>
      <c r="C3946" s="33"/>
      <c r="D3946" s="33"/>
      <c r="E3946" s="33"/>
      <c r="F3946" s="33"/>
      <c r="G3946" s="33"/>
      <c r="H3946" s="33"/>
      <c r="I3946" s="33"/>
      <c r="J3946" s="33"/>
      <c r="K3946" s="33"/>
      <c r="L3946" s="33"/>
      <c r="M3946" s="33"/>
      <c r="N3946" s="33"/>
      <c r="O3946" s="33"/>
      <c r="P3946" s="33"/>
      <c r="Q3946" s="33"/>
      <c r="R3946" s="33"/>
      <c r="S3946" s="33"/>
      <c r="T3946" s="33"/>
      <c r="U3946" s="33"/>
      <c r="V3946" s="33"/>
      <c r="W3946" s="33"/>
      <c r="X3946" s="33"/>
      <c r="Y3946" s="33"/>
      <c r="Z3946" s="33"/>
      <c r="AA3946" s="33"/>
      <c r="AB3946" s="33"/>
      <c r="AC3946" s="33"/>
      <c r="AD3946" s="33"/>
      <c r="AE3946" s="33"/>
      <c r="AF3946" s="33"/>
      <c r="AG3946" s="33"/>
      <c r="AH3946" s="33"/>
      <c r="AI3946" s="33"/>
      <c r="AJ3946" s="33"/>
      <c r="AK3946" s="33"/>
    </row>
    <row r="3947">
      <c r="A3947" s="33"/>
      <c r="B3947" s="33"/>
      <c r="C3947" s="33"/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  <c r="Q3947" s="33"/>
      <c r="R3947" s="33"/>
      <c r="S3947" s="33"/>
      <c r="T3947" s="33"/>
      <c r="U3947" s="33"/>
      <c r="V3947" s="33"/>
      <c r="W3947" s="33"/>
      <c r="X3947" s="33"/>
      <c r="Y3947" s="33"/>
      <c r="Z3947" s="33"/>
      <c r="AA3947" s="33"/>
      <c r="AB3947" s="33"/>
      <c r="AC3947" s="33"/>
      <c r="AD3947" s="33"/>
      <c r="AE3947" s="33"/>
      <c r="AF3947" s="33"/>
      <c r="AG3947" s="33"/>
      <c r="AH3947" s="33"/>
      <c r="AI3947" s="33"/>
      <c r="AJ3947" s="33"/>
      <c r="AK3947" s="33"/>
    </row>
    <row r="3948">
      <c r="A3948" s="33"/>
      <c r="B3948" s="33"/>
      <c r="C3948" s="33"/>
      <c r="D3948" s="33"/>
      <c r="E3948" s="33"/>
      <c r="F3948" s="33"/>
      <c r="G3948" s="33"/>
      <c r="H3948" s="33"/>
      <c r="I3948" s="33"/>
      <c r="J3948" s="33"/>
      <c r="K3948" s="33"/>
      <c r="L3948" s="33"/>
      <c r="M3948" s="33"/>
      <c r="N3948" s="33"/>
      <c r="O3948" s="33"/>
      <c r="P3948" s="33"/>
      <c r="Q3948" s="33"/>
      <c r="R3948" s="33"/>
      <c r="S3948" s="33"/>
      <c r="T3948" s="33"/>
      <c r="U3948" s="33"/>
      <c r="V3948" s="33"/>
      <c r="W3948" s="33"/>
      <c r="X3948" s="33"/>
      <c r="Y3948" s="33"/>
      <c r="Z3948" s="33"/>
      <c r="AA3948" s="33"/>
      <c r="AB3948" s="33"/>
      <c r="AC3948" s="33"/>
      <c r="AD3948" s="33"/>
      <c r="AE3948" s="33"/>
      <c r="AF3948" s="33"/>
      <c r="AG3948" s="33"/>
      <c r="AH3948" s="33"/>
      <c r="AI3948" s="33"/>
      <c r="AJ3948" s="33"/>
      <c r="AK3948" s="33"/>
    </row>
    <row r="3949">
      <c r="A3949" s="33"/>
      <c r="B3949" s="33"/>
      <c r="C3949" s="33"/>
      <c r="D3949" s="33"/>
      <c r="E3949" s="33"/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33"/>
      <c r="Q3949" s="33"/>
      <c r="R3949" s="33"/>
      <c r="S3949" s="33"/>
      <c r="T3949" s="33"/>
      <c r="U3949" s="33"/>
      <c r="V3949" s="33"/>
      <c r="W3949" s="33"/>
      <c r="X3949" s="33"/>
      <c r="Y3949" s="33"/>
      <c r="Z3949" s="33"/>
      <c r="AA3949" s="33"/>
      <c r="AB3949" s="33"/>
      <c r="AC3949" s="33"/>
      <c r="AD3949" s="33"/>
      <c r="AE3949" s="33"/>
      <c r="AF3949" s="33"/>
      <c r="AG3949" s="33"/>
      <c r="AH3949" s="33"/>
      <c r="AI3949" s="33"/>
      <c r="AJ3949" s="33"/>
      <c r="AK3949" s="33"/>
    </row>
    <row r="3950">
      <c r="A3950" s="33"/>
      <c r="B3950" s="33"/>
      <c r="C3950" s="33"/>
      <c r="D3950" s="33"/>
      <c r="E3950" s="33"/>
      <c r="F3950" s="33"/>
      <c r="G3950" s="33"/>
      <c r="H3950" s="33"/>
      <c r="I3950" s="33"/>
      <c r="J3950" s="33"/>
      <c r="K3950" s="33"/>
      <c r="L3950" s="33"/>
      <c r="M3950" s="33"/>
      <c r="N3950" s="33"/>
      <c r="O3950" s="33"/>
      <c r="P3950" s="33"/>
      <c r="Q3950" s="33"/>
      <c r="R3950" s="33"/>
      <c r="S3950" s="33"/>
      <c r="T3950" s="33"/>
      <c r="U3950" s="33"/>
      <c r="V3950" s="33"/>
      <c r="W3950" s="33"/>
      <c r="X3950" s="33"/>
      <c r="Y3950" s="33"/>
      <c r="Z3950" s="33"/>
      <c r="AA3950" s="33"/>
      <c r="AB3950" s="33"/>
      <c r="AC3950" s="33"/>
      <c r="AD3950" s="33"/>
      <c r="AE3950" s="33"/>
      <c r="AF3950" s="33"/>
      <c r="AG3950" s="33"/>
      <c r="AH3950" s="33"/>
      <c r="AI3950" s="33"/>
      <c r="AJ3950" s="33"/>
      <c r="AK3950" s="33"/>
    </row>
    <row r="3951">
      <c r="A3951" s="33"/>
      <c r="B3951" s="33"/>
      <c r="C3951" s="33"/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  <c r="Q3951" s="33"/>
      <c r="R3951" s="33"/>
      <c r="S3951" s="33"/>
      <c r="T3951" s="33"/>
      <c r="U3951" s="33"/>
      <c r="V3951" s="33"/>
      <c r="W3951" s="33"/>
      <c r="X3951" s="33"/>
      <c r="Y3951" s="33"/>
      <c r="Z3951" s="33"/>
      <c r="AA3951" s="33"/>
      <c r="AB3951" s="33"/>
      <c r="AC3951" s="33"/>
      <c r="AD3951" s="33"/>
      <c r="AE3951" s="33"/>
      <c r="AF3951" s="33"/>
      <c r="AG3951" s="33"/>
      <c r="AH3951" s="33"/>
      <c r="AI3951" s="33"/>
      <c r="AJ3951" s="33"/>
      <c r="AK3951" s="33"/>
    </row>
    <row r="3952">
      <c r="A3952" s="33"/>
      <c r="B3952" s="33"/>
      <c r="C3952" s="33"/>
      <c r="D3952" s="33"/>
      <c r="E3952" s="33"/>
      <c r="F3952" s="33"/>
      <c r="G3952" s="33"/>
      <c r="H3952" s="33"/>
      <c r="I3952" s="33"/>
      <c r="J3952" s="33"/>
      <c r="K3952" s="33"/>
      <c r="L3952" s="33"/>
      <c r="M3952" s="33"/>
      <c r="N3952" s="33"/>
      <c r="O3952" s="33"/>
      <c r="P3952" s="33"/>
      <c r="Q3952" s="33"/>
      <c r="R3952" s="33"/>
      <c r="S3952" s="33"/>
      <c r="T3952" s="33"/>
      <c r="U3952" s="33"/>
      <c r="V3952" s="33"/>
      <c r="W3952" s="33"/>
      <c r="X3952" s="33"/>
      <c r="Y3952" s="33"/>
      <c r="Z3952" s="33"/>
      <c r="AA3952" s="33"/>
      <c r="AB3952" s="33"/>
      <c r="AC3952" s="33"/>
      <c r="AD3952" s="33"/>
      <c r="AE3952" s="33"/>
      <c r="AF3952" s="33"/>
      <c r="AG3952" s="33"/>
      <c r="AH3952" s="33"/>
      <c r="AI3952" s="33"/>
      <c r="AJ3952" s="33"/>
      <c r="AK3952" s="33"/>
    </row>
    <row r="3953">
      <c r="A3953" s="33"/>
      <c r="B3953" s="33"/>
      <c r="C3953" s="33"/>
      <c r="D3953" s="33"/>
      <c r="E3953" s="33"/>
      <c r="F3953" s="33"/>
      <c r="G3953" s="33"/>
      <c r="H3953" s="33"/>
      <c r="I3953" s="33"/>
      <c r="J3953" s="33"/>
      <c r="K3953" s="33"/>
      <c r="L3953" s="33"/>
      <c r="M3953" s="33"/>
      <c r="N3953" s="33"/>
      <c r="O3953" s="33"/>
      <c r="P3953" s="33"/>
      <c r="Q3953" s="33"/>
      <c r="R3953" s="33"/>
      <c r="S3953" s="33"/>
      <c r="T3953" s="33"/>
      <c r="U3953" s="33"/>
      <c r="V3953" s="33"/>
      <c r="W3953" s="33"/>
      <c r="X3953" s="33"/>
      <c r="Y3953" s="33"/>
      <c r="Z3953" s="33"/>
      <c r="AA3953" s="33"/>
      <c r="AB3953" s="33"/>
      <c r="AC3953" s="33"/>
      <c r="AD3953" s="33"/>
      <c r="AE3953" s="33"/>
      <c r="AF3953" s="33"/>
      <c r="AG3953" s="33"/>
      <c r="AH3953" s="33"/>
      <c r="AI3953" s="33"/>
      <c r="AJ3953" s="33"/>
      <c r="AK3953" s="33"/>
    </row>
    <row r="3954">
      <c r="A3954" s="33"/>
      <c r="B3954" s="33"/>
      <c r="C3954" s="33"/>
      <c r="D3954" s="33"/>
      <c r="E3954" s="33"/>
      <c r="F3954" s="33"/>
      <c r="G3954" s="33"/>
      <c r="H3954" s="33"/>
      <c r="I3954" s="33"/>
      <c r="J3954" s="33"/>
      <c r="K3954" s="33"/>
      <c r="L3954" s="33"/>
      <c r="M3954" s="33"/>
      <c r="N3954" s="33"/>
      <c r="O3954" s="33"/>
      <c r="P3954" s="33"/>
      <c r="Q3954" s="33"/>
      <c r="R3954" s="33"/>
      <c r="S3954" s="33"/>
      <c r="T3954" s="33"/>
      <c r="U3954" s="33"/>
      <c r="V3954" s="33"/>
      <c r="W3954" s="33"/>
      <c r="X3954" s="33"/>
      <c r="Y3954" s="33"/>
      <c r="Z3954" s="33"/>
      <c r="AA3954" s="33"/>
      <c r="AB3954" s="33"/>
      <c r="AC3954" s="33"/>
      <c r="AD3954" s="33"/>
      <c r="AE3954" s="33"/>
      <c r="AF3954" s="33"/>
      <c r="AG3954" s="33"/>
      <c r="AH3954" s="33"/>
      <c r="AI3954" s="33"/>
      <c r="AJ3954" s="33"/>
      <c r="AK3954" s="33"/>
    </row>
    <row r="3955">
      <c r="A3955" s="33"/>
      <c r="B3955" s="33"/>
      <c r="C3955" s="33"/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  <c r="Q3955" s="33"/>
      <c r="R3955" s="33"/>
      <c r="S3955" s="33"/>
      <c r="T3955" s="33"/>
      <c r="U3955" s="33"/>
      <c r="V3955" s="33"/>
      <c r="W3955" s="33"/>
      <c r="X3955" s="33"/>
      <c r="Y3955" s="33"/>
      <c r="Z3955" s="33"/>
      <c r="AA3955" s="33"/>
      <c r="AB3955" s="33"/>
      <c r="AC3955" s="33"/>
      <c r="AD3955" s="33"/>
      <c r="AE3955" s="33"/>
      <c r="AF3955" s="33"/>
      <c r="AG3955" s="33"/>
      <c r="AH3955" s="33"/>
      <c r="AI3955" s="33"/>
      <c r="AJ3955" s="33"/>
      <c r="AK3955" s="33"/>
    </row>
    <row r="3956">
      <c r="A3956" s="33"/>
      <c r="B3956" s="33"/>
      <c r="C3956" s="33"/>
      <c r="D3956" s="33"/>
      <c r="E3956" s="33"/>
      <c r="F3956" s="33"/>
      <c r="G3956" s="33"/>
      <c r="H3956" s="33"/>
      <c r="I3956" s="33"/>
      <c r="J3956" s="33"/>
      <c r="K3956" s="33"/>
      <c r="L3956" s="33"/>
      <c r="M3956" s="33"/>
      <c r="N3956" s="33"/>
      <c r="O3956" s="33"/>
      <c r="P3956" s="33"/>
      <c r="Q3956" s="33"/>
      <c r="R3956" s="33"/>
      <c r="S3956" s="33"/>
      <c r="T3956" s="33"/>
      <c r="U3956" s="33"/>
      <c r="V3956" s="33"/>
      <c r="W3956" s="33"/>
      <c r="X3956" s="33"/>
      <c r="Y3956" s="33"/>
      <c r="Z3956" s="33"/>
      <c r="AA3956" s="33"/>
      <c r="AB3956" s="33"/>
      <c r="AC3956" s="33"/>
      <c r="AD3956" s="33"/>
      <c r="AE3956" s="33"/>
      <c r="AF3956" s="33"/>
      <c r="AG3956" s="33"/>
      <c r="AH3956" s="33"/>
      <c r="AI3956" s="33"/>
      <c r="AJ3956" s="33"/>
      <c r="AK3956" s="33"/>
    </row>
    <row r="3957">
      <c r="A3957" s="33"/>
      <c r="B3957" s="33"/>
      <c r="C3957" s="33"/>
      <c r="D3957" s="33"/>
      <c r="E3957" s="33"/>
      <c r="F3957" s="33"/>
      <c r="G3957" s="33"/>
      <c r="H3957" s="33"/>
      <c r="I3957" s="33"/>
      <c r="J3957" s="33"/>
      <c r="K3957" s="33"/>
      <c r="L3957" s="33"/>
      <c r="M3957" s="33"/>
      <c r="N3957" s="33"/>
      <c r="O3957" s="33"/>
      <c r="P3957" s="33"/>
      <c r="Q3957" s="33"/>
      <c r="R3957" s="33"/>
      <c r="S3957" s="33"/>
      <c r="T3957" s="33"/>
      <c r="U3957" s="33"/>
      <c r="V3957" s="33"/>
      <c r="W3957" s="33"/>
      <c r="X3957" s="33"/>
      <c r="Y3957" s="33"/>
      <c r="Z3957" s="33"/>
      <c r="AA3957" s="33"/>
      <c r="AB3957" s="33"/>
      <c r="AC3957" s="33"/>
      <c r="AD3957" s="33"/>
      <c r="AE3957" s="33"/>
      <c r="AF3957" s="33"/>
      <c r="AG3957" s="33"/>
      <c r="AH3957" s="33"/>
      <c r="AI3957" s="33"/>
      <c r="AJ3957" s="33"/>
      <c r="AK3957" s="33"/>
    </row>
    <row r="3958">
      <c r="A3958" s="33"/>
      <c r="B3958" s="33"/>
      <c r="C3958" s="33"/>
      <c r="D3958" s="33"/>
      <c r="E3958" s="33"/>
      <c r="F3958" s="33"/>
      <c r="G3958" s="33"/>
      <c r="H3958" s="33"/>
      <c r="I3958" s="33"/>
      <c r="J3958" s="33"/>
      <c r="K3958" s="33"/>
      <c r="L3958" s="33"/>
      <c r="M3958" s="33"/>
      <c r="N3958" s="33"/>
      <c r="O3958" s="33"/>
      <c r="P3958" s="33"/>
      <c r="Q3958" s="33"/>
      <c r="R3958" s="33"/>
      <c r="S3958" s="33"/>
      <c r="T3958" s="33"/>
      <c r="U3958" s="33"/>
      <c r="V3958" s="33"/>
      <c r="W3958" s="33"/>
      <c r="X3958" s="33"/>
      <c r="Y3958" s="33"/>
      <c r="Z3958" s="33"/>
      <c r="AA3958" s="33"/>
      <c r="AB3958" s="33"/>
      <c r="AC3958" s="33"/>
      <c r="AD3958" s="33"/>
      <c r="AE3958" s="33"/>
      <c r="AF3958" s="33"/>
      <c r="AG3958" s="33"/>
      <c r="AH3958" s="33"/>
      <c r="AI3958" s="33"/>
      <c r="AJ3958" s="33"/>
      <c r="AK3958" s="33"/>
    </row>
    <row r="3959">
      <c r="A3959" s="33"/>
      <c r="B3959" s="33"/>
      <c r="C3959" s="33"/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  <c r="Q3959" s="33"/>
      <c r="R3959" s="33"/>
      <c r="S3959" s="33"/>
      <c r="T3959" s="33"/>
      <c r="U3959" s="33"/>
      <c r="V3959" s="33"/>
      <c r="W3959" s="33"/>
      <c r="X3959" s="33"/>
      <c r="Y3959" s="33"/>
      <c r="Z3959" s="33"/>
      <c r="AA3959" s="33"/>
      <c r="AB3959" s="33"/>
      <c r="AC3959" s="33"/>
      <c r="AD3959" s="33"/>
      <c r="AE3959" s="33"/>
      <c r="AF3959" s="33"/>
      <c r="AG3959" s="33"/>
      <c r="AH3959" s="33"/>
      <c r="AI3959" s="33"/>
      <c r="AJ3959" s="33"/>
      <c r="AK3959" s="33"/>
    </row>
    <row r="3960">
      <c r="A3960" s="33"/>
      <c r="B3960" s="33"/>
      <c r="C3960" s="33"/>
      <c r="D3960" s="33"/>
      <c r="E3960" s="33"/>
      <c r="F3960" s="33"/>
      <c r="G3960" s="33"/>
      <c r="H3960" s="33"/>
      <c r="I3960" s="33"/>
      <c r="J3960" s="33"/>
      <c r="K3960" s="33"/>
      <c r="L3960" s="33"/>
      <c r="M3960" s="33"/>
      <c r="N3960" s="33"/>
      <c r="O3960" s="33"/>
      <c r="P3960" s="33"/>
      <c r="Q3960" s="33"/>
      <c r="R3960" s="33"/>
      <c r="S3960" s="33"/>
      <c r="T3960" s="33"/>
      <c r="U3960" s="33"/>
      <c r="V3960" s="33"/>
      <c r="W3960" s="33"/>
      <c r="X3960" s="33"/>
      <c r="Y3960" s="33"/>
      <c r="Z3960" s="33"/>
      <c r="AA3960" s="33"/>
      <c r="AB3960" s="33"/>
      <c r="AC3960" s="33"/>
      <c r="AD3960" s="33"/>
      <c r="AE3960" s="33"/>
      <c r="AF3960" s="33"/>
      <c r="AG3960" s="33"/>
      <c r="AH3960" s="33"/>
      <c r="AI3960" s="33"/>
      <c r="AJ3960" s="33"/>
      <c r="AK3960" s="33"/>
    </row>
    <row r="3961">
      <c r="A3961" s="33"/>
      <c r="B3961" s="33"/>
      <c r="C3961" s="33"/>
      <c r="D3961" s="33"/>
      <c r="E3961" s="33"/>
      <c r="F3961" s="33"/>
      <c r="G3961" s="33"/>
      <c r="H3961" s="33"/>
      <c r="I3961" s="33"/>
      <c r="J3961" s="33"/>
      <c r="K3961" s="33"/>
      <c r="L3961" s="33"/>
      <c r="M3961" s="33"/>
      <c r="N3961" s="33"/>
      <c r="O3961" s="33"/>
      <c r="P3961" s="33"/>
      <c r="Q3961" s="33"/>
      <c r="R3961" s="33"/>
      <c r="S3961" s="33"/>
      <c r="T3961" s="33"/>
      <c r="U3961" s="33"/>
      <c r="V3961" s="33"/>
      <c r="W3961" s="33"/>
      <c r="X3961" s="33"/>
      <c r="Y3961" s="33"/>
      <c r="Z3961" s="33"/>
      <c r="AA3961" s="33"/>
      <c r="AB3961" s="33"/>
      <c r="AC3961" s="33"/>
      <c r="AD3961" s="33"/>
      <c r="AE3961" s="33"/>
      <c r="AF3961" s="33"/>
      <c r="AG3961" s="33"/>
      <c r="AH3961" s="33"/>
      <c r="AI3961" s="33"/>
      <c r="AJ3961" s="33"/>
      <c r="AK3961" s="33"/>
    </row>
    <row r="3962">
      <c r="A3962" s="33"/>
      <c r="B3962" s="33"/>
      <c r="C3962" s="33"/>
      <c r="D3962" s="33"/>
      <c r="E3962" s="33"/>
      <c r="F3962" s="33"/>
      <c r="G3962" s="33"/>
      <c r="H3962" s="33"/>
      <c r="I3962" s="33"/>
      <c r="J3962" s="33"/>
      <c r="K3962" s="33"/>
      <c r="L3962" s="33"/>
      <c r="M3962" s="33"/>
      <c r="N3962" s="33"/>
      <c r="O3962" s="33"/>
      <c r="P3962" s="33"/>
      <c r="Q3962" s="33"/>
      <c r="R3962" s="33"/>
      <c r="S3962" s="33"/>
      <c r="T3962" s="33"/>
      <c r="U3962" s="33"/>
      <c r="V3962" s="33"/>
      <c r="W3962" s="33"/>
      <c r="X3962" s="33"/>
      <c r="Y3962" s="33"/>
      <c r="Z3962" s="33"/>
      <c r="AA3962" s="33"/>
      <c r="AB3962" s="33"/>
      <c r="AC3962" s="33"/>
      <c r="AD3962" s="33"/>
      <c r="AE3962" s="33"/>
      <c r="AF3962" s="33"/>
      <c r="AG3962" s="33"/>
      <c r="AH3962" s="33"/>
      <c r="AI3962" s="33"/>
      <c r="AJ3962" s="33"/>
      <c r="AK3962" s="33"/>
    </row>
    <row r="3963">
      <c r="A3963" s="33"/>
      <c r="B3963" s="33"/>
      <c r="C3963" s="33"/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  <c r="Q3963" s="33"/>
      <c r="R3963" s="33"/>
      <c r="S3963" s="33"/>
      <c r="T3963" s="33"/>
      <c r="U3963" s="33"/>
      <c r="V3963" s="33"/>
      <c r="W3963" s="33"/>
      <c r="X3963" s="33"/>
      <c r="Y3963" s="33"/>
      <c r="Z3963" s="33"/>
      <c r="AA3963" s="33"/>
      <c r="AB3963" s="33"/>
      <c r="AC3963" s="33"/>
      <c r="AD3963" s="33"/>
      <c r="AE3963" s="33"/>
      <c r="AF3963" s="33"/>
      <c r="AG3963" s="33"/>
      <c r="AH3963" s="33"/>
      <c r="AI3963" s="33"/>
      <c r="AJ3963" s="33"/>
      <c r="AK3963" s="33"/>
    </row>
    <row r="3964">
      <c r="A3964" s="33"/>
      <c r="B3964" s="33"/>
      <c r="C3964" s="33"/>
      <c r="D3964" s="33"/>
      <c r="E3964" s="33"/>
      <c r="F3964" s="33"/>
      <c r="G3964" s="33"/>
      <c r="H3964" s="33"/>
      <c r="I3964" s="33"/>
      <c r="J3964" s="33"/>
      <c r="K3964" s="33"/>
      <c r="L3964" s="33"/>
      <c r="M3964" s="33"/>
      <c r="N3964" s="33"/>
      <c r="O3964" s="33"/>
      <c r="P3964" s="33"/>
      <c r="Q3964" s="33"/>
      <c r="R3964" s="33"/>
      <c r="S3964" s="33"/>
      <c r="T3964" s="33"/>
      <c r="U3964" s="33"/>
      <c r="V3964" s="33"/>
      <c r="W3964" s="33"/>
      <c r="X3964" s="33"/>
      <c r="Y3964" s="33"/>
      <c r="Z3964" s="33"/>
      <c r="AA3964" s="33"/>
      <c r="AB3964" s="33"/>
      <c r="AC3964" s="33"/>
      <c r="AD3964" s="33"/>
      <c r="AE3964" s="33"/>
      <c r="AF3964" s="33"/>
      <c r="AG3964" s="33"/>
      <c r="AH3964" s="33"/>
      <c r="AI3964" s="33"/>
      <c r="AJ3964" s="33"/>
      <c r="AK3964" s="33"/>
    </row>
    <row r="3965">
      <c r="A3965" s="33"/>
      <c r="B3965" s="33"/>
      <c r="C3965" s="33"/>
      <c r="D3965" s="33"/>
      <c r="E3965" s="33"/>
      <c r="F3965" s="33"/>
      <c r="G3965" s="33"/>
      <c r="H3965" s="33"/>
      <c r="I3965" s="33"/>
      <c r="J3965" s="33"/>
      <c r="K3965" s="33"/>
      <c r="L3965" s="33"/>
      <c r="M3965" s="33"/>
      <c r="N3965" s="33"/>
      <c r="O3965" s="33"/>
      <c r="P3965" s="33"/>
      <c r="Q3965" s="33"/>
      <c r="R3965" s="33"/>
      <c r="S3965" s="33"/>
      <c r="T3965" s="33"/>
      <c r="U3965" s="33"/>
      <c r="V3965" s="33"/>
      <c r="W3965" s="33"/>
      <c r="X3965" s="33"/>
      <c r="Y3965" s="33"/>
      <c r="Z3965" s="33"/>
      <c r="AA3965" s="33"/>
      <c r="AB3965" s="33"/>
      <c r="AC3965" s="33"/>
      <c r="AD3965" s="33"/>
      <c r="AE3965" s="33"/>
      <c r="AF3965" s="33"/>
      <c r="AG3965" s="33"/>
      <c r="AH3965" s="33"/>
      <c r="AI3965" s="33"/>
      <c r="AJ3965" s="33"/>
      <c r="AK3965" s="33"/>
    </row>
    <row r="3966">
      <c r="A3966" s="33"/>
      <c r="B3966" s="33"/>
      <c r="C3966" s="33"/>
      <c r="D3966" s="33"/>
      <c r="E3966" s="33"/>
      <c r="F3966" s="33"/>
      <c r="G3966" s="33"/>
      <c r="H3966" s="33"/>
      <c r="I3966" s="33"/>
      <c r="J3966" s="33"/>
      <c r="K3966" s="33"/>
      <c r="L3966" s="33"/>
      <c r="M3966" s="33"/>
      <c r="N3966" s="33"/>
      <c r="O3966" s="33"/>
      <c r="P3966" s="33"/>
      <c r="Q3966" s="33"/>
      <c r="R3966" s="33"/>
      <c r="S3966" s="33"/>
      <c r="T3966" s="33"/>
      <c r="U3966" s="33"/>
      <c r="V3966" s="33"/>
      <c r="W3966" s="33"/>
      <c r="X3966" s="33"/>
      <c r="Y3966" s="33"/>
      <c r="Z3966" s="33"/>
      <c r="AA3966" s="33"/>
      <c r="AB3966" s="33"/>
      <c r="AC3966" s="33"/>
      <c r="AD3966" s="33"/>
      <c r="AE3966" s="33"/>
      <c r="AF3966" s="33"/>
      <c r="AG3966" s="33"/>
      <c r="AH3966" s="33"/>
      <c r="AI3966" s="33"/>
      <c r="AJ3966" s="33"/>
      <c r="AK3966" s="33"/>
    </row>
    <row r="3967">
      <c r="A3967" s="33"/>
      <c r="B3967" s="33"/>
      <c r="C3967" s="33"/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  <c r="Q3967" s="33"/>
      <c r="R3967" s="33"/>
      <c r="S3967" s="33"/>
      <c r="T3967" s="33"/>
      <c r="U3967" s="33"/>
      <c r="V3967" s="33"/>
      <c r="W3967" s="33"/>
      <c r="X3967" s="33"/>
      <c r="Y3967" s="33"/>
      <c r="Z3967" s="33"/>
      <c r="AA3967" s="33"/>
      <c r="AB3967" s="33"/>
      <c r="AC3967" s="33"/>
      <c r="AD3967" s="33"/>
      <c r="AE3967" s="33"/>
      <c r="AF3967" s="33"/>
      <c r="AG3967" s="33"/>
      <c r="AH3967" s="33"/>
      <c r="AI3967" s="33"/>
      <c r="AJ3967" s="33"/>
      <c r="AK3967" s="33"/>
    </row>
    <row r="3968">
      <c r="A3968" s="33"/>
      <c r="B3968" s="33"/>
      <c r="C3968" s="33"/>
      <c r="D3968" s="33"/>
      <c r="E3968" s="33"/>
      <c r="F3968" s="33"/>
      <c r="G3968" s="33"/>
      <c r="H3968" s="33"/>
      <c r="I3968" s="33"/>
      <c r="J3968" s="33"/>
      <c r="K3968" s="33"/>
      <c r="L3968" s="33"/>
      <c r="M3968" s="33"/>
      <c r="N3968" s="33"/>
      <c r="O3968" s="33"/>
      <c r="P3968" s="33"/>
      <c r="Q3968" s="33"/>
      <c r="R3968" s="33"/>
      <c r="S3968" s="33"/>
      <c r="T3968" s="33"/>
      <c r="U3968" s="33"/>
      <c r="V3968" s="33"/>
      <c r="W3968" s="33"/>
      <c r="X3968" s="33"/>
      <c r="Y3968" s="33"/>
      <c r="Z3968" s="33"/>
      <c r="AA3968" s="33"/>
      <c r="AB3968" s="33"/>
      <c r="AC3968" s="33"/>
      <c r="AD3968" s="33"/>
      <c r="AE3968" s="33"/>
      <c r="AF3968" s="33"/>
      <c r="AG3968" s="33"/>
      <c r="AH3968" s="33"/>
      <c r="AI3968" s="33"/>
      <c r="AJ3968" s="33"/>
      <c r="AK3968" s="33"/>
    </row>
    <row r="3969">
      <c r="A3969" s="33"/>
      <c r="B3969" s="33"/>
      <c r="C3969" s="33"/>
      <c r="D3969" s="33"/>
      <c r="E3969" s="33"/>
      <c r="F3969" s="33"/>
      <c r="G3969" s="33"/>
      <c r="H3969" s="33"/>
      <c r="I3969" s="33"/>
      <c r="J3969" s="33"/>
      <c r="K3969" s="33"/>
      <c r="L3969" s="33"/>
      <c r="M3969" s="33"/>
      <c r="N3969" s="33"/>
      <c r="O3969" s="33"/>
      <c r="P3969" s="33"/>
      <c r="Q3969" s="33"/>
      <c r="R3969" s="33"/>
      <c r="S3969" s="33"/>
      <c r="T3969" s="33"/>
      <c r="U3969" s="33"/>
      <c r="V3969" s="33"/>
      <c r="W3969" s="33"/>
      <c r="X3969" s="33"/>
      <c r="Y3969" s="33"/>
      <c r="Z3969" s="33"/>
      <c r="AA3969" s="33"/>
      <c r="AB3969" s="33"/>
      <c r="AC3969" s="33"/>
      <c r="AD3969" s="33"/>
      <c r="AE3969" s="33"/>
      <c r="AF3969" s="33"/>
      <c r="AG3969" s="33"/>
      <c r="AH3969" s="33"/>
      <c r="AI3969" s="33"/>
      <c r="AJ3969" s="33"/>
      <c r="AK3969" s="33"/>
    </row>
    <row r="3970">
      <c r="A3970" s="33"/>
      <c r="B3970" s="33"/>
      <c r="C3970" s="33"/>
      <c r="D3970" s="33"/>
      <c r="E3970" s="33"/>
      <c r="F3970" s="33"/>
      <c r="G3970" s="33"/>
      <c r="H3970" s="33"/>
      <c r="I3970" s="33"/>
      <c r="J3970" s="33"/>
      <c r="K3970" s="33"/>
      <c r="L3970" s="33"/>
      <c r="M3970" s="33"/>
      <c r="N3970" s="33"/>
      <c r="O3970" s="33"/>
      <c r="P3970" s="33"/>
      <c r="Q3970" s="33"/>
      <c r="R3970" s="33"/>
      <c r="S3970" s="33"/>
      <c r="T3970" s="33"/>
      <c r="U3970" s="33"/>
      <c r="V3970" s="33"/>
      <c r="W3970" s="33"/>
      <c r="X3970" s="33"/>
      <c r="Y3970" s="33"/>
      <c r="Z3970" s="33"/>
      <c r="AA3970" s="33"/>
      <c r="AB3970" s="33"/>
      <c r="AC3970" s="33"/>
      <c r="AD3970" s="33"/>
      <c r="AE3970" s="33"/>
      <c r="AF3970" s="33"/>
      <c r="AG3970" s="33"/>
      <c r="AH3970" s="33"/>
      <c r="AI3970" s="33"/>
      <c r="AJ3970" s="33"/>
      <c r="AK3970" s="33"/>
    </row>
    <row r="3971">
      <c r="A3971" s="33"/>
      <c r="B3971" s="33"/>
      <c r="C3971" s="33"/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  <c r="Q3971" s="33"/>
      <c r="R3971" s="33"/>
      <c r="S3971" s="33"/>
      <c r="T3971" s="33"/>
      <c r="U3971" s="33"/>
      <c r="V3971" s="33"/>
      <c r="W3971" s="33"/>
      <c r="X3971" s="33"/>
      <c r="Y3971" s="33"/>
      <c r="Z3971" s="33"/>
      <c r="AA3971" s="33"/>
      <c r="AB3971" s="33"/>
      <c r="AC3971" s="33"/>
      <c r="AD3971" s="33"/>
      <c r="AE3971" s="33"/>
      <c r="AF3971" s="33"/>
      <c r="AG3971" s="33"/>
      <c r="AH3971" s="33"/>
      <c r="AI3971" s="33"/>
      <c r="AJ3971" s="33"/>
      <c r="AK3971" s="33"/>
    </row>
    <row r="3972">
      <c r="A3972" s="33"/>
      <c r="B3972" s="33"/>
      <c r="C3972" s="33"/>
      <c r="D3972" s="33"/>
      <c r="E3972" s="33"/>
      <c r="F3972" s="33"/>
      <c r="G3972" s="33"/>
      <c r="H3972" s="33"/>
      <c r="I3972" s="33"/>
      <c r="J3972" s="33"/>
      <c r="K3972" s="33"/>
      <c r="L3972" s="33"/>
      <c r="M3972" s="33"/>
      <c r="N3972" s="33"/>
      <c r="O3972" s="33"/>
      <c r="P3972" s="33"/>
      <c r="Q3972" s="33"/>
      <c r="R3972" s="33"/>
      <c r="S3972" s="33"/>
      <c r="T3972" s="33"/>
      <c r="U3972" s="33"/>
      <c r="V3972" s="33"/>
      <c r="W3972" s="33"/>
      <c r="X3972" s="33"/>
      <c r="Y3972" s="33"/>
      <c r="Z3972" s="33"/>
      <c r="AA3972" s="33"/>
      <c r="AB3972" s="33"/>
      <c r="AC3972" s="33"/>
      <c r="AD3972" s="33"/>
      <c r="AE3972" s="33"/>
      <c r="AF3972" s="33"/>
      <c r="AG3972" s="33"/>
      <c r="AH3972" s="33"/>
      <c r="AI3972" s="33"/>
      <c r="AJ3972" s="33"/>
      <c r="AK3972" s="33"/>
    </row>
    <row r="3973">
      <c r="A3973" s="33"/>
      <c r="B3973" s="33"/>
      <c r="C3973" s="33"/>
      <c r="D3973" s="33"/>
      <c r="E3973" s="33"/>
      <c r="F3973" s="33"/>
      <c r="G3973" s="33"/>
      <c r="H3973" s="33"/>
      <c r="I3973" s="33"/>
      <c r="J3973" s="33"/>
      <c r="K3973" s="33"/>
      <c r="L3973" s="33"/>
      <c r="M3973" s="33"/>
      <c r="N3973" s="33"/>
      <c r="O3973" s="33"/>
      <c r="P3973" s="33"/>
      <c r="Q3973" s="33"/>
      <c r="R3973" s="33"/>
      <c r="S3973" s="33"/>
      <c r="T3973" s="33"/>
      <c r="U3973" s="33"/>
      <c r="V3973" s="33"/>
      <c r="W3973" s="33"/>
      <c r="X3973" s="33"/>
      <c r="Y3973" s="33"/>
      <c r="Z3973" s="33"/>
      <c r="AA3973" s="33"/>
      <c r="AB3973" s="33"/>
      <c r="AC3973" s="33"/>
      <c r="AD3973" s="33"/>
      <c r="AE3973" s="33"/>
      <c r="AF3973" s="33"/>
      <c r="AG3973" s="33"/>
      <c r="AH3973" s="33"/>
      <c r="AI3973" s="33"/>
      <c r="AJ3973" s="33"/>
      <c r="AK3973" s="33"/>
    </row>
    <row r="3974">
      <c r="A3974" s="33"/>
      <c r="B3974" s="33"/>
      <c r="C3974" s="33"/>
      <c r="D3974" s="33"/>
      <c r="E3974" s="33"/>
      <c r="F3974" s="33"/>
      <c r="G3974" s="33"/>
      <c r="H3974" s="33"/>
      <c r="I3974" s="33"/>
      <c r="J3974" s="33"/>
      <c r="K3974" s="33"/>
      <c r="L3974" s="33"/>
      <c r="M3974" s="33"/>
      <c r="N3974" s="33"/>
      <c r="O3974" s="33"/>
      <c r="P3974" s="33"/>
      <c r="Q3974" s="33"/>
      <c r="R3974" s="33"/>
      <c r="S3974" s="33"/>
      <c r="T3974" s="33"/>
      <c r="U3974" s="33"/>
      <c r="V3974" s="33"/>
      <c r="W3974" s="33"/>
      <c r="X3974" s="33"/>
      <c r="Y3974" s="33"/>
      <c r="Z3974" s="33"/>
      <c r="AA3974" s="33"/>
      <c r="AB3974" s="33"/>
      <c r="AC3974" s="33"/>
      <c r="AD3974" s="33"/>
      <c r="AE3974" s="33"/>
      <c r="AF3974" s="33"/>
      <c r="AG3974" s="33"/>
      <c r="AH3974" s="33"/>
      <c r="AI3974" s="33"/>
      <c r="AJ3974" s="33"/>
      <c r="AK3974" s="33"/>
    </row>
    <row r="3975">
      <c r="A3975" s="33"/>
      <c r="B3975" s="33"/>
      <c r="C3975" s="33"/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33"/>
      <c r="V3975" s="33"/>
      <c r="W3975" s="33"/>
      <c r="X3975" s="33"/>
      <c r="Y3975" s="33"/>
      <c r="Z3975" s="33"/>
      <c r="AA3975" s="33"/>
      <c r="AB3975" s="33"/>
      <c r="AC3975" s="33"/>
      <c r="AD3975" s="33"/>
      <c r="AE3975" s="33"/>
      <c r="AF3975" s="33"/>
      <c r="AG3975" s="33"/>
      <c r="AH3975" s="33"/>
      <c r="AI3975" s="33"/>
      <c r="AJ3975" s="33"/>
      <c r="AK3975" s="33"/>
    </row>
    <row r="3976">
      <c r="A3976" s="33"/>
      <c r="B3976" s="33"/>
      <c r="C3976" s="33"/>
      <c r="D3976" s="33"/>
      <c r="E3976" s="33"/>
      <c r="F3976" s="33"/>
      <c r="G3976" s="33"/>
      <c r="H3976" s="33"/>
      <c r="I3976" s="33"/>
      <c r="J3976" s="33"/>
      <c r="K3976" s="33"/>
      <c r="L3976" s="33"/>
      <c r="M3976" s="33"/>
      <c r="N3976" s="33"/>
      <c r="O3976" s="33"/>
      <c r="P3976" s="33"/>
      <c r="Q3976" s="33"/>
      <c r="R3976" s="33"/>
      <c r="S3976" s="33"/>
      <c r="T3976" s="33"/>
      <c r="U3976" s="33"/>
      <c r="V3976" s="33"/>
      <c r="W3976" s="33"/>
      <c r="X3976" s="33"/>
      <c r="Y3976" s="33"/>
      <c r="Z3976" s="33"/>
      <c r="AA3976" s="33"/>
      <c r="AB3976" s="33"/>
      <c r="AC3976" s="33"/>
      <c r="AD3976" s="33"/>
      <c r="AE3976" s="33"/>
      <c r="AF3976" s="33"/>
      <c r="AG3976" s="33"/>
      <c r="AH3976" s="33"/>
      <c r="AI3976" s="33"/>
      <c r="AJ3976" s="33"/>
      <c r="AK3976" s="33"/>
    </row>
    <row r="3977">
      <c r="A3977" s="33"/>
      <c r="B3977" s="33"/>
      <c r="C3977" s="33"/>
      <c r="D3977" s="33"/>
      <c r="E3977" s="33"/>
      <c r="F3977" s="33"/>
      <c r="G3977" s="33"/>
      <c r="H3977" s="33"/>
      <c r="I3977" s="33"/>
      <c r="J3977" s="33"/>
      <c r="K3977" s="33"/>
      <c r="L3977" s="33"/>
      <c r="M3977" s="33"/>
      <c r="N3977" s="33"/>
      <c r="O3977" s="33"/>
      <c r="P3977" s="33"/>
      <c r="Q3977" s="33"/>
      <c r="R3977" s="33"/>
      <c r="S3977" s="33"/>
      <c r="T3977" s="33"/>
      <c r="U3977" s="33"/>
      <c r="V3977" s="33"/>
      <c r="W3977" s="33"/>
      <c r="X3977" s="33"/>
      <c r="Y3977" s="33"/>
      <c r="Z3977" s="33"/>
      <c r="AA3977" s="33"/>
      <c r="AB3977" s="33"/>
      <c r="AC3977" s="33"/>
      <c r="AD3977" s="33"/>
      <c r="AE3977" s="33"/>
      <c r="AF3977" s="33"/>
      <c r="AG3977" s="33"/>
      <c r="AH3977" s="33"/>
      <c r="AI3977" s="33"/>
      <c r="AJ3977" s="33"/>
      <c r="AK3977" s="33"/>
    </row>
    <row r="3978">
      <c r="A3978" s="33"/>
      <c r="B3978" s="33"/>
      <c r="C3978" s="33"/>
      <c r="D3978" s="33"/>
      <c r="E3978" s="33"/>
      <c r="F3978" s="33"/>
      <c r="G3978" s="33"/>
      <c r="H3978" s="33"/>
      <c r="I3978" s="33"/>
      <c r="J3978" s="33"/>
      <c r="K3978" s="33"/>
      <c r="L3978" s="33"/>
      <c r="M3978" s="33"/>
      <c r="N3978" s="33"/>
      <c r="O3978" s="33"/>
      <c r="P3978" s="33"/>
      <c r="Q3978" s="33"/>
      <c r="R3978" s="33"/>
      <c r="S3978" s="33"/>
      <c r="T3978" s="33"/>
      <c r="U3978" s="33"/>
      <c r="V3978" s="33"/>
      <c r="W3978" s="33"/>
      <c r="X3978" s="33"/>
      <c r="Y3978" s="33"/>
      <c r="Z3978" s="33"/>
      <c r="AA3978" s="33"/>
      <c r="AB3978" s="33"/>
      <c r="AC3978" s="33"/>
      <c r="AD3978" s="33"/>
      <c r="AE3978" s="33"/>
      <c r="AF3978" s="33"/>
      <c r="AG3978" s="33"/>
      <c r="AH3978" s="33"/>
      <c r="AI3978" s="33"/>
      <c r="AJ3978" s="33"/>
      <c r="AK3978" s="33"/>
    </row>
    <row r="3979">
      <c r="A3979" s="33"/>
      <c r="B3979" s="33"/>
      <c r="C3979" s="33"/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  <c r="Q3979" s="33"/>
      <c r="R3979" s="33"/>
      <c r="S3979" s="33"/>
      <c r="T3979" s="33"/>
      <c r="U3979" s="33"/>
      <c r="V3979" s="33"/>
      <c r="W3979" s="33"/>
      <c r="X3979" s="33"/>
      <c r="Y3979" s="33"/>
      <c r="Z3979" s="33"/>
      <c r="AA3979" s="33"/>
      <c r="AB3979" s="33"/>
      <c r="AC3979" s="33"/>
      <c r="AD3979" s="33"/>
      <c r="AE3979" s="33"/>
      <c r="AF3979" s="33"/>
      <c r="AG3979" s="33"/>
      <c r="AH3979" s="33"/>
      <c r="AI3979" s="33"/>
      <c r="AJ3979" s="33"/>
      <c r="AK3979" s="33"/>
    </row>
    <row r="3980">
      <c r="A3980" s="33"/>
      <c r="B3980" s="33"/>
      <c r="C3980" s="33"/>
      <c r="D3980" s="33"/>
      <c r="E3980" s="33"/>
      <c r="F3980" s="33"/>
      <c r="G3980" s="33"/>
      <c r="H3980" s="33"/>
      <c r="I3980" s="33"/>
      <c r="J3980" s="33"/>
      <c r="K3980" s="33"/>
      <c r="L3980" s="33"/>
      <c r="M3980" s="33"/>
      <c r="N3980" s="33"/>
      <c r="O3980" s="33"/>
      <c r="P3980" s="33"/>
      <c r="Q3980" s="33"/>
      <c r="R3980" s="33"/>
      <c r="S3980" s="33"/>
      <c r="T3980" s="33"/>
      <c r="U3980" s="33"/>
      <c r="V3980" s="33"/>
      <c r="W3980" s="33"/>
      <c r="X3980" s="33"/>
      <c r="Y3980" s="33"/>
      <c r="Z3980" s="33"/>
      <c r="AA3980" s="33"/>
      <c r="AB3980" s="33"/>
      <c r="AC3980" s="33"/>
      <c r="AD3980" s="33"/>
      <c r="AE3980" s="33"/>
      <c r="AF3980" s="33"/>
      <c r="AG3980" s="33"/>
      <c r="AH3980" s="33"/>
      <c r="AI3980" s="33"/>
      <c r="AJ3980" s="33"/>
      <c r="AK3980" s="33"/>
    </row>
    <row r="3981">
      <c r="A3981" s="33"/>
      <c r="B3981" s="33"/>
      <c r="C3981" s="33"/>
      <c r="D3981" s="33"/>
      <c r="E3981" s="33"/>
      <c r="F3981" s="33"/>
      <c r="G3981" s="33"/>
      <c r="H3981" s="33"/>
      <c r="I3981" s="33"/>
      <c r="J3981" s="33"/>
      <c r="K3981" s="33"/>
      <c r="L3981" s="33"/>
      <c r="M3981" s="33"/>
      <c r="N3981" s="33"/>
      <c r="O3981" s="33"/>
      <c r="P3981" s="33"/>
      <c r="Q3981" s="33"/>
      <c r="R3981" s="33"/>
      <c r="S3981" s="33"/>
      <c r="T3981" s="33"/>
      <c r="U3981" s="33"/>
      <c r="V3981" s="33"/>
      <c r="W3981" s="33"/>
      <c r="X3981" s="33"/>
      <c r="Y3981" s="33"/>
      <c r="Z3981" s="33"/>
      <c r="AA3981" s="33"/>
      <c r="AB3981" s="33"/>
      <c r="AC3981" s="33"/>
      <c r="AD3981" s="33"/>
      <c r="AE3981" s="33"/>
      <c r="AF3981" s="33"/>
      <c r="AG3981" s="33"/>
      <c r="AH3981" s="33"/>
      <c r="AI3981" s="33"/>
      <c r="AJ3981" s="33"/>
      <c r="AK3981" s="33"/>
    </row>
    <row r="3982">
      <c r="A3982" s="33"/>
      <c r="B3982" s="33"/>
      <c r="C3982" s="33"/>
      <c r="D3982" s="33"/>
      <c r="E3982" s="33"/>
      <c r="F3982" s="33"/>
      <c r="G3982" s="33"/>
      <c r="H3982" s="33"/>
      <c r="I3982" s="33"/>
      <c r="J3982" s="33"/>
      <c r="K3982" s="33"/>
      <c r="L3982" s="33"/>
      <c r="M3982" s="33"/>
      <c r="N3982" s="33"/>
      <c r="O3982" s="33"/>
      <c r="P3982" s="33"/>
      <c r="Q3982" s="33"/>
      <c r="R3982" s="33"/>
      <c r="S3982" s="33"/>
      <c r="T3982" s="33"/>
      <c r="U3982" s="33"/>
      <c r="V3982" s="33"/>
      <c r="W3982" s="33"/>
      <c r="X3982" s="33"/>
      <c r="Y3982" s="33"/>
      <c r="Z3982" s="33"/>
      <c r="AA3982" s="33"/>
      <c r="AB3982" s="33"/>
      <c r="AC3982" s="33"/>
      <c r="AD3982" s="33"/>
      <c r="AE3982" s="33"/>
      <c r="AF3982" s="33"/>
      <c r="AG3982" s="33"/>
      <c r="AH3982" s="33"/>
      <c r="AI3982" s="33"/>
      <c r="AJ3982" s="33"/>
      <c r="AK3982" s="33"/>
    </row>
    <row r="3983">
      <c r="A3983" s="33"/>
      <c r="B3983" s="33"/>
      <c r="C3983" s="33"/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  <c r="Q3983" s="33"/>
      <c r="R3983" s="33"/>
      <c r="S3983" s="33"/>
      <c r="T3983" s="33"/>
      <c r="U3983" s="33"/>
      <c r="V3983" s="33"/>
      <c r="W3983" s="33"/>
      <c r="X3983" s="33"/>
      <c r="Y3983" s="33"/>
      <c r="Z3983" s="33"/>
      <c r="AA3983" s="33"/>
      <c r="AB3983" s="33"/>
      <c r="AC3983" s="33"/>
      <c r="AD3983" s="33"/>
      <c r="AE3983" s="33"/>
      <c r="AF3983" s="33"/>
      <c r="AG3983" s="33"/>
      <c r="AH3983" s="33"/>
      <c r="AI3983" s="33"/>
      <c r="AJ3983" s="33"/>
      <c r="AK3983" s="33"/>
    </row>
    <row r="3984">
      <c r="A3984" s="33"/>
      <c r="B3984" s="33"/>
      <c r="C3984" s="33"/>
      <c r="D3984" s="33"/>
      <c r="E3984" s="33"/>
      <c r="F3984" s="33"/>
      <c r="G3984" s="33"/>
      <c r="H3984" s="33"/>
      <c r="I3984" s="33"/>
      <c r="J3984" s="33"/>
      <c r="K3984" s="33"/>
      <c r="L3984" s="33"/>
      <c r="M3984" s="33"/>
      <c r="N3984" s="33"/>
      <c r="O3984" s="33"/>
      <c r="P3984" s="33"/>
      <c r="Q3984" s="33"/>
      <c r="R3984" s="33"/>
      <c r="S3984" s="33"/>
      <c r="T3984" s="33"/>
      <c r="U3984" s="33"/>
      <c r="V3984" s="33"/>
      <c r="W3984" s="33"/>
      <c r="X3984" s="33"/>
      <c r="Y3984" s="33"/>
      <c r="Z3984" s="33"/>
      <c r="AA3984" s="33"/>
      <c r="AB3984" s="33"/>
      <c r="AC3984" s="33"/>
      <c r="AD3984" s="33"/>
      <c r="AE3984" s="33"/>
      <c r="AF3984" s="33"/>
      <c r="AG3984" s="33"/>
      <c r="AH3984" s="33"/>
      <c r="AI3984" s="33"/>
      <c r="AJ3984" s="33"/>
      <c r="AK3984" s="33"/>
    </row>
    <row r="3985">
      <c r="A3985" s="33"/>
      <c r="B3985" s="33"/>
      <c r="C3985" s="33"/>
      <c r="D3985" s="33"/>
      <c r="E3985" s="33"/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33"/>
      <c r="Q3985" s="33"/>
      <c r="R3985" s="33"/>
      <c r="S3985" s="33"/>
      <c r="T3985" s="33"/>
      <c r="U3985" s="33"/>
      <c r="V3985" s="33"/>
      <c r="W3985" s="33"/>
      <c r="X3985" s="33"/>
      <c r="Y3985" s="33"/>
      <c r="Z3985" s="33"/>
      <c r="AA3985" s="33"/>
      <c r="AB3985" s="33"/>
      <c r="AC3985" s="33"/>
      <c r="AD3985" s="33"/>
      <c r="AE3985" s="33"/>
      <c r="AF3985" s="33"/>
      <c r="AG3985" s="33"/>
      <c r="AH3985" s="33"/>
      <c r="AI3985" s="33"/>
      <c r="AJ3985" s="33"/>
      <c r="AK3985" s="33"/>
    </row>
    <row r="3986">
      <c r="A3986" s="33"/>
      <c r="B3986" s="33"/>
      <c r="C3986" s="33"/>
      <c r="D3986" s="33"/>
      <c r="E3986" s="33"/>
      <c r="F3986" s="33"/>
      <c r="G3986" s="33"/>
      <c r="H3986" s="33"/>
      <c r="I3986" s="33"/>
      <c r="J3986" s="33"/>
      <c r="K3986" s="33"/>
      <c r="L3986" s="33"/>
      <c r="M3986" s="33"/>
      <c r="N3986" s="33"/>
      <c r="O3986" s="33"/>
      <c r="P3986" s="33"/>
      <c r="Q3986" s="33"/>
      <c r="R3986" s="33"/>
      <c r="S3986" s="33"/>
      <c r="T3986" s="33"/>
      <c r="U3986" s="33"/>
      <c r="V3986" s="33"/>
      <c r="W3986" s="33"/>
      <c r="X3986" s="33"/>
      <c r="Y3986" s="33"/>
      <c r="Z3986" s="33"/>
      <c r="AA3986" s="33"/>
      <c r="AB3986" s="33"/>
      <c r="AC3986" s="33"/>
      <c r="AD3986" s="33"/>
      <c r="AE3986" s="33"/>
      <c r="AF3986" s="33"/>
      <c r="AG3986" s="33"/>
      <c r="AH3986" s="33"/>
      <c r="AI3986" s="33"/>
      <c r="AJ3986" s="33"/>
      <c r="AK3986" s="33"/>
    </row>
    <row r="3987">
      <c r="A3987" s="33"/>
      <c r="B3987" s="33"/>
      <c r="C3987" s="33"/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  <c r="Q3987" s="33"/>
      <c r="R3987" s="33"/>
      <c r="S3987" s="33"/>
      <c r="T3987" s="33"/>
      <c r="U3987" s="33"/>
      <c r="V3987" s="33"/>
      <c r="W3987" s="33"/>
      <c r="X3987" s="33"/>
      <c r="Y3987" s="33"/>
      <c r="Z3987" s="33"/>
      <c r="AA3987" s="33"/>
      <c r="AB3987" s="33"/>
      <c r="AC3987" s="33"/>
      <c r="AD3987" s="33"/>
      <c r="AE3987" s="33"/>
      <c r="AF3987" s="33"/>
      <c r="AG3987" s="33"/>
      <c r="AH3987" s="33"/>
      <c r="AI3987" s="33"/>
      <c r="AJ3987" s="33"/>
      <c r="AK3987" s="33"/>
    </row>
    <row r="3988">
      <c r="A3988" s="33"/>
      <c r="B3988" s="33"/>
      <c r="C3988" s="33"/>
      <c r="D3988" s="33"/>
      <c r="E3988" s="33"/>
      <c r="F3988" s="33"/>
      <c r="G3988" s="33"/>
      <c r="H3988" s="33"/>
      <c r="I3988" s="33"/>
      <c r="J3988" s="33"/>
      <c r="K3988" s="33"/>
      <c r="L3988" s="33"/>
      <c r="M3988" s="33"/>
      <c r="N3988" s="33"/>
      <c r="O3988" s="33"/>
      <c r="P3988" s="33"/>
      <c r="Q3988" s="33"/>
      <c r="R3988" s="33"/>
      <c r="S3988" s="33"/>
      <c r="T3988" s="33"/>
      <c r="U3988" s="33"/>
      <c r="V3988" s="33"/>
      <c r="W3988" s="33"/>
      <c r="X3988" s="33"/>
      <c r="Y3988" s="33"/>
      <c r="Z3988" s="33"/>
      <c r="AA3988" s="33"/>
      <c r="AB3988" s="33"/>
      <c r="AC3988" s="33"/>
      <c r="AD3988" s="33"/>
      <c r="AE3988" s="33"/>
      <c r="AF3988" s="33"/>
      <c r="AG3988" s="33"/>
      <c r="AH3988" s="33"/>
      <c r="AI3988" s="33"/>
      <c r="AJ3988" s="33"/>
      <c r="AK3988" s="33"/>
    </row>
    <row r="3989">
      <c r="A3989" s="33"/>
      <c r="B3989" s="33"/>
      <c r="C3989" s="33"/>
      <c r="D3989" s="33"/>
      <c r="E3989" s="33"/>
      <c r="F3989" s="33"/>
      <c r="G3989" s="33"/>
      <c r="H3989" s="33"/>
      <c r="I3989" s="33"/>
      <c r="J3989" s="33"/>
      <c r="K3989" s="33"/>
      <c r="L3989" s="33"/>
      <c r="M3989" s="33"/>
      <c r="N3989" s="33"/>
      <c r="O3989" s="33"/>
      <c r="P3989" s="33"/>
      <c r="Q3989" s="33"/>
      <c r="R3989" s="33"/>
      <c r="S3989" s="33"/>
      <c r="T3989" s="33"/>
      <c r="U3989" s="33"/>
      <c r="V3989" s="33"/>
      <c r="W3989" s="33"/>
      <c r="X3989" s="33"/>
      <c r="Y3989" s="33"/>
      <c r="Z3989" s="33"/>
      <c r="AA3989" s="33"/>
      <c r="AB3989" s="33"/>
      <c r="AC3989" s="33"/>
      <c r="AD3989" s="33"/>
      <c r="AE3989" s="33"/>
      <c r="AF3989" s="33"/>
      <c r="AG3989" s="33"/>
      <c r="AH3989" s="33"/>
      <c r="AI3989" s="33"/>
      <c r="AJ3989" s="33"/>
      <c r="AK3989" s="33"/>
    </row>
    <row r="3990">
      <c r="A3990" s="33"/>
      <c r="B3990" s="33"/>
      <c r="C3990" s="33"/>
      <c r="D3990" s="33"/>
      <c r="E3990" s="33"/>
      <c r="F3990" s="33"/>
      <c r="G3990" s="33"/>
      <c r="H3990" s="33"/>
      <c r="I3990" s="33"/>
      <c r="J3990" s="33"/>
      <c r="K3990" s="33"/>
      <c r="L3990" s="33"/>
      <c r="M3990" s="33"/>
      <c r="N3990" s="33"/>
      <c r="O3990" s="33"/>
      <c r="P3990" s="33"/>
      <c r="Q3990" s="33"/>
      <c r="R3990" s="33"/>
      <c r="S3990" s="33"/>
      <c r="T3990" s="33"/>
      <c r="U3990" s="33"/>
      <c r="V3990" s="33"/>
      <c r="W3990" s="33"/>
      <c r="X3990" s="33"/>
      <c r="Y3990" s="33"/>
      <c r="Z3990" s="33"/>
      <c r="AA3990" s="33"/>
      <c r="AB3990" s="33"/>
      <c r="AC3990" s="33"/>
      <c r="AD3990" s="33"/>
      <c r="AE3990" s="33"/>
      <c r="AF3990" s="33"/>
      <c r="AG3990" s="33"/>
      <c r="AH3990" s="33"/>
      <c r="AI3990" s="33"/>
      <c r="AJ3990" s="33"/>
      <c r="AK3990" s="33"/>
    </row>
    <row r="3991">
      <c r="A3991" s="33"/>
      <c r="B3991" s="33"/>
      <c r="C3991" s="33"/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  <c r="Q3991" s="33"/>
      <c r="R3991" s="33"/>
      <c r="S3991" s="33"/>
      <c r="T3991" s="33"/>
      <c r="U3991" s="33"/>
      <c r="V3991" s="33"/>
      <c r="W3991" s="33"/>
      <c r="X3991" s="33"/>
      <c r="Y3991" s="33"/>
      <c r="Z3991" s="33"/>
      <c r="AA3991" s="33"/>
      <c r="AB3991" s="33"/>
      <c r="AC3991" s="33"/>
      <c r="AD3991" s="33"/>
      <c r="AE3991" s="33"/>
      <c r="AF3991" s="33"/>
      <c r="AG3991" s="33"/>
      <c r="AH3991" s="33"/>
      <c r="AI3991" s="33"/>
      <c r="AJ3991" s="33"/>
      <c r="AK3991" s="33"/>
    </row>
    <row r="3992">
      <c r="A3992" s="33"/>
      <c r="B3992" s="33"/>
      <c r="C3992" s="33"/>
      <c r="D3992" s="33"/>
      <c r="E3992" s="33"/>
      <c r="F3992" s="33"/>
      <c r="G3992" s="33"/>
      <c r="H3992" s="33"/>
      <c r="I3992" s="33"/>
      <c r="J3992" s="33"/>
      <c r="K3992" s="33"/>
      <c r="L3992" s="33"/>
      <c r="M3992" s="33"/>
      <c r="N3992" s="33"/>
      <c r="O3992" s="33"/>
      <c r="P3992" s="33"/>
      <c r="Q3992" s="33"/>
      <c r="R3992" s="33"/>
      <c r="S3992" s="33"/>
      <c r="T3992" s="33"/>
      <c r="U3992" s="33"/>
      <c r="V3992" s="33"/>
      <c r="W3992" s="33"/>
      <c r="X3992" s="33"/>
      <c r="Y3992" s="33"/>
      <c r="Z3992" s="33"/>
      <c r="AA3992" s="33"/>
      <c r="AB3992" s="33"/>
      <c r="AC3992" s="33"/>
      <c r="AD3992" s="33"/>
      <c r="AE3992" s="33"/>
      <c r="AF3992" s="33"/>
      <c r="AG3992" s="33"/>
      <c r="AH3992" s="33"/>
      <c r="AI3992" s="33"/>
      <c r="AJ3992" s="33"/>
      <c r="AK3992" s="33"/>
    </row>
    <row r="3993">
      <c r="A3993" s="33"/>
      <c r="B3993" s="33"/>
      <c r="C3993" s="33"/>
      <c r="D3993" s="33"/>
      <c r="E3993" s="33"/>
      <c r="F3993" s="33"/>
      <c r="G3993" s="33"/>
      <c r="H3993" s="33"/>
      <c r="I3993" s="33"/>
      <c r="J3993" s="33"/>
      <c r="K3993" s="33"/>
      <c r="L3993" s="33"/>
      <c r="M3993" s="33"/>
      <c r="N3993" s="33"/>
      <c r="O3993" s="33"/>
      <c r="P3993" s="33"/>
      <c r="Q3993" s="33"/>
      <c r="R3993" s="33"/>
      <c r="S3993" s="33"/>
      <c r="T3993" s="33"/>
      <c r="U3993" s="33"/>
      <c r="V3993" s="33"/>
      <c r="W3993" s="33"/>
      <c r="X3993" s="33"/>
      <c r="Y3993" s="33"/>
      <c r="Z3993" s="33"/>
      <c r="AA3993" s="33"/>
      <c r="AB3993" s="33"/>
      <c r="AC3993" s="33"/>
      <c r="AD3993" s="33"/>
      <c r="AE3993" s="33"/>
      <c r="AF3993" s="33"/>
      <c r="AG3993" s="33"/>
      <c r="AH3993" s="33"/>
      <c r="AI3993" s="33"/>
      <c r="AJ3993" s="33"/>
      <c r="AK3993" s="33"/>
    </row>
    <row r="3994">
      <c r="A3994" s="33"/>
      <c r="B3994" s="33"/>
      <c r="C3994" s="33"/>
      <c r="D3994" s="33"/>
      <c r="E3994" s="33"/>
      <c r="F3994" s="33"/>
      <c r="G3994" s="33"/>
      <c r="H3994" s="33"/>
      <c r="I3994" s="33"/>
      <c r="J3994" s="33"/>
      <c r="K3994" s="33"/>
      <c r="L3994" s="33"/>
      <c r="M3994" s="33"/>
      <c r="N3994" s="33"/>
      <c r="O3994" s="33"/>
      <c r="P3994" s="33"/>
      <c r="Q3994" s="33"/>
      <c r="R3994" s="33"/>
      <c r="S3994" s="33"/>
      <c r="T3994" s="33"/>
      <c r="U3994" s="33"/>
      <c r="V3994" s="33"/>
      <c r="W3994" s="33"/>
      <c r="X3994" s="33"/>
      <c r="Y3994" s="33"/>
      <c r="Z3994" s="33"/>
      <c r="AA3994" s="33"/>
      <c r="AB3994" s="33"/>
      <c r="AC3994" s="33"/>
      <c r="AD3994" s="33"/>
      <c r="AE3994" s="33"/>
      <c r="AF3994" s="33"/>
      <c r="AG3994" s="33"/>
      <c r="AH3994" s="33"/>
      <c r="AI3994" s="33"/>
      <c r="AJ3994" s="33"/>
      <c r="AK3994" s="33"/>
    </row>
    <row r="3995">
      <c r="A3995" s="33"/>
      <c r="B3995" s="33"/>
      <c r="C3995" s="33"/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  <c r="Q3995" s="33"/>
      <c r="R3995" s="33"/>
      <c r="S3995" s="33"/>
      <c r="T3995" s="33"/>
      <c r="U3995" s="33"/>
      <c r="V3995" s="33"/>
      <c r="W3995" s="33"/>
      <c r="X3995" s="33"/>
      <c r="Y3995" s="33"/>
      <c r="Z3995" s="33"/>
      <c r="AA3995" s="33"/>
      <c r="AB3995" s="33"/>
      <c r="AC3995" s="33"/>
      <c r="AD3995" s="33"/>
      <c r="AE3995" s="33"/>
      <c r="AF3995" s="33"/>
      <c r="AG3995" s="33"/>
      <c r="AH3995" s="33"/>
      <c r="AI3995" s="33"/>
      <c r="AJ3995" s="33"/>
      <c r="AK3995" s="33"/>
    </row>
    <row r="3996">
      <c r="A3996" s="33"/>
      <c r="B3996" s="33"/>
      <c r="C3996" s="33"/>
      <c r="D3996" s="33"/>
      <c r="E3996" s="33"/>
      <c r="F3996" s="33"/>
      <c r="G3996" s="33"/>
      <c r="H3996" s="33"/>
      <c r="I3996" s="33"/>
      <c r="J3996" s="33"/>
      <c r="K3996" s="33"/>
      <c r="L3996" s="33"/>
      <c r="M3996" s="33"/>
      <c r="N3996" s="33"/>
      <c r="O3996" s="33"/>
      <c r="P3996" s="33"/>
      <c r="Q3996" s="33"/>
      <c r="R3996" s="33"/>
      <c r="S3996" s="33"/>
      <c r="T3996" s="33"/>
      <c r="U3996" s="33"/>
      <c r="V3996" s="33"/>
      <c r="W3996" s="33"/>
      <c r="X3996" s="33"/>
      <c r="Y3996" s="33"/>
      <c r="Z3996" s="33"/>
      <c r="AA3996" s="33"/>
      <c r="AB3996" s="33"/>
      <c r="AC3996" s="33"/>
      <c r="AD3996" s="33"/>
      <c r="AE3996" s="33"/>
      <c r="AF3996" s="33"/>
      <c r="AG3996" s="33"/>
      <c r="AH3996" s="33"/>
      <c r="AI3996" s="33"/>
      <c r="AJ3996" s="33"/>
      <c r="AK3996" s="33"/>
    </row>
    <row r="3997">
      <c r="A3997" s="33"/>
      <c r="B3997" s="33"/>
      <c r="C3997" s="33"/>
      <c r="D3997" s="33"/>
      <c r="E3997" s="33"/>
      <c r="F3997" s="33"/>
      <c r="G3997" s="33"/>
      <c r="H3997" s="33"/>
      <c r="I3997" s="33"/>
      <c r="J3997" s="33"/>
      <c r="K3997" s="33"/>
      <c r="L3997" s="33"/>
      <c r="M3997" s="33"/>
      <c r="N3997" s="33"/>
      <c r="O3997" s="33"/>
      <c r="P3997" s="33"/>
      <c r="Q3997" s="33"/>
      <c r="R3997" s="33"/>
      <c r="S3997" s="33"/>
      <c r="T3997" s="33"/>
      <c r="U3997" s="33"/>
      <c r="V3997" s="33"/>
      <c r="W3997" s="33"/>
      <c r="X3997" s="33"/>
      <c r="Y3997" s="33"/>
      <c r="Z3997" s="33"/>
      <c r="AA3997" s="33"/>
      <c r="AB3997" s="33"/>
      <c r="AC3997" s="33"/>
      <c r="AD3997" s="33"/>
      <c r="AE3997" s="33"/>
      <c r="AF3997" s="33"/>
      <c r="AG3997" s="33"/>
      <c r="AH3997" s="33"/>
      <c r="AI3997" s="33"/>
      <c r="AJ3997" s="33"/>
      <c r="AK3997" s="33"/>
    </row>
    <row r="3998">
      <c r="A3998" s="33"/>
      <c r="B3998" s="33"/>
      <c r="C3998" s="33"/>
      <c r="D3998" s="33"/>
      <c r="E3998" s="33"/>
      <c r="F3998" s="33"/>
      <c r="G3998" s="33"/>
      <c r="H3998" s="33"/>
      <c r="I3998" s="33"/>
      <c r="J3998" s="33"/>
      <c r="K3998" s="33"/>
      <c r="L3998" s="33"/>
      <c r="M3998" s="33"/>
      <c r="N3998" s="33"/>
      <c r="O3998" s="33"/>
      <c r="P3998" s="33"/>
      <c r="Q3998" s="33"/>
      <c r="R3998" s="33"/>
      <c r="S3998" s="33"/>
      <c r="T3998" s="33"/>
      <c r="U3998" s="33"/>
      <c r="V3998" s="33"/>
      <c r="W3998" s="33"/>
      <c r="X3998" s="33"/>
      <c r="Y3998" s="33"/>
      <c r="Z3998" s="33"/>
      <c r="AA3998" s="33"/>
      <c r="AB3998" s="33"/>
      <c r="AC3998" s="33"/>
      <c r="AD3998" s="33"/>
      <c r="AE3998" s="33"/>
      <c r="AF3998" s="33"/>
      <c r="AG3998" s="33"/>
      <c r="AH3998" s="33"/>
      <c r="AI3998" s="33"/>
      <c r="AJ3998" s="33"/>
      <c r="AK3998" s="33"/>
    </row>
    <row r="3999">
      <c r="A3999" s="33"/>
      <c r="B3999" s="33"/>
      <c r="C3999" s="33"/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3"/>
      <c r="S3999" s="33"/>
      <c r="T3999" s="33"/>
      <c r="U3999" s="33"/>
      <c r="V3999" s="33"/>
      <c r="W3999" s="33"/>
      <c r="X3999" s="33"/>
      <c r="Y3999" s="33"/>
      <c r="Z3999" s="33"/>
      <c r="AA3999" s="33"/>
      <c r="AB3999" s="33"/>
      <c r="AC3999" s="33"/>
      <c r="AD3999" s="33"/>
      <c r="AE3999" s="33"/>
      <c r="AF3999" s="33"/>
      <c r="AG3999" s="33"/>
      <c r="AH3999" s="33"/>
      <c r="AI3999" s="33"/>
      <c r="AJ3999" s="33"/>
      <c r="AK3999" s="33"/>
    </row>
    <row r="4000">
      <c r="A4000" s="33"/>
      <c r="B4000" s="33"/>
      <c r="C4000" s="33"/>
      <c r="D4000" s="33"/>
      <c r="E4000" s="33"/>
      <c r="F4000" s="33"/>
      <c r="G4000" s="33"/>
      <c r="H4000" s="33"/>
      <c r="I4000" s="33"/>
      <c r="J4000" s="33"/>
      <c r="K4000" s="33"/>
      <c r="L4000" s="33"/>
      <c r="M4000" s="33"/>
      <c r="N4000" s="33"/>
      <c r="O4000" s="33"/>
      <c r="P4000" s="33"/>
      <c r="Q4000" s="33"/>
      <c r="R4000" s="33"/>
      <c r="S4000" s="33"/>
      <c r="T4000" s="33"/>
      <c r="U4000" s="33"/>
      <c r="V4000" s="33"/>
      <c r="W4000" s="33"/>
      <c r="X4000" s="33"/>
      <c r="Y4000" s="33"/>
      <c r="Z4000" s="33"/>
      <c r="AA4000" s="33"/>
      <c r="AB4000" s="33"/>
      <c r="AC4000" s="33"/>
      <c r="AD4000" s="33"/>
      <c r="AE4000" s="33"/>
      <c r="AF4000" s="33"/>
      <c r="AG4000" s="33"/>
      <c r="AH4000" s="33"/>
      <c r="AI4000" s="33"/>
      <c r="AJ4000" s="33"/>
      <c r="AK4000" s="33"/>
    </row>
    <row r="4001">
      <c r="A4001" s="33"/>
      <c r="B4001" s="33"/>
      <c r="C4001" s="33"/>
      <c r="D4001" s="33"/>
      <c r="E4001" s="33"/>
      <c r="F4001" s="33"/>
      <c r="G4001" s="33"/>
      <c r="H4001" s="33"/>
      <c r="I4001" s="33"/>
      <c r="J4001" s="33"/>
      <c r="K4001" s="33"/>
      <c r="L4001" s="33"/>
      <c r="M4001" s="33"/>
      <c r="N4001" s="33"/>
      <c r="O4001" s="33"/>
      <c r="P4001" s="33"/>
      <c r="Q4001" s="33"/>
      <c r="R4001" s="33"/>
      <c r="S4001" s="33"/>
      <c r="T4001" s="33"/>
      <c r="U4001" s="33"/>
      <c r="V4001" s="33"/>
      <c r="W4001" s="33"/>
      <c r="X4001" s="33"/>
      <c r="Y4001" s="33"/>
      <c r="Z4001" s="33"/>
      <c r="AA4001" s="33"/>
      <c r="AB4001" s="33"/>
      <c r="AC4001" s="33"/>
      <c r="AD4001" s="33"/>
      <c r="AE4001" s="33"/>
      <c r="AF4001" s="33"/>
      <c r="AG4001" s="33"/>
      <c r="AH4001" s="33"/>
      <c r="AI4001" s="33"/>
      <c r="AJ4001" s="33"/>
      <c r="AK4001" s="33"/>
    </row>
    <row r="4002">
      <c r="A4002" s="33"/>
      <c r="B4002" s="33"/>
      <c r="C4002" s="33"/>
      <c r="D4002" s="33"/>
      <c r="E4002" s="33"/>
      <c r="F4002" s="33"/>
      <c r="G4002" s="33"/>
      <c r="H4002" s="33"/>
      <c r="I4002" s="33"/>
      <c r="J4002" s="33"/>
      <c r="K4002" s="33"/>
      <c r="L4002" s="33"/>
      <c r="M4002" s="33"/>
      <c r="N4002" s="33"/>
      <c r="O4002" s="33"/>
      <c r="P4002" s="33"/>
      <c r="Q4002" s="33"/>
      <c r="R4002" s="33"/>
      <c r="S4002" s="33"/>
      <c r="T4002" s="33"/>
      <c r="U4002" s="33"/>
      <c r="V4002" s="33"/>
      <c r="W4002" s="33"/>
      <c r="X4002" s="33"/>
      <c r="Y4002" s="33"/>
      <c r="Z4002" s="33"/>
      <c r="AA4002" s="33"/>
      <c r="AB4002" s="33"/>
      <c r="AC4002" s="33"/>
      <c r="AD4002" s="33"/>
      <c r="AE4002" s="33"/>
      <c r="AF4002" s="33"/>
      <c r="AG4002" s="33"/>
      <c r="AH4002" s="33"/>
      <c r="AI4002" s="33"/>
      <c r="AJ4002" s="33"/>
      <c r="AK4002" s="33"/>
    </row>
    <row r="4003">
      <c r="A4003" s="33"/>
      <c r="B4003" s="33"/>
      <c r="C4003" s="33"/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  <c r="Q4003" s="33"/>
      <c r="R4003" s="33"/>
      <c r="S4003" s="33"/>
      <c r="T4003" s="33"/>
      <c r="U4003" s="33"/>
      <c r="V4003" s="33"/>
      <c r="W4003" s="33"/>
      <c r="X4003" s="33"/>
      <c r="Y4003" s="33"/>
      <c r="Z4003" s="33"/>
      <c r="AA4003" s="33"/>
      <c r="AB4003" s="33"/>
      <c r="AC4003" s="33"/>
      <c r="AD4003" s="33"/>
      <c r="AE4003" s="33"/>
      <c r="AF4003" s="33"/>
      <c r="AG4003" s="33"/>
      <c r="AH4003" s="33"/>
      <c r="AI4003" s="33"/>
      <c r="AJ4003" s="33"/>
      <c r="AK4003" s="33"/>
    </row>
    <row r="4004">
      <c r="A4004" s="33"/>
      <c r="B4004" s="33"/>
      <c r="C4004" s="33"/>
      <c r="D4004" s="33"/>
      <c r="E4004" s="33"/>
      <c r="F4004" s="33"/>
      <c r="G4004" s="33"/>
      <c r="H4004" s="33"/>
      <c r="I4004" s="33"/>
      <c r="J4004" s="33"/>
      <c r="K4004" s="33"/>
      <c r="L4004" s="33"/>
      <c r="M4004" s="33"/>
      <c r="N4004" s="33"/>
      <c r="O4004" s="33"/>
      <c r="P4004" s="33"/>
      <c r="Q4004" s="33"/>
      <c r="R4004" s="33"/>
      <c r="S4004" s="33"/>
      <c r="T4004" s="33"/>
      <c r="U4004" s="33"/>
      <c r="V4004" s="33"/>
      <c r="W4004" s="33"/>
      <c r="X4004" s="33"/>
      <c r="Y4004" s="33"/>
      <c r="Z4004" s="33"/>
      <c r="AA4004" s="33"/>
      <c r="AB4004" s="33"/>
      <c r="AC4004" s="33"/>
      <c r="AD4004" s="33"/>
      <c r="AE4004" s="33"/>
      <c r="AF4004" s="33"/>
      <c r="AG4004" s="33"/>
      <c r="AH4004" s="33"/>
      <c r="AI4004" s="33"/>
      <c r="AJ4004" s="33"/>
      <c r="AK4004" s="33"/>
    </row>
    <row r="4005">
      <c r="A4005" s="33"/>
      <c r="B4005" s="33"/>
      <c r="C4005" s="33"/>
      <c r="D4005" s="33"/>
      <c r="E4005" s="33"/>
      <c r="F4005" s="33"/>
      <c r="G4005" s="33"/>
      <c r="H4005" s="33"/>
      <c r="I4005" s="33"/>
      <c r="J4005" s="33"/>
      <c r="K4005" s="33"/>
      <c r="L4005" s="33"/>
      <c r="M4005" s="33"/>
      <c r="N4005" s="33"/>
      <c r="O4005" s="33"/>
      <c r="P4005" s="33"/>
      <c r="Q4005" s="33"/>
      <c r="R4005" s="33"/>
      <c r="S4005" s="33"/>
      <c r="T4005" s="33"/>
      <c r="U4005" s="33"/>
      <c r="V4005" s="33"/>
      <c r="W4005" s="33"/>
      <c r="X4005" s="33"/>
      <c r="Y4005" s="33"/>
      <c r="Z4005" s="33"/>
      <c r="AA4005" s="33"/>
      <c r="AB4005" s="33"/>
      <c r="AC4005" s="33"/>
      <c r="AD4005" s="33"/>
      <c r="AE4005" s="33"/>
      <c r="AF4005" s="33"/>
      <c r="AG4005" s="33"/>
      <c r="AH4005" s="33"/>
      <c r="AI4005" s="33"/>
      <c r="AJ4005" s="33"/>
      <c r="AK4005" s="33"/>
    </row>
    <row r="4006">
      <c r="A4006" s="33"/>
      <c r="B4006" s="33"/>
      <c r="C4006" s="33"/>
      <c r="D4006" s="33"/>
      <c r="E4006" s="33"/>
      <c r="F4006" s="33"/>
      <c r="G4006" s="33"/>
      <c r="H4006" s="33"/>
      <c r="I4006" s="33"/>
      <c r="J4006" s="33"/>
      <c r="K4006" s="33"/>
      <c r="L4006" s="33"/>
      <c r="M4006" s="33"/>
      <c r="N4006" s="33"/>
      <c r="O4006" s="33"/>
      <c r="P4006" s="33"/>
      <c r="Q4006" s="33"/>
      <c r="R4006" s="33"/>
      <c r="S4006" s="33"/>
      <c r="T4006" s="33"/>
      <c r="U4006" s="33"/>
      <c r="V4006" s="33"/>
      <c r="W4006" s="33"/>
      <c r="X4006" s="33"/>
      <c r="Y4006" s="33"/>
      <c r="Z4006" s="33"/>
      <c r="AA4006" s="33"/>
      <c r="AB4006" s="33"/>
      <c r="AC4006" s="33"/>
      <c r="AD4006" s="33"/>
      <c r="AE4006" s="33"/>
      <c r="AF4006" s="33"/>
      <c r="AG4006" s="33"/>
      <c r="AH4006" s="33"/>
      <c r="AI4006" s="33"/>
      <c r="AJ4006" s="33"/>
      <c r="AK4006" s="33"/>
    </row>
    <row r="4007">
      <c r="A4007" s="33"/>
      <c r="B4007" s="33"/>
      <c r="C4007" s="33"/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  <c r="Q4007" s="33"/>
      <c r="R4007" s="33"/>
      <c r="S4007" s="33"/>
      <c r="T4007" s="33"/>
      <c r="U4007" s="33"/>
      <c r="V4007" s="33"/>
      <c r="W4007" s="33"/>
      <c r="X4007" s="33"/>
      <c r="Y4007" s="33"/>
      <c r="Z4007" s="33"/>
      <c r="AA4007" s="33"/>
      <c r="AB4007" s="33"/>
      <c r="AC4007" s="33"/>
      <c r="AD4007" s="33"/>
      <c r="AE4007" s="33"/>
      <c r="AF4007" s="33"/>
      <c r="AG4007" s="33"/>
      <c r="AH4007" s="33"/>
      <c r="AI4007" s="33"/>
      <c r="AJ4007" s="33"/>
      <c r="AK4007" s="33"/>
    </row>
    <row r="4008">
      <c r="A4008" s="33"/>
      <c r="B4008" s="33"/>
      <c r="C4008" s="33"/>
      <c r="D4008" s="33"/>
      <c r="E4008" s="33"/>
      <c r="F4008" s="33"/>
      <c r="G4008" s="33"/>
      <c r="H4008" s="33"/>
      <c r="I4008" s="33"/>
      <c r="J4008" s="33"/>
      <c r="K4008" s="33"/>
      <c r="L4008" s="33"/>
      <c r="M4008" s="33"/>
      <c r="N4008" s="33"/>
      <c r="O4008" s="33"/>
      <c r="P4008" s="33"/>
      <c r="Q4008" s="33"/>
      <c r="R4008" s="33"/>
      <c r="S4008" s="33"/>
      <c r="T4008" s="33"/>
      <c r="U4008" s="33"/>
      <c r="V4008" s="33"/>
      <c r="W4008" s="33"/>
      <c r="X4008" s="33"/>
      <c r="Y4008" s="33"/>
      <c r="Z4008" s="33"/>
      <c r="AA4008" s="33"/>
      <c r="AB4008" s="33"/>
      <c r="AC4008" s="33"/>
      <c r="AD4008" s="33"/>
      <c r="AE4008" s="33"/>
      <c r="AF4008" s="33"/>
      <c r="AG4008" s="33"/>
      <c r="AH4008" s="33"/>
      <c r="AI4008" s="33"/>
      <c r="AJ4008" s="33"/>
      <c r="AK4008" s="33"/>
    </row>
    <row r="4009">
      <c r="A4009" s="33"/>
      <c r="B4009" s="33"/>
      <c r="C4009" s="33"/>
      <c r="D4009" s="33"/>
      <c r="E4009" s="33"/>
      <c r="F4009" s="33"/>
      <c r="G4009" s="33"/>
      <c r="H4009" s="33"/>
      <c r="I4009" s="33"/>
      <c r="J4009" s="33"/>
      <c r="K4009" s="33"/>
      <c r="L4009" s="33"/>
      <c r="M4009" s="33"/>
      <c r="N4009" s="33"/>
      <c r="O4009" s="33"/>
      <c r="P4009" s="33"/>
      <c r="Q4009" s="33"/>
      <c r="R4009" s="33"/>
      <c r="S4009" s="33"/>
      <c r="T4009" s="33"/>
      <c r="U4009" s="33"/>
      <c r="V4009" s="33"/>
      <c r="W4009" s="33"/>
      <c r="X4009" s="33"/>
      <c r="Y4009" s="33"/>
      <c r="Z4009" s="33"/>
      <c r="AA4009" s="33"/>
      <c r="AB4009" s="33"/>
      <c r="AC4009" s="33"/>
      <c r="AD4009" s="33"/>
      <c r="AE4009" s="33"/>
      <c r="AF4009" s="33"/>
      <c r="AG4009" s="33"/>
      <c r="AH4009" s="33"/>
      <c r="AI4009" s="33"/>
      <c r="AJ4009" s="33"/>
      <c r="AK4009" s="33"/>
    </row>
    <row r="4010">
      <c r="A4010" s="33"/>
      <c r="B4010" s="33"/>
      <c r="C4010" s="33"/>
      <c r="D4010" s="33"/>
      <c r="E4010" s="33"/>
      <c r="F4010" s="33"/>
      <c r="G4010" s="33"/>
      <c r="H4010" s="33"/>
      <c r="I4010" s="33"/>
      <c r="J4010" s="33"/>
      <c r="K4010" s="33"/>
      <c r="L4010" s="33"/>
      <c r="M4010" s="33"/>
      <c r="N4010" s="33"/>
      <c r="O4010" s="33"/>
      <c r="P4010" s="33"/>
      <c r="Q4010" s="33"/>
      <c r="R4010" s="33"/>
      <c r="S4010" s="33"/>
      <c r="T4010" s="33"/>
      <c r="U4010" s="33"/>
      <c r="V4010" s="33"/>
      <c r="W4010" s="33"/>
      <c r="X4010" s="33"/>
      <c r="Y4010" s="33"/>
      <c r="Z4010" s="33"/>
      <c r="AA4010" s="33"/>
      <c r="AB4010" s="33"/>
      <c r="AC4010" s="33"/>
      <c r="AD4010" s="33"/>
      <c r="AE4010" s="33"/>
      <c r="AF4010" s="33"/>
      <c r="AG4010" s="33"/>
      <c r="AH4010" s="33"/>
      <c r="AI4010" s="33"/>
      <c r="AJ4010" s="33"/>
      <c r="AK4010" s="33"/>
    </row>
    <row r="4011">
      <c r="A4011" s="33"/>
      <c r="B4011" s="33"/>
      <c r="C4011" s="33"/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  <c r="Q4011" s="33"/>
      <c r="R4011" s="33"/>
      <c r="S4011" s="33"/>
      <c r="T4011" s="33"/>
      <c r="U4011" s="33"/>
      <c r="V4011" s="33"/>
      <c r="W4011" s="33"/>
      <c r="X4011" s="33"/>
      <c r="Y4011" s="33"/>
      <c r="Z4011" s="33"/>
      <c r="AA4011" s="33"/>
      <c r="AB4011" s="33"/>
      <c r="AC4011" s="33"/>
      <c r="AD4011" s="33"/>
      <c r="AE4011" s="33"/>
      <c r="AF4011" s="33"/>
      <c r="AG4011" s="33"/>
      <c r="AH4011" s="33"/>
      <c r="AI4011" s="33"/>
      <c r="AJ4011" s="33"/>
      <c r="AK4011" s="33"/>
    </row>
    <row r="4012">
      <c r="A4012" s="33"/>
      <c r="B4012" s="33"/>
      <c r="C4012" s="33"/>
      <c r="D4012" s="33"/>
      <c r="E4012" s="33"/>
      <c r="F4012" s="33"/>
      <c r="G4012" s="33"/>
      <c r="H4012" s="33"/>
      <c r="I4012" s="33"/>
      <c r="J4012" s="33"/>
      <c r="K4012" s="33"/>
      <c r="L4012" s="33"/>
      <c r="M4012" s="33"/>
      <c r="N4012" s="33"/>
      <c r="O4012" s="33"/>
      <c r="P4012" s="33"/>
      <c r="Q4012" s="33"/>
      <c r="R4012" s="33"/>
      <c r="S4012" s="33"/>
      <c r="T4012" s="33"/>
      <c r="U4012" s="33"/>
      <c r="V4012" s="33"/>
      <c r="W4012" s="33"/>
      <c r="X4012" s="33"/>
      <c r="Y4012" s="33"/>
      <c r="Z4012" s="33"/>
      <c r="AA4012" s="33"/>
      <c r="AB4012" s="33"/>
      <c r="AC4012" s="33"/>
      <c r="AD4012" s="33"/>
      <c r="AE4012" s="33"/>
      <c r="AF4012" s="33"/>
      <c r="AG4012" s="33"/>
      <c r="AH4012" s="33"/>
      <c r="AI4012" s="33"/>
      <c r="AJ4012" s="33"/>
      <c r="AK4012" s="33"/>
    </row>
    <row r="4013">
      <c r="A4013" s="33"/>
      <c r="B4013" s="33"/>
      <c r="C4013" s="33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33"/>
      <c r="Q4013" s="33"/>
      <c r="R4013" s="33"/>
      <c r="S4013" s="33"/>
      <c r="T4013" s="33"/>
      <c r="U4013" s="33"/>
      <c r="V4013" s="33"/>
      <c r="W4013" s="33"/>
      <c r="X4013" s="33"/>
      <c r="Y4013" s="33"/>
      <c r="Z4013" s="33"/>
      <c r="AA4013" s="33"/>
      <c r="AB4013" s="33"/>
      <c r="AC4013" s="33"/>
      <c r="AD4013" s="33"/>
      <c r="AE4013" s="33"/>
      <c r="AF4013" s="33"/>
      <c r="AG4013" s="33"/>
      <c r="AH4013" s="33"/>
      <c r="AI4013" s="33"/>
      <c r="AJ4013" s="33"/>
      <c r="AK4013" s="33"/>
    </row>
    <row r="4014">
      <c r="A4014" s="33"/>
      <c r="B4014" s="33"/>
      <c r="C4014" s="33"/>
      <c r="D4014" s="33"/>
      <c r="E4014" s="33"/>
      <c r="F4014" s="33"/>
      <c r="G4014" s="33"/>
      <c r="H4014" s="33"/>
      <c r="I4014" s="33"/>
      <c r="J4014" s="33"/>
      <c r="K4014" s="33"/>
      <c r="L4014" s="33"/>
      <c r="M4014" s="33"/>
      <c r="N4014" s="33"/>
      <c r="O4014" s="33"/>
      <c r="P4014" s="33"/>
      <c r="Q4014" s="33"/>
      <c r="R4014" s="33"/>
      <c r="S4014" s="33"/>
      <c r="T4014" s="33"/>
      <c r="U4014" s="33"/>
      <c r="V4014" s="33"/>
      <c r="W4014" s="33"/>
      <c r="X4014" s="33"/>
      <c r="Y4014" s="33"/>
      <c r="Z4014" s="33"/>
      <c r="AA4014" s="33"/>
      <c r="AB4014" s="33"/>
      <c r="AC4014" s="33"/>
      <c r="AD4014" s="33"/>
      <c r="AE4014" s="33"/>
      <c r="AF4014" s="33"/>
      <c r="AG4014" s="33"/>
      <c r="AH4014" s="33"/>
      <c r="AI4014" s="33"/>
      <c r="AJ4014" s="33"/>
      <c r="AK4014" s="33"/>
    </row>
    <row r="4015">
      <c r="A4015" s="33"/>
      <c r="B4015" s="33"/>
      <c r="C4015" s="33"/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  <c r="Q4015" s="33"/>
      <c r="R4015" s="33"/>
      <c r="S4015" s="33"/>
      <c r="T4015" s="33"/>
      <c r="U4015" s="33"/>
      <c r="V4015" s="33"/>
      <c r="W4015" s="33"/>
      <c r="X4015" s="33"/>
      <c r="Y4015" s="33"/>
      <c r="Z4015" s="33"/>
      <c r="AA4015" s="33"/>
      <c r="AB4015" s="33"/>
      <c r="AC4015" s="33"/>
      <c r="AD4015" s="33"/>
      <c r="AE4015" s="33"/>
      <c r="AF4015" s="33"/>
      <c r="AG4015" s="33"/>
      <c r="AH4015" s="33"/>
      <c r="AI4015" s="33"/>
      <c r="AJ4015" s="33"/>
      <c r="AK4015" s="33"/>
    </row>
    <row r="4016">
      <c r="A4016" s="33"/>
      <c r="B4016" s="33"/>
      <c r="C4016" s="33"/>
      <c r="D4016" s="33"/>
      <c r="E4016" s="33"/>
      <c r="F4016" s="33"/>
      <c r="G4016" s="33"/>
      <c r="H4016" s="33"/>
      <c r="I4016" s="33"/>
      <c r="J4016" s="33"/>
      <c r="K4016" s="33"/>
      <c r="L4016" s="33"/>
      <c r="M4016" s="33"/>
      <c r="N4016" s="33"/>
      <c r="O4016" s="33"/>
      <c r="P4016" s="33"/>
      <c r="Q4016" s="33"/>
      <c r="R4016" s="33"/>
      <c r="S4016" s="33"/>
      <c r="T4016" s="33"/>
      <c r="U4016" s="33"/>
      <c r="V4016" s="33"/>
      <c r="W4016" s="33"/>
      <c r="X4016" s="33"/>
      <c r="Y4016" s="33"/>
      <c r="Z4016" s="33"/>
      <c r="AA4016" s="33"/>
      <c r="AB4016" s="33"/>
      <c r="AC4016" s="33"/>
      <c r="AD4016" s="33"/>
      <c r="AE4016" s="33"/>
      <c r="AF4016" s="33"/>
      <c r="AG4016" s="33"/>
      <c r="AH4016" s="33"/>
      <c r="AI4016" s="33"/>
      <c r="AJ4016" s="33"/>
      <c r="AK4016" s="33"/>
    </row>
    <row r="4017">
      <c r="A4017" s="33"/>
      <c r="B4017" s="33"/>
      <c r="C4017" s="33"/>
      <c r="D4017" s="33"/>
      <c r="E4017" s="33"/>
      <c r="F4017" s="33"/>
      <c r="G4017" s="33"/>
      <c r="H4017" s="33"/>
      <c r="I4017" s="33"/>
      <c r="J4017" s="33"/>
      <c r="K4017" s="33"/>
      <c r="L4017" s="33"/>
      <c r="M4017" s="33"/>
      <c r="N4017" s="33"/>
      <c r="O4017" s="33"/>
      <c r="P4017" s="33"/>
      <c r="Q4017" s="33"/>
      <c r="R4017" s="33"/>
      <c r="S4017" s="33"/>
      <c r="T4017" s="33"/>
      <c r="U4017" s="33"/>
      <c r="V4017" s="33"/>
      <c r="W4017" s="33"/>
      <c r="X4017" s="33"/>
      <c r="Y4017" s="33"/>
      <c r="Z4017" s="33"/>
      <c r="AA4017" s="33"/>
      <c r="AB4017" s="33"/>
      <c r="AC4017" s="33"/>
      <c r="AD4017" s="33"/>
      <c r="AE4017" s="33"/>
      <c r="AF4017" s="33"/>
      <c r="AG4017" s="33"/>
      <c r="AH4017" s="33"/>
      <c r="AI4017" s="33"/>
      <c r="AJ4017" s="33"/>
      <c r="AK4017" s="33"/>
    </row>
    <row r="4018">
      <c r="A4018" s="33"/>
      <c r="B4018" s="33"/>
      <c r="C4018" s="33"/>
      <c r="D4018" s="33"/>
      <c r="E4018" s="33"/>
      <c r="F4018" s="33"/>
      <c r="G4018" s="33"/>
      <c r="H4018" s="33"/>
      <c r="I4018" s="33"/>
      <c r="J4018" s="33"/>
      <c r="K4018" s="33"/>
      <c r="L4018" s="33"/>
      <c r="M4018" s="33"/>
      <c r="N4018" s="33"/>
      <c r="O4018" s="33"/>
      <c r="P4018" s="33"/>
      <c r="Q4018" s="33"/>
      <c r="R4018" s="33"/>
      <c r="S4018" s="33"/>
      <c r="T4018" s="33"/>
      <c r="U4018" s="33"/>
      <c r="V4018" s="33"/>
      <c r="W4018" s="33"/>
      <c r="X4018" s="33"/>
      <c r="Y4018" s="33"/>
      <c r="Z4018" s="33"/>
      <c r="AA4018" s="33"/>
      <c r="AB4018" s="33"/>
      <c r="AC4018" s="33"/>
      <c r="AD4018" s="33"/>
      <c r="AE4018" s="33"/>
      <c r="AF4018" s="33"/>
      <c r="AG4018" s="33"/>
      <c r="AH4018" s="33"/>
      <c r="AI4018" s="33"/>
      <c r="AJ4018" s="33"/>
      <c r="AK4018" s="33"/>
    </row>
    <row r="4019">
      <c r="A4019" s="33"/>
      <c r="B4019" s="33"/>
      <c r="C4019" s="33"/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  <c r="Q4019" s="33"/>
      <c r="R4019" s="33"/>
      <c r="S4019" s="33"/>
      <c r="T4019" s="33"/>
      <c r="U4019" s="33"/>
      <c r="V4019" s="33"/>
      <c r="W4019" s="33"/>
      <c r="X4019" s="33"/>
      <c r="Y4019" s="33"/>
      <c r="Z4019" s="33"/>
      <c r="AA4019" s="33"/>
      <c r="AB4019" s="33"/>
      <c r="AC4019" s="33"/>
      <c r="AD4019" s="33"/>
      <c r="AE4019" s="33"/>
      <c r="AF4019" s="33"/>
      <c r="AG4019" s="33"/>
      <c r="AH4019" s="33"/>
      <c r="AI4019" s="33"/>
      <c r="AJ4019" s="33"/>
      <c r="AK4019" s="33"/>
    </row>
    <row r="4020">
      <c r="A4020" s="33"/>
      <c r="B4020" s="33"/>
      <c r="C4020" s="33"/>
      <c r="D4020" s="33"/>
      <c r="E4020" s="33"/>
      <c r="F4020" s="33"/>
      <c r="G4020" s="33"/>
      <c r="H4020" s="33"/>
      <c r="I4020" s="33"/>
      <c r="J4020" s="33"/>
      <c r="K4020" s="33"/>
      <c r="L4020" s="33"/>
      <c r="M4020" s="33"/>
      <c r="N4020" s="33"/>
      <c r="O4020" s="33"/>
      <c r="P4020" s="33"/>
      <c r="Q4020" s="33"/>
      <c r="R4020" s="33"/>
      <c r="S4020" s="33"/>
      <c r="T4020" s="33"/>
      <c r="U4020" s="33"/>
      <c r="V4020" s="33"/>
      <c r="W4020" s="33"/>
      <c r="X4020" s="33"/>
      <c r="Y4020" s="33"/>
      <c r="Z4020" s="33"/>
      <c r="AA4020" s="33"/>
      <c r="AB4020" s="33"/>
      <c r="AC4020" s="33"/>
      <c r="AD4020" s="33"/>
      <c r="AE4020" s="33"/>
      <c r="AF4020" s="33"/>
      <c r="AG4020" s="33"/>
      <c r="AH4020" s="33"/>
      <c r="AI4020" s="33"/>
      <c r="AJ4020" s="33"/>
      <c r="AK4020" s="33"/>
    </row>
    <row r="4021">
      <c r="A4021" s="33"/>
      <c r="B4021" s="33"/>
      <c r="C4021" s="33"/>
      <c r="D4021" s="33"/>
      <c r="E4021" s="33"/>
      <c r="F4021" s="33"/>
      <c r="G4021" s="33"/>
      <c r="H4021" s="33"/>
      <c r="I4021" s="33"/>
      <c r="J4021" s="33"/>
      <c r="K4021" s="33"/>
      <c r="L4021" s="33"/>
      <c r="M4021" s="33"/>
      <c r="N4021" s="33"/>
      <c r="O4021" s="33"/>
      <c r="P4021" s="33"/>
      <c r="Q4021" s="33"/>
      <c r="R4021" s="33"/>
      <c r="S4021" s="33"/>
      <c r="T4021" s="33"/>
      <c r="U4021" s="33"/>
      <c r="V4021" s="33"/>
      <c r="W4021" s="33"/>
      <c r="X4021" s="33"/>
      <c r="Y4021" s="33"/>
      <c r="Z4021" s="33"/>
      <c r="AA4021" s="33"/>
      <c r="AB4021" s="33"/>
      <c r="AC4021" s="33"/>
      <c r="AD4021" s="33"/>
      <c r="AE4021" s="33"/>
      <c r="AF4021" s="33"/>
      <c r="AG4021" s="33"/>
      <c r="AH4021" s="33"/>
      <c r="AI4021" s="33"/>
      <c r="AJ4021" s="33"/>
      <c r="AK4021" s="33"/>
    </row>
    <row r="4022">
      <c r="A4022" s="33"/>
      <c r="B4022" s="33"/>
      <c r="C4022" s="33"/>
      <c r="D4022" s="33"/>
      <c r="E4022" s="33"/>
      <c r="F4022" s="33"/>
      <c r="G4022" s="33"/>
      <c r="H4022" s="33"/>
      <c r="I4022" s="33"/>
      <c r="J4022" s="33"/>
      <c r="K4022" s="33"/>
      <c r="L4022" s="33"/>
      <c r="M4022" s="33"/>
      <c r="N4022" s="33"/>
      <c r="O4022" s="33"/>
      <c r="P4022" s="33"/>
      <c r="Q4022" s="33"/>
      <c r="R4022" s="33"/>
      <c r="S4022" s="33"/>
      <c r="T4022" s="33"/>
      <c r="U4022" s="33"/>
      <c r="V4022" s="33"/>
      <c r="W4022" s="33"/>
      <c r="X4022" s="33"/>
      <c r="Y4022" s="33"/>
      <c r="Z4022" s="33"/>
      <c r="AA4022" s="33"/>
      <c r="AB4022" s="33"/>
      <c r="AC4022" s="33"/>
      <c r="AD4022" s="33"/>
      <c r="AE4022" s="33"/>
      <c r="AF4022" s="33"/>
      <c r="AG4022" s="33"/>
      <c r="AH4022" s="33"/>
      <c r="AI4022" s="33"/>
      <c r="AJ4022" s="33"/>
      <c r="AK4022" s="33"/>
    </row>
    <row r="4023">
      <c r="A4023" s="33"/>
      <c r="B4023" s="33"/>
      <c r="C4023" s="33"/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  <c r="Q4023" s="33"/>
      <c r="R4023" s="33"/>
      <c r="S4023" s="33"/>
      <c r="T4023" s="33"/>
      <c r="U4023" s="33"/>
      <c r="V4023" s="33"/>
      <c r="W4023" s="33"/>
      <c r="X4023" s="33"/>
      <c r="Y4023" s="33"/>
      <c r="Z4023" s="33"/>
      <c r="AA4023" s="33"/>
      <c r="AB4023" s="33"/>
      <c r="AC4023" s="33"/>
      <c r="AD4023" s="33"/>
      <c r="AE4023" s="33"/>
      <c r="AF4023" s="33"/>
      <c r="AG4023" s="33"/>
      <c r="AH4023" s="33"/>
      <c r="AI4023" s="33"/>
      <c r="AJ4023" s="33"/>
      <c r="AK4023" s="33"/>
    </row>
    <row r="4024">
      <c r="A4024" s="33"/>
      <c r="B4024" s="33"/>
      <c r="C4024" s="33"/>
      <c r="D4024" s="33"/>
      <c r="E4024" s="33"/>
      <c r="F4024" s="33"/>
      <c r="G4024" s="33"/>
      <c r="H4024" s="33"/>
      <c r="I4024" s="33"/>
      <c r="J4024" s="33"/>
      <c r="K4024" s="33"/>
      <c r="L4024" s="33"/>
      <c r="M4024" s="33"/>
      <c r="N4024" s="33"/>
      <c r="O4024" s="33"/>
      <c r="P4024" s="33"/>
      <c r="Q4024" s="33"/>
      <c r="R4024" s="33"/>
      <c r="S4024" s="33"/>
      <c r="T4024" s="33"/>
      <c r="U4024" s="33"/>
      <c r="V4024" s="33"/>
      <c r="W4024" s="33"/>
      <c r="X4024" s="33"/>
      <c r="Y4024" s="33"/>
      <c r="Z4024" s="33"/>
      <c r="AA4024" s="33"/>
      <c r="AB4024" s="33"/>
      <c r="AC4024" s="33"/>
      <c r="AD4024" s="33"/>
      <c r="AE4024" s="33"/>
      <c r="AF4024" s="33"/>
      <c r="AG4024" s="33"/>
      <c r="AH4024" s="33"/>
      <c r="AI4024" s="33"/>
      <c r="AJ4024" s="33"/>
      <c r="AK4024" s="33"/>
    </row>
    <row r="4025">
      <c r="A4025" s="33"/>
      <c r="B4025" s="33"/>
      <c r="C4025" s="33"/>
      <c r="D4025" s="33"/>
      <c r="E4025" s="33"/>
      <c r="F4025" s="33"/>
      <c r="G4025" s="33"/>
      <c r="H4025" s="33"/>
      <c r="I4025" s="33"/>
      <c r="J4025" s="33"/>
      <c r="K4025" s="33"/>
      <c r="L4025" s="33"/>
      <c r="M4025" s="33"/>
      <c r="N4025" s="33"/>
      <c r="O4025" s="33"/>
      <c r="P4025" s="33"/>
      <c r="Q4025" s="33"/>
      <c r="R4025" s="33"/>
      <c r="S4025" s="33"/>
      <c r="T4025" s="33"/>
      <c r="U4025" s="33"/>
      <c r="V4025" s="33"/>
      <c r="W4025" s="33"/>
      <c r="X4025" s="33"/>
      <c r="Y4025" s="33"/>
      <c r="Z4025" s="33"/>
      <c r="AA4025" s="33"/>
      <c r="AB4025" s="33"/>
      <c r="AC4025" s="33"/>
      <c r="AD4025" s="33"/>
      <c r="AE4025" s="33"/>
      <c r="AF4025" s="33"/>
      <c r="AG4025" s="33"/>
      <c r="AH4025" s="33"/>
      <c r="AI4025" s="33"/>
      <c r="AJ4025" s="33"/>
      <c r="AK4025" s="33"/>
    </row>
    <row r="4026">
      <c r="A4026" s="33"/>
      <c r="B4026" s="33"/>
      <c r="C4026" s="33"/>
      <c r="D4026" s="33"/>
      <c r="E4026" s="33"/>
      <c r="F4026" s="33"/>
      <c r="G4026" s="33"/>
      <c r="H4026" s="33"/>
      <c r="I4026" s="33"/>
      <c r="J4026" s="33"/>
      <c r="K4026" s="33"/>
      <c r="L4026" s="33"/>
      <c r="M4026" s="33"/>
      <c r="N4026" s="33"/>
      <c r="O4026" s="33"/>
      <c r="P4026" s="33"/>
      <c r="Q4026" s="33"/>
      <c r="R4026" s="33"/>
      <c r="S4026" s="33"/>
      <c r="T4026" s="33"/>
      <c r="U4026" s="33"/>
      <c r="V4026" s="33"/>
      <c r="W4026" s="33"/>
      <c r="X4026" s="33"/>
      <c r="Y4026" s="33"/>
      <c r="Z4026" s="33"/>
      <c r="AA4026" s="33"/>
      <c r="AB4026" s="33"/>
      <c r="AC4026" s="33"/>
      <c r="AD4026" s="33"/>
      <c r="AE4026" s="33"/>
      <c r="AF4026" s="33"/>
      <c r="AG4026" s="33"/>
      <c r="AH4026" s="33"/>
      <c r="AI4026" s="33"/>
      <c r="AJ4026" s="33"/>
      <c r="AK4026" s="33"/>
    </row>
    <row r="4027">
      <c r="A4027" s="33"/>
      <c r="B4027" s="33"/>
      <c r="C4027" s="33"/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  <c r="Q4027" s="33"/>
      <c r="R4027" s="33"/>
      <c r="S4027" s="33"/>
      <c r="T4027" s="33"/>
      <c r="U4027" s="33"/>
      <c r="V4027" s="33"/>
      <c r="W4027" s="33"/>
      <c r="X4027" s="33"/>
      <c r="Y4027" s="33"/>
      <c r="Z4027" s="33"/>
      <c r="AA4027" s="33"/>
      <c r="AB4027" s="33"/>
      <c r="AC4027" s="33"/>
      <c r="AD4027" s="33"/>
      <c r="AE4027" s="33"/>
      <c r="AF4027" s="33"/>
      <c r="AG4027" s="33"/>
      <c r="AH4027" s="33"/>
      <c r="AI4027" s="33"/>
      <c r="AJ4027" s="33"/>
      <c r="AK4027" s="33"/>
    </row>
    <row r="4028">
      <c r="A4028" s="33"/>
      <c r="B4028" s="33"/>
      <c r="C4028" s="33"/>
      <c r="D4028" s="33"/>
      <c r="E4028" s="33"/>
      <c r="F4028" s="33"/>
      <c r="G4028" s="33"/>
      <c r="H4028" s="33"/>
      <c r="I4028" s="33"/>
      <c r="J4028" s="33"/>
      <c r="K4028" s="33"/>
      <c r="L4028" s="33"/>
      <c r="M4028" s="33"/>
      <c r="N4028" s="33"/>
      <c r="O4028" s="33"/>
      <c r="P4028" s="33"/>
      <c r="Q4028" s="33"/>
      <c r="R4028" s="33"/>
      <c r="S4028" s="33"/>
      <c r="T4028" s="33"/>
      <c r="U4028" s="33"/>
      <c r="V4028" s="33"/>
      <c r="W4028" s="33"/>
      <c r="X4028" s="33"/>
      <c r="Y4028" s="33"/>
      <c r="Z4028" s="33"/>
      <c r="AA4028" s="33"/>
      <c r="AB4028" s="33"/>
      <c r="AC4028" s="33"/>
      <c r="AD4028" s="33"/>
      <c r="AE4028" s="33"/>
      <c r="AF4028" s="33"/>
      <c r="AG4028" s="33"/>
      <c r="AH4028" s="33"/>
      <c r="AI4028" s="33"/>
      <c r="AJ4028" s="33"/>
      <c r="AK4028" s="33"/>
    </row>
    <row r="4029">
      <c r="A4029" s="33"/>
      <c r="B4029" s="33"/>
      <c r="C4029" s="33"/>
      <c r="D4029" s="33"/>
      <c r="E4029" s="33"/>
      <c r="F4029" s="33"/>
      <c r="G4029" s="33"/>
      <c r="H4029" s="33"/>
      <c r="I4029" s="33"/>
      <c r="J4029" s="33"/>
      <c r="K4029" s="33"/>
      <c r="L4029" s="33"/>
      <c r="M4029" s="33"/>
      <c r="N4029" s="33"/>
      <c r="O4029" s="33"/>
      <c r="P4029" s="33"/>
      <c r="Q4029" s="33"/>
      <c r="R4029" s="33"/>
      <c r="S4029" s="33"/>
      <c r="T4029" s="33"/>
      <c r="U4029" s="33"/>
      <c r="V4029" s="33"/>
      <c r="W4029" s="33"/>
      <c r="X4029" s="33"/>
      <c r="Y4029" s="33"/>
      <c r="Z4029" s="33"/>
      <c r="AA4029" s="33"/>
      <c r="AB4029" s="33"/>
      <c r="AC4029" s="33"/>
      <c r="AD4029" s="33"/>
      <c r="AE4029" s="33"/>
      <c r="AF4029" s="33"/>
      <c r="AG4029" s="33"/>
      <c r="AH4029" s="33"/>
      <c r="AI4029" s="33"/>
      <c r="AJ4029" s="33"/>
      <c r="AK4029" s="33"/>
    </row>
    <row r="4030">
      <c r="A4030" s="33"/>
      <c r="B4030" s="33"/>
      <c r="C4030" s="33"/>
      <c r="D4030" s="33"/>
      <c r="E4030" s="33"/>
      <c r="F4030" s="33"/>
      <c r="G4030" s="33"/>
      <c r="H4030" s="33"/>
      <c r="I4030" s="33"/>
      <c r="J4030" s="33"/>
      <c r="K4030" s="33"/>
      <c r="L4030" s="33"/>
      <c r="M4030" s="33"/>
      <c r="N4030" s="33"/>
      <c r="O4030" s="33"/>
      <c r="P4030" s="33"/>
      <c r="Q4030" s="33"/>
      <c r="R4030" s="33"/>
      <c r="S4030" s="33"/>
      <c r="T4030" s="33"/>
      <c r="U4030" s="33"/>
      <c r="V4030" s="33"/>
      <c r="W4030" s="33"/>
      <c r="X4030" s="33"/>
      <c r="Y4030" s="33"/>
      <c r="Z4030" s="33"/>
      <c r="AA4030" s="33"/>
      <c r="AB4030" s="33"/>
      <c r="AC4030" s="33"/>
      <c r="AD4030" s="33"/>
      <c r="AE4030" s="33"/>
      <c r="AF4030" s="33"/>
      <c r="AG4030" s="33"/>
      <c r="AH4030" s="33"/>
      <c r="AI4030" s="33"/>
      <c r="AJ4030" s="33"/>
      <c r="AK4030" s="33"/>
    </row>
    <row r="4031">
      <c r="A4031" s="33"/>
      <c r="B4031" s="33"/>
      <c r="C4031" s="33"/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  <c r="Q4031" s="33"/>
      <c r="R4031" s="33"/>
      <c r="S4031" s="33"/>
      <c r="T4031" s="33"/>
      <c r="U4031" s="33"/>
      <c r="V4031" s="33"/>
      <c r="W4031" s="33"/>
      <c r="X4031" s="33"/>
      <c r="Y4031" s="33"/>
      <c r="Z4031" s="33"/>
      <c r="AA4031" s="33"/>
      <c r="AB4031" s="33"/>
      <c r="AC4031" s="33"/>
      <c r="AD4031" s="33"/>
      <c r="AE4031" s="33"/>
      <c r="AF4031" s="33"/>
      <c r="AG4031" s="33"/>
      <c r="AH4031" s="33"/>
      <c r="AI4031" s="33"/>
      <c r="AJ4031" s="33"/>
      <c r="AK4031" s="33"/>
    </row>
    <row r="4032">
      <c r="A4032" s="33"/>
      <c r="B4032" s="33"/>
      <c r="C4032" s="33"/>
      <c r="D4032" s="33"/>
      <c r="E4032" s="33"/>
      <c r="F4032" s="33"/>
      <c r="G4032" s="33"/>
      <c r="H4032" s="33"/>
      <c r="I4032" s="33"/>
      <c r="J4032" s="33"/>
      <c r="K4032" s="33"/>
      <c r="L4032" s="33"/>
      <c r="M4032" s="33"/>
      <c r="N4032" s="33"/>
      <c r="O4032" s="33"/>
      <c r="P4032" s="33"/>
      <c r="Q4032" s="33"/>
      <c r="R4032" s="33"/>
      <c r="S4032" s="33"/>
      <c r="T4032" s="33"/>
      <c r="U4032" s="33"/>
      <c r="V4032" s="33"/>
      <c r="W4032" s="33"/>
      <c r="X4032" s="33"/>
      <c r="Y4032" s="33"/>
      <c r="Z4032" s="33"/>
      <c r="AA4032" s="33"/>
      <c r="AB4032" s="33"/>
      <c r="AC4032" s="33"/>
      <c r="AD4032" s="33"/>
      <c r="AE4032" s="33"/>
      <c r="AF4032" s="33"/>
      <c r="AG4032" s="33"/>
      <c r="AH4032" s="33"/>
      <c r="AI4032" s="33"/>
      <c r="AJ4032" s="33"/>
      <c r="AK4032" s="33"/>
    </row>
    <row r="4033">
      <c r="A4033" s="33"/>
      <c r="B4033" s="33"/>
      <c r="C4033" s="33"/>
      <c r="D4033" s="33"/>
      <c r="E4033" s="33"/>
      <c r="F4033" s="33"/>
      <c r="G4033" s="33"/>
      <c r="H4033" s="33"/>
      <c r="I4033" s="33"/>
      <c r="J4033" s="33"/>
      <c r="K4033" s="33"/>
      <c r="L4033" s="33"/>
      <c r="M4033" s="33"/>
      <c r="N4033" s="33"/>
      <c r="O4033" s="33"/>
      <c r="P4033" s="33"/>
      <c r="Q4033" s="33"/>
      <c r="R4033" s="33"/>
      <c r="S4033" s="33"/>
      <c r="T4033" s="33"/>
      <c r="U4033" s="33"/>
      <c r="V4033" s="33"/>
      <c r="W4033" s="33"/>
      <c r="X4033" s="33"/>
      <c r="Y4033" s="33"/>
      <c r="Z4033" s="33"/>
      <c r="AA4033" s="33"/>
      <c r="AB4033" s="33"/>
      <c r="AC4033" s="33"/>
      <c r="AD4033" s="33"/>
      <c r="AE4033" s="33"/>
      <c r="AF4033" s="33"/>
      <c r="AG4033" s="33"/>
      <c r="AH4033" s="33"/>
      <c r="AI4033" s="33"/>
      <c r="AJ4033" s="33"/>
      <c r="AK4033" s="33"/>
    </row>
    <row r="4034">
      <c r="A4034" s="33"/>
      <c r="B4034" s="33"/>
      <c r="C4034" s="33"/>
      <c r="D4034" s="33"/>
      <c r="E4034" s="33"/>
      <c r="F4034" s="33"/>
      <c r="G4034" s="33"/>
      <c r="H4034" s="33"/>
      <c r="I4034" s="33"/>
      <c r="J4034" s="33"/>
      <c r="K4034" s="33"/>
      <c r="L4034" s="33"/>
      <c r="M4034" s="33"/>
      <c r="N4034" s="33"/>
      <c r="O4034" s="33"/>
      <c r="P4034" s="33"/>
      <c r="Q4034" s="33"/>
      <c r="R4034" s="33"/>
      <c r="S4034" s="33"/>
      <c r="T4034" s="33"/>
      <c r="U4034" s="33"/>
      <c r="V4034" s="33"/>
      <c r="W4034" s="33"/>
      <c r="X4034" s="33"/>
      <c r="Y4034" s="33"/>
      <c r="Z4034" s="33"/>
      <c r="AA4034" s="33"/>
      <c r="AB4034" s="33"/>
      <c r="AC4034" s="33"/>
      <c r="AD4034" s="33"/>
      <c r="AE4034" s="33"/>
      <c r="AF4034" s="33"/>
      <c r="AG4034" s="33"/>
      <c r="AH4034" s="33"/>
      <c r="AI4034" s="33"/>
      <c r="AJ4034" s="33"/>
      <c r="AK4034" s="33"/>
    </row>
    <row r="4035">
      <c r="A4035" s="33"/>
      <c r="B4035" s="33"/>
      <c r="C4035" s="33"/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  <c r="Q4035" s="33"/>
      <c r="R4035" s="33"/>
      <c r="S4035" s="33"/>
      <c r="T4035" s="33"/>
      <c r="U4035" s="33"/>
      <c r="V4035" s="33"/>
      <c r="W4035" s="33"/>
      <c r="X4035" s="33"/>
      <c r="Y4035" s="33"/>
      <c r="Z4035" s="33"/>
      <c r="AA4035" s="33"/>
      <c r="AB4035" s="33"/>
      <c r="AC4035" s="33"/>
      <c r="AD4035" s="33"/>
      <c r="AE4035" s="33"/>
      <c r="AF4035" s="33"/>
      <c r="AG4035" s="33"/>
      <c r="AH4035" s="33"/>
      <c r="AI4035" s="33"/>
      <c r="AJ4035" s="33"/>
      <c r="AK4035" s="33"/>
    </row>
    <row r="4036">
      <c r="A4036" s="33"/>
      <c r="B4036" s="33"/>
      <c r="C4036" s="33"/>
      <c r="D4036" s="33"/>
      <c r="E4036" s="33"/>
      <c r="F4036" s="33"/>
      <c r="G4036" s="33"/>
      <c r="H4036" s="33"/>
      <c r="I4036" s="33"/>
      <c r="J4036" s="33"/>
      <c r="K4036" s="33"/>
      <c r="L4036" s="33"/>
      <c r="M4036" s="33"/>
      <c r="N4036" s="33"/>
      <c r="O4036" s="33"/>
      <c r="P4036" s="33"/>
      <c r="Q4036" s="33"/>
      <c r="R4036" s="33"/>
      <c r="S4036" s="33"/>
      <c r="T4036" s="33"/>
      <c r="U4036" s="33"/>
      <c r="V4036" s="33"/>
      <c r="W4036" s="33"/>
      <c r="X4036" s="33"/>
      <c r="Y4036" s="33"/>
      <c r="Z4036" s="33"/>
      <c r="AA4036" s="33"/>
      <c r="AB4036" s="33"/>
      <c r="AC4036" s="33"/>
      <c r="AD4036" s="33"/>
      <c r="AE4036" s="33"/>
      <c r="AF4036" s="33"/>
      <c r="AG4036" s="33"/>
      <c r="AH4036" s="33"/>
      <c r="AI4036" s="33"/>
      <c r="AJ4036" s="33"/>
      <c r="AK4036" s="33"/>
    </row>
    <row r="4037">
      <c r="A4037" s="33"/>
      <c r="B4037" s="33"/>
      <c r="C4037" s="33"/>
      <c r="D4037" s="33"/>
      <c r="E4037" s="33"/>
      <c r="F4037" s="33"/>
      <c r="G4037" s="33"/>
      <c r="H4037" s="33"/>
      <c r="I4037" s="33"/>
      <c r="J4037" s="33"/>
      <c r="K4037" s="33"/>
      <c r="L4037" s="33"/>
      <c r="M4037" s="33"/>
      <c r="N4037" s="33"/>
      <c r="O4037" s="33"/>
      <c r="P4037" s="33"/>
      <c r="Q4037" s="33"/>
      <c r="R4037" s="33"/>
      <c r="S4037" s="33"/>
      <c r="T4037" s="33"/>
      <c r="U4037" s="33"/>
      <c r="V4037" s="33"/>
      <c r="W4037" s="33"/>
      <c r="X4037" s="33"/>
      <c r="Y4037" s="33"/>
      <c r="Z4037" s="33"/>
      <c r="AA4037" s="33"/>
      <c r="AB4037" s="33"/>
      <c r="AC4037" s="33"/>
      <c r="AD4037" s="33"/>
      <c r="AE4037" s="33"/>
      <c r="AF4037" s="33"/>
      <c r="AG4037" s="33"/>
      <c r="AH4037" s="33"/>
      <c r="AI4037" s="33"/>
      <c r="AJ4037" s="33"/>
      <c r="AK4037" s="33"/>
    </row>
    <row r="4038">
      <c r="A4038" s="33"/>
      <c r="B4038" s="33"/>
      <c r="C4038" s="33"/>
      <c r="D4038" s="33"/>
      <c r="E4038" s="33"/>
      <c r="F4038" s="33"/>
      <c r="G4038" s="33"/>
      <c r="H4038" s="33"/>
      <c r="I4038" s="33"/>
      <c r="J4038" s="33"/>
      <c r="K4038" s="33"/>
      <c r="L4038" s="33"/>
      <c r="M4038" s="33"/>
      <c r="N4038" s="33"/>
      <c r="O4038" s="33"/>
      <c r="P4038" s="33"/>
      <c r="Q4038" s="33"/>
      <c r="R4038" s="33"/>
      <c r="S4038" s="33"/>
      <c r="T4038" s="33"/>
      <c r="U4038" s="33"/>
      <c r="V4038" s="33"/>
      <c r="W4038" s="33"/>
      <c r="X4038" s="33"/>
      <c r="Y4038" s="33"/>
      <c r="Z4038" s="33"/>
      <c r="AA4038" s="33"/>
      <c r="AB4038" s="33"/>
      <c r="AC4038" s="33"/>
      <c r="AD4038" s="33"/>
      <c r="AE4038" s="33"/>
      <c r="AF4038" s="33"/>
      <c r="AG4038" s="33"/>
      <c r="AH4038" s="33"/>
      <c r="AI4038" s="33"/>
      <c r="AJ4038" s="33"/>
      <c r="AK4038" s="33"/>
    </row>
    <row r="4039">
      <c r="A4039" s="33"/>
      <c r="B4039" s="33"/>
      <c r="C4039" s="33"/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  <c r="Q4039" s="33"/>
      <c r="R4039" s="33"/>
      <c r="S4039" s="33"/>
      <c r="T4039" s="33"/>
      <c r="U4039" s="33"/>
      <c r="V4039" s="33"/>
      <c r="W4039" s="33"/>
      <c r="X4039" s="33"/>
      <c r="Y4039" s="33"/>
      <c r="Z4039" s="33"/>
      <c r="AA4039" s="33"/>
      <c r="AB4039" s="33"/>
      <c r="AC4039" s="33"/>
      <c r="AD4039" s="33"/>
      <c r="AE4039" s="33"/>
      <c r="AF4039" s="33"/>
      <c r="AG4039" s="33"/>
      <c r="AH4039" s="33"/>
      <c r="AI4039" s="33"/>
      <c r="AJ4039" s="33"/>
      <c r="AK4039" s="33"/>
    </row>
    <row r="4040">
      <c r="A4040" s="33"/>
      <c r="B4040" s="33"/>
      <c r="C4040" s="33"/>
      <c r="D4040" s="33"/>
      <c r="E4040" s="33"/>
      <c r="F4040" s="33"/>
      <c r="G4040" s="33"/>
      <c r="H4040" s="33"/>
      <c r="I4040" s="33"/>
      <c r="J4040" s="33"/>
      <c r="K4040" s="33"/>
      <c r="L4040" s="33"/>
      <c r="M4040" s="33"/>
      <c r="N4040" s="33"/>
      <c r="O4040" s="33"/>
      <c r="P4040" s="33"/>
      <c r="Q4040" s="33"/>
      <c r="R4040" s="33"/>
      <c r="S4040" s="33"/>
      <c r="T4040" s="33"/>
      <c r="U4040" s="33"/>
      <c r="V4040" s="33"/>
      <c r="W4040" s="33"/>
      <c r="X4040" s="33"/>
      <c r="Y4040" s="33"/>
      <c r="Z4040" s="33"/>
      <c r="AA4040" s="33"/>
      <c r="AB4040" s="33"/>
      <c r="AC4040" s="33"/>
      <c r="AD4040" s="33"/>
      <c r="AE4040" s="33"/>
      <c r="AF4040" s="33"/>
      <c r="AG4040" s="33"/>
      <c r="AH4040" s="33"/>
      <c r="AI4040" s="33"/>
      <c r="AJ4040" s="33"/>
      <c r="AK4040" s="33"/>
    </row>
    <row r="4041">
      <c r="A4041" s="33"/>
      <c r="B4041" s="33"/>
      <c r="C4041" s="33"/>
      <c r="D4041" s="33"/>
      <c r="E4041" s="33"/>
      <c r="F4041" s="33"/>
      <c r="G4041" s="33"/>
      <c r="H4041" s="33"/>
      <c r="I4041" s="33"/>
      <c r="J4041" s="33"/>
      <c r="K4041" s="33"/>
      <c r="L4041" s="33"/>
      <c r="M4041" s="33"/>
      <c r="N4041" s="33"/>
      <c r="O4041" s="33"/>
      <c r="P4041" s="33"/>
      <c r="Q4041" s="33"/>
      <c r="R4041" s="33"/>
      <c r="S4041" s="33"/>
      <c r="T4041" s="33"/>
      <c r="U4041" s="33"/>
      <c r="V4041" s="33"/>
      <c r="W4041" s="33"/>
      <c r="X4041" s="33"/>
      <c r="Y4041" s="33"/>
      <c r="Z4041" s="33"/>
      <c r="AA4041" s="33"/>
      <c r="AB4041" s="33"/>
      <c r="AC4041" s="33"/>
      <c r="AD4041" s="33"/>
      <c r="AE4041" s="33"/>
      <c r="AF4041" s="33"/>
      <c r="AG4041" s="33"/>
      <c r="AH4041" s="33"/>
      <c r="AI4041" s="33"/>
      <c r="AJ4041" s="33"/>
      <c r="AK4041" s="33"/>
    </row>
    <row r="4042">
      <c r="A4042" s="33"/>
      <c r="B4042" s="33"/>
      <c r="C4042" s="33"/>
      <c r="D4042" s="33"/>
      <c r="E4042" s="33"/>
      <c r="F4042" s="33"/>
      <c r="G4042" s="33"/>
      <c r="H4042" s="33"/>
      <c r="I4042" s="33"/>
      <c r="J4042" s="33"/>
      <c r="K4042" s="33"/>
      <c r="L4042" s="33"/>
      <c r="M4042" s="33"/>
      <c r="N4042" s="33"/>
      <c r="O4042" s="33"/>
      <c r="P4042" s="33"/>
      <c r="Q4042" s="33"/>
      <c r="R4042" s="33"/>
      <c r="S4042" s="33"/>
      <c r="T4042" s="33"/>
      <c r="U4042" s="33"/>
      <c r="V4042" s="33"/>
      <c r="W4042" s="33"/>
      <c r="X4042" s="33"/>
      <c r="Y4042" s="33"/>
      <c r="Z4042" s="33"/>
      <c r="AA4042" s="33"/>
      <c r="AB4042" s="33"/>
      <c r="AC4042" s="33"/>
      <c r="AD4042" s="33"/>
      <c r="AE4042" s="33"/>
      <c r="AF4042" s="33"/>
      <c r="AG4042" s="33"/>
      <c r="AH4042" s="33"/>
      <c r="AI4042" s="33"/>
      <c r="AJ4042" s="33"/>
      <c r="AK4042" s="33"/>
    </row>
    <row r="4043">
      <c r="A4043" s="33"/>
      <c r="B4043" s="33"/>
      <c r="C4043" s="33"/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  <c r="R4043" s="33"/>
      <c r="S4043" s="33"/>
      <c r="T4043" s="33"/>
      <c r="U4043" s="33"/>
      <c r="V4043" s="33"/>
      <c r="W4043" s="33"/>
      <c r="X4043" s="33"/>
      <c r="Y4043" s="33"/>
      <c r="Z4043" s="33"/>
      <c r="AA4043" s="33"/>
      <c r="AB4043" s="33"/>
      <c r="AC4043" s="33"/>
      <c r="AD4043" s="33"/>
      <c r="AE4043" s="33"/>
      <c r="AF4043" s="33"/>
      <c r="AG4043" s="33"/>
      <c r="AH4043" s="33"/>
      <c r="AI4043" s="33"/>
      <c r="AJ4043" s="33"/>
      <c r="AK4043" s="33"/>
    </row>
    <row r="4044">
      <c r="A4044" s="33"/>
      <c r="B4044" s="33"/>
      <c r="C4044" s="33"/>
      <c r="D4044" s="33"/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3"/>
      <c r="P4044" s="33"/>
      <c r="Q4044" s="33"/>
      <c r="R4044" s="33"/>
      <c r="S4044" s="33"/>
      <c r="T4044" s="33"/>
      <c r="U4044" s="33"/>
      <c r="V4044" s="33"/>
      <c r="W4044" s="33"/>
      <c r="X4044" s="33"/>
      <c r="Y4044" s="33"/>
      <c r="Z4044" s="33"/>
      <c r="AA4044" s="33"/>
      <c r="AB4044" s="33"/>
      <c r="AC4044" s="33"/>
      <c r="AD4044" s="33"/>
      <c r="AE4044" s="33"/>
      <c r="AF4044" s="33"/>
      <c r="AG4044" s="33"/>
      <c r="AH4044" s="33"/>
      <c r="AI4044" s="33"/>
      <c r="AJ4044" s="33"/>
      <c r="AK4044" s="33"/>
    </row>
    <row r="4045">
      <c r="A4045" s="33"/>
      <c r="B4045" s="33"/>
      <c r="C4045" s="33"/>
      <c r="D4045" s="33"/>
      <c r="E4045" s="33"/>
      <c r="F4045" s="33"/>
      <c r="G4045" s="33"/>
      <c r="H4045" s="33"/>
      <c r="I4045" s="33"/>
      <c r="J4045" s="33"/>
      <c r="K4045" s="33"/>
      <c r="L4045" s="33"/>
      <c r="M4045" s="33"/>
      <c r="N4045" s="33"/>
      <c r="O4045" s="33"/>
      <c r="P4045" s="33"/>
      <c r="Q4045" s="33"/>
      <c r="R4045" s="33"/>
      <c r="S4045" s="33"/>
      <c r="T4045" s="33"/>
      <c r="U4045" s="33"/>
      <c r="V4045" s="33"/>
      <c r="W4045" s="33"/>
      <c r="X4045" s="33"/>
      <c r="Y4045" s="33"/>
      <c r="Z4045" s="33"/>
      <c r="AA4045" s="33"/>
      <c r="AB4045" s="33"/>
      <c r="AC4045" s="33"/>
      <c r="AD4045" s="33"/>
      <c r="AE4045" s="33"/>
      <c r="AF4045" s="33"/>
      <c r="AG4045" s="33"/>
      <c r="AH4045" s="33"/>
      <c r="AI4045" s="33"/>
      <c r="AJ4045" s="33"/>
      <c r="AK4045" s="33"/>
    </row>
    <row r="4046">
      <c r="A4046" s="33"/>
      <c r="B4046" s="33"/>
      <c r="C4046" s="33"/>
      <c r="D4046" s="33"/>
      <c r="E4046" s="33"/>
      <c r="F4046" s="33"/>
      <c r="G4046" s="33"/>
      <c r="H4046" s="33"/>
      <c r="I4046" s="33"/>
      <c r="J4046" s="33"/>
      <c r="K4046" s="33"/>
      <c r="L4046" s="33"/>
      <c r="M4046" s="33"/>
      <c r="N4046" s="33"/>
      <c r="O4046" s="33"/>
      <c r="P4046" s="33"/>
      <c r="Q4046" s="33"/>
      <c r="R4046" s="33"/>
      <c r="S4046" s="33"/>
      <c r="T4046" s="33"/>
      <c r="U4046" s="33"/>
      <c r="V4046" s="33"/>
      <c r="W4046" s="33"/>
      <c r="X4046" s="33"/>
      <c r="Y4046" s="33"/>
      <c r="Z4046" s="33"/>
      <c r="AA4046" s="33"/>
      <c r="AB4046" s="33"/>
      <c r="AC4046" s="33"/>
      <c r="AD4046" s="33"/>
      <c r="AE4046" s="33"/>
      <c r="AF4046" s="33"/>
      <c r="AG4046" s="33"/>
      <c r="AH4046" s="33"/>
      <c r="AI4046" s="33"/>
      <c r="AJ4046" s="33"/>
      <c r="AK4046" s="33"/>
    </row>
    <row r="4047">
      <c r="A4047" s="33"/>
      <c r="B4047" s="33"/>
      <c r="C4047" s="33"/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  <c r="Q4047" s="33"/>
      <c r="R4047" s="33"/>
      <c r="S4047" s="33"/>
      <c r="T4047" s="33"/>
      <c r="U4047" s="33"/>
      <c r="V4047" s="33"/>
      <c r="W4047" s="33"/>
      <c r="X4047" s="33"/>
      <c r="Y4047" s="33"/>
      <c r="Z4047" s="33"/>
      <c r="AA4047" s="33"/>
      <c r="AB4047" s="33"/>
      <c r="AC4047" s="33"/>
      <c r="AD4047" s="33"/>
      <c r="AE4047" s="33"/>
      <c r="AF4047" s="33"/>
      <c r="AG4047" s="33"/>
      <c r="AH4047" s="33"/>
      <c r="AI4047" s="33"/>
      <c r="AJ4047" s="33"/>
      <c r="AK4047" s="33"/>
    </row>
    <row r="4048">
      <c r="A4048" s="33"/>
      <c r="B4048" s="33"/>
      <c r="C4048" s="33"/>
      <c r="D4048" s="33"/>
      <c r="E4048" s="33"/>
      <c r="F4048" s="33"/>
      <c r="G4048" s="33"/>
      <c r="H4048" s="33"/>
      <c r="I4048" s="33"/>
      <c r="J4048" s="33"/>
      <c r="K4048" s="33"/>
      <c r="L4048" s="33"/>
      <c r="M4048" s="33"/>
      <c r="N4048" s="33"/>
      <c r="O4048" s="33"/>
      <c r="P4048" s="33"/>
      <c r="Q4048" s="33"/>
      <c r="R4048" s="33"/>
      <c r="S4048" s="33"/>
      <c r="T4048" s="33"/>
      <c r="U4048" s="33"/>
      <c r="V4048" s="33"/>
      <c r="W4048" s="33"/>
      <c r="X4048" s="33"/>
      <c r="Y4048" s="33"/>
      <c r="Z4048" s="33"/>
      <c r="AA4048" s="33"/>
      <c r="AB4048" s="33"/>
      <c r="AC4048" s="33"/>
      <c r="AD4048" s="33"/>
      <c r="AE4048" s="33"/>
      <c r="AF4048" s="33"/>
      <c r="AG4048" s="33"/>
      <c r="AH4048" s="33"/>
      <c r="AI4048" s="33"/>
      <c r="AJ4048" s="33"/>
      <c r="AK4048" s="33"/>
    </row>
    <row r="4049">
      <c r="A4049" s="33"/>
      <c r="B4049" s="33"/>
      <c r="C4049" s="33"/>
      <c r="D4049" s="33"/>
      <c r="E4049" s="33"/>
      <c r="F4049" s="33"/>
      <c r="G4049" s="33"/>
      <c r="H4049" s="33"/>
      <c r="I4049" s="33"/>
      <c r="J4049" s="33"/>
      <c r="K4049" s="33"/>
      <c r="L4049" s="33"/>
      <c r="M4049" s="33"/>
      <c r="N4049" s="33"/>
      <c r="O4049" s="33"/>
      <c r="P4049" s="33"/>
      <c r="Q4049" s="33"/>
      <c r="R4049" s="33"/>
      <c r="S4049" s="33"/>
      <c r="T4049" s="33"/>
      <c r="U4049" s="33"/>
      <c r="V4049" s="33"/>
      <c r="W4049" s="33"/>
      <c r="X4049" s="33"/>
      <c r="Y4049" s="33"/>
      <c r="Z4049" s="33"/>
      <c r="AA4049" s="33"/>
      <c r="AB4049" s="33"/>
      <c r="AC4049" s="33"/>
      <c r="AD4049" s="33"/>
      <c r="AE4049" s="33"/>
      <c r="AF4049" s="33"/>
      <c r="AG4049" s="33"/>
      <c r="AH4049" s="33"/>
      <c r="AI4049" s="33"/>
      <c r="AJ4049" s="33"/>
      <c r="AK4049" s="33"/>
    </row>
    <row r="4050">
      <c r="A4050" s="33"/>
      <c r="B4050" s="33"/>
      <c r="C4050" s="33"/>
      <c r="D4050" s="33"/>
      <c r="E4050" s="33"/>
      <c r="F4050" s="33"/>
      <c r="G4050" s="33"/>
      <c r="H4050" s="33"/>
      <c r="I4050" s="33"/>
      <c r="J4050" s="33"/>
      <c r="K4050" s="33"/>
      <c r="L4050" s="33"/>
      <c r="M4050" s="33"/>
      <c r="N4050" s="33"/>
      <c r="O4050" s="33"/>
      <c r="P4050" s="33"/>
      <c r="Q4050" s="33"/>
      <c r="R4050" s="33"/>
      <c r="S4050" s="33"/>
      <c r="T4050" s="33"/>
      <c r="U4050" s="33"/>
      <c r="V4050" s="33"/>
      <c r="W4050" s="33"/>
      <c r="X4050" s="33"/>
      <c r="Y4050" s="33"/>
      <c r="Z4050" s="33"/>
      <c r="AA4050" s="33"/>
      <c r="AB4050" s="33"/>
      <c r="AC4050" s="33"/>
      <c r="AD4050" s="33"/>
      <c r="AE4050" s="33"/>
      <c r="AF4050" s="33"/>
      <c r="AG4050" s="33"/>
      <c r="AH4050" s="33"/>
      <c r="AI4050" s="33"/>
      <c r="AJ4050" s="33"/>
      <c r="AK4050" s="33"/>
    </row>
    <row r="4051">
      <c r="A4051" s="33"/>
      <c r="B4051" s="33"/>
      <c r="C4051" s="33"/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  <c r="Q4051" s="33"/>
      <c r="R4051" s="33"/>
      <c r="S4051" s="33"/>
      <c r="T4051" s="33"/>
      <c r="U4051" s="33"/>
      <c r="V4051" s="33"/>
      <c r="W4051" s="33"/>
      <c r="X4051" s="33"/>
      <c r="Y4051" s="33"/>
      <c r="Z4051" s="33"/>
      <c r="AA4051" s="33"/>
      <c r="AB4051" s="33"/>
      <c r="AC4051" s="33"/>
      <c r="AD4051" s="33"/>
      <c r="AE4051" s="33"/>
      <c r="AF4051" s="33"/>
      <c r="AG4051" s="33"/>
      <c r="AH4051" s="33"/>
      <c r="AI4051" s="33"/>
      <c r="AJ4051" s="33"/>
      <c r="AK4051" s="33"/>
    </row>
    <row r="4052">
      <c r="A4052" s="33"/>
      <c r="B4052" s="33"/>
      <c r="C4052" s="33"/>
      <c r="D4052" s="33"/>
      <c r="E4052" s="33"/>
      <c r="F4052" s="33"/>
      <c r="G4052" s="33"/>
      <c r="H4052" s="33"/>
      <c r="I4052" s="33"/>
      <c r="J4052" s="33"/>
      <c r="K4052" s="33"/>
      <c r="L4052" s="33"/>
      <c r="M4052" s="33"/>
      <c r="N4052" s="33"/>
      <c r="O4052" s="33"/>
      <c r="P4052" s="33"/>
      <c r="Q4052" s="33"/>
      <c r="R4052" s="33"/>
      <c r="S4052" s="33"/>
      <c r="T4052" s="33"/>
      <c r="U4052" s="33"/>
      <c r="V4052" s="33"/>
      <c r="W4052" s="33"/>
      <c r="X4052" s="33"/>
      <c r="Y4052" s="33"/>
      <c r="Z4052" s="33"/>
      <c r="AA4052" s="33"/>
      <c r="AB4052" s="33"/>
      <c r="AC4052" s="33"/>
      <c r="AD4052" s="33"/>
      <c r="AE4052" s="33"/>
      <c r="AF4052" s="33"/>
      <c r="AG4052" s="33"/>
      <c r="AH4052" s="33"/>
      <c r="AI4052" s="33"/>
      <c r="AJ4052" s="33"/>
      <c r="AK4052" s="33"/>
    </row>
    <row r="4053">
      <c r="A4053" s="33"/>
      <c r="B4053" s="33"/>
      <c r="C4053" s="33"/>
      <c r="D4053" s="33"/>
      <c r="E4053" s="33"/>
      <c r="F4053" s="33"/>
      <c r="G4053" s="33"/>
      <c r="H4053" s="33"/>
      <c r="I4053" s="33"/>
      <c r="J4053" s="33"/>
      <c r="K4053" s="33"/>
      <c r="L4053" s="33"/>
      <c r="M4053" s="33"/>
      <c r="N4053" s="33"/>
      <c r="O4053" s="33"/>
      <c r="P4053" s="33"/>
      <c r="Q4053" s="33"/>
      <c r="R4053" s="33"/>
      <c r="S4053" s="33"/>
      <c r="T4053" s="33"/>
      <c r="U4053" s="33"/>
      <c r="V4053" s="33"/>
      <c r="W4053" s="33"/>
      <c r="X4053" s="33"/>
      <c r="Y4053" s="33"/>
      <c r="Z4053" s="33"/>
      <c r="AA4053" s="33"/>
      <c r="AB4053" s="33"/>
      <c r="AC4053" s="33"/>
      <c r="AD4053" s="33"/>
      <c r="AE4053" s="33"/>
      <c r="AF4053" s="33"/>
      <c r="AG4053" s="33"/>
      <c r="AH4053" s="33"/>
      <c r="AI4053" s="33"/>
      <c r="AJ4053" s="33"/>
      <c r="AK4053" s="33"/>
    </row>
    <row r="4054">
      <c r="A4054" s="33"/>
      <c r="B4054" s="33"/>
      <c r="C4054" s="33"/>
      <c r="D4054" s="33"/>
      <c r="E4054" s="33"/>
      <c r="F4054" s="33"/>
      <c r="G4054" s="33"/>
      <c r="H4054" s="33"/>
      <c r="I4054" s="33"/>
      <c r="J4054" s="33"/>
      <c r="K4054" s="33"/>
      <c r="L4054" s="33"/>
      <c r="M4054" s="33"/>
      <c r="N4054" s="33"/>
      <c r="O4054" s="33"/>
      <c r="P4054" s="33"/>
      <c r="Q4054" s="33"/>
      <c r="R4054" s="33"/>
      <c r="S4054" s="33"/>
      <c r="T4054" s="33"/>
      <c r="U4054" s="33"/>
      <c r="V4054" s="33"/>
      <c r="W4054" s="33"/>
      <c r="X4054" s="33"/>
      <c r="Y4054" s="33"/>
      <c r="Z4054" s="33"/>
      <c r="AA4054" s="33"/>
      <c r="AB4054" s="33"/>
      <c r="AC4054" s="33"/>
      <c r="AD4054" s="33"/>
      <c r="AE4054" s="33"/>
      <c r="AF4054" s="33"/>
      <c r="AG4054" s="33"/>
      <c r="AH4054" s="33"/>
      <c r="AI4054" s="33"/>
      <c r="AJ4054" s="33"/>
      <c r="AK4054" s="33"/>
    </row>
    <row r="4055">
      <c r="A4055" s="33"/>
      <c r="B4055" s="33"/>
      <c r="C4055" s="33"/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  <c r="Q4055" s="33"/>
      <c r="R4055" s="33"/>
      <c r="S4055" s="33"/>
      <c r="T4055" s="33"/>
      <c r="U4055" s="33"/>
      <c r="V4055" s="33"/>
      <c r="W4055" s="33"/>
      <c r="X4055" s="33"/>
      <c r="Y4055" s="33"/>
      <c r="Z4055" s="33"/>
      <c r="AA4055" s="33"/>
      <c r="AB4055" s="33"/>
      <c r="AC4055" s="33"/>
      <c r="AD4055" s="33"/>
      <c r="AE4055" s="33"/>
      <c r="AF4055" s="33"/>
      <c r="AG4055" s="33"/>
      <c r="AH4055" s="33"/>
      <c r="AI4055" s="33"/>
      <c r="AJ4055" s="33"/>
      <c r="AK4055" s="33"/>
    </row>
    <row r="4056">
      <c r="A4056" s="33"/>
      <c r="B4056" s="33"/>
      <c r="C4056" s="33"/>
      <c r="D4056" s="33"/>
      <c r="E4056" s="33"/>
      <c r="F4056" s="33"/>
      <c r="G4056" s="33"/>
      <c r="H4056" s="33"/>
      <c r="I4056" s="33"/>
      <c r="J4056" s="33"/>
      <c r="K4056" s="33"/>
      <c r="L4056" s="33"/>
      <c r="M4056" s="33"/>
      <c r="N4056" s="33"/>
      <c r="O4056" s="33"/>
      <c r="P4056" s="33"/>
      <c r="Q4056" s="33"/>
      <c r="R4056" s="33"/>
      <c r="S4056" s="33"/>
      <c r="T4056" s="33"/>
      <c r="U4056" s="33"/>
      <c r="V4056" s="33"/>
      <c r="W4056" s="33"/>
      <c r="X4056" s="33"/>
      <c r="Y4056" s="33"/>
      <c r="Z4056" s="33"/>
      <c r="AA4056" s="33"/>
      <c r="AB4056" s="33"/>
      <c r="AC4056" s="33"/>
      <c r="AD4056" s="33"/>
      <c r="AE4056" s="33"/>
      <c r="AF4056" s="33"/>
      <c r="AG4056" s="33"/>
      <c r="AH4056" s="33"/>
      <c r="AI4056" s="33"/>
      <c r="AJ4056" s="33"/>
      <c r="AK4056" s="33"/>
    </row>
    <row r="4057">
      <c r="A4057" s="33"/>
      <c r="B4057" s="33"/>
      <c r="C4057" s="33"/>
      <c r="D4057" s="33"/>
      <c r="E4057" s="33"/>
      <c r="F4057" s="33"/>
      <c r="G4057" s="33"/>
      <c r="H4057" s="33"/>
      <c r="I4057" s="33"/>
      <c r="J4057" s="33"/>
      <c r="K4057" s="33"/>
      <c r="L4057" s="33"/>
      <c r="M4057" s="33"/>
      <c r="N4057" s="33"/>
      <c r="O4057" s="33"/>
      <c r="P4057" s="33"/>
      <c r="Q4057" s="33"/>
      <c r="R4057" s="33"/>
      <c r="S4057" s="33"/>
      <c r="T4057" s="33"/>
      <c r="U4057" s="33"/>
      <c r="V4057" s="33"/>
      <c r="W4057" s="33"/>
      <c r="X4057" s="33"/>
      <c r="Y4057" s="33"/>
      <c r="Z4057" s="33"/>
      <c r="AA4057" s="33"/>
      <c r="AB4057" s="33"/>
      <c r="AC4057" s="33"/>
      <c r="AD4057" s="33"/>
      <c r="AE4057" s="33"/>
      <c r="AF4057" s="33"/>
      <c r="AG4057" s="33"/>
      <c r="AH4057" s="33"/>
      <c r="AI4057" s="33"/>
      <c r="AJ4057" s="33"/>
      <c r="AK4057" s="33"/>
    </row>
    <row r="4058">
      <c r="A4058" s="33"/>
      <c r="B4058" s="33"/>
      <c r="C4058" s="33"/>
      <c r="D4058" s="33"/>
      <c r="E4058" s="33"/>
      <c r="F4058" s="33"/>
      <c r="G4058" s="33"/>
      <c r="H4058" s="33"/>
      <c r="I4058" s="33"/>
      <c r="J4058" s="33"/>
      <c r="K4058" s="33"/>
      <c r="L4058" s="33"/>
      <c r="M4058" s="33"/>
      <c r="N4058" s="33"/>
      <c r="O4058" s="33"/>
      <c r="P4058" s="33"/>
      <c r="Q4058" s="33"/>
      <c r="R4058" s="33"/>
      <c r="S4058" s="33"/>
      <c r="T4058" s="33"/>
      <c r="U4058" s="33"/>
      <c r="V4058" s="33"/>
      <c r="W4058" s="33"/>
      <c r="X4058" s="33"/>
      <c r="Y4058" s="33"/>
      <c r="Z4058" s="33"/>
      <c r="AA4058" s="33"/>
      <c r="AB4058" s="33"/>
      <c r="AC4058" s="33"/>
      <c r="AD4058" s="33"/>
      <c r="AE4058" s="33"/>
      <c r="AF4058" s="33"/>
      <c r="AG4058" s="33"/>
      <c r="AH4058" s="33"/>
      <c r="AI4058" s="33"/>
      <c r="AJ4058" s="33"/>
      <c r="AK4058" s="33"/>
    </row>
    <row r="4059">
      <c r="A4059" s="33"/>
      <c r="B4059" s="33"/>
      <c r="C4059" s="33"/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  <c r="Q4059" s="33"/>
      <c r="R4059" s="33"/>
      <c r="S4059" s="33"/>
      <c r="T4059" s="33"/>
      <c r="U4059" s="33"/>
      <c r="V4059" s="33"/>
      <c r="W4059" s="33"/>
      <c r="X4059" s="33"/>
      <c r="Y4059" s="33"/>
      <c r="Z4059" s="33"/>
      <c r="AA4059" s="33"/>
      <c r="AB4059" s="33"/>
      <c r="AC4059" s="33"/>
      <c r="AD4059" s="33"/>
      <c r="AE4059" s="33"/>
      <c r="AF4059" s="33"/>
      <c r="AG4059" s="33"/>
      <c r="AH4059" s="33"/>
      <c r="AI4059" s="33"/>
      <c r="AJ4059" s="33"/>
      <c r="AK4059" s="33"/>
    </row>
    <row r="4060">
      <c r="A4060" s="33"/>
      <c r="B4060" s="33"/>
      <c r="C4060" s="33"/>
      <c r="D4060" s="33"/>
      <c r="E4060" s="33"/>
      <c r="F4060" s="33"/>
      <c r="G4060" s="33"/>
      <c r="H4060" s="33"/>
      <c r="I4060" s="33"/>
      <c r="J4060" s="33"/>
      <c r="K4060" s="33"/>
      <c r="L4060" s="33"/>
      <c r="M4060" s="33"/>
      <c r="N4060" s="33"/>
      <c r="O4060" s="33"/>
      <c r="P4060" s="33"/>
      <c r="Q4060" s="33"/>
      <c r="R4060" s="33"/>
      <c r="S4060" s="33"/>
      <c r="T4060" s="33"/>
      <c r="U4060" s="33"/>
      <c r="V4060" s="33"/>
      <c r="W4060" s="33"/>
      <c r="X4060" s="33"/>
      <c r="Y4060" s="33"/>
      <c r="Z4060" s="33"/>
      <c r="AA4060" s="33"/>
      <c r="AB4060" s="33"/>
      <c r="AC4060" s="33"/>
      <c r="AD4060" s="33"/>
      <c r="AE4060" s="33"/>
      <c r="AF4060" s="33"/>
      <c r="AG4060" s="33"/>
      <c r="AH4060" s="33"/>
      <c r="AI4060" s="33"/>
      <c r="AJ4060" s="33"/>
      <c r="AK4060" s="33"/>
    </row>
    <row r="4061">
      <c r="A4061" s="33"/>
      <c r="B4061" s="33"/>
      <c r="C4061" s="33"/>
      <c r="D4061" s="33"/>
      <c r="E4061" s="33"/>
      <c r="F4061" s="33"/>
      <c r="G4061" s="33"/>
      <c r="H4061" s="33"/>
      <c r="I4061" s="33"/>
      <c r="J4061" s="33"/>
      <c r="K4061" s="33"/>
      <c r="L4061" s="33"/>
      <c r="M4061" s="33"/>
      <c r="N4061" s="33"/>
      <c r="O4061" s="33"/>
      <c r="P4061" s="33"/>
      <c r="Q4061" s="33"/>
      <c r="R4061" s="33"/>
      <c r="S4061" s="33"/>
      <c r="T4061" s="33"/>
      <c r="U4061" s="33"/>
      <c r="V4061" s="33"/>
      <c r="W4061" s="33"/>
      <c r="X4061" s="33"/>
      <c r="Y4061" s="33"/>
      <c r="Z4061" s="33"/>
      <c r="AA4061" s="33"/>
      <c r="AB4061" s="33"/>
      <c r="AC4061" s="33"/>
      <c r="AD4061" s="33"/>
      <c r="AE4061" s="33"/>
      <c r="AF4061" s="33"/>
      <c r="AG4061" s="33"/>
      <c r="AH4061" s="33"/>
      <c r="AI4061" s="33"/>
      <c r="AJ4061" s="33"/>
      <c r="AK4061" s="33"/>
    </row>
    <row r="4062">
      <c r="A4062" s="33"/>
      <c r="B4062" s="33"/>
      <c r="C4062" s="33"/>
      <c r="D4062" s="33"/>
      <c r="E4062" s="33"/>
      <c r="F4062" s="33"/>
      <c r="G4062" s="33"/>
      <c r="H4062" s="33"/>
      <c r="I4062" s="33"/>
      <c r="J4062" s="33"/>
      <c r="K4062" s="33"/>
      <c r="L4062" s="33"/>
      <c r="M4062" s="33"/>
      <c r="N4062" s="33"/>
      <c r="O4062" s="33"/>
      <c r="P4062" s="33"/>
      <c r="Q4062" s="33"/>
      <c r="R4062" s="33"/>
      <c r="S4062" s="33"/>
      <c r="T4062" s="33"/>
      <c r="U4062" s="33"/>
      <c r="V4062" s="33"/>
      <c r="W4062" s="33"/>
      <c r="X4062" s="33"/>
      <c r="Y4062" s="33"/>
      <c r="Z4062" s="33"/>
      <c r="AA4062" s="33"/>
      <c r="AB4062" s="33"/>
      <c r="AC4062" s="33"/>
      <c r="AD4062" s="33"/>
      <c r="AE4062" s="33"/>
      <c r="AF4062" s="33"/>
      <c r="AG4062" s="33"/>
      <c r="AH4062" s="33"/>
      <c r="AI4062" s="33"/>
      <c r="AJ4062" s="33"/>
      <c r="AK4062" s="33"/>
    </row>
    <row r="4063">
      <c r="A4063" s="33"/>
      <c r="B4063" s="33"/>
      <c r="C4063" s="33"/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  <c r="Q4063" s="33"/>
      <c r="R4063" s="33"/>
      <c r="S4063" s="33"/>
      <c r="T4063" s="33"/>
      <c r="U4063" s="33"/>
      <c r="V4063" s="33"/>
      <c r="W4063" s="33"/>
      <c r="X4063" s="33"/>
      <c r="Y4063" s="33"/>
      <c r="Z4063" s="33"/>
      <c r="AA4063" s="33"/>
      <c r="AB4063" s="33"/>
      <c r="AC4063" s="33"/>
      <c r="AD4063" s="33"/>
      <c r="AE4063" s="33"/>
      <c r="AF4063" s="33"/>
      <c r="AG4063" s="33"/>
      <c r="AH4063" s="33"/>
      <c r="AI4063" s="33"/>
      <c r="AJ4063" s="33"/>
      <c r="AK4063" s="33"/>
    </row>
    <row r="4064">
      <c r="A4064" s="33"/>
      <c r="B4064" s="33"/>
      <c r="C4064" s="33"/>
      <c r="D4064" s="33"/>
      <c r="E4064" s="33"/>
      <c r="F4064" s="33"/>
      <c r="G4064" s="33"/>
      <c r="H4064" s="33"/>
      <c r="I4064" s="33"/>
      <c r="J4064" s="33"/>
      <c r="K4064" s="33"/>
      <c r="L4064" s="33"/>
      <c r="M4064" s="33"/>
      <c r="N4064" s="33"/>
      <c r="O4064" s="33"/>
      <c r="P4064" s="33"/>
      <c r="Q4064" s="33"/>
      <c r="R4064" s="33"/>
      <c r="S4064" s="33"/>
      <c r="T4064" s="33"/>
      <c r="U4064" s="33"/>
      <c r="V4064" s="33"/>
      <c r="W4064" s="33"/>
      <c r="X4064" s="33"/>
      <c r="Y4064" s="33"/>
      <c r="Z4064" s="33"/>
      <c r="AA4064" s="33"/>
      <c r="AB4064" s="33"/>
      <c r="AC4064" s="33"/>
      <c r="AD4064" s="33"/>
      <c r="AE4064" s="33"/>
      <c r="AF4064" s="33"/>
      <c r="AG4064" s="33"/>
      <c r="AH4064" s="33"/>
      <c r="AI4064" s="33"/>
      <c r="AJ4064" s="33"/>
      <c r="AK4064" s="33"/>
    </row>
    <row r="4065">
      <c r="A4065" s="33"/>
      <c r="B4065" s="33"/>
      <c r="C4065" s="33"/>
      <c r="D4065" s="33"/>
      <c r="E4065" s="33"/>
      <c r="F4065" s="33"/>
      <c r="G4065" s="33"/>
      <c r="H4065" s="33"/>
      <c r="I4065" s="33"/>
      <c r="J4065" s="33"/>
      <c r="K4065" s="33"/>
      <c r="L4065" s="33"/>
      <c r="M4065" s="33"/>
      <c r="N4065" s="33"/>
      <c r="O4065" s="33"/>
      <c r="P4065" s="33"/>
      <c r="Q4065" s="33"/>
      <c r="R4065" s="33"/>
      <c r="S4065" s="33"/>
      <c r="T4065" s="33"/>
      <c r="U4065" s="33"/>
      <c r="V4065" s="33"/>
      <c r="W4065" s="33"/>
      <c r="X4065" s="33"/>
      <c r="Y4065" s="33"/>
      <c r="Z4065" s="33"/>
      <c r="AA4065" s="33"/>
      <c r="AB4065" s="33"/>
      <c r="AC4065" s="33"/>
      <c r="AD4065" s="33"/>
      <c r="AE4065" s="33"/>
      <c r="AF4065" s="33"/>
      <c r="AG4065" s="33"/>
      <c r="AH4065" s="33"/>
      <c r="AI4065" s="33"/>
      <c r="AJ4065" s="33"/>
      <c r="AK4065" s="33"/>
    </row>
    <row r="4066">
      <c r="A4066" s="33"/>
      <c r="B4066" s="33"/>
      <c r="C4066" s="33"/>
      <c r="D4066" s="33"/>
      <c r="E4066" s="33"/>
      <c r="F4066" s="33"/>
      <c r="G4066" s="33"/>
      <c r="H4066" s="33"/>
      <c r="I4066" s="33"/>
      <c r="J4066" s="33"/>
      <c r="K4066" s="33"/>
      <c r="L4066" s="33"/>
      <c r="M4066" s="33"/>
      <c r="N4066" s="33"/>
      <c r="O4066" s="33"/>
      <c r="P4066" s="33"/>
      <c r="Q4066" s="33"/>
      <c r="R4066" s="33"/>
      <c r="S4066" s="33"/>
      <c r="T4066" s="33"/>
      <c r="U4066" s="33"/>
      <c r="V4066" s="33"/>
      <c r="W4066" s="33"/>
      <c r="X4066" s="33"/>
      <c r="Y4066" s="33"/>
      <c r="Z4066" s="33"/>
      <c r="AA4066" s="33"/>
      <c r="AB4066" s="33"/>
      <c r="AC4066" s="33"/>
      <c r="AD4066" s="33"/>
      <c r="AE4066" s="33"/>
      <c r="AF4066" s="33"/>
      <c r="AG4066" s="33"/>
      <c r="AH4066" s="33"/>
      <c r="AI4066" s="33"/>
      <c r="AJ4066" s="33"/>
      <c r="AK4066" s="33"/>
    </row>
    <row r="4067">
      <c r="A4067" s="33"/>
      <c r="B4067" s="33"/>
      <c r="C4067" s="33"/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3"/>
      <c r="S4067" s="33"/>
      <c r="T4067" s="33"/>
      <c r="U4067" s="33"/>
      <c r="V4067" s="33"/>
      <c r="W4067" s="33"/>
      <c r="X4067" s="33"/>
      <c r="Y4067" s="33"/>
      <c r="Z4067" s="33"/>
      <c r="AA4067" s="33"/>
      <c r="AB4067" s="33"/>
      <c r="AC4067" s="33"/>
      <c r="AD4067" s="33"/>
      <c r="AE4067" s="33"/>
      <c r="AF4067" s="33"/>
      <c r="AG4067" s="33"/>
      <c r="AH4067" s="33"/>
      <c r="AI4067" s="33"/>
      <c r="AJ4067" s="33"/>
      <c r="AK4067" s="33"/>
    </row>
    <row r="4068">
      <c r="A4068" s="33"/>
      <c r="B4068" s="33"/>
      <c r="C4068" s="33"/>
      <c r="D4068" s="33"/>
      <c r="E4068" s="33"/>
      <c r="F4068" s="33"/>
      <c r="G4068" s="33"/>
      <c r="H4068" s="33"/>
      <c r="I4068" s="33"/>
      <c r="J4068" s="33"/>
      <c r="K4068" s="33"/>
      <c r="L4068" s="33"/>
      <c r="M4068" s="33"/>
      <c r="N4068" s="33"/>
      <c r="O4068" s="33"/>
      <c r="P4068" s="33"/>
      <c r="Q4068" s="33"/>
      <c r="R4068" s="33"/>
      <c r="S4068" s="33"/>
      <c r="T4068" s="33"/>
      <c r="U4068" s="33"/>
      <c r="V4068" s="33"/>
      <c r="W4068" s="33"/>
      <c r="X4068" s="33"/>
      <c r="Y4068" s="33"/>
      <c r="Z4068" s="33"/>
      <c r="AA4068" s="33"/>
      <c r="AB4068" s="33"/>
      <c r="AC4068" s="33"/>
      <c r="AD4068" s="33"/>
      <c r="AE4068" s="33"/>
      <c r="AF4068" s="33"/>
      <c r="AG4068" s="33"/>
      <c r="AH4068" s="33"/>
      <c r="AI4068" s="33"/>
      <c r="AJ4068" s="33"/>
      <c r="AK4068" s="33"/>
    </row>
    <row r="4069">
      <c r="A4069" s="33"/>
      <c r="B4069" s="33"/>
      <c r="C4069" s="33"/>
      <c r="D4069" s="33"/>
      <c r="E4069" s="33"/>
      <c r="F4069" s="33"/>
      <c r="G4069" s="33"/>
      <c r="H4069" s="33"/>
      <c r="I4069" s="33"/>
      <c r="J4069" s="33"/>
      <c r="K4069" s="33"/>
      <c r="L4069" s="33"/>
      <c r="M4069" s="33"/>
      <c r="N4069" s="33"/>
      <c r="O4069" s="33"/>
      <c r="P4069" s="33"/>
      <c r="Q4069" s="33"/>
      <c r="R4069" s="33"/>
      <c r="S4069" s="33"/>
      <c r="T4069" s="33"/>
      <c r="U4069" s="33"/>
      <c r="V4069" s="33"/>
      <c r="W4069" s="33"/>
      <c r="X4069" s="33"/>
      <c r="Y4069" s="33"/>
      <c r="Z4069" s="33"/>
      <c r="AA4069" s="33"/>
      <c r="AB4069" s="33"/>
      <c r="AC4069" s="33"/>
      <c r="AD4069" s="33"/>
      <c r="AE4069" s="33"/>
      <c r="AF4069" s="33"/>
      <c r="AG4069" s="33"/>
      <c r="AH4069" s="33"/>
      <c r="AI4069" s="33"/>
      <c r="AJ4069" s="33"/>
      <c r="AK4069" s="33"/>
    </row>
    <row r="4070">
      <c r="A4070" s="33"/>
      <c r="B4070" s="33"/>
      <c r="C4070" s="33"/>
      <c r="D4070" s="33"/>
      <c r="E4070" s="33"/>
      <c r="F4070" s="33"/>
      <c r="G4070" s="33"/>
      <c r="H4070" s="33"/>
      <c r="I4070" s="33"/>
      <c r="J4070" s="33"/>
      <c r="K4070" s="33"/>
      <c r="L4070" s="33"/>
      <c r="M4070" s="33"/>
      <c r="N4070" s="33"/>
      <c r="O4070" s="33"/>
      <c r="P4070" s="33"/>
      <c r="Q4070" s="33"/>
      <c r="R4070" s="33"/>
      <c r="S4070" s="33"/>
      <c r="T4070" s="33"/>
      <c r="U4070" s="33"/>
      <c r="V4070" s="33"/>
      <c r="W4070" s="33"/>
      <c r="X4070" s="33"/>
      <c r="Y4070" s="33"/>
      <c r="Z4070" s="33"/>
      <c r="AA4070" s="33"/>
      <c r="AB4070" s="33"/>
      <c r="AC4070" s="33"/>
      <c r="AD4070" s="33"/>
      <c r="AE4070" s="33"/>
      <c r="AF4070" s="33"/>
      <c r="AG4070" s="33"/>
      <c r="AH4070" s="33"/>
      <c r="AI4070" s="33"/>
      <c r="AJ4070" s="33"/>
      <c r="AK4070" s="33"/>
    </row>
    <row r="4071">
      <c r="A4071" s="33"/>
      <c r="B4071" s="33"/>
      <c r="C4071" s="33"/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  <c r="Q4071" s="33"/>
      <c r="R4071" s="33"/>
      <c r="S4071" s="33"/>
      <c r="T4071" s="33"/>
      <c r="U4071" s="33"/>
      <c r="V4071" s="33"/>
      <c r="W4071" s="33"/>
      <c r="X4071" s="33"/>
      <c r="Y4071" s="33"/>
      <c r="Z4071" s="33"/>
      <c r="AA4071" s="33"/>
      <c r="AB4071" s="33"/>
      <c r="AC4071" s="33"/>
      <c r="AD4071" s="33"/>
      <c r="AE4071" s="33"/>
      <c r="AF4071" s="33"/>
      <c r="AG4071" s="33"/>
      <c r="AH4071" s="33"/>
      <c r="AI4071" s="33"/>
      <c r="AJ4071" s="33"/>
      <c r="AK4071" s="33"/>
    </row>
    <row r="4072">
      <c r="A4072" s="33"/>
      <c r="B4072" s="33"/>
      <c r="C4072" s="33"/>
      <c r="D4072" s="33"/>
      <c r="E4072" s="33"/>
      <c r="F4072" s="33"/>
      <c r="G4072" s="33"/>
      <c r="H4072" s="33"/>
      <c r="I4072" s="33"/>
      <c r="J4072" s="33"/>
      <c r="K4072" s="33"/>
      <c r="L4072" s="33"/>
      <c r="M4072" s="33"/>
      <c r="N4072" s="33"/>
      <c r="O4072" s="33"/>
      <c r="P4072" s="33"/>
      <c r="Q4072" s="33"/>
      <c r="R4072" s="33"/>
      <c r="S4072" s="33"/>
      <c r="T4072" s="33"/>
      <c r="U4072" s="33"/>
      <c r="V4072" s="33"/>
      <c r="W4072" s="33"/>
      <c r="X4072" s="33"/>
      <c r="Y4072" s="33"/>
      <c r="Z4072" s="33"/>
      <c r="AA4072" s="33"/>
      <c r="AB4072" s="33"/>
      <c r="AC4072" s="33"/>
      <c r="AD4072" s="33"/>
      <c r="AE4072" s="33"/>
      <c r="AF4072" s="33"/>
      <c r="AG4072" s="33"/>
      <c r="AH4072" s="33"/>
      <c r="AI4072" s="33"/>
      <c r="AJ4072" s="33"/>
      <c r="AK4072" s="33"/>
    </row>
    <row r="4073">
      <c r="A4073" s="33"/>
      <c r="B4073" s="33"/>
      <c r="C4073" s="33"/>
      <c r="D4073" s="33"/>
      <c r="E4073" s="33"/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33"/>
      <c r="Q4073" s="33"/>
      <c r="R4073" s="33"/>
      <c r="S4073" s="33"/>
      <c r="T4073" s="33"/>
      <c r="U4073" s="33"/>
      <c r="V4073" s="33"/>
      <c r="W4073" s="33"/>
      <c r="X4073" s="33"/>
      <c r="Y4073" s="33"/>
      <c r="Z4073" s="33"/>
      <c r="AA4073" s="33"/>
      <c r="AB4073" s="33"/>
      <c r="AC4073" s="33"/>
      <c r="AD4073" s="33"/>
      <c r="AE4073" s="33"/>
      <c r="AF4073" s="33"/>
      <c r="AG4073" s="33"/>
      <c r="AH4073" s="33"/>
      <c r="AI4073" s="33"/>
      <c r="AJ4073" s="33"/>
      <c r="AK4073" s="33"/>
    </row>
    <row r="4074">
      <c r="A4074" s="33"/>
      <c r="B4074" s="33"/>
      <c r="C4074" s="33"/>
      <c r="D4074" s="33"/>
      <c r="E4074" s="33"/>
      <c r="F4074" s="33"/>
      <c r="G4074" s="33"/>
      <c r="H4074" s="33"/>
      <c r="I4074" s="33"/>
      <c r="J4074" s="33"/>
      <c r="K4074" s="33"/>
      <c r="L4074" s="33"/>
      <c r="M4074" s="33"/>
      <c r="N4074" s="33"/>
      <c r="O4074" s="33"/>
      <c r="P4074" s="33"/>
      <c r="Q4074" s="33"/>
      <c r="R4074" s="33"/>
      <c r="S4074" s="33"/>
      <c r="T4074" s="33"/>
      <c r="U4074" s="33"/>
      <c r="V4074" s="33"/>
      <c r="W4074" s="33"/>
      <c r="X4074" s="33"/>
      <c r="Y4074" s="33"/>
      <c r="Z4074" s="33"/>
      <c r="AA4074" s="33"/>
      <c r="AB4074" s="33"/>
      <c r="AC4074" s="33"/>
      <c r="AD4074" s="33"/>
      <c r="AE4074" s="33"/>
      <c r="AF4074" s="33"/>
      <c r="AG4074" s="33"/>
      <c r="AH4074" s="33"/>
      <c r="AI4074" s="33"/>
      <c r="AJ4074" s="33"/>
      <c r="AK4074" s="33"/>
    </row>
    <row r="4075">
      <c r="A4075" s="33"/>
      <c r="B4075" s="33"/>
      <c r="C4075" s="33"/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  <c r="Q4075" s="33"/>
      <c r="R4075" s="33"/>
      <c r="S4075" s="33"/>
      <c r="T4075" s="33"/>
      <c r="U4075" s="33"/>
      <c r="V4075" s="33"/>
      <c r="W4075" s="33"/>
      <c r="X4075" s="33"/>
      <c r="Y4075" s="33"/>
      <c r="Z4075" s="33"/>
      <c r="AA4075" s="33"/>
      <c r="AB4075" s="33"/>
      <c r="AC4075" s="33"/>
      <c r="AD4075" s="33"/>
      <c r="AE4075" s="33"/>
      <c r="AF4075" s="33"/>
      <c r="AG4075" s="33"/>
      <c r="AH4075" s="33"/>
      <c r="AI4075" s="33"/>
      <c r="AJ4075" s="33"/>
      <c r="AK4075" s="33"/>
    </row>
    <row r="4076">
      <c r="A4076" s="33"/>
      <c r="B4076" s="33"/>
      <c r="C4076" s="33"/>
      <c r="D4076" s="33"/>
      <c r="E4076" s="33"/>
      <c r="F4076" s="33"/>
      <c r="G4076" s="33"/>
      <c r="H4076" s="33"/>
      <c r="I4076" s="33"/>
      <c r="J4076" s="33"/>
      <c r="K4076" s="33"/>
      <c r="L4076" s="33"/>
      <c r="M4076" s="33"/>
      <c r="N4076" s="33"/>
      <c r="O4076" s="33"/>
      <c r="P4076" s="33"/>
      <c r="Q4076" s="33"/>
      <c r="R4076" s="33"/>
      <c r="S4076" s="33"/>
      <c r="T4076" s="33"/>
      <c r="U4076" s="33"/>
      <c r="V4076" s="33"/>
      <c r="W4076" s="33"/>
      <c r="X4076" s="33"/>
      <c r="Y4076" s="33"/>
      <c r="Z4076" s="33"/>
      <c r="AA4076" s="33"/>
      <c r="AB4076" s="33"/>
      <c r="AC4076" s="33"/>
      <c r="AD4076" s="33"/>
      <c r="AE4076" s="33"/>
      <c r="AF4076" s="33"/>
      <c r="AG4076" s="33"/>
      <c r="AH4076" s="33"/>
      <c r="AI4076" s="33"/>
      <c r="AJ4076" s="33"/>
      <c r="AK4076" s="33"/>
    </row>
    <row r="4077">
      <c r="A4077" s="33"/>
      <c r="B4077" s="33"/>
      <c r="C4077" s="33"/>
      <c r="D4077" s="33"/>
      <c r="E4077" s="33"/>
      <c r="F4077" s="33"/>
      <c r="G4077" s="33"/>
      <c r="H4077" s="33"/>
      <c r="I4077" s="33"/>
      <c r="J4077" s="33"/>
      <c r="K4077" s="33"/>
      <c r="L4077" s="33"/>
      <c r="M4077" s="33"/>
      <c r="N4077" s="33"/>
      <c r="O4077" s="33"/>
      <c r="P4077" s="33"/>
      <c r="Q4077" s="33"/>
      <c r="R4077" s="33"/>
      <c r="S4077" s="33"/>
      <c r="T4077" s="33"/>
      <c r="U4077" s="33"/>
      <c r="V4077" s="33"/>
      <c r="W4077" s="33"/>
      <c r="X4077" s="33"/>
      <c r="Y4077" s="33"/>
      <c r="Z4077" s="33"/>
      <c r="AA4077" s="33"/>
      <c r="AB4077" s="33"/>
      <c r="AC4077" s="33"/>
      <c r="AD4077" s="33"/>
      <c r="AE4077" s="33"/>
      <c r="AF4077" s="33"/>
      <c r="AG4077" s="33"/>
      <c r="AH4077" s="33"/>
      <c r="AI4077" s="33"/>
      <c r="AJ4077" s="33"/>
      <c r="AK4077" s="33"/>
    </row>
    <row r="4078">
      <c r="A4078" s="33"/>
      <c r="B4078" s="33"/>
      <c r="C4078" s="33"/>
      <c r="D4078" s="33"/>
      <c r="E4078" s="33"/>
      <c r="F4078" s="33"/>
      <c r="G4078" s="33"/>
      <c r="H4078" s="33"/>
      <c r="I4078" s="33"/>
      <c r="J4078" s="33"/>
      <c r="K4078" s="33"/>
      <c r="L4078" s="33"/>
      <c r="M4078" s="33"/>
      <c r="N4078" s="33"/>
      <c r="O4078" s="33"/>
      <c r="P4078" s="33"/>
      <c r="Q4078" s="33"/>
      <c r="R4078" s="33"/>
      <c r="S4078" s="33"/>
      <c r="T4078" s="33"/>
      <c r="U4078" s="33"/>
      <c r="V4078" s="33"/>
      <c r="W4078" s="33"/>
      <c r="X4078" s="33"/>
      <c r="Y4078" s="33"/>
      <c r="Z4078" s="33"/>
      <c r="AA4078" s="33"/>
      <c r="AB4078" s="33"/>
      <c r="AC4078" s="33"/>
      <c r="AD4078" s="33"/>
      <c r="AE4078" s="33"/>
      <c r="AF4078" s="33"/>
      <c r="AG4078" s="33"/>
      <c r="AH4078" s="33"/>
      <c r="AI4078" s="33"/>
      <c r="AJ4078" s="33"/>
      <c r="AK4078" s="33"/>
    </row>
    <row r="4079">
      <c r="A4079" s="33"/>
      <c r="B4079" s="33"/>
      <c r="C4079" s="33"/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  <c r="Q4079" s="33"/>
      <c r="R4079" s="33"/>
      <c r="S4079" s="33"/>
      <c r="T4079" s="33"/>
      <c r="U4079" s="33"/>
      <c r="V4079" s="33"/>
      <c r="W4079" s="33"/>
      <c r="X4079" s="33"/>
      <c r="Y4079" s="33"/>
      <c r="Z4079" s="33"/>
      <c r="AA4079" s="33"/>
      <c r="AB4079" s="33"/>
      <c r="AC4079" s="33"/>
      <c r="AD4079" s="33"/>
      <c r="AE4079" s="33"/>
      <c r="AF4079" s="33"/>
      <c r="AG4079" s="33"/>
      <c r="AH4079" s="33"/>
      <c r="AI4079" s="33"/>
      <c r="AJ4079" s="33"/>
      <c r="AK4079" s="33"/>
    </row>
    <row r="4080">
      <c r="A4080" s="33"/>
      <c r="B4080" s="33"/>
      <c r="C4080" s="33"/>
      <c r="D4080" s="33"/>
      <c r="E4080" s="33"/>
      <c r="F4080" s="33"/>
      <c r="G4080" s="33"/>
      <c r="H4080" s="33"/>
      <c r="I4080" s="33"/>
      <c r="J4080" s="33"/>
      <c r="K4080" s="33"/>
      <c r="L4080" s="33"/>
      <c r="M4080" s="33"/>
      <c r="N4080" s="33"/>
      <c r="O4080" s="33"/>
      <c r="P4080" s="33"/>
      <c r="Q4080" s="33"/>
      <c r="R4080" s="33"/>
      <c r="S4080" s="33"/>
      <c r="T4080" s="33"/>
      <c r="U4080" s="33"/>
      <c r="V4080" s="33"/>
      <c r="W4080" s="33"/>
      <c r="X4080" s="33"/>
      <c r="Y4080" s="33"/>
      <c r="Z4080" s="33"/>
      <c r="AA4080" s="33"/>
      <c r="AB4080" s="33"/>
      <c r="AC4080" s="33"/>
      <c r="AD4080" s="33"/>
      <c r="AE4080" s="33"/>
      <c r="AF4080" s="33"/>
      <c r="AG4080" s="33"/>
      <c r="AH4080" s="33"/>
      <c r="AI4080" s="33"/>
      <c r="AJ4080" s="33"/>
      <c r="AK4080" s="33"/>
    </row>
    <row r="4081">
      <c r="A4081" s="33"/>
      <c r="B4081" s="33"/>
      <c r="C4081" s="33"/>
      <c r="D4081" s="33"/>
      <c r="E4081" s="33"/>
      <c r="F4081" s="33"/>
      <c r="G4081" s="33"/>
      <c r="H4081" s="33"/>
      <c r="I4081" s="33"/>
      <c r="J4081" s="33"/>
      <c r="K4081" s="33"/>
      <c r="L4081" s="33"/>
      <c r="M4081" s="33"/>
      <c r="N4081" s="33"/>
      <c r="O4081" s="33"/>
      <c r="P4081" s="33"/>
      <c r="Q4081" s="33"/>
      <c r="R4081" s="33"/>
      <c r="S4081" s="33"/>
      <c r="T4081" s="33"/>
      <c r="U4081" s="33"/>
      <c r="V4081" s="33"/>
      <c r="W4081" s="33"/>
      <c r="X4081" s="33"/>
      <c r="Y4081" s="33"/>
      <c r="Z4081" s="33"/>
      <c r="AA4081" s="33"/>
      <c r="AB4081" s="33"/>
      <c r="AC4081" s="33"/>
      <c r="AD4081" s="33"/>
      <c r="AE4081" s="33"/>
      <c r="AF4081" s="33"/>
      <c r="AG4081" s="33"/>
      <c r="AH4081" s="33"/>
      <c r="AI4081" s="33"/>
      <c r="AJ4081" s="33"/>
      <c r="AK4081" s="33"/>
    </row>
    <row r="4082">
      <c r="A4082" s="33"/>
      <c r="B4082" s="33"/>
      <c r="C4082" s="33"/>
      <c r="D4082" s="33"/>
      <c r="E4082" s="33"/>
      <c r="F4082" s="33"/>
      <c r="G4082" s="33"/>
      <c r="H4082" s="33"/>
      <c r="I4082" s="33"/>
      <c r="J4082" s="33"/>
      <c r="K4082" s="33"/>
      <c r="L4082" s="33"/>
      <c r="M4082" s="33"/>
      <c r="N4082" s="33"/>
      <c r="O4082" s="33"/>
      <c r="P4082" s="33"/>
      <c r="Q4082" s="33"/>
      <c r="R4082" s="33"/>
      <c r="S4082" s="33"/>
      <c r="T4082" s="33"/>
      <c r="U4082" s="33"/>
      <c r="V4082" s="33"/>
      <c r="W4082" s="33"/>
      <c r="X4082" s="33"/>
      <c r="Y4082" s="33"/>
      <c r="Z4082" s="33"/>
      <c r="AA4082" s="33"/>
      <c r="AB4082" s="33"/>
      <c r="AC4082" s="33"/>
      <c r="AD4082" s="33"/>
      <c r="AE4082" s="33"/>
      <c r="AF4082" s="33"/>
      <c r="AG4082" s="33"/>
      <c r="AH4082" s="33"/>
      <c r="AI4082" s="33"/>
      <c r="AJ4082" s="33"/>
      <c r="AK4082" s="33"/>
    </row>
    <row r="4083">
      <c r="A4083" s="33"/>
      <c r="B4083" s="33"/>
      <c r="C4083" s="33"/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  <c r="Q4083" s="33"/>
      <c r="R4083" s="33"/>
      <c r="S4083" s="33"/>
      <c r="T4083" s="33"/>
      <c r="U4083" s="33"/>
      <c r="V4083" s="33"/>
      <c r="W4083" s="33"/>
      <c r="X4083" s="33"/>
      <c r="Y4083" s="33"/>
      <c r="Z4083" s="33"/>
      <c r="AA4083" s="33"/>
      <c r="AB4083" s="33"/>
      <c r="AC4083" s="33"/>
      <c r="AD4083" s="33"/>
      <c r="AE4083" s="33"/>
      <c r="AF4083" s="33"/>
      <c r="AG4083" s="33"/>
      <c r="AH4083" s="33"/>
      <c r="AI4083" s="33"/>
      <c r="AJ4083" s="33"/>
      <c r="AK4083" s="33"/>
    </row>
    <row r="4084">
      <c r="A4084" s="33"/>
      <c r="B4084" s="33"/>
      <c r="C4084" s="33"/>
      <c r="D4084" s="33"/>
      <c r="E4084" s="33"/>
      <c r="F4084" s="33"/>
      <c r="G4084" s="33"/>
      <c r="H4084" s="33"/>
      <c r="I4084" s="33"/>
      <c r="J4084" s="33"/>
      <c r="K4084" s="33"/>
      <c r="L4084" s="33"/>
      <c r="M4084" s="33"/>
      <c r="N4084" s="33"/>
      <c r="O4084" s="33"/>
      <c r="P4084" s="33"/>
      <c r="Q4084" s="33"/>
      <c r="R4084" s="33"/>
      <c r="S4084" s="33"/>
      <c r="T4084" s="33"/>
      <c r="U4084" s="33"/>
      <c r="V4084" s="33"/>
      <c r="W4084" s="33"/>
      <c r="X4084" s="33"/>
      <c r="Y4084" s="33"/>
      <c r="Z4084" s="33"/>
      <c r="AA4084" s="33"/>
      <c r="AB4084" s="33"/>
      <c r="AC4084" s="33"/>
      <c r="AD4084" s="33"/>
      <c r="AE4084" s="33"/>
      <c r="AF4084" s="33"/>
      <c r="AG4084" s="33"/>
      <c r="AH4084" s="33"/>
      <c r="AI4084" s="33"/>
      <c r="AJ4084" s="33"/>
      <c r="AK4084" s="33"/>
    </row>
    <row r="4085">
      <c r="A4085" s="33"/>
      <c r="B4085" s="33"/>
      <c r="C4085" s="33"/>
      <c r="D4085" s="33"/>
      <c r="E4085" s="33"/>
      <c r="F4085" s="33"/>
      <c r="G4085" s="33"/>
      <c r="H4085" s="33"/>
      <c r="I4085" s="33"/>
      <c r="J4085" s="33"/>
      <c r="K4085" s="33"/>
      <c r="L4085" s="33"/>
      <c r="M4085" s="33"/>
      <c r="N4085" s="33"/>
      <c r="O4085" s="33"/>
      <c r="P4085" s="33"/>
      <c r="Q4085" s="33"/>
      <c r="R4085" s="33"/>
      <c r="S4085" s="33"/>
      <c r="T4085" s="33"/>
      <c r="U4085" s="33"/>
      <c r="V4085" s="33"/>
      <c r="W4085" s="33"/>
      <c r="X4085" s="33"/>
      <c r="Y4085" s="33"/>
      <c r="Z4085" s="33"/>
      <c r="AA4085" s="33"/>
      <c r="AB4085" s="33"/>
      <c r="AC4085" s="33"/>
      <c r="AD4085" s="33"/>
      <c r="AE4085" s="33"/>
      <c r="AF4085" s="33"/>
      <c r="AG4085" s="33"/>
      <c r="AH4085" s="33"/>
      <c r="AI4085" s="33"/>
      <c r="AJ4085" s="33"/>
      <c r="AK4085" s="33"/>
    </row>
    <row r="4086">
      <c r="A4086" s="33"/>
      <c r="B4086" s="33"/>
      <c r="C4086" s="33"/>
      <c r="D4086" s="33"/>
      <c r="E4086" s="33"/>
      <c r="F4086" s="33"/>
      <c r="G4086" s="33"/>
      <c r="H4086" s="33"/>
      <c r="I4086" s="33"/>
      <c r="J4086" s="33"/>
      <c r="K4086" s="33"/>
      <c r="L4086" s="33"/>
      <c r="M4086" s="33"/>
      <c r="N4086" s="33"/>
      <c r="O4086" s="33"/>
      <c r="P4086" s="33"/>
      <c r="Q4086" s="33"/>
      <c r="R4086" s="33"/>
      <c r="S4086" s="33"/>
      <c r="T4086" s="33"/>
      <c r="U4086" s="33"/>
      <c r="V4086" s="33"/>
      <c r="W4086" s="33"/>
      <c r="X4086" s="33"/>
      <c r="Y4086" s="33"/>
      <c r="Z4086" s="33"/>
      <c r="AA4086" s="33"/>
      <c r="AB4086" s="33"/>
      <c r="AC4086" s="33"/>
      <c r="AD4086" s="33"/>
      <c r="AE4086" s="33"/>
      <c r="AF4086" s="33"/>
      <c r="AG4086" s="33"/>
      <c r="AH4086" s="33"/>
      <c r="AI4086" s="33"/>
      <c r="AJ4086" s="33"/>
      <c r="AK4086" s="33"/>
    </row>
    <row r="4087">
      <c r="A4087" s="33"/>
      <c r="B4087" s="33"/>
      <c r="C4087" s="33"/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  <c r="Q4087" s="33"/>
      <c r="R4087" s="33"/>
      <c r="S4087" s="33"/>
      <c r="T4087" s="33"/>
      <c r="U4087" s="33"/>
      <c r="V4087" s="33"/>
      <c r="W4087" s="33"/>
      <c r="X4087" s="33"/>
      <c r="Y4087" s="33"/>
      <c r="Z4087" s="33"/>
      <c r="AA4087" s="33"/>
      <c r="AB4087" s="33"/>
      <c r="AC4087" s="33"/>
      <c r="AD4087" s="33"/>
      <c r="AE4087" s="33"/>
      <c r="AF4087" s="33"/>
      <c r="AG4087" s="33"/>
      <c r="AH4087" s="33"/>
      <c r="AI4087" s="33"/>
      <c r="AJ4087" s="33"/>
      <c r="AK4087" s="33"/>
    </row>
    <row r="4088">
      <c r="A4088" s="33"/>
      <c r="B4088" s="33"/>
      <c r="C4088" s="33"/>
      <c r="D4088" s="33"/>
      <c r="E4088" s="33"/>
      <c r="F4088" s="33"/>
      <c r="G4088" s="33"/>
      <c r="H4088" s="33"/>
      <c r="I4088" s="33"/>
      <c r="J4088" s="33"/>
      <c r="K4088" s="33"/>
      <c r="L4088" s="33"/>
      <c r="M4088" s="33"/>
      <c r="N4088" s="33"/>
      <c r="O4088" s="33"/>
      <c r="P4088" s="33"/>
      <c r="Q4088" s="33"/>
      <c r="R4088" s="33"/>
      <c r="S4088" s="33"/>
      <c r="T4088" s="33"/>
      <c r="U4088" s="33"/>
      <c r="V4088" s="33"/>
      <c r="W4088" s="33"/>
      <c r="X4088" s="33"/>
      <c r="Y4088" s="33"/>
      <c r="Z4088" s="33"/>
      <c r="AA4088" s="33"/>
      <c r="AB4088" s="33"/>
      <c r="AC4088" s="33"/>
      <c r="AD4088" s="33"/>
      <c r="AE4088" s="33"/>
      <c r="AF4088" s="33"/>
      <c r="AG4088" s="33"/>
      <c r="AH4088" s="33"/>
      <c r="AI4088" s="33"/>
      <c r="AJ4088" s="33"/>
      <c r="AK4088" s="33"/>
    </row>
    <row r="4089">
      <c r="A4089" s="33"/>
      <c r="B4089" s="33"/>
      <c r="C4089" s="33"/>
      <c r="D4089" s="33"/>
      <c r="E4089" s="33"/>
      <c r="F4089" s="33"/>
      <c r="G4089" s="33"/>
      <c r="H4089" s="33"/>
      <c r="I4089" s="33"/>
      <c r="J4089" s="33"/>
      <c r="K4089" s="33"/>
      <c r="L4089" s="33"/>
      <c r="M4089" s="33"/>
      <c r="N4089" s="33"/>
      <c r="O4089" s="33"/>
      <c r="P4089" s="33"/>
      <c r="Q4089" s="33"/>
      <c r="R4089" s="33"/>
      <c r="S4089" s="33"/>
      <c r="T4089" s="33"/>
      <c r="U4089" s="33"/>
      <c r="V4089" s="33"/>
      <c r="W4089" s="33"/>
      <c r="X4089" s="33"/>
      <c r="Y4089" s="33"/>
      <c r="Z4089" s="33"/>
      <c r="AA4089" s="33"/>
      <c r="AB4089" s="33"/>
      <c r="AC4089" s="33"/>
      <c r="AD4089" s="33"/>
      <c r="AE4089" s="33"/>
      <c r="AF4089" s="33"/>
      <c r="AG4089" s="33"/>
      <c r="AH4089" s="33"/>
      <c r="AI4089" s="33"/>
      <c r="AJ4089" s="33"/>
      <c r="AK4089" s="33"/>
    </row>
    <row r="4090">
      <c r="A4090" s="33"/>
      <c r="B4090" s="33"/>
      <c r="C4090" s="33"/>
      <c r="D4090" s="33"/>
      <c r="E4090" s="33"/>
      <c r="F4090" s="33"/>
      <c r="G4090" s="33"/>
      <c r="H4090" s="33"/>
      <c r="I4090" s="33"/>
      <c r="J4090" s="33"/>
      <c r="K4090" s="33"/>
      <c r="L4090" s="33"/>
      <c r="M4090" s="33"/>
      <c r="N4090" s="33"/>
      <c r="O4090" s="33"/>
      <c r="P4090" s="33"/>
      <c r="Q4090" s="33"/>
      <c r="R4090" s="33"/>
      <c r="S4090" s="33"/>
      <c r="T4090" s="33"/>
      <c r="U4090" s="33"/>
      <c r="V4090" s="33"/>
      <c r="W4090" s="33"/>
      <c r="X4090" s="33"/>
      <c r="Y4090" s="33"/>
      <c r="Z4090" s="33"/>
      <c r="AA4090" s="33"/>
      <c r="AB4090" s="33"/>
      <c r="AC4090" s="33"/>
      <c r="AD4090" s="33"/>
      <c r="AE4090" s="33"/>
      <c r="AF4090" s="33"/>
      <c r="AG4090" s="33"/>
      <c r="AH4090" s="33"/>
      <c r="AI4090" s="33"/>
      <c r="AJ4090" s="33"/>
      <c r="AK4090" s="33"/>
    </row>
    <row r="4091">
      <c r="A4091" s="33"/>
      <c r="B4091" s="33"/>
      <c r="C4091" s="33"/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  <c r="Q4091" s="33"/>
      <c r="R4091" s="33"/>
      <c r="S4091" s="33"/>
      <c r="T4091" s="33"/>
      <c r="U4091" s="33"/>
      <c r="V4091" s="33"/>
      <c r="W4091" s="33"/>
      <c r="X4091" s="33"/>
      <c r="Y4091" s="33"/>
      <c r="Z4091" s="33"/>
      <c r="AA4091" s="33"/>
      <c r="AB4091" s="33"/>
      <c r="AC4091" s="33"/>
      <c r="AD4091" s="33"/>
      <c r="AE4091" s="33"/>
      <c r="AF4091" s="33"/>
      <c r="AG4091" s="33"/>
      <c r="AH4091" s="33"/>
      <c r="AI4091" s="33"/>
      <c r="AJ4091" s="33"/>
      <c r="AK4091" s="33"/>
    </row>
    <row r="4092">
      <c r="A4092" s="33"/>
      <c r="B4092" s="33"/>
      <c r="C4092" s="33"/>
      <c r="D4092" s="33"/>
      <c r="E4092" s="33"/>
      <c r="F4092" s="33"/>
      <c r="G4092" s="33"/>
      <c r="H4092" s="33"/>
      <c r="I4092" s="33"/>
      <c r="J4092" s="33"/>
      <c r="K4092" s="33"/>
      <c r="L4092" s="33"/>
      <c r="M4092" s="33"/>
      <c r="N4092" s="33"/>
      <c r="O4092" s="33"/>
      <c r="P4092" s="33"/>
      <c r="Q4092" s="33"/>
      <c r="R4092" s="33"/>
      <c r="S4092" s="33"/>
      <c r="T4092" s="33"/>
      <c r="U4092" s="33"/>
      <c r="V4092" s="33"/>
      <c r="W4092" s="33"/>
      <c r="X4092" s="33"/>
      <c r="Y4092" s="33"/>
      <c r="Z4092" s="33"/>
      <c r="AA4092" s="33"/>
      <c r="AB4092" s="33"/>
      <c r="AC4092" s="33"/>
      <c r="AD4092" s="33"/>
      <c r="AE4092" s="33"/>
      <c r="AF4092" s="33"/>
      <c r="AG4092" s="33"/>
      <c r="AH4092" s="33"/>
      <c r="AI4092" s="33"/>
      <c r="AJ4092" s="33"/>
      <c r="AK4092" s="33"/>
    </row>
    <row r="4093">
      <c r="A4093" s="33"/>
      <c r="B4093" s="33"/>
      <c r="C4093" s="33"/>
      <c r="D4093" s="33"/>
      <c r="E4093" s="33"/>
      <c r="F4093" s="33"/>
      <c r="G4093" s="33"/>
      <c r="H4093" s="33"/>
      <c r="I4093" s="33"/>
      <c r="J4093" s="33"/>
      <c r="K4093" s="33"/>
      <c r="L4093" s="33"/>
      <c r="M4093" s="33"/>
      <c r="N4093" s="33"/>
      <c r="O4093" s="33"/>
      <c r="P4093" s="33"/>
      <c r="Q4093" s="33"/>
      <c r="R4093" s="33"/>
      <c r="S4093" s="33"/>
      <c r="T4093" s="33"/>
      <c r="U4093" s="33"/>
      <c r="V4093" s="33"/>
      <c r="W4093" s="33"/>
      <c r="X4093" s="33"/>
      <c r="Y4093" s="33"/>
      <c r="Z4093" s="33"/>
      <c r="AA4093" s="33"/>
      <c r="AB4093" s="33"/>
      <c r="AC4093" s="33"/>
      <c r="AD4093" s="33"/>
      <c r="AE4093" s="33"/>
      <c r="AF4093" s="33"/>
      <c r="AG4093" s="33"/>
      <c r="AH4093" s="33"/>
      <c r="AI4093" s="33"/>
      <c r="AJ4093" s="33"/>
      <c r="AK4093" s="33"/>
    </row>
    <row r="4094">
      <c r="A4094" s="33"/>
      <c r="B4094" s="33"/>
      <c r="C4094" s="33"/>
      <c r="D4094" s="33"/>
      <c r="E4094" s="33"/>
      <c r="F4094" s="33"/>
      <c r="G4094" s="33"/>
      <c r="H4094" s="33"/>
      <c r="I4094" s="33"/>
      <c r="J4094" s="33"/>
      <c r="K4094" s="33"/>
      <c r="L4094" s="33"/>
      <c r="M4094" s="33"/>
      <c r="N4094" s="33"/>
      <c r="O4094" s="33"/>
      <c r="P4094" s="33"/>
      <c r="Q4094" s="33"/>
      <c r="R4094" s="33"/>
      <c r="S4094" s="33"/>
      <c r="T4094" s="33"/>
      <c r="U4094" s="33"/>
      <c r="V4094" s="33"/>
      <c r="W4094" s="33"/>
      <c r="X4094" s="33"/>
      <c r="Y4094" s="33"/>
      <c r="Z4094" s="33"/>
      <c r="AA4094" s="33"/>
      <c r="AB4094" s="33"/>
      <c r="AC4094" s="33"/>
      <c r="AD4094" s="33"/>
      <c r="AE4094" s="33"/>
      <c r="AF4094" s="33"/>
      <c r="AG4094" s="33"/>
      <c r="AH4094" s="33"/>
      <c r="AI4094" s="33"/>
      <c r="AJ4094" s="33"/>
      <c r="AK4094" s="33"/>
    </row>
    <row r="4095">
      <c r="A4095" s="33"/>
      <c r="B4095" s="33"/>
      <c r="C4095" s="33"/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  <c r="Q4095" s="33"/>
      <c r="R4095" s="33"/>
      <c r="S4095" s="33"/>
      <c r="T4095" s="33"/>
      <c r="U4095" s="33"/>
      <c r="V4095" s="33"/>
      <c r="W4095" s="33"/>
      <c r="X4095" s="33"/>
      <c r="Y4095" s="33"/>
      <c r="Z4095" s="33"/>
      <c r="AA4095" s="33"/>
      <c r="AB4095" s="33"/>
      <c r="AC4095" s="33"/>
      <c r="AD4095" s="33"/>
      <c r="AE4095" s="33"/>
      <c r="AF4095" s="33"/>
      <c r="AG4095" s="33"/>
      <c r="AH4095" s="33"/>
      <c r="AI4095" s="33"/>
      <c r="AJ4095" s="33"/>
      <c r="AK4095" s="33"/>
    </row>
    <row r="4096">
      <c r="A4096" s="33"/>
      <c r="B4096" s="33"/>
      <c r="C4096" s="33"/>
      <c r="D4096" s="33"/>
      <c r="E4096" s="33"/>
      <c r="F4096" s="33"/>
      <c r="G4096" s="33"/>
      <c r="H4096" s="33"/>
      <c r="I4096" s="33"/>
      <c r="J4096" s="33"/>
      <c r="K4096" s="33"/>
      <c r="L4096" s="33"/>
      <c r="M4096" s="33"/>
      <c r="N4096" s="33"/>
      <c r="O4096" s="33"/>
      <c r="P4096" s="33"/>
      <c r="Q4096" s="33"/>
      <c r="R4096" s="33"/>
      <c r="S4096" s="33"/>
      <c r="T4096" s="33"/>
      <c r="U4096" s="33"/>
      <c r="V4096" s="33"/>
      <c r="W4096" s="33"/>
      <c r="X4096" s="33"/>
      <c r="Y4096" s="33"/>
      <c r="Z4096" s="33"/>
      <c r="AA4096" s="33"/>
      <c r="AB4096" s="33"/>
      <c r="AC4096" s="33"/>
      <c r="AD4096" s="33"/>
      <c r="AE4096" s="33"/>
      <c r="AF4096" s="33"/>
      <c r="AG4096" s="33"/>
      <c r="AH4096" s="33"/>
      <c r="AI4096" s="33"/>
      <c r="AJ4096" s="33"/>
      <c r="AK4096" s="33"/>
    </row>
    <row r="4097">
      <c r="A4097" s="33"/>
      <c r="B4097" s="33"/>
      <c r="C4097" s="33"/>
      <c r="D4097" s="33"/>
      <c r="E4097" s="33"/>
      <c r="F4097" s="33"/>
      <c r="G4097" s="33"/>
      <c r="H4097" s="33"/>
      <c r="I4097" s="33"/>
      <c r="J4097" s="33"/>
      <c r="K4097" s="33"/>
      <c r="L4097" s="33"/>
      <c r="M4097" s="33"/>
      <c r="N4097" s="33"/>
      <c r="O4097" s="33"/>
      <c r="P4097" s="33"/>
      <c r="Q4097" s="33"/>
      <c r="R4097" s="33"/>
      <c r="S4097" s="33"/>
      <c r="T4097" s="33"/>
      <c r="U4097" s="33"/>
      <c r="V4097" s="33"/>
      <c r="W4097" s="33"/>
      <c r="X4097" s="33"/>
      <c r="Y4097" s="33"/>
      <c r="Z4097" s="33"/>
      <c r="AA4097" s="33"/>
      <c r="AB4097" s="33"/>
      <c r="AC4097" s="33"/>
      <c r="AD4097" s="33"/>
      <c r="AE4097" s="33"/>
      <c r="AF4097" s="33"/>
      <c r="AG4097" s="33"/>
      <c r="AH4097" s="33"/>
      <c r="AI4097" s="33"/>
      <c r="AJ4097" s="33"/>
      <c r="AK4097" s="33"/>
    </row>
    <row r="4098">
      <c r="A4098" s="33"/>
      <c r="B4098" s="33"/>
      <c r="C4098" s="33"/>
      <c r="D4098" s="33"/>
      <c r="E4098" s="33"/>
      <c r="F4098" s="33"/>
      <c r="G4098" s="33"/>
      <c r="H4098" s="33"/>
      <c r="I4098" s="33"/>
      <c r="J4098" s="33"/>
      <c r="K4098" s="33"/>
      <c r="L4098" s="33"/>
      <c r="M4098" s="33"/>
      <c r="N4098" s="33"/>
      <c r="O4098" s="33"/>
      <c r="P4098" s="33"/>
      <c r="Q4098" s="33"/>
      <c r="R4098" s="33"/>
      <c r="S4098" s="33"/>
      <c r="T4098" s="33"/>
      <c r="U4098" s="33"/>
      <c r="V4098" s="33"/>
      <c r="W4098" s="33"/>
      <c r="X4098" s="33"/>
      <c r="Y4098" s="33"/>
      <c r="Z4098" s="33"/>
      <c r="AA4098" s="33"/>
      <c r="AB4098" s="33"/>
      <c r="AC4098" s="33"/>
      <c r="AD4098" s="33"/>
      <c r="AE4098" s="33"/>
      <c r="AF4098" s="33"/>
      <c r="AG4098" s="33"/>
      <c r="AH4098" s="33"/>
      <c r="AI4098" s="33"/>
      <c r="AJ4098" s="33"/>
      <c r="AK4098" s="33"/>
    </row>
    <row r="4099">
      <c r="A4099" s="33"/>
      <c r="B4099" s="33"/>
      <c r="C4099" s="33"/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33"/>
      <c r="V4099" s="33"/>
      <c r="W4099" s="33"/>
      <c r="X4099" s="33"/>
      <c r="Y4099" s="33"/>
      <c r="Z4099" s="33"/>
      <c r="AA4099" s="33"/>
      <c r="AB4099" s="33"/>
      <c r="AC4099" s="33"/>
      <c r="AD4099" s="33"/>
      <c r="AE4099" s="33"/>
      <c r="AF4099" s="33"/>
      <c r="AG4099" s="33"/>
      <c r="AH4099" s="33"/>
      <c r="AI4099" s="33"/>
      <c r="AJ4099" s="33"/>
      <c r="AK4099" s="33"/>
    </row>
    <row r="4100">
      <c r="A4100" s="33"/>
      <c r="B4100" s="33"/>
      <c r="C4100" s="33"/>
      <c r="D4100" s="33"/>
      <c r="E4100" s="33"/>
      <c r="F4100" s="33"/>
      <c r="G4100" s="33"/>
      <c r="H4100" s="33"/>
      <c r="I4100" s="33"/>
      <c r="J4100" s="33"/>
      <c r="K4100" s="33"/>
      <c r="L4100" s="33"/>
      <c r="M4100" s="33"/>
      <c r="N4100" s="33"/>
      <c r="O4100" s="33"/>
      <c r="P4100" s="33"/>
      <c r="Q4100" s="33"/>
      <c r="R4100" s="33"/>
      <c r="S4100" s="33"/>
      <c r="T4100" s="33"/>
      <c r="U4100" s="33"/>
      <c r="V4100" s="33"/>
      <c r="W4100" s="33"/>
      <c r="X4100" s="33"/>
      <c r="Y4100" s="33"/>
      <c r="Z4100" s="33"/>
      <c r="AA4100" s="33"/>
      <c r="AB4100" s="33"/>
      <c r="AC4100" s="33"/>
      <c r="AD4100" s="33"/>
      <c r="AE4100" s="33"/>
      <c r="AF4100" s="33"/>
      <c r="AG4100" s="33"/>
      <c r="AH4100" s="33"/>
      <c r="AI4100" s="33"/>
      <c r="AJ4100" s="33"/>
      <c r="AK4100" s="33"/>
    </row>
    <row r="4101">
      <c r="A4101" s="33"/>
      <c r="B4101" s="33"/>
      <c r="C4101" s="33"/>
      <c r="D4101" s="33"/>
      <c r="E4101" s="33"/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33"/>
      <c r="Q4101" s="33"/>
      <c r="R4101" s="33"/>
      <c r="S4101" s="33"/>
      <c r="T4101" s="33"/>
      <c r="U4101" s="33"/>
      <c r="V4101" s="33"/>
      <c r="W4101" s="33"/>
      <c r="X4101" s="33"/>
      <c r="Y4101" s="33"/>
      <c r="Z4101" s="33"/>
      <c r="AA4101" s="33"/>
      <c r="AB4101" s="33"/>
      <c r="AC4101" s="33"/>
      <c r="AD4101" s="33"/>
      <c r="AE4101" s="33"/>
      <c r="AF4101" s="33"/>
      <c r="AG4101" s="33"/>
      <c r="AH4101" s="33"/>
      <c r="AI4101" s="33"/>
      <c r="AJ4101" s="33"/>
      <c r="AK4101" s="33"/>
    </row>
    <row r="4102">
      <c r="A4102" s="33"/>
      <c r="B4102" s="33"/>
      <c r="C4102" s="33"/>
      <c r="D4102" s="33"/>
      <c r="E4102" s="33"/>
      <c r="F4102" s="33"/>
      <c r="G4102" s="33"/>
      <c r="H4102" s="33"/>
      <c r="I4102" s="33"/>
      <c r="J4102" s="33"/>
      <c r="K4102" s="33"/>
      <c r="L4102" s="33"/>
      <c r="M4102" s="33"/>
      <c r="N4102" s="33"/>
      <c r="O4102" s="33"/>
      <c r="P4102" s="33"/>
      <c r="Q4102" s="33"/>
      <c r="R4102" s="33"/>
      <c r="S4102" s="33"/>
      <c r="T4102" s="33"/>
      <c r="U4102" s="33"/>
      <c r="V4102" s="33"/>
      <c r="W4102" s="33"/>
      <c r="X4102" s="33"/>
      <c r="Y4102" s="33"/>
      <c r="Z4102" s="33"/>
      <c r="AA4102" s="33"/>
      <c r="AB4102" s="33"/>
      <c r="AC4102" s="33"/>
      <c r="AD4102" s="33"/>
      <c r="AE4102" s="33"/>
      <c r="AF4102" s="33"/>
      <c r="AG4102" s="33"/>
      <c r="AH4102" s="33"/>
      <c r="AI4102" s="33"/>
      <c r="AJ4102" s="33"/>
      <c r="AK4102" s="33"/>
    </row>
    <row r="4103">
      <c r="A4103" s="33"/>
      <c r="B4103" s="33"/>
      <c r="C4103" s="33"/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33"/>
      <c r="V4103" s="33"/>
      <c r="W4103" s="33"/>
      <c r="X4103" s="33"/>
      <c r="Y4103" s="33"/>
      <c r="Z4103" s="33"/>
      <c r="AA4103" s="33"/>
      <c r="AB4103" s="33"/>
      <c r="AC4103" s="33"/>
      <c r="AD4103" s="33"/>
      <c r="AE4103" s="33"/>
      <c r="AF4103" s="33"/>
      <c r="AG4103" s="33"/>
      <c r="AH4103" s="33"/>
      <c r="AI4103" s="33"/>
      <c r="AJ4103" s="33"/>
      <c r="AK4103" s="33"/>
    </row>
    <row r="4104">
      <c r="A4104" s="33"/>
      <c r="B4104" s="33"/>
      <c r="C4104" s="33"/>
      <c r="D4104" s="33"/>
      <c r="E4104" s="33"/>
      <c r="F4104" s="33"/>
      <c r="G4104" s="33"/>
      <c r="H4104" s="33"/>
      <c r="I4104" s="33"/>
      <c r="J4104" s="33"/>
      <c r="K4104" s="33"/>
      <c r="L4104" s="33"/>
      <c r="M4104" s="33"/>
      <c r="N4104" s="33"/>
      <c r="O4104" s="33"/>
      <c r="P4104" s="33"/>
      <c r="Q4104" s="33"/>
      <c r="R4104" s="33"/>
      <c r="S4104" s="33"/>
      <c r="T4104" s="33"/>
      <c r="U4104" s="33"/>
      <c r="V4104" s="33"/>
      <c r="W4104" s="33"/>
      <c r="X4104" s="33"/>
      <c r="Y4104" s="33"/>
      <c r="Z4104" s="33"/>
      <c r="AA4104" s="33"/>
      <c r="AB4104" s="33"/>
      <c r="AC4104" s="33"/>
      <c r="AD4104" s="33"/>
      <c r="AE4104" s="33"/>
      <c r="AF4104" s="33"/>
      <c r="AG4104" s="33"/>
      <c r="AH4104" s="33"/>
      <c r="AI4104" s="33"/>
      <c r="AJ4104" s="33"/>
      <c r="AK4104" s="33"/>
    </row>
    <row r="4105">
      <c r="A4105" s="33"/>
      <c r="B4105" s="33"/>
      <c r="C4105" s="33"/>
      <c r="D4105" s="33"/>
      <c r="E4105" s="33"/>
      <c r="F4105" s="33"/>
      <c r="G4105" s="33"/>
      <c r="H4105" s="33"/>
      <c r="I4105" s="33"/>
      <c r="J4105" s="33"/>
      <c r="K4105" s="33"/>
      <c r="L4105" s="33"/>
      <c r="M4105" s="33"/>
      <c r="N4105" s="33"/>
      <c r="O4105" s="33"/>
      <c r="P4105" s="33"/>
      <c r="Q4105" s="33"/>
      <c r="R4105" s="33"/>
      <c r="S4105" s="33"/>
      <c r="T4105" s="33"/>
      <c r="U4105" s="33"/>
      <c r="V4105" s="33"/>
      <c r="W4105" s="33"/>
      <c r="X4105" s="33"/>
      <c r="Y4105" s="33"/>
      <c r="Z4105" s="33"/>
      <c r="AA4105" s="33"/>
      <c r="AB4105" s="33"/>
      <c r="AC4105" s="33"/>
      <c r="AD4105" s="33"/>
      <c r="AE4105" s="33"/>
      <c r="AF4105" s="33"/>
      <c r="AG4105" s="33"/>
      <c r="AH4105" s="33"/>
      <c r="AI4105" s="33"/>
      <c r="AJ4105" s="33"/>
      <c r="AK4105" s="33"/>
    </row>
    <row r="4106">
      <c r="A4106" s="33"/>
      <c r="B4106" s="33"/>
      <c r="C4106" s="33"/>
      <c r="D4106" s="33"/>
      <c r="E4106" s="33"/>
      <c r="F4106" s="33"/>
      <c r="G4106" s="33"/>
      <c r="H4106" s="33"/>
      <c r="I4106" s="33"/>
      <c r="J4106" s="33"/>
      <c r="K4106" s="33"/>
      <c r="L4106" s="33"/>
      <c r="M4106" s="33"/>
      <c r="N4106" s="33"/>
      <c r="O4106" s="33"/>
      <c r="P4106" s="33"/>
      <c r="Q4106" s="33"/>
      <c r="R4106" s="33"/>
      <c r="S4106" s="33"/>
      <c r="T4106" s="33"/>
      <c r="U4106" s="33"/>
      <c r="V4106" s="33"/>
      <c r="W4106" s="33"/>
      <c r="X4106" s="33"/>
      <c r="Y4106" s="33"/>
      <c r="Z4106" s="33"/>
      <c r="AA4106" s="33"/>
      <c r="AB4106" s="33"/>
      <c r="AC4106" s="33"/>
      <c r="AD4106" s="33"/>
      <c r="AE4106" s="33"/>
      <c r="AF4106" s="33"/>
      <c r="AG4106" s="33"/>
      <c r="AH4106" s="33"/>
      <c r="AI4106" s="33"/>
      <c r="AJ4106" s="33"/>
      <c r="AK4106" s="33"/>
    </row>
    <row r="4107">
      <c r="A4107" s="33"/>
      <c r="B4107" s="33"/>
      <c r="C4107" s="33"/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  <c r="Q4107" s="33"/>
      <c r="R4107" s="33"/>
      <c r="S4107" s="33"/>
      <c r="T4107" s="33"/>
      <c r="U4107" s="33"/>
      <c r="V4107" s="33"/>
      <c r="W4107" s="33"/>
      <c r="X4107" s="33"/>
      <c r="Y4107" s="33"/>
      <c r="Z4107" s="33"/>
      <c r="AA4107" s="33"/>
      <c r="AB4107" s="33"/>
      <c r="AC4107" s="33"/>
      <c r="AD4107" s="33"/>
      <c r="AE4107" s="33"/>
      <c r="AF4107" s="33"/>
      <c r="AG4107" s="33"/>
      <c r="AH4107" s="33"/>
      <c r="AI4107" s="33"/>
      <c r="AJ4107" s="33"/>
      <c r="AK4107" s="33"/>
    </row>
    <row r="4108">
      <c r="A4108" s="33"/>
      <c r="B4108" s="33"/>
      <c r="C4108" s="33"/>
      <c r="D4108" s="33"/>
      <c r="E4108" s="33"/>
      <c r="F4108" s="33"/>
      <c r="G4108" s="33"/>
      <c r="H4108" s="33"/>
      <c r="I4108" s="33"/>
      <c r="J4108" s="33"/>
      <c r="K4108" s="33"/>
      <c r="L4108" s="33"/>
      <c r="M4108" s="33"/>
      <c r="N4108" s="33"/>
      <c r="O4108" s="33"/>
      <c r="P4108" s="33"/>
      <c r="Q4108" s="33"/>
      <c r="R4108" s="33"/>
      <c r="S4108" s="33"/>
      <c r="T4108" s="33"/>
      <c r="U4108" s="33"/>
      <c r="V4108" s="33"/>
      <c r="W4108" s="33"/>
      <c r="X4108" s="33"/>
      <c r="Y4108" s="33"/>
      <c r="Z4108" s="33"/>
      <c r="AA4108" s="33"/>
      <c r="AB4108" s="33"/>
      <c r="AC4108" s="33"/>
      <c r="AD4108" s="33"/>
      <c r="AE4108" s="33"/>
      <c r="AF4108" s="33"/>
      <c r="AG4108" s="33"/>
      <c r="AH4108" s="33"/>
      <c r="AI4108" s="33"/>
      <c r="AJ4108" s="33"/>
      <c r="AK4108" s="33"/>
    </row>
    <row r="4109">
      <c r="A4109" s="33"/>
      <c r="B4109" s="33"/>
      <c r="C4109" s="33"/>
      <c r="D4109" s="33"/>
      <c r="E4109" s="33"/>
      <c r="F4109" s="33"/>
      <c r="G4109" s="33"/>
      <c r="H4109" s="33"/>
      <c r="I4109" s="33"/>
      <c r="J4109" s="33"/>
      <c r="K4109" s="33"/>
      <c r="L4109" s="33"/>
      <c r="M4109" s="33"/>
      <c r="N4109" s="33"/>
      <c r="O4109" s="33"/>
      <c r="P4109" s="33"/>
      <c r="Q4109" s="33"/>
      <c r="R4109" s="33"/>
      <c r="S4109" s="33"/>
      <c r="T4109" s="33"/>
      <c r="U4109" s="33"/>
      <c r="V4109" s="33"/>
      <c r="W4109" s="33"/>
      <c r="X4109" s="33"/>
      <c r="Y4109" s="33"/>
      <c r="Z4109" s="33"/>
      <c r="AA4109" s="33"/>
      <c r="AB4109" s="33"/>
      <c r="AC4109" s="33"/>
      <c r="AD4109" s="33"/>
      <c r="AE4109" s="33"/>
      <c r="AF4109" s="33"/>
      <c r="AG4109" s="33"/>
      <c r="AH4109" s="33"/>
      <c r="AI4109" s="33"/>
      <c r="AJ4109" s="33"/>
      <c r="AK4109" s="33"/>
    </row>
    <row r="4110">
      <c r="A4110" s="33"/>
      <c r="B4110" s="33"/>
      <c r="C4110" s="33"/>
      <c r="D4110" s="33"/>
      <c r="E4110" s="33"/>
      <c r="F4110" s="33"/>
      <c r="G4110" s="33"/>
      <c r="H4110" s="33"/>
      <c r="I4110" s="33"/>
      <c r="J4110" s="33"/>
      <c r="K4110" s="33"/>
      <c r="L4110" s="33"/>
      <c r="M4110" s="33"/>
      <c r="N4110" s="33"/>
      <c r="O4110" s="33"/>
      <c r="P4110" s="33"/>
      <c r="Q4110" s="33"/>
      <c r="R4110" s="33"/>
      <c r="S4110" s="33"/>
      <c r="T4110" s="33"/>
      <c r="U4110" s="33"/>
      <c r="V4110" s="33"/>
      <c r="W4110" s="33"/>
      <c r="X4110" s="33"/>
      <c r="Y4110" s="33"/>
      <c r="Z4110" s="33"/>
      <c r="AA4110" s="33"/>
      <c r="AB4110" s="33"/>
      <c r="AC4110" s="33"/>
      <c r="AD4110" s="33"/>
      <c r="AE4110" s="33"/>
      <c r="AF4110" s="33"/>
      <c r="AG4110" s="33"/>
      <c r="AH4110" s="33"/>
      <c r="AI4110" s="33"/>
      <c r="AJ4110" s="33"/>
      <c r="AK4110" s="33"/>
    </row>
    <row r="4111">
      <c r="A4111" s="33"/>
      <c r="B4111" s="33"/>
      <c r="C4111" s="33"/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  <c r="Q4111" s="33"/>
      <c r="R4111" s="33"/>
      <c r="S4111" s="33"/>
      <c r="T4111" s="33"/>
      <c r="U4111" s="33"/>
      <c r="V4111" s="33"/>
      <c r="W4111" s="33"/>
      <c r="X4111" s="33"/>
      <c r="Y4111" s="33"/>
      <c r="Z4111" s="33"/>
      <c r="AA4111" s="33"/>
      <c r="AB4111" s="33"/>
      <c r="AC4111" s="33"/>
      <c r="AD4111" s="33"/>
      <c r="AE4111" s="33"/>
      <c r="AF4111" s="33"/>
      <c r="AG4111" s="33"/>
      <c r="AH4111" s="33"/>
      <c r="AI4111" s="33"/>
      <c r="AJ4111" s="33"/>
      <c r="AK4111" s="33"/>
    </row>
    <row r="4112">
      <c r="A4112" s="33"/>
      <c r="B4112" s="33"/>
      <c r="C4112" s="33"/>
      <c r="D4112" s="33"/>
      <c r="E4112" s="33"/>
      <c r="F4112" s="33"/>
      <c r="G4112" s="33"/>
      <c r="H4112" s="33"/>
      <c r="I4112" s="33"/>
      <c r="J4112" s="33"/>
      <c r="K4112" s="33"/>
      <c r="L4112" s="33"/>
      <c r="M4112" s="33"/>
      <c r="N4112" s="33"/>
      <c r="O4112" s="33"/>
      <c r="P4112" s="33"/>
      <c r="Q4112" s="33"/>
      <c r="R4112" s="33"/>
      <c r="S4112" s="33"/>
      <c r="T4112" s="33"/>
      <c r="U4112" s="33"/>
      <c r="V4112" s="33"/>
      <c r="W4112" s="33"/>
      <c r="X4112" s="33"/>
      <c r="Y4112" s="33"/>
      <c r="Z4112" s="33"/>
      <c r="AA4112" s="33"/>
      <c r="AB4112" s="33"/>
      <c r="AC4112" s="33"/>
      <c r="AD4112" s="33"/>
      <c r="AE4112" s="33"/>
      <c r="AF4112" s="33"/>
      <c r="AG4112" s="33"/>
      <c r="AH4112" s="33"/>
      <c r="AI4112" s="33"/>
      <c r="AJ4112" s="33"/>
      <c r="AK4112" s="33"/>
    </row>
    <row r="4113">
      <c r="A4113" s="33"/>
      <c r="B4113" s="33"/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33"/>
      <c r="Q4113" s="33"/>
      <c r="R4113" s="33"/>
      <c r="S4113" s="33"/>
      <c r="T4113" s="33"/>
      <c r="U4113" s="33"/>
      <c r="V4113" s="33"/>
      <c r="W4113" s="33"/>
      <c r="X4113" s="33"/>
      <c r="Y4113" s="33"/>
      <c r="Z4113" s="33"/>
      <c r="AA4113" s="33"/>
      <c r="AB4113" s="33"/>
      <c r="AC4113" s="33"/>
      <c r="AD4113" s="33"/>
      <c r="AE4113" s="33"/>
      <c r="AF4113" s="33"/>
      <c r="AG4113" s="33"/>
      <c r="AH4113" s="33"/>
      <c r="AI4113" s="33"/>
      <c r="AJ4113" s="33"/>
      <c r="AK4113" s="33"/>
    </row>
    <row r="4114">
      <c r="A4114" s="33"/>
      <c r="B4114" s="33"/>
      <c r="C4114" s="33"/>
      <c r="D4114" s="33"/>
      <c r="E4114" s="33"/>
      <c r="F4114" s="33"/>
      <c r="G4114" s="33"/>
      <c r="H4114" s="33"/>
      <c r="I4114" s="33"/>
      <c r="J4114" s="33"/>
      <c r="K4114" s="33"/>
      <c r="L4114" s="33"/>
      <c r="M4114" s="33"/>
      <c r="N4114" s="33"/>
      <c r="O4114" s="33"/>
      <c r="P4114" s="33"/>
      <c r="Q4114" s="33"/>
      <c r="R4114" s="33"/>
      <c r="S4114" s="33"/>
      <c r="T4114" s="33"/>
      <c r="U4114" s="33"/>
      <c r="V4114" s="33"/>
      <c r="W4114" s="33"/>
      <c r="X4114" s="33"/>
      <c r="Y4114" s="33"/>
      <c r="Z4114" s="33"/>
      <c r="AA4114" s="33"/>
      <c r="AB4114" s="33"/>
      <c r="AC4114" s="33"/>
      <c r="AD4114" s="33"/>
      <c r="AE4114" s="33"/>
      <c r="AF4114" s="33"/>
      <c r="AG4114" s="33"/>
      <c r="AH4114" s="33"/>
      <c r="AI4114" s="33"/>
      <c r="AJ4114" s="33"/>
      <c r="AK4114" s="33"/>
    </row>
    <row r="4115">
      <c r="A4115" s="33"/>
      <c r="B4115" s="33"/>
      <c r="C4115" s="33"/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  <c r="Q4115" s="33"/>
      <c r="R4115" s="33"/>
      <c r="S4115" s="33"/>
      <c r="T4115" s="33"/>
      <c r="U4115" s="33"/>
      <c r="V4115" s="33"/>
      <c r="W4115" s="33"/>
      <c r="X4115" s="33"/>
      <c r="Y4115" s="33"/>
      <c r="Z4115" s="33"/>
      <c r="AA4115" s="33"/>
      <c r="AB4115" s="33"/>
      <c r="AC4115" s="33"/>
      <c r="AD4115" s="33"/>
      <c r="AE4115" s="33"/>
      <c r="AF4115" s="33"/>
      <c r="AG4115" s="33"/>
      <c r="AH4115" s="33"/>
      <c r="AI4115" s="33"/>
      <c r="AJ4115" s="33"/>
      <c r="AK4115" s="33"/>
    </row>
    <row r="4116">
      <c r="A4116" s="33"/>
      <c r="B4116" s="33"/>
      <c r="C4116" s="33"/>
      <c r="D4116" s="33"/>
      <c r="E4116" s="33"/>
      <c r="F4116" s="33"/>
      <c r="G4116" s="33"/>
      <c r="H4116" s="33"/>
      <c r="I4116" s="33"/>
      <c r="J4116" s="33"/>
      <c r="K4116" s="33"/>
      <c r="L4116" s="33"/>
      <c r="M4116" s="33"/>
      <c r="N4116" s="33"/>
      <c r="O4116" s="33"/>
      <c r="P4116" s="33"/>
      <c r="Q4116" s="33"/>
      <c r="R4116" s="33"/>
      <c r="S4116" s="33"/>
      <c r="T4116" s="33"/>
      <c r="U4116" s="33"/>
      <c r="V4116" s="33"/>
      <c r="W4116" s="33"/>
      <c r="X4116" s="33"/>
      <c r="Y4116" s="33"/>
      <c r="Z4116" s="33"/>
      <c r="AA4116" s="33"/>
      <c r="AB4116" s="33"/>
      <c r="AC4116" s="33"/>
      <c r="AD4116" s="33"/>
      <c r="AE4116" s="33"/>
      <c r="AF4116" s="33"/>
      <c r="AG4116" s="33"/>
      <c r="AH4116" s="33"/>
      <c r="AI4116" s="33"/>
      <c r="AJ4116" s="33"/>
      <c r="AK4116" s="33"/>
    </row>
    <row r="4117">
      <c r="A4117" s="33"/>
      <c r="B4117" s="33"/>
      <c r="C4117" s="33"/>
      <c r="D4117" s="33"/>
      <c r="E4117" s="33"/>
      <c r="F4117" s="33"/>
      <c r="G4117" s="33"/>
      <c r="H4117" s="33"/>
      <c r="I4117" s="33"/>
      <c r="J4117" s="33"/>
      <c r="K4117" s="33"/>
      <c r="L4117" s="33"/>
      <c r="M4117" s="33"/>
      <c r="N4117" s="33"/>
      <c r="O4117" s="33"/>
      <c r="P4117" s="33"/>
      <c r="Q4117" s="33"/>
      <c r="R4117" s="33"/>
      <c r="S4117" s="33"/>
      <c r="T4117" s="33"/>
      <c r="U4117" s="33"/>
      <c r="V4117" s="33"/>
      <c r="W4117" s="33"/>
      <c r="X4117" s="33"/>
      <c r="Y4117" s="33"/>
      <c r="Z4117" s="33"/>
      <c r="AA4117" s="33"/>
      <c r="AB4117" s="33"/>
      <c r="AC4117" s="33"/>
      <c r="AD4117" s="33"/>
      <c r="AE4117" s="33"/>
      <c r="AF4117" s="33"/>
      <c r="AG4117" s="33"/>
      <c r="AH4117" s="33"/>
      <c r="AI4117" s="33"/>
      <c r="AJ4117" s="33"/>
      <c r="AK4117" s="33"/>
    </row>
    <row r="4118">
      <c r="A4118" s="33"/>
      <c r="B4118" s="33"/>
      <c r="C4118" s="33"/>
      <c r="D4118" s="33"/>
      <c r="E4118" s="33"/>
      <c r="F4118" s="33"/>
      <c r="G4118" s="33"/>
      <c r="H4118" s="33"/>
      <c r="I4118" s="33"/>
      <c r="J4118" s="33"/>
      <c r="K4118" s="33"/>
      <c r="L4118" s="33"/>
      <c r="M4118" s="33"/>
      <c r="N4118" s="33"/>
      <c r="O4118" s="33"/>
      <c r="P4118" s="33"/>
      <c r="Q4118" s="33"/>
      <c r="R4118" s="33"/>
      <c r="S4118" s="33"/>
      <c r="T4118" s="33"/>
      <c r="U4118" s="33"/>
      <c r="V4118" s="33"/>
      <c r="W4118" s="33"/>
      <c r="X4118" s="33"/>
      <c r="Y4118" s="33"/>
      <c r="Z4118" s="33"/>
      <c r="AA4118" s="33"/>
      <c r="AB4118" s="33"/>
      <c r="AC4118" s="33"/>
      <c r="AD4118" s="33"/>
      <c r="AE4118" s="33"/>
      <c r="AF4118" s="33"/>
      <c r="AG4118" s="33"/>
      <c r="AH4118" s="33"/>
      <c r="AI4118" s="33"/>
      <c r="AJ4118" s="33"/>
      <c r="AK4118" s="33"/>
    </row>
    <row r="4119">
      <c r="A4119" s="33"/>
      <c r="B4119" s="33"/>
      <c r="C4119" s="33"/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  <c r="Q4119" s="33"/>
      <c r="R4119" s="33"/>
      <c r="S4119" s="33"/>
      <c r="T4119" s="33"/>
      <c r="U4119" s="33"/>
      <c r="V4119" s="33"/>
      <c r="W4119" s="33"/>
      <c r="X4119" s="33"/>
      <c r="Y4119" s="33"/>
      <c r="Z4119" s="33"/>
      <c r="AA4119" s="33"/>
      <c r="AB4119" s="33"/>
      <c r="AC4119" s="33"/>
      <c r="AD4119" s="33"/>
      <c r="AE4119" s="33"/>
      <c r="AF4119" s="33"/>
      <c r="AG4119" s="33"/>
      <c r="AH4119" s="33"/>
      <c r="AI4119" s="33"/>
      <c r="AJ4119" s="33"/>
      <c r="AK4119" s="33"/>
    </row>
    <row r="4120">
      <c r="A4120" s="33"/>
      <c r="B4120" s="33"/>
      <c r="C4120" s="33"/>
      <c r="D4120" s="33"/>
      <c r="E4120" s="33"/>
      <c r="F4120" s="33"/>
      <c r="G4120" s="33"/>
      <c r="H4120" s="33"/>
      <c r="I4120" s="33"/>
      <c r="J4120" s="33"/>
      <c r="K4120" s="33"/>
      <c r="L4120" s="33"/>
      <c r="M4120" s="33"/>
      <c r="N4120" s="33"/>
      <c r="O4120" s="33"/>
      <c r="P4120" s="33"/>
      <c r="Q4120" s="33"/>
      <c r="R4120" s="33"/>
      <c r="S4120" s="33"/>
      <c r="T4120" s="33"/>
      <c r="U4120" s="33"/>
      <c r="V4120" s="33"/>
      <c r="W4120" s="33"/>
      <c r="X4120" s="33"/>
      <c r="Y4120" s="33"/>
      <c r="Z4120" s="33"/>
      <c r="AA4120" s="33"/>
      <c r="AB4120" s="33"/>
      <c r="AC4120" s="33"/>
      <c r="AD4120" s="33"/>
      <c r="AE4120" s="33"/>
      <c r="AF4120" s="33"/>
      <c r="AG4120" s="33"/>
      <c r="AH4120" s="33"/>
      <c r="AI4120" s="33"/>
      <c r="AJ4120" s="33"/>
      <c r="AK4120" s="33"/>
    </row>
    <row r="4121">
      <c r="A4121" s="33"/>
      <c r="B4121" s="33"/>
      <c r="C4121" s="33"/>
      <c r="D4121" s="33"/>
      <c r="E4121" s="33"/>
      <c r="F4121" s="33"/>
      <c r="G4121" s="33"/>
      <c r="H4121" s="33"/>
      <c r="I4121" s="33"/>
      <c r="J4121" s="33"/>
      <c r="K4121" s="33"/>
      <c r="L4121" s="33"/>
      <c r="M4121" s="33"/>
      <c r="N4121" s="33"/>
      <c r="O4121" s="33"/>
      <c r="P4121" s="33"/>
      <c r="Q4121" s="33"/>
      <c r="R4121" s="33"/>
      <c r="S4121" s="33"/>
      <c r="T4121" s="33"/>
      <c r="U4121" s="33"/>
      <c r="V4121" s="33"/>
      <c r="W4121" s="33"/>
      <c r="X4121" s="33"/>
      <c r="Y4121" s="33"/>
      <c r="Z4121" s="33"/>
      <c r="AA4121" s="33"/>
      <c r="AB4121" s="33"/>
      <c r="AC4121" s="33"/>
      <c r="AD4121" s="33"/>
      <c r="AE4121" s="33"/>
      <c r="AF4121" s="33"/>
      <c r="AG4121" s="33"/>
      <c r="AH4121" s="33"/>
      <c r="AI4121" s="33"/>
      <c r="AJ4121" s="33"/>
      <c r="AK4121" s="33"/>
    </row>
    <row r="4122">
      <c r="A4122" s="33"/>
      <c r="B4122" s="33"/>
      <c r="C4122" s="33"/>
      <c r="D4122" s="33"/>
      <c r="E4122" s="33"/>
      <c r="F4122" s="33"/>
      <c r="G4122" s="33"/>
      <c r="H4122" s="33"/>
      <c r="I4122" s="33"/>
      <c r="J4122" s="33"/>
      <c r="K4122" s="33"/>
      <c r="L4122" s="33"/>
      <c r="M4122" s="33"/>
      <c r="N4122" s="33"/>
      <c r="O4122" s="33"/>
      <c r="P4122" s="33"/>
      <c r="Q4122" s="33"/>
      <c r="R4122" s="33"/>
      <c r="S4122" s="33"/>
      <c r="T4122" s="33"/>
      <c r="U4122" s="33"/>
      <c r="V4122" s="33"/>
      <c r="W4122" s="33"/>
      <c r="X4122" s="33"/>
      <c r="Y4122" s="33"/>
      <c r="Z4122" s="33"/>
      <c r="AA4122" s="33"/>
      <c r="AB4122" s="33"/>
      <c r="AC4122" s="33"/>
      <c r="AD4122" s="33"/>
      <c r="AE4122" s="33"/>
      <c r="AF4122" s="33"/>
      <c r="AG4122" s="33"/>
      <c r="AH4122" s="33"/>
      <c r="AI4122" s="33"/>
      <c r="AJ4122" s="33"/>
      <c r="AK4122" s="33"/>
    </row>
    <row r="4123">
      <c r="A4123" s="33"/>
      <c r="B4123" s="33"/>
      <c r="C4123" s="33"/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  <c r="Q4123" s="33"/>
      <c r="R4123" s="33"/>
      <c r="S4123" s="33"/>
      <c r="T4123" s="33"/>
      <c r="U4123" s="33"/>
      <c r="V4123" s="33"/>
      <c r="W4123" s="33"/>
      <c r="X4123" s="33"/>
      <c r="Y4123" s="33"/>
      <c r="Z4123" s="33"/>
      <c r="AA4123" s="33"/>
      <c r="AB4123" s="33"/>
      <c r="AC4123" s="33"/>
      <c r="AD4123" s="33"/>
      <c r="AE4123" s="33"/>
      <c r="AF4123" s="33"/>
      <c r="AG4123" s="33"/>
      <c r="AH4123" s="33"/>
      <c r="AI4123" s="33"/>
      <c r="AJ4123" s="33"/>
      <c r="AK4123" s="33"/>
    </row>
    <row r="4124">
      <c r="A4124" s="33"/>
      <c r="B4124" s="33"/>
      <c r="C4124" s="33"/>
      <c r="D4124" s="33"/>
      <c r="E4124" s="33"/>
      <c r="F4124" s="33"/>
      <c r="G4124" s="33"/>
      <c r="H4124" s="33"/>
      <c r="I4124" s="33"/>
      <c r="J4124" s="33"/>
      <c r="K4124" s="33"/>
      <c r="L4124" s="33"/>
      <c r="M4124" s="33"/>
      <c r="N4124" s="33"/>
      <c r="O4124" s="33"/>
      <c r="P4124" s="33"/>
      <c r="Q4124" s="33"/>
      <c r="R4124" s="33"/>
      <c r="S4124" s="33"/>
      <c r="T4124" s="33"/>
      <c r="U4124" s="33"/>
      <c r="V4124" s="33"/>
      <c r="W4124" s="33"/>
      <c r="X4124" s="33"/>
      <c r="Y4124" s="33"/>
      <c r="Z4124" s="33"/>
      <c r="AA4124" s="33"/>
      <c r="AB4124" s="33"/>
      <c r="AC4124" s="33"/>
      <c r="AD4124" s="33"/>
      <c r="AE4124" s="33"/>
      <c r="AF4124" s="33"/>
      <c r="AG4124" s="33"/>
      <c r="AH4124" s="33"/>
      <c r="AI4124" s="33"/>
      <c r="AJ4124" s="33"/>
      <c r="AK4124" s="33"/>
    </row>
    <row r="4125">
      <c r="A4125" s="33"/>
      <c r="B4125" s="33"/>
      <c r="C4125" s="33"/>
      <c r="D4125" s="33"/>
      <c r="E4125" s="33"/>
      <c r="F4125" s="33"/>
      <c r="G4125" s="33"/>
      <c r="H4125" s="33"/>
      <c r="I4125" s="33"/>
      <c r="J4125" s="33"/>
      <c r="K4125" s="33"/>
      <c r="L4125" s="33"/>
      <c r="M4125" s="33"/>
      <c r="N4125" s="33"/>
      <c r="O4125" s="33"/>
      <c r="P4125" s="33"/>
      <c r="Q4125" s="33"/>
      <c r="R4125" s="33"/>
      <c r="S4125" s="33"/>
      <c r="T4125" s="33"/>
      <c r="U4125" s="33"/>
      <c r="V4125" s="33"/>
      <c r="W4125" s="33"/>
      <c r="X4125" s="33"/>
      <c r="Y4125" s="33"/>
      <c r="Z4125" s="33"/>
      <c r="AA4125" s="33"/>
      <c r="AB4125" s="33"/>
      <c r="AC4125" s="33"/>
      <c r="AD4125" s="33"/>
      <c r="AE4125" s="33"/>
      <c r="AF4125" s="33"/>
      <c r="AG4125" s="33"/>
      <c r="AH4125" s="33"/>
      <c r="AI4125" s="33"/>
      <c r="AJ4125" s="33"/>
      <c r="AK4125" s="33"/>
    </row>
    <row r="4126">
      <c r="A4126" s="33"/>
      <c r="B4126" s="33"/>
      <c r="C4126" s="33"/>
      <c r="D4126" s="33"/>
      <c r="E4126" s="33"/>
      <c r="F4126" s="33"/>
      <c r="G4126" s="33"/>
      <c r="H4126" s="33"/>
      <c r="I4126" s="33"/>
      <c r="J4126" s="33"/>
      <c r="K4126" s="33"/>
      <c r="L4126" s="33"/>
      <c r="M4126" s="33"/>
      <c r="N4126" s="33"/>
      <c r="O4126" s="33"/>
      <c r="P4126" s="33"/>
      <c r="Q4126" s="33"/>
      <c r="R4126" s="33"/>
      <c r="S4126" s="33"/>
      <c r="T4126" s="33"/>
      <c r="U4126" s="33"/>
      <c r="V4126" s="33"/>
      <c r="W4126" s="33"/>
      <c r="X4126" s="33"/>
      <c r="Y4126" s="33"/>
      <c r="Z4126" s="33"/>
      <c r="AA4126" s="33"/>
      <c r="AB4126" s="33"/>
      <c r="AC4126" s="33"/>
      <c r="AD4126" s="33"/>
      <c r="AE4126" s="33"/>
      <c r="AF4126" s="33"/>
      <c r="AG4126" s="33"/>
      <c r="AH4126" s="33"/>
      <c r="AI4126" s="33"/>
      <c r="AJ4126" s="33"/>
      <c r="AK4126" s="33"/>
    </row>
    <row r="4127">
      <c r="A4127" s="33"/>
      <c r="B4127" s="33"/>
      <c r="C4127" s="33"/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  <c r="Q4127" s="33"/>
      <c r="R4127" s="33"/>
      <c r="S4127" s="33"/>
      <c r="T4127" s="33"/>
      <c r="U4127" s="33"/>
      <c r="V4127" s="33"/>
      <c r="W4127" s="33"/>
      <c r="X4127" s="33"/>
      <c r="Y4127" s="33"/>
      <c r="Z4127" s="33"/>
      <c r="AA4127" s="33"/>
      <c r="AB4127" s="33"/>
      <c r="AC4127" s="33"/>
      <c r="AD4127" s="33"/>
      <c r="AE4127" s="33"/>
      <c r="AF4127" s="33"/>
      <c r="AG4127" s="33"/>
      <c r="AH4127" s="33"/>
      <c r="AI4127" s="33"/>
      <c r="AJ4127" s="33"/>
      <c r="AK4127" s="33"/>
    </row>
    <row r="4128">
      <c r="A4128" s="33"/>
      <c r="B4128" s="33"/>
      <c r="C4128" s="33"/>
      <c r="D4128" s="33"/>
      <c r="E4128" s="33"/>
      <c r="F4128" s="33"/>
      <c r="G4128" s="33"/>
      <c r="H4128" s="33"/>
      <c r="I4128" s="33"/>
      <c r="J4128" s="33"/>
      <c r="K4128" s="33"/>
      <c r="L4128" s="33"/>
      <c r="M4128" s="33"/>
      <c r="N4128" s="33"/>
      <c r="O4128" s="33"/>
      <c r="P4128" s="33"/>
      <c r="Q4128" s="33"/>
      <c r="R4128" s="33"/>
      <c r="S4128" s="33"/>
      <c r="T4128" s="33"/>
      <c r="U4128" s="33"/>
      <c r="V4128" s="33"/>
      <c r="W4128" s="33"/>
      <c r="X4128" s="33"/>
      <c r="Y4128" s="33"/>
      <c r="Z4128" s="33"/>
      <c r="AA4128" s="33"/>
      <c r="AB4128" s="33"/>
      <c r="AC4128" s="33"/>
      <c r="AD4128" s="33"/>
      <c r="AE4128" s="33"/>
      <c r="AF4128" s="33"/>
      <c r="AG4128" s="33"/>
      <c r="AH4128" s="33"/>
      <c r="AI4128" s="33"/>
      <c r="AJ4128" s="33"/>
      <c r="AK4128" s="33"/>
    </row>
    <row r="4129">
      <c r="A4129" s="33"/>
      <c r="B4129" s="33"/>
      <c r="C4129" s="33"/>
      <c r="D4129" s="33"/>
      <c r="E4129" s="33"/>
      <c r="F4129" s="33"/>
      <c r="G4129" s="33"/>
      <c r="H4129" s="33"/>
      <c r="I4129" s="33"/>
      <c r="J4129" s="33"/>
      <c r="K4129" s="33"/>
      <c r="L4129" s="33"/>
      <c r="M4129" s="33"/>
      <c r="N4129" s="33"/>
      <c r="O4129" s="33"/>
      <c r="P4129" s="33"/>
      <c r="Q4129" s="33"/>
      <c r="R4129" s="33"/>
      <c r="S4129" s="33"/>
      <c r="T4129" s="33"/>
      <c r="U4129" s="33"/>
      <c r="V4129" s="33"/>
      <c r="W4129" s="33"/>
      <c r="X4129" s="33"/>
      <c r="Y4129" s="33"/>
      <c r="Z4129" s="33"/>
      <c r="AA4129" s="33"/>
      <c r="AB4129" s="33"/>
      <c r="AC4129" s="33"/>
      <c r="AD4129" s="33"/>
      <c r="AE4129" s="33"/>
      <c r="AF4129" s="33"/>
      <c r="AG4129" s="33"/>
      <c r="AH4129" s="33"/>
      <c r="AI4129" s="33"/>
      <c r="AJ4129" s="33"/>
      <c r="AK4129" s="33"/>
    </row>
    <row r="4130">
      <c r="A4130" s="33"/>
      <c r="B4130" s="33"/>
      <c r="C4130" s="33"/>
      <c r="D4130" s="33"/>
      <c r="E4130" s="33"/>
      <c r="F4130" s="33"/>
      <c r="G4130" s="33"/>
      <c r="H4130" s="33"/>
      <c r="I4130" s="33"/>
      <c r="J4130" s="33"/>
      <c r="K4130" s="33"/>
      <c r="L4130" s="33"/>
      <c r="M4130" s="33"/>
      <c r="N4130" s="33"/>
      <c r="O4130" s="33"/>
      <c r="P4130" s="33"/>
      <c r="Q4130" s="33"/>
      <c r="R4130" s="33"/>
      <c r="S4130" s="33"/>
      <c r="T4130" s="33"/>
      <c r="U4130" s="33"/>
      <c r="V4130" s="33"/>
      <c r="W4130" s="33"/>
      <c r="X4130" s="33"/>
      <c r="Y4130" s="33"/>
      <c r="Z4130" s="33"/>
      <c r="AA4130" s="33"/>
      <c r="AB4130" s="33"/>
      <c r="AC4130" s="33"/>
      <c r="AD4130" s="33"/>
      <c r="AE4130" s="33"/>
      <c r="AF4130" s="33"/>
      <c r="AG4130" s="33"/>
      <c r="AH4130" s="33"/>
      <c r="AI4130" s="33"/>
      <c r="AJ4130" s="33"/>
      <c r="AK4130" s="33"/>
    </row>
    <row r="4131">
      <c r="A4131" s="33"/>
      <c r="B4131" s="33"/>
      <c r="C4131" s="33"/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  <c r="R4131" s="33"/>
      <c r="S4131" s="33"/>
      <c r="T4131" s="33"/>
      <c r="U4131" s="33"/>
      <c r="V4131" s="33"/>
      <c r="W4131" s="33"/>
      <c r="X4131" s="33"/>
      <c r="Y4131" s="33"/>
      <c r="Z4131" s="33"/>
      <c r="AA4131" s="33"/>
      <c r="AB4131" s="33"/>
      <c r="AC4131" s="33"/>
      <c r="AD4131" s="33"/>
      <c r="AE4131" s="33"/>
      <c r="AF4131" s="33"/>
      <c r="AG4131" s="33"/>
      <c r="AH4131" s="33"/>
      <c r="AI4131" s="33"/>
      <c r="AJ4131" s="33"/>
      <c r="AK4131" s="33"/>
    </row>
    <row r="4132">
      <c r="A4132" s="33"/>
      <c r="B4132" s="33"/>
      <c r="C4132" s="33"/>
      <c r="D4132" s="33"/>
      <c r="E4132" s="33"/>
      <c r="F4132" s="33"/>
      <c r="G4132" s="33"/>
      <c r="H4132" s="33"/>
      <c r="I4132" s="33"/>
      <c r="J4132" s="33"/>
      <c r="K4132" s="33"/>
      <c r="L4132" s="33"/>
      <c r="M4132" s="33"/>
      <c r="N4132" s="33"/>
      <c r="O4132" s="33"/>
      <c r="P4132" s="33"/>
      <c r="Q4132" s="33"/>
      <c r="R4132" s="33"/>
      <c r="S4132" s="33"/>
      <c r="T4132" s="33"/>
      <c r="U4132" s="33"/>
      <c r="V4132" s="33"/>
      <c r="W4132" s="33"/>
      <c r="X4132" s="33"/>
      <c r="Y4132" s="33"/>
      <c r="Z4132" s="33"/>
      <c r="AA4132" s="33"/>
      <c r="AB4132" s="33"/>
      <c r="AC4132" s="33"/>
      <c r="AD4132" s="33"/>
      <c r="AE4132" s="33"/>
      <c r="AF4132" s="33"/>
      <c r="AG4132" s="33"/>
      <c r="AH4132" s="33"/>
      <c r="AI4132" s="33"/>
      <c r="AJ4132" s="33"/>
      <c r="AK4132" s="33"/>
    </row>
    <row r="4133">
      <c r="A4133" s="33"/>
      <c r="B4133" s="33"/>
      <c r="C4133" s="33"/>
      <c r="D4133" s="33"/>
      <c r="E4133" s="33"/>
      <c r="F4133" s="33"/>
      <c r="G4133" s="33"/>
      <c r="H4133" s="33"/>
      <c r="I4133" s="33"/>
      <c r="J4133" s="33"/>
      <c r="K4133" s="33"/>
      <c r="L4133" s="33"/>
      <c r="M4133" s="33"/>
      <c r="N4133" s="33"/>
      <c r="O4133" s="33"/>
      <c r="P4133" s="33"/>
      <c r="Q4133" s="33"/>
      <c r="R4133" s="33"/>
      <c r="S4133" s="33"/>
      <c r="T4133" s="33"/>
      <c r="U4133" s="33"/>
      <c r="V4133" s="33"/>
      <c r="W4133" s="33"/>
      <c r="X4133" s="33"/>
      <c r="Y4133" s="33"/>
      <c r="Z4133" s="33"/>
      <c r="AA4133" s="33"/>
      <c r="AB4133" s="33"/>
      <c r="AC4133" s="33"/>
      <c r="AD4133" s="33"/>
      <c r="AE4133" s="33"/>
      <c r="AF4133" s="33"/>
      <c r="AG4133" s="33"/>
      <c r="AH4133" s="33"/>
      <c r="AI4133" s="33"/>
      <c r="AJ4133" s="33"/>
      <c r="AK4133" s="33"/>
    </row>
    <row r="4134">
      <c r="A4134" s="33"/>
      <c r="B4134" s="33"/>
      <c r="C4134" s="33"/>
      <c r="D4134" s="33"/>
      <c r="E4134" s="33"/>
      <c r="F4134" s="33"/>
      <c r="G4134" s="33"/>
      <c r="H4134" s="33"/>
      <c r="I4134" s="33"/>
      <c r="J4134" s="33"/>
      <c r="K4134" s="33"/>
      <c r="L4134" s="33"/>
      <c r="M4134" s="33"/>
      <c r="N4134" s="33"/>
      <c r="O4134" s="33"/>
      <c r="P4134" s="33"/>
      <c r="Q4134" s="33"/>
      <c r="R4134" s="33"/>
      <c r="S4134" s="33"/>
      <c r="T4134" s="33"/>
      <c r="U4134" s="33"/>
      <c r="V4134" s="33"/>
      <c r="W4134" s="33"/>
      <c r="X4134" s="33"/>
      <c r="Y4134" s="33"/>
      <c r="Z4134" s="33"/>
      <c r="AA4134" s="33"/>
      <c r="AB4134" s="33"/>
      <c r="AC4134" s="33"/>
      <c r="AD4134" s="33"/>
      <c r="AE4134" s="33"/>
      <c r="AF4134" s="33"/>
      <c r="AG4134" s="33"/>
      <c r="AH4134" s="33"/>
      <c r="AI4134" s="33"/>
      <c r="AJ4134" s="33"/>
      <c r="AK4134" s="33"/>
    </row>
    <row r="4135">
      <c r="A4135" s="33"/>
      <c r="B4135" s="33"/>
      <c r="C4135" s="33"/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  <c r="Q4135" s="33"/>
      <c r="R4135" s="33"/>
      <c r="S4135" s="33"/>
      <c r="T4135" s="33"/>
      <c r="U4135" s="33"/>
      <c r="V4135" s="33"/>
      <c r="W4135" s="33"/>
      <c r="X4135" s="33"/>
      <c r="Y4135" s="33"/>
      <c r="Z4135" s="33"/>
      <c r="AA4135" s="33"/>
      <c r="AB4135" s="33"/>
      <c r="AC4135" s="33"/>
      <c r="AD4135" s="33"/>
      <c r="AE4135" s="33"/>
      <c r="AF4135" s="33"/>
      <c r="AG4135" s="33"/>
      <c r="AH4135" s="33"/>
      <c r="AI4135" s="33"/>
      <c r="AJ4135" s="33"/>
      <c r="AK4135" s="33"/>
    </row>
    <row r="4136">
      <c r="A4136" s="33"/>
      <c r="B4136" s="33"/>
      <c r="C4136" s="33"/>
      <c r="D4136" s="33"/>
      <c r="E4136" s="33"/>
      <c r="F4136" s="33"/>
      <c r="G4136" s="33"/>
      <c r="H4136" s="33"/>
      <c r="I4136" s="33"/>
      <c r="J4136" s="33"/>
      <c r="K4136" s="33"/>
      <c r="L4136" s="33"/>
      <c r="M4136" s="33"/>
      <c r="N4136" s="33"/>
      <c r="O4136" s="33"/>
      <c r="P4136" s="33"/>
      <c r="Q4136" s="33"/>
      <c r="R4136" s="33"/>
      <c r="S4136" s="33"/>
      <c r="T4136" s="33"/>
      <c r="U4136" s="33"/>
      <c r="V4136" s="33"/>
      <c r="W4136" s="33"/>
      <c r="X4136" s="33"/>
      <c r="Y4136" s="33"/>
      <c r="Z4136" s="33"/>
      <c r="AA4136" s="33"/>
      <c r="AB4136" s="33"/>
      <c r="AC4136" s="33"/>
      <c r="AD4136" s="33"/>
      <c r="AE4136" s="33"/>
      <c r="AF4136" s="33"/>
      <c r="AG4136" s="33"/>
      <c r="AH4136" s="33"/>
      <c r="AI4136" s="33"/>
      <c r="AJ4136" s="33"/>
      <c r="AK4136" s="33"/>
    </row>
    <row r="4137">
      <c r="A4137" s="33"/>
      <c r="B4137" s="33"/>
      <c r="C4137" s="33"/>
      <c r="D4137" s="33"/>
      <c r="E4137" s="33"/>
      <c r="F4137" s="33"/>
      <c r="G4137" s="33"/>
      <c r="H4137" s="33"/>
      <c r="I4137" s="33"/>
      <c r="J4137" s="33"/>
      <c r="K4137" s="33"/>
      <c r="L4137" s="33"/>
      <c r="M4137" s="33"/>
      <c r="N4137" s="33"/>
      <c r="O4137" s="33"/>
      <c r="P4137" s="33"/>
      <c r="Q4137" s="33"/>
      <c r="R4137" s="33"/>
      <c r="S4137" s="33"/>
      <c r="T4137" s="33"/>
      <c r="U4137" s="33"/>
      <c r="V4137" s="33"/>
      <c r="W4137" s="33"/>
      <c r="X4137" s="33"/>
      <c r="Y4137" s="33"/>
      <c r="Z4137" s="33"/>
      <c r="AA4137" s="33"/>
      <c r="AB4137" s="33"/>
      <c r="AC4137" s="33"/>
      <c r="AD4137" s="33"/>
      <c r="AE4137" s="33"/>
      <c r="AF4137" s="33"/>
      <c r="AG4137" s="33"/>
      <c r="AH4137" s="33"/>
      <c r="AI4137" s="33"/>
      <c r="AJ4137" s="33"/>
      <c r="AK4137" s="33"/>
    </row>
    <row r="4138">
      <c r="A4138" s="33"/>
      <c r="B4138" s="33"/>
      <c r="C4138" s="33"/>
      <c r="D4138" s="33"/>
      <c r="E4138" s="33"/>
      <c r="F4138" s="33"/>
      <c r="G4138" s="33"/>
      <c r="H4138" s="33"/>
      <c r="I4138" s="33"/>
      <c r="J4138" s="33"/>
      <c r="K4138" s="33"/>
      <c r="L4138" s="33"/>
      <c r="M4138" s="33"/>
      <c r="N4138" s="33"/>
      <c r="O4138" s="33"/>
      <c r="P4138" s="33"/>
      <c r="Q4138" s="33"/>
      <c r="R4138" s="33"/>
      <c r="S4138" s="33"/>
      <c r="T4138" s="33"/>
      <c r="U4138" s="33"/>
      <c r="V4138" s="33"/>
      <c r="W4138" s="33"/>
      <c r="X4138" s="33"/>
      <c r="Y4138" s="33"/>
      <c r="Z4138" s="33"/>
      <c r="AA4138" s="33"/>
      <c r="AB4138" s="33"/>
      <c r="AC4138" s="33"/>
      <c r="AD4138" s="33"/>
      <c r="AE4138" s="33"/>
      <c r="AF4138" s="33"/>
      <c r="AG4138" s="33"/>
      <c r="AH4138" s="33"/>
      <c r="AI4138" s="33"/>
      <c r="AJ4138" s="33"/>
      <c r="AK4138" s="33"/>
    </row>
    <row r="4139">
      <c r="A4139" s="33"/>
      <c r="B4139" s="33"/>
      <c r="C4139" s="33"/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  <c r="Q4139" s="33"/>
      <c r="R4139" s="33"/>
      <c r="S4139" s="33"/>
      <c r="T4139" s="33"/>
      <c r="U4139" s="33"/>
      <c r="V4139" s="33"/>
      <c r="W4139" s="33"/>
      <c r="X4139" s="33"/>
      <c r="Y4139" s="33"/>
      <c r="Z4139" s="33"/>
      <c r="AA4139" s="33"/>
      <c r="AB4139" s="33"/>
      <c r="AC4139" s="33"/>
      <c r="AD4139" s="33"/>
      <c r="AE4139" s="33"/>
      <c r="AF4139" s="33"/>
      <c r="AG4139" s="33"/>
      <c r="AH4139" s="33"/>
      <c r="AI4139" s="33"/>
      <c r="AJ4139" s="33"/>
      <c r="AK4139" s="33"/>
    </row>
    <row r="4140">
      <c r="A4140" s="33"/>
      <c r="B4140" s="33"/>
      <c r="C4140" s="33"/>
      <c r="D4140" s="33"/>
      <c r="E4140" s="33"/>
      <c r="F4140" s="33"/>
      <c r="G4140" s="33"/>
      <c r="H4140" s="33"/>
      <c r="I4140" s="33"/>
      <c r="J4140" s="33"/>
      <c r="K4140" s="33"/>
      <c r="L4140" s="33"/>
      <c r="M4140" s="33"/>
      <c r="N4140" s="33"/>
      <c r="O4140" s="33"/>
      <c r="P4140" s="33"/>
      <c r="Q4140" s="33"/>
      <c r="R4140" s="33"/>
      <c r="S4140" s="33"/>
      <c r="T4140" s="33"/>
      <c r="U4140" s="33"/>
      <c r="V4140" s="33"/>
      <c r="W4140" s="33"/>
      <c r="X4140" s="33"/>
      <c r="Y4140" s="33"/>
      <c r="Z4140" s="33"/>
      <c r="AA4140" s="33"/>
      <c r="AB4140" s="33"/>
      <c r="AC4140" s="33"/>
      <c r="AD4140" s="33"/>
      <c r="AE4140" s="33"/>
      <c r="AF4140" s="33"/>
      <c r="AG4140" s="33"/>
      <c r="AH4140" s="33"/>
      <c r="AI4140" s="33"/>
      <c r="AJ4140" s="33"/>
      <c r="AK4140" s="33"/>
    </row>
    <row r="4141">
      <c r="A4141" s="33"/>
      <c r="B4141" s="33"/>
      <c r="C4141" s="33"/>
      <c r="D4141" s="33"/>
      <c r="E4141" s="33"/>
      <c r="F4141" s="33"/>
      <c r="G4141" s="33"/>
      <c r="H4141" s="33"/>
      <c r="I4141" s="33"/>
      <c r="J4141" s="33"/>
      <c r="K4141" s="33"/>
      <c r="L4141" s="33"/>
      <c r="M4141" s="33"/>
      <c r="N4141" s="33"/>
      <c r="O4141" s="33"/>
      <c r="P4141" s="33"/>
      <c r="Q4141" s="33"/>
      <c r="R4141" s="33"/>
      <c r="S4141" s="33"/>
      <c r="T4141" s="33"/>
      <c r="U4141" s="33"/>
      <c r="V4141" s="33"/>
      <c r="W4141" s="33"/>
      <c r="X4141" s="33"/>
      <c r="Y4141" s="33"/>
      <c r="Z4141" s="33"/>
      <c r="AA4141" s="33"/>
      <c r="AB4141" s="33"/>
      <c r="AC4141" s="33"/>
      <c r="AD4141" s="33"/>
      <c r="AE4141" s="33"/>
      <c r="AF4141" s="33"/>
      <c r="AG4141" s="33"/>
      <c r="AH4141" s="33"/>
      <c r="AI4141" s="33"/>
      <c r="AJ4141" s="33"/>
      <c r="AK4141" s="33"/>
    </row>
    <row r="4142">
      <c r="A4142" s="33"/>
      <c r="B4142" s="33"/>
      <c r="C4142" s="33"/>
      <c r="D4142" s="33"/>
      <c r="E4142" s="33"/>
      <c r="F4142" s="33"/>
      <c r="G4142" s="33"/>
      <c r="H4142" s="33"/>
      <c r="I4142" s="33"/>
      <c r="J4142" s="33"/>
      <c r="K4142" s="33"/>
      <c r="L4142" s="33"/>
      <c r="M4142" s="33"/>
      <c r="N4142" s="33"/>
      <c r="O4142" s="33"/>
      <c r="P4142" s="33"/>
      <c r="Q4142" s="33"/>
      <c r="R4142" s="33"/>
      <c r="S4142" s="33"/>
      <c r="T4142" s="33"/>
      <c r="U4142" s="33"/>
      <c r="V4142" s="33"/>
      <c r="W4142" s="33"/>
      <c r="X4142" s="33"/>
      <c r="Y4142" s="33"/>
      <c r="Z4142" s="33"/>
      <c r="AA4142" s="33"/>
      <c r="AB4142" s="33"/>
      <c r="AC4142" s="33"/>
      <c r="AD4142" s="33"/>
      <c r="AE4142" s="33"/>
      <c r="AF4142" s="33"/>
      <c r="AG4142" s="33"/>
      <c r="AH4142" s="33"/>
      <c r="AI4142" s="33"/>
      <c r="AJ4142" s="33"/>
      <c r="AK4142" s="33"/>
    </row>
    <row r="4143">
      <c r="A4143" s="33"/>
      <c r="B4143" s="33"/>
      <c r="C4143" s="33"/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  <c r="Q4143" s="33"/>
      <c r="R4143" s="33"/>
      <c r="S4143" s="33"/>
      <c r="T4143" s="33"/>
      <c r="U4143" s="33"/>
      <c r="V4143" s="33"/>
      <c r="W4143" s="33"/>
      <c r="X4143" s="33"/>
      <c r="Y4143" s="33"/>
      <c r="Z4143" s="33"/>
      <c r="AA4143" s="33"/>
      <c r="AB4143" s="33"/>
      <c r="AC4143" s="33"/>
      <c r="AD4143" s="33"/>
      <c r="AE4143" s="33"/>
      <c r="AF4143" s="33"/>
      <c r="AG4143" s="33"/>
      <c r="AH4143" s="33"/>
      <c r="AI4143" s="33"/>
      <c r="AJ4143" s="33"/>
      <c r="AK4143" s="33"/>
    </row>
    <row r="4144">
      <c r="A4144" s="33"/>
      <c r="B4144" s="33"/>
      <c r="C4144" s="33"/>
      <c r="D4144" s="33"/>
      <c r="E4144" s="33"/>
      <c r="F4144" s="33"/>
      <c r="G4144" s="33"/>
      <c r="H4144" s="33"/>
      <c r="I4144" s="33"/>
      <c r="J4144" s="33"/>
      <c r="K4144" s="33"/>
      <c r="L4144" s="33"/>
      <c r="M4144" s="33"/>
      <c r="N4144" s="33"/>
      <c r="O4144" s="33"/>
      <c r="P4144" s="33"/>
      <c r="Q4144" s="33"/>
      <c r="R4144" s="33"/>
      <c r="S4144" s="33"/>
      <c r="T4144" s="33"/>
      <c r="U4144" s="33"/>
      <c r="V4144" s="33"/>
      <c r="W4144" s="33"/>
      <c r="X4144" s="33"/>
      <c r="Y4144" s="33"/>
      <c r="Z4144" s="33"/>
      <c r="AA4144" s="33"/>
      <c r="AB4144" s="33"/>
      <c r="AC4144" s="33"/>
      <c r="AD4144" s="33"/>
      <c r="AE4144" s="33"/>
      <c r="AF4144" s="33"/>
      <c r="AG4144" s="33"/>
      <c r="AH4144" s="33"/>
      <c r="AI4144" s="33"/>
      <c r="AJ4144" s="33"/>
      <c r="AK4144" s="33"/>
    </row>
    <row r="4145">
      <c r="A4145" s="33"/>
      <c r="B4145" s="33"/>
      <c r="C4145" s="33"/>
      <c r="D4145" s="33"/>
      <c r="E4145" s="33"/>
      <c r="F4145" s="33"/>
      <c r="G4145" s="33"/>
      <c r="H4145" s="33"/>
      <c r="I4145" s="33"/>
      <c r="J4145" s="33"/>
      <c r="K4145" s="33"/>
      <c r="L4145" s="33"/>
      <c r="M4145" s="33"/>
      <c r="N4145" s="33"/>
      <c r="O4145" s="33"/>
      <c r="P4145" s="33"/>
      <c r="Q4145" s="33"/>
      <c r="R4145" s="33"/>
      <c r="S4145" s="33"/>
      <c r="T4145" s="33"/>
      <c r="U4145" s="33"/>
      <c r="V4145" s="33"/>
      <c r="W4145" s="33"/>
      <c r="X4145" s="33"/>
      <c r="Y4145" s="33"/>
      <c r="Z4145" s="33"/>
      <c r="AA4145" s="33"/>
      <c r="AB4145" s="33"/>
      <c r="AC4145" s="33"/>
      <c r="AD4145" s="33"/>
      <c r="AE4145" s="33"/>
      <c r="AF4145" s="33"/>
      <c r="AG4145" s="33"/>
      <c r="AH4145" s="33"/>
      <c r="AI4145" s="33"/>
      <c r="AJ4145" s="33"/>
      <c r="AK4145" s="33"/>
    </row>
    <row r="4146">
      <c r="A4146" s="33"/>
      <c r="B4146" s="33"/>
      <c r="C4146" s="33"/>
      <c r="D4146" s="33"/>
      <c r="E4146" s="33"/>
      <c r="F4146" s="33"/>
      <c r="G4146" s="33"/>
      <c r="H4146" s="33"/>
      <c r="I4146" s="33"/>
      <c r="J4146" s="33"/>
      <c r="K4146" s="33"/>
      <c r="L4146" s="33"/>
      <c r="M4146" s="33"/>
      <c r="N4146" s="33"/>
      <c r="O4146" s="33"/>
      <c r="P4146" s="33"/>
      <c r="Q4146" s="33"/>
      <c r="R4146" s="33"/>
      <c r="S4146" s="33"/>
      <c r="T4146" s="33"/>
      <c r="U4146" s="33"/>
      <c r="V4146" s="33"/>
      <c r="W4146" s="33"/>
      <c r="X4146" s="33"/>
      <c r="Y4146" s="33"/>
      <c r="Z4146" s="33"/>
      <c r="AA4146" s="33"/>
      <c r="AB4146" s="33"/>
      <c r="AC4146" s="33"/>
      <c r="AD4146" s="33"/>
      <c r="AE4146" s="33"/>
      <c r="AF4146" s="33"/>
      <c r="AG4146" s="33"/>
      <c r="AH4146" s="33"/>
      <c r="AI4146" s="33"/>
      <c r="AJ4146" s="33"/>
      <c r="AK4146" s="33"/>
    </row>
    <row r="4147">
      <c r="A4147" s="33"/>
      <c r="B4147" s="33"/>
      <c r="C4147" s="33"/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  <c r="Q4147" s="33"/>
      <c r="R4147" s="33"/>
      <c r="S4147" s="33"/>
      <c r="T4147" s="33"/>
      <c r="U4147" s="33"/>
      <c r="V4147" s="33"/>
      <c r="W4147" s="33"/>
      <c r="X4147" s="33"/>
      <c r="Y4147" s="33"/>
      <c r="Z4147" s="33"/>
      <c r="AA4147" s="33"/>
      <c r="AB4147" s="33"/>
      <c r="AC4147" s="33"/>
      <c r="AD4147" s="33"/>
      <c r="AE4147" s="33"/>
      <c r="AF4147" s="33"/>
      <c r="AG4147" s="33"/>
      <c r="AH4147" s="33"/>
      <c r="AI4147" s="33"/>
      <c r="AJ4147" s="33"/>
      <c r="AK4147" s="33"/>
    </row>
    <row r="4148">
      <c r="A4148" s="33"/>
      <c r="B4148" s="33"/>
      <c r="C4148" s="33"/>
      <c r="D4148" s="33"/>
      <c r="E4148" s="33"/>
      <c r="F4148" s="33"/>
      <c r="G4148" s="33"/>
      <c r="H4148" s="33"/>
      <c r="I4148" s="33"/>
      <c r="J4148" s="33"/>
      <c r="K4148" s="33"/>
      <c r="L4148" s="33"/>
      <c r="M4148" s="33"/>
      <c r="N4148" s="33"/>
      <c r="O4148" s="33"/>
      <c r="P4148" s="33"/>
      <c r="Q4148" s="33"/>
      <c r="R4148" s="33"/>
      <c r="S4148" s="33"/>
      <c r="T4148" s="33"/>
      <c r="U4148" s="33"/>
      <c r="V4148" s="33"/>
      <c r="W4148" s="33"/>
      <c r="X4148" s="33"/>
      <c r="Y4148" s="33"/>
      <c r="Z4148" s="33"/>
      <c r="AA4148" s="33"/>
      <c r="AB4148" s="33"/>
      <c r="AC4148" s="33"/>
      <c r="AD4148" s="33"/>
      <c r="AE4148" s="33"/>
      <c r="AF4148" s="33"/>
      <c r="AG4148" s="33"/>
      <c r="AH4148" s="33"/>
      <c r="AI4148" s="33"/>
      <c r="AJ4148" s="33"/>
      <c r="AK4148" s="33"/>
    </row>
    <row r="4149">
      <c r="A4149" s="33"/>
      <c r="B4149" s="33"/>
      <c r="C4149" s="33"/>
      <c r="D4149" s="33"/>
      <c r="E4149" s="33"/>
      <c r="F4149" s="33"/>
      <c r="G4149" s="33"/>
      <c r="H4149" s="33"/>
      <c r="I4149" s="33"/>
      <c r="J4149" s="33"/>
      <c r="K4149" s="33"/>
      <c r="L4149" s="33"/>
      <c r="M4149" s="33"/>
      <c r="N4149" s="33"/>
      <c r="O4149" s="33"/>
      <c r="P4149" s="33"/>
      <c r="Q4149" s="33"/>
      <c r="R4149" s="33"/>
      <c r="S4149" s="33"/>
      <c r="T4149" s="33"/>
      <c r="U4149" s="33"/>
      <c r="V4149" s="33"/>
      <c r="W4149" s="33"/>
      <c r="X4149" s="33"/>
      <c r="Y4149" s="33"/>
      <c r="Z4149" s="33"/>
      <c r="AA4149" s="33"/>
      <c r="AB4149" s="33"/>
      <c r="AC4149" s="33"/>
      <c r="AD4149" s="33"/>
      <c r="AE4149" s="33"/>
      <c r="AF4149" s="33"/>
      <c r="AG4149" s="33"/>
      <c r="AH4149" s="33"/>
      <c r="AI4149" s="33"/>
      <c r="AJ4149" s="33"/>
      <c r="AK4149" s="33"/>
    </row>
    <row r="4150">
      <c r="A4150" s="33"/>
      <c r="B4150" s="33"/>
      <c r="C4150" s="33"/>
      <c r="D4150" s="33"/>
      <c r="E4150" s="33"/>
      <c r="F4150" s="33"/>
      <c r="G4150" s="33"/>
      <c r="H4150" s="33"/>
      <c r="I4150" s="33"/>
      <c r="J4150" s="33"/>
      <c r="K4150" s="33"/>
      <c r="L4150" s="33"/>
      <c r="M4150" s="33"/>
      <c r="N4150" s="33"/>
      <c r="O4150" s="33"/>
      <c r="P4150" s="33"/>
      <c r="Q4150" s="33"/>
      <c r="R4150" s="33"/>
      <c r="S4150" s="33"/>
      <c r="T4150" s="33"/>
      <c r="U4150" s="33"/>
      <c r="V4150" s="33"/>
      <c r="W4150" s="33"/>
      <c r="X4150" s="33"/>
      <c r="Y4150" s="33"/>
      <c r="Z4150" s="33"/>
      <c r="AA4150" s="33"/>
      <c r="AB4150" s="33"/>
      <c r="AC4150" s="33"/>
      <c r="AD4150" s="33"/>
      <c r="AE4150" s="33"/>
      <c r="AF4150" s="33"/>
      <c r="AG4150" s="33"/>
      <c r="AH4150" s="33"/>
      <c r="AI4150" s="33"/>
      <c r="AJ4150" s="33"/>
      <c r="AK4150" s="33"/>
    </row>
    <row r="4151">
      <c r="A4151" s="33"/>
      <c r="B4151" s="33"/>
      <c r="C4151" s="33"/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  <c r="Q4151" s="33"/>
      <c r="R4151" s="33"/>
      <c r="S4151" s="33"/>
      <c r="T4151" s="33"/>
      <c r="U4151" s="33"/>
      <c r="V4151" s="33"/>
      <c r="W4151" s="33"/>
      <c r="X4151" s="33"/>
      <c r="Y4151" s="33"/>
      <c r="Z4151" s="33"/>
      <c r="AA4151" s="33"/>
      <c r="AB4151" s="33"/>
      <c r="AC4151" s="33"/>
      <c r="AD4151" s="33"/>
      <c r="AE4151" s="33"/>
      <c r="AF4151" s="33"/>
      <c r="AG4151" s="33"/>
      <c r="AH4151" s="33"/>
      <c r="AI4151" s="33"/>
      <c r="AJ4151" s="33"/>
      <c r="AK4151" s="33"/>
    </row>
    <row r="4152">
      <c r="A4152" s="33"/>
      <c r="B4152" s="33"/>
      <c r="C4152" s="33"/>
      <c r="D4152" s="33"/>
      <c r="E4152" s="33"/>
      <c r="F4152" s="33"/>
      <c r="G4152" s="33"/>
      <c r="H4152" s="33"/>
      <c r="I4152" s="33"/>
      <c r="J4152" s="33"/>
      <c r="K4152" s="33"/>
      <c r="L4152" s="33"/>
      <c r="M4152" s="33"/>
      <c r="N4152" s="33"/>
      <c r="O4152" s="33"/>
      <c r="P4152" s="33"/>
      <c r="Q4152" s="33"/>
      <c r="R4152" s="33"/>
      <c r="S4152" s="33"/>
      <c r="T4152" s="33"/>
      <c r="U4152" s="33"/>
      <c r="V4152" s="33"/>
      <c r="W4152" s="33"/>
      <c r="X4152" s="33"/>
      <c r="Y4152" s="33"/>
      <c r="Z4152" s="33"/>
      <c r="AA4152" s="33"/>
      <c r="AB4152" s="33"/>
      <c r="AC4152" s="33"/>
      <c r="AD4152" s="33"/>
      <c r="AE4152" s="33"/>
      <c r="AF4152" s="33"/>
      <c r="AG4152" s="33"/>
      <c r="AH4152" s="33"/>
      <c r="AI4152" s="33"/>
      <c r="AJ4152" s="33"/>
      <c r="AK4152" s="33"/>
    </row>
    <row r="4153">
      <c r="A4153" s="33"/>
      <c r="B4153" s="33"/>
      <c r="C4153" s="33"/>
      <c r="D4153" s="33"/>
      <c r="E4153" s="33"/>
      <c r="F4153" s="33"/>
      <c r="G4153" s="33"/>
      <c r="H4153" s="33"/>
      <c r="I4153" s="33"/>
      <c r="J4153" s="33"/>
      <c r="K4153" s="33"/>
      <c r="L4153" s="33"/>
      <c r="M4153" s="33"/>
      <c r="N4153" s="33"/>
      <c r="O4153" s="33"/>
      <c r="P4153" s="33"/>
      <c r="Q4153" s="33"/>
      <c r="R4153" s="33"/>
      <c r="S4153" s="33"/>
      <c r="T4153" s="33"/>
      <c r="U4153" s="33"/>
      <c r="V4153" s="33"/>
      <c r="W4153" s="33"/>
      <c r="X4153" s="33"/>
      <c r="Y4153" s="33"/>
      <c r="Z4153" s="33"/>
      <c r="AA4153" s="33"/>
      <c r="AB4153" s="33"/>
      <c r="AC4153" s="33"/>
      <c r="AD4153" s="33"/>
      <c r="AE4153" s="33"/>
      <c r="AF4153" s="33"/>
      <c r="AG4153" s="33"/>
      <c r="AH4153" s="33"/>
      <c r="AI4153" s="33"/>
      <c r="AJ4153" s="33"/>
      <c r="AK4153" s="33"/>
    </row>
    <row r="4154">
      <c r="A4154" s="33"/>
      <c r="B4154" s="33"/>
      <c r="C4154" s="33"/>
      <c r="D4154" s="33"/>
      <c r="E4154" s="33"/>
      <c r="F4154" s="33"/>
      <c r="G4154" s="33"/>
      <c r="H4154" s="33"/>
      <c r="I4154" s="33"/>
      <c r="J4154" s="33"/>
      <c r="K4154" s="33"/>
      <c r="L4154" s="33"/>
      <c r="M4154" s="33"/>
      <c r="N4154" s="33"/>
      <c r="O4154" s="33"/>
      <c r="P4154" s="33"/>
      <c r="Q4154" s="33"/>
      <c r="R4154" s="33"/>
      <c r="S4154" s="33"/>
      <c r="T4154" s="33"/>
      <c r="U4154" s="33"/>
      <c r="V4154" s="33"/>
      <c r="W4154" s="33"/>
      <c r="X4154" s="33"/>
      <c r="Y4154" s="33"/>
      <c r="Z4154" s="33"/>
      <c r="AA4154" s="33"/>
      <c r="AB4154" s="33"/>
      <c r="AC4154" s="33"/>
      <c r="AD4154" s="33"/>
      <c r="AE4154" s="33"/>
      <c r="AF4154" s="33"/>
      <c r="AG4154" s="33"/>
      <c r="AH4154" s="33"/>
      <c r="AI4154" s="33"/>
      <c r="AJ4154" s="33"/>
      <c r="AK4154" s="33"/>
    </row>
    <row r="4155">
      <c r="A4155" s="33"/>
      <c r="B4155" s="33"/>
      <c r="C4155" s="33"/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  <c r="Q4155" s="33"/>
      <c r="R4155" s="33"/>
      <c r="S4155" s="33"/>
      <c r="T4155" s="33"/>
      <c r="U4155" s="33"/>
      <c r="V4155" s="33"/>
      <c r="W4155" s="33"/>
      <c r="X4155" s="33"/>
      <c r="Y4155" s="33"/>
      <c r="Z4155" s="33"/>
      <c r="AA4155" s="33"/>
      <c r="AB4155" s="33"/>
      <c r="AC4155" s="33"/>
      <c r="AD4155" s="33"/>
      <c r="AE4155" s="33"/>
      <c r="AF4155" s="33"/>
      <c r="AG4155" s="33"/>
      <c r="AH4155" s="33"/>
      <c r="AI4155" s="33"/>
      <c r="AJ4155" s="33"/>
      <c r="AK4155" s="33"/>
    </row>
    <row r="4156">
      <c r="A4156" s="33"/>
      <c r="B4156" s="33"/>
      <c r="C4156" s="33"/>
      <c r="D4156" s="33"/>
      <c r="E4156" s="33"/>
      <c r="F4156" s="33"/>
      <c r="G4156" s="33"/>
      <c r="H4156" s="33"/>
      <c r="I4156" s="33"/>
      <c r="J4156" s="33"/>
      <c r="K4156" s="33"/>
      <c r="L4156" s="33"/>
      <c r="M4156" s="33"/>
      <c r="N4156" s="33"/>
      <c r="O4156" s="33"/>
      <c r="P4156" s="33"/>
      <c r="Q4156" s="33"/>
      <c r="R4156" s="33"/>
      <c r="S4156" s="33"/>
      <c r="T4156" s="33"/>
      <c r="U4156" s="33"/>
      <c r="V4156" s="33"/>
      <c r="W4156" s="33"/>
      <c r="X4156" s="33"/>
      <c r="Y4156" s="33"/>
      <c r="Z4156" s="33"/>
      <c r="AA4156" s="33"/>
      <c r="AB4156" s="33"/>
      <c r="AC4156" s="33"/>
      <c r="AD4156" s="33"/>
      <c r="AE4156" s="33"/>
      <c r="AF4156" s="33"/>
      <c r="AG4156" s="33"/>
      <c r="AH4156" s="33"/>
      <c r="AI4156" s="33"/>
      <c r="AJ4156" s="33"/>
      <c r="AK4156" s="33"/>
    </row>
    <row r="4157">
      <c r="A4157" s="33"/>
      <c r="B4157" s="33"/>
      <c r="C4157" s="33"/>
      <c r="D4157" s="33"/>
      <c r="E4157" s="33"/>
      <c r="F4157" s="33"/>
      <c r="G4157" s="33"/>
      <c r="H4157" s="33"/>
      <c r="I4157" s="33"/>
      <c r="J4157" s="33"/>
      <c r="K4157" s="33"/>
      <c r="L4157" s="33"/>
      <c r="M4157" s="33"/>
      <c r="N4157" s="33"/>
      <c r="O4157" s="33"/>
      <c r="P4157" s="33"/>
      <c r="Q4157" s="33"/>
      <c r="R4157" s="33"/>
      <c r="S4157" s="33"/>
      <c r="T4157" s="33"/>
      <c r="U4157" s="33"/>
      <c r="V4157" s="33"/>
      <c r="W4157" s="33"/>
      <c r="X4157" s="33"/>
      <c r="Y4157" s="33"/>
      <c r="Z4157" s="33"/>
      <c r="AA4157" s="33"/>
      <c r="AB4157" s="33"/>
      <c r="AC4157" s="33"/>
      <c r="AD4157" s="33"/>
      <c r="AE4157" s="33"/>
      <c r="AF4157" s="33"/>
      <c r="AG4157" s="33"/>
      <c r="AH4157" s="33"/>
      <c r="AI4157" s="33"/>
      <c r="AJ4157" s="33"/>
      <c r="AK4157" s="33"/>
    </row>
    <row r="4158">
      <c r="A4158" s="33"/>
      <c r="B4158" s="33"/>
      <c r="C4158" s="33"/>
      <c r="D4158" s="33"/>
      <c r="E4158" s="33"/>
      <c r="F4158" s="33"/>
      <c r="G4158" s="33"/>
      <c r="H4158" s="33"/>
      <c r="I4158" s="33"/>
      <c r="J4158" s="33"/>
      <c r="K4158" s="33"/>
      <c r="L4158" s="33"/>
      <c r="M4158" s="33"/>
      <c r="N4158" s="33"/>
      <c r="O4158" s="33"/>
      <c r="P4158" s="33"/>
      <c r="Q4158" s="33"/>
      <c r="R4158" s="33"/>
      <c r="S4158" s="33"/>
      <c r="T4158" s="33"/>
      <c r="U4158" s="33"/>
      <c r="V4158" s="33"/>
      <c r="W4158" s="33"/>
      <c r="X4158" s="33"/>
      <c r="Y4158" s="33"/>
      <c r="Z4158" s="33"/>
      <c r="AA4158" s="33"/>
      <c r="AB4158" s="33"/>
      <c r="AC4158" s="33"/>
      <c r="AD4158" s="33"/>
      <c r="AE4158" s="33"/>
      <c r="AF4158" s="33"/>
      <c r="AG4158" s="33"/>
      <c r="AH4158" s="33"/>
      <c r="AI4158" s="33"/>
      <c r="AJ4158" s="33"/>
      <c r="AK4158" s="33"/>
    </row>
    <row r="4159">
      <c r="A4159" s="33"/>
      <c r="B4159" s="33"/>
      <c r="C4159" s="33"/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3"/>
      <c r="S4159" s="33"/>
      <c r="T4159" s="33"/>
      <c r="U4159" s="33"/>
      <c r="V4159" s="33"/>
      <c r="W4159" s="33"/>
      <c r="X4159" s="33"/>
      <c r="Y4159" s="33"/>
      <c r="Z4159" s="33"/>
      <c r="AA4159" s="33"/>
      <c r="AB4159" s="33"/>
      <c r="AC4159" s="33"/>
      <c r="AD4159" s="33"/>
      <c r="AE4159" s="33"/>
      <c r="AF4159" s="33"/>
      <c r="AG4159" s="33"/>
      <c r="AH4159" s="33"/>
      <c r="AI4159" s="33"/>
      <c r="AJ4159" s="33"/>
      <c r="AK4159" s="33"/>
    </row>
    <row r="4160">
      <c r="A4160" s="33"/>
      <c r="B4160" s="33"/>
      <c r="C4160" s="33"/>
      <c r="D4160" s="33"/>
      <c r="E4160" s="33"/>
      <c r="F4160" s="33"/>
      <c r="G4160" s="33"/>
      <c r="H4160" s="33"/>
      <c r="I4160" s="33"/>
      <c r="J4160" s="33"/>
      <c r="K4160" s="33"/>
      <c r="L4160" s="33"/>
      <c r="M4160" s="33"/>
      <c r="N4160" s="33"/>
      <c r="O4160" s="33"/>
      <c r="P4160" s="33"/>
      <c r="Q4160" s="33"/>
      <c r="R4160" s="33"/>
      <c r="S4160" s="33"/>
      <c r="T4160" s="33"/>
      <c r="U4160" s="33"/>
      <c r="V4160" s="33"/>
      <c r="W4160" s="33"/>
      <c r="X4160" s="33"/>
      <c r="Y4160" s="33"/>
      <c r="Z4160" s="33"/>
      <c r="AA4160" s="33"/>
      <c r="AB4160" s="33"/>
      <c r="AC4160" s="33"/>
      <c r="AD4160" s="33"/>
      <c r="AE4160" s="33"/>
      <c r="AF4160" s="33"/>
      <c r="AG4160" s="33"/>
      <c r="AH4160" s="33"/>
      <c r="AI4160" s="33"/>
      <c r="AJ4160" s="33"/>
      <c r="AK4160" s="33"/>
    </row>
    <row r="4161">
      <c r="A4161" s="33"/>
      <c r="B4161" s="33"/>
      <c r="C4161" s="33"/>
      <c r="D4161" s="33"/>
      <c r="E4161" s="33"/>
      <c r="F4161" s="33"/>
      <c r="G4161" s="33"/>
      <c r="H4161" s="33"/>
      <c r="I4161" s="33"/>
      <c r="J4161" s="33"/>
      <c r="K4161" s="33"/>
      <c r="L4161" s="33"/>
      <c r="M4161" s="33"/>
      <c r="N4161" s="33"/>
      <c r="O4161" s="33"/>
      <c r="P4161" s="33"/>
      <c r="Q4161" s="33"/>
      <c r="R4161" s="33"/>
      <c r="S4161" s="33"/>
      <c r="T4161" s="33"/>
      <c r="U4161" s="33"/>
      <c r="V4161" s="33"/>
      <c r="W4161" s="33"/>
      <c r="X4161" s="33"/>
      <c r="Y4161" s="33"/>
      <c r="Z4161" s="33"/>
      <c r="AA4161" s="33"/>
      <c r="AB4161" s="33"/>
      <c r="AC4161" s="33"/>
      <c r="AD4161" s="33"/>
      <c r="AE4161" s="33"/>
      <c r="AF4161" s="33"/>
      <c r="AG4161" s="33"/>
      <c r="AH4161" s="33"/>
      <c r="AI4161" s="33"/>
      <c r="AJ4161" s="33"/>
      <c r="AK4161" s="33"/>
    </row>
    <row r="4162">
      <c r="A4162" s="33"/>
      <c r="B4162" s="33"/>
      <c r="C4162" s="33"/>
      <c r="D4162" s="33"/>
      <c r="E4162" s="33"/>
      <c r="F4162" s="33"/>
      <c r="G4162" s="33"/>
      <c r="H4162" s="33"/>
      <c r="I4162" s="33"/>
      <c r="J4162" s="33"/>
      <c r="K4162" s="33"/>
      <c r="L4162" s="33"/>
      <c r="M4162" s="33"/>
      <c r="N4162" s="33"/>
      <c r="O4162" s="33"/>
      <c r="P4162" s="33"/>
      <c r="Q4162" s="33"/>
      <c r="R4162" s="33"/>
      <c r="S4162" s="33"/>
      <c r="T4162" s="33"/>
      <c r="U4162" s="33"/>
      <c r="V4162" s="33"/>
      <c r="W4162" s="33"/>
      <c r="X4162" s="33"/>
      <c r="Y4162" s="33"/>
      <c r="Z4162" s="33"/>
      <c r="AA4162" s="33"/>
      <c r="AB4162" s="33"/>
      <c r="AC4162" s="33"/>
      <c r="AD4162" s="33"/>
      <c r="AE4162" s="33"/>
      <c r="AF4162" s="33"/>
      <c r="AG4162" s="33"/>
      <c r="AH4162" s="33"/>
      <c r="AI4162" s="33"/>
      <c r="AJ4162" s="33"/>
      <c r="AK4162" s="33"/>
    </row>
    <row r="4163">
      <c r="A4163" s="33"/>
      <c r="B4163" s="33"/>
      <c r="C4163" s="33"/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  <c r="Q4163" s="33"/>
      <c r="R4163" s="33"/>
      <c r="S4163" s="33"/>
      <c r="T4163" s="33"/>
      <c r="U4163" s="33"/>
      <c r="V4163" s="33"/>
      <c r="W4163" s="33"/>
      <c r="X4163" s="33"/>
      <c r="Y4163" s="33"/>
      <c r="Z4163" s="33"/>
      <c r="AA4163" s="33"/>
      <c r="AB4163" s="33"/>
      <c r="AC4163" s="33"/>
      <c r="AD4163" s="33"/>
      <c r="AE4163" s="33"/>
      <c r="AF4163" s="33"/>
      <c r="AG4163" s="33"/>
      <c r="AH4163" s="33"/>
      <c r="AI4163" s="33"/>
      <c r="AJ4163" s="33"/>
      <c r="AK4163" s="33"/>
    </row>
    <row r="4164">
      <c r="A4164" s="33"/>
      <c r="B4164" s="33"/>
      <c r="C4164" s="33"/>
      <c r="D4164" s="33"/>
      <c r="E4164" s="33"/>
      <c r="F4164" s="33"/>
      <c r="G4164" s="33"/>
      <c r="H4164" s="33"/>
      <c r="I4164" s="33"/>
      <c r="J4164" s="33"/>
      <c r="K4164" s="33"/>
      <c r="L4164" s="33"/>
      <c r="M4164" s="33"/>
      <c r="N4164" s="33"/>
      <c r="O4164" s="33"/>
      <c r="P4164" s="33"/>
      <c r="Q4164" s="33"/>
      <c r="R4164" s="33"/>
      <c r="S4164" s="33"/>
      <c r="T4164" s="33"/>
      <c r="U4164" s="33"/>
      <c r="V4164" s="33"/>
      <c r="W4164" s="33"/>
      <c r="X4164" s="33"/>
      <c r="Y4164" s="33"/>
      <c r="Z4164" s="33"/>
      <c r="AA4164" s="33"/>
      <c r="AB4164" s="33"/>
      <c r="AC4164" s="33"/>
      <c r="AD4164" s="33"/>
      <c r="AE4164" s="33"/>
      <c r="AF4164" s="33"/>
      <c r="AG4164" s="33"/>
      <c r="AH4164" s="33"/>
      <c r="AI4164" s="33"/>
      <c r="AJ4164" s="33"/>
      <c r="AK4164" s="33"/>
    </row>
    <row r="4165">
      <c r="A4165" s="33"/>
      <c r="B4165" s="33"/>
      <c r="C4165" s="33"/>
      <c r="D4165" s="33"/>
      <c r="E4165" s="33"/>
      <c r="F4165" s="33"/>
      <c r="G4165" s="33"/>
      <c r="H4165" s="33"/>
      <c r="I4165" s="33"/>
      <c r="J4165" s="33"/>
      <c r="K4165" s="33"/>
      <c r="L4165" s="33"/>
      <c r="M4165" s="33"/>
      <c r="N4165" s="33"/>
      <c r="O4165" s="33"/>
      <c r="P4165" s="33"/>
      <c r="Q4165" s="33"/>
      <c r="R4165" s="33"/>
      <c r="S4165" s="33"/>
      <c r="T4165" s="33"/>
      <c r="U4165" s="33"/>
      <c r="V4165" s="33"/>
      <c r="W4165" s="33"/>
      <c r="X4165" s="33"/>
      <c r="Y4165" s="33"/>
      <c r="Z4165" s="33"/>
      <c r="AA4165" s="33"/>
      <c r="AB4165" s="33"/>
      <c r="AC4165" s="33"/>
      <c r="AD4165" s="33"/>
      <c r="AE4165" s="33"/>
      <c r="AF4165" s="33"/>
      <c r="AG4165" s="33"/>
      <c r="AH4165" s="33"/>
      <c r="AI4165" s="33"/>
      <c r="AJ4165" s="33"/>
      <c r="AK4165" s="33"/>
    </row>
    <row r="4166">
      <c r="A4166" s="33"/>
      <c r="B4166" s="33"/>
      <c r="C4166" s="33"/>
      <c r="D4166" s="33"/>
      <c r="E4166" s="33"/>
      <c r="F4166" s="33"/>
      <c r="G4166" s="33"/>
      <c r="H4166" s="33"/>
      <c r="I4166" s="33"/>
      <c r="J4166" s="33"/>
      <c r="K4166" s="33"/>
      <c r="L4166" s="33"/>
      <c r="M4166" s="33"/>
      <c r="N4166" s="33"/>
      <c r="O4166" s="33"/>
      <c r="P4166" s="33"/>
      <c r="Q4166" s="33"/>
      <c r="R4166" s="33"/>
      <c r="S4166" s="33"/>
      <c r="T4166" s="33"/>
      <c r="U4166" s="33"/>
      <c r="V4166" s="33"/>
      <c r="W4166" s="33"/>
      <c r="X4166" s="33"/>
      <c r="Y4166" s="33"/>
      <c r="Z4166" s="33"/>
      <c r="AA4166" s="33"/>
      <c r="AB4166" s="33"/>
      <c r="AC4166" s="33"/>
      <c r="AD4166" s="33"/>
      <c r="AE4166" s="33"/>
      <c r="AF4166" s="33"/>
      <c r="AG4166" s="33"/>
      <c r="AH4166" s="33"/>
      <c r="AI4166" s="33"/>
      <c r="AJ4166" s="33"/>
      <c r="AK4166" s="33"/>
    </row>
    <row r="4167">
      <c r="A4167" s="33"/>
      <c r="B4167" s="33"/>
      <c r="C4167" s="33"/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  <c r="R4167" s="33"/>
      <c r="S4167" s="33"/>
      <c r="T4167" s="33"/>
      <c r="U4167" s="33"/>
      <c r="V4167" s="33"/>
      <c r="W4167" s="33"/>
      <c r="X4167" s="33"/>
      <c r="Y4167" s="33"/>
      <c r="Z4167" s="33"/>
      <c r="AA4167" s="33"/>
      <c r="AB4167" s="33"/>
      <c r="AC4167" s="33"/>
      <c r="AD4167" s="33"/>
      <c r="AE4167" s="33"/>
      <c r="AF4167" s="33"/>
      <c r="AG4167" s="33"/>
      <c r="AH4167" s="33"/>
      <c r="AI4167" s="33"/>
      <c r="AJ4167" s="33"/>
      <c r="AK4167" s="33"/>
    </row>
    <row r="4168">
      <c r="A4168" s="33"/>
      <c r="B4168" s="33"/>
      <c r="C4168" s="33"/>
      <c r="D4168" s="33"/>
      <c r="E4168" s="33"/>
      <c r="F4168" s="33"/>
      <c r="G4168" s="33"/>
      <c r="H4168" s="33"/>
      <c r="I4168" s="33"/>
      <c r="J4168" s="33"/>
      <c r="K4168" s="33"/>
      <c r="L4168" s="33"/>
      <c r="M4168" s="33"/>
      <c r="N4168" s="33"/>
      <c r="O4168" s="33"/>
      <c r="P4168" s="33"/>
      <c r="Q4168" s="33"/>
      <c r="R4168" s="33"/>
      <c r="S4168" s="33"/>
      <c r="T4168" s="33"/>
      <c r="U4168" s="33"/>
      <c r="V4168" s="33"/>
      <c r="W4168" s="33"/>
      <c r="X4168" s="33"/>
      <c r="Y4168" s="33"/>
      <c r="Z4168" s="33"/>
      <c r="AA4168" s="33"/>
      <c r="AB4168" s="33"/>
      <c r="AC4168" s="33"/>
      <c r="AD4168" s="33"/>
      <c r="AE4168" s="33"/>
      <c r="AF4168" s="33"/>
      <c r="AG4168" s="33"/>
      <c r="AH4168" s="33"/>
      <c r="AI4168" s="33"/>
      <c r="AJ4168" s="33"/>
      <c r="AK4168" s="33"/>
    </row>
    <row r="4169">
      <c r="A4169" s="33"/>
      <c r="B4169" s="33"/>
      <c r="C4169" s="33"/>
      <c r="D4169" s="33"/>
      <c r="E4169" s="33"/>
      <c r="F4169" s="33"/>
      <c r="G4169" s="33"/>
      <c r="H4169" s="33"/>
      <c r="I4169" s="33"/>
      <c r="J4169" s="33"/>
      <c r="K4169" s="33"/>
      <c r="L4169" s="33"/>
      <c r="M4169" s="33"/>
      <c r="N4169" s="33"/>
      <c r="O4169" s="33"/>
      <c r="P4169" s="33"/>
      <c r="Q4169" s="33"/>
      <c r="R4169" s="33"/>
      <c r="S4169" s="33"/>
      <c r="T4169" s="33"/>
      <c r="U4169" s="33"/>
      <c r="V4169" s="33"/>
      <c r="W4169" s="33"/>
      <c r="X4169" s="33"/>
      <c r="Y4169" s="33"/>
      <c r="Z4169" s="33"/>
      <c r="AA4169" s="33"/>
      <c r="AB4169" s="33"/>
      <c r="AC4169" s="33"/>
      <c r="AD4169" s="33"/>
      <c r="AE4169" s="33"/>
      <c r="AF4169" s="33"/>
      <c r="AG4169" s="33"/>
      <c r="AH4169" s="33"/>
      <c r="AI4169" s="33"/>
      <c r="AJ4169" s="33"/>
      <c r="AK4169" s="33"/>
    </row>
    <row r="4170">
      <c r="A4170" s="33"/>
      <c r="B4170" s="33"/>
      <c r="C4170" s="33"/>
      <c r="D4170" s="33"/>
      <c r="E4170" s="33"/>
      <c r="F4170" s="33"/>
      <c r="G4170" s="33"/>
      <c r="H4170" s="33"/>
      <c r="I4170" s="33"/>
      <c r="J4170" s="33"/>
      <c r="K4170" s="33"/>
      <c r="L4170" s="33"/>
      <c r="M4170" s="33"/>
      <c r="N4170" s="33"/>
      <c r="O4170" s="33"/>
      <c r="P4170" s="33"/>
      <c r="Q4170" s="33"/>
      <c r="R4170" s="33"/>
      <c r="S4170" s="33"/>
      <c r="T4170" s="33"/>
      <c r="U4170" s="33"/>
      <c r="V4170" s="33"/>
      <c r="W4170" s="33"/>
      <c r="X4170" s="33"/>
      <c r="Y4170" s="33"/>
      <c r="Z4170" s="33"/>
      <c r="AA4170" s="33"/>
      <c r="AB4170" s="33"/>
      <c r="AC4170" s="33"/>
      <c r="AD4170" s="33"/>
      <c r="AE4170" s="33"/>
      <c r="AF4170" s="33"/>
      <c r="AG4170" s="33"/>
      <c r="AH4170" s="33"/>
      <c r="AI4170" s="33"/>
      <c r="AJ4170" s="33"/>
      <c r="AK4170" s="33"/>
    </row>
    <row r="4171">
      <c r="A4171" s="33"/>
      <c r="B4171" s="33"/>
      <c r="C4171" s="33"/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  <c r="Q4171" s="33"/>
      <c r="R4171" s="33"/>
      <c r="S4171" s="33"/>
      <c r="T4171" s="33"/>
      <c r="U4171" s="33"/>
      <c r="V4171" s="33"/>
      <c r="W4171" s="33"/>
      <c r="X4171" s="33"/>
      <c r="Y4171" s="33"/>
      <c r="Z4171" s="33"/>
      <c r="AA4171" s="33"/>
      <c r="AB4171" s="33"/>
      <c r="AC4171" s="33"/>
      <c r="AD4171" s="33"/>
      <c r="AE4171" s="33"/>
      <c r="AF4171" s="33"/>
      <c r="AG4171" s="33"/>
      <c r="AH4171" s="33"/>
      <c r="AI4171" s="33"/>
      <c r="AJ4171" s="33"/>
      <c r="AK4171" s="33"/>
    </row>
    <row r="4172">
      <c r="A4172" s="33"/>
      <c r="B4172" s="33"/>
      <c r="C4172" s="33"/>
      <c r="D4172" s="33"/>
      <c r="E4172" s="33"/>
      <c r="F4172" s="33"/>
      <c r="G4172" s="33"/>
      <c r="H4172" s="33"/>
      <c r="I4172" s="33"/>
      <c r="J4172" s="33"/>
      <c r="K4172" s="33"/>
      <c r="L4172" s="33"/>
      <c r="M4172" s="33"/>
      <c r="N4172" s="33"/>
      <c r="O4172" s="33"/>
      <c r="P4172" s="33"/>
      <c r="Q4172" s="33"/>
      <c r="R4172" s="33"/>
      <c r="S4172" s="33"/>
      <c r="T4172" s="33"/>
      <c r="U4172" s="33"/>
      <c r="V4172" s="33"/>
      <c r="W4172" s="33"/>
      <c r="X4172" s="33"/>
      <c r="Y4172" s="33"/>
      <c r="Z4172" s="33"/>
      <c r="AA4172" s="33"/>
      <c r="AB4172" s="33"/>
      <c r="AC4172" s="33"/>
      <c r="AD4172" s="33"/>
      <c r="AE4172" s="33"/>
      <c r="AF4172" s="33"/>
      <c r="AG4172" s="33"/>
      <c r="AH4172" s="33"/>
      <c r="AI4172" s="33"/>
      <c r="AJ4172" s="33"/>
      <c r="AK4172" s="33"/>
    </row>
    <row r="4173">
      <c r="A4173" s="33"/>
      <c r="B4173" s="33"/>
      <c r="C4173" s="33"/>
      <c r="D4173" s="33"/>
      <c r="E4173" s="33"/>
      <c r="F4173" s="33"/>
      <c r="G4173" s="33"/>
      <c r="H4173" s="33"/>
      <c r="I4173" s="33"/>
      <c r="J4173" s="33"/>
      <c r="K4173" s="33"/>
      <c r="L4173" s="33"/>
      <c r="M4173" s="33"/>
      <c r="N4173" s="33"/>
      <c r="O4173" s="33"/>
      <c r="P4173" s="33"/>
      <c r="Q4173" s="33"/>
      <c r="R4173" s="33"/>
      <c r="S4173" s="33"/>
      <c r="T4173" s="33"/>
      <c r="U4173" s="33"/>
      <c r="V4173" s="33"/>
      <c r="W4173" s="33"/>
      <c r="X4173" s="33"/>
      <c r="Y4173" s="33"/>
      <c r="Z4173" s="33"/>
      <c r="AA4173" s="33"/>
      <c r="AB4173" s="33"/>
      <c r="AC4173" s="33"/>
      <c r="AD4173" s="33"/>
      <c r="AE4173" s="33"/>
      <c r="AF4173" s="33"/>
      <c r="AG4173" s="33"/>
      <c r="AH4173" s="33"/>
      <c r="AI4173" s="33"/>
      <c r="AJ4173" s="33"/>
      <c r="AK4173" s="33"/>
    </row>
    <row r="4174">
      <c r="A4174" s="33"/>
      <c r="B4174" s="33"/>
      <c r="C4174" s="33"/>
      <c r="D4174" s="33"/>
      <c r="E4174" s="33"/>
      <c r="F4174" s="33"/>
      <c r="G4174" s="33"/>
      <c r="H4174" s="33"/>
      <c r="I4174" s="33"/>
      <c r="J4174" s="33"/>
      <c r="K4174" s="33"/>
      <c r="L4174" s="33"/>
      <c r="M4174" s="33"/>
      <c r="N4174" s="33"/>
      <c r="O4174" s="33"/>
      <c r="P4174" s="33"/>
      <c r="Q4174" s="33"/>
      <c r="R4174" s="33"/>
      <c r="S4174" s="33"/>
      <c r="T4174" s="33"/>
      <c r="U4174" s="33"/>
      <c r="V4174" s="33"/>
      <c r="W4174" s="33"/>
      <c r="X4174" s="33"/>
      <c r="Y4174" s="33"/>
      <c r="Z4174" s="33"/>
      <c r="AA4174" s="33"/>
      <c r="AB4174" s="33"/>
      <c r="AC4174" s="33"/>
      <c r="AD4174" s="33"/>
      <c r="AE4174" s="33"/>
      <c r="AF4174" s="33"/>
      <c r="AG4174" s="33"/>
      <c r="AH4174" s="33"/>
      <c r="AI4174" s="33"/>
      <c r="AJ4174" s="33"/>
      <c r="AK4174" s="33"/>
    </row>
    <row r="4175">
      <c r="A4175" s="33"/>
      <c r="B4175" s="33"/>
      <c r="C4175" s="33"/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  <c r="Q4175" s="33"/>
      <c r="R4175" s="33"/>
      <c r="S4175" s="33"/>
      <c r="T4175" s="33"/>
      <c r="U4175" s="33"/>
      <c r="V4175" s="33"/>
      <c r="W4175" s="33"/>
      <c r="X4175" s="33"/>
      <c r="Y4175" s="33"/>
      <c r="Z4175" s="33"/>
      <c r="AA4175" s="33"/>
      <c r="AB4175" s="33"/>
      <c r="AC4175" s="33"/>
      <c r="AD4175" s="33"/>
      <c r="AE4175" s="33"/>
      <c r="AF4175" s="33"/>
      <c r="AG4175" s="33"/>
      <c r="AH4175" s="33"/>
      <c r="AI4175" s="33"/>
      <c r="AJ4175" s="33"/>
      <c r="AK4175" s="33"/>
    </row>
    <row r="4176">
      <c r="A4176" s="33"/>
      <c r="B4176" s="33"/>
      <c r="C4176" s="33"/>
      <c r="D4176" s="33"/>
      <c r="E4176" s="33"/>
      <c r="F4176" s="33"/>
      <c r="G4176" s="33"/>
      <c r="H4176" s="33"/>
      <c r="I4176" s="33"/>
      <c r="J4176" s="33"/>
      <c r="K4176" s="33"/>
      <c r="L4176" s="33"/>
      <c r="M4176" s="33"/>
      <c r="N4176" s="33"/>
      <c r="O4176" s="33"/>
      <c r="P4176" s="33"/>
      <c r="Q4176" s="33"/>
      <c r="R4176" s="33"/>
      <c r="S4176" s="33"/>
      <c r="T4176" s="33"/>
      <c r="U4176" s="33"/>
      <c r="V4176" s="33"/>
      <c r="W4176" s="33"/>
      <c r="X4176" s="33"/>
      <c r="Y4176" s="33"/>
      <c r="Z4176" s="33"/>
      <c r="AA4176" s="33"/>
      <c r="AB4176" s="33"/>
      <c r="AC4176" s="33"/>
      <c r="AD4176" s="33"/>
      <c r="AE4176" s="33"/>
      <c r="AF4176" s="33"/>
      <c r="AG4176" s="33"/>
      <c r="AH4176" s="33"/>
      <c r="AI4176" s="33"/>
      <c r="AJ4176" s="33"/>
      <c r="AK4176" s="33"/>
    </row>
    <row r="4177">
      <c r="A4177" s="33"/>
      <c r="B4177" s="33"/>
      <c r="C4177" s="33"/>
      <c r="D4177" s="33"/>
      <c r="E4177" s="33"/>
      <c r="F4177" s="33"/>
      <c r="G4177" s="33"/>
      <c r="H4177" s="33"/>
      <c r="I4177" s="33"/>
      <c r="J4177" s="33"/>
      <c r="K4177" s="33"/>
      <c r="L4177" s="33"/>
      <c r="M4177" s="33"/>
      <c r="N4177" s="33"/>
      <c r="O4177" s="33"/>
      <c r="P4177" s="33"/>
      <c r="Q4177" s="33"/>
      <c r="R4177" s="33"/>
      <c r="S4177" s="33"/>
      <c r="T4177" s="33"/>
      <c r="U4177" s="33"/>
      <c r="V4177" s="33"/>
      <c r="W4177" s="33"/>
      <c r="X4177" s="33"/>
      <c r="Y4177" s="33"/>
      <c r="Z4177" s="33"/>
      <c r="AA4177" s="33"/>
      <c r="AB4177" s="33"/>
      <c r="AC4177" s="33"/>
      <c r="AD4177" s="33"/>
      <c r="AE4177" s="33"/>
      <c r="AF4177" s="33"/>
      <c r="AG4177" s="33"/>
      <c r="AH4177" s="33"/>
      <c r="AI4177" s="33"/>
      <c r="AJ4177" s="33"/>
      <c r="AK4177" s="33"/>
    </row>
    <row r="4178">
      <c r="A4178" s="33"/>
      <c r="B4178" s="33"/>
      <c r="C4178" s="33"/>
      <c r="D4178" s="33"/>
      <c r="E4178" s="33"/>
      <c r="F4178" s="33"/>
      <c r="G4178" s="33"/>
      <c r="H4178" s="33"/>
      <c r="I4178" s="33"/>
      <c r="J4178" s="33"/>
      <c r="K4178" s="33"/>
      <c r="L4178" s="33"/>
      <c r="M4178" s="33"/>
      <c r="N4178" s="33"/>
      <c r="O4178" s="33"/>
      <c r="P4178" s="33"/>
      <c r="Q4178" s="33"/>
      <c r="R4178" s="33"/>
      <c r="S4178" s="33"/>
      <c r="T4178" s="33"/>
      <c r="U4178" s="33"/>
      <c r="V4178" s="33"/>
      <c r="W4178" s="33"/>
      <c r="X4178" s="33"/>
      <c r="Y4178" s="33"/>
      <c r="Z4178" s="33"/>
      <c r="AA4178" s="33"/>
      <c r="AB4178" s="33"/>
      <c r="AC4178" s="33"/>
      <c r="AD4178" s="33"/>
      <c r="AE4178" s="33"/>
      <c r="AF4178" s="33"/>
      <c r="AG4178" s="33"/>
      <c r="AH4178" s="33"/>
      <c r="AI4178" s="33"/>
      <c r="AJ4178" s="33"/>
      <c r="AK4178" s="33"/>
    </row>
    <row r="4179">
      <c r="A4179" s="33"/>
      <c r="B4179" s="33"/>
      <c r="C4179" s="33"/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  <c r="Q4179" s="33"/>
      <c r="R4179" s="33"/>
      <c r="S4179" s="33"/>
      <c r="T4179" s="33"/>
      <c r="U4179" s="33"/>
      <c r="V4179" s="33"/>
      <c r="W4179" s="33"/>
      <c r="X4179" s="33"/>
      <c r="Y4179" s="33"/>
      <c r="Z4179" s="33"/>
      <c r="AA4179" s="33"/>
      <c r="AB4179" s="33"/>
      <c r="AC4179" s="33"/>
      <c r="AD4179" s="33"/>
      <c r="AE4179" s="33"/>
      <c r="AF4179" s="33"/>
      <c r="AG4179" s="33"/>
      <c r="AH4179" s="33"/>
      <c r="AI4179" s="33"/>
      <c r="AJ4179" s="33"/>
      <c r="AK4179" s="33"/>
    </row>
    <row r="4180">
      <c r="A4180" s="33"/>
      <c r="B4180" s="33"/>
      <c r="C4180" s="33"/>
      <c r="D4180" s="33"/>
      <c r="E4180" s="33"/>
      <c r="F4180" s="33"/>
      <c r="G4180" s="33"/>
      <c r="H4180" s="33"/>
      <c r="I4180" s="33"/>
      <c r="J4180" s="33"/>
      <c r="K4180" s="33"/>
      <c r="L4180" s="33"/>
      <c r="M4180" s="33"/>
      <c r="N4180" s="33"/>
      <c r="O4180" s="33"/>
      <c r="P4180" s="33"/>
      <c r="Q4180" s="33"/>
      <c r="R4180" s="33"/>
      <c r="S4180" s="33"/>
      <c r="T4180" s="33"/>
      <c r="U4180" s="33"/>
      <c r="V4180" s="33"/>
      <c r="W4180" s="33"/>
      <c r="X4180" s="33"/>
      <c r="Y4180" s="33"/>
      <c r="Z4180" s="33"/>
      <c r="AA4180" s="33"/>
      <c r="AB4180" s="33"/>
      <c r="AC4180" s="33"/>
      <c r="AD4180" s="33"/>
      <c r="AE4180" s="33"/>
      <c r="AF4180" s="33"/>
      <c r="AG4180" s="33"/>
      <c r="AH4180" s="33"/>
      <c r="AI4180" s="33"/>
      <c r="AJ4180" s="33"/>
      <c r="AK4180" s="33"/>
    </row>
    <row r="4181">
      <c r="A4181" s="33"/>
      <c r="B4181" s="33"/>
      <c r="C4181" s="33"/>
      <c r="D4181" s="33"/>
      <c r="E4181" s="33"/>
      <c r="F4181" s="33"/>
      <c r="G4181" s="33"/>
      <c r="H4181" s="33"/>
      <c r="I4181" s="33"/>
      <c r="J4181" s="33"/>
      <c r="K4181" s="33"/>
      <c r="L4181" s="33"/>
      <c r="M4181" s="33"/>
      <c r="N4181" s="33"/>
      <c r="O4181" s="33"/>
      <c r="P4181" s="33"/>
      <c r="Q4181" s="33"/>
      <c r="R4181" s="33"/>
      <c r="S4181" s="33"/>
      <c r="T4181" s="33"/>
      <c r="U4181" s="33"/>
      <c r="V4181" s="33"/>
      <c r="W4181" s="33"/>
      <c r="X4181" s="33"/>
      <c r="Y4181" s="33"/>
      <c r="Z4181" s="33"/>
      <c r="AA4181" s="33"/>
      <c r="AB4181" s="33"/>
      <c r="AC4181" s="33"/>
      <c r="AD4181" s="33"/>
      <c r="AE4181" s="33"/>
      <c r="AF4181" s="33"/>
      <c r="AG4181" s="33"/>
      <c r="AH4181" s="33"/>
      <c r="AI4181" s="33"/>
      <c r="AJ4181" s="33"/>
      <c r="AK4181" s="33"/>
    </row>
    <row r="4182">
      <c r="A4182" s="33"/>
      <c r="B4182" s="33"/>
      <c r="C4182" s="33"/>
      <c r="D4182" s="33"/>
      <c r="E4182" s="33"/>
      <c r="F4182" s="33"/>
      <c r="G4182" s="33"/>
      <c r="H4182" s="33"/>
      <c r="I4182" s="33"/>
      <c r="J4182" s="33"/>
      <c r="K4182" s="33"/>
      <c r="L4182" s="33"/>
      <c r="M4182" s="33"/>
      <c r="N4182" s="33"/>
      <c r="O4182" s="33"/>
      <c r="P4182" s="33"/>
      <c r="Q4182" s="33"/>
      <c r="R4182" s="33"/>
      <c r="S4182" s="33"/>
      <c r="T4182" s="33"/>
      <c r="U4182" s="33"/>
      <c r="V4182" s="33"/>
      <c r="W4182" s="33"/>
      <c r="X4182" s="33"/>
      <c r="Y4182" s="33"/>
      <c r="Z4182" s="33"/>
      <c r="AA4182" s="33"/>
      <c r="AB4182" s="33"/>
      <c r="AC4182" s="33"/>
      <c r="AD4182" s="33"/>
      <c r="AE4182" s="33"/>
      <c r="AF4182" s="33"/>
      <c r="AG4182" s="33"/>
      <c r="AH4182" s="33"/>
      <c r="AI4182" s="33"/>
      <c r="AJ4182" s="33"/>
      <c r="AK4182" s="33"/>
    </row>
    <row r="4183">
      <c r="A4183" s="33"/>
      <c r="B4183" s="33"/>
      <c r="C4183" s="33"/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  <c r="Q4183" s="33"/>
      <c r="R4183" s="33"/>
      <c r="S4183" s="33"/>
      <c r="T4183" s="33"/>
      <c r="U4183" s="33"/>
      <c r="V4183" s="33"/>
      <c r="W4183" s="33"/>
      <c r="X4183" s="33"/>
      <c r="Y4183" s="33"/>
      <c r="Z4183" s="33"/>
      <c r="AA4183" s="33"/>
      <c r="AB4183" s="33"/>
      <c r="AC4183" s="33"/>
      <c r="AD4183" s="33"/>
      <c r="AE4183" s="33"/>
      <c r="AF4183" s="33"/>
      <c r="AG4183" s="33"/>
      <c r="AH4183" s="33"/>
      <c r="AI4183" s="33"/>
      <c r="AJ4183" s="33"/>
      <c r="AK4183" s="33"/>
    </row>
    <row r="4184">
      <c r="A4184" s="33"/>
      <c r="B4184" s="33"/>
      <c r="C4184" s="33"/>
      <c r="D4184" s="33"/>
      <c r="E4184" s="33"/>
      <c r="F4184" s="33"/>
      <c r="G4184" s="33"/>
      <c r="H4184" s="33"/>
      <c r="I4184" s="33"/>
      <c r="J4184" s="33"/>
      <c r="K4184" s="33"/>
      <c r="L4184" s="33"/>
      <c r="M4184" s="33"/>
      <c r="N4184" s="33"/>
      <c r="O4184" s="33"/>
      <c r="P4184" s="33"/>
      <c r="Q4184" s="33"/>
      <c r="R4184" s="33"/>
      <c r="S4184" s="33"/>
      <c r="T4184" s="33"/>
      <c r="U4184" s="33"/>
      <c r="V4184" s="33"/>
      <c r="W4184" s="33"/>
      <c r="X4184" s="33"/>
      <c r="Y4184" s="33"/>
      <c r="Z4184" s="33"/>
      <c r="AA4184" s="33"/>
      <c r="AB4184" s="33"/>
      <c r="AC4184" s="33"/>
      <c r="AD4184" s="33"/>
      <c r="AE4184" s="33"/>
      <c r="AF4184" s="33"/>
      <c r="AG4184" s="33"/>
      <c r="AH4184" s="33"/>
      <c r="AI4184" s="33"/>
      <c r="AJ4184" s="33"/>
      <c r="AK4184" s="33"/>
    </row>
    <row r="4185">
      <c r="A4185" s="33"/>
      <c r="B4185" s="33"/>
      <c r="C4185" s="33"/>
      <c r="D4185" s="33"/>
      <c r="E4185" s="33"/>
      <c r="F4185" s="33"/>
      <c r="G4185" s="33"/>
      <c r="H4185" s="33"/>
      <c r="I4185" s="33"/>
      <c r="J4185" s="33"/>
      <c r="K4185" s="33"/>
      <c r="L4185" s="33"/>
      <c r="M4185" s="33"/>
      <c r="N4185" s="33"/>
      <c r="O4185" s="33"/>
      <c r="P4185" s="33"/>
      <c r="Q4185" s="33"/>
      <c r="R4185" s="33"/>
      <c r="S4185" s="33"/>
      <c r="T4185" s="33"/>
      <c r="U4185" s="33"/>
      <c r="V4185" s="33"/>
      <c r="W4185" s="33"/>
      <c r="X4185" s="33"/>
      <c r="Y4185" s="33"/>
      <c r="Z4185" s="33"/>
      <c r="AA4185" s="33"/>
      <c r="AB4185" s="33"/>
      <c r="AC4185" s="33"/>
      <c r="AD4185" s="33"/>
      <c r="AE4185" s="33"/>
      <c r="AF4185" s="33"/>
      <c r="AG4185" s="33"/>
      <c r="AH4185" s="33"/>
      <c r="AI4185" s="33"/>
      <c r="AJ4185" s="33"/>
      <c r="AK4185" s="33"/>
    </row>
    <row r="4186">
      <c r="A4186" s="33"/>
      <c r="B4186" s="33"/>
      <c r="C4186" s="33"/>
      <c r="D4186" s="33"/>
      <c r="E4186" s="33"/>
      <c r="F4186" s="33"/>
      <c r="G4186" s="33"/>
      <c r="H4186" s="33"/>
      <c r="I4186" s="33"/>
      <c r="J4186" s="33"/>
      <c r="K4186" s="33"/>
      <c r="L4186" s="33"/>
      <c r="M4186" s="33"/>
      <c r="N4186" s="33"/>
      <c r="O4186" s="33"/>
      <c r="P4186" s="33"/>
      <c r="Q4186" s="33"/>
      <c r="R4186" s="33"/>
      <c r="S4186" s="33"/>
      <c r="T4186" s="33"/>
      <c r="U4186" s="33"/>
      <c r="V4186" s="33"/>
      <c r="W4186" s="33"/>
      <c r="X4186" s="33"/>
      <c r="Y4186" s="33"/>
      <c r="Z4186" s="33"/>
      <c r="AA4186" s="33"/>
      <c r="AB4186" s="33"/>
      <c r="AC4186" s="33"/>
      <c r="AD4186" s="33"/>
      <c r="AE4186" s="33"/>
      <c r="AF4186" s="33"/>
      <c r="AG4186" s="33"/>
      <c r="AH4186" s="33"/>
      <c r="AI4186" s="33"/>
      <c r="AJ4186" s="33"/>
      <c r="AK4186" s="33"/>
    </row>
    <row r="4187">
      <c r="A4187" s="33"/>
      <c r="B4187" s="33"/>
      <c r="C4187" s="33"/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  <c r="Q4187" s="33"/>
      <c r="R4187" s="33"/>
      <c r="S4187" s="33"/>
      <c r="T4187" s="33"/>
      <c r="U4187" s="33"/>
      <c r="V4187" s="33"/>
      <c r="W4187" s="33"/>
      <c r="X4187" s="33"/>
      <c r="Y4187" s="33"/>
      <c r="Z4187" s="33"/>
      <c r="AA4187" s="33"/>
      <c r="AB4187" s="33"/>
      <c r="AC4187" s="33"/>
      <c r="AD4187" s="33"/>
      <c r="AE4187" s="33"/>
      <c r="AF4187" s="33"/>
      <c r="AG4187" s="33"/>
      <c r="AH4187" s="33"/>
      <c r="AI4187" s="33"/>
      <c r="AJ4187" s="33"/>
      <c r="AK4187" s="33"/>
    </row>
    <row r="4188">
      <c r="A4188" s="33"/>
      <c r="B4188" s="33"/>
      <c r="C4188" s="33"/>
      <c r="D4188" s="33"/>
      <c r="E4188" s="33"/>
      <c r="F4188" s="33"/>
      <c r="G4188" s="33"/>
      <c r="H4188" s="33"/>
      <c r="I4188" s="33"/>
      <c r="J4188" s="33"/>
      <c r="K4188" s="33"/>
      <c r="L4188" s="33"/>
      <c r="M4188" s="33"/>
      <c r="N4188" s="33"/>
      <c r="O4188" s="33"/>
      <c r="P4188" s="33"/>
      <c r="Q4188" s="33"/>
      <c r="R4188" s="33"/>
      <c r="S4188" s="33"/>
      <c r="T4188" s="33"/>
      <c r="U4188" s="33"/>
      <c r="V4188" s="33"/>
      <c r="W4188" s="33"/>
      <c r="X4188" s="33"/>
      <c r="Y4188" s="33"/>
      <c r="Z4188" s="33"/>
      <c r="AA4188" s="33"/>
      <c r="AB4188" s="33"/>
      <c r="AC4188" s="33"/>
      <c r="AD4188" s="33"/>
      <c r="AE4188" s="33"/>
      <c r="AF4188" s="33"/>
      <c r="AG4188" s="33"/>
      <c r="AH4188" s="33"/>
      <c r="AI4188" s="33"/>
      <c r="AJ4188" s="33"/>
      <c r="AK4188" s="33"/>
    </row>
    <row r="4189">
      <c r="A4189" s="33"/>
      <c r="B4189" s="33"/>
      <c r="C4189" s="33"/>
      <c r="D4189" s="33"/>
      <c r="E4189" s="33"/>
      <c r="F4189" s="33"/>
      <c r="G4189" s="33"/>
      <c r="H4189" s="33"/>
      <c r="I4189" s="33"/>
      <c r="J4189" s="33"/>
      <c r="K4189" s="33"/>
      <c r="L4189" s="33"/>
      <c r="M4189" s="33"/>
      <c r="N4189" s="33"/>
      <c r="O4189" s="33"/>
      <c r="P4189" s="33"/>
      <c r="Q4189" s="33"/>
      <c r="R4189" s="33"/>
      <c r="S4189" s="33"/>
      <c r="T4189" s="33"/>
      <c r="U4189" s="33"/>
      <c r="V4189" s="33"/>
      <c r="W4189" s="33"/>
      <c r="X4189" s="33"/>
      <c r="Y4189" s="33"/>
      <c r="Z4189" s="33"/>
      <c r="AA4189" s="33"/>
      <c r="AB4189" s="33"/>
      <c r="AC4189" s="33"/>
      <c r="AD4189" s="33"/>
      <c r="AE4189" s="33"/>
      <c r="AF4189" s="33"/>
      <c r="AG4189" s="33"/>
      <c r="AH4189" s="33"/>
      <c r="AI4189" s="33"/>
      <c r="AJ4189" s="33"/>
      <c r="AK4189" s="33"/>
    </row>
    <row r="4190">
      <c r="A4190" s="33"/>
      <c r="B4190" s="33"/>
      <c r="C4190" s="33"/>
      <c r="D4190" s="33"/>
      <c r="E4190" s="33"/>
      <c r="F4190" s="33"/>
      <c r="G4190" s="33"/>
      <c r="H4190" s="33"/>
      <c r="I4190" s="33"/>
      <c r="J4190" s="33"/>
      <c r="K4190" s="33"/>
      <c r="L4190" s="33"/>
      <c r="M4190" s="33"/>
      <c r="N4190" s="33"/>
      <c r="O4190" s="33"/>
      <c r="P4190" s="33"/>
      <c r="Q4190" s="33"/>
      <c r="R4190" s="33"/>
      <c r="S4190" s="33"/>
      <c r="T4190" s="33"/>
      <c r="U4190" s="33"/>
      <c r="V4190" s="33"/>
      <c r="W4190" s="33"/>
      <c r="X4190" s="33"/>
      <c r="Y4190" s="33"/>
      <c r="Z4190" s="33"/>
      <c r="AA4190" s="33"/>
      <c r="AB4190" s="33"/>
      <c r="AC4190" s="33"/>
      <c r="AD4190" s="33"/>
      <c r="AE4190" s="33"/>
      <c r="AF4190" s="33"/>
      <c r="AG4190" s="33"/>
      <c r="AH4190" s="33"/>
      <c r="AI4190" s="33"/>
      <c r="AJ4190" s="33"/>
      <c r="AK4190" s="33"/>
    </row>
    <row r="4191">
      <c r="A4191" s="33"/>
      <c r="B4191" s="33"/>
      <c r="C4191" s="33"/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  <c r="Q4191" s="33"/>
      <c r="R4191" s="33"/>
      <c r="S4191" s="33"/>
      <c r="T4191" s="33"/>
      <c r="U4191" s="33"/>
      <c r="V4191" s="33"/>
      <c r="W4191" s="33"/>
      <c r="X4191" s="33"/>
      <c r="Y4191" s="33"/>
      <c r="Z4191" s="33"/>
      <c r="AA4191" s="33"/>
      <c r="AB4191" s="33"/>
      <c r="AC4191" s="33"/>
      <c r="AD4191" s="33"/>
      <c r="AE4191" s="33"/>
      <c r="AF4191" s="33"/>
      <c r="AG4191" s="33"/>
      <c r="AH4191" s="33"/>
      <c r="AI4191" s="33"/>
      <c r="AJ4191" s="33"/>
      <c r="AK4191" s="33"/>
    </row>
    <row r="4192">
      <c r="A4192" s="33"/>
      <c r="B4192" s="33"/>
      <c r="C4192" s="33"/>
      <c r="D4192" s="33"/>
      <c r="E4192" s="33"/>
      <c r="F4192" s="33"/>
      <c r="G4192" s="33"/>
      <c r="H4192" s="33"/>
      <c r="I4192" s="33"/>
      <c r="J4192" s="33"/>
      <c r="K4192" s="33"/>
      <c r="L4192" s="33"/>
      <c r="M4192" s="33"/>
      <c r="N4192" s="33"/>
      <c r="O4192" s="33"/>
      <c r="P4192" s="33"/>
      <c r="Q4192" s="33"/>
      <c r="R4192" s="33"/>
      <c r="S4192" s="33"/>
      <c r="T4192" s="33"/>
      <c r="U4192" s="33"/>
      <c r="V4192" s="33"/>
      <c r="W4192" s="33"/>
      <c r="X4192" s="33"/>
      <c r="Y4192" s="33"/>
      <c r="Z4192" s="33"/>
      <c r="AA4192" s="33"/>
      <c r="AB4192" s="33"/>
      <c r="AC4192" s="33"/>
      <c r="AD4192" s="33"/>
      <c r="AE4192" s="33"/>
      <c r="AF4192" s="33"/>
      <c r="AG4192" s="33"/>
      <c r="AH4192" s="33"/>
      <c r="AI4192" s="33"/>
      <c r="AJ4192" s="33"/>
      <c r="AK4192" s="33"/>
    </row>
    <row r="4193">
      <c r="A4193" s="33"/>
      <c r="B4193" s="33"/>
      <c r="C4193" s="33"/>
      <c r="D4193" s="33"/>
      <c r="E4193" s="33"/>
      <c r="F4193" s="33"/>
      <c r="G4193" s="33"/>
      <c r="H4193" s="33"/>
      <c r="I4193" s="33"/>
      <c r="J4193" s="33"/>
      <c r="K4193" s="33"/>
      <c r="L4193" s="33"/>
      <c r="M4193" s="33"/>
      <c r="N4193" s="33"/>
      <c r="O4193" s="33"/>
      <c r="P4193" s="33"/>
      <c r="Q4193" s="33"/>
      <c r="R4193" s="33"/>
      <c r="S4193" s="33"/>
      <c r="T4193" s="33"/>
      <c r="U4193" s="33"/>
      <c r="V4193" s="33"/>
      <c r="W4193" s="33"/>
      <c r="X4193" s="33"/>
      <c r="Y4193" s="33"/>
      <c r="Z4193" s="33"/>
      <c r="AA4193" s="33"/>
      <c r="AB4193" s="33"/>
      <c r="AC4193" s="33"/>
      <c r="AD4193" s="33"/>
      <c r="AE4193" s="33"/>
      <c r="AF4193" s="33"/>
      <c r="AG4193" s="33"/>
      <c r="AH4193" s="33"/>
      <c r="AI4193" s="33"/>
      <c r="AJ4193" s="33"/>
      <c r="AK4193" s="33"/>
    </row>
    <row r="4194">
      <c r="A4194" s="33"/>
      <c r="B4194" s="33"/>
      <c r="C4194" s="33"/>
      <c r="D4194" s="33"/>
      <c r="E4194" s="33"/>
      <c r="F4194" s="33"/>
      <c r="G4194" s="33"/>
      <c r="H4194" s="33"/>
      <c r="I4194" s="33"/>
      <c r="J4194" s="33"/>
      <c r="K4194" s="33"/>
      <c r="L4194" s="33"/>
      <c r="M4194" s="33"/>
      <c r="N4194" s="33"/>
      <c r="O4194" s="33"/>
      <c r="P4194" s="33"/>
      <c r="Q4194" s="33"/>
      <c r="R4194" s="33"/>
      <c r="S4194" s="33"/>
      <c r="T4194" s="33"/>
      <c r="U4194" s="33"/>
      <c r="V4194" s="33"/>
      <c r="W4194" s="33"/>
      <c r="X4194" s="33"/>
      <c r="Y4194" s="33"/>
      <c r="Z4194" s="33"/>
      <c r="AA4194" s="33"/>
      <c r="AB4194" s="33"/>
      <c r="AC4194" s="33"/>
      <c r="AD4194" s="33"/>
      <c r="AE4194" s="33"/>
      <c r="AF4194" s="33"/>
      <c r="AG4194" s="33"/>
      <c r="AH4194" s="33"/>
      <c r="AI4194" s="33"/>
      <c r="AJ4194" s="33"/>
      <c r="AK4194" s="33"/>
    </row>
    <row r="4195">
      <c r="A4195" s="33"/>
      <c r="B4195" s="33"/>
      <c r="C4195" s="33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33"/>
      <c r="V4195" s="33"/>
      <c r="W4195" s="33"/>
      <c r="X4195" s="33"/>
      <c r="Y4195" s="33"/>
      <c r="Z4195" s="33"/>
      <c r="AA4195" s="33"/>
      <c r="AB4195" s="33"/>
      <c r="AC4195" s="33"/>
      <c r="AD4195" s="33"/>
      <c r="AE4195" s="33"/>
      <c r="AF4195" s="33"/>
      <c r="AG4195" s="33"/>
      <c r="AH4195" s="33"/>
      <c r="AI4195" s="33"/>
      <c r="AJ4195" s="33"/>
      <c r="AK4195" s="33"/>
    </row>
    <row r="4196">
      <c r="A4196" s="33"/>
      <c r="B4196" s="33"/>
      <c r="C4196" s="33"/>
      <c r="D4196" s="33"/>
      <c r="E4196" s="33"/>
      <c r="F4196" s="33"/>
      <c r="G4196" s="33"/>
      <c r="H4196" s="33"/>
      <c r="I4196" s="33"/>
      <c r="J4196" s="33"/>
      <c r="K4196" s="33"/>
      <c r="L4196" s="33"/>
      <c r="M4196" s="33"/>
      <c r="N4196" s="33"/>
      <c r="O4196" s="33"/>
      <c r="P4196" s="33"/>
      <c r="Q4196" s="33"/>
      <c r="R4196" s="33"/>
      <c r="S4196" s="33"/>
      <c r="T4196" s="33"/>
      <c r="U4196" s="33"/>
      <c r="V4196" s="33"/>
      <c r="W4196" s="33"/>
      <c r="X4196" s="33"/>
      <c r="Y4196" s="33"/>
      <c r="Z4196" s="33"/>
      <c r="AA4196" s="33"/>
      <c r="AB4196" s="33"/>
      <c r="AC4196" s="33"/>
      <c r="AD4196" s="33"/>
      <c r="AE4196" s="33"/>
      <c r="AF4196" s="33"/>
      <c r="AG4196" s="33"/>
      <c r="AH4196" s="33"/>
      <c r="AI4196" s="33"/>
      <c r="AJ4196" s="33"/>
      <c r="AK4196" s="33"/>
    </row>
    <row r="4197">
      <c r="A4197" s="33"/>
      <c r="B4197" s="33"/>
      <c r="C4197" s="33"/>
      <c r="D4197" s="33"/>
      <c r="E4197" s="33"/>
      <c r="F4197" s="33"/>
      <c r="G4197" s="33"/>
      <c r="H4197" s="33"/>
      <c r="I4197" s="33"/>
      <c r="J4197" s="33"/>
      <c r="K4197" s="33"/>
      <c r="L4197" s="33"/>
      <c r="M4197" s="33"/>
      <c r="N4197" s="33"/>
      <c r="O4197" s="33"/>
      <c r="P4197" s="33"/>
      <c r="Q4197" s="33"/>
      <c r="R4197" s="33"/>
      <c r="S4197" s="33"/>
      <c r="T4197" s="33"/>
      <c r="U4197" s="33"/>
      <c r="V4197" s="33"/>
      <c r="W4197" s="33"/>
      <c r="X4197" s="33"/>
      <c r="Y4197" s="33"/>
      <c r="Z4197" s="33"/>
      <c r="AA4197" s="33"/>
      <c r="AB4197" s="33"/>
      <c r="AC4197" s="33"/>
      <c r="AD4197" s="33"/>
      <c r="AE4197" s="33"/>
      <c r="AF4197" s="33"/>
      <c r="AG4197" s="33"/>
      <c r="AH4197" s="33"/>
      <c r="AI4197" s="33"/>
      <c r="AJ4197" s="33"/>
      <c r="AK4197" s="33"/>
    </row>
    <row r="4198">
      <c r="A4198" s="33"/>
      <c r="B4198" s="33"/>
      <c r="C4198" s="33"/>
      <c r="D4198" s="33"/>
      <c r="E4198" s="33"/>
      <c r="F4198" s="33"/>
      <c r="G4198" s="33"/>
      <c r="H4198" s="33"/>
      <c r="I4198" s="33"/>
      <c r="J4198" s="33"/>
      <c r="K4198" s="33"/>
      <c r="L4198" s="33"/>
      <c r="M4198" s="33"/>
      <c r="N4198" s="33"/>
      <c r="O4198" s="33"/>
      <c r="P4198" s="33"/>
      <c r="Q4198" s="33"/>
      <c r="R4198" s="33"/>
      <c r="S4198" s="33"/>
      <c r="T4198" s="33"/>
      <c r="U4198" s="33"/>
      <c r="V4198" s="33"/>
      <c r="W4198" s="33"/>
      <c r="X4198" s="33"/>
      <c r="Y4198" s="33"/>
      <c r="Z4198" s="33"/>
      <c r="AA4198" s="33"/>
      <c r="AB4198" s="33"/>
      <c r="AC4198" s="33"/>
      <c r="AD4198" s="33"/>
      <c r="AE4198" s="33"/>
      <c r="AF4198" s="33"/>
      <c r="AG4198" s="33"/>
      <c r="AH4198" s="33"/>
      <c r="AI4198" s="33"/>
      <c r="AJ4198" s="33"/>
      <c r="AK4198" s="33"/>
    </row>
    <row r="4199">
      <c r="A4199" s="33"/>
      <c r="B4199" s="33"/>
      <c r="C4199" s="33"/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  <c r="Q4199" s="33"/>
      <c r="R4199" s="33"/>
      <c r="S4199" s="33"/>
      <c r="T4199" s="33"/>
      <c r="U4199" s="33"/>
      <c r="V4199" s="33"/>
      <c r="W4199" s="33"/>
      <c r="X4199" s="33"/>
      <c r="Y4199" s="33"/>
      <c r="Z4199" s="33"/>
      <c r="AA4199" s="33"/>
      <c r="AB4199" s="33"/>
      <c r="AC4199" s="33"/>
      <c r="AD4199" s="33"/>
      <c r="AE4199" s="33"/>
      <c r="AF4199" s="33"/>
      <c r="AG4199" s="33"/>
      <c r="AH4199" s="33"/>
      <c r="AI4199" s="33"/>
      <c r="AJ4199" s="33"/>
      <c r="AK4199" s="33"/>
    </row>
    <row r="4200">
      <c r="A4200" s="33"/>
      <c r="B4200" s="33"/>
      <c r="C4200" s="33"/>
      <c r="D4200" s="33"/>
      <c r="E4200" s="33"/>
      <c r="F4200" s="33"/>
      <c r="G4200" s="33"/>
      <c r="H4200" s="33"/>
      <c r="I4200" s="33"/>
      <c r="J4200" s="33"/>
      <c r="K4200" s="33"/>
      <c r="L4200" s="33"/>
      <c r="M4200" s="33"/>
      <c r="N4200" s="33"/>
      <c r="O4200" s="33"/>
      <c r="P4200" s="33"/>
      <c r="Q4200" s="33"/>
      <c r="R4200" s="33"/>
      <c r="S4200" s="33"/>
      <c r="T4200" s="33"/>
      <c r="U4200" s="33"/>
      <c r="V4200" s="33"/>
      <c r="W4200" s="33"/>
      <c r="X4200" s="33"/>
      <c r="Y4200" s="33"/>
      <c r="Z4200" s="33"/>
      <c r="AA4200" s="33"/>
      <c r="AB4200" s="33"/>
      <c r="AC4200" s="33"/>
      <c r="AD4200" s="33"/>
      <c r="AE4200" s="33"/>
      <c r="AF4200" s="33"/>
      <c r="AG4200" s="33"/>
      <c r="AH4200" s="33"/>
      <c r="AI4200" s="33"/>
      <c r="AJ4200" s="33"/>
      <c r="AK4200" s="33"/>
    </row>
    <row r="4201">
      <c r="A4201" s="33"/>
      <c r="B4201" s="33"/>
      <c r="C4201" s="33"/>
      <c r="D4201" s="33"/>
      <c r="E4201" s="33"/>
      <c r="F4201" s="33"/>
      <c r="G4201" s="33"/>
      <c r="H4201" s="33"/>
      <c r="I4201" s="33"/>
      <c r="J4201" s="33"/>
      <c r="K4201" s="33"/>
      <c r="L4201" s="33"/>
      <c r="M4201" s="33"/>
      <c r="N4201" s="33"/>
      <c r="O4201" s="33"/>
      <c r="P4201" s="33"/>
      <c r="Q4201" s="33"/>
      <c r="R4201" s="33"/>
      <c r="S4201" s="33"/>
      <c r="T4201" s="33"/>
      <c r="U4201" s="33"/>
      <c r="V4201" s="33"/>
      <c r="W4201" s="33"/>
      <c r="X4201" s="33"/>
      <c r="Y4201" s="33"/>
      <c r="Z4201" s="33"/>
      <c r="AA4201" s="33"/>
      <c r="AB4201" s="33"/>
      <c r="AC4201" s="33"/>
      <c r="AD4201" s="33"/>
      <c r="AE4201" s="33"/>
      <c r="AF4201" s="33"/>
      <c r="AG4201" s="33"/>
      <c r="AH4201" s="33"/>
      <c r="AI4201" s="33"/>
      <c r="AJ4201" s="33"/>
      <c r="AK4201" s="33"/>
    </row>
    <row r="4202">
      <c r="A4202" s="33"/>
      <c r="B4202" s="33"/>
      <c r="C4202" s="33"/>
      <c r="D4202" s="33"/>
      <c r="E4202" s="33"/>
      <c r="F4202" s="33"/>
      <c r="G4202" s="33"/>
      <c r="H4202" s="33"/>
      <c r="I4202" s="33"/>
      <c r="J4202" s="33"/>
      <c r="K4202" s="33"/>
      <c r="L4202" s="33"/>
      <c r="M4202" s="33"/>
      <c r="N4202" s="33"/>
      <c r="O4202" s="33"/>
      <c r="P4202" s="33"/>
      <c r="Q4202" s="33"/>
      <c r="R4202" s="33"/>
      <c r="S4202" s="33"/>
      <c r="T4202" s="33"/>
      <c r="U4202" s="33"/>
      <c r="V4202" s="33"/>
      <c r="W4202" s="33"/>
      <c r="X4202" s="33"/>
      <c r="Y4202" s="33"/>
      <c r="Z4202" s="33"/>
      <c r="AA4202" s="33"/>
      <c r="AB4202" s="33"/>
      <c r="AC4202" s="33"/>
      <c r="AD4202" s="33"/>
      <c r="AE4202" s="33"/>
      <c r="AF4202" s="33"/>
      <c r="AG4202" s="33"/>
      <c r="AH4202" s="33"/>
      <c r="AI4202" s="33"/>
      <c r="AJ4202" s="33"/>
      <c r="AK4202" s="33"/>
    </row>
    <row r="4203">
      <c r="A4203" s="33"/>
      <c r="B4203" s="33"/>
      <c r="C4203" s="33"/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3"/>
      <c r="S4203" s="33"/>
      <c r="T4203" s="33"/>
      <c r="U4203" s="33"/>
      <c r="V4203" s="33"/>
      <c r="W4203" s="33"/>
      <c r="X4203" s="33"/>
      <c r="Y4203" s="33"/>
      <c r="Z4203" s="33"/>
      <c r="AA4203" s="33"/>
      <c r="AB4203" s="33"/>
      <c r="AC4203" s="33"/>
      <c r="AD4203" s="33"/>
      <c r="AE4203" s="33"/>
      <c r="AF4203" s="33"/>
      <c r="AG4203" s="33"/>
      <c r="AH4203" s="33"/>
      <c r="AI4203" s="33"/>
      <c r="AJ4203" s="33"/>
      <c r="AK4203" s="33"/>
    </row>
    <row r="4204">
      <c r="A4204" s="33"/>
      <c r="B4204" s="33"/>
      <c r="C4204" s="33"/>
      <c r="D4204" s="33"/>
      <c r="E4204" s="33"/>
      <c r="F4204" s="33"/>
      <c r="G4204" s="33"/>
      <c r="H4204" s="33"/>
      <c r="I4204" s="33"/>
      <c r="J4204" s="33"/>
      <c r="K4204" s="33"/>
      <c r="L4204" s="33"/>
      <c r="M4204" s="33"/>
      <c r="N4204" s="33"/>
      <c r="O4204" s="33"/>
      <c r="P4204" s="33"/>
      <c r="Q4204" s="33"/>
      <c r="R4204" s="33"/>
      <c r="S4204" s="33"/>
      <c r="T4204" s="33"/>
      <c r="U4204" s="33"/>
      <c r="V4204" s="33"/>
      <c r="W4204" s="33"/>
      <c r="X4204" s="33"/>
      <c r="Y4204" s="33"/>
      <c r="Z4204" s="33"/>
      <c r="AA4204" s="33"/>
      <c r="AB4204" s="33"/>
      <c r="AC4204" s="33"/>
      <c r="AD4204" s="33"/>
      <c r="AE4204" s="33"/>
      <c r="AF4204" s="33"/>
      <c r="AG4204" s="33"/>
      <c r="AH4204" s="33"/>
      <c r="AI4204" s="33"/>
      <c r="AJ4204" s="33"/>
      <c r="AK4204" s="33"/>
    </row>
    <row r="4205">
      <c r="A4205" s="33"/>
      <c r="B4205" s="33"/>
      <c r="C4205" s="33"/>
      <c r="D4205" s="33"/>
      <c r="E4205" s="33"/>
      <c r="F4205" s="33"/>
      <c r="G4205" s="33"/>
      <c r="H4205" s="33"/>
      <c r="I4205" s="33"/>
      <c r="J4205" s="33"/>
      <c r="K4205" s="33"/>
      <c r="L4205" s="33"/>
      <c r="M4205" s="33"/>
      <c r="N4205" s="33"/>
      <c r="O4205" s="33"/>
      <c r="P4205" s="33"/>
      <c r="Q4205" s="33"/>
      <c r="R4205" s="33"/>
      <c r="S4205" s="33"/>
      <c r="T4205" s="33"/>
      <c r="U4205" s="33"/>
      <c r="V4205" s="33"/>
      <c r="W4205" s="33"/>
      <c r="X4205" s="33"/>
      <c r="Y4205" s="33"/>
      <c r="Z4205" s="33"/>
      <c r="AA4205" s="33"/>
      <c r="AB4205" s="33"/>
      <c r="AC4205" s="33"/>
      <c r="AD4205" s="33"/>
      <c r="AE4205" s="33"/>
      <c r="AF4205" s="33"/>
      <c r="AG4205" s="33"/>
      <c r="AH4205" s="33"/>
      <c r="AI4205" s="33"/>
      <c r="AJ4205" s="33"/>
      <c r="AK4205" s="33"/>
    </row>
    <row r="4206">
      <c r="A4206" s="33"/>
      <c r="B4206" s="33"/>
      <c r="C4206" s="33"/>
      <c r="D4206" s="33"/>
      <c r="E4206" s="33"/>
      <c r="F4206" s="33"/>
      <c r="G4206" s="33"/>
      <c r="H4206" s="33"/>
      <c r="I4206" s="33"/>
      <c r="J4206" s="33"/>
      <c r="K4206" s="33"/>
      <c r="L4206" s="33"/>
      <c r="M4206" s="33"/>
      <c r="N4206" s="33"/>
      <c r="O4206" s="33"/>
      <c r="P4206" s="33"/>
      <c r="Q4206" s="33"/>
      <c r="R4206" s="33"/>
      <c r="S4206" s="33"/>
      <c r="T4206" s="33"/>
      <c r="U4206" s="33"/>
      <c r="V4206" s="33"/>
      <c r="W4206" s="33"/>
      <c r="X4206" s="33"/>
      <c r="Y4206" s="33"/>
      <c r="Z4206" s="33"/>
      <c r="AA4206" s="33"/>
      <c r="AB4206" s="33"/>
      <c r="AC4206" s="33"/>
      <c r="AD4206" s="33"/>
      <c r="AE4206" s="33"/>
      <c r="AF4206" s="33"/>
      <c r="AG4206" s="33"/>
      <c r="AH4206" s="33"/>
      <c r="AI4206" s="33"/>
      <c r="AJ4206" s="33"/>
      <c r="AK4206" s="33"/>
    </row>
    <row r="4207">
      <c r="A4207" s="33"/>
      <c r="B4207" s="33"/>
      <c r="C4207" s="33"/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  <c r="Q4207" s="33"/>
      <c r="R4207" s="33"/>
      <c r="S4207" s="33"/>
      <c r="T4207" s="33"/>
      <c r="U4207" s="33"/>
      <c r="V4207" s="33"/>
      <c r="W4207" s="33"/>
      <c r="X4207" s="33"/>
      <c r="Y4207" s="33"/>
      <c r="Z4207" s="33"/>
      <c r="AA4207" s="33"/>
      <c r="AB4207" s="33"/>
      <c r="AC4207" s="33"/>
      <c r="AD4207" s="33"/>
      <c r="AE4207" s="33"/>
      <c r="AF4207" s="33"/>
      <c r="AG4207" s="33"/>
      <c r="AH4207" s="33"/>
      <c r="AI4207" s="33"/>
      <c r="AJ4207" s="33"/>
      <c r="AK4207" s="33"/>
    </row>
    <row r="4208">
      <c r="A4208" s="33"/>
      <c r="B4208" s="33"/>
      <c r="C4208" s="33"/>
      <c r="D4208" s="33"/>
      <c r="E4208" s="33"/>
      <c r="F4208" s="33"/>
      <c r="G4208" s="33"/>
      <c r="H4208" s="33"/>
      <c r="I4208" s="33"/>
      <c r="J4208" s="33"/>
      <c r="K4208" s="33"/>
      <c r="L4208" s="33"/>
      <c r="M4208" s="33"/>
      <c r="N4208" s="33"/>
      <c r="O4208" s="33"/>
      <c r="P4208" s="33"/>
      <c r="Q4208" s="33"/>
      <c r="R4208" s="33"/>
      <c r="S4208" s="33"/>
      <c r="T4208" s="33"/>
      <c r="U4208" s="33"/>
      <c r="V4208" s="33"/>
      <c r="W4208" s="33"/>
      <c r="X4208" s="33"/>
      <c r="Y4208" s="33"/>
      <c r="Z4208" s="33"/>
      <c r="AA4208" s="33"/>
      <c r="AB4208" s="33"/>
      <c r="AC4208" s="33"/>
      <c r="AD4208" s="33"/>
      <c r="AE4208" s="33"/>
      <c r="AF4208" s="33"/>
      <c r="AG4208" s="33"/>
      <c r="AH4208" s="33"/>
      <c r="AI4208" s="33"/>
      <c r="AJ4208" s="33"/>
      <c r="AK4208" s="33"/>
    </row>
    <row r="4209">
      <c r="A4209" s="33"/>
      <c r="B4209" s="33"/>
      <c r="C4209" s="33"/>
      <c r="D4209" s="33"/>
      <c r="E4209" s="33"/>
      <c r="F4209" s="33"/>
      <c r="G4209" s="33"/>
      <c r="H4209" s="33"/>
      <c r="I4209" s="33"/>
      <c r="J4209" s="33"/>
      <c r="K4209" s="33"/>
      <c r="L4209" s="33"/>
      <c r="M4209" s="33"/>
      <c r="N4209" s="33"/>
      <c r="O4209" s="33"/>
      <c r="P4209" s="33"/>
      <c r="Q4209" s="33"/>
      <c r="R4209" s="33"/>
      <c r="S4209" s="33"/>
      <c r="T4209" s="33"/>
      <c r="U4209" s="33"/>
      <c r="V4209" s="33"/>
      <c r="W4209" s="33"/>
      <c r="X4209" s="33"/>
      <c r="Y4209" s="33"/>
      <c r="Z4209" s="33"/>
      <c r="AA4209" s="33"/>
      <c r="AB4209" s="33"/>
      <c r="AC4209" s="33"/>
      <c r="AD4209" s="33"/>
      <c r="AE4209" s="33"/>
      <c r="AF4209" s="33"/>
      <c r="AG4209" s="33"/>
      <c r="AH4209" s="33"/>
      <c r="AI4209" s="33"/>
      <c r="AJ4209" s="33"/>
      <c r="AK4209" s="33"/>
    </row>
    <row r="4210">
      <c r="A4210" s="33"/>
      <c r="B4210" s="33"/>
      <c r="C4210" s="33"/>
      <c r="D4210" s="33"/>
      <c r="E4210" s="33"/>
      <c r="F4210" s="33"/>
      <c r="G4210" s="33"/>
      <c r="H4210" s="33"/>
      <c r="I4210" s="33"/>
      <c r="J4210" s="33"/>
      <c r="K4210" s="33"/>
      <c r="L4210" s="33"/>
      <c r="M4210" s="33"/>
      <c r="N4210" s="33"/>
      <c r="O4210" s="33"/>
      <c r="P4210" s="33"/>
      <c r="Q4210" s="33"/>
      <c r="R4210" s="33"/>
      <c r="S4210" s="33"/>
      <c r="T4210" s="33"/>
      <c r="U4210" s="33"/>
      <c r="V4210" s="33"/>
      <c r="W4210" s="33"/>
      <c r="X4210" s="33"/>
      <c r="Y4210" s="33"/>
      <c r="Z4210" s="33"/>
      <c r="AA4210" s="33"/>
      <c r="AB4210" s="33"/>
      <c r="AC4210" s="33"/>
      <c r="AD4210" s="33"/>
      <c r="AE4210" s="33"/>
      <c r="AF4210" s="33"/>
      <c r="AG4210" s="33"/>
      <c r="AH4210" s="33"/>
      <c r="AI4210" s="33"/>
      <c r="AJ4210" s="33"/>
      <c r="AK4210" s="33"/>
    </row>
    <row r="4211">
      <c r="A4211" s="33"/>
      <c r="B4211" s="33"/>
      <c r="C4211" s="33"/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  <c r="Q4211" s="33"/>
      <c r="R4211" s="33"/>
      <c r="S4211" s="33"/>
      <c r="T4211" s="33"/>
      <c r="U4211" s="33"/>
      <c r="V4211" s="33"/>
      <c r="W4211" s="33"/>
      <c r="X4211" s="33"/>
      <c r="Y4211" s="33"/>
      <c r="Z4211" s="33"/>
      <c r="AA4211" s="33"/>
      <c r="AB4211" s="33"/>
      <c r="AC4211" s="33"/>
      <c r="AD4211" s="33"/>
      <c r="AE4211" s="33"/>
      <c r="AF4211" s="33"/>
      <c r="AG4211" s="33"/>
      <c r="AH4211" s="33"/>
      <c r="AI4211" s="33"/>
      <c r="AJ4211" s="33"/>
      <c r="AK4211" s="33"/>
    </row>
    <row r="4212">
      <c r="A4212" s="33"/>
      <c r="B4212" s="33"/>
      <c r="C4212" s="33"/>
      <c r="D4212" s="33"/>
      <c r="E4212" s="33"/>
      <c r="F4212" s="33"/>
      <c r="G4212" s="33"/>
      <c r="H4212" s="33"/>
      <c r="I4212" s="33"/>
      <c r="J4212" s="33"/>
      <c r="K4212" s="33"/>
      <c r="L4212" s="33"/>
      <c r="M4212" s="33"/>
      <c r="N4212" s="33"/>
      <c r="O4212" s="33"/>
      <c r="P4212" s="33"/>
      <c r="Q4212" s="33"/>
      <c r="R4212" s="33"/>
      <c r="S4212" s="33"/>
      <c r="T4212" s="33"/>
      <c r="U4212" s="33"/>
      <c r="V4212" s="33"/>
      <c r="W4212" s="33"/>
      <c r="X4212" s="33"/>
      <c r="Y4212" s="33"/>
      <c r="Z4212" s="33"/>
      <c r="AA4212" s="33"/>
      <c r="AB4212" s="33"/>
      <c r="AC4212" s="33"/>
      <c r="AD4212" s="33"/>
      <c r="AE4212" s="33"/>
      <c r="AF4212" s="33"/>
      <c r="AG4212" s="33"/>
      <c r="AH4212" s="33"/>
      <c r="AI4212" s="33"/>
      <c r="AJ4212" s="33"/>
      <c r="AK4212" s="33"/>
    </row>
    <row r="4213">
      <c r="A4213" s="33"/>
      <c r="B4213" s="33"/>
      <c r="C4213" s="33"/>
      <c r="D4213" s="33"/>
      <c r="E4213" s="33"/>
      <c r="F4213" s="33"/>
      <c r="G4213" s="33"/>
      <c r="H4213" s="33"/>
      <c r="I4213" s="33"/>
      <c r="J4213" s="33"/>
      <c r="K4213" s="33"/>
      <c r="L4213" s="33"/>
      <c r="M4213" s="33"/>
      <c r="N4213" s="33"/>
      <c r="O4213" s="33"/>
      <c r="P4213" s="33"/>
      <c r="Q4213" s="33"/>
      <c r="R4213" s="33"/>
      <c r="S4213" s="33"/>
      <c r="T4213" s="33"/>
      <c r="U4213" s="33"/>
      <c r="V4213" s="33"/>
      <c r="W4213" s="33"/>
      <c r="X4213" s="33"/>
      <c r="Y4213" s="33"/>
      <c r="Z4213" s="33"/>
      <c r="AA4213" s="33"/>
      <c r="AB4213" s="33"/>
      <c r="AC4213" s="33"/>
      <c r="AD4213" s="33"/>
      <c r="AE4213" s="33"/>
      <c r="AF4213" s="33"/>
      <c r="AG4213" s="33"/>
      <c r="AH4213" s="33"/>
      <c r="AI4213" s="33"/>
      <c r="AJ4213" s="33"/>
      <c r="AK4213" s="33"/>
    </row>
    <row r="4214">
      <c r="A4214" s="33"/>
      <c r="B4214" s="33"/>
      <c r="C4214" s="33"/>
      <c r="D4214" s="33"/>
      <c r="E4214" s="33"/>
      <c r="F4214" s="33"/>
      <c r="G4214" s="33"/>
      <c r="H4214" s="33"/>
      <c r="I4214" s="33"/>
      <c r="J4214" s="33"/>
      <c r="K4214" s="33"/>
      <c r="L4214" s="33"/>
      <c r="M4214" s="33"/>
      <c r="N4214" s="33"/>
      <c r="O4214" s="33"/>
      <c r="P4214" s="33"/>
      <c r="Q4214" s="33"/>
      <c r="R4214" s="33"/>
      <c r="S4214" s="33"/>
      <c r="T4214" s="33"/>
      <c r="U4214" s="33"/>
      <c r="V4214" s="33"/>
      <c r="W4214" s="33"/>
      <c r="X4214" s="33"/>
      <c r="Y4214" s="33"/>
      <c r="Z4214" s="33"/>
      <c r="AA4214" s="33"/>
      <c r="AB4214" s="33"/>
      <c r="AC4214" s="33"/>
      <c r="AD4214" s="33"/>
      <c r="AE4214" s="33"/>
      <c r="AF4214" s="33"/>
      <c r="AG4214" s="33"/>
      <c r="AH4214" s="33"/>
      <c r="AI4214" s="33"/>
      <c r="AJ4214" s="33"/>
      <c r="AK4214" s="33"/>
    </row>
    <row r="4215">
      <c r="A4215" s="33"/>
      <c r="B4215" s="33"/>
      <c r="C4215" s="33"/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  <c r="Q4215" s="33"/>
      <c r="R4215" s="33"/>
      <c r="S4215" s="33"/>
      <c r="T4215" s="33"/>
      <c r="U4215" s="33"/>
      <c r="V4215" s="33"/>
      <c r="W4215" s="33"/>
      <c r="X4215" s="33"/>
      <c r="Y4215" s="33"/>
      <c r="Z4215" s="33"/>
      <c r="AA4215" s="33"/>
      <c r="AB4215" s="33"/>
      <c r="AC4215" s="33"/>
      <c r="AD4215" s="33"/>
      <c r="AE4215" s="33"/>
      <c r="AF4215" s="33"/>
      <c r="AG4215" s="33"/>
      <c r="AH4215" s="33"/>
      <c r="AI4215" s="33"/>
      <c r="AJ4215" s="33"/>
      <c r="AK4215" s="33"/>
    </row>
    <row r="4216">
      <c r="A4216" s="33"/>
      <c r="B4216" s="33"/>
      <c r="C4216" s="33"/>
      <c r="D4216" s="33"/>
      <c r="E4216" s="33"/>
      <c r="F4216" s="33"/>
      <c r="G4216" s="33"/>
      <c r="H4216" s="33"/>
      <c r="I4216" s="33"/>
      <c r="J4216" s="33"/>
      <c r="K4216" s="33"/>
      <c r="L4216" s="33"/>
      <c r="M4216" s="33"/>
      <c r="N4216" s="33"/>
      <c r="O4216" s="33"/>
      <c r="P4216" s="33"/>
      <c r="Q4216" s="33"/>
      <c r="R4216" s="33"/>
      <c r="S4216" s="33"/>
      <c r="T4216" s="33"/>
      <c r="U4216" s="33"/>
      <c r="V4216" s="33"/>
      <c r="W4216" s="33"/>
      <c r="X4216" s="33"/>
      <c r="Y4216" s="33"/>
      <c r="Z4216" s="33"/>
      <c r="AA4216" s="33"/>
      <c r="AB4216" s="33"/>
      <c r="AC4216" s="33"/>
      <c r="AD4216" s="33"/>
      <c r="AE4216" s="33"/>
      <c r="AF4216" s="33"/>
      <c r="AG4216" s="33"/>
      <c r="AH4216" s="33"/>
      <c r="AI4216" s="33"/>
      <c r="AJ4216" s="33"/>
      <c r="AK4216" s="33"/>
    </row>
    <row r="4217">
      <c r="A4217" s="33"/>
      <c r="B4217" s="33"/>
      <c r="C4217" s="33"/>
      <c r="D4217" s="33"/>
      <c r="E4217" s="33"/>
      <c r="F4217" s="33"/>
      <c r="G4217" s="33"/>
      <c r="H4217" s="33"/>
      <c r="I4217" s="33"/>
      <c r="J4217" s="33"/>
      <c r="K4217" s="33"/>
      <c r="L4217" s="33"/>
      <c r="M4217" s="33"/>
      <c r="N4217" s="33"/>
      <c r="O4217" s="33"/>
      <c r="P4217" s="33"/>
      <c r="Q4217" s="33"/>
      <c r="R4217" s="33"/>
      <c r="S4217" s="33"/>
      <c r="T4217" s="33"/>
      <c r="U4217" s="33"/>
      <c r="V4217" s="33"/>
      <c r="W4217" s="33"/>
      <c r="X4217" s="33"/>
      <c r="Y4217" s="33"/>
      <c r="Z4217" s="33"/>
      <c r="AA4217" s="33"/>
      <c r="AB4217" s="33"/>
      <c r="AC4217" s="33"/>
      <c r="AD4217" s="33"/>
      <c r="AE4217" s="33"/>
      <c r="AF4217" s="33"/>
      <c r="AG4217" s="33"/>
      <c r="AH4217" s="33"/>
      <c r="AI4217" s="33"/>
      <c r="AJ4217" s="33"/>
      <c r="AK4217" s="33"/>
    </row>
    <row r="4218">
      <c r="A4218" s="33"/>
      <c r="B4218" s="33"/>
      <c r="C4218" s="33"/>
      <c r="D4218" s="33"/>
      <c r="E4218" s="33"/>
      <c r="F4218" s="33"/>
      <c r="G4218" s="33"/>
      <c r="H4218" s="33"/>
      <c r="I4218" s="33"/>
      <c r="J4218" s="33"/>
      <c r="K4218" s="33"/>
      <c r="L4218" s="33"/>
      <c r="M4218" s="33"/>
      <c r="N4218" s="33"/>
      <c r="O4218" s="33"/>
      <c r="P4218" s="33"/>
      <c r="Q4218" s="33"/>
      <c r="R4218" s="33"/>
      <c r="S4218" s="33"/>
      <c r="T4218" s="33"/>
      <c r="U4218" s="33"/>
      <c r="V4218" s="33"/>
      <c r="W4218" s="33"/>
      <c r="X4218" s="33"/>
      <c r="Y4218" s="33"/>
      <c r="Z4218" s="33"/>
      <c r="AA4218" s="33"/>
      <c r="AB4218" s="33"/>
      <c r="AC4218" s="33"/>
      <c r="AD4218" s="33"/>
      <c r="AE4218" s="33"/>
      <c r="AF4218" s="33"/>
      <c r="AG4218" s="33"/>
      <c r="AH4218" s="33"/>
      <c r="AI4218" s="33"/>
      <c r="AJ4218" s="33"/>
      <c r="AK4218" s="33"/>
    </row>
    <row r="4219">
      <c r="A4219" s="33"/>
      <c r="B4219" s="33"/>
      <c r="C4219" s="33"/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  <c r="Q4219" s="33"/>
      <c r="R4219" s="33"/>
      <c r="S4219" s="33"/>
      <c r="T4219" s="33"/>
      <c r="U4219" s="33"/>
      <c r="V4219" s="33"/>
      <c r="W4219" s="33"/>
      <c r="X4219" s="33"/>
      <c r="Y4219" s="33"/>
      <c r="Z4219" s="33"/>
      <c r="AA4219" s="33"/>
      <c r="AB4219" s="33"/>
      <c r="AC4219" s="33"/>
      <c r="AD4219" s="33"/>
      <c r="AE4219" s="33"/>
      <c r="AF4219" s="33"/>
      <c r="AG4219" s="33"/>
      <c r="AH4219" s="33"/>
      <c r="AI4219" s="33"/>
      <c r="AJ4219" s="33"/>
      <c r="AK4219" s="33"/>
    </row>
    <row r="4220">
      <c r="A4220" s="33"/>
      <c r="B4220" s="33"/>
      <c r="C4220" s="33"/>
      <c r="D4220" s="33"/>
      <c r="E4220" s="33"/>
      <c r="F4220" s="33"/>
      <c r="G4220" s="33"/>
      <c r="H4220" s="33"/>
      <c r="I4220" s="33"/>
      <c r="J4220" s="33"/>
      <c r="K4220" s="33"/>
      <c r="L4220" s="33"/>
      <c r="M4220" s="33"/>
      <c r="N4220" s="33"/>
      <c r="O4220" s="33"/>
      <c r="P4220" s="33"/>
      <c r="Q4220" s="33"/>
      <c r="R4220" s="33"/>
      <c r="S4220" s="33"/>
      <c r="T4220" s="33"/>
      <c r="U4220" s="33"/>
      <c r="V4220" s="33"/>
      <c r="W4220" s="33"/>
      <c r="X4220" s="33"/>
      <c r="Y4220" s="33"/>
      <c r="Z4220" s="33"/>
      <c r="AA4220" s="33"/>
      <c r="AB4220" s="33"/>
      <c r="AC4220" s="33"/>
      <c r="AD4220" s="33"/>
      <c r="AE4220" s="33"/>
      <c r="AF4220" s="33"/>
      <c r="AG4220" s="33"/>
      <c r="AH4220" s="33"/>
      <c r="AI4220" s="33"/>
      <c r="AJ4220" s="33"/>
      <c r="AK4220" s="33"/>
    </row>
    <row r="4221">
      <c r="A4221" s="33"/>
      <c r="B4221" s="33"/>
      <c r="C4221" s="33"/>
      <c r="D4221" s="33"/>
      <c r="E4221" s="33"/>
      <c r="F4221" s="33"/>
      <c r="G4221" s="33"/>
      <c r="H4221" s="33"/>
      <c r="I4221" s="33"/>
      <c r="J4221" s="33"/>
      <c r="K4221" s="33"/>
      <c r="L4221" s="33"/>
      <c r="M4221" s="33"/>
      <c r="N4221" s="33"/>
      <c r="O4221" s="33"/>
      <c r="P4221" s="33"/>
      <c r="Q4221" s="33"/>
      <c r="R4221" s="33"/>
      <c r="S4221" s="33"/>
      <c r="T4221" s="33"/>
      <c r="U4221" s="33"/>
      <c r="V4221" s="33"/>
      <c r="W4221" s="33"/>
      <c r="X4221" s="33"/>
      <c r="Y4221" s="33"/>
      <c r="Z4221" s="33"/>
      <c r="AA4221" s="33"/>
      <c r="AB4221" s="33"/>
      <c r="AC4221" s="33"/>
      <c r="AD4221" s="33"/>
      <c r="AE4221" s="33"/>
      <c r="AF4221" s="33"/>
      <c r="AG4221" s="33"/>
      <c r="AH4221" s="33"/>
      <c r="AI4221" s="33"/>
      <c r="AJ4221" s="33"/>
      <c r="AK4221" s="33"/>
    </row>
    <row r="4222">
      <c r="A4222" s="33"/>
      <c r="B4222" s="33"/>
      <c r="C4222" s="33"/>
      <c r="D4222" s="33"/>
      <c r="E4222" s="33"/>
      <c r="F4222" s="33"/>
      <c r="G4222" s="33"/>
      <c r="H4222" s="33"/>
      <c r="I4222" s="33"/>
      <c r="J4222" s="33"/>
      <c r="K4222" s="33"/>
      <c r="L4222" s="33"/>
      <c r="M4222" s="33"/>
      <c r="N4222" s="33"/>
      <c r="O4222" s="33"/>
      <c r="P4222" s="33"/>
      <c r="Q4222" s="33"/>
      <c r="R4222" s="33"/>
      <c r="S4222" s="33"/>
      <c r="T4222" s="33"/>
      <c r="U4222" s="33"/>
      <c r="V4222" s="33"/>
      <c r="W4222" s="33"/>
      <c r="X4222" s="33"/>
      <c r="Y4222" s="33"/>
      <c r="Z4222" s="33"/>
      <c r="AA4222" s="33"/>
      <c r="AB4222" s="33"/>
      <c r="AC4222" s="33"/>
      <c r="AD4222" s="33"/>
      <c r="AE4222" s="33"/>
      <c r="AF4222" s="33"/>
      <c r="AG4222" s="33"/>
      <c r="AH4222" s="33"/>
      <c r="AI4222" s="33"/>
      <c r="AJ4222" s="33"/>
      <c r="AK4222" s="33"/>
    </row>
    <row r="4223">
      <c r="A4223" s="33"/>
      <c r="B4223" s="33"/>
      <c r="C4223" s="33"/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  <c r="Q4223" s="33"/>
      <c r="R4223" s="33"/>
      <c r="S4223" s="33"/>
      <c r="T4223" s="33"/>
      <c r="U4223" s="33"/>
      <c r="V4223" s="33"/>
      <c r="W4223" s="33"/>
      <c r="X4223" s="33"/>
      <c r="Y4223" s="33"/>
      <c r="Z4223" s="33"/>
      <c r="AA4223" s="33"/>
      <c r="AB4223" s="33"/>
      <c r="AC4223" s="33"/>
      <c r="AD4223" s="33"/>
      <c r="AE4223" s="33"/>
      <c r="AF4223" s="33"/>
      <c r="AG4223" s="33"/>
      <c r="AH4223" s="33"/>
      <c r="AI4223" s="33"/>
      <c r="AJ4223" s="33"/>
      <c r="AK4223" s="33"/>
    </row>
    <row r="4224">
      <c r="A4224" s="33"/>
      <c r="B4224" s="33"/>
      <c r="C4224" s="33"/>
      <c r="D4224" s="33"/>
      <c r="E4224" s="33"/>
      <c r="F4224" s="33"/>
      <c r="G4224" s="33"/>
      <c r="H4224" s="33"/>
      <c r="I4224" s="33"/>
      <c r="J4224" s="33"/>
      <c r="K4224" s="33"/>
      <c r="L4224" s="33"/>
      <c r="M4224" s="33"/>
      <c r="N4224" s="33"/>
      <c r="O4224" s="33"/>
      <c r="P4224" s="33"/>
      <c r="Q4224" s="33"/>
      <c r="R4224" s="33"/>
      <c r="S4224" s="33"/>
      <c r="T4224" s="33"/>
      <c r="U4224" s="33"/>
      <c r="V4224" s="33"/>
      <c r="W4224" s="33"/>
      <c r="X4224" s="33"/>
      <c r="Y4224" s="33"/>
      <c r="Z4224" s="33"/>
      <c r="AA4224" s="33"/>
      <c r="AB4224" s="33"/>
      <c r="AC4224" s="33"/>
      <c r="AD4224" s="33"/>
      <c r="AE4224" s="33"/>
      <c r="AF4224" s="33"/>
      <c r="AG4224" s="33"/>
      <c r="AH4224" s="33"/>
      <c r="AI4224" s="33"/>
      <c r="AJ4224" s="33"/>
      <c r="AK4224" s="33"/>
    </row>
    <row r="4225">
      <c r="A4225" s="33"/>
      <c r="B4225" s="33"/>
      <c r="C4225" s="33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33"/>
      <c r="Q4225" s="33"/>
      <c r="R4225" s="33"/>
      <c r="S4225" s="33"/>
      <c r="T4225" s="33"/>
      <c r="U4225" s="33"/>
      <c r="V4225" s="33"/>
      <c r="W4225" s="33"/>
      <c r="X4225" s="33"/>
      <c r="Y4225" s="33"/>
      <c r="Z4225" s="33"/>
      <c r="AA4225" s="33"/>
      <c r="AB4225" s="33"/>
      <c r="AC4225" s="33"/>
      <c r="AD4225" s="33"/>
      <c r="AE4225" s="33"/>
      <c r="AF4225" s="33"/>
      <c r="AG4225" s="33"/>
      <c r="AH4225" s="33"/>
      <c r="AI4225" s="33"/>
      <c r="AJ4225" s="33"/>
      <c r="AK4225" s="33"/>
    </row>
    <row r="4226">
      <c r="A4226" s="33"/>
      <c r="B4226" s="33"/>
      <c r="C4226" s="33"/>
      <c r="D4226" s="33"/>
      <c r="E4226" s="33"/>
      <c r="F4226" s="33"/>
      <c r="G4226" s="33"/>
      <c r="H4226" s="33"/>
      <c r="I4226" s="33"/>
      <c r="J4226" s="33"/>
      <c r="K4226" s="33"/>
      <c r="L4226" s="33"/>
      <c r="M4226" s="33"/>
      <c r="N4226" s="33"/>
      <c r="O4226" s="33"/>
      <c r="P4226" s="33"/>
      <c r="Q4226" s="33"/>
      <c r="R4226" s="33"/>
      <c r="S4226" s="33"/>
      <c r="T4226" s="33"/>
      <c r="U4226" s="33"/>
      <c r="V4226" s="33"/>
      <c r="W4226" s="33"/>
      <c r="X4226" s="33"/>
      <c r="Y4226" s="33"/>
      <c r="Z4226" s="33"/>
      <c r="AA4226" s="33"/>
      <c r="AB4226" s="33"/>
      <c r="AC4226" s="33"/>
      <c r="AD4226" s="33"/>
      <c r="AE4226" s="33"/>
      <c r="AF4226" s="33"/>
      <c r="AG4226" s="33"/>
      <c r="AH4226" s="33"/>
      <c r="AI4226" s="33"/>
      <c r="AJ4226" s="33"/>
      <c r="AK4226" s="33"/>
    </row>
    <row r="4227">
      <c r="A4227" s="33"/>
      <c r="B4227" s="33"/>
      <c r="C4227" s="33"/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  <c r="Q4227" s="33"/>
      <c r="R4227" s="33"/>
      <c r="S4227" s="33"/>
      <c r="T4227" s="33"/>
      <c r="U4227" s="33"/>
      <c r="V4227" s="33"/>
      <c r="W4227" s="33"/>
      <c r="X4227" s="33"/>
      <c r="Y4227" s="33"/>
      <c r="Z4227" s="33"/>
      <c r="AA4227" s="33"/>
      <c r="AB4227" s="33"/>
      <c r="AC4227" s="33"/>
      <c r="AD4227" s="33"/>
      <c r="AE4227" s="33"/>
      <c r="AF4227" s="33"/>
      <c r="AG4227" s="33"/>
      <c r="AH4227" s="33"/>
      <c r="AI4227" s="33"/>
      <c r="AJ4227" s="33"/>
      <c r="AK4227" s="33"/>
    </row>
    <row r="4228">
      <c r="A4228" s="33"/>
      <c r="B4228" s="33"/>
      <c r="C4228" s="33"/>
      <c r="D4228" s="33"/>
      <c r="E4228" s="33"/>
      <c r="F4228" s="33"/>
      <c r="G4228" s="33"/>
      <c r="H4228" s="33"/>
      <c r="I4228" s="33"/>
      <c r="J4228" s="33"/>
      <c r="K4228" s="33"/>
      <c r="L4228" s="33"/>
      <c r="M4228" s="33"/>
      <c r="N4228" s="33"/>
      <c r="O4228" s="33"/>
      <c r="P4228" s="33"/>
      <c r="Q4228" s="33"/>
      <c r="R4228" s="33"/>
      <c r="S4228" s="33"/>
      <c r="T4228" s="33"/>
      <c r="U4228" s="33"/>
      <c r="V4228" s="33"/>
      <c r="W4228" s="33"/>
      <c r="X4228" s="33"/>
      <c r="Y4228" s="33"/>
      <c r="Z4228" s="33"/>
      <c r="AA4228" s="33"/>
      <c r="AB4228" s="33"/>
      <c r="AC4228" s="33"/>
      <c r="AD4228" s="33"/>
      <c r="AE4228" s="33"/>
      <c r="AF4228" s="33"/>
      <c r="AG4228" s="33"/>
      <c r="AH4228" s="33"/>
      <c r="AI4228" s="33"/>
      <c r="AJ4228" s="33"/>
      <c r="AK4228" s="33"/>
    </row>
    <row r="4229">
      <c r="A4229" s="33"/>
      <c r="B4229" s="33"/>
      <c r="C4229" s="33"/>
      <c r="D4229" s="33"/>
      <c r="E4229" s="33"/>
      <c r="F4229" s="33"/>
      <c r="G4229" s="33"/>
      <c r="H4229" s="33"/>
      <c r="I4229" s="33"/>
      <c r="J4229" s="33"/>
      <c r="K4229" s="33"/>
      <c r="L4229" s="33"/>
      <c r="M4229" s="33"/>
      <c r="N4229" s="33"/>
      <c r="O4229" s="33"/>
      <c r="P4229" s="33"/>
      <c r="Q4229" s="33"/>
      <c r="R4229" s="33"/>
      <c r="S4229" s="33"/>
      <c r="T4229" s="33"/>
      <c r="U4229" s="33"/>
      <c r="V4229" s="33"/>
      <c r="W4229" s="33"/>
      <c r="X4229" s="33"/>
      <c r="Y4229" s="33"/>
      <c r="Z4229" s="33"/>
      <c r="AA4229" s="33"/>
      <c r="AB4229" s="33"/>
      <c r="AC4229" s="33"/>
      <c r="AD4229" s="33"/>
      <c r="AE4229" s="33"/>
      <c r="AF4229" s="33"/>
      <c r="AG4229" s="33"/>
      <c r="AH4229" s="33"/>
      <c r="AI4229" s="33"/>
      <c r="AJ4229" s="33"/>
      <c r="AK4229" s="33"/>
    </row>
    <row r="4230">
      <c r="A4230" s="33"/>
      <c r="B4230" s="33"/>
      <c r="C4230" s="33"/>
      <c r="D4230" s="33"/>
      <c r="E4230" s="33"/>
      <c r="F4230" s="33"/>
      <c r="G4230" s="33"/>
      <c r="H4230" s="33"/>
      <c r="I4230" s="33"/>
      <c r="J4230" s="33"/>
      <c r="K4230" s="33"/>
      <c r="L4230" s="33"/>
      <c r="M4230" s="33"/>
      <c r="N4230" s="33"/>
      <c r="O4230" s="33"/>
      <c r="P4230" s="33"/>
      <c r="Q4230" s="33"/>
      <c r="R4230" s="33"/>
      <c r="S4230" s="33"/>
      <c r="T4230" s="33"/>
      <c r="U4230" s="33"/>
      <c r="V4230" s="33"/>
      <c r="W4230" s="33"/>
      <c r="X4230" s="33"/>
      <c r="Y4230" s="33"/>
      <c r="Z4230" s="33"/>
      <c r="AA4230" s="33"/>
      <c r="AB4230" s="33"/>
      <c r="AC4230" s="33"/>
      <c r="AD4230" s="33"/>
      <c r="AE4230" s="33"/>
      <c r="AF4230" s="33"/>
      <c r="AG4230" s="33"/>
      <c r="AH4230" s="33"/>
      <c r="AI4230" s="33"/>
      <c r="AJ4230" s="33"/>
      <c r="AK4230" s="33"/>
    </row>
    <row r="4231">
      <c r="A4231" s="33"/>
      <c r="B4231" s="33"/>
      <c r="C4231" s="33"/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  <c r="Q4231" s="33"/>
      <c r="R4231" s="33"/>
      <c r="S4231" s="33"/>
      <c r="T4231" s="33"/>
      <c r="U4231" s="33"/>
      <c r="V4231" s="33"/>
      <c r="W4231" s="33"/>
      <c r="X4231" s="33"/>
      <c r="Y4231" s="33"/>
      <c r="Z4231" s="33"/>
      <c r="AA4231" s="33"/>
      <c r="AB4231" s="33"/>
      <c r="AC4231" s="33"/>
      <c r="AD4231" s="33"/>
      <c r="AE4231" s="33"/>
      <c r="AF4231" s="33"/>
      <c r="AG4231" s="33"/>
      <c r="AH4231" s="33"/>
      <c r="AI4231" s="33"/>
      <c r="AJ4231" s="33"/>
      <c r="AK4231" s="33"/>
    </row>
    <row r="4232">
      <c r="A4232" s="33"/>
      <c r="B4232" s="33"/>
      <c r="C4232" s="33"/>
      <c r="D4232" s="33"/>
      <c r="E4232" s="33"/>
      <c r="F4232" s="33"/>
      <c r="G4232" s="33"/>
      <c r="H4232" s="33"/>
      <c r="I4232" s="33"/>
      <c r="J4232" s="33"/>
      <c r="K4232" s="33"/>
      <c r="L4232" s="33"/>
      <c r="M4232" s="33"/>
      <c r="N4232" s="33"/>
      <c r="O4232" s="33"/>
      <c r="P4232" s="33"/>
      <c r="Q4232" s="33"/>
      <c r="R4232" s="33"/>
      <c r="S4232" s="33"/>
      <c r="T4232" s="33"/>
      <c r="U4232" s="33"/>
      <c r="V4232" s="33"/>
      <c r="W4232" s="33"/>
      <c r="X4232" s="33"/>
      <c r="Y4232" s="33"/>
      <c r="Z4232" s="33"/>
      <c r="AA4232" s="33"/>
      <c r="AB4232" s="33"/>
      <c r="AC4232" s="33"/>
      <c r="AD4232" s="33"/>
      <c r="AE4232" s="33"/>
      <c r="AF4232" s="33"/>
      <c r="AG4232" s="33"/>
      <c r="AH4232" s="33"/>
      <c r="AI4232" s="33"/>
      <c r="AJ4232" s="33"/>
      <c r="AK4232" s="33"/>
    </row>
    <row r="4233">
      <c r="A4233" s="33"/>
      <c r="B4233" s="33"/>
      <c r="C4233" s="33"/>
      <c r="D4233" s="33"/>
      <c r="E4233" s="33"/>
      <c r="F4233" s="33"/>
      <c r="G4233" s="33"/>
      <c r="H4233" s="33"/>
      <c r="I4233" s="33"/>
      <c r="J4233" s="33"/>
      <c r="K4233" s="33"/>
      <c r="L4233" s="33"/>
      <c r="M4233" s="33"/>
      <c r="N4233" s="33"/>
      <c r="O4233" s="33"/>
      <c r="P4233" s="33"/>
      <c r="Q4233" s="33"/>
      <c r="R4233" s="33"/>
      <c r="S4233" s="33"/>
      <c r="T4233" s="33"/>
      <c r="U4233" s="33"/>
      <c r="V4233" s="33"/>
      <c r="W4233" s="33"/>
      <c r="X4233" s="33"/>
      <c r="Y4233" s="33"/>
      <c r="Z4233" s="33"/>
      <c r="AA4233" s="33"/>
      <c r="AB4233" s="33"/>
      <c r="AC4233" s="33"/>
      <c r="AD4233" s="33"/>
      <c r="AE4233" s="33"/>
      <c r="AF4233" s="33"/>
      <c r="AG4233" s="33"/>
      <c r="AH4233" s="33"/>
      <c r="AI4233" s="33"/>
      <c r="AJ4233" s="33"/>
      <c r="AK4233" s="33"/>
    </row>
    <row r="4234">
      <c r="A4234" s="33"/>
      <c r="B4234" s="33"/>
      <c r="C4234" s="33"/>
      <c r="D4234" s="33"/>
      <c r="E4234" s="33"/>
      <c r="F4234" s="33"/>
      <c r="G4234" s="33"/>
      <c r="H4234" s="33"/>
      <c r="I4234" s="33"/>
      <c r="J4234" s="33"/>
      <c r="K4234" s="33"/>
      <c r="L4234" s="33"/>
      <c r="M4234" s="33"/>
      <c r="N4234" s="33"/>
      <c r="O4234" s="33"/>
      <c r="P4234" s="33"/>
      <c r="Q4234" s="33"/>
      <c r="R4234" s="33"/>
      <c r="S4234" s="33"/>
      <c r="T4234" s="33"/>
      <c r="U4234" s="33"/>
      <c r="V4234" s="33"/>
      <c r="W4234" s="33"/>
      <c r="X4234" s="33"/>
      <c r="Y4234" s="33"/>
      <c r="Z4234" s="33"/>
      <c r="AA4234" s="33"/>
      <c r="AB4234" s="33"/>
      <c r="AC4234" s="33"/>
      <c r="AD4234" s="33"/>
      <c r="AE4234" s="33"/>
      <c r="AF4234" s="33"/>
      <c r="AG4234" s="33"/>
      <c r="AH4234" s="33"/>
      <c r="AI4234" s="33"/>
      <c r="AJ4234" s="33"/>
      <c r="AK4234" s="33"/>
    </row>
    <row r="4235">
      <c r="A4235" s="33"/>
      <c r="B4235" s="33"/>
      <c r="C4235" s="33"/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  <c r="Q4235" s="33"/>
      <c r="R4235" s="33"/>
      <c r="S4235" s="33"/>
      <c r="T4235" s="33"/>
      <c r="U4235" s="33"/>
      <c r="V4235" s="33"/>
      <c r="W4235" s="33"/>
      <c r="X4235" s="33"/>
      <c r="Y4235" s="33"/>
      <c r="Z4235" s="33"/>
      <c r="AA4235" s="33"/>
      <c r="AB4235" s="33"/>
      <c r="AC4235" s="33"/>
      <c r="AD4235" s="33"/>
      <c r="AE4235" s="33"/>
      <c r="AF4235" s="33"/>
      <c r="AG4235" s="33"/>
      <c r="AH4235" s="33"/>
      <c r="AI4235" s="33"/>
      <c r="AJ4235" s="33"/>
      <c r="AK4235" s="33"/>
    </row>
    <row r="4236">
      <c r="A4236" s="33"/>
      <c r="B4236" s="33"/>
      <c r="C4236" s="33"/>
      <c r="D4236" s="33"/>
      <c r="E4236" s="33"/>
      <c r="F4236" s="33"/>
      <c r="G4236" s="33"/>
      <c r="H4236" s="33"/>
      <c r="I4236" s="33"/>
      <c r="J4236" s="33"/>
      <c r="K4236" s="33"/>
      <c r="L4236" s="33"/>
      <c r="M4236" s="33"/>
      <c r="N4236" s="33"/>
      <c r="O4236" s="33"/>
      <c r="P4236" s="33"/>
      <c r="Q4236" s="33"/>
      <c r="R4236" s="33"/>
      <c r="S4236" s="33"/>
      <c r="T4236" s="33"/>
      <c r="U4236" s="33"/>
      <c r="V4236" s="33"/>
      <c r="W4236" s="33"/>
      <c r="X4236" s="33"/>
      <c r="Y4236" s="33"/>
      <c r="Z4236" s="33"/>
      <c r="AA4236" s="33"/>
      <c r="AB4236" s="33"/>
      <c r="AC4236" s="33"/>
      <c r="AD4236" s="33"/>
      <c r="AE4236" s="33"/>
      <c r="AF4236" s="33"/>
      <c r="AG4236" s="33"/>
      <c r="AH4236" s="33"/>
      <c r="AI4236" s="33"/>
      <c r="AJ4236" s="33"/>
      <c r="AK4236" s="33"/>
    </row>
    <row r="4237">
      <c r="A4237" s="33"/>
      <c r="B4237" s="33"/>
      <c r="C4237" s="33"/>
      <c r="D4237" s="33"/>
      <c r="E4237" s="33"/>
      <c r="F4237" s="33"/>
      <c r="G4237" s="33"/>
      <c r="H4237" s="33"/>
      <c r="I4237" s="33"/>
      <c r="J4237" s="33"/>
      <c r="K4237" s="33"/>
      <c r="L4237" s="33"/>
      <c r="M4237" s="33"/>
      <c r="N4237" s="33"/>
      <c r="O4237" s="33"/>
      <c r="P4237" s="33"/>
      <c r="Q4237" s="33"/>
      <c r="R4237" s="33"/>
      <c r="S4237" s="33"/>
      <c r="T4237" s="33"/>
      <c r="U4237" s="33"/>
      <c r="V4237" s="33"/>
      <c r="W4237" s="33"/>
      <c r="X4237" s="33"/>
      <c r="Y4237" s="33"/>
      <c r="Z4237" s="33"/>
      <c r="AA4237" s="33"/>
      <c r="AB4237" s="33"/>
      <c r="AC4237" s="33"/>
      <c r="AD4237" s="33"/>
      <c r="AE4237" s="33"/>
      <c r="AF4237" s="33"/>
      <c r="AG4237" s="33"/>
      <c r="AH4237" s="33"/>
      <c r="AI4237" s="33"/>
      <c r="AJ4237" s="33"/>
      <c r="AK4237" s="33"/>
    </row>
    <row r="4238">
      <c r="A4238" s="33"/>
      <c r="B4238" s="33"/>
      <c r="C4238" s="33"/>
      <c r="D4238" s="33"/>
      <c r="E4238" s="33"/>
      <c r="F4238" s="33"/>
      <c r="G4238" s="33"/>
      <c r="H4238" s="33"/>
      <c r="I4238" s="33"/>
      <c r="J4238" s="33"/>
      <c r="K4238" s="33"/>
      <c r="L4238" s="33"/>
      <c r="M4238" s="33"/>
      <c r="N4238" s="33"/>
      <c r="O4238" s="33"/>
      <c r="P4238" s="33"/>
      <c r="Q4238" s="33"/>
      <c r="R4238" s="33"/>
      <c r="S4238" s="33"/>
      <c r="T4238" s="33"/>
      <c r="U4238" s="33"/>
      <c r="V4238" s="33"/>
      <c r="W4238" s="33"/>
      <c r="X4238" s="33"/>
      <c r="Y4238" s="33"/>
      <c r="Z4238" s="33"/>
      <c r="AA4238" s="33"/>
      <c r="AB4238" s="33"/>
      <c r="AC4238" s="33"/>
      <c r="AD4238" s="33"/>
      <c r="AE4238" s="33"/>
      <c r="AF4238" s="33"/>
      <c r="AG4238" s="33"/>
      <c r="AH4238" s="33"/>
      <c r="AI4238" s="33"/>
      <c r="AJ4238" s="33"/>
      <c r="AK4238" s="33"/>
    </row>
    <row r="4239">
      <c r="A4239" s="33"/>
      <c r="B4239" s="33"/>
      <c r="C4239" s="33"/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33"/>
      <c r="V4239" s="33"/>
      <c r="W4239" s="33"/>
      <c r="X4239" s="33"/>
      <c r="Y4239" s="33"/>
      <c r="Z4239" s="33"/>
      <c r="AA4239" s="33"/>
      <c r="AB4239" s="33"/>
      <c r="AC4239" s="33"/>
      <c r="AD4239" s="33"/>
      <c r="AE4239" s="33"/>
      <c r="AF4239" s="33"/>
      <c r="AG4239" s="33"/>
      <c r="AH4239" s="33"/>
      <c r="AI4239" s="33"/>
      <c r="AJ4239" s="33"/>
      <c r="AK4239" s="33"/>
    </row>
    <row r="4240">
      <c r="A4240" s="33"/>
      <c r="B4240" s="33"/>
      <c r="C4240" s="33"/>
      <c r="D4240" s="33"/>
      <c r="E4240" s="33"/>
      <c r="F4240" s="33"/>
      <c r="G4240" s="33"/>
      <c r="H4240" s="33"/>
      <c r="I4240" s="33"/>
      <c r="J4240" s="33"/>
      <c r="K4240" s="33"/>
      <c r="L4240" s="33"/>
      <c r="M4240" s="33"/>
      <c r="N4240" s="33"/>
      <c r="O4240" s="33"/>
      <c r="P4240" s="33"/>
      <c r="Q4240" s="33"/>
      <c r="R4240" s="33"/>
      <c r="S4240" s="33"/>
      <c r="T4240" s="33"/>
      <c r="U4240" s="33"/>
      <c r="V4240" s="33"/>
      <c r="W4240" s="33"/>
      <c r="X4240" s="33"/>
      <c r="Y4240" s="33"/>
      <c r="Z4240" s="33"/>
      <c r="AA4240" s="33"/>
      <c r="AB4240" s="33"/>
      <c r="AC4240" s="33"/>
      <c r="AD4240" s="33"/>
      <c r="AE4240" s="33"/>
      <c r="AF4240" s="33"/>
      <c r="AG4240" s="33"/>
      <c r="AH4240" s="33"/>
      <c r="AI4240" s="33"/>
      <c r="AJ4240" s="33"/>
      <c r="AK4240" s="33"/>
    </row>
    <row r="4241">
      <c r="A4241" s="33"/>
      <c r="B4241" s="33"/>
      <c r="C4241" s="33"/>
      <c r="D4241" s="33"/>
      <c r="E4241" s="33"/>
      <c r="F4241" s="33"/>
      <c r="G4241" s="33"/>
      <c r="H4241" s="33"/>
      <c r="I4241" s="33"/>
      <c r="J4241" s="33"/>
      <c r="K4241" s="33"/>
      <c r="L4241" s="33"/>
      <c r="M4241" s="33"/>
      <c r="N4241" s="33"/>
      <c r="O4241" s="33"/>
      <c r="P4241" s="33"/>
      <c r="Q4241" s="33"/>
      <c r="R4241" s="33"/>
      <c r="S4241" s="33"/>
      <c r="T4241" s="33"/>
      <c r="U4241" s="33"/>
      <c r="V4241" s="33"/>
      <c r="W4241" s="33"/>
      <c r="X4241" s="33"/>
      <c r="Y4241" s="33"/>
      <c r="Z4241" s="33"/>
      <c r="AA4241" s="33"/>
      <c r="AB4241" s="33"/>
      <c r="AC4241" s="33"/>
      <c r="AD4241" s="33"/>
      <c r="AE4241" s="33"/>
      <c r="AF4241" s="33"/>
      <c r="AG4241" s="33"/>
      <c r="AH4241" s="33"/>
      <c r="AI4241" s="33"/>
      <c r="AJ4241" s="33"/>
      <c r="AK4241" s="33"/>
    </row>
    <row r="4242">
      <c r="A4242" s="33"/>
      <c r="B4242" s="33"/>
      <c r="C4242" s="33"/>
      <c r="D4242" s="33"/>
      <c r="E4242" s="33"/>
      <c r="F4242" s="33"/>
      <c r="G4242" s="33"/>
      <c r="H4242" s="33"/>
      <c r="I4242" s="33"/>
      <c r="J4242" s="33"/>
      <c r="K4242" s="33"/>
      <c r="L4242" s="33"/>
      <c r="M4242" s="33"/>
      <c r="N4242" s="33"/>
      <c r="O4242" s="33"/>
      <c r="P4242" s="33"/>
      <c r="Q4242" s="33"/>
      <c r="R4242" s="33"/>
      <c r="S4242" s="33"/>
      <c r="T4242" s="33"/>
      <c r="U4242" s="33"/>
      <c r="V4242" s="33"/>
      <c r="W4242" s="33"/>
      <c r="X4242" s="33"/>
      <c r="Y4242" s="33"/>
      <c r="Z4242" s="33"/>
      <c r="AA4242" s="33"/>
      <c r="AB4242" s="33"/>
      <c r="AC4242" s="33"/>
      <c r="AD4242" s="33"/>
      <c r="AE4242" s="33"/>
      <c r="AF4242" s="33"/>
      <c r="AG4242" s="33"/>
      <c r="AH4242" s="33"/>
      <c r="AI4242" s="33"/>
      <c r="AJ4242" s="33"/>
      <c r="AK4242" s="33"/>
    </row>
    <row r="4243">
      <c r="A4243" s="33"/>
      <c r="B4243" s="33"/>
      <c r="C4243" s="33"/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  <c r="Q4243" s="33"/>
      <c r="R4243" s="33"/>
      <c r="S4243" s="33"/>
      <c r="T4243" s="33"/>
      <c r="U4243" s="33"/>
      <c r="V4243" s="33"/>
      <c r="W4243" s="33"/>
      <c r="X4243" s="33"/>
      <c r="Y4243" s="33"/>
      <c r="Z4243" s="33"/>
      <c r="AA4243" s="33"/>
      <c r="AB4243" s="33"/>
      <c r="AC4243" s="33"/>
      <c r="AD4243" s="33"/>
      <c r="AE4243" s="33"/>
      <c r="AF4243" s="33"/>
      <c r="AG4243" s="33"/>
      <c r="AH4243" s="33"/>
      <c r="AI4243" s="33"/>
      <c r="AJ4243" s="33"/>
      <c r="AK4243" s="33"/>
    </row>
    <row r="4244">
      <c r="A4244" s="33"/>
      <c r="B4244" s="33"/>
      <c r="C4244" s="33"/>
      <c r="D4244" s="33"/>
      <c r="E4244" s="33"/>
      <c r="F4244" s="33"/>
      <c r="G4244" s="33"/>
      <c r="H4244" s="33"/>
      <c r="I4244" s="33"/>
      <c r="J4244" s="33"/>
      <c r="K4244" s="33"/>
      <c r="L4244" s="33"/>
      <c r="M4244" s="33"/>
      <c r="N4244" s="33"/>
      <c r="O4244" s="33"/>
      <c r="P4244" s="33"/>
      <c r="Q4244" s="33"/>
      <c r="R4244" s="33"/>
      <c r="S4244" s="33"/>
      <c r="T4244" s="33"/>
      <c r="U4244" s="33"/>
      <c r="V4244" s="33"/>
      <c r="W4244" s="33"/>
      <c r="X4244" s="33"/>
      <c r="Y4244" s="33"/>
      <c r="Z4244" s="33"/>
      <c r="AA4244" s="33"/>
      <c r="AB4244" s="33"/>
      <c r="AC4244" s="33"/>
      <c r="AD4244" s="33"/>
      <c r="AE4244" s="33"/>
      <c r="AF4244" s="33"/>
      <c r="AG4244" s="33"/>
      <c r="AH4244" s="33"/>
      <c r="AI4244" s="33"/>
      <c r="AJ4244" s="33"/>
      <c r="AK4244" s="33"/>
    </row>
    <row r="4245">
      <c r="A4245" s="33"/>
      <c r="B4245" s="33"/>
      <c r="C4245" s="33"/>
      <c r="D4245" s="33"/>
      <c r="E4245" s="33"/>
      <c r="F4245" s="33"/>
      <c r="G4245" s="33"/>
      <c r="H4245" s="33"/>
      <c r="I4245" s="33"/>
      <c r="J4245" s="33"/>
      <c r="K4245" s="33"/>
      <c r="L4245" s="33"/>
      <c r="M4245" s="33"/>
      <c r="N4245" s="33"/>
      <c r="O4245" s="33"/>
      <c r="P4245" s="33"/>
      <c r="Q4245" s="33"/>
      <c r="R4245" s="33"/>
      <c r="S4245" s="33"/>
      <c r="T4245" s="33"/>
      <c r="U4245" s="33"/>
      <c r="V4245" s="33"/>
      <c r="W4245" s="33"/>
      <c r="X4245" s="33"/>
      <c r="Y4245" s="33"/>
      <c r="Z4245" s="33"/>
      <c r="AA4245" s="33"/>
      <c r="AB4245" s="33"/>
      <c r="AC4245" s="33"/>
      <c r="AD4245" s="33"/>
      <c r="AE4245" s="33"/>
      <c r="AF4245" s="33"/>
      <c r="AG4245" s="33"/>
      <c r="AH4245" s="33"/>
      <c r="AI4245" s="33"/>
      <c r="AJ4245" s="33"/>
      <c r="AK4245" s="33"/>
    </row>
    <row r="4246">
      <c r="A4246" s="33"/>
      <c r="B4246" s="33"/>
      <c r="C4246" s="33"/>
      <c r="D4246" s="33"/>
      <c r="E4246" s="33"/>
      <c r="F4246" s="33"/>
      <c r="G4246" s="33"/>
      <c r="H4246" s="33"/>
      <c r="I4246" s="33"/>
      <c r="J4246" s="33"/>
      <c r="K4246" s="33"/>
      <c r="L4246" s="33"/>
      <c r="M4246" s="33"/>
      <c r="N4246" s="33"/>
      <c r="O4246" s="33"/>
      <c r="P4246" s="33"/>
      <c r="Q4246" s="33"/>
      <c r="R4246" s="33"/>
      <c r="S4246" s="33"/>
      <c r="T4246" s="33"/>
      <c r="U4246" s="33"/>
      <c r="V4246" s="33"/>
      <c r="W4246" s="33"/>
      <c r="X4246" s="33"/>
      <c r="Y4246" s="33"/>
      <c r="Z4246" s="33"/>
      <c r="AA4246" s="33"/>
      <c r="AB4246" s="33"/>
      <c r="AC4246" s="33"/>
      <c r="AD4246" s="33"/>
      <c r="AE4246" s="33"/>
      <c r="AF4246" s="33"/>
      <c r="AG4246" s="33"/>
      <c r="AH4246" s="33"/>
      <c r="AI4246" s="33"/>
      <c r="AJ4246" s="33"/>
      <c r="AK4246" s="33"/>
    </row>
    <row r="4247">
      <c r="A4247" s="33"/>
      <c r="B4247" s="33"/>
      <c r="C4247" s="33"/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  <c r="Q4247" s="33"/>
      <c r="R4247" s="33"/>
      <c r="S4247" s="33"/>
      <c r="T4247" s="33"/>
      <c r="U4247" s="33"/>
      <c r="V4247" s="33"/>
      <c r="W4247" s="33"/>
      <c r="X4247" s="33"/>
      <c r="Y4247" s="33"/>
      <c r="Z4247" s="33"/>
      <c r="AA4247" s="33"/>
      <c r="AB4247" s="33"/>
      <c r="AC4247" s="33"/>
      <c r="AD4247" s="33"/>
      <c r="AE4247" s="33"/>
      <c r="AF4247" s="33"/>
      <c r="AG4247" s="33"/>
      <c r="AH4247" s="33"/>
      <c r="AI4247" s="33"/>
      <c r="AJ4247" s="33"/>
      <c r="AK4247" s="33"/>
    </row>
    <row r="4248">
      <c r="A4248" s="33"/>
      <c r="B4248" s="33"/>
      <c r="C4248" s="33"/>
      <c r="D4248" s="33"/>
      <c r="E4248" s="33"/>
      <c r="F4248" s="33"/>
      <c r="G4248" s="33"/>
      <c r="H4248" s="33"/>
      <c r="I4248" s="33"/>
      <c r="J4248" s="33"/>
      <c r="K4248" s="33"/>
      <c r="L4248" s="33"/>
      <c r="M4248" s="33"/>
      <c r="N4248" s="33"/>
      <c r="O4248" s="33"/>
      <c r="P4248" s="33"/>
      <c r="Q4248" s="33"/>
      <c r="R4248" s="33"/>
      <c r="S4248" s="33"/>
      <c r="T4248" s="33"/>
      <c r="U4248" s="33"/>
      <c r="V4248" s="33"/>
      <c r="W4248" s="33"/>
      <c r="X4248" s="33"/>
      <c r="Y4248" s="33"/>
      <c r="Z4248" s="33"/>
      <c r="AA4248" s="33"/>
      <c r="AB4248" s="33"/>
      <c r="AC4248" s="33"/>
      <c r="AD4248" s="33"/>
      <c r="AE4248" s="33"/>
      <c r="AF4248" s="33"/>
      <c r="AG4248" s="33"/>
      <c r="AH4248" s="33"/>
      <c r="AI4248" s="33"/>
      <c r="AJ4248" s="33"/>
      <c r="AK4248" s="33"/>
    </row>
    <row r="4249">
      <c r="A4249" s="33"/>
      <c r="B4249" s="33"/>
      <c r="C4249" s="33"/>
      <c r="D4249" s="33"/>
      <c r="E4249" s="33"/>
      <c r="F4249" s="33"/>
      <c r="G4249" s="33"/>
      <c r="H4249" s="33"/>
      <c r="I4249" s="33"/>
      <c r="J4249" s="33"/>
      <c r="K4249" s="33"/>
      <c r="L4249" s="33"/>
      <c r="M4249" s="33"/>
      <c r="N4249" s="33"/>
      <c r="O4249" s="33"/>
      <c r="P4249" s="33"/>
      <c r="Q4249" s="33"/>
      <c r="R4249" s="33"/>
      <c r="S4249" s="33"/>
      <c r="T4249" s="33"/>
      <c r="U4249" s="33"/>
      <c r="V4249" s="33"/>
      <c r="W4249" s="33"/>
      <c r="X4249" s="33"/>
      <c r="Y4249" s="33"/>
      <c r="Z4249" s="33"/>
      <c r="AA4249" s="33"/>
      <c r="AB4249" s="33"/>
      <c r="AC4249" s="33"/>
      <c r="AD4249" s="33"/>
      <c r="AE4249" s="33"/>
      <c r="AF4249" s="33"/>
      <c r="AG4249" s="33"/>
      <c r="AH4249" s="33"/>
      <c r="AI4249" s="33"/>
      <c r="AJ4249" s="33"/>
      <c r="AK4249" s="33"/>
    </row>
    <row r="4250">
      <c r="A4250" s="33"/>
      <c r="B4250" s="33"/>
      <c r="C4250" s="33"/>
      <c r="D4250" s="33"/>
      <c r="E4250" s="33"/>
      <c r="F4250" s="33"/>
      <c r="G4250" s="33"/>
      <c r="H4250" s="33"/>
      <c r="I4250" s="33"/>
      <c r="J4250" s="33"/>
      <c r="K4250" s="33"/>
      <c r="L4250" s="33"/>
      <c r="M4250" s="33"/>
      <c r="N4250" s="33"/>
      <c r="O4250" s="33"/>
      <c r="P4250" s="33"/>
      <c r="Q4250" s="33"/>
      <c r="R4250" s="33"/>
      <c r="S4250" s="33"/>
      <c r="T4250" s="33"/>
      <c r="U4250" s="33"/>
      <c r="V4250" s="33"/>
      <c r="W4250" s="33"/>
      <c r="X4250" s="33"/>
      <c r="Y4250" s="33"/>
      <c r="Z4250" s="33"/>
      <c r="AA4250" s="33"/>
      <c r="AB4250" s="33"/>
      <c r="AC4250" s="33"/>
      <c r="AD4250" s="33"/>
      <c r="AE4250" s="33"/>
      <c r="AF4250" s="33"/>
      <c r="AG4250" s="33"/>
      <c r="AH4250" s="33"/>
      <c r="AI4250" s="33"/>
      <c r="AJ4250" s="33"/>
      <c r="AK4250" s="33"/>
    </row>
    <row r="4251">
      <c r="A4251" s="33"/>
      <c r="B4251" s="33"/>
      <c r="C4251" s="33"/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  <c r="Q4251" s="33"/>
      <c r="R4251" s="33"/>
      <c r="S4251" s="33"/>
      <c r="T4251" s="33"/>
      <c r="U4251" s="33"/>
      <c r="V4251" s="33"/>
      <c r="W4251" s="33"/>
      <c r="X4251" s="33"/>
      <c r="Y4251" s="33"/>
      <c r="Z4251" s="33"/>
      <c r="AA4251" s="33"/>
      <c r="AB4251" s="33"/>
      <c r="AC4251" s="33"/>
      <c r="AD4251" s="33"/>
      <c r="AE4251" s="33"/>
      <c r="AF4251" s="33"/>
      <c r="AG4251" s="33"/>
      <c r="AH4251" s="33"/>
      <c r="AI4251" s="33"/>
      <c r="AJ4251" s="33"/>
      <c r="AK4251" s="33"/>
    </row>
    <row r="4252">
      <c r="A4252" s="33"/>
      <c r="B4252" s="33"/>
      <c r="C4252" s="33"/>
      <c r="D4252" s="33"/>
      <c r="E4252" s="33"/>
      <c r="F4252" s="33"/>
      <c r="G4252" s="33"/>
      <c r="H4252" s="33"/>
      <c r="I4252" s="33"/>
      <c r="J4252" s="33"/>
      <c r="K4252" s="33"/>
      <c r="L4252" s="33"/>
      <c r="M4252" s="33"/>
      <c r="N4252" s="33"/>
      <c r="O4252" s="33"/>
      <c r="P4252" s="33"/>
      <c r="Q4252" s="33"/>
      <c r="R4252" s="33"/>
      <c r="S4252" s="33"/>
      <c r="T4252" s="33"/>
      <c r="U4252" s="33"/>
      <c r="V4252" s="33"/>
      <c r="W4252" s="33"/>
      <c r="X4252" s="33"/>
      <c r="Y4252" s="33"/>
      <c r="Z4252" s="33"/>
      <c r="AA4252" s="33"/>
      <c r="AB4252" s="33"/>
      <c r="AC4252" s="33"/>
      <c r="AD4252" s="33"/>
      <c r="AE4252" s="33"/>
      <c r="AF4252" s="33"/>
      <c r="AG4252" s="33"/>
      <c r="AH4252" s="33"/>
      <c r="AI4252" s="33"/>
      <c r="AJ4252" s="33"/>
      <c r="AK4252" s="33"/>
    </row>
    <row r="4253">
      <c r="A4253" s="33"/>
      <c r="B4253" s="33"/>
      <c r="C4253" s="33"/>
      <c r="D4253" s="33"/>
      <c r="E4253" s="33"/>
      <c r="F4253" s="33"/>
      <c r="G4253" s="33"/>
      <c r="H4253" s="33"/>
      <c r="I4253" s="33"/>
      <c r="J4253" s="33"/>
      <c r="K4253" s="33"/>
      <c r="L4253" s="33"/>
      <c r="M4253" s="33"/>
      <c r="N4253" s="33"/>
      <c r="O4253" s="33"/>
      <c r="P4253" s="33"/>
      <c r="Q4253" s="33"/>
      <c r="R4253" s="33"/>
      <c r="S4253" s="33"/>
      <c r="T4253" s="33"/>
      <c r="U4253" s="33"/>
      <c r="V4253" s="33"/>
      <c r="W4253" s="33"/>
      <c r="X4253" s="33"/>
      <c r="Y4253" s="33"/>
      <c r="Z4253" s="33"/>
      <c r="AA4253" s="33"/>
      <c r="AB4253" s="33"/>
      <c r="AC4253" s="33"/>
      <c r="AD4253" s="33"/>
      <c r="AE4253" s="33"/>
      <c r="AF4253" s="33"/>
      <c r="AG4253" s="33"/>
      <c r="AH4253" s="33"/>
      <c r="AI4253" s="33"/>
      <c r="AJ4253" s="33"/>
      <c r="AK4253" s="33"/>
    </row>
    <row r="4254">
      <c r="A4254" s="33"/>
      <c r="B4254" s="33"/>
      <c r="C4254" s="33"/>
      <c r="D4254" s="33"/>
      <c r="E4254" s="33"/>
      <c r="F4254" s="33"/>
      <c r="G4254" s="33"/>
      <c r="H4254" s="33"/>
      <c r="I4254" s="33"/>
      <c r="J4254" s="33"/>
      <c r="K4254" s="33"/>
      <c r="L4254" s="33"/>
      <c r="M4254" s="33"/>
      <c r="N4254" s="33"/>
      <c r="O4254" s="33"/>
      <c r="P4254" s="33"/>
      <c r="Q4254" s="33"/>
      <c r="R4254" s="33"/>
      <c r="S4254" s="33"/>
      <c r="T4254" s="33"/>
      <c r="U4254" s="33"/>
      <c r="V4254" s="33"/>
      <c r="W4254" s="33"/>
      <c r="X4254" s="33"/>
      <c r="Y4254" s="33"/>
      <c r="Z4254" s="33"/>
      <c r="AA4254" s="33"/>
      <c r="AB4254" s="33"/>
      <c r="AC4254" s="33"/>
      <c r="AD4254" s="33"/>
      <c r="AE4254" s="33"/>
      <c r="AF4254" s="33"/>
      <c r="AG4254" s="33"/>
      <c r="AH4254" s="33"/>
      <c r="AI4254" s="33"/>
      <c r="AJ4254" s="33"/>
      <c r="AK4254" s="33"/>
    </row>
    <row r="4255">
      <c r="A4255" s="33"/>
      <c r="B4255" s="33"/>
      <c r="C4255" s="33"/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  <c r="R4255" s="33"/>
      <c r="S4255" s="33"/>
      <c r="T4255" s="33"/>
      <c r="U4255" s="33"/>
      <c r="V4255" s="33"/>
      <c r="W4255" s="33"/>
      <c r="X4255" s="33"/>
      <c r="Y4255" s="33"/>
      <c r="Z4255" s="33"/>
      <c r="AA4255" s="33"/>
      <c r="AB4255" s="33"/>
      <c r="AC4255" s="33"/>
      <c r="AD4255" s="33"/>
      <c r="AE4255" s="33"/>
      <c r="AF4255" s="33"/>
      <c r="AG4255" s="33"/>
      <c r="AH4255" s="33"/>
      <c r="AI4255" s="33"/>
      <c r="AJ4255" s="33"/>
      <c r="AK4255" s="33"/>
    </row>
    <row r="4256">
      <c r="A4256" s="33"/>
      <c r="B4256" s="33"/>
      <c r="C4256" s="33"/>
      <c r="D4256" s="33"/>
      <c r="E4256" s="33"/>
      <c r="F4256" s="33"/>
      <c r="G4256" s="33"/>
      <c r="H4256" s="33"/>
      <c r="I4256" s="33"/>
      <c r="J4256" s="33"/>
      <c r="K4256" s="33"/>
      <c r="L4256" s="33"/>
      <c r="M4256" s="33"/>
      <c r="N4256" s="33"/>
      <c r="O4256" s="33"/>
      <c r="P4256" s="33"/>
      <c r="Q4256" s="33"/>
      <c r="R4256" s="33"/>
      <c r="S4256" s="33"/>
      <c r="T4256" s="33"/>
      <c r="U4256" s="33"/>
      <c r="V4256" s="33"/>
      <c r="W4256" s="33"/>
      <c r="X4256" s="33"/>
      <c r="Y4256" s="33"/>
      <c r="Z4256" s="33"/>
      <c r="AA4256" s="33"/>
      <c r="AB4256" s="33"/>
      <c r="AC4256" s="33"/>
      <c r="AD4256" s="33"/>
      <c r="AE4256" s="33"/>
      <c r="AF4256" s="33"/>
      <c r="AG4256" s="33"/>
      <c r="AH4256" s="33"/>
      <c r="AI4256" s="33"/>
      <c r="AJ4256" s="33"/>
      <c r="AK4256" s="33"/>
    </row>
    <row r="4257">
      <c r="A4257" s="33"/>
      <c r="B4257" s="33"/>
      <c r="C4257" s="33"/>
      <c r="D4257" s="33"/>
      <c r="E4257" s="33"/>
      <c r="F4257" s="33"/>
      <c r="G4257" s="33"/>
      <c r="H4257" s="33"/>
      <c r="I4257" s="33"/>
      <c r="J4257" s="33"/>
      <c r="K4257" s="33"/>
      <c r="L4257" s="33"/>
      <c r="M4257" s="33"/>
      <c r="N4257" s="33"/>
      <c r="O4257" s="33"/>
      <c r="P4257" s="33"/>
      <c r="Q4257" s="33"/>
      <c r="R4257" s="33"/>
      <c r="S4257" s="33"/>
      <c r="T4257" s="33"/>
      <c r="U4257" s="33"/>
      <c r="V4257" s="33"/>
      <c r="W4257" s="33"/>
      <c r="X4257" s="33"/>
      <c r="Y4257" s="33"/>
      <c r="Z4257" s="33"/>
      <c r="AA4257" s="33"/>
      <c r="AB4257" s="33"/>
      <c r="AC4257" s="33"/>
      <c r="AD4257" s="33"/>
      <c r="AE4257" s="33"/>
      <c r="AF4257" s="33"/>
      <c r="AG4257" s="33"/>
      <c r="AH4257" s="33"/>
      <c r="AI4257" s="33"/>
      <c r="AJ4257" s="33"/>
      <c r="AK4257" s="33"/>
    </row>
    <row r="4258">
      <c r="A4258" s="33"/>
      <c r="B4258" s="33"/>
      <c r="C4258" s="33"/>
      <c r="D4258" s="33"/>
      <c r="E4258" s="33"/>
      <c r="F4258" s="33"/>
      <c r="G4258" s="33"/>
      <c r="H4258" s="33"/>
      <c r="I4258" s="33"/>
      <c r="J4258" s="33"/>
      <c r="K4258" s="33"/>
      <c r="L4258" s="33"/>
      <c r="M4258" s="33"/>
      <c r="N4258" s="33"/>
      <c r="O4258" s="33"/>
      <c r="P4258" s="33"/>
      <c r="Q4258" s="33"/>
      <c r="R4258" s="33"/>
      <c r="S4258" s="33"/>
      <c r="T4258" s="33"/>
      <c r="U4258" s="33"/>
      <c r="V4258" s="33"/>
      <c r="W4258" s="33"/>
      <c r="X4258" s="33"/>
      <c r="Y4258" s="33"/>
      <c r="Z4258" s="33"/>
      <c r="AA4258" s="33"/>
      <c r="AB4258" s="33"/>
      <c r="AC4258" s="33"/>
      <c r="AD4258" s="33"/>
      <c r="AE4258" s="33"/>
      <c r="AF4258" s="33"/>
      <c r="AG4258" s="33"/>
      <c r="AH4258" s="33"/>
      <c r="AI4258" s="33"/>
      <c r="AJ4258" s="33"/>
      <c r="AK4258" s="33"/>
    </row>
    <row r="4259">
      <c r="A4259" s="33"/>
      <c r="B4259" s="33"/>
      <c r="C4259" s="33"/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  <c r="Q4259" s="33"/>
      <c r="R4259" s="33"/>
      <c r="S4259" s="33"/>
      <c r="T4259" s="33"/>
      <c r="U4259" s="33"/>
      <c r="V4259" s="33"/>
      <c r="W4259" s="33"/>
      <c r="X4259" s="33"/>
      <c r="Y4259" s="33"/>
      <c r="Z4259" s="33"/>
      <c r="AA4259" s="33"/>
      <c r="AB4259" s="33"/>
      <c r="AC4259" s="33"/>
      <c r="AD4259" s="33"/>
      <c r="AE4259" s="33"/>
      <c r="AF4259" s="33"/>
      <c r="AG4259" s="33"/>
      <c r="AH4259" s="33"/>
      <c r="AI4259" s="33"/>
      <c r="AJ4259" s="33"/>
      <c r="AK4259" s="33"/>
    </row>
    <row r="4260">
      <c r="A4260" s="33"/>
      <c r="B4260" s="33"/>
      <c r="C4260" s="33"/>
      <c r="D4260" s="33"/>
      <c r="E4260" s="33"/>
      <c r="F4260" s="33"/>
      <c r="G4260" s="33"/>
      <c r="H4260" s="33"/>
      <c r="I4260" s="33"/>
      <c r="J4260" s="33"/>
      <c r="K4260" s="33"/>
      <c r="L4260" s="33"/>
      <c r="M4260" s="33"/>
      <c r="N4260" s="33"/>
      <c r="O4260" s="33"/>
      <c r="P4260" s="33"/>
      <c r="Q4260" s="33"/>
      <c r="R4260" s="33"/>
      <c r="S4260" s="33"/>
      <c r="T4260" s="33"/>
      <c r="U4260" s="33"/>
      <c r="V4260" s="33"/>
      <c r="W4260" s="33"/>
      <c r="X4260" s="33"/>
      <c r="Y4260" s="33"/>
      <c r="Z4260" s="33"/>
      <c r="AA4260" s="33"/>
      <c r="AB4260" s="33"/>
      <c r="AC4260" s="33"/>
      <c r="AD4260" s="33"/>
      <c r="AE4260" s="33"/>
      <c r="AF4260" s="33"/>
      <c r="AG4260" s="33"/>
      <c r="AH4260" s="33"/>
      <c r="AI4260" s="33"/>
      <c r="AJ4260" s="33"/>
      <c r="AK4260" s="33"/>
    </row>
    <row r="4261">
      <c r="A4261" s="33"/>
      <c r="B4261" s="33"/>
      <c r="C4261" s="33"/>
      <c r="D4261" s="33"/>
      <c r="E4261" s="33"/>
      <c r="F4261" s="33"/>
      <c r="G4261" s="33"/>
      <c r="H4261" s="33"/>
      <c r="I4261" s="33"/>
      <c r="J4261" s="33"/>
      <c r="K4261" s="33"/>
      <c r="L4261" s="33"/>
      <c r="M4261" s="33"/>
      <c r="N4261" s="33"/>
      <c r="O4261" s="33"/>
      <c r="P4261" s="33"/>
      <c r="Q4261" s="33"/>
      <c r="R4261" s="33"/>
      <c r="S4261" s="33"/>
      <c r="T4261" s="33"/>
      <c r="U4261" s="33"/>
      <c r="V4261" s="33"/>
      <c r="W4261" s="33"/>
      <c r="X4261" s="33"/>
      <c r="Y4261" s="33"/>
      <c r="Z4261" s="33"/>
      <c r="AA4261" s="33"/>
      <c r="AB4261" s="33"/>
      <c r="AC4261" s="33"/>
      <c r="AD4261" s="33"/>
      <c r="AE4261" s="33"/>
      <c r="AF4261" s="33"/>
      <c r="AG4261" s="33"/>
      <c r="AH4261" s="33"/>
      <c r="AI4261" s="33"/>
      <c r="AJ4261" s="33"/>
      <c r="AK4261" s="33"/>
    </row>
    <row r="4262">
      <c r="A4262" s="33"/>
      <c r="B4262" s="33"/>
      <c r="C4262" s="33"/>
      <c r="D4262" s="33"/>
      <c r="E4262" s="33"/>
      <c r="F4262" s="33"/>
      <c r="G4262" s="33"/>
      <c r="H4262" s="33"/>
      <c r="I4262" s="33"/>
      <c r="J4262" s="33"/>
      <c r="K4262" s="33"/>
      <c r="L4262" s="33"/>
      <c r="M4262" s="33"/>
      <c r="N4262" s="33"/>
      <c r="O4262" s="33"/>
      <c r="P4262" s="33"/>
      <c r="Q4262" s="33"/>
      <c r="R4262" s="33"/>
      <c r="S4262" s="33"/>
      <c r="T4262" s="33"/>
      <c r="U4262" s="33"/>
      <c r="V4262" s="33"/>
      <c r="W4262" s="33"/>
      <c r="X4262" s="33"/>
      <c r="Y4262" s="33"/>
      <c r="Z4262" s="33"/>
      <c r="AA4262" s="33"/>
      <c r="AB4262" s="33"/>
      <c r="AC4262" s="33"/>
      <c r="AD4262" s="33"/>
      <c r="AE4262" s="33"/>
      <c r="AF4262" s="33"/>
      <c r="AG4262" s="33"/>
      <c r="AH4262" s="33"/>
      <c r="AI4262" s="33"/>
      <c r="AJ4262" s="33"/>
      <c r="AK4262" s="33"/>
    </row>
    <row r="4263">
      <c r="A4263" s="33"/>
      <c r="B4263" s="33"/>
      <c r="C4263" s="33"/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  <c r="Q4263" s="33"/>
      <c r="R4263" s="33"/>
      <c r="S4263" s="33"/>
      <c r="T4263" s="33"/>
      <c r="U4263" s="33"/>
      <c r="V4263" s="33"/>
      <c r="W4263" s="33"/>
      <c r="X4263" s="33"/>
      <c r="Y4263" s="33"/>
      <c r="Z4263" s="33"/>
      <c r="AA4263" s="33"/>
      <c r="AB4263" s="33"/>
      <c r="AC4263" s="33"/>
      <c r="AD4263" s="33"/>
      <c r="AE4263" s="33"/>
      <c r="AF4263" s="33"/>
      <c r="AG4263" s="33"/>
      <c r="AH4263" s="33"/>
      <c r="AI4263" s="33"/>
      <c r="AJ4263" s="33"/>
      <c r="AK4263" s="33"/>
    </row>
    <row r="4264">
      <c r="A4264" s="33"/>
      <c r="B4264" s="33"/>
      <c r="C4264" s="33"/>
      <c r="D4264" s="33"/>
      <c r="E4264" s="33"/>
      <c r="F4264" s="33"/>
      <c r="G4264" s="33"/>
      <c r="H4264" s="33"/>
      <c r="I4264" s="33"/>
      <c r="J4264" s="33"/>
      <c r="K4264" s="33"/>
      <c r="L4264" s="33"/>
      <c r="M4264" s="33"/>
      <c r="N4264" s="33"/>
      <c r="O4264" s="33"/>
      <c r="P4264" s="33"/>
      <c r="Q4264" s="33"/>
      <c r="R4264" s="33"/>
      <c r="S4264" s="33"/>
      <c r="T4264" s="33"/>
      <c r="U4264" s="33"/>
      <c r="V4264" s="33"/>
      <c r="W4264" s="33"/>
      <c r="X4264" s="33"/>
      <c r="Y4264" s="33"/>
      <c r="Z4264" s="33"/>
      <c r="AA4264" s="33"/>
      <c r="AB4264" s="33"/>
      <c r="AC4264" s="33"/>
      <c r="AD4264" s="33"/>
      <c r="AE4264" s="33"/>
      <c r="AF4264" s="33"/>
      <c r="AG4264" s="33"/>
      <c r="AH4264" s="33"/>
      <c r="AI4264" s="33"/>
      <c r="AJ4264" s="33"/>
      <c r="AK4264" s="33"/>
    </row>
    <row r="4265">
      <c r="A4265" s="33"/>
      <c r="B4265" s="33"/>
      <c r="C4265" s="33"/>
      <c r="D4265" s="33"/>
      <c r="E4265" s="33"/>
      <c r="F4265" s="33"/>
      <c r="G4265" s="33"/>
      <c r="H4265" s="33"/>
      <c r="I4265" s="33"/>
      <c r="J4265" s="33"/>
      <c r="K4265" s="33"/>
      <c r="L4265" s="33"/>
      <c r="M4265" s="33"/>
      <c r="N4265" s="33"/>
      <c r="O4265" s="33"/>
      <c r="P4265" s="33"/>
      <c r="Q4265" s="33"/>
      <c r="R4265" s="33"/>
      <c r="S4265" s="33"/>
      <c r="T4265" s="33"/>
      <c r="U4265" s="33"/>
      <c r="V4265" s="33"/>
      <c r="W4265" s="33"/>
      <c r="X4265" s="33"/>
      <c r="Y4265" s="33"/>
      <c r="Z4265" s="33"/>
      <c r="AA4265" s="33"/>
      <c r="AB4265" s="33"/>
      <c r="AC4265" s="33"/>
      <c r="AD4265" s="33"/>
      <c r="AE4265" s="33"/>
      <c r="AF4265" s="33"/>
      <c r="AG4265" s="33"/>
      <c r="AH4265" s="33"/>
      <c r="AI4265" s="33"/>
      <c r="AJ4265" s="33"/>
      <c r="AK4265" s="33"/>
    </row>
    <row r="4266">
      <c r="A4266" s="33"/>
      <c r="B4266" s="33"/>
      <c r="C4266" s="33"/>
      <c r="D4266" s="33"/>
      <c r="E4266" s="33"/>
      <c r="F4266" s="33"/>
      <c r="G4266" s="33"/>
      <c r="H4266" s="33"/>
      <c r="I4266" s="33"/>
      <c r="J4266" s="33"/>
      <c r="K4266" s="33"/>
      <c r="L4266" s="33"/>
      <c r="M4266" s="33"/>
      <c r="N4266" s="33"/>
      <c r="O4266" s="33"/>
      <c r="P4266" s="33"/>
      <c r="Q4266" s="33"/>
      <c r="R4266" s="33"/>
      <c r="S4266" s="33"/>
      <c r="T4266" s="33"/>
      <c r="U4266" s="33"/>
      <c r="V4266" s="33"/>
      <c r="W4266" s="33"/>
      <c r="X4266" s="33"/>
      <c r="Y4266" s="33"/>
      <c r="Z4266" s="33"/>
      <c r="AA4266" s="33"/>
      <c r="AB4266" s="33"/>
      <c r="AC4266" s="33"/>
      <c r="AD4266" s="33"/>
      <c r="AE4266" s="33"/>
      <c r="AF4266" s="33"/>
      <c r="AG4266" s="33"/>
      <c r="AH4266" s="33"/>
      <c r="AI4266" s="33"/>
      <c r="AJ4266" s="33"/>
      <c r="AK4266" s="33"/>
    </row>
    <row r="4267">
      <c r="A4267" s="33"/>
      <c r="B4267" s="33"/>
      <c r="C4267" s="33"/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  <c r="Q4267" s="33"/>
      <c r="R4267" s="33"/>
      <c r="S4267" s="33"/>
      <c r="T4267" s="33"/>
      <c r="U4267" s="33"/>
      <c r="V4267" s="33"/>
      <c r="W4267" s="33"/>
      <c r="X4267" s="33"/>
      <c r="Y4267" s="33"/>
      <c r="Z4267" s="33"/>
      <c r="AA4267" s="33"/>
      <c r="AB4267" s="33"/>
      <c r="AC4267" s="33"/>
      <c r="AD4267" s="33"/>
      <c r="AE4267" s="33"/>
      <c r="AF4267" s="33"/>
      <c r="AG4267" s="33"/>
      <c r="AH4267" s="33"/>
      <c r="AI4267" s="33"/>
      <c r="AJ4267" s="33"/>
      <c r="AK4267" s="33"/>
    </row>
    <row r="4268">
      <c r="A4268" s="33"/>
      <c r="B4268" s="33"/>
      <c r="C4268" s="33"/>
      <c r="D4268" s="33"/>
      <c r="E4268" s="33"/>
      <c r="F4268" s="33"/>
      <c r="G4268" s="33"/>
      <c r="H4268" s="33"/>
      <c r="I4268" s="33"/>
      <c r="J4268" s="33"/>
      <c r="K4268" s="33"/>
      <c r="L4268" s="33"/>
      <c r="M4268" s="33"/>
      <c r="N4268" s="33"/>
      <c r="O4268" s="33"/>
      <c r="P4268" s="33"/>
      <c r="Q4268" s="33"/>
      <c r="R4268" s="33"/>
      <c r="S4268" s="33"/>
      <c r="T4268" s="33"/>
      <c r="U4268" s="33"/>
      <c r="V4268" s="33"/>
      <c r="W4268" s="33"/>
      <c r="X4268" s="33"/>
      <c r="Y4268" s="33"/>
      <c r="Z4268" s="33"/>
      <c r="AA4268" s="33"/>
      <c r="AB4268" s="33"/>
      <c r="AC4268" s="33"/>
      <c r="AD4268" s="33"/>
      <c r="AE4268" s="33"/>
      <c r="AF4268" s="33"/>
      <c r="AG4268" s="33"/>
      <c r="AH4268" s="33"/>
      <c r="AI4268" s="33"/>
      <c r="AJ4268" s="33"/>
      <c r="AK4268" s="33"/>
    </row>
    <row r="4269">
      <c r="A4269" s="33"/>
      <c r="B4269" s="33"/>
      <c r="C4269" s="33"/>
      <c r="D4269" s="33"/>
      <c r="E4269" s="33"/>
      <c r="F4269" s="33"/>
      <c r="G4269" s="33"/>
      <c r="H4269" s="33"/>
      <c r="I4269" s="33"/>
      <c r="J4269" s="33"/>
      <c r="K4269" s="33"/>
      <c r="L4269" s="33"/>
      <c r="M4269" s="33"/>
      <c r="N4269" s="33"/>
      <c r="O4269" s="33"/>
      <c r="P4269" s="33"/>
      <c r="Q4269" s="33"/>
      <c r="R4269" s="33"/>
      <c r="S4269" s="33"/>
      <c r="T4269" s="33"/>
      <c r="U4269" s="33"/>
      <c r="V4269" s="33"/>
      <c r="W4269" s="33"/>
      <c r="X4269" s="33"/>
      <c r="Y4269" s="33"/>
      <c r="Z4269" s="33"/>
      <c r="AA4269" s="33"/>
      <c r="AB4269" s="33"/>
      <c r="AC4269" s="33"/>
      <c r="AD4269" s="33"/>
      <c r="AE4269" s="33"/>
      <c r="AF4269" s="33"/>
      <c r="AG4269" s="33"/>
      <c r="AH4269" s="33"/>
      <c r="AI4269" s="33"/>
      <c r="AJ4269" s="33"/>
      <c r="AK4269" s="33"/>
    </row>
    <row r="4270">
      <c r="A4270" s="33"/>
      <c r="B4270" s="33"/>
      <c r="C4270" s="33"/>
      <c r="D4270" s="33"/>
      <c r="E4270" s="33"/>
      <c r="F4270" s="33"/>
      <c r="G4270" s="33"/>
      <c r="H4270" s="33"/>
      <c r="I4270" s="33"/>
      <c r="J4270" s="33"/>
      <c r="K4270" s="33"/>
      <c r="L4270" s="33"/>
      <c r="M4270" s="33"/>
      <c r="N4270" s="33"/>
      <c r="O4270" s="33"/>
      <c r="P4270" s="33"/>
      <c r="Q4270" s="33"/>
      <c r="R4270" s="33"/>
      <c r="S4270" s="33"/>
      <c r="T4270" s="33"/>
      <c r="U4270" s="33"/>
      <c r="V4270" s="33"/>
      <c r="W4270" s="33"/>
      <c r="X4270" s="33"/>
      <c r="Y4270" s="33"/>
      <c r="Z4270" s="33"/>
      <c r="AA4270" s="33"/>
      <c r="AB4270" s="33"/>
      <c r="AC4270" s="33"/>
      <c r="AD4270" s="33"/>
      <c r="AE4270" s="33"/>
      <c r="AF4270" s="33"/>
      <c r="AG4270" s="33"/>
      <c r="AH4270" s="33"/>
      <c r="AI4270" s="33"/>
      <c r="AJ4270" s="33"/>
      <c r="AK4270" s="33"/>
    </row>
    <row r="4271">
      <c r="A4271" s="33"/>
      <c r="B4271" s="33"/>
      <c r="C4271" s="33"/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3"/>
      <c r="S4271" s="33"/>
      <c r="T4271" s="33"/>
      <c r="U4271" s="33"/>
      <c r="V4271" s="33"/>
      <c r="W4271" s="33"/>
      <c r="X4271" s="33"/>
      <c r="Y4271" s="33"/>
      <c r="Z4271" s="33"/>
      <c r="AA4271" s="33"/>
      <c r="AB4271" s="33"/>
      <c r="AC4271" s="33"/>
      <c r="AD4271" s="33"/>
      <c r="AE4271" s="33"/>
      <c r="AF4271" s="33"/>
      <c r="AG4271" s="33"/>
      <c r="AH4271" s="33"/>
      <c r="AI4271" s="33"/>
      <c r="AJ4271" s="33"/>
      <c r="AK4271" s="33"/>
    </row>
    <row r="4272">
      <c r="A4272" s="33"/>
      <c r="B4272" s="33"/>
      <c r="C4272" s="33"/>
      <c r="D4272" s="33"/>
      <c r="E4272" s="33"/>
      <c r="F4272" s="33"/>
      <c r="G4272" s="33"/>
      <c r="H4272" s="33"/>
      <c r="I4272" s="33"/>
      <c r="J4272" s="33"/>
      <c r="K4272" s="33"/>
      <c r="L4272" s="33"/>
      <c r="M4272" s="33"/>
      <c r="N4272" s="33"/>
      <c r="O4272" s="33"/>
      <c r="P4272" s="33"/>
      <c r="Q4272" s="33"/>
      <c r="R4272" s="33"/>
      <c r="S4272" s="33"/>
      <c r="T4272" s="33"/>
      <c r="U4272" s="33"/>
      <c r="V4272" s="33"/>
      <c r="W4272" s="33"/>
      <c r="X4272" s="33"/>
      <c r="Y4272" s="33"/>
      <c r="Z4272" s="33"/>
      <c r="AA4272" s="33"/>
      <c r="AB4272" s="33"/>
      <c r="AC4272" s="33"/>
      <c r="AD4272" s="33"/>
      <c r="AE4272" s="33"/>
      <c r="AF4272" s="33"/>
      <c r="AG4272" s="33"/>
      <c r="AH4272" s="33"/>
      <c r="AI4272" s="33"/>
      <c r="AJ4272" s="33"/>
      <c r="AK4272" s="33"/>
    </row>
    <row r="4273">
      <c r="A4273" s="33"/>
      <c r="B4273" s="33"/>
      <c r="C4273" s="33"/>
      <c r="D4273" s="33"/>
      <c r="E4273" s="33"/>
      <c r="F4273" s="33"/>
      <c r="G4273" s="33"/>
      <c r="H4273" s="33"/>
      <c r="I4273" s="33"/>
      <c r="J4273" s="33"/>
      <c r="K4273" s="33"/>
      <c r="L4273" s="33"/>
      <c r="M4273" s="33"/>
      <c r="N4273" s="33"/>
      <c r="O4273" s="33"/>
      <c r="P4273" s="33"/>
      <c r="Q4273" s="33"/>
      <c r="R4273" s="33"/>
      <c r="S4273" s="33"/>
      <c r="T4273" s="33"/>
      <c r="U4273" s="33"/>
      <c r="V4273" s="33"/>
      <c r="W4273" s="33"/>
      <c r="X4273" s="33"/>
      <c r="Y4273" s="33"/>
      <c r="Z4273" s="33"/>
      <c r="AA4273" s="33"/>
      <c r="AB4273" s="33"/>
      <c r="AC4273" s="33"/>
      <c r="AD4273" s="33"/>
      <c r="AE4273" s="33"/>
      <c r="AF4273" s="33"/>
      <c r="AG4273" s="33"/>
      <c r="AH4273" s="33"/>
      <c r="AI4273" s="33"/>
      <c r="AJ4273" s="33"/>
      <c r="AK4273" s="33"/>
    </row>
    <row r="4274">
      <c r="A4274" s="33"/>
      <c r="B4274" s="33"/>
      <c r="C4274" s="33"/>
      <c r="D4274" s="33"/>
      <c r="E4274" s="33"/>
      <c r="F4274" s="33"/>
      <c r="G4274" s="33"/>
      <c r="H4274" s="33"/>
      <c r="I4274" s="33"/>
      <c r="J4274" s="33"/>
      <c r="K4274" s="33"/>
      <c r="L4274" s="33"/>
      <c r="M4274" s="33"/>
      <c r="N4274" s="33"/>
      <c r="O4274" s="33"/>
      <c r="P4274" s="33"/>
      <c r="Q4274" s="33"/>
      <c r="R4274" s="33"/>
      <c r="S4274" s="33"/>
      <c r="T4274" s="33"/>
      <c r="U4274" s="33"/>
      <c r="V4274" s="33"/>
      <c r="W4274" s="33"/>
      <c r="X4274" s="33"/>
      <c r="Y4274" s="33"/>
      <c r="Z4274" s="33"/>
      <c r="AA4274" s="33"/>
      <c r="AB4274" s="33"/>
      <c r="AC4274" s="33"/>
      <c r="AD4274" s="33"/>
      <c r="AE4274" s="33"/>
      <c r="AF4274" s="33"/>
      <c r="AG4274" s="33"/>
      <c r="AH4274" s="33"/>
      <c r="AI4274" s="33"/>
      <c r="AJ4274" s="33"/>
      <c r="AK4274" s="33"/>
    </row>
    <row r="4275">
      <c r="A4275" s="33"/>
      <c r="B4275" s="33"/>
      <c r="C4275" s="33"/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  <c r="Q4275" s="33"/>
      <c r="R4275" s="33"/>
      <c r="S4275" s="33"/>
      <c r="T4275" s="33"/>
      <c r="U4275" s="33"/>
      <c r="V4275" s="33"/>
      <c r="W4275" s="33"/>
      <c r="X4275" s="33"/>
      <c r="Y4275" s="33"/>
      <c r="Z4275" s="33"/>
      <c r="AA4275" s="33"/>
      <c r="AB4275" s="33"/>
      <c r="AC4275" s="33"/>
      <c r="AD4275" s="33"/>
      <c r="AE4275" s="33"/>
      <c r="AF4275" s="33"/>
      <c r="AG4275" s="33"/>
      <c r="AH4275" s="33"/>
      <c r="AI4275" s="33"/>
      <c r="AJ4275" s="33"/>
      <c r="AK4275" s="33"/>
    </row>
    <row r="4276">
      <c r="A4276" s="33"/>
      <c r="B4276" s="33"/>
      <c r="C4276" s="33"/>
      <c r="D4276" s="33"/>
      <c r="E4276" s="33"/>
      <c r="F4276" s="33"/>
      <c r="G4276" s="33"/>
      <c r="H4276" s="33"/>
      <c r="I4276" s="33"/>
      <c r="J4276" s="33"/>
      <c r="K4276" s="33"/>
      <c r="L4276" s="33"/>
      <c r="M4276" s="33"/>
      <c r="N4276" s="33"/>
      <c r="O4276" s="33"/>
      <c r="P4276" s="33"/>
      <c r="Q4276" s="33"/>
      <c r="R4276" s="33"/>
      <c r="S4276" s="33"/>
      <c r="T4276" s="33"/>
      <c r="U4276" s="33"/>
      <c r="V4276" s="33"/>
      <c r="W4276" s="33"/>
      <c r="X4276" s="33"/>
      <c r="Y4276" s="33"/>
      <c r="Z4276" s="33"/>
      <c r="AA4276" s="33"/>
      <c r="AB4276" s="33"/>
      <c r="AC4276" s="33"/>
      <c r="AD4276" s="33"/>
      <c r="AE4276" s="33"/>
      <c r="AF4276" s="33"/>
      <c r="AG4276" s="33"/>
      <c r="AH4276" s="33"/>
      <c r="AI4276" s="33"/>
      <c r="AJ4276" s="33"/>
      <c r="AK4276" s="33"/>
    </row>
    <row r="4277">
      <c r="A4277" s="33"/>
      <c r="B4277" s="33"/>
      <c r="C4277" s="33"/>
      <c r="D4277" s="33"/>
      <c r="E4277" s="33"/>
      <c r="F4277" s="33"/>
      <c r="G4277" s="33"/>
      <c r="H4277" s="33"/>
      <c r="I4277" s="33"/>
      <c r="J4277" s="33"/>
      <c r="K4277" s="33"/>
      <c r="L4277" s="33"/>
      <c r="M4277" s="33"/>
      <c r="N4277" s="33"/>
      <c r="O4277" s="33"/>
      <c r="P4277" s="33"/>
      <c r="Q4277" s="33"/>
      <c r="R4277" s="33"/>
      <c r="S4277" s="33"/>
      <c r="T4277" s="33"/>
      <c r="U4277" s="33"/>
      <c r="V4277" s="33"/>
      <c r="W4277" s="33"/>
      <c r="X4277" s="33"/>
      <c r="Y4277" s="33"/>
      <c r="Z4277" s="33"/>
      <c r="AA4277" s="33"/>
      <c r="AB4277" s="33"/>
      <c r="AC4277" s="33"/>
      <c r="AD4277" s="33"/>
      <c r="AE4277" s="33"/>
      <c r="AF4277" s="33"/>
      <c r="AG4277" s="33"/>
      <c r="AH4277" s="33"/>
      <c r="AI4277" s="33"/>
      <c r="AJ4277" s="33"/>
      <c r="AK4277" s="33"/>
    </row>
    <row r="4278">
      <c r="A4278" s="33"/>
      <c r="B4278" s="33"/>
      <c r="C4278" s="33"/>
      <c r="D4278" s="33"/>
      <c r="E4278" s="33"/>
      <c r="F4278" s="33"/>
      <c r="G4278" s="33"/>
      <c r="H4278" s="33"/>
      <c r="I4278" s="33"/>
      <c r="J4278" s="33"/>
      <c r="K4278" s="33"/>
      <c r="L4278" s="33"/>
      <c r="M4278" s="33"/>
      <c r="N4278" s="33"/>
      <c r="O4278" s="33"/>
      <c r="P4278" s="33"/>
      <c r="Q4278" s="33"/>
      <c r="R4278" s="33"/>
      <c r="S4278" s="33"/>
      <c r="T4278" s="33"/>
      <c r="U4278" s="33"/>
      <c r="V4278" s="33"/>
      <c r="W4278" s="33"/>
      <c r="X4278" s="33"/>
      <c r="Y4278" s="33"/>
      <c r="Z4278" s="33"/>
      <c r="AA4278" s="33"/>
      <c r="AB4278" s="33"/>
      <c r="AC4278" s="33"/>
      <c r="AD4278" s="33"/>
      <c r="AE4278" s="33"/>
      <c r="AF4278" s="33"/>
      <c r="AG4278" s="33"/>
      <c r="AH4278" s="33"/>
      <c r="AI4278" s="33"/>
      <c r="AJ4278" s="33"/>
      <c r="AK4278" s="33"/>
    </row>
    <row r="4279">
      <c r="A4279" s="33"/>
      <c r="B4279" s="33"/>
      <c r="C4279" s="33"/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  <c r="Q4279" s="33"/>
      <c r="R4279" s="33"/>
      <c r="S4279" s="33"/>
      <c r="T4279" s="33"/>
      <c r="U4279" s="33"/>
      <c r="V4279" s="33"/>
      <c r="W4279" s="33"/>
      <c r="X4279" s="33"/>
      <c r="Y4279" s="33"/>
      <c r="Z4279" s="33"/>
      <c r="AA4279" s="33"/>
      <c r="AB4279" s="33"/>
      <c r="AC4279" s="33"/>
      <c r="AD4279" s="33"/>
      <c r="AE4279" s="33"/>
      <c r="AF4279" s="33"/>
      <c r="AG4279" s="33"/>
      <c r="AH4279" s="33"/>
      <c r="AI4279" s="33"/>
      <c r="AJ4279" s="33"/>
      <c r="AK4279" s="33"/>
    </row>
    <row r="4280">
      <c r="A4280" s="33"/>
      <c r="B4280" s="33"/>
      <c r="C4280" s="33"/>
      <c r="D4280" s="33"/>
      <c r="E4280" s="33"/>
      <c r="F4280" s="33"/>
      <c r="G4280" s="33"/>
      <c r="H4280" s="33"/>
      <c r="I4280" s="33"/>
      <c r="J4280" s="33"/>
      <c r="K4280" s="33"/>
      <c r="L4280" s="33"/>
      <c r="M4280" s="33"/>
      <c r="N4280" s="33"/>
      <c r="O4280" s="33"/>
      <c r="P4280" s="33"/>
      <c r="Q4280" s="33"/>
      <c r="R4280" s="33"/>
      <c r="S4280" s="33"/>
      <c r="T4280" s="33"/>
      <c r="U4280" s="33"/>
      <c r="V4280" s="33"/>
      <c r="W4280" s="33"/>
      <c r="X4280" s="33"/>
      <c r="Y4280" s="33"/>
      <c r="Z4280" s="33"/>
      <c r="AA4280" s="33"/>
      <c r="AB4280" s="33"/>
      <c r="AC4280" s="33"/>
      <c r="AD4280" s="33"/>
      <c r="AE4280" s="33"/>
      <c r="AF4280" s="33"/>
      <c r="AG4280" s="33"/>
      <c r="AH4280" s="33"/>
      <c r="AI4280" s="33"/>
      <c r="AJ4280" s="33"/>
      <c r="AK4280" s="33"/>
    </row>
    <row r="4281">
      <c r="A4281" s="33"/>
      <c r="B4281" s="33"/>
      <c r="C4281" s="33"/>
      <c r="D4281" s="33"/>
      <c r="E4281" s="33"/>
      <c r="F4281" s="33"/>
      <c r="G4281" s="33"/>
      <c r="H4281" s="33"/>
      <c r="I4281" s="33"/>
      <c r="J4281" s="33"/>
      <c r="K4281" s="33"/>
      <c r="L4281" s="33"/>
      <c r="M4281" s="33"/>
      <c r="N4281" s="33"/>
      <c r="O4281" s="33"/>
      <c r="P4281" s="33"/>
      <c r="Q4281" s="33"/>
      <c r="R4281" s="33"/>
      <c r="S4281" s="33"/>
      <c r="T4281" s="33"/>
      <c r="U4281" s="33"/>
      <c r="V4281" s="33"/>
      <c r="W4281" s="33"/>
      <c r="X4281" s="33"/>
      <c r="Y4281" s="33"/>
      <c r="Z4281" s="33"/>
      <c r="AA4281" s="33"/>
      <c r="AB4281" s="33"/>
      <c r="AC4281" s="33"/>
      <c r="AD4281" s="33"/>
      <c r="AE4281" s="33"/>
      <c r="AF4281" s="33"/>
      <c r="AG4281" s="33"/>
      <c r="AH4281" s="33"/>
      <c r="AI4281" s="33"/>
      <c r="AJ4281" s="33"/>
      <c r="AK4281" s="33"/>
    </row>
    <row r="4282">
      <c r="A4282" s="33"/>
      <c r="B4282" s="33"/>
      <c r="C4282" s="33"/>
      <c r="D4282" s="33"/>
      <c r="E4282" s="33"/>
      <c r="F4282" s="33"/>
      <c r="G4282" s="33"/>
      <c r="H4282" s="33"/>
      <c r="I4282" s="33"/>
      <c r="J4282" s="33"/>
      <c r="K4282" s="33"/>
      <c r="L4282" s="33"/>
      <c r="M4282" s="33"/>
      <c r="N4282" s="33"/>
      <c r="O4282" s="33"/>
      <c r="P4282" s="33"/>
      <c r="Q4282" s="33"/>
      <c r="R4282" s="33"/>
      <c r="S4282" s="33"/>
      <c r="T4282" s="33"/>
      <c r="U4282" s="33"/>
      <c r="V4282" s="33"/>
      <c r="W4282" s="33"/>
      <c r="X4282" s="33"/>
      <c r="Y4282" s="33"/>
      <c r="Z4282" s="33"/>
      <c r="AA4282" s="33"/>
      <c r="AB4282" s="33"/>
      <c r="AC4282" s="33"/>
      <c r="AD4282" s="33"/>
      <c r="AE4282" s="33"/>
      <c r="AF4282" s="33"/>
      <c r="AG4282" s="33"/>
      <c r="AH4282" s="33"/>
      <c r="AI4282" s="33"/>
      <c r="AJ4282" s="33"/>
      <c r="AK4282" s="33"/>
    </row>
    <row r="4283">
      <c r="A4283" s="33"/>
      <c r="B4283" s="33"/>
      <c r="C4283" s="33"/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  <c r="R4283" s="33"/>
      <c r="S4283" s="33"/>
      <c r="T4283" s="33"/>
      <c r="U4283" s="33"/>
      <c r="V4283" s="33"/>
      <c r="W4283" s="33"/>
      <c r="X4283" s="33"/>
      <c r="Y4283" s="33"/>
      <c r="Z4283" s="33"/>
      <c r="AA4283" s="33"/>
      <c r="AB4283" s="33"/>
      <c r="AC4283" s="33"/>
      <c r="AD4283" s="33"/>
      <c r="AE4283" s="33"/>
      <c r="AF4283" s="33"/>
      <c r="AG4283" s="33"/>
      <c r="AH4283" s="33"/>
      <c r="AI4283" s="33"/>
      <c r="AJ4283" s="33"/>
      <c r="AK4283" s="33"/>
    </row>
    <row r="4284">
      <c r="A4284" s="33"/>
      <c r="B4284" s="33"/>
      <c r="C4284" s="33"/>
      <c r="D4284" s="33"/>
      <c r="E4284" s="33"/>
      <c r="F4284" s="33"/>
      <c r="G4284" s="33"/>
      <c r="H4284" s="33"/>
      <c r="I4284" s="33"/>
      <c r="J4284" s="33"/>
      <c r="K4284" s="33"/>
      <c r="L4284" s="33"/>
      <c r="M4284" s="33"/>
      <c r="N4284" s="33"/>
      <c r="O4284" s="33"/>
      <c r="P4284" s="33"/>
      <c r="Q4284" s="33"/>
      <c r="R4284" s="33"/>
      <c r="S4284" s="33"/>
      <c r="T4284" s="33"/>
      <c r="U4284" s="33"/>
      <c r="V4284" s="33"/>
      <c r="W4284" s="33"/>
      <c r="X4284" s="33"/>
      <c r="Y4284" s="33"/>
      <c r="Z4284" s="33"/>
      <c r="AA4284" s="33"/>
      <c r="AB4284" s="33"/>
      <c r="AC4284" s="33"/>
      <c r="AD4284" s="33"/>
      <c r="AE4284" s="33"/>
      <c r="AF4284" s="33"/>
      <c r="AG4284" s="33"/>
      <c r="AH4284" s="33"/>
      <c r="AI4284" s="33"/>
      <c r="AJ4284" s="33"/>
      <c r="AK4284" s="33"/>
    </row>
    <row r="4285">
      <c r="A4285" s="33"/>
      <c r="B4285" s="33"/>
      <c r="C4285" s="33"/>
      <c r="D4285" s="33"/>
      <c r="E4285" s="33"/>
      <c r="F4285" s="33"/>
      <c r="G4285" s="33"/>
      <c r="H4285" s="33"/>
      <c r="I4285" s="33"/>
      <c r="J4285" s="33"/>
      <c r="K4285" s="33"/>
      <c r="L4285" s="33"/>
      <c r="M4285" s="33"/>
      <c r="N4285" s="33"/>
      <c r="O4285" s="33"/>
      <c r="P4285" s="33"/>
      <c r="Q4285" s="33"/>
      <c r="R4285" s="33"/>
      <c r="S4285" s="33"/>
      <c r="T4285" s="33"/>
      <c r="U4285" s="33"/>
      <c r="V4285" s="33"/>
      <c r="W4285" s="33"/>
      <c r="X4285" s="33"/>
      <c r="Y4285" s="33"/>
      <c r="Z4285" s="33"/>
      <c r="AA4285" s="33"/>
      <c r="AB4285" s="33"/>
      <c r="AC4285" s="33"/>
      <c r="AD4285" s="33"/>
      <c r="AE4285" s="33"/>
      <c r="AF4285" s="33"/>
      <c r="AG4285" s="33"/>
      <c r="AH4285" s="33"/>
      <c r="AI4285" s="33"/>
      <c r="AJ4285" s="33"/>
      <c r="AK4285" s="33"/>
    </row>
    <row r="4286">
      <c r="A4286" s="33"/>
      <c r="B4286" s="33"/>
      <c r="C4286" s="33"/>
      <c r="D4286" s="33"/>
      <c r="E4286" s="33"/>
      <c r="F4286" s="33"/>
      <c r="G4286" s="33"/>
      <c r="H4286" s="33"/>
      <c r="I4286" s="33"/>
      <c r="J4286" s="33"/>
      <c r="K4286" s="33"/>
      <c r="L4286" s="33"/>
      <c r="M4286" s="33"/>
      <c r="N4286" s="33"/>
      <c r="O4286" s="33"/>
      <c r="P4286" s="33"/>
      <c r="Q4286" s="33"/>
      <c r="R4286" s="33"/>
      <c r="S4286" s="33"/>
      <c r="T4286" s="33"/>
      <c r="U4286" s="33"/>
      <c r="V4286" s="33"/>
      <c r="W4286" s="33"/>
      <c r="X4286" s="33"/>
      <c r="Y4286" s="33"/>
      <c r="Z4286" s="33"/>
      <c r="AA4286" s="33"/>
      <c r="AB4286" s="33"/>
      <c r="AC4286" s="33"/>
      <c r="AD4286" s="33"/>
      <c r="AE4286" s="33"/>
      <c r="AF4286" s="33"/>
      <c r="AG4286" s="33"/>
      <c r="AH4286" s="33"/>
      <c r="AI4286" s="33"/>
      <c r="AJ4286" s="33"/>
      <c r="AK4286" s="33"/>
    </row>
    <row r="4287">
      <c r="A4287" s="33"/>
      <c r="B4287" s="33"/>
      <c r="C4287" s="33"/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  <c r="Q4287" s="33"/>
      <c r="R4287" s="33"/>
      <c r="S4287" s="33"/>
      <c r="T4287" s="33"/>
      <c r="U4287" s="33"/>
      <c r="V4287" s="33"/>
      <c r="W4287" s="33"/>
      <c r="X4287" s="33"/>
      <c r="Y4287" s="33"/>
      <c r="Z4287" s="33"/>
      <c r="AA4287" s="33"/>
      <c r="AB4287" s="33"/>
      <c r="AC4287" s="33"/>
      <c r="AD4287" s="33"/>
      <c r="AE4287" s="33"/>
      <c r="AF4287" s="33"/>
      <c r="AG4287" s="33"/>
      <c r="AH4287" s="33"/>
      <c r="AI4287" s="33"/>
      <c r="AJ4287" s="33"/>
      <c r="AK4287" s="33"/>
    </row>
    <row r="4288">
      <c r="A4288" s="33"/>
      <c r="B4288" s="33"/>
      <c r="C4288" s="33"/>
      <c r="D4288" s="33"/>
      <c r="E4288" s="33"/>
      <c r="F4288" s="33"/>
      <c r="G4288" s="33"/>
      <c r="H4288" s="33"/>
      <c r="I4288" s="33"/>
      <c r="J4288" s="33"/>
      <c r="K4288" s="33"/>
      <c r="L4288" s="33"/>
      <c r="M4288" s="33"/>
      <c r="N4288" s="33"/>
      <c r="O4288" s="33"/>
      <c r="P4288" s="33"/>
      <c r="Q4288" s="33"/>
      <c r="R4288" s="33"/>
      <c r="S4288" s="33"/>
      <c r="T4288" s="33"/>
      <c r="U4288" s="33"/>
      <c r="V4288" s="33"/>
      <c r="W4288" s="33"/>
      <c r="X4288" s="33"/>
      <c r="Y4288" s="33"/>
      <c r="Z4288" s="33"/>
      <c r="AA4288" s="33"/>
      <c r="AB4288" s="33"/>
      <c r="AC4288" s="33"/>
      <c r="AD4288" s="33"/>
      <c r="AE4288" s="33"/>
      <c r="AF4288" s="33"/>
      <c r="AG4288" s="33"/>
      <c r="AH4288" s="33"/>
      <c r="AI4288" s="33"/>
      <c r="AJ4288" s="33"/>
      <c r="AK4288" s="33"/>
    </row>
    <row r="4289">
      <c r="A4289" s="33"/>
      <c r="B4289" s="33"/>
      <c r="C4289" s="33"/>
      <c r="D4289" s="33"/>
      <c r="E4289" s="33"/>
      <c r="F4289" s="33"/>
      <c r="G4289" s="33"/>
      <c r="H4289" s="33"/>
      <c r="I4289" s="33"/>
      <c r="J4289" s="33"/>
      <c r="K4289" s="33"/>
      <c r="L4289" s="33"/>
      <c r="M4289" s="33"/>
      <c r="N4289" s="33"/>
      <c r="O4289" s="33"/>
      <c r="P4289" s="33"/>
      <c r="Q4289" s="33"/>
      <c r="R4289" s="33"/>
      <c r="S4289" s="33"/>
      <c r="T4289" s="33"/>
      <c r="U4289" s="33"/>
      <c r="V4289" s="33"/>
      <c r="W4289" s="33"/>
      <c r="X4289" s="33"/>
      <c r="Y4289" s="33"/>
      <c r="Z4289" s="33"/>
      <c r="AA4289" s="33"/>
      <c r="AB4289" s="33"/>
      <c r="AC4289" s="33"/>
      <c r="AD4289" s="33"/>
      <c r="AE4289" s="33"/>
      <c r="AF4289" s="33"/>
      <c r="AG4289" s="33"/>
      <c r="AH4289" s="33"/>
      <c r="AI4289" s="33"/>
      <c r="AJ4289" s="33"/>
      <c r="AK4289" s="33"/>
    </row>
    <row r="4290">
      <c r="A4290" s="33"/>
      <c r="B4290" s="33"/>
      <c r="C4290" s="33"/>
      <c r="D4290" s="33"/>
      <c r="E4290" s="33"/>
      <c r="F4290" s="33"/>
      <c r="G4290" s="33"/>
      <c r="H4290" s="33"/>
      <c r="I4290" s="33"/>
      <c r="J4290" s="33"/>
      <c r="K4290" s="33"/>
      <c r="L4290" s="33"/>
      <c r="M4290" s="33"/>
      <c r="N4290" s="33"/>
      <c r="O4290" s="33"/>
      <c r="P4290" s="33"/>
      <c r="Q4290" s="33"/>
      <c r="R4290" s="33"/>
      <c r="S4290" s="33"/>
      <c r="T4290" s="33"/>
      <c r="U4290" s="33"/>
      <c r="V4290" s="33"/>
      <c r="W4290" s="33"/>
      <c r="X4290" s="33"/>
      <c r="Y4290" s="33"/>
      <c r="Z4290" s="33"/>
      <c r="AA4290" s="33"/>
      <c r="AB4290" s="33"/>
      <c r="AC4290" s="33"/>
      <c r="AD4290" s="33"/>
      <c r="AE4290" s="33"/>
      <c r="AF4290" s="33"/>
      <c r="AG4290" s="33"/>
      <c r="AH4290" s="33"/>
      <c r="AI4290" s="33"/>
      <c r="AJ4290" s="33"/>
      <c r="AK4290" s="33"/>
    </row>
    <row r="4291">
      <c r="A4291" s="33"/>
      <c r="B4291" s="33"/>
      <c r="C4291" s="33"/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  <c r="Q4291" s="33"/>
      <c r="R4291" s="33"/>
      <c r="S4291" s="33"/>
      <c r="T4291" s="33"/>
      <c r="U4291" s="33"/>
      <c r="V4291" s="33"/>
      <c r="W4291" s="33"/>
      <c r="X4291" s="33"/>
      <c r="Y4291" s="33"/>
      <c r="Z4291" s="33"/>
      <c r="AA4291" s="33"/>
      <c r="AB4291" s="33"/>
      <c r="AC4291" s="33"/>
      <c r="AD4291" s="33"/>
      <c r="AE4291" s="33"/>
      <c r="AF4291" s="33"/>
      <c r="AG4291" s="33"/>
      <c r="AH4291" s="33"/>
      <c r="AI4291" s="33"/>
      <c r="AJ4291" s="33"/>
      <c r="AK4291" s="33"/>
    </row>
    <row r="4292">
      <c r="A4292" s="33"/>
      <c r="B4292" s="33"/>
      <c r="C4292" s="33"/>
      <c r="D4292" s="33"/>
      <c r="E4292" s="33"/>
      <c r="F4292" s="33"/>
      <c r="G4292" s="33"/>
      <c r="H4292" s="33"/>
      <c r="I4292" s="33"/>
      <c r="J4292" s="33"/>
      <c r="K4292" s="33"/>
      <c r="L4292" s="33"/>
      <c r="M4292" s="33"/>
      <c r="N4292" s="33"/>
      <c r="O4292" s="33"/>
      <c r="P4292" s="33"/>
      <c r="Q4292" s="33"/>
      <c r="R4292" s="33"/>
      <c r="S4292" s="33"/>
      <c r="T4292" s="33"/>
      <c r="U4292" s="33"/>
      <c r="V4292" s="33"/>
      <c r="W4292" s="33"/>
      <c r="X4292" s="33"/>
      <c r="Y4292" s="33"/>
      <c r="Z4292" s="33"/>
      <c r="AA4292" s="33"/>
      <c r="AB4292" s="33"/>
      <c r="AC4292" s="33"/>
      <c r="AD4292" s="33"/>
      <c r="AE4292" s="33"/>
      <c r="AF4292" s="33"/>
      <c r="AG4292" s="33"/>
      <c r="AH4292" s="33"/>
      <c r="AI4292" s="33"/>
      <c r="AJ4292" s="33"/>
      <c r="AK4292" s="33"/>
    </row>
    <row r="4293">
      <c r="A4293" s="33"/>
      <c r="B4293" s="33"/>
      <c r="C4293" s="33"/>
      <c r="D4293" s="33"/>
      <c r="E4293" s="33"/>
      <c r="F4293" s="33"/>
      <c r="G4293" s="33"/>
      <c r="H4293" s="33"/>
      <c r="I4293" s="33"/>
      <c r="J4293" s="33"/>
      <c r="K4293" s="33"/>
      <c r="L4293" s="33"/>
      <c r="M4293" s="33"/>
      <c r="N4293" s="33"/>
      <c r="O4293" s="33"/>
      <c r="P4293" s="33"/>
      <c r="Q4293" s="33"/>
      <c r="R4293" s="33"/>
      <c r="S4293" s="33"/>
      <c r="T4293" s="33"/>
      <c r="U4293" s="33"/>
      <c r="V4293" s="33"/>
      <c r="W4293" s="33"/>
      <c r="X4293" s="33"/>
      <c r="Y4293" s="33"/>
      <c r="Z4293" s="33"/>
      <c r="AA4293" s="33"/>
      <c r="AB4293" s="33"/>
      <c r="AC4293" s="33"/>
      <c r="AD4293" s="33"/>
      <c r="AE4293" s="33"/>
      <c r="AF4293" s="33"/>
      <c r="AG4293" s="33"/>
      <c r="AH4293" s="33"/>
      <c r="AI4293" s="33"/>
      <c r="AJ4293" s="33"/>
      <c r="AK4293" s="33"/>
    </row>
    <row r="4294">
      <c r="A4294" s="33"/>
      <c r="B4294" s="33"/>
      <c r="C4294" s="33"/>
      <c r="D4294" s="33"/>
      <c r="E4294" s="33"/>
      <c r="F4294" s="33"/>
      <c r="G4294" s="33"/>
      <c r="H4294" s="33"/>
      <c r="I4294" s="33"/>
      <c r="J4294" s="33"/>
      <c r="K4294" s="33"/>
      <c r="L4294" s="33"/>
      <c r="M4294" s="33"/>
      <c r="N4294" s="33"/>
      <c r="O4294" s="33"/>
      <c r="P4294" s="33"/>
      <c r="Q4294" s="33"/>
      <c r="R4294" s="33"/>
      <c r="S4294" s="33"/>
      <c r="T4294" s="33"/>
      <c r="U4294" s="33"/>
      <c r="V4294" s="33"/>
      <c r="W4294" s="33"/>
      <c r="X4294" s="33"/>
      <c r="Y4294" s="33"/>
      <c r="Z4294" s="33"/>
      <c r="AA4294" s="33"/>
      <c r="AB4294" s="33"/>
      <c r="AC4294" s="33"/>
      <c r="AD4294" s="33"/>
      <c r="AE4294" s="33"/>
      <c r="AF4294" s="33"/>
      <c r="AG4294" s="33"/>
      <c r="AH4294" s="33"/>
      <c r="AI4294" s="33"/>
      <c r="AJ4294" s="33"/>
      <c r="AK4294" s="33"/>
    </row>
    <row r="4295">
      <c r="A4295" s="33"/>
      <c r="B4295" s="33"/>
      <c r="C4295" s="33"/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  <c r="Q4295" s="33"/>
      <c r="R4295" s="33"/>
      <c r="S4295" s="33"/>
      <c r="T4295" s="33"/>
      <c r="U4295" s="33"/>
      <c r="V4295" s="33"/>
      <c r="W4295" s="33"/>
      <c r="X4295" s="33"/>
      <c r="Y4295" s="33"/>
      <c r="Z4295" s="33"/>
      <c r="AA4295" s="33"/>
      <c r="AB4295" s="33"/>
      <c r="AC4295" s="33"/>
      <c r="AD4295" s="33"/>
      <c r="AE4295" s="33"/>
      <c r="AF4295" s="33"/>
      <c r="AG4295" s="33"/>
      <c r="AH4295" s="33"/>
      <c r="AI4295" s="33"/>
      <c r="AJ4295" s="33"/>
      <c r="AK4295" s="33"/>
    </row>
    <row r="4296">
      <c r="A4296" s="33"/>
      <c r="B4296" s="33"/>
      <c r="C4296" s="33"/>
      <c r="D4296" s="33"/>
      <c r="E4296" s="33"/>
      <c r="F4296" s="33"/>
      <c r="G4296" s="33"/>
      <c r="H4296" s="33"/>
      <c r="I4296" s="33"/>
      <c r="J4296" s="33"/>
      <c r="K4296" s="33"/>
      <c r="L4296" s="33"/>
      <c r="M4296" s="33"/>
      <c r="N4296" s="33"/>
      <c r="O4296" s="33"/>
      <c r="P4296" s="33"/>
      <c r="Q4296" s="33"/>
      <c r="R4296" s="33"/>
      <c r="S4296" s="33"/>
      <c r="T4296" s="33"/>
      <c r="U4296" s="33"/>
      <c r="V4296" s="33"/>
      <c r="W4296" s="33"/>
      <c r="X4296" s="33"/>
      <c r="Y4296" s="33"/>
      <c r="Z4296" s="33"/>
      <c r="AA4296" s="33"/>
      <c r="AB4296" s="33"/>
      <c r="AC4296" s="33"/>
      <c r="AD4296" s="33"/>
      <c r="AE4296" s="33"/>
      <c r="AF4296" s="33"/>
      <c r="AG4296" s="33"/>
      <c r="AH4296" s="33"/>
      <c r="AI4296" s="33"/>
      <c r="AJ4296" s="33"/>
      <c r="AK4296" s="33"/>
    </row>
    <row r="4297">
      <c r="A4297" s="33"/>
      <c r="B4297" s="33"/>
      <c r="C4297" s="33"/>
      <c r="D4297" s="33"/>
      <c r="E4297" s="33"/>
      <c r="F4297" s="33"/>
      <c r="G4297" s="33"/>
      <c r="H4297" s="33"/>
      <c r="I4297" s="33"/>
      <c r="J4297" s="33"/>
      <c r="K4297" s="33"/>
      <c r="L4297" s="33"/>
      <c r="M4297" s="33"/>
      <c r="N4297" s="33"/>
      <c r="O4297" s="33"/>
      <c r="P4297" s="33"/>
      <c r="Q4297" s="33"/>
      <c r="R4297" s="33"/>
      <c r="S4297" s="33"/>
      <c r="T4297" s="33"/>
      <c r="U4297" s="33"/>
      <c r="V4297" s="33"/>
      <c r="W4297" s="33"/>
      <c r="X4297" s="33"/>
      <c r="Y4297" s="33"/>
      <c r="Z4297" s="33"/>
      <c r="AA4297" s="33"/>
      <c r="AB4297" s="33"/>
      <c r="AC4297" s="33"/>
      <c r="AD4297" s="33"/>
      <c r="AE4297" s="33"/>
      <c r="AF4297" s="33"/>
      <c r="AG4297" s="33"/>
      <c r="AH4297" s="33"/>
      <c r="AI4297" s="33"/>
      <c r="AJ4297" s="33"/>
      <c r="AK4297" s="33"/>
    </row>
    <row r="4298">
      <c r="A4298" s="33"/>
      <c r="B4298" s="33"/>
      <c r="C4298" s="33"/>
      <c r="D4298" s="33"/>
      <c r="E4298" s="33"/>
      <c r="F4298" s="33"/>
      <c r="G4298" s="33"/>
      <c r="H4298" s="33"/>
      <c r="I4298" s="33"/>
      <c r="J4298" s="33"/>
      <c r="K4298" s="33"/>
      <c r="L4298" s="33"/>
      <c r="M4298" s="33"/>
      <c r="N4298" s="33"/>
      <c r="O4298" s="33"/>
      <c r="P4298" s="33"/>
      <c r="Q4298" s="33"/>
      <c r="R4298" s="33"/>
      <c r="S4298" s="33"/>
      <c r="T4298" s="33"/>
      <c r="U4298" s="33"/>
      <c r="V4298" s="33"/>
      <c r="W4298" s="33"/>
      <c r="X4298" s="33"/>
      <c r="Y4298" s="33"/>
      <c r="Z4298" s="33"/>
      <c r="AA4298" s="33"/>
      <c r="AB4298" s="33"/>
      <c r="AC4298" s="33"/>
      <c r="AD4298" s="33"/>
      <c r="AE4298" s="33"/>
      <c r="AF4298" s="33"/>
      <c r="AG4298" s="33"/>
      <c r="AH4298" s="33"/>
      <c r="AI4298" s="33"/>
      <c r="AJ4298" s="33"/>
      <c r="AK4298" s="33"/>
    </row>
    <row r="4299">
      <c r="A4299" s="33"/>
      <c r="B4299" s="33"/>
      <c r="C4299" s="33"/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  <c r="Q4299" s="33"/>
      <c r="R4299" s="33"/>
      <c r="S4299" s="33"/>
      <c r="T4299" s="33"/>
      <c r="U4299" s="33"/>
      <c r="V4299" s="33"/>
      <c r="W4299" s="33"/>
      <c r="X4299" s="33"/>
      <c r="Y4299" s="33"/>
      <c r="Z4299" s="33"/>
      <c r="AA4299" s="33"/>
      <c r="AB4299" s="33"/>
      <c r="AC4299" s="33"/>
      <c r="AD4299" s="33"/>
      <c r="AE4299" s="33"/>
      <c r="AF4299" s="33"/>
      <c r="AG4299" s="33"/>
      <c r="AH4299" s="33"/>
      <c r="AI4299" s="33"/>
      <c r="AJ4299" s="33"/>
      <c r="AK4299" s="33"/>
    </row>
    <row r="4300">
      <c r="A4300" s="33"/>
      <c r="B4300" s="33"/>
      <c r="C4300" s="33"/>
      <c r="D4300" s="33"/>
      <c r="E4300" s="33"/>
      <c r="F4300" s="33"/>
      <c r="G4300" s="33"/>
      <c r="H4300" s="33"/>
      <c r="I4300" s="33"/>
      <c r="J4300" s="33"/>
      <c r="K4300" s="33"/>
      <c r="L4300" s="33"/>
      <c r="M4300" s="33"/>
      <c r="N4300" s="33"/>
      <c r="O4300" s="33"/>
      <c r="P4300" s="33"/>
      <c r="Q4300" s="33"/>
      <c r="R4300" s="33"/>
      <c r="S4300" s="33"/>
      <c r="T4300" s="33"/>
      <c r="U4300" s="33"/>
      <c r="V4300" s="33"/>
      <c r="W4300" s="33"/>
      <c r="X4300" s="33"/>
      <c r="Y4300" s="33"/>
      <c r="Z4300" s="33"/>
      <c r="AA4300" s="33"/>
      <c r="AB4300" s="33"/>
      <c r="AC4300" s="33"/>
      <c r="AD4300" s="33"/>
      <c r="AE4300" s="33"/>
      <c r="AF4300" s="33"/>
      <c r="AG4300" s="33"/>
      <c r="AH4300" s="33"/>
      <c r="AI4300" s="33"/>
      <c r="AJ4300" s="33"/>
      <c r="AK4300" s="33"/>
    </row>
    <row r="4301">
      <c r="A4301" s="33"/>
      <c r="B4301" s="33"/>
      <c r="C4301" s="33"/>
      <c r="D4301" s="33"/>
      <c r="E4301" s="33"/>
      <c r="F4301" s="33"/>
      <c r="G4301" s="33"/>
      <c r="H4301" s="33"/>
      <c r="I4301" s="33"/>
      <c r="J4301" s="33"/>
      <c r="K4301" s="33"/>
      <c r="L4301" s="33"/>
      <c r="M4301" s="33"/>
      <c r="N4301" s="33"/>
      <c r="O4301" s="33"/>
      <c r="P4301" s="33"/>
      <c r="Q4301" s="33"/>
      <c r="R4301" s="33"/>
      <c r="S4301" s="33"/>
      <c r="T4301" s="33"/>
      <c r="U4301" s="33"/>
      <c r="V4301" s="33"/>
      <c r="W4301" s="33"/>
      <c r="X4301" s="33"/>
      <c r="Y4301" s="33"/>
      <c r="Z4301" s="33"/>
      <c r="AA4301" s="33"/>
      <c r="AB4301" s="33"/>
      <c r="AC4301" s="33"/>
      <c r="AD4301" s="33"/>
      <c r="AE4301" s="33"/>
      <c r="AF4301" s="33"/>
      <c r="AG4301" s="33"/>
      <c r="AH4301" s="33"/>
      <c r="AI4301" s="33"/>
      <c r="AJ4301" s="33"/>
      <c r="AK4301" s="33"/>
    </row>
    <row r="4302">
      <c r="A4302" s="33"/>
      <c r="B4302" s="33"/>
      <c r="C4302" s="33"/>
      <c r="D4302" s="33"/>
      <c r="E4302" s="33"/>
      <c r="F4302" s="33"/>
      <c r="G4302" s="33"/>
      <c r="H4302" s="33"/>
      <c r="I4302" s="33"/>
      <c r="J4302" s="33"/>
      <c r="K4302" s="33"/>
      <c r="L4302" s="33"/>
      <c r="M4302" s="33"/>
      <c r="N4302" s="33"/>
      <c r="O4302" s="33"/>
      <c r="P4302" s="33"/>
      <c r="Q4302" s="33"/>
      <c r="R4302" s="33"/>
      <c r="S4302" s="33"/>
      <c r="T4302" s="33"/>
      <c r="U4302" s="33"/>
      <c r="V4302" s="33"/>
      <c r="W4302" s="33"/>
      <c r="X4302" s="33"/>
      <c r="Y4302" s="33"/>
      <c r="Z4302" s="33"/>
      <c r="AA4302" s="33"/>
      <c r="AB4302" s="33"/>
      <c r="AC4302" s="33"/>
      <c r="AD4302" s="33"/>
      <c r="AE4302" s="33"/>
      <c r="AF4302" s="33"/>
      <c r="AG4302" s="33"/>
      <c r="AH4302" s="33"/>
      <c r="AI4302" s="33"/>
      <c r="AJ4302" s="33"/>
      <c r="AK4302" s="33"/>
    </row>
    <row r="4303">
      <c r="A4303" s="33"/>
      <c r="B4303" s="33"/>
      <c r="C4303" s="33"/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  <c r="Q4303" s="33"/>
      <c r="R4303" s="33"/>
      <c r="S4303" s="33"/>
      <c r="T4303" s="33"/>
      <c r="U4303" s="33"/>
      <c r="V4303" s="33"/>
      <c r="W4303" s="33"/>
      <c r="X4303" s="33"/>
      <c r="Y4303" s="33"/>
      <c r="Z4303" s="33"/>
      <c r="AA4303" s="33"/>
      <c r="AB4303" s="33"/>
      <c r="AC4303" s="33"/>
      <c r="AD4303" s="33"/>
      <c r="AE4303" s="33"/>
      <c r="AF4303" s="33"/>
      <c r="AG4303" s="33"/>
      <c r="AH4303" s="33"/>
      <c r="AI4303" s="33"/>
      <c r="AJ4303" s="33"/>
      <c r="AK4303" s="33"/>
    </row>
    <row r="4304">
      <c r="A4304" s="33"/>
      <c r="B4304" s="33"/>
      <c r="C4304" s="33"/>
      <c r="D4304" s="33"/>
      <c r="E4304" s="33"/>
      <c r="F4304" s="33"/>
      <c r="G4304" s="33"/>
      <c r="H4304" s="33"/>
      <c r="I4304" s="33"/>
      <c r="J4304" s="33"/>
      <c r="K4304" s="33"/>
      <c r="L4304" s="33"/>
      <c r="M4304" s="33"/>
      <c r="N4304" s="33"/>
      <c r="O4304" s="33"/>
      <c r="P4304" s="33"/>
      <c r="Q4304" s="33"/>
      <c r="R4304" s="33"/>
      <c r="S4304" s="33"/>
      <c r="T4304" s="33"/>
      <c r="U4304" s="33"/>
      <c r="V4304" s="33"/>
      <c r="W4304" s="33"/>
      <c r="X4304" s="33"/>
      <c r="Y4304" s="33"/>
      <c r="Z4304" s="33"/>
      <c r="AA4304" s="33"/>
      <c r="AB4304" s="33"/>
      <c r="AC4304" s="33"/>
      <c r="AD4304" s="33"/>
      <c r="AE4304" s="33"/>
      <c r="AF4304" s="33"/>
      <c r="AG4304" s="33"/>
      <c r="AH4304" s="33"/>
      <c r="AI4304" s="33"/>
      <c r="AJ4304" s="33"/>
      <c r="AK4304" s="33"/>
    </row>
    <row r="4305">
      <c r="A4305" s="33"/>
      <c r="B4305" s="33"/>
      <c r="C4305" s="33"/>
      <c r="D4305" s="33"/>
      <c r="E4305" s="33"/>
      <c r="F4305" s="33"/>
      <c r="G4305" s="33"/>
      <c r="H4305" s="33"/>
      <c r="I4305" s="33"/>
      <c r="J4305" s="33"/>
      <c r="K4305" s="33"/>
      <c r="L4305" s="33"/>
      <c r="M4305" s="33"/>
      <c r="N4305" s="33"/>
      <c r="O4305" s="33"/>
      <c r="P4305" s="33"/>
      <c r="Q4305" s="33"/>
      <c r="R4305" s="33"/>
      <c r="S4305" s="33"/>
      <c r="T4305" s="33"/>
      <c r="U4305" s="33"/>
      <c r="V4305" s="33"/>
      <c r="W4305" s="33"/>
      <c r="X4305" s="33"/>
      <c r="Y4305" s="33"/>
      <c r="Z4305" s="33"/>
      <c r="AA4305" s="33"/>
      <c r="AB4305" s="33"/>
      <c r="AC4305" s="33"/>
      <c r="AD4305" s="33"/>
      <c r="AE4305" s="33"/>
      <c r="AF4305" s="33"/>
      <c r="AG4305" s="33"/>
      <c r="AH4305" s="33"/>
      <c r="AI4305" s="33"/>
      <c r="AJ4305" s="33"/>
      <c r="AK4305" s="33"/>
    </row>
    <row r="4306">
      <c r="A4306" s="33"/>
      <c r="B4306" s="33"/>
      <c r="C4306" s="33"/>
      <c r="D4306" s="33"/>
      <c r="E4306" s="33"/>
      <c r="F4306" s="33"/>
      <c r="G4306" s="33"/>
      <c r="H4306" s="33"/>
      <c r="I4306" s="33"/>
      <c r="J4306" s="33"/>
      <c r="K4306" s="33"/>
      <c r="L4306" s="33"/>
      <c r="M4306" s="33"/>
      <c r="N4306" s="33"/>
      <c r="O4306" s="33"/>
      <c r="P4306" s="33"/>
      <c r="Q4306" s="33"/>
      <c r="R4306" s="33"/>
      <c r="S4306" s="33"/>
      <c r="T4306" s="33"/>
      <c r="U4306" s="33"/>
      <c r="V4306" s="33"/>
      <c r="W4306" s="33"/>
      <c r="X4306" s="33"/>
      <c r="Y4306" s="33"/>
      <c r="Z4306" s="33"/>
      <c r="AA4306" s="33"/>
      <c r="AB4306" s="33"/>
      <c r="AC4306" s="33"/>
      <c r="AD4306" s="33"/>
      <c r="AE4306" s="33"/>
      <c r="AF4306" s="33"/>
      <c r="AG4306" s="33"/>
      <c r="AH4306" s="33"/>
      <c r="AI4306" s="33"/>
      <c r="AJ4306" s="33"/>
      <c r="AK4306" s="33"/>
    </row>
    <row r="4307">
      <c r="A4307" s="33"/>
      <c r="B4307" s="33"/>
      <c r="C4307" s="33"/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  <c r="Q4307" s="33"/>
      <c r="R4307" s="33"/>
      <c r="S4307" s="33"/>
      <c r="T4307" s="33"/>
      <c r="U4307" s="33"/>
      <c r="V4307" s="33"/>
      <c r="W4307" s="33"/>
      <c r="X4307" s="33"/>
      <c r="Y4307" s="33"/>
      <c r="Z4307" s="33"/>
      <c r="AA4307" s="33"/>
      <c r="AB4307" s="33"/>
      <c r="AC4307" s="33"/>
      <c r="AD4307" s="33"/>
      <c r="AE4307" s="33"/>
      <c r="AF4307" s="33"/>
      <c r="AG4307" s="33"/>
      <c r="AH4307" s="33"/>
      <c r="AI4307" s="33"/>
      <c r="AJ4307" s="33"/>
      <c r="AK4307" s="33"/>
    </row>
    <row r="4308">
      <c r="A4308" s="33"/>
      <c r="B4308" s="33"/>
      <c r="C4308" s="33"/>
      <c r="D4308" s="33"/>
      <c r="E4308" s="33"/>
      <c r="F4308" s="33"/>
      <c r="G4308" s="33"/>
      <c r="H4308" s="33"/>
      <c r="I4308" s="33"/>
      <c r="J4308" s="33"/>
      <c r="K4308" s="33"/>
      <c r="L4308" s="33"/>
      <c r="M4308" s="33"/>
      <c r="N4308" s="33"/>
      <c r="O4308" s="33"/>
      <c r="P4308" s="33"/>
      <c r="Q4308" s="33"/>
      <c r="R4308" s="33"/>
      <c r="S4308" s="33"/>
      <c r="T4308" s="33"/>
      <c r="U4308" s="33"/>
      <c r="V4308" s="33"/>
      <c r="W4308" s="33"/>
      <c r="X4308" s="33"/>
      <c r="Y4308" s="33"/>
      <c r="Z4308" s="33"/>
      <c r="AA4308" s="33"/>
      <c r="AB4308" s="33"/>
      <c r="AC4308" s="33"/>
      <c r="AD4308" s="33"/>
      <c r="AE4308" s="33"/>
      <c r="AF4308" s="33"/>
      <c r="AG4308" s="33"/>
      <c r="AH4308" s="33"/>
      <c r="AI4308" s="33"/>
      <c r="AJ4308" s="33"/>
      <c r="AK4308" s="33"/>
    </row>
    <row r="4309">
      <c r="A4309" s="33"/>
      <c r="B4309" s="33"/>
      <c r="C4309" s="33"/>
      <c r="D4309" s="33"/>
      <c r="E4309" s="33"/>
      <c r="F4309" s="33"/>
      <c r="G4309" s="33"/>
      <c r="H4309" s="33"/>
      <c r="I4309" s="33"/>
      <c r="J4309" s="33"/>
      <c r="K4309" s="33"/>
      <c r="L4309" s="33"/>
      <c r="M4309" s="33"/>
      <c r="N4309" s="33"/>
      <c r="O4309" s="33"/>
      <c r="P4309" s="33"/>
      <c r="Q4309" s="33"/>
      <c r="R4309" s="33"/>
      <c r="S4309" s="33"/>
      <c r="T4309" s="33"/>
      <c r="U4309" s="33"/>
      <c r="V4309" s="33"/>
      <c r="W4309" s="33"/>
      <c r="X4309" s="33"/>
      <c r="Y4309" s="33"/>
      <c r="Z4309" s="33"/>
      <c r="AA4309" s="33"/>
      <c r="AB4309" s="33"/>
      <c r="AC4309" s="33"/>
      <c r="AD4309" s="33"/>
      <c r="AE4309" s="33"/>
      <c r="AF4309" s="33"/>
      <c r="AG4309" s="33"/>
      <c r="AH4309" s="33"/>
      <c r="AI4309" s="33"/>
      <c r="AJ4309" s="33"/>
      <c r="AK4309" s="33"/>
    </row>
    <row r="4310">
      <c r="A4310" s="33"/>
      <c r="B4310" s="33"/>
      <c r="C4310" s="33"/>
      <c r="D4310" s="33"/>
      <c r="E4310" s="33"/>
      <c r="F4310" s="33"/>
      <c r="G4310" s="33"/>
      <c r="H4310" s="33"/>
      <c r="I4310" s="33"/>
      <c r="J4310" s="33"/>
      <c r="K4310" s="33"/>
      <c r="L4310" s="33"/>
      <c r="M4310" s="33"/>
      <c r="N4310" s="33"/>
      <c r="O4310" s="33"/>
      <c r="P4310" s="33"/>
      <c r="Q4310" s="33"/>
      <c r="R4310" s="33"/>
      <c r="S4310" s="33"/>
      <c r="T4310" s="33"/>
      <c r="U4310" s="33"/>
      <c r="V4310" s="33"/>
      <c r="W4310" s="33"/>
      <c r="X4310" s="33"/>
      <c r="Y4310" s="33"/>
      <c r="Z4310" s="33"/>
      <c r="AA4310" s="33"/>
      <c r="AB4310" s="33"/>
      <c r="AC4310" s="33"/>
      <c r="AD4310" s="33"/>
      <c r="AE4310" s="33"/>
      <c r="AF4310" s="33"/>
      <c r="AG4310" s="33"/>
      <c r="AH4310" s="33"/>
      <c r="AI4310" s="33"/>
      <c r="AJ4310" s="33"/>
      <c r="AK4310" s="33"/>
    </row>
    <row r="4311">
      <c r="A4311" s="33"/>
      <c r="B4311" s="33"/>
      <c r="C4311" s="33"/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  <c r="Q4311" s="33"/>
      <c r="R4311" s="33"/>
      <c r="S4311" s="33"/>
      <c r="T4311" s="33"/>
      <c r="U4311" s="33"/>
      <c r="V4311" s="33"/>
      <c r="W4311" s="33"/>
      <c r="X4311" s="33"/>
      <c r="Y4311" s="33"/>
      <c r="Z4311" s="33"/>
      <c r="AA4311" s="33"/>
      <c r="AB4311" s="33"/>
      <c r="AC4311" s="33"/>
      <c r="AD4311" s="33"/>
      <c r="AE4311" s="33"/>
      <c r="AF4311" s="33"/>
      <c r="AG4311" s="33"/>
      <c r="AH4311" s="33"/>
      <c r="AI4311" s="33"/>
      <c r="AJ4311" s="33"/>
      <c r="AK4311" s="33"/>
    </row>
    <row r="4312">
      <c r="A4312" s="33"/>
      <c r="B4312" s="33"/>
      <c r="C4312" s="33"/>
      <c r="D4312" s="33"/>
      <c r="E4312" s="33"/>
      <c r="F4312" s="33"/>
      <c r="G4312" s="33"/>
      <c r="H4312" s="33"/>
      <c r="I4312" s="33"/>
      <c r="J4312" s="33"/>
      <c r="K4312" s="33"/>
      <c r="L4312" s="33"/>
      <c r="M4312" s="33"/>
      <c r="N4312" s="33"/>
      <c r="O4312" s="33"/>
      <c r="P4312" s="33"/>
      <c r="Q4312" s="33"/>
      <c r="R4312" s="33"/>
      <c r="S4312" s="33"/>
      <c r="T4312" s="33"/>
      <c r="U4312" s="33"/>
      <c r="V4312" s="33"/>
      <c r="W4312" s="33"/>
      <c r="X4312" s="33"/>
      <c r="Y4312" s="33"/>
      <c r="Z4312" s="33"/>
      <c r="AA4312" s="33"/>
      <c r="AB4312" s="33"/>
      <c r="AC4312" s="33"/>
      <c r="AD4312" s="33"/>
      <c r="AE4312" s="33"/>
      <c r="AF4312" s="33"/>
      <c r="AG4312" s="33"/>
      <c r="AH4312" s="33"/>
      <c r="AI4312" s="33"/>
      <c r="AJ4312" s="33"/>
      <c r="AK4312" s="33"/>
    </row>
    <row r="4313">
      <c r="A4313" s="33"/>
      <c r="B4313" s="33"/>
      <c r="C4313" s="33"/>
      <c r="D4313" s="33"/>
      <c r="E4313" s="33"/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33"/>
      <c r="Q4313" s="33"/>
      <c r="R4313" s="33"/>
      <c r="S4313" s="33"/>
      <c r="T4313" s="33"/>
      <c r="U4313" s="33"/>
      <c r="V4313" s="33"/>
      <c r="W4313" s="33"/>
      <c r="X4313" s="33"/>
      <c r="Y4313" s="33"/>
      <c r="Z4313" s="33"/>
      <c r="AA4313" s="33"/>
      <c r="AB4313" s="33"/>
      <c r="AC4313" s="33"/>
      <c r="AD4313" s="33"/>
      <c r="AE4313" s="33"/>
      <c r="AF4313" s="33"/>
      <c r="AG4313" s="33"/>
      <c r="AH4313" s="33"/>
      <c r="AI4313" s="33"/>
      <c r="AJ4313" s="33"/>
      <c r="AK4313" s="33"/>
    </row>
    <row r="4314">
      <c r="A4314" s="33"/>
      <c r="B4314" s="33"/>
      <c r="C4314" s="33"/>
      <c r="D4314" s="33"/>
      <c r="E4314" s="33"/>
      <c r="F4314" s="33"/>
      <c r="G4314" s="33"/>
      <c r="H4314" s="33"/>
      <c r="I4314" s="33"/>
      <c r="J4314" s="33"/>
      <c r="K4314" s="33"/>
      <c r="L4314" s="33"/>
      <c r="M4314" s="33"/>
      <c r="N4314" s="33"/>
      <c r="O4314" s="33"/>
      <c r="P4314" s="33"/>
      <c r="Q4314" s="33"/>
      <c r="R4314" s="33"/>
      <c r="S4314" s="33"/>
      <c r="T4314" s="33"/>
      <c r="U4314" s="33"/>
      <c r="V4314" s="33"/>
      <c r="W4314" s="33"/>
      <c r="X4314" s="33"/>
      <c r="Y4314" s="33"/>
      <c r="Z4314" s="33"/>
      <c r="AA4314" s="33"/>
      <c r="AB4314" s="33"/>
      <c r="AC4314" s="33"/>
      <c r="AD4314" s="33"/>
      <c r="AE4314" s="33"/>
      <c r="AF4314" s="33"/>
      <c r="AG4314" s="33"/>
      <c r="AH4314" s="33"/>
      <c r="AI4314" s="33"/>
      <c r="AJ4314" s="33"/>
      <c r="AK4314" s="33"/>
    </row>
    <row r="4315">
      <c r="A4315" s="33"/>
      <c r="B4315" s="33"/>
      <c r="C4315" s="33"/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  <c r="Q4315" s="33"/>
      <c r="R4315" s="33"/>
      <c r="S4315" s="33"/>
      <c r="T4315" s="33"/>
      <c r="U4315" s="33"/>
      <c r="V4315" s="33"/>
      <c r="W4315" s="33"/>
      <c r="X4315" s="33"/>
      <c r="Y4315" s="33"/>
      <c r="Z4315" s="33"/>
      <c r="AA4315" s="33"/>
      <c r="AB4315" s="33"/>
      <c r="AC4315" s="33"/>
      <c r="AD4315" s="33"/>
      <c r="AE4315" s="33"/>
      <c r="AF4315" s="33"/>
      <c r="AG4315" s="33"/>
      <c r="AH4315" s="33"/>
      <c r="AI4315" s="33"/>
      <c r="AJ4315" s="33"/>
      <c r="AK4315" s="33"/>
    </row>
    <row r="4316">
      <c r="A4316" s="33"/>
      <c r="B4316" s="33"/>
      <c r="C4316" s="33"/>
      <c r="D4316" s="33"/>
      <c r="E4316" s="33"/>
      <c r="F4316" s="33"/>
      <c r="G4316" s="33"/>
      <c r="H4316" s="33"/>
      <c r="I4316" s="33"/>
      <c r="J4316" s="33"/>
      <c r="K4316" s="33"/>
      <c r="L4316" s="33"/>
      <c r="M4316" s="33"/>
      <c r="N4316" s="33"/>
      <c r="O4316" s="33"/>
      <c r="P4316" s="33"/>
      <c r="Q4316" s="33"/>
      <c r="R4316" s="33"/>
      <c r="S4316" s="33"/>
      <c r="T4316" s="33"/>
      <c r="U4316" s="33"/>
      <c r="V4316" s="33"/>
      <c r="W4316" s="33"/>
      <c r="X4316" s="33"/>
      <c r="Y4316" s="33"/>
      <c r="Z4316" s="33"/>
      <c r="AA4316" s="33"/>
      <c r="AB4316" s="33"/>
      <c r="AC4316" s="33"/>
      <c r="AD4316" s="33"/>
      <c r="AE4316" s="33"/>
      <c r="AF4316" s="33"/>
      <c r="AG4316" s="33"/>
      <c r="AH4316" s="33"/>
      <c r="AI4316" s="33"/>
      <c r="AJ4316" s="33"/>
      <c r="AK4316" s="33"/>
    </row>
    <row r="4317">
      <c r="A4317" s="33"/>
      <c r="B4317" s="33"/>
      <c r="C4317" s="33"/>
      <c r="D4317" s="33"/>
      <c r="E4317" s="33"/>
      <c r="F4317" s="33"/>
      <c r="G4317" s="33"/>
      <c r="H4317" s="33"/>
      <c r="I4317" s="33"/>
      <c r="J4317" s="33"/>
      <c r="K4317" s="33"/>
      <c r="L4317" s="33"/>
      <c r="M4317" s="33"/>
      <c r="N4317" s="33"/>
      <c r="O4317" s="33"/>
      <c r="P4317" s="33"/>
      <c r="Q4317" s="33"/>
      <c r="R4317" s="33"/>
      <c r="S4317" s="33"/>
      <c r="T4317" s="33"/>
      <c r="U4317" s="33"/>
      <c r="V4317" s="33"/>
      <c r="W4317" s="33"/>
      <c r="X4317" s="33"/>
      <c r="Y4317" s="33"/>
      <c r="Z4317" s="33"/>
      <c r="AA4317" s="33"/>
      <c r="AB4317" s="33"/>
      <c r="AC4317" s="33"/>
      <c r="AD4317" s="33"/>
      <c r="AE4317" s="33"/>
      <c r="AF4317" s="33"/>
      <c r="AG4317" s="33"/>
      <c r="AH4317" s="33"/>
      <c r="AI4317" s="33"/>
      <c r="AJ4317" s="33"/>
      <c r="AK4317" s="33"/>
    </row>
    <row r="4318">
      <c r="A4318" s="33"/>
      <c r="B4318" s="33"/>
      <c r="C4318" s="33"/>
      <c r="D4318" s="33"/>
      <c r="E4318" s="33"/>
      <c r="F4318" s="33"/>
      <c r="G4318" s="33"/>
      <c r="H4318" s="33"/>
      <c r="I4318" s="33"/>
      <c r="J4318" s="33"/>
      <c r="K4318" s="33"/>
      <c r="L4318" s="33"/>
      <c r="M4318" s="33"/>
      <c r="N4318" s="33"/>
      <c r="O4318" s="33"/>
      <c r="P4318" s="33"/>
      <c r="Q4318" s="33"/>
      <c r="R4318" s="33"/>
      <c r="S4318" s="33"/>
      <c r="T4318" s="33"/>
      <c r="U4318" s="33"/>
      <c r="V4318" s="33"/>
      <c r="W4318" s="33"/>
      <c r="X4318" s="33"/>
      <c r="Y4318" s="33"/>
      <c r="Z4318" s="33"/>
      <c r="AA4318" s="33"/>
      <c r="AB4318" s="33"/>
      <c r="AC4318" s="33"/>
      <c r="AD4318" s="33"/>
      <c r="AE4318" s="33"/>
      <c r="AF4318" s="33"/>
      <c r="AG4318" s="33"/>
      <c r="AH4318" s="33"/>
      <c r="AI4318" s="33"/>
      <c r="AJ4318" s="33"/>
      <c r="AK4318" s="33"/>
    </row>
    <row r="4319">
      <c r="A4319" s="33"/>
      <c r="B4319" s="33"/>
      <c r="C4319" s="33"/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  <c r="Q4319" s="33"/>
      <c r="R4319" s="33"/>
      <c r="S4319" s="33"/>
      <c r="T4319" s="33"/>
      <c r="U4319" s="33"/>
      <c r="V4319" s="33"/>
      <c r="W4319" s="33"/>
      <c r="X4319" s="33"/>
      <c r="Y4319" s="33"/>
      <c r="Z4319" s="33"/>
      <c r="AA4319" s="33"/>
      <c r="AB4319" s="33"/>
      <c r="AC4319" s="33"/>
      <c r="AD4319" s="33"/>
      <c r="AE4319" s="33"/>
      <c r="AF4319" s="33"/>
      <c r="AG4319" s="33"/>
      <c r="AH4319" s="33"/>
      <c r="AI4319" s="33"/>
      <c r="AJ4319" s="33"/>
      <c r="AK4319" s="33"/>
    </row>
    <row r="4320">
      <c r="A4320" s="33"/>
      <c r="B4320" s="33"/>
      <c r="C4320" s="33"/>
      <c r="D4320" s="33"/>
      <c r="E4320" s="33"/>
      <c r="F4320" s="33"/>
      <c r="G4320" s="33"/>
      <c r="H4320" s="33"/>
      <c r="I4320" s="33"/>
      <c r="J4320" s="33"/>
      <c r="K4320" s="33"/>
      <c r="L4320" s="33"/>
      <c r="M4320" s="33"/>
      <c r="N4320" s="33"/>
      <c r="O4320" s="33"/>
      <c r="P4320" s="33"/>
      <c r="Q4320" s="33"/>
      <c r="R4320" s="33"/>
      <c r="S4320" s="33"/>
      <c r="T4320" s="33"/>
      <c r="U4320" s="33"/>
      <c r="V4320" s="33"/>
      <c r="W4320" s="33"/>
      <c r="X4320" s="33"/>
      <c r="Y4320" s="33"/>
      <c r="Z4320" s="33"/>
      <c r="AA4320" s="33"/>
      <c r="AB4320" s="33"/>
      <c r="AC4320" s="33"/>
      <c r="AD4320" s="33"/>
      <c r="AE4320" s="33"/>
      <c r="AF4320" s="33"/>
      <c r="AG4320" s="33"/>
      <c r="AH4320" s="33"/>
      <c r="AI4320" s="33"/>
      <c r="AJ4320" s="33"/>
      <c r="AK4320" s="33"/>
    </row>
    <row r="4321">
      <c r="A4321" s="33"/>
      <c r="B4321" s="33"/>
      <c r="C4321" s="33"/>
      <c r="D4321" s="33"/>
      <c r="E4321" s="33"/>
      <c r="F4321" s="33"/>
      <c r="G4321" s="33"/>
      <c r="H4321" s="33"/>
      <c r="I4321" s="33"/>
      <c r="J4321" s="33"/>
      <c r="K4321" s="33"/>
      <c r="L4321" s="33"/>
      <c r="M4321" s="33"/>
      <c r="N4321" s="33"/>
      <c r="O4321" s="33"/>
      <c r="P4321" s="33"/>
      <c r="Q4321" s="33"/>
      <c r="R4321" s="33"/>
      <c r="S4321" s="33"/>
      <c r="T4321" s="33"/>
      <c r="U4321" s="33"/>
      <c r="V4321" s="33"/>
      <c r="W4321" s="33"/>
      <c r="X4321" s="33"/>
      <c r="Y4321" s="33"/>
      <c r="Z4321" s="33"/>
      <c r="AA4321" s="33"/>
      <c r="AB4321" s="33"/>
      <c r="AC4321" s="33"/>
      <c r="AD4321" s="33"/>
      <c r="AE4321" s="33"/>
      <c r="AF4321" s="33"/>
      <c r="AG4321" s="33"/>
      <c r="AH4321" s="33"/>
      <c r="AI4321" s="33"/>
      <c r="AJ4321" s="33"/>
      <c r="AK4321" s="33"/>
    </row>
    <row r="4322">
      <c r="A4322" s="33"/>
      <c r="B4322" s="33"/>
      <c r="C4322" s="33"/>
      <c r="D4322" s="33"/>
      <c r="E4322" s="33"/>
      <c r="F4322" s="33"/>
      <c r="G4322" s="33"/>
      <c r="H4322" s="33"/>
      <c r="I4322" s="33"/>
      <c r="J4322" s="33"/>
      <c r="K4322" s="33"/>
      <c r="L4322" s="33"/>
      <c r="M4322" s="33"/>
      <c r="N4322" s="33"/>
      <c r="O4322" s="33"/>
      <c r="P4322" s="33"/>
      <c r="Q4322" s="33"/>
      <c r="R4322" s="33"/>
      <c r="S4322" s="33"/>
      <c r="T4322" s="33"/>
      <c r="U4322" s="33"/>
      <c r="V4322" s="33"/>
      <c r="W4322" s="33"/>
      <c r="X4322" s="33"/>
      <c r="Y4322" s="33"/>
      <c r="Z4322" s="33"/>
      <c r="AA4322" s="33"/>
      <c r="AB4322" s="33"/>
      <c r="AC4322" s="33"/>
      <c r="AD4322" s="33"/>
      <c r="AE4322" s="33"/>
      <c r="AF4322" s="33"/>
      <c r="AG4322" s="33"/>
      <c r="AH4322" s="33"/>
      <c r="AI4322" s="33"/>
      <c r="AJ4322" s="33"/>
      <c r="AK4322" s="33"/>
    </row>
    <row r="4323">
      <c r="A4323" s="33"/>
      <c r="B4323" s="33"/>
      <c r="C4323" s="33"/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  <c r="Q4323" s="33"/>
      <c r="R4323" s="33"/>
      <c r="S4323" s="33"/>
      <c r="T4323" s="33"/>
      <c r="U4323" s="33"/>
      <c r="V4323" s="33"/>
      <c r="W4323" s="33"/>
      <c r="X4323" s="33"/>
      <c r="Y4323" s="33"/>
      <c r="Z4323" s="33"/>
      <c r="AA4323" s="33"/>
      <c r="AB4323" s="33"/>
      <c r="AC4323" s="33"/>
      <c r="AD4323" s="33"/>
      <c r="AE4323" s="33"/>
      <c r="AF4323" s="33"/>
      <c r="AG4323" s="33"/>
      <c r="AH4323" s="33"/>
      <c r="AI4323" s="33"/>
      <c r="AJ4323" s="33"/>
      <c r="AK4323" s="33"/>
    </row>
    <row r="4324">
      <c r="A4324" s="33"/>
      <c r="B4324" s="33"/>
      <c r="C4324" s="33"/>
      <c r="D4324" s="33"/>
      <c r="E4324" s="33"/>
      <c r="F4324" s="33"/>
      <c r="G4324" s="33"/>
      <c r="H4324" s="33"/>
      <c r="I4324" s="33"/>
      <c r="J4324" s="33"/>
      <c r="K4324" s="33"/>
      <c r="L4324" s="33"/>
      <c r="M4324" s="33"/>
      <c r="N4324" s="33"/>
      <c r="O4324" s="33"/>
      <c r="P4324" s="33"/>
      <c r="Q4324" s="33"/>
      <c r="R4324" s="33"/>
      <c r="S4324" s="33"/>
      <c r="T4324" s="33"/>
      <c r="U4324" s="33"/>
      <c r="V4324" s="33"/>
      <c r="W4324" s="33"/>
      <c r="X4324" s="33"/>
      <c r="Y4324" s="33"/>
      <c r="Z4324" s="33"/>
      <c r="AA4324" s="33"/>
      <c r="AB4324" s="33"/>
      <c r="AC4324" s="33"/>
      <c r="AD4324" s="33"/>
      <c r="AE4324" s="33"/>
      <c r="AF4324" s="33"/>
      <c r="AG4324" s="33"/>
      <c r="AH4324" s="33"/>
      <c r="AI4324" s="33"/>
      <c r="AJ4324" s="33"/>
      <c r="AK4324" s="33"/>
    </row>
    <row r="4325">
      <c r="A4325" s="33"/>
      <c r="B4325" s="33"/>
      <c r="C4325" s="33"/>
      <c r="D4325" s="33"/>
      <c r="E4325" s="33"/>
      <c r="F4325" s="33"/>
      <c r="G4325" s="33"/>
      <c r="H4325" s="33"/>
      <c r="I4325" s="33"/>
      <c r="J4325" s="33"/>
      <c r="K4325" s="33"/>
      <c r="L4325" s="33"/>
      <c r="M4325" s="33"/>
      <c r="N4325" s="33"/>
      <c r="O4325" s="33"/>
      <c r="P4325" s="33"/>
      <c r="Q4325" s="33"/>
      <c r="R4325" s="33"/>
      <c r="S4325" s="33"/>
      <c r="T4325" s="33"/>
      <c r="U4325" s="33"/>
      <c r="V4325" s="33"/>
      <c r="W4325" s="33"/>
      <c r="X4325" s="33"/>
      <c r="Y4325" s="33"/>
      <c r="Z4325" s="33"/>
      <c r="AA4325" s="33"/>
      <c r="AB4325" s="33"/>
      <c r="AC4325" s="33"/>
      <c r="AD4325" s="33"/>
      <c r="AE4325" s="33"/>
      <c r="AF4325" s="33"/>
      <c r="AG4325" s="33"/>
      <c r="AH4325" s="33"/>
      <c r="AI4325" s="33"/>
      <c r="AJ4325" s="33"/>
      <c r="AK4325" s="33"/>
    </row>
    <row r="4326">
      <c r="A4326" s="33"/>
      <c r="B4326" s="33"/>
      <c r="C4326" s="33"/>
      <c r="D4326" s="33"/>
      <c r="E4326" s="33"/>
      <c r="F4326" s="33"/>
      <c r="G4326" s="33"/>
      <c r="H4326" s="33"/>
      <c r="I4326" s="33"/>
      <c r="J4326" s="33"/>
      <c r="K4326" s="33"/>
      <c r="L4326" s="33"/>
      <c r="M4326" s="33"/>
      <c r="N4326" s="33"/>
      <c r="O4326" s="33"/>
      <c r="P4326" s="33"/>
      <c r="Q4326" s="33"/>
      <c r="R4326" s="33"/>
      <c r="S4326" s="33"/>
      <c r="T4326" s="33"/>
      <c r="U4326" s="33"/>
      <c r="V4326" s="33"/>
      <c r="W4326" s="33"/>
      <c r="X4326" s="33"/>
      <c r="Y4326" s="33"/>
      <c r="Z4326" s="33"/>
      <c r="AA4326" s="33"/>
      <c r="AB4326" s="33"/>
      <c r="AC4326" s="33"/>
      <c r="AD4326" s="33"/>
      <c r="AE4326" s="33"/>
      <c r="AF4326" s="33"/>
      <c r="AG4326" s="33"/>
      <c r="AH4326" s="33"/>
      <c r="AI4326" s="33"/>
      <c r="AJ4326" s="33"/>
      <c r="AK4326" s="33"/>
    </row>
    <row r="4327">
      <c r="A4327" s="33"/>
      <c r="B4327" s="33"/>
      <c r="C4327" s="33"/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  <c r="Q4327" s="33"/>
      <c r="R4327" s="33"/>
      <c r="S4327" s="33"/>
      <c r="T4327" s="33"/>
      <c r="U4327" s="33"/>
      <c r="V4327" s="33"/>
      <c r="W4327" s="33"/>
      <c r="X4327" s="33"/>
      <c r="Y4327" s="33"/>
      <c r="Z4327" s="33"/>
      <c r="AA4327" s="33"/>
      <c r="AB4327" s="33"/>
      <c r="AC4327" s="33"/>
      <c r="AD4327" s="33"/>
      <c r="AE4327" s="33"/>
      <c r="AF4327" s="33"/>
      <c r="AG4327" s="33"/>
      <c r="AH4327" s="33"/>
      <c r="AI4327" s="33"/>
      <c r="AJ4327" s="33"/>
      <c r="AK4327" s="33"/>
    </row>
    <row r="4328">
      <c r="A4328" s="33"/>
      <c r="B4328" s="33"/>
      <c r="C4328" s="33"/>
      <c r="D4328" s="33"/>
      <c r="E4328" s="33"/>
      <c r="F4328" s="33"/>
      <c r="G4328" s="33"/>
      <c r="H4328" s="33"/>
      <c r="I4328" s="33"/>
      <c r="J4328" s="33"/>
      <c r="K4328" s="33"/>
      <c r="L4328" s="33"/>
      <c r="M4328" s="33"/>
      <c r="N4328" s="33"/>
      <c r="O4328" s="33"/>
      <c r="P4328" s="33"/>
      <c r="Q4328" s="33"/>
      <c r="R4328" s="33"/>
      <c r="S4328" s="33"/>
      <c r="T4328" s="33"/>
      <c r="U4328" s="33"/>
      <c r="V4328" s="33"/>
      <c r="W4328" s="33"/>
      <c r="X4328" s="33"/>
      <c r="Y4328" s="33"/>
      <c r="Z4328" s="33"/>
      <c r="AA4328" s="33"/>
      <c r="AB4328" s="33"/>
      <c r="AC4328" s="33"/>
      <c r="AD4328" s="33"/>
      <c r="AE4328" s="33"/>
      <c r="AF4328" s="33"/>
      <c r="AG4328" s="33"/>
      <c r="AH4328" s="33"/>
      <c r="AI4328" s="33"/>
      <c r="AJ4328" s="33"/>
      <c r="AK4328" s="33"/>
    </row>
    <row r="4329">
      <c r="A4329" s="33"/>
      <c r="B4329" s="33"/>
      <c r="C4329" s="33"/>
      <c r="D4329" s="33"/>
      <c r="E4329" s="33"/>
      <c r="F4329" s="33"/>
      <c r="G4329" s="33"/>
      <c r="H4329" s="33"/>
      <c r="I4329" s="33"/>
      <c r="J4329" s="33"/>
      <c r="K4329" s="33"/>
      <c r="L4329" s="33"/>
      <c r="M4329" s="33"/>
      <c r="N4329" s="33"/>
      <c r="O4329" s="33"/>
      <c r="P4329" s="33"/>
      <c r="Q4329" s="33"/>
      <c r="R4329" s="33"/>
      <c r="S4329" s="33"/>
      <c r="T4329" s="33"/>
      <c r="U4329" s="33"/>
      <c r="V4329" s="33"/>
      <c r="W4329" s="33"/>
      <c r="X4329" s="33"/>
      <c r="Y4329" s="33"/>
      <c r="Z4329" s="33"/>
      <c r="AA4329" s="33"/>
      <c r="AB4329" s="33"/>
      <c r="AC4329" s="33"/>
      <c r="AD4329" s="33"/>
      <c r="AE4329" s="33"/>
      <c r="AF4329" s="33"/>
      <c r="AG4329" s="33"/>
      <c r="AH4329" s="33"/>
      <c r="AI4329" s="33"/>
      <c r="AJ4329" s="33"/>
      <c r="AK4329" s="33"/>
    </row>
    <row r="4330">
      <c r="A4330" s="33"/>
      <c r="B4330" s="33"/>
      <c r="C4330" s="33"/>
      <c r="D4330" s="33"/>
      <c r="E4330" s="33"/>
      <c r="F4330" s="33"/>
      <c r="G4330" s="33"/>
      <c r="H4330" s="33"/>
      <c r="I4330" s="33"/>
      <c r="J4330" s="33"/>
      <c r="K4330" s="33"/>
      <c r="L4330" s="33"/>
      <c r="M4330" s="33"/>
      <c r="N4330" s="33"/>
      <c r="O4330" s="33"/>
      <c r="P4330" s="33"/>
      <c r="Q4330" s="33"/>
      <c r="R4330" s="33"/>
      <c r="S4330" s="33"/>
      <c r="T4330" s="33"/>
      <c r="U4330" s="33"/>
      <c r="V4330" s="33"/>
      <c r="W4330" s="33"/>
      <c r="X4330" s="33"/>
      <c r="Y4330" s="33"/>
      <c r="Z4330" s="33"/>
      <c r="AA4330" s="33"/>
      <c r="AB4330" s="33"/>
      <c r="AC4330" s="33"/>
      <c r="AD4330" s="33"/>
      <c r="AE4330" s="33"/>
      <c r="AF4330" s="33"/>
      <c r="AG4330" s="33"/>
      <c r="AH4330" s="33"/>
      <c r="AI4330" s="33"/>
      <c r="AJ4330" s="33"/>
      <c r="AK4330" s="33"/>
    </row>
    <row r="4331">
      <c r="A4331" s="33"/>
      <c r="B4331" s="33"/>
      <c r="C4331" s="33"/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  <c r="Q4331" s="33"/>
      <c r="R4331" s="33"/>
      <c r="S4331" s="33"/>
      <c r="T4331" s="33"/>
      <c r="U4331" s="33"/>
      <c r="V4331" s="33"/>
      <c r="W4331" s="33"/>
      <c r="X4331" s="33"/>
      <c r="Y4331" s="33"/>
      <c r="Z4331" s="33"/>
      <c r="AA4331" s="33"/>
      <c r="AB4331" s="33"/>
      <c r="AC4331" s="33"/>
      <c r="AD4331" s="33"/>
      <c r="AE4331" s="33"/>
      <c r="AF4331" s="33"/>
      <c r="AG4331" s="33"/>
      <c r="AH4331" s="33"/>
      <c r="AI4331" s="33"/>
      <c r="AJ4331" s="33"/>
      <c r="AK4331" s="33"/>
    </row>
    <row r="4332">
      <c r="A4332" s="33"/>
      <c r="B4332" s="33"/>
      <c r="C4332" s="33"/>
      <c r="D4332" s="33"/>
      <c r="E4332" s="33"/>
      <c r="F4332" s="33"/>
      <c r="G4332" s="33"/>
      <c r="H4332" s="33"/>
      <c r="I4332" s="33"/>
      <c r="J4332" s="33"/>
      <c r="K4332" s="33"/>
      <c r="L4332" s="33"/>
      <c r="M4332" s="33"/>
      <c r="N4332" s="33"/>
      <c r="O4332" s="33"/>
      <c r="P4332" s="33"/>
      <c r="Q4332" s="33"/>
      <c r="R4332" s="33"/>
      <c r="S4332" s="33"/>
      <c r="T4332" s="33"/>
      <c r="U4332" s="33"/>
      <c r="V4332" s="33"/>
      <c r="W4332" s="33"/>
      <c r="X4332" s="33"/>
      <c r="Y4332" s="33"/>
      <c r="Z4332" s="33"/>
      <c r="AA4332" s="33"/>
      <c r="AB4332" s="33"/>
      <c r="AC4332" s="33"/>
      <c r="AD4332" s="33"/>
      <c r="AE4332" s="33"/>
      <c r="AF4332" s="33"/>
      <c r="AG4332" s="33"/>
      <c r="AH4332" s="33"/>
      <c r="AI4332" s="33"/>
      <c r="AJ4332" s="33"/>
      <c r="AK4332" s="33"/>
    </row>
    <row r="4333">
      <c r="A4333" s="33"/>
      <c r="B4333" s="33"/>
      <c r="C4333" s="33"/>
      <c r="D4333" s="33"/>
      <c r="E4333" s="33"/>
      <c r="F4333" s="33"/>
      <c r="G4333" s="33"/>
      <c r="H4333" s="33"/>
      <c r="I4333" s="33"/>
      <c r="J4333" s="33"/>
      <c r="K4333" s="33"/>
      <c r="L4333" s="33"/>
      <c r="M4333" s="33"/>
      <c r="N4333" s="33"/>
      <c r="O4333" s="33"/>
      <c r="P4333" s="33"/>
      <c r="Q4333" s="33"/>
      <c r="R4333" s="33"/>
      <c r="S4333" s="33"/>
      <c r="T4333" s="33"/>
      <c r="U4333" s="33"/>
      <c r="V4333" s="33"/>
      <c r="W4333" s="33"/>
      <c r="X4333" s="33"/>
      <c r="Y4333" s="33"/>
      <c r="Z4333" s="33"/>
      <c r="AA4333" s="33"/>
      <c r="AB4333" s="33"/>
      <c r="AC4333" s="33"/>
      <c r="AD4333" s="33"/>
      <c r="AE4333" s="33"/>
      <c r="AF4333" s="33"/>
      <c r="AG4333" s="33"/>
      <c r="AH4333" s="33"/>
      <c r="AI4333" s="33"/>
      <c r="AJ4333" s="33"/>
      <c r="AK4333" s="33"/>
    </row>
    <row r="4334">
      <c r="A4334" s="33"/>
      <c r="B4334" s="33"/>
      <c r="C4334" s="33"/>
      <c r="D4334" s="33"/>
      <c r="E4334" s="33"/>
      <c r="F4334" s="33"/>
      <c r="G4334" s="33"/>
      <c r="H4334" s="33"/>
      <c r="I4334" s="33"/>
      <c r="J4334" s="33"/>
      <c r="K4334" s="33"/>
      <c r="L4334" s="33"/>
      <c r="M4334" s="33"/>
      <c r="N4334" s="33"/>
      <c r="O4334" s="33"/>
      <c r="P4334" s="33"/>
      <c r="Q4334" s="33"/>
      <c r="R4334" s="33"/>
      <c r="S4334" s="33"/>
      <c r="T4334" s="33"/>
      <c r="U4334" s="33"/>
      <c r="V4334" s="33"/>
      <c r="W4334" s="33"/>
      <c r="X4334" s="33"/>
      <c r="Y4334" s="33"/>
      <c r="Z4334" s="33"/>
      <c r="AA4334" s="33"/>
      <c r="AB4334" s="33"/>
      <c r="AC4334" s="33"/>
      <c r="AD4334" s="33"/>
      <c r="AE4334" s="33"/>
      <c r="AF4334" s="33"/>
      <c r="AG4334" s="33"/>
      <c r="AH4334" s="33"/>
      <c r="AI4334" s="33"/>
      <c r="AJ4334" s="33"/>
      <c r="AK4334" s="33"/>
    </row>
    <row r="4335">
      <c r="A4335" s="33"/>
      <c r="B4335" s="33"/>
      <c r="C4335" s="33"/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  <c r="Q4335" s="33"/>
      <c r="R4335" s="33"/>
      <c r="S4335" s="33"/>
      <c r="T4335" s="33"/>
      <c r="U4335" s="33"/>
      <c r="V4335" s="33"/>
      <c r="W4335" s="33"/>
      <c r="X4335" s="33"/>
      <c r="Y4335" s="33"/>
      <c r="Z4335" s="33"/>
      <c r="AA4335" s="33"/>
      <c r="AB4335" s="33"/>
      <c r="AC4335" s="33"/>
      <c r="AD4335" s="33"/>
      <c r="AE4335" s="33"/>
      <c r="AF4335" s="33"/>
      <c r="AG4335" s="33"/>
      <c r="AH4335" s="33"/>
      <c r="AI4335" s="33"/>
      <c r="AJ4335" s="33"/>
      <c r="AK4335" s="33"/>
    </row>
    <row r="4336">
      <c r="A4336" s="33"/>
      <c r="B4336" s="33"/>
      <c r="C4336" s="33"/>
      <c r="D4336" s="33"/>
      <c r="E4336" s="33"/>
      <c r="F4336" s="33"/>
      <c r="G4336" s="33"/>
      <c r="H4336" s="33"/>
      <c r="I4336" s="33"/>
      <c r="J4336" s="33"/>
      <c r="K4336" s="33"/>
      <c r="L4336" s="33"/>
      <c r="M4336" s="33"/>
      <c r="N4336" s="33"/>
      <c r="O4336" s="33"/>
      <c r="P4336" s="33"/>
      <c r="Q4336" s="33"/>
      <c r="R4336" s="33"/>
      <c r="S4336" s="33"/>
      <c r="T4336" s="33"/>
      <c r="U4336" s="33"/>
      <c r="V4336" s="33"/>
      <c r="W4336" s="33"/>
      <c r="X4336" s="33"/>
      <c r="Y4336" s="33"/>
      <c r="Z4336" s="33"/>
      <c r="AA4336" s="33"/>
      <c r="AB4336" s="33"/>
      <c r="AC4336" s="33"/>
      <c r="AD4336" s="33"/>
      <c r="AE4336" s="33"/>
      <c r="AF4336" s="33"/>
      <c r="AG4336" s="33"/>
      <c r="AH4336" s="33"/>
      <c r="AI4336" s="33"/>
      <c r="AJ4336" s="33"/>
      <c r="AK4336" s="33"/>
    </row>
    <row r="4337">
      <c r="A4337" s="33"/>
      <c r="B4337" s="33"/>
      <c r="C4337" s="33"/>
      <c r="D4337" s="33"/>
      <c r="E4337" s="33"/>
      <c r="F4337" s="33"/>
      <c r="G4337" s="33"/>
      <c r="H4337" s="33"/>
      <c r="I4337" s="33"/>
      <c r="J4337" s="33"/>
      <c r="K4337" s="33"/>
      <c r="L4337" s="33"/>
      <c r="M4337" s="33"/>
      <c r="N4337" s="33"/>
      <c r="O4337" s="33"/>
      <c r="P4337" s="33"/>
      <c r="Q4337" s="33"/>
      <c r="R4337" s="33"/>
      <c r="S4337" s="33"/>
      <c r="T4337" s="33"/>
      <c r="U4337" s="33"/>
      <c r="V4337" s="33"/>
      <c r="W4337" s="33"/>
      <c r="X4337" s="33"/>
      <c r="Y4337" s="33"/>
      <c r="Z4337" s="33"/>
      <c r="AA4337" s="33"/>
      <c r="AB4337" s="33"/>
      <c r="AC4337" s="33"/>
      <c r="AD4337" s="33"/>
      <c r="AE4337" s="33"/>
      <c r="AF4337" s="33"/>
      <c r="AG4337" s="33"/>
      <c r="AH4337" s="33"/>
      <c r="AI4337" s="33"/>
      <c r="AJ4337" s="33"/>
      <c r="AK4337" s="33"/>
    </row>
    <row r="4338">
      <c r="A4338" s="33"/>
      <c r="B4338" s="33"/>
      <c r="C4338" s="33"/>
      <c r="D4338" s="33"/>
      <c r="E4338" s="33"/>
      <c r="F4338" s="33"/>
      <c r="G4338" s="33"/>
      <c r="H4338" s="33"/>
      <c r="I4338" s="33"/>
      <c r="J4338" s="33"/>
      <c r="K4338" s="33"/>
      <c r="L4338" s="33"/>
      <c r="M4338" s="33"/>
      <c r="N4338" s="33"/>
      <c r="O4338" s="33"/>
      <c r="P4338" s="33"/>
      <c r="Q4338" s="33"/>
      <c r="R4338" s="33"/>
      <c r="S4338" s="33"/>
      <c r="T4338" s="33"/>
      <c r="U4338" s="33"/>
      <c r="V4338" s="33"/>
      <c r="W4338" s="33"/>
      <c r="X4338" s="33"/>
      <c r="Y4338" s="33"/>
      <c r="Z4338" s="33"/>
      <c r="AA4338" s="33"/>
      <c r="AB4338" s="33"/>
      <c r="AC4338" s="33"/>
      <c r="AD4338" s="33"/>
      <c r="AE4338" s="33"/>
      <c r="AF4338" s="33"/>
      <c r="AG4338" s="33"/>
      <c r="AH4338" s="33"/>
      <c r="AI4338" s="33"/>
      <c r="AJ4338" s="33"/>
      <c r="AK4338" s="33"/>
    </row>
    <row r="4339">
      <c r="A4339" s="33"/>
      <c r="B4339" s="33"/>
      <c r="C4339" s="33"/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3"/>
      <c r="S4339" s="33"/>
      <c r="T4339" s="33"/>
      <c r="U4339" s="33"/>
      <c r="V4339" s="33"/>
      <c r="W4339" s="33"/>
      <c r="X4339" s="33"/>
      <c r="Y4339" s="33"/>
      <c r="Z4339" s="33"/>
      <c r="AA4339" s="33"/>
      <c r="AB4339" s="33"/>
      <c r="AC4339" s="33"/>
      <c r="AD4339" s="33"/>
      <c r="AE4339" s="33"/>
      <c r="AF4339" s="33"/>
      <c r="AG4339" s="33"/>
      <c r="AH4339" s="33"/>
      <c r="AI4339" s="33"/>
      <c r="AJ4339" s="33"/>
      <c r="AK4339" s="33"/>
    </row>
    <row r="4340">
      <c r="A4340" s="33"/>
      <c r="B4340" s="33"/>
      <c r="C4340" s="33"/>
      <c r="D4340" s="33"/>
      <c r="E4340" s="33"/>
      <c r="F4340" s="33"/>
      <c r="G4340" s="33"/>
      <c r="H4340" s="33"/>
      <c r="I4340" s="33"/>
      <c r="J4340" s="33"/>
      <c r="K4340" s="33"/>
      <c r="L4340" s="33"/>
      <c r="M4340" s="33"/>
      <c r="N4340" s="33"/>
      <c r="O4340" s="33"/>
      <c r="P4340" s="33"/>
      <c r="Q4340" s="33"/>
      <c r="R4340" s="33"/>
      <c r="S4340" s="33"/>
      <c r="T4340" s="33"/>
      <c r="U4340" s="33"/>
      <c r="V4340" s="33"/>
      <c r="W4340" s="33"/>
      <c r="X4340" s="33"/>
      <c r="Y4340" s="33"/>
      <c r="Z4340" s="33"/>
      <c r="AA4340" s="33"/>
      <c r="AB4340" s="33"/>
      <c r="AC4340" s="33"/>
      <c r="AD4340" s="33"/>
      <c r="AE4340" s="33"/>
      <c r="AF4340" s="33"/>
      <c r="AG4340" s="33"/>
      <c r="AH4340" s="33"/>
      <c r="AI4340" s="33"/>
      <c r="AJ4340" s="33"/>
      <c r="AK4340" s="33"/>
    </row>
    <row r="4341">
      <c r="A4341" s="33"/>
      <c r="B4341" s="33"/>
      <c r="C4341" s="33"/>
      <c r="D4341" s="33"/>
      <c r="E4341" s="33"/>
      <c r="F4341" s="33"/>
      <c r="G4341" s="33"/>
      <c r="H4341" s="33"/>
      <c r="I4341" s="33"/>
      <c r="J4341" s="33"/>
      <c r="K4341" s="33"/>
      <c r="L4341" s="33"/>
      <c r="M4341" s="33"/>
      <c r="N4341" s="33"/>
      <c r="O4341" s="33"/>
      <c r="P4341" s="33"/>
      <c r="Q4341" s="33"/>
      <c r="R4341" s="33"/>
      <c r="S4341" s="33"/>
      <c r="T4341" s="33"/>
      <c r="U4341" s="33"/>
      <c r="V4341" s="33"/>
      <c r="W4341" s="33"/>
      <c r="X4341" s="33"/>
      <c r="Y4341" s="33"/>
      <c r="Z4341" s="33"/>
      <c r="AA4341" s="33"/>
      <c r="AB4341" s="33"/>
      <c r="AC4341" s="33"/>
      <c r="AD4341" s="33"/>
      <c r="AE4341" s="33"/>
      <c r="AF4341" s="33"/>
      <c r="AG4341" s="33"/>
      <c r="AH4341" s="33"/>
      <c r="AI4341" s="33"/>
      <c r="AJ4341" s="33"/>
      <c r="AK4341" s="33"/>
    </row>
    <row r="4342">
      <c r="A4342" s="33"/>
      <c r="B4342" s="33"/>
      <c r="C4342" s="33"/>
      <c r="D4342" s="33"/>
      <c r="E4342" s="33"/>
      <c r="F4342" s="33"/>
      <c r="G4342" s="33"/>
      <c r="H4342" s="33"/>
      <c r="I4342" s="33"/>
      <c r="J4342" s="33"/>
      <c r="K4342" s="33"/>
      <c r="L4342" s="33"/>
      <c r="M4342" s="33"/>
      <c r="N4342" s="33"/>
      <c r="O4342" s="33"/>
      <c r="P4342" s="33"/>
      <c r="Q4342" s="33"/>
      <c r="R4342" s="33"/>
      <c r="S4342" s="33"/>
      <c r="T4342" s="33"/>
      <c r="U4342" s="33"/>
      <c r="V4342" s="33"/>
      <c r="W4342" s="33"/>
      <c r="X4342" s="33"/>
      <c r="Y4342" s="33"/>
      <c r="Z4342" s="33"/>
      <c r="AA4342" s="33"/>
      <c r="AB4342" s="33"/>
      <c r="AC4342" s="33"/>
      <c r="AD4342" s="33"/>
      <c r="AE4342" s="33"/>
      <c r="AF4342" s="33"/>
      <c r="AG4342" s="33"/>
      <c r="AH4342" s="33"/>
      <c r="AI4342" s="33"/>
      <c r="AJ4342" s="33"/>
      <c r="AK4342" s="33"/>
    </row>
    <row r="4343">
      <c r="A4343" s="33"/>
      <c r="B4343" s="33"/>
      <c r="C4343" s="33"/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  <c r="Q4343" s="33"/>
      <c r="R4343" s="33"/>
      <c r="S4343" s="33"/>
      <c r="T4343" s="33"/>
      <c r="U4343" s="33"/>
      <c r="V4343" s="33"/>
      <c r="W4343" s="33"/>
      <c r="X4343" s="33"/>
      <c r="Y4343" s="33"/>
      <c r="Z4343" s="33"/>
      <c r="AA4343" s="33"/>
      <c r="AB4343" s="33"/>
      <c r="AC4343" s="33"/>
      <c r="AD4343" s="33"/>
      <c r="AE4343" s="33"/>
      <c r="AF4343" s="33"/>
      <c r="AG4343" s="33"/>
      <c r="AH4343" s="33"/>
      <c r="AI4343" s="33"/>
      <c r="AJ4343" s="33"/>
      <c r="AK4343" s="33"/>
    </row>
    <row r="4344">
      <c r="A4344" s="33"/>
      <c r="B4344" s="33"/>
      <c r="C4344" s="33"/>
      <c r="D4344" s="33"/>
      <c r="E4344" s="33"/>
      <c r="F4344" s="33"/>
      <c r="G4344" s="33"/>
      <c r="H4344" s="33"/>
      <c r="I4344" s="33"/>
      <c r="J4344" s="33"/>
      <c r="K4344" s="33"/>
      <c r="L4344" s="33"/>
      <c r="M4344" s="33"/>
      <c r="N4344" s="33"/>
      <c r="O4344" s="33"/>
      <c r="P4344" s="33"/>
      <c r="Q4344" s="33"/>
      <c r="R4344" s="33"/>
      <c r="S4344" s="33"/>
      <c r="T4344" s="33"/>
      <c r="U4344" s="33"/>
      <c r="V4344" s="33"/>
      <c r="W4344" s="33"/>
      <c r="X4344" s="33"/>
      <c r="Y4344" s="33"/>
      <c r="Z4344" s="33"/>
      <c r="AA4344" s="33"/>
      <c r="AB4344" s="33"/>
      <c r="AC4344" s="33"/>
      <c r="AD4344" s="33"/>
      <c r="AE4344" s="33"/>
      <c r="AF4344" s="33"/>
      <c r="AG4344" s="33"/>
      <c r="AH4344" s="33"/>
      <c r="AI4344" s="33"/>
      <c r="AJ4344" s="33"/>
      <c r="AK4344" s="33"/>
    </row>
    <row r="4345">
      <c r="A4345" s="33"/>
      <c r="B4345" s="33"/>
      <c r="C4345" s="33"/>
      <c r="D4345" s="33"/>
      <c r="E4345" s="33"/>
      <c r="F4345" s="33"/>
      <c r="G4345" s="33"/>
      <c r="H4345" s="33"/>
      <c r="I4345" s="33"/>
      <c r="J4345" s="33"/>
      <c r="K4345" s="33"/>
      <c r="L4345" s="33"/>
      <c r="M4345" s="33"/>
      <c r="N4345" s="33"/>
      <c r="O4345" s="33"/>
      <c r="P4345" s="33"/>
      <c r="Q4345" s="33"/>
      <c r="R4345" s="33"/>
      <c r="S4345" s="33"/>
      <c r="T4345" s="33"/>
      <c r="U4345" s="33"/>
      <c r="V4345" s="33"/>
      <c r="W4345" s="33"/>
      <c r="X4345" s="33"/>
      <c r="Y4345" s="33"/>
      <c r="Z4345" s="33"/>
      <c r="AA4345" s="33"/>
      <c r="AB4345" s="33"/>
      <c r="AC4345" s="33"/>
      <c r="AD4345" s="33"/>
      <c r="AE4345" s="33"/>
      <c r="AF4345" s="33"/>
      <c r="AG4345" s="33"/>
      <c r="AH4345" s="33"/>
      <c r="AI4345" s="33"/>
      <c r="AJ4345" s="33"/>
      <c r="AK4345" s="33"/>
    </row>
    <row r="4346">
      <c r="A4346" s="33"/>
      <c r="B4346" s="33"/>
      <c r="C4346" s="33"/>
      <c r="D4346" s="33"/>
      <c r="E4346" s="33"/>
      <c r="F4346" s="33"/>
      <c r="G4346" s="33"/>
      <c r="H4346" s="33"/>
      <c r="I4346" s="33"/>
      <c r="J4346" s="33"/>
      <c r="K4346" s="33"/>
      <c r="L4346" s="33"/>
      <c r="M4346" s="33"/>
      <c r="N4346" s="33"/>
      <c r="O4346" s="33"/>
      <c r="P4346" s="33"/>
      <c r="Q4346" s="33"/>
      <c r="R4346" s="33"/>
      <c r="S4346" s="33"/>
      <c r="T4346" s="33"/>
      <c r="U4346" s="33"/>
      <c r="V4346" s="33"/>
      <c r="W4346" s="33"/>
      <c r="X4346" s="33"/>
      <c r="Y4346" s="33"/>
      <c r="Z4346" s="33"/>
      <c r="AA4346" s="33"/>
      <c r="AB4346" s="33"/>
      <c r="AC4346" s="33"/>
      <c r="AD4346" s="33"/>
      <c r="AE4346" s="33"/>
      <c r="AF4346" s="33"/>
      <c r="AG4346" s="33"/>
      <c r="AH4346" s="33"/>
      <c r="AI4346" s="33"/>
      <c r="AJ4346" s="33"/>
      <c r="AK4346" s="33"/>
    </row>
    <row r="4347">
      <c r="A4347" s="33"/>
      <c r="B4347" s="33"/>
      <c r="C4347" s="33"/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33"/>
      <c r="V4347" s="33"/>
      <c r="W4347" s="33"/>
      <c r="X4347" s="33"/>
      <c r="Y4347" s="33"/>
      <c r="Z4347" s="33"/>
      <c r="AA4347" s="33"/>
      <c r="AB4347" s="33"/>
      <c r="AC4347" s="33"/>
      <c r="AD4347" s="33"/>
      <c r="AE4347" s="33"/>
      <c r="AF4347" s="33"/>
      <c r="AG4347" s="33"/>
      <c r="AH4347" s="33"/>
      <c r="AI4347" s="33"/>
      <c r="AJ4347" s="33"/>
      <c r="AK4347" s="33"/>
    </row>
    <row r="4348">
      <c r="A4348" s="33"/>
      <c r="B4348" s="33"/>
      <c r="C4348" s="33"/>
      <c r="D4348" s="33"/>
      <c r="E4348" s="33"/>
      <c r="F4348" s="33"/>
      <c r="G4348" s="33"/>
      <c r="H4348" s="33"/>
      <c r="I4348" s="33"/>
      <c r="J4348" s="33"/>
      <c r="K4348" s="33"/>
      <c r="L4348" s="33"/>
      <c r="M4348" s="33"/>
      <c r="N4348" s="33"/>
      <c r="O4348" s="33"/>
      <c r="P4348" s="33"/>
      <c r="Q4348" s="33"/>
      <c r="R4348" s="33"/>
      <c r="S4348" s="33"/>
      <c r="T4348" s="33"/>
      <c r="U4348" s="33"/>
      <c r="V4348" s="33"/>
      <c r="W4348" s="33"/>
      <c r="X4348" s="33"/>
      <c r="Y4348" s="33"/>
      <c r="Z4348" s="33"/>
      <c r="AA4348" s="33"/>
      <c r="AB4348" s="33"/>
      <c r="AC4348" s="33"/>
      <c r="AD4348" s="33"/>
      <c r="AE4348" s="33"/>
      <c r="AF4348" s="33"/>
      <c r="AG4348" s="33"/>
      <c r="AH4348" s="33"/>
      <c r="AI4348" s="33"/>
      <c r="AJ4348" s="33"/>
      <c r="AK4348" s="33"/>
    </row>
    <row r="4349">
      <c r="A4349" s="33"/>
      <c r="B4349" s="33"/>
      <c r="C4349" s="33"/>
      <c r="D4349" s="33"/>
      <c r="E4349" s="33"/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33"/>
      <c r="Q4349" s="33"/>
      <c r="R4349" s="33"/>
      <c r="S4349" s="33"/>
      <c r="T4349" s="33"/>
      <c r="U4349" s="33"/>
      <c r="V4349" s="33"/>
      <c r="W4349" s="33"/>
      <c r="X4349" s="33"/>
      <c r="Y4349" s="33"/>
      <c r="Z4349" s="33"/>
      <c r="AA4349" s="33"/>
      <c r="AB4349" s="33"/>
      <c r="AC4349" s="33"/>
      <c r="AD4349" s="33"/>
      <c r="AE4349" s="33"/>
      <c r="AF4349" s="33"/>
      <c r="AG4349" s="33"/>
      <c r="AH4349" s="33"/>
      <c r="AI4349" s="33"/>
      <c r="AJ4349" s="33"/>
      <c r="AK4349" s="33"/>
    </row>
    <row r="4350">
      <c r="A4350" s="33"/>
      <c r="B4350" s="33"/>
      <c r="C4350" s="33"/>
      <c r="D4350" s="33"/>
      <c r="E4350" s="33"/>
      <c r="F4350" s="33"/>
      <c r="G4350" s="33"/>
      <c r="H4350" s="33"/>
      <c r="I4350" s="33"/>
      <c r="J4350" s="33"/>
      <c r="K4350" s="33"/>
      <c r="L4350" s="33"/>
      <c r="M4350" s="33"/>
      <c r="N4350" s="33"/>
      <c r="O4350" s="33"/>
      <c r="P4350" s="33"/>
      <c r="Q4350" s="33"/>
      <c r="R4350" s="33"/>
      <c r="S4350" s="33"/>
      <c r="T4350" s="33"/>
      <c r="U4350" s="33"/>
      <c r="V4350" s="33"/>
      <c r="W4350" s="33"/>
      <c r="X4350" s="33"/>
      <c r="Y4350" s="33"/>
      <c r="Z4350" s="33"/>
      <c r="AA4350" s="33"/>
      <c r="AB4350" s="33"/>
      <c r="AC4350" s="33"/>
      <c r="AD4350" s="33"/>
      <c r="AE4350" s="33"/>
      <c r="AF4350" s="33"/>
      <c r="AG4350" s="33"/>
      <c r="AH4350" s="33"/>
      <c r="AI4350" s="33"/>
      <c r="AJ4350" s="33"/>
      <c r="AK4350" s="33"/>
    </row>
    <row r="4351">
      <c r="A4351" s="33"/>
      <c r="B4351" s="33"/>
      <c r="C4351" s="33"/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  <c r="Q4351" s="33"/>
      <c r="R4351" s="33"/>
      <c r="S4351" s="33"/>
      <c r="T4351" s="33"/>
      <c r="U4351" s="33"/>
      <c r="V4351" s="33"/>
      <c r="W4351" s="33"/>
      <c r="X4351" s="33"/>
      <c r="Y4351" s="33"/>
      <c r="Z4351" s="33"/>
      <c r="AA4351" s="33"/>
      <c r="AB4351" s="33"/>
      <c r="AC4351" s="33"/>
      <c r="AD4351" s="33"/>
      <c r="AE4351" s="33"/>
      <c r="AF4351" s="33"/>
      <c r="AG4351" s="33"/>
      <c r="AH4351" s="33"/>
      <c r="AI4351" s="33"/>
      <c r="AJ4351" s="33"/>
      <c r="AK4351" s="33"/>
    </row>
    <row r="4352">
      <c r="A4352" s="33"/>
      <c r="B4352" s="33"/>
      <c r="C4352" s="33"/>
      <c r="D4352" s="33"/>
      <c r="E4352" s="33"/>
      <c r="F4352" s="33"/>
      <c r="G4352" s="33"/>
      <c r="H4352" s="33"/>
      <c r="I4352" s="33"/>
      <c r="J4352" s="33"/>
      <c r="K4352" s="33"/>
      <c r="L4352" s="33"/>
      <c r="M4352" s="33"/>
      <c r="N4352" s="33"/>
      <c r="O4352" s="33"/>
      <c r="P4352" s="33"/>
      <c r="Q4352" s="33"/>
      <c r="R4352" s="33"/>
      <c r="S4352" s="33"/>
      <c r="T4352" s="33"/>
      <c r="U4352" s="33"/>
      <c r="V4352" s="33"/>
      <c r="W4352" s="33"/>
      <c r="X4352" s="33"/>
      <c r="Y4352" s="33"/>
      <c r="Z4352" s="33"/>
      <c r="AA4352" s="33"/>
      <c r="AB4352" s="33"/>
      <c r="AC4352" s="33"/>
      <c r="AD4352" s="33"/>
      <c r="AE4352" s="33"/>
      <c r="AF4352" s="33"/>
      <c r="AG4352" s="33"/>
      <c r="AH4352" s="33"/>
      <c r="AI4352" s="33"/>
      <c r="AJ4352" s="33"/>
      <c r="AK4352" s="33"/>
    </row>
    <row r="4353">
      <c r="A4353" s="33"/>
      <c r="B4353" s="33"/>
      <c r="C4353" s="33"/>
      <c r="D4353" s="33"/>
      <c r="E4353" s="33"/>
      <c r="F4353" s="33"/>
      <c r="G4353" s="33"/>
      <c r="H4353" s="33"/>
      <c r="I4353" s="33"/>
      <c r="J4353" s="33"/>
      <c r="K4353" s="33"/>
      <c r="L4353" s="33"/>
      <c r="M4353" s="33"/>
      <c r="N4353" s="33"/>
      <c r="O4353" s="33"/>
      <c r="P4353" s="33"/>
      <c r="Q4353" s="33"/>
      <c r="R4353" s="33"/>
      <c r="S4353" s="33"/>
      <c r="T4353" s="33"/>
      <c r="U4353" s="33"/>
      <c r="V4353" s="33"/>
      <c r="W4353" s="33"/>
      <c r="X4353" s="33"/>
      <c r="Y4353" s="33"/>
      <c r="Z4353" s="33"/>
      <c r="AA4353" s="33"/>
      <c r="AB4353" s="33"/>
      <c r="AC4353" s="33"/>
      <c r="AD4353" s="33"/>
      <c r="AE4353" s="33"/>
      <c r="AF4353" s="33"/>
      <c r="AG4353" s="33"/>
      <c r="AH4353" s="33"/>
      <c r="AI4353" s="33"/>
      <c r="AJ4353" s="33"/>
      <c r="AK4353" s="33"/>
    </row>
    <row r="4354">
      <c r="A4354" s="33"/>
      <c r="B4354" s="33"/>
      <c r="C4354" s="33"/>
      <c r="D4354" s="33"/>
      <c r="E4354" s="33"/>
      <c r="F4354" s="33"/>
      <c r="G4354" s="33"/>
      <c r="H4354" s="33"/>
      <c r="I4354" s="33"/>
      <c r="J4354" s="33"/>
      <c r="K4354" s="33"/>
      <c r="L4354" s="33"/>
      <c r="M4354" s="33"/>
      <c r="N4354" s="33"/>
      <c r="O4354" s="33"/>
      <c r="P4354" s="33"/>
      <c r="Q4354" s="33"/>
      <c r="R4354" s="33"/>
      <c r="S4354" s="33"/>
      <c r="T4354" s="33"/>
      <c r="U4354" s="33"/>
      <c r="V4354" s="33"/>
      <c r="W4354" s="33"/>
      <c r="X4354" s="33"/>
      <c r="Y4354" s="33"/>
      <c r="Z4354" s="33"/>
      <c r="AA4354" s="33"/>
      <c r="AB4354" s="33"/>
      <c r="AC4354" s="33"/>
      <c r="AD4354" s="33"/>
      <c r="AE4354" s="33"/>
      <c r="AF4354" s="33"/>
      <c r="AG4354" s="33"/>
      <c r="AH4354" s="33"/>
      <c r="AI4354" s="33"/>
      <c r="AJ4354" s="33"/>
      <c r="AK4354" s="33"/>
    </row>
    <row r="4355">
      <c r="A4355" s="33"/>
      <c r="B4355" s="33"/>
      <c r="C4355" s="33"/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  <c r="Q4355" s="33"/>
      <c r="R4355" s="33"/>
      <c r="S4355" s="33"/>
      <c r="T4355" s="33"/>
      <c r="U4355" s="33"/>
      <c r="V4355" s="33"/>
      <c r="W4355" s="33"/>
      <c r="X4355" s="33"/>
      <c r="Y4355" s="33"/>
      <c r="Z4355" s="33"/>
      <c r="AA4355" s="33"/>
      <c r="AB4355" s="33"/>
      <c r="AC4355" s="33"/>
      <c r="AD4355" s="33"/>
      <c r="AE4355" s="33"/>
      <c r="AF4355" s="33"/>
      <c r="AG4355" s="33"/>
      <c r="AH4355" s="33"/>
      <c r="AI4355" s="33"/>
      <c r="AJ4355" s="33"/>
      <c r="AK4355" s="33"/>
    </row>
    <row r="4356">
      <c r="A4356" s="33"/>
      <c r="B4356" s="33"/>
      <c r="C4356" s="33"/>
      <c r="D4356" s="33"/>
      <c r="E4356" s="33"/>
      <c r="F4356" s="33"/>
      <c r="G4356" s="33"/>
      <c r="H4356" s="33"/>
      <c r="I4356" s="33"/>
      <c r="J4356" s="33"/>
      <c r="K4356" s="33"/>
      <c r="L4356" s="33"/>
      <c r="M4356" s="33"/>
      <c r="N4356" s="33"/>
      <c r="O4356" s="33"/>
      <c r="P4356" s="33"/>
      <c r="Q4356" s="33"/>
      <c r="R4356" s="33"/>
      <c r="S4356" s="33"/>
      <c r="T4356" s="33"/>
      <c r="U4356" s="33"/>
      <c r="V4356" s="33"/>
      <c r="W4356" s="33"/>
      <c r="X4356" s="33"/>
      <c r="Y4356" s="33"/>
      <c r="Z4356" s="33"/>
      <c r="AA4356" s="33"/>
      <c r="AB4356" s="33"/>
      <c r="AC4356" s="33"/>
      <c r="AD4356" s="33"/>
      <c r="AE4356" s="33"/>
      <c r="AF4356" s="33"/>
      <c r="AG4356" s="33"/>
      <c r="AH4356" s="33"/>
      <c r="AI4356" s="33"/>
      <c r="AJ4356" s="33"/>
      <c r="AK4356" s="33"/>
    </row>
    <row r="4357">
      <c r="A4357" s="33"/>
      <c r="B4357" s="33"/>
      <c r="C4357" s="33"/>
      <c r="D4357" s="33"/>
      <c r="E4357" s="33"/>
      <c r="F4357" s="33"/>
      <c r="G4357" s="33"/>
      <c r="H4357" s="33"/>
      <c r="I4357" s="33"/>
      <c r="J4357" s="33"/>
      <c r="K4357" s="33"/>
      <c r="L4357" s="33"/>
      <c r="M4357" s="33"/>
      <c r="N4357" s="33"/>
      <c r="O4357" s="33"/>
      <c r="P4357" s="33"/>
      <c r="Q4357" s="33"/>
      <c r="R4357" s="33"/>
      <c r="S4357" s="33"/>
      <c r="T4357" s="33"/>
      <c r="U4357" s="33"/>
      <c r="V4357" s="33"/>
      <c r="W4357" s="33"/>
      <c r="X4357" s="33"/>
      <c r="Y4357" s="33"/>
      <c r="Z4357" s="33"/>
      <c r="AA4357" s="33"/>
      <c r="AB4357" s="33"/>
      <c r="AC4357" s="33"/>
      <c r="AD4357" s="33"/>
      <c r="AE4357" s="33"/>
      <c r="AF4357" s="33"/>
      <c r="AG4357" s="33"/>
      <c r="AH4357" s="33"/>
      <c r="AI4357" s="33"/>
      <c r="AJ4357" s="33"/>
      <c r="AK4357" s="33"/>
    </row>
    <row r="4358">
      <c r="A4358" s="33"/>
      <c r="B4358" s="33"/>
      <c r="C4358" s="33"/>
      <c r="D4358" s="33"/>
      <c r="E4358" s="33"/>
      <c r="F4358" s="33"/>
      <c r="G4358" s="33"/>
      <c r="H4358" s="33"/>
      <c r="I4358" s="33"/>
      <c r="J4358" s="33"/>
      <c r="K4358" s="33"/>
      <c r="L4358" s="33"/>
      <c r="M4358" s="33"/>
      <c r="N4358" s="33"/>
      <c r="O4358" s="33"/>
      <c r="P4358" s="33"/>
      <c r="Q4358" s="33"/>
      <c r="R4358" s="33"/>
      <c r="S4358" s="33"/>
      <c r="T4358" s="33"/>
      <c r="U4358" s="33"/>
      <c r="V4358" s="33"/>
      <c r="W4358" s="33"/>
      <c r="X4358" s="33"/>
      <c r="Y4358" s="33"/>
      <c r="Z4358" s="33"/>
      <c r="AA4358" s="33"/>
      <c r="AB4358" s="33"/>
      <c r="AC4358" s="33"/>
      <c r="AD4358" s="33"/>
      <c r="AE4358" s="33"/>
      <c r="AF4358" s="33"/>
      <c r="AG4358" s="33"/>
      <c r="AH4358" s="33"/>
      <c r="AI4358" s="33"/>
      <c r="AJ4358" s="33"/>
      <c r="AK4358" s="33"/>
    </row>
    <row r="4359">
      <c r="A4359" s="33"/>
      <c r="B4359" s="33"/>
      <c r="C4359" s="33"/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  <c r="Q4359" s="33"/>
      <c r="R4359" s="33"/>
      <c r="S4359" s="33"/>
      <c r="T4359" s="33"/>
      <c r="U4359" s="33"/>
      <c r="V4359" s="33"/>
      <c r="W4359" s="33"/>
      <c r="X4359" s="33"/>
      <c r="Y4359" s="33"/>
      <c r="Z4359" s="33"/>
      <c r="AA4359" s="33"/>
      <c r="AB4359" s="33"/>
      <c r="AC4359" s="33"/>
      <c r="AD4359" s="33"/>
      <c r="AE4359" s="33"/>
      <c r="AF4359" s="33"/>
      <c r="AG4359" s="33"/>
      <c r="AH4359" s="33"/>
      <c r="AI4359" s="33"/>
      <c r="AJ4359" s="33"/>
      <c r="AK4359" s="33"/>
    </row>
    <row r="4360">
      <c r="A4360" s="33"/>
      <c r="B4360" s="33"/>
      <c r="C4360" s="33"/>
      <c r="D4360" s="33"/>
      <c r="E4360" s="33"/>
      <c r="F4360" s="33"/>
      <c r="G4360" s="33"/>
      <c r="H4360" s="33"/>
      <c r="I4360" s="33"/>
      <c r="J4360" s="33"/>
      <c r="K4360" s="33"/>
      <c r="L4360" s="33"/>
      <c r="M4360" s="33"/>
      <c r="N4360" s="33"/>
      <c r="O4360" s="33"/>
      <c r="P4360" s="33"/>
      <c r="Q4360" s="33"/>
      <c r="R4360" s="33"/>
      <c r="S4360" s="33"/>
      <c r="T4360" s="33"/>
      <c r="U4360" s="33"/>
      <c r="V4360" s="33"/>
      <c r="W4360" s="33"/>
      <c r="X4360" s="33"/>
      <c r="Y4360" s="33"/>
      <c r="Z4360" s="33"/>
      <c r="AA4360" s="33"/>
      <c r="AB4360" s="33"/>
      <c r="AC4360" s="33"/>
      <c r="AD4360" s="33"/>
      <c r="AE4360" s="33"/>
      <c r="AF4360" s="33"/>
      <c r="AG4360" s="33"/>
      <c r="AH4360" s="33"/>
      <c r="AI4360" s="33"/>
      <c r="AJ4360" s="33"/>
      <c r="AK4360" s="33"/>
    </row>
    <row r="4361">
      <c r="A4361" s="33"/>
      <c r="B4361" s="33"/>
      <c r="C4361" s="33"/>
      <c r="D4361" s="33"/>
      <c r="E4361" s="33"/>
      <c r="F4361" s="33"/>
      <c r="G4361" s="33"/>
      <c r="H4361" s="33"/>
      <c r="I4361" s="33"/>
      <c r="J4361" s="33"/>
      <c r="K4361" s="33"/>
      <c r="L4361" s="33"/>
      <c r="M4361" s="33"/>
      <c r="N4361" s="33"/>
      <c r="O4361" s="33"/>
      <c r="P4361" s="33"/>
      <c r="Q4361" s="33"/>
      <c r="R4361" s="33"/>
      <c r="S4361" s="33"/>
      <c r="T4361" s="33"/>
      <c r="U4361" s="33"/>
      <c r="V4361" s="33"/>
      <c r="W4361" s="33"/>
      <c r="X4361" s="33"/>
      <c r="Y4361" s="33"/>
      <c r="Z4361" s="33"/>
      <c r="AA4361" s="33"/>
      <c r="AB4361" s="33"/>
      <c r="AC4361" s="33"/>
      <c r="AD4361" s="33"/>
      <c r="AE4361" s="33"/>
      <c r="AF4361" s="33"/>
      <c r="AG4361" s="33"/>
      <c r="AH4361" s="33"/>
      <c r="AI4361" s="33"/>
      <c r="AJ4361" s="33"/>
      <c r="AK4361" s="33"/>
    </row>
    <row r="4362">
      <c r="A4362" s="33"/>
      <c r="B4362" s="33"/>
      <c r="C4362" s="33"/>
      <c r="D4362" s="33"/>
      <c r="E4362" s="33"/>
      <c r="F4362" s="33"/>
      <c r="G4362" s="33"/>
      <c r="H4362" s="33"/>
      <c r="I4362" s="33"/>
      <c r="J4362" s="33"/>
      <c r="K4362" s="33"/>
      <c r="L4362" s="33"/>
      <c r="M4362" s="33"/>
      <c r="N4362" s="33"/>
      <c r="O4362" s="33"/>
      <c r="P4362" s="33"/>
      <c r="Q4362" s="33"/>
      <c r="R4362" s="33"/>
      <c r="S4362" s="33"/>
      <c r="T4362" s="33"/>
      <c r="U4362" s="33"/>
      <c r="V4362" s="33"/>
      <c r="W4362" s="33"/>
      <c r="X4362" s="33"/>
      <c r="Y4362" s="33"/>
      <c r="Z4362" s="33"/>
      <c r="AA4362" s="33"/>
      <c r="AB4362" s="33"/>
      <c r="AC4362" s="33"/>
      <c r="AD4362" s="33"/>
      <c r="AE4362" s="33"/>
      <c r="AF4362" s="33"/>
      <c r="AG4362" s="33"/>
      <c r="AH4362" s="33"/>
      <c r="AI4362" s="33"/>
      <c r="AJ4362" s="33"/>
      <c r="AK4362" s="33"/>
    </row>
    <row r="4363">
      <c r="A4363" s="33"/>
      <c r="B4363" s="33"/>
      <c r="C4363" s="33"/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  <c r="Q4363" s="33"/>
      <c r="R4363" s="33"/>
      <c r="S4363" s="33"/>
      <c r="T4363" s="33"/>
      <c r="U4363" s="33"/>
      <c r="V4363" s="33"/>
      <c r="W4363" s="33"/>
      <c r="X4363" s="33"/>
      <c r="Y4363" s="33"/>
      <c r="Z4363" s="33"/>
      <c r="AA4363" s="33"/>
      <c r="AB4363" s="33"/>
      <c r="AC4363" s="33"/>
      <c r="AD4363" s="33"/>
      <c r="AE4363" s="33"/>
      <c r="AF4363" s="33"/>
      <c r="AG4363" s="33"/>
      <c r="AH4363" s="33"/>
      <c r="AI4363" s="33"/>
      <c r="AJ4363" s="33"/>
      <c r="AK4363" s="33"/>
    </row>
    <row r="4364">
      <c r="A4364" s="33"/>
      <c r="B4364" s="33"/>
      <c r="C4364" s="33"/>
      <c r="D4364" s="33"/>
      <c r="E4364" s="33"/>
      <c r="F4364" s="33"/>
      <c r="G4364" s="33"/>
      <c r="H4364" s="33"/>
      <c r="I4364" s="33"/>
      <c r="J4364" s="33"/>
      <c r="K4364" s="33"/>
      <c r="L4364" s="33"/>
      <c r="M4364" s="33"/>
      <c r="N4364" s="33"/>
      <c r="O4364" s="33"/>
      <c r="P4364" s="33"/>
      <c r="Q4364" s="33"/>
      <c r="R4364" s="33"/>
      <c r="S4364" s="33"/>
      <c r="T4364" s="33"/>
      <c r="U4364" s="33"/>
      <c r="V4364" s="33"/>
      <c r="W4364" s="33"/>
      <c r="X4364" s="33"/>
      <c r="Y4364" s="33"/>
      <c r="Z4364" s="33"/>
      <c r="AA4364" s="33"/>
      <c r="AB4364" s="33"/>
      <c r="AC4364" s="33"/>
      <c r="AD4364" s="33"/>
      <c r="AE4364" s="33"/>
      <c r="AF4364" s="33"/>
      <c r="AG4364" s="33"/>
      <c r="AH4364" s="33"/>
      <c r="AI4364" s="33"/>
      <c r="AJ4364" s="33"/>
      <c r="AK4364" s="33"/>
    </row>
    <row r="4365">
      <c r="A4365" s="33"/>
      <c r="B4365" s="33"/>
      <c r="C4365" s="33"/>
      <c r="D4365" s="33"/>
      <c r="E4365" s="33"/>
      <c r="F4365" s="33"/>
      <c r="G4365" s="33"/>
      <c r="H4365" s="33"/>
      <c r="I4365" s="33"/>
      <c r="J4365" s="33"/>
      <c r="K4365" s="33"/>
      <c r="L4365" s="33"/>
      <c r="M4365" s="33"/>
      <c r="N4365" s="33"/>
      <c r="O4365" s="33"/>
      <c r="P4365" s="33"/>
      <c r="Q4365" s="33"/>
      <c r="R4365" s="33"/>
      <c r="S4365" s="33"/>
      <c r="T4365" s="33"/>
      <c r="U4365" s="33"/>
      <c r="V4365" s="33"/>
      <c r="W4365" s="33"/>
      <c r="X4365" s="33"/>
      <c r="Y4365" s="33"/>
      <c r="Z4365" s="33"/>
      <c r="AA4365" s="33"/>
      <c r="AB4365" s="33"/>
      <c r="AC4365" s="33"/>
      <c r="AD4365" s="33"/>
      <c r="AE4365" s="33"/>
      <c r="AF4365" s="33"/>
      <c r="AG4365" s="33"/>
      <c r="AH4365" s="33"/>
      <c r="AI4365" s="33"/>
      <c r="AJ4365" s="33"/>
      <c r="AK4365" s="33"/>
    </row>
    <row r="4366">
      <c r="A4366" s="33"/>
      <c r="B4366" s="33"/>
      <c r="C4366" s="33"/>
      <c r="D4366" s="33"/>
      <c r="E4366" s="33"/>
      <c r="F4366" s="33"/>
      <c r="G4366" s="33"/>
      <c r="H4366" s="33"/>
      <c r="I4366" s="33"/>
      <c r="J4366" s="33"/>
      <c r="K4366" s="33"/>
      <c r="L4366" s="33"/>
      <c r="M4366" s="33"/>
      <c r="N4366" s="33"/>
      <c r="O4366" s="33"/>
      <c r="P4366" s="33"/>
      <c r="Q4366" s="33"/>
      <c r="R4366" s="33"/>
      <c r="S4366" s="33"/>
      <c r="T4366" s="33"/>
      <c r="U4366" s="33"/>
      <c r="V4366" s="33"/>
      <c r="W4366" s="33"/>
      <c r="X4366" s="33"/>
      <c r="Y4366" s="33"/>
      <c r="Z4366" s="33"/>
      <c r="AA4366" s="33"/>
      <c r="AB4366" s="33"/>
      <c r="AC4366" s="33"/>
      <c r="AD4366" s="33"/>
      <c r="AE4366" s="33"/>
      <c r="AF4366" s="33"/>
      <c r="AG4366" s="33"/>
      <c r="AH4366" s="33"/>
      <c r="AI4366" s="33"/>
      <c r="AJ4366" s="33"/>
      <c r="AK4366" s="33"/>
    </row>
    <row r="4367">
      <c r="A4367" s="33"/>
      <c r="B4367" s="33"/>
      <c r="C4367" s="33"/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  <c r="Q4367" s="33"/>
      <c r="R4367" s="33"/>
      <c r="S4367" s="33"/>
      <c r="T4367" s="33"/>
      <c r="U4367" s="33"/>
      <c r="V4367" s="33"/>
      <c r="W4367" s="33"/>
      <c r="X4367" s="33"/>
      <c r="Y4367" s="33"/>
      <c r="Z4367" s="33"/>
      <c r="AA4367" s="33"/>
      <c r="AB4367" s="33"/>
      <c r="AC4367" s="33"/>
      <c r="AD4367" s="33"/>
      <c r="AE4367" s="33"/>
      <c r="AF4367" s="33"/>
      <c r="AG4367" s="33"/>
      <c r="AH4367" s="33"/>
      <c r="AI4367" s="33"/>
      <c r="AJ4367" s="33"/>
      <c r="AK4367" s="33"/>
    </row>
    <row r="4368">
      <c r="A4368" s="33"/>
      <c r="B4368" s="33"/>
      <c r="C4368" s="33"/>
      <c r="D4368" s="33"/>
      <c r="E4368" s="33"/>
      <c r="F4368" s="33"/>
      <c r="G4368" s="33"/>
      <c r="H4368" s="33"/>
      <c r="I4368" s="33"/>
      <c r="J4368" s="33"/>
      <c r="K4368" s="33"/>
      <c r="L4368" s="33"/>
      <c r="M4368" s="33"/>
      <c r="N4368" s="33"/>
      <c r="O4368" s="33"/>
      <c r="P4368" s="33"/>
      <c r="Q4368" s="33"/>
      <c r="R4368" s="33"/>
      <c r="S4368" s="33"/>
      <c r="T4368" s="33"/>
      <c r="U4368" s="33"/>
      <c r="V4368" s="33"/>
      <c r="W4368" s="33"/>
      <c r="X4368" s="33"/>
      <c r="Y4368" s="33"/>
      <c r="Z4368" s="33"/>
      <c r="AA4368" s="33"/>
      <c r="AB4368" s="33"/>
      <c r="AC4368" s="33"/>
      <c r="AD4368" s="33"/>
      <c r="AE4368" s="33"/>
      <c r="AF4368" s="33"/>
      <c r="AG4368" s="33"/>
      <c r="AH4368" s="33"/>
      <c r="AI4368" s="33"/>
      <c r="AJ4368" s="33"/>
      <c r="AK4368" s="33"/>
    </row>
    <row r="4369">
      <c r="A4369" s="33"/>
      <c r="B4369" s="33"/>
      <c r="C4369" s="33"/>
      <c r="D4369" s="33"/>
      <c r="E4369" s="33"/>
      <c r="F4369" s="33"/>
      <c r="G4369" s="33"/>
      <c r="H4369" s="33"/>
      <c r="I4369" s="33"/>
      <c r="J4369" s="33"/>
      <c r="K4369" s="33"/>
      <c r="L4369" s="33"/>
      <c r="M4369" s="33"/>
      <c r="N4369" s="33"/>
      <c r="O4369" s="33"/>
      <c r="P4369" s="33"/>
      <c r="Q4369" s="33"/>
      <c r="R4369" s="33"/>
      <c r="S4369" s="33"/>
      <c r="T4369" s="33"/>
      <c r="U4369" s="33"/>
      <c r="V4369" s="33"/>
      <c r="W4369" s="33"/>
      <c r="X4369" s="33"/>
      <c r="Y4369" s="33"/>
      <c r="Z4369" s="33"/>
      <c r="AA4369" s="33"/>
      <c r="AB4369" s="33"/>
      <c r="AC4369" s="33"/>
      <c r="AD4369" s="33"/>
      <c r="AE4369" s="33"/>
      <c r="AF4369" s="33"/>
      <c r="AG4369" s="33"/>
      <c r="AH4369" s="33"/>
      <c r="AI4369" s="33"/>
      <c r="AJ4369" s="33"/>
      <c r="AK4369" s="33"/>
    </row>
    <row r="4370">
      <c r="A4370" s="33"/>
      <c r="B4370" s="33"/>
      <c r="C4370" s="33"/>
      <c r="D4370" s="33"/>
      <c r="E4370" s="33"/>
      <c r="F4370" s="33"/>
      <c r="G4370" s="33"/>
      <c r="H4370" s="33"/>
      <c r="I4370" s="33"/>
      <c r="J4370" s="33"/>
      <c r="K4370" s="33"/>
      <c r="L4370" s="33"/>
      <c r="M4370" s="33"/>
      <c r="N4370" s="33"/>
      <c r="O4370" s="33"/>
      <c r="P4370" s="33"/>
      <c r="Q4370" s="33"/>
      <c r="R4370" s="33"/>
      <c r="S4370" s="33"/>
      <c r="T4370" s="33"/>
      <c r="U4370" s="33"/>
      <c r="V4370" s="33"/>
      <c r="W4370" s="33"/>
      <c r="X4370" s="33"/>
      <c r="Y4370" s="33"/>
      <c r="Z4370" s="33"/>
      <c r="AA4370" s="33"/>
      <c r="AB4370" s="33"/>
      <c r="AC4370" s="33"/>
      <c r="AD4370" s="33"/>
      <c r="AE4370" s="33"/>
      <c r="AF4370" s="33"/>
      <c r="AG4370" s="33"/>
      <c r="AH4370" s="33"/>
      <c r="AI4370" s="33"/>
      <c r="AJ4370" s="33"/>
      <c r="AK4370" s="33"/>
    </row>
    <row r="4371">
      <c r="A4371" s="33"/>
      <c r="B4371" s="33"/>
      <c r="C4371" s="33"/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  <c r="Q4371" s="33"/>
      <c r="R4371" s="33"/>
      <c r="S4371" s="33"/>
      <c r="T4371" s="33"/>
      <c r="U4371" s="33"/>
      <c r="V4371" s="33"/>
      <c r="W4371" s="33"/>
      <c r="X4371" s="33"/>
      <c r="Y4371" s="33"/>
      <c r="Z4371" s="33"/>
      <c r="AA4371" s="33"/>
      <c r="AB4371" s="33"/>
      <c r="AC4371" s="33"/>
      <c r="AD4371" s="33"/>
      <c r="AE4371" s="33"/>
      <c r="AF4371" s="33"/>
      <c r="AG4371" s="33"/>
      <c r="AH4371" s="33"/>
      <c r="AI4371" s="33"/>
      <c r="AJ4371" s="33"/>
      <c r="AK4371" s="33"/>
    </row>
    <row r="4372">
      <c r="A4372" s="33"/>
      <c r="B4372" s="33"/>
      <c r="C4372" s="33"/>
      <c r="D4372" s="33"/>
      <c r="E4372" s="33"/>
      <c r="F4372" s="33"/>
      <c r="G4372" s="33"/>
      <c r="H4372" s="33"/>
      <c r="I4372" s="33"/>
      <c r="J4372" s="33"/>
      <c r="K4372" s="33"/>
      <c r="L4372" s="33"/>
      <c r="M4372" s="33"/>
      <c r="N4372" s="33"/>
      <c r="O4372" s="33"/>
      <c r="P4372" s="33"/>
      <c r="Q4372" s="33"/>
      <c r="R4372" s="33"/>
      <c r="S4372" s="33"/>
      <c r="T4372" s="33"/>
      <c r="U4372" s="33"/>
      <c r="V4372" s="33"/>
      <c r="W4372" s="33"/>
      <c r="X4372" s="33"/>
      <c r="Y4372" s="33"/>
      <c r="Z4372" s="33"/>
      <c r="AA4372" s="33"/>
      <c r="AB4372" s="33"/>
      <c r="AC4372" s="33"/>
      <c r="AD4372" s="33"/>
      <c r="AE4372" s="33"/>
      <c r="AF4372" s="33"/>
      <c r="AG4372" s="33"/>
      <c r="AH4372" s="33"/>
      <c r="AI4372" s="33"/>
      <c r="AJ4372" s="33"/>
      <c r="AK4372" s="33"/>
    </row>
    <row r="4373">
      <c r="A4373" s="33"/>
      <c r="B4373" s="33"/>
      <c r="C4373" s="33"/>
      <c r="D4373" s="33"/>
      <c r="E4373" s="33"/>
      <c r="F4373" s="33"/>
      <c r="G4373" s="33"/>
      <c r="H4373" s="33"/>
      <c r="I4373" s="33"/>
      <c r="J4373" s="33"/>
      <c r="K4373" s="33"/>
      <c r="L4373" s="33"/>
      <c r="M4373" s="33"/>
      <c r="N4373" s="33"/>
      <c r="O4373" s="33"/>
      <c r="P4373" s="33"/>
      <c r="Q4373" s="33"/>
      <c r="R4373" s="33"/>
      <c r="S4373" s="33"/>
      <c r="T4373" s="33"/>
      <c r="U4373" s="33"/>
      <c r="V4373" s="33"/>
      <c r="W4373" s="33"/>
      <c r="X4373" s="33"/>
      <c r="Y4373" s="33"/>
      <c r="Z4373" s="33"/>
      <c r="AA4373" s="33"/>
      <c r="AB4373" s="33"/>
      <c r="AC4373" s="33"/>
      <c r="AD4373" s="33"/>
      <c r="AE4373" s="33"/>
      <c r="AF4373" s="33"/>
      <c r="AG4373" s="33"/>
      <c r="AH4373" s="33"/>
      <c r="AI4373" s="33"/>
      <c r="AJ4373" s="33"/>
      <c r="AK4373" s="33"/>
    </row>
    <row r="4374">
      <c r="A4374" s="33"/>
      <c r="B4374" s="33"/>
      <c r="C4374" s="33"/>
      <c r="D4374" s="33"/>
      <c r="E4374" s="33"/>
      <c r="F4374" s="33"/>
      <c r="G4374" s="33"/>
      <c r="H4374" s="33"/>
      <c r="I4374" s="33"/>
      <c r="J4374" s="33"/>
      <c r="K4374" s="33"/>
      <c r="L4374" s="33"/>
      <c r="M4374" s="33"/>
      <c r="N4374" s="33"/>
      <c r="O4374" s="33"/>
      <c r="P4374" s="33"/>
      <c r="Q4374" s="33"/>
      <c r="R4374" s="33"/>
      <c r="S4374" s="33"/>
      <c r="T4374" s="33"/>
      <c r="U4374" s="33"/>
      <c r="V4374" s="33"/>
      <c r="W4374" s="33"/>
      <c r="X4374" s="33"/>
      <c r="Y4374" s="33"/>
      <c r="Z4374" s="33"/>
      <c r="AA4374" s="33"/>
      <c r="AB4374" s="33"/>
      <c r="AC4374" s="33"/>
      <c r="AD4374" s="33"/>
      <c r="AE4374" s="33"/>
      <c r="AF4374" s="33"/>
      <c r="AG4374" s="33"/>
      <c r="AH4374" s="33"/>
      <c r="AI4374" s="33"/>
      <c r="AJ4374" s="33"/>
      <c r="AK4374" s="33"/>
    </row>
    <row r="4375">
      <c r="A4375" s="33"/>
      <c r="B4375" s="33"/>
      <c r="C4375" s="33"/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  <c r="Q4375" s="33"/>
      <c r="R4375" s="33"/>
      <c r="S4375" s="33"/>
      <c r="T4375" s="33"/>
      <c r="U4375" s="33"/>
      <c r="V4375" s="33"/>
      <c r="W4375" s="33"/>
      <c r="X4375" s="33"/>
      <c r="Y4375" s="33"/>
      <c r="Z4375" s="33"/>
      <c r="AA4375" s="33"/>
      <c r="AB4375" s="33"/>
      <c r="AC4375" s="33"/>
      <c r="AD4375" s="33"/>
      <c r="AE4375" s="33"/>
      <c r="AF4375" s="33"/>
      <c r="AG4375" s="33"/>
      <c r="AH4375" s="33"/>
      <c r="AI4375" s="33"/>
      <c r="AJ4375" s="33"/>
      <c r="AK4375" s="33"/>
    </row>
    <row r="4376">
      <c r="A4376" s="33"/>
      <c r="B4376" s="33"/>
      <c r="C4376" s="33"/>
      <c r="D4376" s="33"/>
      <c r="E4376" s="33"/>
      <c r="F4376" s="33"/>
      <c r="G4376" s="33"/>
      <c r="H4376" s="33"/>
      <c r="I4376" s="33"/>
      <c r="J4376" s="33"/>
      <c r="K4376" s="33"/>
      <c r="L4376" s="33"/>
      <c r="M4376" s="33"/>
      <c r="N4376" s="33"/>
      <c r="O4376" s="33"/>
      <c r="P4376" s="33"/>
      <c r="Q4376" s="33"/>
      <c r="R4376" s="33"/>
      <c r="S4376" s="33"/>
      <c r="T4376" s="33"/>
      <c r="U4376" s="33"/>
      <c r="V4376" s="33"/>
      <c r="W4376" s="33"/>
      <c r="X4376" s="33"/>
      <c r="Y4376" s="33"/>
      <c r="Z4376" s="33"/>
      <c r="AA4376" s="33"/>
      <c r="AB4376" s="33"/>
      <c r="AC4376" s="33"/>
      <c r="AD4376" s="33"/>
      <c r="AE4376" s="33"/>
      <c r="AF4376" s="33"/>
      <c r="AG4376" s="33"/>
      <c r="AH4376" s="33"/>
      <c r="AI4376" s="33"/>
      <c r="AJ4376" s="33"/>
      <c r="AK4376" s="33"/>
    </row>
    <row r="4377">
      <c r="A4377" s="33"/>
      <c r="B4377" s="33"/>
      <c r="C4377" s="33"/>
      <c r="D4377" s="33"/>
      <c r="E4377" s="33"/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33"/>
      <c r="Q4377" s="33"/>
      <c r="R4377" s="33"/>
      <c r="S4377" s="33"/>
      <c r="T4377" s="33"/>
      <c r="U4377" s="33"/>
      <c r="V4377" s="33"/>
      <c r="W4377" s="33"/>
      <c r="X4377" s="33"/>
      <c r="Y4377" s="33"/>
      <c r="Z4377" s="33"/>
      <c r="AA4377" s="33"/>
      <c r="AB4377" s="33"/>
      <c r="AC4377" s="33"/>
      <c r="AD4377" s="33"/>
      <c r="AE4377" s="33"/>
      <c r="AF4377" s="33"/>
      <c r="AG4377" s="33"/>
      <c r="AH4377" s="33"/>
      <c r="AI4377" s="33"/>
      <c r="AJ4377" s="33"/>
      <c r="AK4377" s="33"/>
    </row>
    <row r="4378">
      <c r="A4378" s="33"/>
      <c r="B4378" s="33"/>
      <c r="C4378" s="33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33"/>
      <c r="Q4378" s="33"/>
      <c r="R4378" s="33"/>
      <c r="S4378" s="33"/>
      <c r="T4378" s="33"/>
      <c r="U4378" s="33"/>
      <c r="V4378" s="33"/>
      <c r="W4378" s="33"/>
      <c r="X4378" s="33"/>
      <c r="Y4378" s="33"/>
      <c r="Z4378" s="33"/>
      <c r="AA4378" s="33"/>
      <c r="AB4378" s="33"/>
      <c r="AC4378" s="33"/>
      <c r="AD4378" s="33"/>
      <c r="AE4378" s="33"/>
      <c r="AF4378" s="33"/>
      <c r="AG4378" s="33"/>
      <c r="AH4378" s="33"/>
      <c r="AI4378" s="33"/>
      <c r="AJ4378" s="33"/>
      <c r="AK4378" s="33"/>
    </row>
    <row r="4379">
      <c r="A4379" s="33"/>
      <c r="B4379" s="33"/>
      <c r="C4379" s="33"/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  <c r="Q4379" s="33"/>
      <c r="R4379" s="33"/>
      <c r="S4379" s="33"/>
      <c r="T4379" s="33"/>
      <c r="U4379" s="33"/>
      <c r="V4379" s="33"/>
      <c r="W4379" s="33"/>
      <c r="X4379" s="33"/>
      <c r="Y4379" s="33"/>
      <c r="Z4379" s="33"/>
      <c r="AA4379" s="33"/>
      <c r="AB4379" s="33"/>
      <c r="AC4379" s="33"/>
      <c r="AD4379" s="33"/>
      <c r="AE4379" s="33"/>
      <c r="AF4379" s="33"/>
      <c r="AG4379" s="33"/>
      <c r="AH4379" s="33"/>
      <c r="AI4379" s="33"/>
      <c r="AJ4379" s="33"/>
      <c r="AK4379" s="33"/>
    </row>
    <row r="4380">
      <c r="A4380" s="33"/>
      <c r="B4380" s="33"/>
      <c r="C4380" s="33"/>
      <c r="D4380" s="33"/>
      <c r="E4380" s="33"/>
      <c r="F4380" s="33"/>
      <c r="G4380" s="33"/>
      <c r="H4380" s="33"/>
      <c r="I4380" s="33"/>
      <c r="J4380" s="33"/>
      <c r="K4380" s="33"/>
      <c r="L4380" s="33"/>
      <c r="M4380" s="33"/>
      <c r="N4380" s="33"/>
      <c r="O4380" s="33"/>
      <c r="P4380" s="33"/>
      <c r="Q4380" s="33"/>
      <c r="R4380" s="33"/>
      <c r="S4380" s="33"/>
      <c r="T4380" s="33"/>
      <c r="U4380" s="33"/>
      <c r="V4380" s="33"/>
      <c r="W4380" s="33"/>
      <c r="X4380" s="33"/>
      <c r="Y4380" s="33"/>
      <c r="Z4380" s="33"/>
      <c r="AA4380" s="33"/>
      <c r="AB4380" s="33"/>
      <c r="AC4380" s="33"/>
      <c r="AD4380" s="33"/>
      <c r="AE4380" s="33"/>
      <c r="AF4380" s="33"/>
      <c r="AG4380" s="33"/>
      <c r="AH4380" s="33"/>
      <c r="AI4380" s="33"/>
      <c r="AJ4380" s="33"/>
      <c r="AK4380" s="33"/>
    </row>
    <row r="4381">
      <c r="A4381" s="33"/>
      <c r="B4381" s="33"/>
      <c r="C4381" s="33"/>
      <c r="D4381" s="33"/>
      <c r="E4381" s="33"/>
      <c r="F4381" s="33"/>
      <c r="G4381" s="33"/>
      <c r="H4381" s="33"/>
      <c r="I4381" s="33"/>
      <c r="J4381" s="33"/>
      <c r="K4381" s="33"/>
      <c r="L4381" s="33"/>
      <c r="M4381" s="33"/>
      <c r="N4381" s="33"/>
      <c r="O4381" s="33"/>
      <c r="P4381" s="33"/>
      <c r="Q4381" s="33"/>
      <c r="R4381" s="33"/>
      <c r="S4381" s="33"/>
      <c r="T4381" s="33"/>
      <c r="U4381" s="33"/>
      <c r="V4381" s="33"/>
      <c r="W4381" s="33"/>
      <c r="X4381" s="33"/>
      <c r="Y4381" s="33"/>
      <c r="Z4381" s="33"/>
      <c r="AA4381" s="33"/>
      <c r="AB4381" s="33"/>
      <c r="AC4381" s="33"/>
      <c r="AD4381" s="33"/>
      <c r="AE4381" s="33"/>
      <c r="AF4381" s="33"/>
      <c r="AG4381" s="33"/>
      <c r="AH4381" s="33"/>
      <c r="AI4381" s="33"/>
      <c r="AJ4381" s="33"/>
      <c r="AK4381" s="33"/>
    </row>
    <row r="4382">
      <c r="A4382" s="33"/>
      <c r="B4382" s="33"/>
      <c r="C4382" s="33"/>
      <c r="D4382" s="33"/>
      <c r="E4382" s="33"/>
      <c r="F4382" s="33"/>
      <c r="G4382" s="33"/>
      <c r="H4382" s="33"/>
      <c r="I4382" s="33"/>
      <c r="J4382" s="33"/>
      <c r="K4382" s="33"/>
      <c r="L4382" s="33"/>
      <c r="M4382" s="33"/>
      <c r="N4382" s="33"/>
      <c r="O4382" s="33"/>
      <c r="P4382" s="33"/>
      <c r="Q4382" s="33"/>
      <c r="R4382" s="33"/>
      <c r="S4382" s="33"/>
      <c r="T4382" s="33"/>
      <c r="U4382" s="33"/>
      <c r="V4382" s="33"/>
      <c r="W4382" s="33"/>
      <c r="X4382" s="33"/>
      <c r="Y4382" s="33"/>
      <c r="Z4382" s="33"/>
      <c r="AA4382" s="33"/>
      <c r="AB4382" s="33"/>
      <c r="AC4382" s="33"/>
      <c r="AD4382" s="33"/>
      <c r="AE4382" s="33"/>
      <c r="AF4382" s="33"/>
      <c r="AG4382" s="33"/>
      <c r="AH4382" s="33"/>
      <c r="AI4382" s="33"/>
      <c r="AJ4382" s="33"/>
      <c r="AK4382" s="33"/>
    </row>
    <row r="4383">
      <c r="A4383" s="33"/>
      <c r="B4383" s="33"/>
      <c r="C4383" s="33"/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  <c r="Q4383" s="33"/>
      <c r="R4383" s="33"/>
      <c r="S4383" s="33"/>
      <c r="T4383" s="33"/>
      <c r="U4383" s="33"/>
      <c r="V4383" s="33"/>
      <c r="W4383" s="33"/>
      <c r="X4383" s="33"/>
      <c r="Y4383" s="33"/>
      <c r="Z4383" s="33"/>
      <c r="AA4383" s="33"/>
      <c r="AB4383" s="33"/>
      <c r="AC4383" s="33"/>
      <c r="AD4383" s="33"/>
      <c r="AE4383" s="33"/>
      <c r="AF4383" s="33"/>
      <c r="AG4383" s="33"/>
      <c r="AH4383" s="33"/>
      <c r="AI4383" s="33"/>
      <c r="AJ4383" s="33"/>
      <c r="AK4383" s="33"/>
    </row>
    <row r="4384">
      <c r="A4384" s="33"/>
      <c r="B4384" s="33"/>
      <c r="C4384" s="33"/>
      <c r="D4384" s="33"/>
      <c r="E4384" s="33"/>
      <c r="F4384" s="33"/>
      <c r="G4384" s="33"/>
      <c r="H4384" s="33"/>
      <c r="I4384" s="33"/>
      <c r="J4384" s="33"/>
      <c r="K4384" s="33"/>
      <c r="L4384" s="33"/>
      <c r="M4384" s="33"/>
      <c r="N4384" s="33"/>
      <c r="O4384" s="33"/>
      <c r="P4384" s="33"/>
      <c r="Q4384" s="33"/>
      <c r="R4384" s="33"/>
      <c r="S4384" s="33"/>
      <c r="T4384" s="33"/>
      <c r="U4384" s="33"/>
      <c r="V4384" s="33"/>
      <c r="W4384" s="33"/>
      <c r="X4384" s="33"/>
      <c r="Y4384" s="33"/>
      <c r="Z4384" s="33"/>
      <c r="AA4384" s="33"/>
      <c r="AB4384" s="33"/>
      <c r="AC4384" s="33"/>
      <c r="AD4384" s="33"/>
      <c r="AE4384" s="33"/>
      <c r="AF4384" s="33"/>
      <c r="AG4384" s="33"/>
      <c r="AH4384" s="33"/>
      <c r="AI4384" s="33"/>
      <c r="AJ4384" s="33"/>
      <c r="AK4384" s="33"/>
    </row>
    <row r="4385">
      <c r="A4385" s="33"/>
      <c r="B4385" s="33"/>
      <c r="C4385" s="33"/>
      <c r="D4385" s="33"/>
      <c r="E4385" s="33"/>
      <c r="F4385" s="33"/>
      <c r="G4385" s="33"/>
      <c r="H4385" s="33"/>
      <c r="I4385" s="33"/>
      <c r="J4385" s="33"/>
      <c r="K4385" s="33"/>
      <c r="L4385" s="33"/>
      <c r="M4385" s="33"/>
      <c r="N4385" s="33"/>
      <c r="O4385" s="33"/>
      <c r="P4385" s="33"/>
      <c r="Q4385" s="33"/>
      <c r="R4385" s="33"/>
      <c r="S4385" s="33"/>
      <c r="T4385" s="33"/>
      <c r="U4385" s="33"/>
      <c r="V4385" s="33"/>
      <c r="W4385" s="33"/>
      <c r="X4385" s="33"/>
      <c r="Y4385" s="33"/>
      <c r="Z4385" s="33"/>
      <c r="AA4385" s="33"/>
      <c r="AB4385" s="33"/>
      <c r="AC4385" s="33"/>
      <c r="AD4385" s="33"/>
      <c r="AE4385" s="33"/>
      <c r="AF4385" s="33"/>
      <c r="AG4385" s="33"/>
      <c r="AH4385" s="33"/>
      <c r="AI4385" s="33"/>
      <c r="AJ4385" s="33"/>
      <c r="AK4385" s="33"/>
    </row>
    <row r="4386">
      <c r="A4386" s="33"/>
      <c r="B4386" s="33"/>
      <c r="C4386" s="33"/>
      <c r="D4386" s="33"/>
      <c r="E4386" s="33"/>
      <c r="F4386" s="33"/>
      <c r="G4386" s="33"/>
      <c r="H4386" s="33"/>
      <c r="I4386" s="33"/>
      <c r="J4386" s="33"/>
      <c r="K4386" s="33"/>
      <c r="L4386" s="33"/>
      <c r="M4386" s="33"/>
      <c r="N4386" s="33"/>
      <c r="O4386" s="33"/>
      <c r="P4386" s="33"/>
      <c r="Q4386" s="33"/>
      <c r="R4386" s="33"/>
      <c r="S4386" s="33"/>
      <c r="T4386" s="33"/>
      <c r="U4386" s="33"/>
      <c r="V4386" s="33"/>
      <c r="W4386" s="33"/>
      <c r="X4386" s="33"/>
      <c r="Y4386" s="33"/>
      <c r="Z4386" s="33"/>
      <c r="AA4386" s="33"/>
      <c r="AB4386" s="33"/>
      <c r="AC4386" s="33"/>
      <c r="AD4386" s="33"/>
      <c r="AE4386" s="33"/>
      <c r="AF4386" s="33"/>
      <c r="AG4386" s="33"/>
      <c r="AH4386" s="33"/>
      <c r="AI4386" s="33"/>
      <c r="AJ4386" s="33"/>
      <c r="AK4386" s="33"/>
    </row>
    <row r="4387">
      <c r="A4387" s="33"/>
      <c r="B4387" s="33"/>
      <c r="C4387" s="33"/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  <c r="Q4387" s="33"/>
      <c r="R4387" s="33"/>
      <c r="S4387" s="33"/>
      <c r="T4387" s="33"/>
      <c r="U4387" s="33"/>
      <c r="V4387" s="33"/>
      <c r="W4387" s="33"/>
      <c r="X4387" s="33"/>
      <c r="Y4387" s="33"/>
      <c r="Z4387" s="33"/>
      <c r="AA4387" s="33"/>
      <c r="AB4387" s="33"/>
      <c r="AC4387" s="33"/>
      <c r="AD4387" s="33"/>
      <c r="AE4387" s="33"/>
      <c r="AF4387" s="33"/>
      <c r="AG4387" s="33"/>
      <c r="AH4387" s="33"/>
      <c r="AI4387" s="33"/>
      <c r="AJ4387" s="33"/>
      <c r="AK4387" s="33"/>
    </row>
    <row r="4388">
      <c r="A4388" s="33"/>
      <c r="B4388" s="33"/>
      <c r="C4388" s="33"/>
      <c r="D4388" s="33"/>
      <c r="E4388" s="33"/>
      <c r="F4388" s="33"/>
      <c r="G4388" s="33"/>
      <c r="H4388" s="33"/>
      <c r="I4388" s="33"/>
      <c r="J4388" s="33"/>
      <c r="K4388" s="33"/>
      <c r="L4388" s="33"/>
      <c r="M4388" s="33"/>
      <c r="N4388" s="33"/>
      <c r="O4388" s="33"/>
      <c r="P4388" s="33"/>
      <c r="Q4388" s="33"/>
      <c r="R4388" s="33"/>
      <c r="S4388" s="33"/>
      <c r="T4388" s="33"/>
      <c r="U4388" s="33"/>
      <c r="V4388" s="33"/>
      <c r="W4388" s="33"/>
      <c r="X4388" s="33"/>
      <c r="Y4388" s="33"/>
      <c r="Z4388" s="33"/>
      <c r="AA4388" s="33"/>
      <c r="AB4388" s="33"/>
      <c r="AC4388" s="33"/>
      <c r="AD4388" s="33"/>
      <c r="AE4388" s="33"/>
      <c r="AF4388" s="33"/>
      <c r="AG4388" s="33"/>
      <c r="AH4388" s="33"/>
      <c r="AI4388" s="33"/>
      <c r="AJ4388" s="33"/>
      <c r="AK4388" s="33"/>
    </row>
    <row r="4389">
      <c r="A4389" s="33"/>
      <c r="B4389" s="33"/>
      <c r="C4389" s="33"/>
      <c r="D4389" s="33"/>
      <c r="E4389" s="33"/>
      <c r="F4389" s="33"/>
      <c r="G4389" s="33"/>
      <c r="H4389" s="33"/>
      <c r="I4389" s="33"/>
      <c r="J4389" s="33"/>
      <c r="K4389" s="33"/>
      <c r="L4389" s="33"/>
      <c r="M4389" s="33"/>
      <c r="N4389" s="33"/>
      <c r="O4389" s="33"/>
      <c r="P4389" s="33"/>
      <c r="Q4389" s="33"/>
      <c r="R4389" s="33"/>
      <c r="S4389" s="33"/>
      <c r="T4389" s="33"/>
      <c r="U4389" s="33"/>
      <c r="V4389" s="33"/>
      <c r="W4389" s="33"/>
      <c r="X4389" s="33"/>
      <c r="Y4389" s="33"/>
      <c r="Z4389" s="33"/>
      <c r="AA4389" s="33"/>
      <c r="AB4389" s="33"/>
      <c r="AC4389" s="33"/>
      <c r="AD4389" s="33"/>
      <c r="AE4389" s="33"/>
      <c r="AF4389" s="33"/>
      <c r="AG4389" s="33"/>
      <c r="AH4389" s="33"/>
      <c r="AI4389" s="33"/>
      <c r="AJ4389" s="33"/>
      <c r="AK4389" s="33"/>
    </row>
    <row r="4390">
      <c r="A4390" s="33"/>
      <c r="B4390" s="33"/>
      <c r="C4390" s="33"/>
      <c r="D4390" s="33"/>
      <c r="E4390" s="33"/>
      <c r="F4390" s="33"/>
      <c r="G4390" s="33"/>
      <c r="H4390" s="33"/>
      <c r="I4390" s="33"/>
      <c r="J4390" s="33"/>
      <c r="K4390" s="33"/>
      <c r="L4390" s="33"/>
      <c r="M4390" s="33"/>
      <c r="N4390" s="33"/>
      <c r="O4390" s="33"/>
      <c r="P4390" s="33"/>
      <c r="Q4390" s="33"/>
      <c r="R4390" s="33"/>
      <c r="S4390" s="33"/>
      <c r="T4390" s="33"/>
      <c r="U4390" s="33"/>
      <c r="V4390" s="33"/>
      <c r="W4390" s="33"/>
      <c r="X4390" s="33"/>
      <c r="Y4390" s="33"/>
      <c r="Z4390" s="33"/>
      <c r="AA4390" s="33"/>
      <c r="AB4390" s="33"/>
      <c r="AC4390" s="33"/>
      <c r="AD4390" s="33"/>
      <c r="AE4390" s="33"/>
      <c r="AF4390" s="33"/>
      <c r="AG4390" s="33"/>
      <c r="AH4390" s="33"/>
      <c r="AI4390" s="33"/>
      <c r="AJ4390" s="33"/>
      <c r="AK4390" s="33"/>
    </row>
    <row r="4391">
      <c r="A4391" s="33"/>
      <c r="B4391" s="33"/>
      <c r="C4391" s="33"/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  <c r="Q4391" s="33"/>
      <c r="R4391" s="33"/>
      <c r="S4391" s="33"/>
      <c r="T4391" s="33"/>
      <c r="U4391" s="33"/>
      <c r="V4391" s="33"/>
      <c r="W4391" s="33"/>
      <c r="X4391" s="33"/>
      <c r="Y4391" s="33"/>
      <c r="Z4391" s="33"/>
      <c r="AA4391" s="33"/>
      <c r="AB4391" s="33"/>
      <c r="AC4391" s="33"/>
      <c r="AD4391" s="33"/>
      <c r="AE4391" s="33"/>
      <c r="AF4391" s="33"/>
      <c r="AG4391" s="33"/>
      <c r="AH4391" s="33"/>
      <c r="AI4391" s="33"/>
      <c r="AJ4391" s="33"/>
      <c r="AK4391" s="33"/>
    </row>
    <row r="4392">
      <c r="A4392" s="33"/>
      <c r="B4392" s="33"/>
      <c r="C4392" s="33"/>
      <c r="D4392" s="33"/>
      <c r="E4392" s="33"/>
      <c r="F4392" s="33"/>
      <c r="G4392" s="33"/>
      <c r="H4392" s="33"/>
      <c r="I4392" s="33"/>
      <c r="J4392" s="33"/>
      <c r="K4392" s="33"/>
      <c r="L4392" s="33"/>
      <c r="M4392" s="33"/>
      <c r="N4392" s="33"/>
      <c r="O4392" s="33"/>
      <c r="P4392" s="33"/>
      <c r="Q4392" s="33"/>
      <c r="R4392" s="33"/>
      <c r="S4392" s="33"/>
      <c r="T4392" s="33"/>
      <c r="U4392" s="33"/>
      <c r="V4392" s="33"/>
      <c r="W4392" s="33"/>
      <c r="X4392" s="33"/>
      <c r="Y4392" s="33"/>
      <c r="Z4392" s="33"/>
      <c r="AA4392" s="33"/>
      <c r="AB4392" s="33"/>
      <c r="AC4392" s="33"/>
      <c r="AD4392" s="33"/>
      <c r="AE4392" s="33"/>
      <c r="AF4392" s="33"/>
      <c r="AG4392" s="33"/>
      <c r="AH4392" s="33"/>
      <c r="AI4392" s="33"/>
      <c r="AJ4392" s="33"/>
      <c r="AK4392" s="33"/>
    </row>
    <row r="4393">
      <c r="A4393" s="33"/>
      <c r="B4393" s="33"/>
      <c r="C4393" s="33"/>
      <c r="D4393" s="33"/>
      <c r="E4393" s="33"/>
      <c r="F4393" s="33"/>
      <c r="G4393" s="33"/>
      <c r="H4393" s="33"/>
      <c r="I4393" s="33"/>
      <c r="J4393" s="33"/>
      <c r="K4393" s="33"/>
      <c r="L4393" s="33"/>
      <c r="M4393" s="33"/>
      <c r="N4393" s="33"/>
      <c r="O4393" s="33"/>
      <c r="P4393" s="33"/>
      <c r="Q4393" s="33"/>
      <c r="R4393" s="33"/>
      <c r="S4393" s="33"/>
      <c r="T4393" s="33"/>
      <c r="U4393" s="33"/>
      <c r="V4393" s="33"/>
      <c r="W4393" s="33"/>
      <c r="X4393" s="33"/>
      <c r="Y4393" s="33"/>
      <c r="Z4393" s="33"/>
      <c r="AA4393" s="33"/>
      <c r="AB4393" s="33"/>
      <c r="AC4393" s="33"/>
      <c r="AD4393" s="33"/>
      <c r="AE4393" s="33"/>
      <c r="AF4393" s="33"/>
      <c r="AG4393" s="33"/>
      <c r="AH4393" s="33"/>
      <c r="AI4393" s="33"/>
      <c r="AJ4393" s="33"/>
      <c r="AK4393" s="33"/>
    </row>
    <row r="4394">
      <c r="A4394" s="33"/>
      <c r="B4394" s="33"/>
      <c r="C4394" s="33"/>
      <c r="D4394" s="33"/>
      <c r="E4394" s="33"/>
      <c r="F4394" s="33"/>
      <c r="G4394" s="33"/>
      <c r="H4394" s="33"/>
      <c r="I4394" s="33"/>
      <c r="J4394" s="33"/>
      <c r="K4394" s="33"/>
      <c r="L4394" s="33"/>
      <c r="M4394" s="33"/>
      <c r="N4394" s="33"/>
      <c r="O4394" s="33"/>
      <c r="P4394" s="33"/>
      <c r="Q4394" s="33"/>
      <c r="R4394" s="33"/>
      <c r="S4394" s="33"/>
      <c r="T4394" s="33"/>
      <c r="U4394" s="33"/>
      <c r="V4394" s="33"/>
      <c r="W4394" s="33"/>
      <c r="X4394" s="33"/>
      <c r="Y4394" s="33"/>
      <c r="Z4394" s="33"/>
      <c r="AA4394" s="33"/>
      <c r="AB4394" s="33"/>
      <c r="AC4394" s="33"/>
      <c r="AD4394" s="33"/>
      <c r="AE4394" s="33"/>
      <c r="AF4394" s="33"/>
      <c r="AG4394" s="33"/>
      <c r="AH4394" s="33"/>
      <c r="AI4394" s="33"/>
      <c r="AJ4394" s="33"/>
      <c r="AK4394" s="33"/>
    </row>
    <row r="4395">
      <c r="A4395" s="33"/>
      <c r="B4395" s="33"/>
      <c r="C4395" s="33"/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  <c r="Q4395" s="33"/>
      <c r="R4395" s="33"/>
      <c r="S4395" s="33"/>
      <c r="T4395" s="33"/>
      <c r="U4395" s="33"/>
      <c r="V4395" s="33"/>
      <c r="W4395" s="33"/>
      <c r="X4395" s="33"/>
      <c r="Y4395" s="33"/>
      <c r="Z4395" s="33"/>
      <c r="AA4395" s="33"/>
      <c r="AB4395" s="33"/>
      <c r="AC4395" s="33"/>
      <c r="AD4395" s="33"/>
      <c r="AE4395" s="33"/>
      <c r="AF4395" s="33"/>
      <c r="AG4395" s="33"/>
      <c r="AH4395" s="33"/>
      <c r="AI4395" s="33"/>
      <c r="AJ4395" s="33"/>
      <c r="AK4395" s="33"/>
    </row>
    <row r="4396">
      <c r="A4396" s="33"/>
      <c r="B4396" s="33"/>
      <c r="C4396" s="33"/>
      <c r="D4396" s="33"/>
      <c r="E4396" s="33"/>
      <c r="F4396" s="33"/>
      <c r="G4396" s="33"/>
      <c r="H4396" s="33"/>
      <c r="I4396" s="33"/>
      <c r="J4396" s="33"/>
      <c r="K4396" s="33"/>
      <c r="L4396" s="33"/>
      <c r="M4396" s="33"/>
      <c r="N4396" s="33"/>
      <c r="O4396" s="33"/>
      <c r="P4396" s="33"/>
      <c r="Q4396" s="33"/>
      <c r="R4396" s="33"/>
      <c r="S4396" s="33"/>
      <c r="T4396" s="33"/>
      <c r="U4396" s="33"/>
      <c r="V4396" s="33"/>
      <c r="W4396" s="33"/>
      <c r="X4396" s="33"/>
      <c r="Y4396" s="33"/>
      <c r="Z4396" s="33"/>
      <c r="AA4396" s="33"/>
      <c r="AB4396" s="33"/>
      <c r="AC4396" s="33"/>
      <c r="AD4396" s="33"/>
      <c r="AE4396" s="33"/>
      <c r="AF4396" s="33"/>
      <c r="AG4396" s="33"/>
      <c r="AH4396" s="33"/>
      <c r="AI4396" s="33"/>
      <c r="AJ4396" s="33"/>
      <c r="AK4396" s="33"/>
    </row>
    <row r="4397">
      <c r="A4397" s="33"/>
      <c r="B4397" s="33"/>
      <c r="C4397" s="33"/>
      <c r="D4397" s="33"/>
      <c r="E4397" s="33"/>
      <c r="F4397" s="33"/>
      <c r="G4397" s="33"/>
      <c r="H4397" s="33"/>
      <c r="I4397" s="33"/>
      <c r="J4397" s="33"/>
      <c r="K4397" s="33"/>
      <c r="L4397" s="33"/>
      <c r="M4397" s="33"/>
      <c r="N4397" s="33"/>
      <c r="O4397" s="33"/>
      <c r="P4397" s="33"/>
      <c r="Q4397" s="33"/>
      <c r="R4397" s="33"/>
      <c r="S4397" s="33"/>
      <c r="T4397" s="33"/>
      <c r="U4397" s="33"/>
      <c r="V4397" s="33"/>
      <c r="W4397" s="33"/>
      <c r="X4397" s="33"/>
      <c r="Y4397" s="33"/>
      <c r="Z4397" s="33"/>
      <c r="AA4397" s="33"/>
      <c r="AB4397" s="33"/>
      <c r="AC4397" s="33"/>
      <c r="AD4397" s="33"/>
      <c r="AE4397" s="33"/>
      <c r="AF4397" s="33"/>
      <c r="AG4397" s="33"/>
      <c r="AH4397" s="33"/>
      <c r="AI4397" s="33"/>
      <c r="AJ4397" s="33"/>
      <c r="AK4397" s="33"/>
    </row>
    <row r="4398">
      <c r="A4398" s="33"/>
      <c r="B4398" s="33"/>
      <c r="C4398" s="33"/>
      <c r="D4398" s="33"/>
      <c r="E4398" s="33"/>
      <c r="F4398" s="33"/>
      <c r="G4398" s="33"/>
      <c r="H4398" s="33"/>
      <c r="I4398" s="33"/>
      <c r="J4398" s="33"/>
      <c r="K4398" s="33"/>
      <c r="L4398" s="33"/>
      <c r="M4398" s="33"/>
      <c r="N4398" s="33"/>
      <c r="O4398" s="33"/>
      <c r="P4398" s="33"/>
      <c r="Q4398" s="33"/>
      <c r="R4398" s="33"/>
      <c r="S4398" s="33"/>
      <c r="T4398" s="33"/>
      <c r="U4398" s="33"/>
      <c r="V4398" s="33"/>
      <c r="W4398" s="33"/>
      <c r="X4398" s="33"/>
      <c r="Y4398" s="33"/>
      <c r="Z4398" s="33"/>
      <c r="AA4398" s="33"/>
      <c r="AB4398" s="33"/>
      <c r="AC4398" s="33"/>
      <c r="AD4398" s="33"/>
      <c r="AE4398" s="33"/>
      <c r="AF4398" s="33"/>
      <c r="AG4398" s="33"/>
      <c r="AH4398" s="33"/>
      <c r="AI4398" s="33"/>
      <c r="AJ4398" s="33"/>
      <c r="AK4398" s="33"/>
    </row>
    <row r="4399">
      <c r="A4399" s="33"/>
      <c r="B4399" s="33"/>
      <c r="C4399" s="33"/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33"/>
      <c r="V4399" s="33"/>
      <c r="W4399" s="33"/>
      <c r="X4399" s="33"/>
      <c r="Y4399" s="33"/>
      <c r="Z4399" s="33"/>
      <c r="AA4399" s="33"/>
      <c r="AB4399" s="33"/>
      <c r="AC4399" s="33"/>
      <c r="AD4399" s="33"/>
      <c r="AE4399" s="33"/>
      <c r="AF4399" s="33"/>
      <c r="AG4399" s="33"/>
      <c r="AH4399" s="33"/>
      <c r="AI4399" s="33"/>
      <c r="AJ4399" s="33"/>
      <c r="AK4399" s="33"/>
    </row>
    <row r="4400">
      <c r="A4400" s="33"/>
      <c r="B4400" s="33"/>
      <c r="C4400" s="33"/>
      <c r="D4400" s="33"/>
      <c r="E4400" s="33"/>
      <c r="F4400" s="33"/>
      <c r="G4400" s="33"/>
      <c r="H4400" s="33"/>
      <c r="I4400" s="33"/>
      <c r="J4400" s="33"/>
      <c r="K4400" s="33"/>
      <c r="L4400" s="33"/>
      <c r="M4400" s="33"/>
      <c r="N4400" s="33"/>
      <c r="O4400" s="33"/>
      <c r="P4400" s="33"/>
      <c r="Q4400" s="33"/>
      <c r="R4400" s="33"/>
      <c r="S4400" s="33"/>
      <c r="T4400" s="33"/>
      <c r="U4400" s="33"/>
      <c r="V4400" s="33"/>
      <c r="W4400" s="33"/>
      <c r="X4400" s="33"/>
      <c r="Y4400" s="33"/>
      <c r="Z4400" s="33"/>
      <c r="AA4400" s="33"/>
      <c r="AB4400" s="33"/>
      <c r="AC4400" s="33"/>
      <c r="AD4400" s="33"/>
      <c r="AE4400" s="33"/>
      <c r="AF4400" s="33"/>
      <c r="AG4400" s="33"/>
      <c r="AH4400" s="33"/>
      <c r="AI4400" s="33"/>
      <c r="AJ4400" s="33"/>
      <c r="AK4400" s="33"/>
    </row>
    <row r="4401">
      <c r="A4401" s="33"/>
      <c r="B4401" s="33"/>
      <c r="C4401" s="33"/>
      <c r="D4401" s="33"/>
      <c r="E4401" s="33"/>
      <c r="F4401" s="33"/>
      <c r="G4401" s="33"/>
      <c r="H4401" s="33"/>
      <c r="I4401" s="33"/>
      <c r="J4401" s="33"/>
      <c r="K4401" s="33"/>
      <c r="L4401" s="33"/>
      <c r="M4401" s="33"/>
      <c r="N4401" s="33"/>
      <c r="O4401" s="33"/>
      <c r="P4401" s="33"/>
      <c r="Q4401" s="33"/>
      <c r="R4401" s="33"/>
      <c r="S4401" s="33"/>
      <c r="T4401" s="33"/>
      <c r="U4401" s="33"/>
      <c r="V4401" s="33"/>
      <c r="W4401" s="33"/>
      <c r="X4401" s="33"/>
      <c r="Y4401" s="33"/>
      <c r="Z4401" s="33"/>
      <c r="AA4401" s="33"/>
      <c r="AB4401" s="33"/>
      <c r="AC4401" s="33"/>
      <c r="AD4401" s="33"/>
      <c r="AE4401" s="33"/>
      <c r="AF4401" s="33"/>
      <c r="AG4401" s="33"/>
      <c r="AH4401" s="33"/>
      <c r="AI4401" s="33"/>
      <c r="AJ4401" s="33"/>
      <c r="AK4401" s="33"/>
    </row>
    <row r="4402">
      <c r="A4402" s="33"/>
      <c r="B4402" s="33"/>
      <c r="C4402" s="33"/>
      <c r="D4402" s="33"/>
      <c r="E4402" s="33"/>
      <c r="F4402" s="33"/>
      <c r="G4402" s="33"/>
      <c r="H4402" s="33"/>
      <c r="I4402" s="33"/>
      <c r="J4402" s="33"/>
      <c r="K4402" s="33"/>
      <c r="L4402" s="33"/>
      <c r="M4402" s="33"/>
      <c r="N4402" s="33"/>
      <c r="O4402" s="33"/>
      <c r="P4402" s="33"/>
      <c r="Q4402" s="33"/>
      <c r="R4402" s="33"/>
      <c r="S4402" s="33"/>
      <c r="T4402" s="33"/>
      <c r="U4402" s="33"/>
      <c r="V4402" s="33"/>
      <c r="W4402" s="33"/>
      <c r="X4402" s="33"/>
      <c r="Y4402" s="33"/>
      <c r="Z4402" s="33"/>
      <c r="AA4402" s="33"/>
      <c r="AB4402" s="33"/>
      <c r="AC4402" s="33"/>
      <c r="AD4402" s="33"/>
      <c r="AE4402" s="33"/>
      <c r="AF4402" s="33"/>
      <c r="AG4402" s="33"/>
      <c r="AH4402" s="33"/>
      <c r="AI4402" s="33"/>
      <c r="AJ4402" s="33"/>
      <c r="AK4402" s="33"/>
    </row>
    <row r="4403">
      <c r="A4403" s="33"/>
      <c r="B4403" s="33"/>
      <c r="C4403" s="33"/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  <c r="Q4403" s="33"/>
      <c r="R4403" s="33"/>
      <c r="S4403" s="33"/>
      <c r="T4403" s="33"/>
      <c r="U4403" s="33"/>
      <c r="V4403" s="33"/>
      <c r="W4403" s="33"/>
      <c r="X4403" s="33"/>
      <c r="Y4403" s="33"/>
      <c r="Z4403" s="33"/>
      <c r="AA4403" s="33"/>
      <c r="AB4403" s="33"/>
      <c r="AC4403" s="33"/>
      <c r="AD4403" s="33"/>
      <c r="AE4403" s="33"/>
      <c r="AF4403" s="33"/>
      <c r="AG4403" s="33"/>
      <c r="AH4403" s="33"/>
      <c r="AI4403" s="33"/>
      <c r="AJ4403" s="33"/>
      <c r="AK4403" s="33"/>
    </row>
    <row r="4404">
      <c r="A4404" s="33"/>
      <c r="B4404" s="33"/>
      <c r="C4404" s="33"/>
      <c r="D4404" s="33"/>
      <c r="E4404" s="33"/>
      <c r="F4404" s="33"/>
      <c r="G4404" s="33"/>
      <c r="H4404" s="33"/>
      <c r="I4404" s="33"/>
      <c r="J4404" s="33"/>
      <c r="K4404" s="33"/>
      <c r="L4404" s="33"/>
      <c r="M4404" s="33"/>
      <c r="N4404" s="33"/>
      <c r="O4404" s="33"/>
      <c r="P4404" s="33"/>
      <c r="Q4404" s="33"/>
      <c r="R4404" s="33"/>
      <c r="S4404" s="33"/>
      <c r="T4404" s="33"/>
      <c r="U4404" s="33"/>
      <c r="V4404" s="33"/>
      <c r="W4404" s="33"/>
      <c r="X4404" s="33"/>
      <c r="Y4404" s="33"/>
      <c r="Z4404" s="33"/>
      <c r="AA4404" s="33"/>
      <c r="AB4404" s="33"/>
      <c r="AC4404" s="33"/>
      <c r="AD4404" s="33"/>
      <c r="AE4404" s="33"/>
      <c r="AF4404" s="33"/>
      <c r="AG4404" s="33"/>
      <c r="AH4404" s="33"/>
      <c r="AI4404" s="33"/>
      <c r="AJ4404" s="33"/>
      <c r="AK4404" s="33"/>
    </row>
    <row r="4405">
      <c r="A4405" s="33"/>
      <c r="B4405" s="33"/>
      <c r="C4405" s="33"/>
      <c r="D4405" s="33"/>
      <c r="E4405" s="33"/>
      <c r="F4405" s="33"/>
      <c r="G4405" s="33"/>
      <c r="H4405" s="33"/>
      <c r="I4405" s="33"/>
      <c r="J4405" s="33"/>
      <c r="K4405" s="33"/>
      <c r="L4405" s="33"/>
      <c r="M4405" s="33"/>
      <c r="N4405" s="33"/>
      <c r="O4405" s="33"/>
      <c r="P4405" s="33"/>
      <c r="Q4405" s="33"/>
      <c r="R4405" s="33"/>
      <c r="S4405" s="33"/>
      <c r="T4405" s="33"/>
      <c r="U4405" s="33"/>
      <c r="V4405" s="33"/>
      <c r="W4405" s="33"/>
      <c r="X4405" s="33"/>
      <c r="Y4405" s="33"/>
      <c r="Z4405" s="33"/>
      <c r="AA4405" s="33"/>
      <c r="AB4405" s="33"/>
      <c r="AC4405" s="33"/>
      <c r="AD4405" s="33"/>
      <c r="AE4405" s="33"/>
      <c r="AF4405" s="33"/>
      <c r="AG4405" s="33"/>
      <c r="AH4405" s="33"/>
      <c r="AI4405" s="33"/>
      <c r="AJ4405" s="33"/>
      <c r="AK4405" s="33"/>
    </row>
    <row r="4406">
      <c r="A4406" s="33"/>
      <c r="B4406" s="33"/>
      <c r="C4406" s="33"/>
      <c r="D4406" s="33"/>
      <c r="E4406" s="33"/>
      <c r="F4406" s="33"/>
      <c r="G4406" s="33"/>
      <c r="H4406" s="33"/>
      <c r="I4406" s="33"/>
      <c r="J4406" s="33"/>
      <c r="K4406" s="33"/>
      <c r="L4406" s="33"/>
      <c r="M4406" s="33"/>
      <c r="N4406" s="33"/>
      <c r="O4406" s="33"/>
      <c r="P4406" s="33"/>
      <c r="Q4406" s="33"/>
      <c r="R4406" s="33"/>
      <c r="S4406" s="33"/>
      <c r="T4406" s="33"/>
      <c r="U4406" s="33"/>
      <c r="V4406" s="33"/>
      <c r="W4406" s="33"/>
      <c r="X4406" s="33"/>
      <c r="Y4406" s="33"/>
      <c r="Z4406" s="33"/>
      <c r="AA4406" s="33"/>
      <c r="AB4406" s="33"/>
      <c r="AC4406" s="33"/>
      <c r="AD4406" s="33"/>
      <c r="AE4406" s="33"/>
      <c r="AF4406" s="33"/>
      <c r="AG4406" s="33"/>
      <c r="AH4406" s="33"/>
      <c r="AI4406" s="33"/>
      <c r="AJ4406" s="33"/>
      <c r="AK4406" s="33"/>
    </row>
    <row r="4407">
      <c r="A4407" s="33"/>
      <c r="B4407" s="33"/>
      <c r="C4407" s="33"/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  <c r="R4407" s="33"/>
      <c r="S4407" s="33"/>
      <c r="T4407" s="33"/>
      <c r="U4407" s="33"/>
      <c r="V4407" s="33"/>
      <c r="W4407" s="33"/>
      <c r="X4407" s="33"/>
      <c r="Y4407" s="33"/>
      <c r="Z4407" s="33"/>
      <c r="AA4407" s="33"/>
      <c r="AB4407" s="33"/>
      <c r="AC4407" s="33"/>
      <c r="AD4407" s="33"/>
      <c r="AE4407" s="33"/>
      <c r="AF4407" s="33"/>
      <c r="AG4407" s="33"/>
      <c r="AH4407" s="33"/>
      <c r="AI4407" s="33"/>
      <c r="AJ4407" s="33"/>
      <c r="AK4407" s="33"/>
    </row>
    <row r="4408">
      <c r="A4408" s="33"/>
      <c r="B4408" s="33"/>
      <c r="C4408" s="33"/>
      <c r="D4408" s="33"/>
      <c r="E4408" s="33"/>
      <c r="F4408" s="33"/>
      <c r="G4408" s="33"/>
      <c r="H4408" s="33"/>
      <c r="I4408" s="33"/>
      <c r="J4408" s="33"/>
      <c r="K4408" s="33"/>
      <c r="L4408" s="33"/>
      <c r="M4408" s="33"/>
      <c r="N4408" s="33"/>
      <c r="O4408" s="33"/>
      <c r="P4408" s="33"/>
      <c r="Q4408" s="33"/>
      <c r="R4408" s="33"/>
      <c r="S4408" s="33"/>
      <c r="T4408" s="33"/>
      <c r="U4408" s="33"/>
      <c r="V4408" s="33"/>
      <c r="W4408" s="33"/>
      <c r="X4408" s="33"/>
      <c r="Y4408" s="33"/>
      <c r="Z4408" s="33"/>
      <c r="AA4408" s="33"/>
      <c r="AB4408" s="33"/>
      <c r="AC4408" s="33"/>
      <c r="AD4408" s="33"/>
      <c r="AE4408" s="33"/>
      <c r="AF4408" s="33"/>
      <c r="AG4408" s="33"/>
      <c r="AH4408" s="33"/>
      <c r="AI4408" s="33"/>
      <c r="AJ4408" s="33"/>
      <c r="AK4408" s="33"/>
    </row>
    <row r="4409">
      <c r="A4409" s="33"/>
      <c r="B4409" s="33"/>
      <c r="C4409" s="33"/>
      <c r="D4409" s="33"/>
      <c r="E4409" s="33"/>
      <c r="F4409" s="33"/>
      <c r="G4409" s="33"/>
      <c r="H4409" s="33"/>
      <c r="I4409" s="33"/>
      <c r="J4409" s="33"/>
      <c r="K4409" s="33"/>
      <c r="L4409" s="33"/>
      <c r="M4409" s="33"/>
      <c r="N4409" s="33"/>
      <c r="O4409" s="33"/>
      <c r="P4409" s="33"/>
      <c r="Q4409" s="33"/>
      <c r="R4409" s="33"/>
      <c r="S4409" s="33"/>
      <c r="T4409" s="33"/>
      <c r="U4409" s="33"/>
      <c r="V4409" s="33"/>
      <c r="W4409" s="33"/>
      <c r="X4409" s="33"/>
      <c r="Y4409" s="33"/>
      <c r="Z4409" s="33"/>
      <c r="AA4409" s="33"/>
      <c r="AB4409" s="33"/>
      <c r="AC4409" s="33"/>
      <c r="AD4409" s="33"/>
      <c r="AE4409" s="33"/>
      <c r="AF4409" s="33"/>
      <c r="AG4409" s="33"/>
      <c r="AH4409" s="33"/>
      <c r="AI4409" s="33"/>
      <c r="AJ4409" s="33"/>
      <c r="AK4409" s="33"/>
    </row>
    <row r="4410">
      <c r="A4410" s="33"/>
      <c r="B4410" s="33"/>
      <c r="C4410" s="33"/>
      <c r="D4410" s="33"/>
      <c r="E4410" s="33"/>
      <c r="F4410" s="33"/>
      <c r="G4410" s="33"/>
      <c r="H4410" s="33"/>
      <c r="I4410" s="33"/>
      <c r="J4410" s="33"/>
      <c r="K4410" s="33"/>
      <c r="L4410" s="33"/>
      <c r="M4410" s="33"/>
      <c r="N4410" s="33"/>
      <c r="O4410" s="33"/>
      <c r="P4410" s="33"/>
      <c r="Q4410" s="33"/>
      <c r="R4410" s="33"/>
      <c r="S4410" s="33"/>
      <c r="T4410" s="33"/>
      <c r="U4410" s="33"/>
      <c r="V4410" s="33"/>
      <c r="W4410" s="33"/>
      <c r="X4410" s="33"/>
      <c r="Y4410" s="33"/>
      <c r="Z4410" s="33"/>
      <c r="AA4410" s="33"/>
      <c r="AB4410" s="33"/>
      <c r="AC4410" s="33"/>
      <c r="AD4410" s="33"/>
      <c r="AE4410" s="33"/>
      <c r="AF4410" s="33"/>
      <c r="AG4410" s="33"/>
      <c r="AH4410" s="33"/>
      <c r="AI4410" s="33"/>
      <c r="AJ4410" s="33"/>
      <c r="AK4410" s="33"/>
    </row>
    <row r="4411">
      <c r="A4411" s="33"/>
      <c r="B4411" s="33"/>
      <c r="C4411" s="33"/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  <c r="Q4411" s="33"/>
      <c r="R4411" s="33"/>
      <c r="S4411" s="33"/>
      <c r="T4411" s="33"/>
      <c r="U4411" s="33"/>
      <c r="V4411" s="33"/>
      <c r="W4411" s="33"/>
      <c r="X4411" s="33"/>
      <c r="Y4411" s="33"/>
      <c r="Z4411" s="33"/>
      <c r="AA4411" s="33"/>
      <c r="AB4411" s="33"/>
      <c r="AC4411" s="33"/>
      <c r="AD4411" s="33"/>
      <c r="AE4411" s="33"/>
      <c r="AF4411" s="33"/>
      <c r="AG4411" s="33"/>
      <c r="AH4411" s="33"/>
      <c r="AI4411" s="33"/>
      <c r="AJ4411" s="33"/>
      <c r="AK4411" s="33"/>
    </row>
    <row r="4412">
      <c r="A4412" s="33"/>
      <c r="B4412" s="33"/>
      <c r="C4412" s="33"/>
      <c r="D4412" s="33"/>
      <c r="E4412" s="33"/>
      <c r="F4412" s="33"/>
      <c r="G4412" s="33"/>
      <c r="H4412" s="33"/>
      <c r="I4412" s="33"/>
      <c r="J4412" s="33"/>
      <c r="K4412" s="33"/>
      <c r="L4412" s="33"/>
      <c r="M4412" s="33"/>
      <c r="N4412" s="33"/>
      <c r="O4412" s="33"/>
      <c r="P4412" s="33"/>
      <c r="Q4412" s="33"/>
      <c r="R4412" s="33"/>
      <c r="S4412" s="33"/>
      <c r="T4412" s="33"/>
      <c r="U4412" s="33"/>
      <c r="V4412" s="33"/>
      <c r="W4412" s="33"/>
      <c r="X4412" s="33"/>
      <c r="Y4412" s="33"/>
      <c r="Z4412" s="33"/>
      <c r="AA4412" s="33"/>
      <c r="AB4412" s="33"/>
      <c r="AC4412" s="33"/>
      <c r="AD4412" s="33"/>
      <c r="AE4412" s="33"/>
      <c r="AF4412" s="33"/>
      <c r="AG4412" s="33"/>
      <c r="AH4412" s="33"/>
      <c r="AI4412" s="33"/>
      <c r="AJ4412" s="33"/>
      <c r="AK4412" s="33"/>
    </row>
    <row r="4413">
      <c r="A4413" s="33"/>
      <c r="B4413" s="33"/>
      <c r="C4413" s="33"/>
      <c r="D4413" s="33"/>
      <c r="E4413" s="33"/>
      <c r="F4413" s="33"/>
      <c r="G4413" s="33"/>
      <c r="H4413" s="33"/>
      <c r="I4413" s="33"/>
      <c r="J4413" s="33"/>
      <c r="K4413" s="33"/>
      <c r="L4413" s="33"/>
      <c r="M4413" s="33"/>
      <c r="N4413" s="33"/>
      <c r="O4413" s="33"/>
      <c r="P4413" s="33"/>
      <c r="Q4413" s="33"/>
      <c r="R4413" s="33"/>
      <c r="S4413" s="33"/>
      <c r="T4413" s="33"/>
      <c r="U4413" s="33"/>
      <c r="V4413" s="33"/>
      <c r="W4413" s="33"/>
      <c r="X4413" s="33"/>
      <c r="Y4413" s="33"/>
      <c r="Z4413" s="33"/>
      <c r="AA4413" s="33"/>
      <c r="AB4413" s="33"/>
      <c r="AC4413" s="33"/>
      <c r="AD4413" s="33"/>
      <c r="AE4413" s="33"/>
      <c r="AF4413" s="33"/>
      <c r="AG4413" s="33"/>
      <c r="AH4413" s="33"/>
      <c r="AI4413" s="33"/>
      <c r="AJ4413" s="33"/>
      <c r="AK4413" s="33"/>
    </row>
    <row r="4414">
      <c r="A4414" s="33"/>
      <c r="B4414" s="33"/>
      <c r="C4414" s="33"/>
      <c r="D4414" s="33"/>
      <c r="E4414" s="33"/>
      <c r="F4414" s="33"/>
      <c r="G4414" s="33"/>
      <c r="H4414" s="33"/>
      <c r="I4414" s="33"/>
      <c r="J4414" s="33"/>
      <c r="K4414" s="33"/>
      <c r="L4414" s="33"/>
      <c r="M4414" s="33"/>
      <c r="N4414" s="33"/>
      <c r="O4414" s="33"/>
      <c r="P4414" s="33"/>
      <c r="Q4414" s="33"/>
      <c r="R4414" s="33"/>
      <c r="S4414" s="33"/>
      <c r="T4414" s="33"/>
      <c r="U4414" s="33"/>
      <c r="V4414" s="33"/>
      <c r="W4414" s="33"/>
      <c r="X4414" s="33"/>
      <c r="Y4414" s="33"/>
      <c r="Z4414" s="33"/>
      <c r="AA4414" s="33"/>
      <c r="AB4414" s="33"/>
      <c r="AC4414" s="33"/>
      <c r="AD4414" s="33"/>
      <c r="AE4414" s="33"/>
      <c r="AF4414" s="33"/>
      <c r="AG4414" s="33"/>
      <c r="AH4414" s="33"/>
      <c r="AI4414" s="33"/>
      <c r="AJ4414" s="33"/>
      <c r="AK4414" s="33"/>
    </row>
    <row r="4415">
      <c r="A4415" s="33"/>
      <c r="B4415" s="33"/>
      <c r="C4415" s="33"/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  <c r="Q4415" s="33"/>
      <c r="R4415" s="33"/>
      <c r="S4415" s="33"/>
      <c r="T4415" s="33"/>
      <c r="U4415" s="33"/>
      <c r="V4415" s="33"/>
      <c r="W4415" s="33"/>
      <c r="X4415" s="33"/>
      <c r="Y4415" s="33"/>
      <c r="Z4415" s="33"/>
      <c r="AA4415" s="33"/>
      <c r="AB4415" s="33"/>
      <c r="AC4415" s="33"/>
      <c r="AD4415" s="33"/>
      <c r="AE4415" s="33"/>
      <c r="AF4415" s="33"/>
      <c r="AG4415" s="33"/>
      <c r="AH4415" s="33"/>
      <c r="AI4415" s="33"/>
      <c r="AJ4415" s="33"/>
      <c r="AK4415" s="33"/>
    </row>
    <row r="4416">
      <c r="A4416" s="33"/>
      <c r="B4416" s="33"/>
      <c r="C4416" s="33"/>
      <c r="D4416" s="33"/>
      <c r="E4416" s="33"/>
      <c r="F4416" s="33"/>
      <c r="G4416" s="33"/>
      <c r="H4416" s="33"/>
      <c r="I4416" s="33"/>
      <c r="J4416" s="33"/>
      <c r="K4416" s="33"/>
      <c r="L4416" s="33"/>
      <c r="M4416" s="33"/>
      <c r="N4416" s="33"/>
      <c r="O4416" s="33"/>
      <c r="P4416" s="33"/>
      <c r="Q4416" s="33"/>
      <c r="R4416" s="33"/>
      <c r="S4416" s="33"/>
      <c r="T4416" s="33"/>
      <c r="U4416" s="33"/>
      <c r="V4416" s="33"/>
      <c r="W4416" s="33"/>
      <c r="X4416" s="33"/>
      <c r="Y4416" s="33"/>
      <c r="Z4416" s="33"/>
      <c r="AA4416" s="33"/>
      <c r="AB4416" s="33"/>
      <c r="AC4416" s="33"/>
      <c r="AD4416" s="33"/>
      <c r="AE4416" s="33"/>
      <c r="AF4416" s="33"/>
      <c r="AG4416" s="33"/>
      <c r="AH4416" s="33"/>
      <c r="AI4416" s="33"/>
      <c r="AJ4416" s="33"/>
      <c r="AK4416" s="33"/>
    </row>
    <row r="4417">
      <c r="A4417" s="33"/>
      <c r="B4417" s="33"/>
      <c r="C4417" s="33"/>
      <c r="D4417" s="33"/>
      <c r="E4417" s="33"/>
      <c r="F4417" s="33"/>
      <c r="G4417" s="33"/>
      <c r="H4417" s="33"/>
      <c r="I4417" s="33"/>
      <c r="J4417" s="33"/>
      <c r="K4417" s="33"/>
      <c r="L4417" s="33"/>
      <c r="M4417" s="33"/>
      <c r="N4417" s="33"/>
      <c r="O4417" s="33"/>
      <c r="P4417" s="33"/>
      <c r="Q4417" s="33"/>
      <c r="R4417" s="33"/>
      <c r="S4417" s="33"/>
      <c r="T4417" s="33"/>
      <c r="U4417" s="33"/>
      <c r="V4417" s="33"/>
      <c r="W4417" s="33"/>
      <c r="X4417" s="33"/>
      <c r="Y4417" s="33"/>
      <c r="Z4417" s="33"/>
      <c r="AA4417" s="33"/>
      <c r="AB4417" s="33"/>
      <c r="AC4417" s="33"/>
      <c r="AD4417" s="33"/>
      <c r="AE4417" s="33"/>
      <c r="AF4417" s="33"/>
      <c r="AG4417" s="33"/>
      <c r="AH4417" s="33"/>
      <c r="AI4417" s="33"/>
      <c r="AJ4417" s="33"/>
      <c r="AK4417" s="33"/>
    </row>
    <row r="4418">
      <c r="A4418" s="33"/>
      <c r="B4418" s="33"/>
      <c r="C4418" s="33"/>
      <c r="D4418" s="33"/>
      <c r="E4418" s="33"/>
      <c r="F4418" s="33"/>
      <c r="G4418" s="33"/>
      <c r="H4418" s="33"/>
      <c r="I4418" s="33"/>
      <c r="J4418" s="33"/>
      <c r="K4418" s="33"/>
      <c r="L4418" s="33"/>
      <c r="M4418" s="33"/>
      <c r="N4418" s="33"/>
      <c r="O4418" s="33"/>
      <c r="P4418" s="33"/>
      <c r="Q4418" s="33"/>
      <c r="R4418" s="33"/>
      <c r="S4418" s="33"/>
      <c r="T4418" s="33"/>
      <c r="U4418" s="33"/>
      <c r="V4418" s="33"/>
      <c r="W4418" s="33"/>
      <c r="X4418" s="33"/>
      <c r="Y4418" s="33"/>
      <c r="Z4418" s="33"/>
      <c r="AA4418" s="33"/>
      <c r="AB4418" s="33"/>
      <c r="AC4418" s="33"/>
      <c r="AD4418" s="33"/>
      <c r="AE4418" s="33"/>
      <c r="AF4418" s="33"/>
      <c r="AG4418" s="33"/>
      <c r="AH4418" s="33"/>
      <c r="AI4418" s="33"/>
      <c r="AJ4418" s="33"/>
      <c r="AK4418" s="33"/>
    </row>
    <row r="4419">
      <c r="A4419" s="33"/>
      <c r="B4419" s="33"/>
      <c r="C4419" s="33"/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  <c r="Q4419" s="33"/>
      <c r="R4419" s="33"/>
      <c r="S4419" s="33"/>
      <c r="T4419" s="33"/>
      <c r="U4419" s="33"/>
      <c r="V4419" s="33"/>
      <c r="W4419" s="33"/>
      <c r="X4419" s="33"/>
      <c r="Y4419" s="33"/>
      <c r="Z4419" s="33"/>
      <c r="AA4419" s="33"/>
      <c r="AB4419" s="33"/>
      <c r="AC4419" s="33"/>
      <c r="AD4419" s="33"/>
      <c r="AE4419" s="33"/>
      <c r="AF4419" s="33"/>
      <c r="AG4419" s="33"/>
      <c r="AH4419" s="33"/>
      <c r="AI4419" s="33"/>
      <c r="AJ4419" s="33"/>
      <c r="AK4419" s="33"/>
    </row>
    <row r="4420">
      <c r="A4420" s="33"/>
      <c r="B4420" s="33"/>
      <c r="C4420" s="33"/>
      <c r="D4420" s="33"/>
      <c r="E4420" s="33"/>
      <c r="F4420" s="33"/>
      <c r="G4420" s="33"/>
      <c r="H4420" s="33"/>
      <c r="I4420" s="33"/>
      <c r="J4420" s="33"/>
      <c r="K4420" s="33"/>
      <c r="L4420" s="33"/>
      <c r="M4420" s="33"/>
      <c r="N4420" s="33"/>
      <c r="O4420" s="33"/>
      <c r="P4420" s="33"/>
      <c r="Q4420" s="33"/>
      <c r="R4420" s="33"/>
      <c r="S4420" s="33"/>
      <c r="T4420" s="33"/>
      <c r="U4420" s="33"/>
      <c r="V4420" s="33"/>
      <c r="W4420" s="33"/>
      <c r="X4420" s="33"/>
      <c r="Y4420" s="33"/>
      <c r="Z4420" s="33"/>
      <c r="AA4420" s="33"/>
      <c r="AB4420" s="33"/>
      <c r="AC4420" s="33"/>
      <c r="AD4420" s="33"/>
      <c r="AE4420" s="33"/>
      <c r="AF4420" s="33"/>
      <c r="AG4420" s="33"/>
      <c r="AH4420" s="33"/>
      <c r="AI4420" s="33"/>
      <c r="AJ4420" s="33"/>
      <c r="AK4420" s="33"/>
    </row>
    <row r="4421">
      <c r="A4421" s="33"/>
      <c r="B4421" s="33"/>
      <c r="C4421" s="33"/>
      <c r="D4421" s="33"/>
      <c r="E4421" s="33"/>
      <c r="F4421" s="33"/>
      <c r="G4421" s="33"/>
      <c r="H4421" s="33"/>
      <c r="I4421" s="33"/>
      <c r="J4421" s="33"/>
      <c r="K4421" s="33"/>
      <c r="L4421" s="33"/>
      <c r="M4421" s="33"/>
      <c r="N4421" s="33"/>
      <c r="O4421" s="33"/>
      <c r="P4421" s="33"/>
      <c r="Q4421" s="33"/>
      <c r="R4421" s="33"/>
      <c r="S4421" s="33"/>
      <c r="T4421" s="33"/>
      <c r="U4421" s="33"/>
      <c r="V4421" s="33"/>
      <c r="W4421" s="33"/>
      <c r="X4421" s="33"/>
      <c r="Y4421" s="33"/>
      <c r="Z4421" s="33"/>
      <c r="AA4421" s="33"/>
      <c r="AB4421" s="33"/>
      <c r="AC4421" s="33"/>
      <c r="AD4421" s="33"/>
      <c r="AE4421" s="33"/>
      <c r="AF4421" s="33"/>
      <c r="AG4421" s="33"/>
      <c r="AH4421" s="33"/>
      <c r="AI4421" s="33"/>
      <c r="AJ4421" s="33"/>
      <c r="AK4421" s="33"/>
    </row>
    <row r="4422">
      <c r="A4422" s="33"/>
      <c r="B4422" s="33"/>
      <c r="C4422" s="33"/>
      <c r="D4422" s="33"/>
      <c r="E4422" s="33"/>
      <c r="F4422" s="33"/>
      <c r="G4422" s="33"/>
      <c r="H4422" s="33"/>
      <c r="I4422" s="33"/>
      <c r="J4422" s="33"/>
      <c r="K4422" s="33"/>
      <c r="L4422" s="33"/>
      <c r="M4422" s="33"/>
      <c r="N4422" s="33"/>
      <c r="O4422" s="33"/>
      <c r="P4422" s="33"/>
      <c r="Q4422" s="33"/>
      <c r="R4422" s="33"/>
      <c r="S4422" s="33"/>
      <c r="T4422" s="33"/>
      <c r="U4422" s="33"/>
      <c r="V4422" s="33"/>
      <c r="W4422" s="33"/>
      <c r="X4422" s="33"/>
      <c r="Y4422" s="33"/>
      <c r="Z4422" s="33"/>
      <c r="AA4422" s="33"/>
      <c r="AB4422" s="33"/>
      <c r="AC4422" s="33"/>
      <c r="AD4422" s="33"/>
      <c r="AE4422" s="33"/>
      <c r="AF4422" s="33"/>
      <c r="AG4422" s="33"/>
      <c r="AH4422" s="33"/>
      <c r="AI4422" s="33"/>
      <c r="AJ4422" s="33"/>
      <c r="AK4422" s="33"/>
    </row>
    <row r="4423">
      <c r="A4423" s="33"/>
      <c r="B4423" s="33"/>
      <c r="C4423" s="33"/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33"/>
      <c r="V4423" s="33"/>
      <c r="W4423" s="33"/>
      <c r="X4423" s="33"/>
      <c r="Y4423" s="33"/>
      <c r="Z4423" s="33"/>
      <c r="AA4423" s="33"/>
      <c r="AB4423" s="33"/>
      <c r="AC4423" s="33"/>
      <c r="AD4423" s="33"/>
      <c r="AE4423" s="33"/>
      <c r="AF4423" s="33"/>
      <c r="AG4423" s="33"/>
      <c r="AH4423" s="33"/>
      <c r="AI4423" s="33"/>
      <c r="AJ4423" s="33"/>
      <c r="AK4423" s="33"/>
    </row>
    <row r="4424">
      <c r="A4424" s="33"/>
      <c r="B4424" s="33"/>
      <c r="C4424" s="33"/>
      <c r="D4424" s="33"/>
      <c r="E4424" s="33"/>
      <c r="F4424" s="33"/>
      <c r="G4424" s="33"/>
      <c r="H4424" s="33"/>
      <c r="I4424" s="33"/>
      <c r="J4424" s="33"/>
      <c r="K4424" s="33"/>
      <c r="L4424" s="33"/>
      <c r="M4424" s="33"/>
      <c r="N4424" s="33"/>
      <c r="O4424" s="33"/>
      <c r="P4424" s="33"/>
      <c r="Q4424" s="33"/>
      <c r="R4424" s="33"/>
      <c r="S4424" s="33"/>
      <c r="T4424" s="33"/>
      <c r="U4424" s="33"/>
      <c r="V4424" s="33"/>
      <c r="W4424" s="33"/>
      <c r="X4424" s="33"/>
      <c r="Y4424" s="33"/>
      <c r="Z4424" s="33"/>
      <c r="AA4424" s="33"/>
      <c r="AB4424" s="33"/>
      <c r="AC4424" s="33"/>
      <c r="AD4424" s="33"/>
      <c r="AE4424" s="33"/>
      <c r="AF4424" s="33"/>
      <c r="AG4424" s="33"/>
      <c r="AH4424" s="33"/>
      <c r="AI4424" s="33"/>
      <c r="AJ4424" s="33"/>
      <c r="AK4424" s="33"/>
    </row>
    <row r="4425">
      <c r="A4425" s="33"/>
      <c r="B4425" s="33"/>
      <c r="C4425" s="33"/>
      <c r="D4425" s="33"/>
      <c r="E4425" s="33"/>
      <c r="F4425" s="33"/>
      <c r="G4425" s="33"/>
      <c r="H4425" s="33"/>
      <c r="I4425" s="33"/>
      <c r="J4425" s="33"/>
      <c r="K4425" s="33"/>
      <c r="L4425" s="33"/>
      <c r="M4425" s="33"/>
      <c r="N4425" s="33"/>
      <c r="O4425" s="33"/>
      <c r="P4425" s="33"/>
      <c r="Q4425" s="33"/>
      <c r="R4425" s="33"/>
      <c r="S4425" s="33"/>
      <c r="T4425" s="33"/>
      <c r="U4425" s="33"/>
      <c r="V4425" s="33"/>
      <c r="W4425" s="33"/>
      <c r="X4425" s="33"/>
      <c r="Y4425" s="33"/>
      <c r="Z4425" s="33"/>
      <c r="AA4425" s="33"/>
      <c r="AB4425" s="33"/>
      <c r="AC4425" s="33"/>
      <c r="AD4425" s="33"/>
      <c r="AE4425" s="33"/>
      <c r="AF4425" s="33"/>
      <c r="AG4425" s="33"/>
      <c r="AH4425" s="33"/>
      <c r="AI4425" s="33"/>
      <c r="AJ4425" s="33"/>
      <c r="AK4425" s="33"/>
    </row>
    <row r="4426">
      <c r="A4426" s="33"/>
      <c r="B4426" s="33"/>
      <c r="C4426" s="33"/>
      <c r="D4426" s="33"/>
      <c r="E4426" s="33"/>
      <c r="F4426" s="33"/>
      <c r="G4426" s="33"/>
      <c r="H4426" s="33"/>
      <c r="I4426" s="33"/>
      <c r="J4426" s="33"/>
      <c r="K4426" s="33"/>
      <c r="L4426" s="33"/>
      <c r="M4426" s="33"/>
      <c r="N4426" s="33"/>
      <c r="O4426" s="33"/>
      <c r="P4426" s="33"/>
      <c r="Q4426" s="33"/>
      <c r="R4426" s="33"/>
      <c r="S4426" s="33"/>
      <c r="T4426" s="33"/>
      <c r="U4426" s="33"/>
      <c r="V4426" s="33"/>
      <c r="W4426" s="33"/>
      <c r="X4426" s="33"/>
      <c r="Y4426" s="33"/>
      <c r="Z4426" s="33"/>
      <c r="AA4426" s="33"/>
      <c r="AB4426" s="33"/>
      <c r="AC4426" s="33"/>
      <c r="AD4426" s="33"/>
      <c r="AE4426" s="33"/>
      <c r="AF4426" s="33"/>
      <c r="AG4426" s="33"/>
      <c r="AH4426" s="33"/>
      <c r="AI4426" s="33"/>
      <c r="AJ4426" s="33"/>
      <c r="AK4426" s="33"/>
    </row>
    <row r="4427">
      <c r="A4427" s="33"/>
      <c r="B4427" s="33"/>
      <c r="C4427" s="33"/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  <c r="Q4427" s="33"/>
      <c r="R4427" s="33"/>
      <c r="S4427" s="33"/>
      <c r="T4427" s="33"/>
      <c r="U4427" s="33"/>
      <c r="V4427" s="33"/>
      <c r="W4427" s="33"/>
      <c r="X4427" s="33"/>
      <c r="Y4427" s="33"/>
      <c r="Z4427" s="33"/>
      <c r="AA4427" s="33"/>
      <c r="AB4427" s="33"/>
      <c r="AC4427" s="33"/>
      <c r="AD4427" s="33"/>
      <c r="AE4427" s="33"/>
      <c r="AF4427" s="33"/>
      <c r="AG4427" s="33"/>
      <c r="AH4427" s="33"/>
      <c r="AI4427" s="33"/>
      <c r="AJ4427" s="33"/>
      <c r="AK4427" s="33"/>
    </row>
    <row r="4428">
      <c r="A4428" s="33"/>
      <c r="B4428" s="33"/>
      <c r="C4428" s="33"/>
      <c r="D4428" s="33"/>
      <c r="E4428" s="33"/>
      <c r="F4428" s="33"/>
      <c r="G4428" s="33"/>
      <c r="H4428" s="33"/>
      <c r="I4428" s="33"/>
      <c r="J4428" s="33"/>
      <c r="K4428" s="33"/>
      <c r="L4428" s="33"/>
      <c r="M4428" s="33"/>
      <c r="N4428" s="33"/>
      <c r="O4428" s="33"/>
      <c r="P4428" s="33"/>
      <c r="Q4428" s="33"/>
      <c r="R4428" s="33"/>
      <c r="S4428" s="33"/>
      <c r="T4428" s="33"/>
      <c r="U4428" s="33"/>
      <c r="V4428" s="33"/>
      <c r="W4428" s="33"/>
      <c r="X4428" s="33"/>
      <c r="Y4428" s="33"/>
      <c r="Z4428" s="33"/>
      <c r="AA4428" s="33"/>
      <c r="AB4428" s="33"/>
      <c r="AC4428" s="33"/>
      <c r="AD4428" s="33"/>
      <c r="AE4428" s="33"/>
      <c r="AF4428" s="33"/>
      <c r="AG4428" s="33"/>
      <c r="AH4428" s="33"/>
      <c r="AI4428" s="33"/>
      <c r="AJ4428" s="33"/>
      <c r="AK4428" s="33"/>
    </row>
    <row r="4429">
      <c r="A4429" s="33"/>
      <c r="B4429" s="33"/>
      <c r="C4429" s="33"/>
      <c r="D4429" s="33"/>
      <c r="E4429" s="33"/>
      <c r="F4429" s="33"/>
      <c r="G4429" s="33"/>
      <c r="H4429" s="33"/>
      <c r="I4429" s="33"/>
      <c r="J4429" s="33"/>
      <c r="K4429" s="33"/>
      <c r="L4429" s="33"/>
      <c r="M4429" s="33"/>
      <c r="N4429" s="33"/>
      <c r="O4429" s="33"/>
      <c r="P4429" s="33"/>
      <c r="Q4429" s="33"/>
      <c r="R4429" s="33"/>
      <c r="S4429" s="33"/>
      <c r="T4429" s="33"/>
      <c r="U4429" s="33"/>
      <c r="V4429" s="33"/>
      <c r="W4429" s="33"/>
      <c r="X4429" s="33"/>
      <c r="Y4429" s="33"/>
      <c r="Z4429" s="33"/>
      <c r="AA4429" s="33"/>
      <c r="AB4429" s="33"/>
      <c r="AC4429" s="33"/>
      <c r="AD4429" s="33"/>
      <c r="AE4429" s="33"/>
      <c r="AF4429" s="33"/>
      <c r="AG4429" s="33"/>
      <c r="AH4429" s="33"/>
      <c r="AI4429" s="33"/>
      <c r="AJ4429" s="33"/>
      <c r="AK4429" s="33"/>
    </row>
    <row r="4430">
      <c r="A4430" s="33"/>
      <c r="B4430" s="33"/>
      <c r="C4430" s="33"/>
      <c r="D4430" s="33"/>
      <c r="E4430" s="33"/>
      <c r="F4430" s="33"/>
      <c r="G4430" s="33"/>
      <c r="H4430" s="33"/>
      <c r="I4430" s="33"/>
      <c r="J4430" s="33"/>
      <c r="K4430" s="33"/>
      <c r="L4430" s="33"/>
      <c r="M4430" s="33"/>
      <c r="N4430" s="33"/>
      <c r="O4430" s="33"/>
      <c r="P4430" s="33"/>
      <c r="Q4430" s="33"/>
      <c r="R4430" s="33"/>
      <c r="S4430" s="33"/>
      <c r="T4430" s="33"/>
      <c r="U4430" s="33"/>
      <c r="V4430" s="33"/>
      <c r="W4430" s="33"/>
      <c r="X4430" s="33"/>
      <c r="Y4430" s="33"/>
      <c r="Z4430" s="33"/>
      <c r="AA4430" s="33"/>
      <c r="AB4430" s="33"/>
      <c r="AC4430" s="33"/>
      <c r="AD4430" s="33"/>
      <c r="AE4430" s="33"/>
      <c r="AF4430" s="33"/>
      <c r="AG4430" s="33"/>
      <c r="AH4430" s="33"/>
      <c r="AI4430" s="33"/>
      <c r="AJ4430" s="33"/>
      <c r="AK4430" s="33"/>
    </row>
    <row r="4431">
      <c r="A4431" s="33"/>
      <c r="B4431" s="33"/>
      <c r="C4431" s="33"/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  <c r="Q4431" s="33"/>
      <c r="R4431" s="33"/>
      <c r="S4431" s="33"/>
      <c r="T4431" s="33"/>
      <c r="U4431" s="33"/>
      <c r="V4431" s="33"/>
      <c r="W4431" s="33"/>
      <c r="X4431" s="33"/>
      <c r="Y4431" s="33"/>
      <c r="Z4431" s="33"/>
      <c r="AA4431" s="33"/>
      <c r="AB4431" s="33"/>
      <c r="AC4431" s="33"/>
      <c r="AD4431" s="33"/>
      <c r="AE4431" s="33"/>
      <c r="AF4431" s="33"/>
      <c r="AG4431" s="33"/>
      <c r="AH4431" s="33"/>
      <c r="AI4431" s="33"/>
      <c r="AJ4431" s="33"/>
      <c r="AK4431" s="33"/>
    </row>
    <row r="4432">
      <c r="A4432" s="33"/>
      <c r="B4432" s="33"/>
      <c r="C4432" s="33"/>
      <c r="D4432" s="33"/>
      <c r="E4432" s="33"/>
      <c r="F4432" s="33"/>
      <c r="G4432" s="33"/>
      <c r="H4432" s="33"/>
      <c r="I4432" s="33"/>
      <c r="J4432" s="33"/>
      <c r="K4432" s="33"/>
      <c r="L4432" s="33"/>
      <c r="M4432" s="33"/>
      <c r="N4432" s="33"/>
      <c r="O4432" s="33"/>
      <c r="P4432" s="33"/>
      <c r="Q4432" s="33"/>
      <c r="R4432" s="33"/>
      <c r="S4432" s="33"/>
      <c r="T4432" s="33"/>
      <c r="U4432" s="33"/>
      <c r="V4432" s="33"/>
      <c r="W4432" s="33"/>
      <c r="X4432" s="33"/>
      <c r="Y4432" s="33"/>
      <c r="Z4432" s="33"/>
      <c r="AA4432" s="33"/>
      <c r="AB4432" s="33"/>
      <c r="AC4432" s="33"/>
      <c r="AD4432" s="33"/>
      <c r="AE4432" s="33"/>
      <c r="AF4432" s="33"/>
      <c r="AG4432" s="33"/>
      <c r="AH4432" s="33"/>
      <c r="AI4432" s="33"/>
      <c r="AJ4432" s="33"/>
      <c r="AK4432" s="33"/>
    </row>
    <row r="4433">
      <c r="A4433" s="33"/>
      <c r="B4433" s="33"/>
      <c r="C4433" s="33"/>
      <c r="D4433" s="33"/>
      <c r="E4433" s="33"/>
      <c r="F4433" s="33"/>
      <c r="G4433" s="33"/>
      <c r="H4433" s="33"/>
      <c r="I4433" s="33"/>
      <c r="J4433" s="33"/>
      <c r="K4433" s="33"/>
      <c r="L4433" s="33"/>
      <c r="M4433" s="33"/>
      <c r="N4433" s="33"/>
      <c r="O4433" s="33"/>
      <c r="P4433" s="33"/>
      <c r="Q4433" s="33"/>
      <c r="R4433" s="33"/>
      <c r="S4433" s="33"/>
      <c r="T4433" s="33"/>
      <c r="U4433" s="33"/>
      <c r="V4433" s="33"/>
      <c r="W4433" s="33"/>
      <c r="X4433" s="33"/>
      <c r="Y4433" s="33"/>
      <c r="Z4433" s="33"/>
      <c r="AA4433" s="33"/>
      <c r="AB4433" s="33"/>
      <c r="AC4433" s="33"/>
      <c r="AD4433" s="33"/>
      <c r="AE4433" s="33"/>
      <c r="AF4433" s="33"/>
      <c r="AG4433" s="33"/>
      <c r="AH4433" s="33"/>
      <c r="AI4433" s="33"/>
      <c r="AJ4433" s="33"/>
      <c r="AK4433" s="33"/>
    </row>
    <row r="4434">
      <c r="A4434" s="33"/>
      <c r="B4434" s="33"/>
      <c r="C4434" s="33"/>
      <c r="D4434" s="33"/>
      <c r="E4434" s="33"/>
      <c r="F4434" s="33"/>
      <c r="G4434" s="33"/>
      <c r="H4434" s="33"/>
      <c r="I4434" s="33"/>
      <c r="J4434" s="33"/>
      <c r="K4434" s="33"/>
      <c r="L4434" s="33"/>
      <c r="M4434" s="33"/>
      <c r="N4434" s="33"/>
      <c r="O4434" s="33"/>
      <c r="P4434" s="33"/>
      <c r="Q4434" s="33"/>
      <c r="R4434" s="33"/>
      <c r="S4434" s="33"/>
      <c r="T4434" s="33"/>
      <c r="U4434" s="33"/>
      <c r="V4434" s="33"/>
      <c r="W4434" s="33"/>
      <c r="X4434" s="33"/>
      <c r="Y4434" s="33"/>
      <c r="Z4434" s="33"/>
      <c r="AA4434" s="33"/>
      <c r="AB4434" s="33"/>
      <c r="AC4434" s="33"/>
      <c r="AD4434" s="33"/>
      <c r="AE4434" s="33"/>
      <c r="AF4434" s="33"/>
      <c r="AG4434" s="33"/>
      <c r="AH4434" s="33"/>
      <c r="AI4434" s="33"/>
      <c r="AJ4434" s="33"/>
      <c r="AK4434" s="33"/>
    </row>
    <row r="4435">
      <c r="A4435" s="33"/>
      <c r="B4435" s="33"/>
      <c r="C4435" s="33"/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  <c r="Q4435" s="33"/>
      <c r="R4435" s="33"/>
      <c r="S4435" s="33"/>
      <c r="T4435" s="33"/>
      <c r="U4435" s="33"/>
      <c r="V4435" s="33"/>
      <c r="W4435" s="33"/>
      <c r="X4435" s="33"/>
      <c r="Y4435" s="33"/>
      <c r="Z4435" s="33"/>
      <c r="AA4435" s="33"/>
      <c r="AB4435" s="33"/>
      <c r="AC4435" s="33"/>
      <c r="AD4435" s="33"/>
      <c r="AE4435" s="33"/>
      <c r="AF4435" s="33"/>
      <c r="AG4435" s="33"/>
      <c r="AH4435" s="33"/>
      <c r="AI4435" s="33"/>
      <c r="AJ4435" s="33"/>
      <c r="AK4435" s="33"/>
    </row>
    <row r="4436">
      <c r="A4436" s="33"/>
      <c r="B4436" s="33"/>
      <c r="C4436" s="33"/>
      <c r="D4436" s="33"/>
      <c r="E4436" s="33"/>
      <c r="F4436" s="33"/>
      <c r="G4436" s="33"/>
      <c r="H4436" s="33"/>
      <c r="I4436" s="33"/>
      <c r="J4436" s="33"/>
      <c r="K4436" s="33"/>
      <c r="L4436" s="33"/>
      <c r="M4436" s="33"/>
      <c r="N4436" s="33"/>
      <c r="O4436" s="33"/>
      <c r="P4436" s="33"/>
      <c r="Q4436" s="33"/>
      <c r="R4436" s="33"/>
      <c r="S4436" s="33"/>
      <c r="T4436" s="33"/>
      <c r="U4436" s="33"/>
      <c r="V4436" s="33"/>
      <c r="W4436" s="33"/>
      <c r="X4436" s="33"/>
      <c r="Y4436" s="33"/>
      <c r="Z4436" s="33"/>
      <c r="AA4436" s="33"/>
      <c r="AB4436" s="33"/>
      <c r="AC4436" s="33"/>
      <c r="AD4436" s="33"/>
      <c r="AE4436" s="33"/>
      <c r="AF4436" s="33"/>
      <c r="AG4436" s="33"/>
      <c r="AH4436" s="33"/>
      <c r="AI4436" s="33"/>
      <c r="AJ4436" s="33"/>
      <c r="AK4436" s="33"/>
    </row>
    <row r="4437">
      <c r="A4437" s="33"/>
      <c r="B4437" s="33"/>
      <c r="C4437" s="33"/>
      <c r="D4437" s="33"/>
      <c r="E4437" s="33"/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33"/>
      <c r="Q4437" s="33"/>
      <c r="R4437" s="33"/>
      <c r="S4437" s="33"/>
      <c r="T4437" s="33"/>
      <c r="U4437" s="33"/>
      <c r="V4437" s="33"/>
      <c r="W4437" s="33"/>
      <c r="X4437" s="33"/>
      <c r="Y4437" s="33"/>
      <c r="Z4437" s="33"/>
      <c r="AA4437" s="33"/>
      <c r="AB4437" s="33"/>
      <c r="AC4437" s="33"/>
      <c r="AD4437" s="33"/>
      <c r="AE4437" s="33"/>
      <c r="AF4437" s="33"/>
      <c r="AG4437" s="33"/>
      <c r="AH4437" s="33"/>
      <c r="AI4437" s="33"/>
      <c r="AJ4437" s="33"/>
      <c r="AK4437" s="33"/>
    </row>
    <row r="4438">
      <c r="A4438" s="33"/>
      <c r="B4438" s="33"/>
      <c r="C4438" s="33"/>
      <c r="D4438" s="33"/>
      <c r="E4438" s="33"/>
      <c r="F4438" s="33"/>
      <c r="G4438" s="33"/>
      <c r="H4438" s="33"/>
      <c r="I4438" s="33"/>
      <c r="J4438" s="33"/>
      <c r="K4438" s="33"/>
      <c r="L4438" s="33"/>
      <c r="M4438" s="33"/>
      <c r="N4438" s="33"/>
      <c r="O4438" s="33"/>
      <c r="P4438" s="33"/>
      <c r="Q4438" s="33"/>
      <c r="R4438" s="33"/>
      <c r="S4438" s="33"/>
      <c r="T4438" s="33"/>
      <c r="U4438" s="33"/>
      <c r="V4438" s="33"/>
      <c r="W4438" s="33"/>
      <c r="X4438" s="33"/>
      <c r="Y4438" s="33"/>
      <c r="Z4438" s="33"/>
      <c r="AA4438" s="33"/>
      <c r="AB4438" s="33"/>
      <c r="AC4438" s="33"/>
      <c r="AD4438" s="33"/>
      <c r="AE4438" s="33"/>
      <c r="AF4438" s="33"/>
      <c r="AG4438" s="33"/>
      <c r="AH4438" s="33"/>
      <c r="AI4438" s="33"/>
      <c r="AJ4438" s="33"/>
      <c r="AK4438" s="33"/>
    </row>
    <row r="4439">
      <c r="A4439" s="33"/>
      <c r="B4439" s="33"/>
      <c r="C4439" s="33"/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  <c r="Q4439" s="33"/>
      <c r="R4439" s="33"/>
      <c r="S4439" s="33"/>
      <c r="T4439" s="33"/>
      <c r="U4439" s="33"/>
      <c r="V4439" s="33"/>
      <c r="W4439" s="33"/>
      <c r="X4439" s="33"/>
      <c r="Y4439" s="33"/>
      <c r="Z4439" s="33"/>
      <c r="AA4439" s="33"/>
      <c r="AB4439" s="33"/>
      <c r="AC4439" s="33"/>
      <c r="AD4439" s="33"/>
      <c r="AE4439" s="33"/>
      <c r="AF4439" s="33"/>
      <c r="AG4439" s="33"/>
      <c r="AH4439" s="33"/>
      <c r="AI4439" s="33"/>
      <c r="AJ4439" s="33"/>
      <c r="AK4439" s="33"/>
    </row>
    <row r="4440">
      <c r="A4440" s="33"/>
      <c r="B4440" s="33"/>
      <c r="C4440" s="33"/>
      <c r="D4440" s="33"/>
      <c r="E4440" s="33"/>
      <c r="F4440" s="33"/>
      <c r="G4440" s="33"/>
      <c r="H4440" s="33"/>
      <c r="I4440" s="33"/>
      <c r="J4440" s="33"/>
      <c r="K4440" s="33"/>
      <c r="L4440" s="33"/>
      <c r="M4440" s="33"/>
      <c r="N4440" s="33"/>
      <c r="O4440" s="33"/>
      <c r="P4440" s="33"/>
      <c r="Q4440" s="33"/>
      <c r="R4440" s="33"/>
      <c r="S4440" s="33"/>
      <c r="T4440" s="33"/>
      <c r="U4440" s="33"/>
      <c r="V4440" s="33"/>
      <c r="W4440" s="33"/>
      <c r="X4440" s="33"/>
      <c r="Y4440" s="33"/>
      <c r="Z4440" s="33"/>
      <c r="AA4440" s="33"/>
      <c r="AB4440" s="33"/>
      <c r="AC4440" s="33"/>
      <c r="AD4440" s="33"/>
      <c r="AE4440" s="33"/>
      <c r="AF4440" s="33"/>
      <c r="AG4440" s="33"/>
      <c r="AH4440" s="33"/>
      <c r="AI4440" s="33"/>
      <c r="AJ4440" s="33"/>
      <c r="AK4440" s="33"/>
    </row>
    <row r="4441">
      <c r="A4441" s="33"/>
      <c r="B4441" s="33"/>
      <c r="C4441" s="33"/>
      <c r="D4441" s="33"/>
      <c r="E4441" s="33"/>
      <c r="F4441" s="33"/>
      <c r="G4441" s="33"/>
      <c r="H4441" s="33"/>
      <c r="I4441" s="33"/>
      <c r="J4441" s="33"/>
      <c r="K4441" s="33"/>
      <c r="L4441" s="33"/>
      <c r="M4441" s="33"/>
      <c r="N4441" s="33"/>
      <c r="O4441" s="33"/>
      <c r="P4441" s="33"/>
      <c r="Q4441" s="33"/>
      <c r="R4441" s="33"/>
      <c r="S4441" s="33"/>
      <c r="T4441" s="33"/>
      <c r="U4441" s="33"/>
      <c r="V4441" s="33"/>
      <c r="W4441" s="33"/>
      <c r="X4441" s="33"/>
      <c r="Y4441" s="33"/>
      <c r="Z4441" s="33"/>
      <c r="AA4441" s="33"/>
      <c r="AB4441" s="33"/>
      <c r="AC4441" s="33"/>
      <c r="AD4441" s="33"/>
      <c r="AE4441" s="33"/>
      <c r="AF4441" s="33"/>
      <c r="AG4441" s="33"/>
      <c r="AH4441" s="33"/>
      <c r="AI4441" s="33"/>
      <c r="AJ4441" s="33"/>
      <c r="AK4441" s="33"/>
    </row>
    <row r="4442">
      <c r="A4442" s="33"/>
      <c r="B4442" s="33"/>
      <c r="C4442" s="33"/>
      <c r="D4442" s="33"/>
      <c r="E4442" s="33"/>
      <c r="F4442" s="33"/>
      <c r="G4442" s="33"/>
      <c r="H4442" s="33"/>
      <c r="I4442" s="33"/>
      <c r="J4442" s="33"/>
      <c r="K4442" s="33"/>
      <c r="L4442" s="33"/>
      <c r="M4442" s="33"/>
      <c r="N4442" s="33"/>
      <c r="O4442" s="33"/>
      <c r="P4442" s="33"/>
      <c r="Q4442" s="33"/>
      <c r="R4442" s="33"/>
      <c r="S4442" s="33"/>
      <c r="T4442" s="33"/>
      <c r="U4442" s="33"/>
      <c r="V4442" s="33"/>
      <c r="W4442" s="33"/>
      <c r="X4442" s="33"/>
      <c r="Y4442" s="33"/>
      <c r="Z4442" s="33"/>
      <c r="AA4442" s="33"/>
      <c r="AB4442" s="33"/>
      <c r="AC4442" s="33"/>
      <c r="AD4442" s="33"/>
      <c r="AE4442" s="33"/>
      <c r="AF4442" s="33"/>
      <c r="AG4442" s="33"/>
      <c r="AH4442" s="33"/>
      <c r="AI4442" s="33"/>
      <c r="AJ4442" s="33"/>
      <c r="AK4442" s="33"/>
    </row>
    <row r="4443">
      <c r="A4443" s="33"/>
      <c r="B4443" s="33"/>
      <c r="C4443" s="33"/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  <c r="Q4443" s="33"/>
      <c r="R4443" s="33"/>
      <c r="S4443" s="33"/>
      <c r="T4443" s="33"/>
      <c r="U4443" s="33"/>
      <c r="V4443" s="33"/>
      <c r="W4443" s="33"/>
      <c r="X4443" s="33"/>
      <c r="Y4443" s="33"/>
      <c r="Z4443" s="33"/>
      <c r="AA4443" s="33"/>
      <c r="AB4443" s="33"/>
      <c r="AC4443" s="33"/>
      <c r="AD4443" s="33"/>
      <c r="AE4443" s="33"/>
      <c r="AF4443" s="33"/>
      <c r="AG4443" s="33"/>
      <c r="AH4443" s="33"/>
      <c r="AI4443" s="33"/>
      <c r="AJ4443" s="33"/>
      <c r="AK4443" s="33"/>
    </row>
    <row r="4444">
      <c r="A4444" s="33"/>
      <c r="B4444" s="33"/>
      <c r="C4444" s="33"/>
      <c r="D4444" s="33"/>
      <c r="E4444" s="33"/>
      <c r="F4444" s="33"/>
      <c r="G4444" s="33"/>
      <c r="H4444" s="33"/>
      <c r="I4444" s="33"/>
      <c r="J4444" s="33"/>
      <c r="K4444" s="33"/>
      <c r="L4444" s="33"/>
      <c r="M4444" s="33"/>
      <c r="N4444" s="33"/>
      <c r="O4444" s="33"/>
      <c r="P4444" s="33"/>
      <c r="Q4444" s="33"/>
      <c r="R4444" s="33"/>
      <c r="S4444" s="33"/>
      <c r="T4444" s="33"/>
      <c r="U4444" s="33"/>
      <c r="V4444" s="33"/>
      <c r="W4444" s="33"/>
      <c r="X4444" s="33"/>
      <c r="Y4444" s="33"/>
      <c r="Z4444" s="33"/>
      <c r="AA4444" s="33"/>
      <c r="AB4444" s="33"/>
      <c r="AC4444" s="33"/>
      <c r="AD4444" s="33"/>
      <c r="AE4444" s="33"/>
      <c r="AF4444" s="33"/>
      <c r="AG4444" s="33"/>
      <c r="AH4444" s="33"/>
      <c r="AI4444" s="33"/>
      <c r="AJ4444" s="33"/>
      <c r="AK4444" s="33"/>
    </row>
    <row r="4445">
      <c r="A4445" s="33"/>
      <c r="B4445" s="33"/>
      <c r="C4445" s="33"/>
      <c r="D4445" s="33"/>
      <c r="E4445" s="33"/>
      <c r="F4445" s="33"/>
      <c r="G4445" s="33"/>
      <c r="H4445" s="33"/>
      <c r="I4445" s="33"/>
      <c r="J4445" s="33"/>
      <c r="K4445" s="33"/>
      <c r="L4445" s="33"/>
      <c r="M4445" s="33"/>
      <c r="N4445" s="33"/>
      <c r="O4445" s="33"/>
      <c r="P4445" s="33"/>
      <c r="Q4445" s="33"/>
      <c r="R4445" s="33"/>
      <c r="S4445" s="33"/>
      <c r="T4445" s="33"/>
      <c r="U4445" s="33"/>
      <c r="V4445" s="33"/>
      <c r="W4445" s="33"/>
      <c r="X4445" s="33"/>
      <c r="Y4445" s="33"/>
      <c r="Z4445" s="33"/>
      <c r="AA4445" s="33"/>
      <c r="AB4445" s="33"/>
      <c r="AC4445" s="33"/>
      <c r="AD4445" s="33"/>
      <c r="AE4445" s="33"/>
      <c r="AF4445" s="33"/>
      <c r="AG4445" s="33"/>
      <c r="AH4445" s="33"/>
      <c r="AI4445" s="33"/>
      <c r="AJ4445" s="33"/>
      <c r="AK4445" s="33"/>
    </row>
    <row r="4446">
      <c r="A4446" s="33"/>
      <c r="B4446" s="33"/>
      <c r="C4446" s="33"/>
      <c r="D4446" s="33"/>
      <c r="E4446" s="33"/>
      <c r="F4446" s="33"/>
      <c r="G4446" s="33"/>
      <c r="H4446" s="33"/>
      <c r="I4446" s="33"/>
      <c r="J4446" s="33"/>
      <c r="K4446" s="33"/>
      <c r="L4446" s="33"/>
      <c r="M4446" s="33"/>
      <c r="N4446" s="33"/>
      <c r="O4446" s="33"/>
      <c r="P4446" s="33"/>
      <c r="Q4446" s="33"/>
      <c r="R4446" s="33"/>
      <c r="S4446" s="33"/>
      <c r="T4446" s="33"/>
      <c r="U4446" s="33"/>
      <c r="V4446" s="33"/>
      <c r="W4446" s="33"/>
      <c r="X4446" s="33"/>
      <c r="Y4446" s="33"/>
      <c r="Z4446" s="33"/>
      <c r="AA4446" s="33"/>
      <c r="AB4446" s="33"/>
      <c r="AC4446" s="33"/>
      <c r="AD4446" s="33"/>
      <c r="AE4446" s="33"/>
      <c r="AF4446" s="33"/>
      <c r="AG4446" s="33"/>
      <c r="AH4446" s="33"/>
      <c r="AI4446" s="33"/>
      <c r="AJ4446" s="33"/>
      <c r="AK4446" s="33"/>
    </row>
    <row r="4447">
      <c r="A4447" s="33"/>
      <c r="B4447" s="33"/>
      <c r="C4447" s="33"/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  <c r="Q4447" s="33"/>
      <c r="R4447" s="33"/>
      <c r="S4447" s="33"/>
      <c r="T4447" s="33"/>
      <c r="U4447" s="33"/>
      <c r="V4447" s="33"/>
      <c r="W4447" s="33"/>
      <c r="X4447" s="33"/>
      <c r="Y4447" s="33"/>
      <c r="Z4447" s="33"/>
      <c r="AA4447" s="33"/>
      <c r="AB4447" s="33"/>
      <c r="AC4447" s="33"/>
      <c r="AD4447" s="33"/>
      <c r="AE4447" s="33"/>
      <c r="AF4447" s="33"/>
      <c r="AG4447" s="33"/>
      <c r="AH4447" s="33"/>
      <c r="AI4447" s="33"/>
      <c r="AJ4447" s="33"/>
      <c r="AK4447" s="33"/>
    </row>
    <row r="4448">
      <c r="A4448" s="33"/>
      <c r="B4448" s="33"/>
      <c r="C4448" s="33"/>
      <c r="D4448" s="33"/>
      <c r="E4448" s="33"/>
      <c r="F4448" s="33"/>
      <c r="G4448" s="33"/>
      <c r="H4448" s="33"/>
      <c r="I4448" s="33"/>
      <c r="J4448" s="33"/>
      <c r="K4448" s="33"/>
      <c r="L4448" s="33"/>
      <c r="M4448" s="33"/>
      <c r="N4448" s="33"/>
      <c r="O4448" s="33"/>
      <c r="P4448" s="33"/>
      <c r="Q4448" s="33"/>
      <c r="R4448" s="33"/>
      <c r="S4448" s="33"/>
      <c r="T4448" s="33"/>
      <c r="U4448" s="33"/>
      <c r="V4448" s="33"/>
      <c r="W4448" s="33"/>
      <c r="X4448" s="33"/>
      <c r="Y4448" s="33"/>
      <c r="Z4448" s="33"/>
      <c r="AA4448" s="33"/>
      <c r="AB4448" s="33"/>
      <c r="AC4448" s="33"/>
      <c r="AD4448" s="33"/>
      <c r="AE4448" s="33"/>
      <c r="AF4448" s="33"/>
      <c r="AG4448" s="33"/>
      <c r="AH4448" s="33"/>
      <c r="AI4448" s="33"/>
      <c r="AJ4448" s="33"/>
      <c r="AK4448" s="33"/>
    </row>
    <row r="4449">
      <c r="A4449" s="33"/>
      <c r="B4449" s="33"/>
      <c r="C4449" s="33"/>
      <c r="D4449" s="33"/>
      <c r="E4449" s="33"/>
      <c r="F4449" s="33"/>
      <c r="G4449" s="33"/>
      <c r="H4449" s="33"/>
      <c r="I4449" s="33"/>
      <c r="J4449" s="33"/>
      <c r="K4449" s="33"/>
      <c r="L4449" s="33"/>
      <c r="M4449" s="33"/>
      <c r="N4449" s="33"/>
      <c r="O4449" s="33"/>
      <c r="P4449" s="33"/>
      <c r="Q4449" s="33"/>
      <c r="R4449" s="33"/>
      <c r="S4449" s="33"/>
      <c r="T4449" s="33"/>
      <c r="U4449" s="33"/>
      <c r="V4449" s="33"/>
      <c r="W4449" s="33"/>
      <c r="X4449" s="33"/>
      <c r="Y4449" s="33"/>
      <c r="Z4449" s="33"/>
      <c r="AA4449" s="33"/>
      <c r="AB4449" s="33"/>
      <c r="AC4449" s="33"/>
      <c r="AD4449" s="33"/>
      <c r="AE4449" s="33"/>
      <c r="AF4449" s="33"/>
      <c r="AG4449" s="33"/>
      <c r="AH4449" s="33"/>
      <c r="AI4449" s="33"/>
      <c r="AJ4449" s="33"/>
      <c r="AK4449" s="33"/>
    </row>
    <row r="4450">
      <c r="A4450" s="33"/>
      <c r="B4450" s="33"/>
      <c r="C4450" s="33"/>
      <c r="D4450" s="33"/>
      <c r="E4450" s="33"/>
      <c r="F4450" s="33"/>
      <c r="G4450" s="33"/>
      <c r="H4450" s="33"/>
      <c r="I4450" s="33"/>
      <c r="J4450" s="33"/>
      <c r="K4450" s="33"/>
      <c r="L4450" s="33"/>
      <c r="M4450" s="33"/>
      <c r="N4450" s="33"/>
      <c r="O4450" s="33"/>
      <c r="P4450" s="33"/>
      <c r="Q4450" s="33"/>
      <c r="R4450" s="33"/>
      <c r="S4450" s="33"/>
      <c r="T4450" s="33"/>
      <c r="U4450" s="33"/>
      <c r="V4450" s="33"/>
      <c r="W4450" s="33"/>
      <c r="X4450" s="33"/>
      <c r="Y4450" s="33"/>
      <c r="Z4450" s="33"/>
      <c r="AA4450" s="33"/>
      <c r="AB4450" s="33"/>
      <c r="AC4450" s="33"/>
      <c r="AD4450" s="33"/>
      <c r="AE4450" s="33"/>
      <c r="AF4450" s="33"/>
      <c r="AG4450" s="33"/>
      <c r="AH4450" s="33"/>
      <c r="AI4450" s="33"/>
      <c r="AJ4450" s="33"/>
      <c r="AK4450" s="33"/>
    </row>
    <row r="4451">
      <c r="A4451" s="33"/>
      <c r="B4451" s="33"/>
      <c r="C4451" s="33"/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  <c r="Q4451" s="33"/>
      <c r="R4451" s="33"/>
      <c r="S4451" s="33"/>
      <c r="T4451" s="33"/>
      <c r="U4451" s="33"/>
      <c r="V4451" s="33"/>
      <c r="W4451" s="33"/>
      <c r="X4451" s="33"/>
      <c r="Y4451" s="33"/>
      <c r="Z4451" s="33"/>
      <c r="AA4451" s="33"/>
      <c r="AB4451" s="33"/>
      <c r="AC4451" s="33"/>
      <c r="AD4451" s="33"/>
      <c r="AE4451" s="33"/>
      <c r="AF4451" s="33"/>
      <c r="AG4451" s="33"/>
      <c r="AH4451" s="33"/>
      <c r="AI4451" s="33"/>
      <c r="AJ4451" s="33"/>
      <c r="AK4451" s="33"/>
    </row>
    <row r="4452">
      <c r="A4452" s="33"/>
      <c r="B4452" s="33"/>
      <c r="C4452" s="33"/>
      <c r="D4452" s="33"/>
      <c r="E4452" s="33"/>
      <c r="F4452" s="33"/>
      <c r="G4452" s="33"/>
      <c r="H4452" s="33"/>
      <c r="I4452" s="33"/>
      <c r="J4452" s="33"/>
      <c r="K4452" s="33"/>
      <c r="L4452" s="33"/>
      <c r="M4452" s="33"/>
      <c r="N4452" s="33"/>
      <c r="O4452" s="33"/>
      <c r="P4452" s="33"/>
      <c r="Q4452" s="33"/>
      <c r="R4452" s="33"/>
      <c r="S4452" s="33"/>
      <c r="T4452" s="33"/>
      <c r="U4452" s="33"/>
      <c r="V4452" s="33"/>
      <c r="W4452" s="33"/>
      <c r="X4452" s="33"/>
      <c r="Y4452" s="33"/>
      <c r="Z4452" s="33"/>
      <c r="AA4452" s="33"/>
      <c r="AB4452" s="33"/>
      <c r="AC4452" s="33"/>
      <c r="AD4452" s="33"/>
      <c r="AE4452" s="33"/>
      <c r="AF4452" s="33"/>
      <c r="AG4452" s="33"/>
      <c r="AH4452" s="33"/>
      <c r="AI4452" s="33"/>
      <c r="AJ4452" s="33"/>
      <c r="AK4452" s="33"/>
    </row>
    <row r="4453">
      <c r="A4453" s="33"/>
      <c r="B4453" s="33"/>
      <c r="C4453" s="33"/>
      <c r="D4453" s="33"/>
      <c r="E4453" s="33"/>
      <c r="F4453" s="33"/>
      <c r="G4453" s="33"/>
      <c r="H4453" s="33"/>
      <c r="I4453" s="33"/>
      <c r="J4453" s="33"/>
      <c r="K4453" s="33"/>
      <c r="L4453" s="33"/>
      <c r="M4453" s="33"/>
      <c r="N4453" s="33"/>
      <c r="O4453" s="33"/>
      <c r="P4453" s="33"/>
      <c r="Q4453" s="33"/>
      <c r="R4453" s="33"/>
      <c r="S4453" s="33"/>
      <c r="T4453" s="33"/>
      <c r="U4453" s="33"/>
      <c r="V4453" s="33"/>
      <c r="W4453" s="33"/>
      <c r="X4453" s="33"/>
      <c r="Y4453" s="33"/>
      <c r="Z4453" s="33"/>
      <c r="AA4453" s="33"/>
      <c r="AB4453" s="33"/>
      <c r="AC4453" s="33"/>
      <c r="AD4453" s="33"/>
      <c r="AE4453" s="33"/>
      <c r="AF4453" s="33"/>
      <c r="AG4453" s="33"/>
      <c r="AH4453" s="33"/>
      <c r="AI4453" s="33"/>
      <c r="AJ4453" s="33"/>
      <c r="AK4453" s="33"/>
    </row>
    <row r="4454">
      <c r="A4454" s="33"/>
      <c r="B4454" s="33"/>
      <c r="C4454" s="33"/>
      <c r="D4454" s="33"/>
      <c r="E4454" s="33"/>
      <c r="F4454" s="33"/>
      <c r="G4454" s="33"/>
      <c r="H4454" s="33"/>
      <c r="I4454" s="33"/>
      <c r="J4454" s="33"/>
      <c r="K4454" s="33"/>
      <c r="L4454" s="33"/>
      <c r="M4454" s="33"/>
      <c r="N4454" s="33"/>
      <c r="O4454" s="33"/>
      <c r="P4454" s="33"/>
      <c r="Q4454" s="33"/>
      <c r="R4454" s="33"/>
      <c r="S4454" s="33"/>
      <c r="T4454" s="33"/>
      <c r="U4454" s="33"/>
      <c r="V4454" s="33"/>
      <c r="W4454" s="33"/>
      <c r="X4454" s="33"/>
      <c r="Y4454" s="33"/>
      <c r="Z4454" s="33"/>
      <c r="AA4454" s="33"/>
      <c r="AB4454" s="33"/>
      <c r="AC4454" s="33"/>
      <c r="AD4454" s="33"/>
      <c r="AE4454" s="33"/>
      <c r="AF4454" s="33"/>
      <c r="AG4454" s="33"/>
      <c r="AH4454" s="33"/>
      <c r="AI4454" s="33"/>
      <c r="AJ4454" s="33"/>
      <c r="AK4454" s="33"/>
    </row>
    <row r="4455">
      <c r="A4455" s="33"/>
      <c r="B4455" s="33"/>
      <c r="C4455" s="33"/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  <c r="Q4455" s="33"/>
      <c r="R4455" s="33"/>
      <c r="S4455" s="33"/>
      <c r="T4455" s="33"/>
      <c r="U4455" s="33"/>
      <c r="V4455" s="33"/>
      <c r="W4455" s="33"/>
      <c r="X4455" s="33"/>
      <c r="Y4455" s="33"/>
      <c r="Z4455" s="33"/>
      <c r="AA4455" s="33"/>
      <c r="AB4455" s="33"/>
      <c r="AC4455" s="33"/>
      <c r="AD4455" s="33"/>
      <c r="AE4455" s="33"/>
      <c r="AF4455" s="33"/>
      <c r="AG4455" s="33"/>
      <c r="AH4455" s="33"/>
      <c r="AI4455" s="33"/>
      <c r="AJ4455" s="33"/>
      <c r="AK4455" s="33"/>
    </row>
    <row r="4456">
      <c r="A4456" s="33"/>
      <c r="B4456" s="33"/>
      <c r="C4456" s="33"/>
      <c r="D4456" s="33"/>
      <c r="E4456" s="33"/>
      <c r="F4456" s="33"/>
      <c r="G4456" s="33"/>
      <c r="H4456" s="33"/>
      <c r="I4456" s="33"/>
      <c r="J4456" s="33"/>
      <c r="K4456" s="33"/>
      <c r="L4456" s="33"/>
      <c r="M4456" s="33"/>
      <c r="N4456" s="33"/>
      <c r="O4456" s="33"/>
      <c r="P4456" s="33"/>
      <c r="Q4456" s="33"/>
      <c r="R4456" s="33"/>
      <c r="S4456" s="33"/>
      <c r="T4456" s="33"/>
      <c r="U4456" s="33"/>
      <c r="V4456" s="33"/>
      <c r="W4456" s="33"/>
      <c r="X4456" s="33"/>
      <c r="Y4456" s="33"/>
      <c r="Z4456" s="33"/>
      <c r="AA4456" s="33"/>
      <c r="AB4456" s="33"/>
      <c r="AC4456" s="33"/>
      <c r="AD4456" s="33"/>
      <c r="AE4456" s="33"/>
      <c r="AF4456" s="33"/>
      <c r="AG4456" s="33"/>
      <c r="AH4456" s="33"/>
      <c r="AI4456" s="33"/>
      <c r="AJ4456" s="33"/>
      <c r="AK4456" s="33"/>
    </row>
    <row r="4457">
      <c r="A4457" s="33"/>
      <c r="B4457" s="33"/>
      <c r="C4457" s="33"/>
      <c r="D4457" s="33"/>
      <c r="E4457" s="33"/>
      <c r="F4457" s="33"/>
      <c r="G4457" s="33"/>
      <c r="H4457" s="33"/>
      <c r="I4457" s="33"/>
      <c r="J4457" s="33"/>
      <c r="K4457" s="33"/>
      <c r="L4457" s="33"/>
      <c r="M4457" s="33"/>
      <c r="N4457" s="33"/>
      <c r="O4457" s="33"/>
      <c r="P4457" s="33"/>
      <c r="Q4457" s="33"/>
      <c r="R4457" s="33"/>
      <c r="S4457" s="33"/>
      <c r="T4457" s="33"/>
      <c r="U4457" s="33"/>
      <c r="V4457" s="33"/>
      <c r="W4457" s="33"/>
      <c r="X4457" s="33"/>
      <c r="Y4457" s="33"/>
      <c r="Z4457" s="33"/>
      <c r="AA4457" s="33"/>
      <c r="AB4457" s="33"/>
      <c r="AC4457" s="33"/>
      <c r="AD4457" s="33"/>
      <c r="AE4457" s="33"/>
      <c r="AF4457" s="33"/>
      <c r="AG4457" s="33"/>
      <c r="AH4457" s="33"/>
      <c r="AI4457" s="33"/>
      <c r="AJ4457" s="33"/>
      <c r="AK4457" s="33"/>
    </row>
    <row r="4458">
      <c r="A4458" s="33"/>
      <c r="B4458" s="33"/>
      <c r="C4458" s="33"/>
      <c r="D4458" s="33"/>
      <c r="E4458" s="33"/>
      <c r="F4458" s="33"/>
      <c r="G4458" s="33"/>
      <c r="H4458" s="33"/>
      <c r="I4458" s="33"/>
      <c r="J4458" s="33"/>
      <c r="K4458" s="33"/>
      <c r="L4458" s="33"/>
      <c r="M4458" s="33"/>
      <c r="N4458" s="33"/>
      <c r="O4458" s="33"/>
      <c r="P4458" s="33"/>
      <c r="Q4458" s="33"/>
      <c r="R4458" s="33"/>
      <c r="S4458" s="33"/>
      <c r="T4458" s="33"/>
      <c r="U4458" s="33"/>
      <c r="V4458" s="33"/>
      <c r="W4458" s="33"/>
      <c r="X4458" s="33"/>
      <c r="Y4458" s="33"/>
      <c r="Z4458" s="33"/>
      <c r="AA4458" s="33"/>
      <c r="AB4458" s="33"/>
      <c r="AC4458" s="33"/>
      <c r="AD4458" s="33"/>
      <c r="AE4458" s="33"/>
      <c r="AF4458" s="33"/>
      <c r="AG4458" s="33"/>
      <c r="AH4458" s="33"/>
      <c r="AI4458" s="33"/>
      <c r="AJ4458" s="33"/>
      <c r="AK4458" s="33"/>
    </row>
    <row r="4459">
      <c r="A4459" s="33"/>
      <c r="B4459" s="33"/>
      <c r="C4459" s="33"/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  <c r="Q4459" s="33"/>
      <c r="R4459" s="33"/>
      <c r="S4459" s="33"/>
      <c r="T4459" s="33"/>
      <c r="U4459" s="33"/>
      <c r="V4459" s="33"/>
      <c r="W4459" s="33"/>
      <c r="X4459" s="33"/>
      <c r="Y4459" s="33"/>
      <c r="Z4459" s="33"/>
      <c r="AA4459" s="33"/>
      <c r="AB4459" s="33"/>
      <c r="AC4459" s="33"/>
      <c r="AD4459" s="33"/>
      <c r="AE4459" s="33"/>
      <c r="AF4459" s="33"/>
      <c r="AG4459" s="33"/>
      <c r="AH4459" s="33"/>
      <c r="AI4459" s="33"/>
      <c r="AJ4459" s="33"/>
      <c r="AK4459" s="33"/>
    </row>
    <row r="4460">
      <c r="A4460" s="33"/>
      <c r="B4460" s="33"/>
      <c r="C4460" s="33"/>
      <c r="D4460" s="33"/>
      <c r="E4460" s="33"/>
      <c r="F4460" s="33"/>
      <c r="G4460" s="33"/>
      <c r="H4460" s="33"/>
      <c r="I4460" s="33"/>
      <c r="J4460" s="33"/>
      <c r="K4460" s="33"/>
      <c r="L4460" s="33"/>
      <c r="M4460" s="33"/>
      <c r="N4460" s="33"/>
      <c r="O4460" s="33"/>
      <c r="P4460" s="33"/>
      <c r="Q4460" s="33"/>
      <c r="R4460" s="33"/>
      <c r="S4460" s="33"/>
      <c r="T4460" s="33"/>
      <c r="U4460" s="33"/>
      <c r="V4460" s="33"/>
      <c r="W4460" s="33"/>
      <c r="X4460" s="33"/>
      <c r="Y4460" s="33"/>
      <c r="Z4460" s="33"/>
      <c r="AA4460" s="33"/>
      <c r="AB4460" s="33"/>
      <c r="AC4460" s="33"/>
      <c r="AD4460" s="33"/>
      <c r="AE4460" s="33"/>
      <c r="AF4460" s="33"/>
      <c r="AG4460" s="33"/>
      <c r="AH4460" s="33"/>
      <c r="AI4460" s="33"/>
      <c r="AJ4460" s="33"/>
      <c r="AK4460" s="33"/>
    </row>
    <row r="4461">
      <c r="A4461" s="33"/>
      <c r="B4461" s="33"/>
      <c r="C4461" s="33"/>
      <c r="D4461" s="33"/>
      <c r="E4461" s="33"/>
      <c r="F4461" s="33"/>
      <c r="G4461" s="33"/>
      <c r="H4461" s="33"/>
      <c r="I4461" s="33"/>
      <c r="J4461" s="33"/>
      <c r="K4461" s="33"/>
      <c r="L4461" s="33"/>
      <c r="M4461" s="33"/>
      <c r="N4461" s="33"/>
      <c r="O4461" s="33"/>
      <c r="P4461" s="33"/>
      <c r="Q4461" s="33"/>
      <c r="R4461" s="33"/>
      <c r="S4461" s="33"/>
      <c r="T4461" s="33"/>
      <c r="U4461" s="33"/>
      <c r="V4461" s="33"/>
      <c r="W4461" s="33"/>
      <c r="X4461" s="33"/>
      <c r="Y4461" s="33"/>
      <c r="Z4461" s="33"/>
      <c r="AA4461" s="33"/>
      <c r="AB4461" s="33"/>
      <c r="AC4461" s="33"/>
      <c r="AD4461" s="33"/>
      <c r="AE4461" s="33"/>
      <c r="AF4461" s="33"/>
      <c r="AG4461" s="33"/>
      <c r="AH4461" s="33"/>
      <c r="AI4461" s="33"/>
      <c r="AJ4461" s="33"/>
      <c r="AK4461" s="33"/>
    </row>
    <row r="4462">
      <c r="A4462" s="33"/>
      <c r="B4462" s="33"/>
      <c r="C4462" s="33"/>
      <c r="D4462" s="33"/>
      <c r="E4462" s="33"/>
      <c r="F4462" s="33"/>
      <c r="G4462" s="33"/>
      <c r="H4462" s="33"/>
      <c r="I4462" s="33"/>
      <c r="J4462" s="33"/>
      <c r="K4462" s="33"/>
      <c r="L4462" s="33"/>
      <c r="M4462" s="33"/>
      <c r="N4462" s="33"/>
      <c r="O4462" s="33"/>
      <c r="P4462" s="33"/>
      <c r="Q4462" s="33"/>
      <c r="R4462" s="33"/>
      <c r="S4462" s="33"/>
      <c r="T4462" s="33"/>
      <c r="U4462" s="33"/>
      <c r="V4462" s="33"/>
      <c r="W4462" s="33"/>
      <c r="X4462" s="33"/>
      <c r="Y4462" s="33"/>
      <c r="Z4462" s="33"/>
      <c r="AA4462" s="33"/>
      <c r="AB4462" s="33"/>
      <c r="AC4462" s="33"/>
      <c r="AD4462" s="33"/>
      <c r="AE4462" s="33"/>
      <c r="AF4462" s="33"/>
      <c r="AG4462" s="33"/>
      <c r="AH4462" s="33"/>
      <c r="AI4462" s="33"/>
      <c r="AJ4462" s="33"/>
      <c r="AK4462" s="33"/>
    </row>
    <row r="4463">
      <c r="A4463" s="33"/>
      <c r="B4463" s="33"/>
      <c r="C4463" s="33"/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  <c r="Q4463" s="33"/>
      <c r="R4463" s="33"/>
      <c r="S4463" s="33"/>
      <c r="T4463" s="33"/>
      <c r="U4463" s="33"/>
      <c r="V4463" s="33"/>
      <c r="W4463" s="33"/>
      <c r="X4463" s="33"/>
      <c r="Y4463" s="33"/>
      <c r="Z4463" s="33"/>
      <c r="AA4463" s="33"/>
      <c r="AB4463" s="33"/>
      <c r="AC4463" s="33"/>
      <c r="AD4463" s="33"/>
      <c r="AE4463" s="33"/>
      <c r="AF4463" s="33"/>
      <c r="AG4463" s="33"/>
      <c r="AH4463" s="33"/>
      <c r="AI4463" s="33"/>
      <c r="AJ4463" s="33"/>
      <c r="AK4463" s="33"/>
    </row>
    <row r="4464">
      <c r="A4464" s="33"/>
      <c r="B4464" s="33"/>
      <c r="C4464" s="33"/>
      <c r="D4464" s="33"/>
      <c r="E4464" s="33"/>
      <c r="F4464" s="33"/>
      <c r="G4464" s="33"/>
      <c r="H4464" s="33"/>
      <c r="I4464" s="33"/>
      <c r="J4464" s="33"/>
      <c r="K4464" s="33"/>
      <c r="L4464" s="33"/>
      <c r="M4464" s="33"/>
      <c r="N4464" s="33"/>
      <c r="O4464" s="33"/>
      <c r="P4464" s="33"/>
      <c r="Q4464" s="33"/>
      <c r="R4464" s="33"/>
      <c r="S4464" s="33"/>
      <c r="T4464" s="33"/>
      <c r="U4464" s="33"/>
      <c r="V4464" s="33"/>
      <c r="W4464" s="33"/>
      <c r="X4464" s="33"/>
      <c r="Y4464" s="33"/>
      <c r="Z4464" s="33"/>
      <c r="AA4464" s="33"/>
      <c r="AB4464" s="33"/>
      <c r="AC4464" s="33"/>
      <c r="AD4464" s="33"/>
      <c r="AE4464" s="33"/>
      <c r="AF4464" s="33"/>
      <c r="AG4464" s="33"/>
      <c r="AH4464" s="33"/>
      <c r="AI4464" s="33"/>
      <c r="AJ4464" s="33"/>
      <c r="AK4464" s="33"/>
    </row>
    <row r="4465">
      <c r="A4465" s="33"/>
      <c r="B4465" s="33"/>
      <c r="C4465" s="33"/>
      <c r="D4465" s="33"/>
      <c r="E4465" s="33"/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33"/>
      <c r="Q4465" s="33"/>
      <c r="R4465" s="33"/>
      <c r="S4465" s="33"/>
      <c r="T4465" s="33"/>
      <c r="U4465" s="33"/>
      <c r="V4465" s="33"/>
      <c r="W4465" s="33"/>
      <c r="X4465" s="33"/>
      <c r="Y4465" s="33"/>
      <c r="Z4465" s="33"/>
      <c r="AA4465" s="33"/>
      <c r="AB4465" s="33"/>
      <c r="AC4465" s="33"/>
      <c r="AD4465" s="33"/>
      <c r="AE4465" s="33"/>
      <c r="AF4465" s="33"/>
      <c r="AG4465" s="33"/>
      <c r="AH4465" s="33"/>
      <c r="AI4465" s="33"/>
      <c r="AJ4465" s="33"/>
      <c r="AK4465" s="33"/>
    </row>
    <row r="4466">
      <c r="A4466" s="33"/>
      <c r="B4466" s="33"/>
      <c r="C4466" s="33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33"/>
      <c r="Q4466" s="33"/>
      <c r="R4466" s="33"/>
      <c r="S4466" s="33"/>
      <c r="T4466" s="33"/>
      <c r="U4466" s="33"/>
      <c r="V4466" s="33"/>
      <c r="W4466" s="33"/>
      <c r="X4466" s="33"/>
      <c r="Y4466" s="33"/>
      <c r="Z4466" s="33"/>
      <c r="AA4466" s="33"/>
      <c r="AB4466" s="33"/>
      <c r="AC4466" s="33"/>
      <c r="AD4466" s="33"/>
      <c r="AE4466" s="33"/>
      <c r="AF4466" s="33"/>
      <c r="AG4466" s="33"/>
      <c r="AH4466" s="33"/>
      <c r="AI4466" s="33"/>
      <c r="AJ4466" s="33"/>
      <c r="AK4466" s="33"/>
    </row>
    <row r="4467">
      <c r="A4467" s="33"/>
      <c r="B4467" s="33"/>
      <c r="C4467" s="33"/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  <c r="Q4467" s="33"/>
      <c r="R4467" s="33"/>
      <c r="S4467" s="33"/>
      <c r="T4467" s="33"/>
      <c r="U4467" s="33"/>
      <c r="V4467" s="33"/>
      <c r="W4467" s="33"/>
      <c r="X4467" s="33"/>
      <c r="Y4467" s="33"/>
      <c r="Z4467" s="33"/>
      <c r="AA4467" s="33"/>
      <c r="AB4467" s="33"/>
      <c r="AC4467" s="33"/>
      <c r="AD4467" s="33"/>
      <c r="AE4467" s="33"/>
      <c r="AF4467" s="33"/>
      <c r="AG4467" s="33"/>
      <c r="AH4467" s="33"/>
      <c r="AI4467" s="33"/>
      <c r="AJ4467" s="33"/>
      <c r="AK4467" s="33"/>
    </row>
    <row r="4468">
      <c r="A4468" s="33"/>
      <c r="B4468" s="33"/>
      <c r="C4468" s="33"/>
      <c r="D4468" s="33"/>
      <c r="E4468" s="33"/>
      <c r="F4468" s="33"/>
      <c r="G4468" s="33"/>
      <c r="H4468" s="33"/>
      <c r="I4468" s="33"/>
      <c r="J4468" s="33"/>
      <c r="K4468" s="33"/>
      <c r="L4468" s="33"/>
      <c r="M4468" s="33"/>
      <c r="N4468" s="33"/>
      <c r="O4468" s="33"/>
      <c r="P4468" s="33"/>
      <c r="Q4468" s="33"/>
      <c r="R4468" s="33"/>
      <c r="S4468" s="33"/>
      <c r="T4468" s="33"/>
      <c r="U4468" s="33"/>
      <c r="V4468" s="33"/>
      <c r="W4468" s="33"/>
      <c r="X4468" s="33"/>
      <c r="Y4468" s="33"/>
      <c r="Z4468" s="33"/>
      <c r="AA4468" s="33"/>
      <c r="AB4468" s="33"/>
      <c r="AC4468" s="33"/>
      <c r="AD4468" s="33"/>
      <c r="AE4468" s="33"/>
      <c r="AF4468" s="33"/>
      <c r="AG4468" s="33"/>
      <c r="AH4468" s="33"/>
      <c r="AI4468" s="33"/>
      <c r="AJ4468" s="33"/>
      <c r="AK4468" s="33"/>
    </row>
    <row r="4469">
      <c r="A4469" s="33"/>
      <c r="B4469" s="33"/>
      <c r="C4469" s="33"/>
      <c r="D4469" s="33"/>
      <c r="E4469" s="33"/>
      <c r="F4469" s="33"/>
      <c r="G4469" s="33"/>
      <c r="H4469" s="33"/>
      <c r="I4469" s="33"/>
      <c r="J4469" s="33"/>
      <c r="K4469" s="33"/>
      <c r="L4469" s="33"/>
      <c r="M4469" s="33"/>
      <c r="N4469" s="33"/>
      <c r="O4469" s="33"/>
      <c r="P4469" s="33"/>
      <c r="Q4469" s="33"/>
      <c r="R4469" s="33"/>
      <c r="S4469" s="33"/>
      <c r="T4469" s="33"/>
      <c r="U4469" s="33"/>
      <c r="V4469" s="33"/>
      <c r="W4469" s="33"/>
      <c r="X4469" s="33"/>
      <c r="Y4469" s="33"/>
      <c r="Z4469" s="33"/>
      <c r="AA4469" s="33"/>
      <c r="AB4469" s="33"/>
      <c r="AC4469" s="33"/>
      <c r="AD4469" s="33"/>
      <c r="AE4469" s="33"/>
      <c r="AF4469" s="33"/>
      <c r="AG4469" s="33"/>
      <c r="AH4469" s="33"/>
      <c r="AI4469" s="33"/>
      <c r="AJ4469" s="33"/>
      <c r="AK4469" s="33"/>
    </row>
    <row r="4470">
      <c r="A4470" s="33"/>
      <c r="B4470" s="33"/>
      <c r="C4470" s="33"/>
      <c r="D4470" s="33"/>
      <c r="E4470" s="33"/>
      <c r="F4470" s="33"/>
      <c r="G4470" s="33"/>
      <c r="H4470" s="33"/>
      <c r="I4470" s="33"/>
      <c r="J4470" s="33"/>
      <c r="K4470" s="33"/>
      <c r="L4470" s="33"/>
      <c r="M4470" s="33"/>
      <c r="N4470" s="33"/>
      <c r="O4470" s="33"/>
      <c r="P4470" s="33"/>
      <c r="Q4470" s="33"/>
      <c r="R4470" s="33"/>
      <c r="S4470" s="33"/>
      <c r="T4470" s="33"/>
      <c r="U4470" s="33"/>
      <c r="V4470" s="33"/>
      <c r="W4470" s="33"/>
      <c r="X4470" s="33"/>
      <c r="Y4470" s="33"/>
      <c r="Z4470" s="33"/>
      <c r="AA4470" s="33"/>
      <c r="AB4470" s="33"/>
      <c r="AC4470" s="33"/>
      <c r="AD4470" s="33"/>
      <c r="AE4470" s="33"/>
      <c r="AF4470" s="33"/>
      <c r="AG4470" s="33"/>
      <c r="AH4470" s="33"/>
      <c r="AI4470" s="33"/>
      <c r="AJ4470" s="33"/>
      <c r="AK4470" s="33"/>
    </row>
    <row r="4471">
      <c r="A4471" s="33"/>
      <c r="B4471" s="33"/>
      <c r="C4471" s="33"/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  <c r="Q4471" s="33"/>
      <c r="R4471" s="33"/>
      <c r="S4471" s="33"/>
      <c r="T4471" s="33"/>
      <c r="U4471" s="33"/>
      <c r="V4471" s="33"/>
      <c r="W4471" s="33"/>
      <c r="X4471" s="33"/>
      <c r="Y4471" s="33"/>
      <c r="Z4471" s="33"/>
      <c r="AA4471" s="33"/>
      <c r="AB4471" s="33"/>
      <c r="AC4471" s="33"/>
      <c r="AD4471" s="33"/>
      <c r="AE4471" s="33"/>
      <c r="AF4471" s="33"/>
      <c r="AG4471" s="33"/>
      <c r="AH4471" s="33"/>
      <c r="AI4471" s="33"/>
      <c r="AJ4471" s="33"/>
      <c r="AK4471" s="33"/>
    </row>
    <row r="4472">
      <c r="A4472" s="33"/>
      <c r="B4472" s="33"/>
      <c r="C4472" s="33"/>
      <c r="D4472" s="33"/>
      <c r="E4472" s="33"/>
      <c r="F4472" s="33"/>
      <c r="G4472" s="33"/>
      <c r="H4472" s="33"/>
      <c r="I4472" s="33"/>
      <c r="J4472" s="33"/>
      <c r="K4472" s="33"/>
      <c r="L4472" s="33"/>
      <c r="M4472" s="33"/>
      <c r="N4472" s="33"/>
      <c r="O4472" s="33"/>
      <c r="P4472" s="33"/>
      <c r="Q4472" s="33"/>
      <c r="R4472" s="33"/>
      <c r="S4472" s="33"/>
      <c r="T4472" s="33"/>
      <c r="U4472" s="33"/>
      <c r="V4472" s="33"/>
      <c r="W4472" s="33"/>
      <c r="X4472" s="33"/>
      <c r="Y4472" s="33"/>
      <c r="Z4472" s="33"/>
      <c r="AA4472" s="33"/>
      <c r="AB4472" s="33"/>
      <c r="AC4472" s="33"/>
      <c r="AD4472" s="33"/>
      <c r="AE4472" s="33"/>
      <c r="AF4472" s="33"/>
      <c r="AG4472" s="33"/>
      <c r="AH4472" s="33"/>
      <c r="AI4472" s="33"/>
      <c r="AJ4472" s="33"/>
      <c r="AK4472" s="33"/>
    </row>
    <row r="4473">
      <c r="A4473" s="33"/>
      <c r="B4473" s="33"/>
      <c r="C4473" s="33"/>
      <c r="D4473" s="33"/>
      <c r="E4473" s="33"/>
      <c r="F4473" s="33"/>
      <c r="G4473" s="33"/>
      <c r="H4473" s="33"/>
      <c r="I4473" s="33"/>
      <c r="J4473" s="33"/>
      <c r="K4473" s="33"/>
      <c r="L4473" s="33"/>
      <c r="M4473" s="33"/>
      <c r="N4473" s="33"/>
      <c r="O4473" s="33"/>
      <c r="P4473" s="33"/>
      <c r="Q4473" s="33"/>
      <c r="R4473" s="33"/>
      <c r="S4473" s="33"/>
      <c r="T4473" s="33"/>
      <c r="U4473" s="33"/>
      <c r="V4473" s="33"/>
      <c r="W4473" s="33"/>
      <c r="X4473" s="33"/>
      <c r="Y4473" s="33"/>
      <c r="Z4473" s="33"/>
      <c r="AA4473" s="33"/>
      <c r="AB4473" s="33"/>
      <c r="AC4473" s="33"/>
      <c r="AD4473" s="33"/>
      <c r="AE4473" s="33"/>
      <c r="AF4473" s="33"/>
      <c r="AG4473" s="33"/>
      <c r="AH4473" s="33"/>
      <c r="AI4473" s="33"/>
      <c r="AJ4473" s="33"/>
      <c r="AK4473" s="33"/>
    </row>
    <row r="4474">
      <c r="A4474" s="33"/>
      <c r="B4474" s="33"/>
      <c r="C4474" s="33"/>
      <c r="D4474" s="33"/>
      <c r="E4474" s="33"/>
      <c r="F4474" s="33"/>
      <c r="G4474" s="33"/>
      <c r="H4474" s="33"/>
      <c r="I4474" s="33"/>
      <c r="J4474" s="33"/>
      <c r="K4474" s="33"/>
      <c r="L4474" s="33"/>
      <c r="M4474" s="33"/>
      <c r="N4474" s="33"/>
      <c r="O4474" s="33"/>
      <c r="P4474" s="33"/>
      <c r="Q4474" s="33"/>
      <c r="R4474" s="33"/>
      <c r="S4474" s="33"/>
      <c r="T4474" s="33"/>
      <c r="U4474" s="33"/>
      <c r="V4474" s="33"/>
      <c r="W4474" s="33"/>
      <c r="X4474" s="33"/>
      <c r="Y4474" s="33"/>
      <c r="Z4474" s="33"/>
      <c r="AA4474" s="33"/>
      <c r="AB4474" s="33"/>
      <c r="AC4474" s="33"/>
      <c r="AD4474" s="33"/>
      <c r="AE4474" s="33"/>
      <c r="AF4474" s="33"/>
      <c r="AG4474" s="33"/>
      <c r="AH4474" s="33"/>
      <c r="AI4474" s="33"/>
      <c r="AJ4474" s="33"/>
      <c r="AK4474" s="33"/>
    </row>
    <row r="4475">
      <c r="A4475" s="33"/>
      <c r="B4475" s="33"/>
      <c r="C4475" s="33"/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3"/>
      <c r="S4475" s="33"/>
      <c r="T4475" s="33"/>
      <c r="U4475" s="33"/>
      <c r="V4475" s="33"/>
      <c r="W4475" s="33"/>
      <c r="X4475" s="33"/>
      <c r="Y4475" s="33"/>
      <c r="Z4475" s="33"/>
      <c r="AA4475" s="33"/>
      <c r="AB4475" s="33"/>
      <c r="AC4475" s="33"/>
      <c r="AD4475" s="33"/>
      <c r="AE4475" s="33"/>
      <c r="AF4475" s="33"/>
      <c r="AG4475" s="33"/>
      <c r="AH4475" s="33"/>
      <c r="AI4475" s="33"/>
      <c r="AJ4475" s="33"/>
      <c r="AK4475" s="33"/>
    </row>
    <row r="4476">
      <c r="A4476" s="33"/>
      <c r="B4476" s="33"/>
      <c r="C4476" s="33"/>
      <c r="D4476" s="33"/>
      <c r="E4476" s="33"/>
      <c r="F4476" s="33"/>
      <c r="G4476" s="33"/>
      <c r="H4476" s="33"/>
      <c r="I4476" s="33"/>
      <c r="J4476" s="33"/>
      <c r="K4476" s="33"/>
      <c r="L4476" s="33"/>
      <c r="M4476" s="33"/>
      <c r="N4476" s="33"/>
      <c r="O4476" s="33"/>
      <c r="P4476" s="33"/>
      <c r="Q4476" s="33"/>
      <c r="R4476" s="33"/>
      <c r="S4476" s="33"/>
      <c r="T4476" s="33"/>
      <c r="U4476" s="33"/>
      <c r="V4476" s="33"/>
      <c r="W4476" s="33"/>
      <c r="X4476" s="33"/>
      <c r="Y4476" s="33"/>
      <c r="Z4476" s="33"/>
      <c r="AA4476" s="33"/>
      <c r="AB4476" s="33"/>
      <c r="AC4476" s="33"/>
      <c r="AD4476" s="33"/>
      <c r="AE4476" s="33"/>
      <c r="AF4476" s="33"/>
      <c r="AG4476" s="33"/>
      <c r="AH4476" s="33"/>
      <c r="AI4476" s="33"/>
      <c r="AJ4476" s="33"/>
      <c r="AK4476" s="33"/>
    </row>
    <row r="4477">
      <c r="A4477" s="33"/>
      <c r="B4477" s="33"/>
      <c r="C4477" s="33"/>
      <c r="D4477" s="33"/>
      <c r="E4477" s="33"/>
      <c r="F4477" s="33"/>
      <c r="G4477" s="33"/>
      <c r="H4477" s="33"/>
      <c r="I4477" s="33"/>
      <c r="J4477" s="33"/>
      <c r="K4477" s="33"/>
      <c r="L4477" s="33"/>
      <c r="M4477" s="33"/>
      <c r="N4477" s="33"/>
      <c r="O4477" s="33"/>
      <c r="P4477" s="33"/>
      <c r="Q4477" s="33"/>
      <c r="R4477" s="33"/>
      <c r="S4477" s="33"/>
      <c r="T4477" s="33"/>
      <c r="U4477" s="33"/>
      <c r="V4477" s="33"/>
      <c r="W4477" s="33"/>
      <c r="X4477" s="33"/>
      <c r="Y4477" s="33"/>
      <c r="Z4477" s="33"/>
      <c r="AA4477" s="33"/>
      <c r="AB4477" s="33"/>
      <c r="AC4477" s="33"/>
      <c r="AD4477" s="33"/>
      <c r="AE4477" s="33"/>
      <c r="AF4477" s="33"/>
      <c r="AG4477" s="33"/>
      <c r="AH4477" s="33"/>
      <c r="AI4477" s="33"/>
      <c r="AJ4477" s="33"/>
      <c r="AK4477" s="33"/>
    </row>
    <row r="4478">
      <c r="A4478" s="33"/>
      <c r="B4478" s="33"/>
      <c r="C4478" s="33"/>
      <c r="D4478" s="33"/>
      <c r="E4478" s="33"/>
      <c r="F4478" s="33"/>
      <c r="G4478" s="33"/>
      <c r="H4478" s="33"/>
      <c r="I4478" s="33"/>
      <c r="J4478" s="33"/>
      <c r="K4478" s="33"/>
      <c r="L4478" s="33"/>
      <c r="M4478" s="33"/>
      <c r="N4478" s="33"/>
      <c r="O4478" s="33"/>
      <c r="P4478" s="33"/>
      <c r="Q4478" s="33"/>
      <c r="R4478" s="33"/>
      <c r="S4478" s="33"/>
      <c r="T4478" s="33"/>
      <c r="U4478" s="33"/>
      <c r="V4478" s="33"/>
      <c r="W4478" s="33"/>
      <c r="X4478" s="33"/>
      <c r="Y4478" s="33"/>
      <c r="Z4478" s="33"/>
      <c r="AA4478" s="33"/>
      <c r="AB4478" s="33"/>
      <c r="AC4478" s="33"/>
      <c r="AD4478" s="33"/>
      <c r="AE4478" s="33"/>
      <c r="AF4478" s="33"/>
      <c r="AG4478" s="33"/>
      <c r="AH4478" s="33"/>
      <c r="AI4478" s="33"/>
      <c r="AJ4478" s="33"/>
      <c r="AK4478" s="33"/>
    </row>
    <row r="4479">
      <c r="A4479" s="33"/>
      <c r="B4479" s="33"/>
      <c r="C4479" s="33"/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  <c r="Q4479" s="33"/>
      <c r="R4479" s="33"/>
      <c r="S4479" s="33"/>
      <c r="T4479" s="33"/>
      <c r="U4479" s="33"/>
      <c r="V4479" s="33"/>
      <c r="W4479" s="33"/>
      <c r="X4479" s="33"/>
      <c r="Y4479" s="33"/>
      <c r="Z4479" s="33"/>
      <c r="AA4479" s="33"/>
      <c r="AB4479" s="33"/>
      <c r="AC4479" s="33"/>
      <c r="AD4479" s="33"/>
      <c r="AE4479" s="33"/>
      <c r="AF4479" s="33"/>
      <c r="AG4479" s="33"/>
      <c r="AH4479" s="33"/>
      <c r="AI4479" s="33"/>
      <c r="AJ4479" s="33"/>
      <c r="AK4479" s="33"/>
    </row>
    <row r="4480">
      <c r="A4480" s="33"/>
      <c r="B4480" s="33"/>
      <c r="C4480" s="33"/>
      <c r="D4480" s="33"/>
      <c r="E4480" s="33"/>
      <c r="F4480" s="33"/>
      <c r="G4480" s="33"/>
      <c r="H4480" s="33"/>
      <c r="I4480" s="33"/>
      <c r="J4480" s="33"/>
      <c r="K4480" s="33"/>
      <c r="L4480" s="33"/>
      <c r="M4480" s="33"/>
      <c r="N4480" s="33"/>
      <c r="O4480" s="33"/>
      <c r="P4480" s="33"/>
      <c r="Q4480" s="33"/>
      <c r="R4480" s="33"/>
      <c r="S4480" s="33"/>
      <c r="T4480" s="33"/>
      <c r="U4480" s="33"/>
      <c r="V4480" s="33"/>
      <c r="W4480" s="33"/>
      <c r="X4480" s="33"/>
      <c r="Y4480" s="33"/>
      <c r="Z4480" s="33"/>
      <c r="AA4480" s="33"/>
      <c r="AB4480" s="33"/>
      <c r="AC4480" s="33"/>
      <c r="AD4480" s="33"/>
      <c r="AE4480" s="33"/>
      <c r="AF4480" s="33"/>
      <c r="AG4480" s="33"/>
      <c r="AH4480" s="33"/>
      <c r="AI4480" s="33"/>
      <c r="AJ4480" s="33"/>
      <c r="AK4480" s="33"/>
    </row>
    <row r="4481">
      <c r="A4481" s="33"/>
      <c r="B4481" s="33"/>
      <c r="C4481" s="33"/>
      <c r="D4481" s="33"/>
      <c r="E4481" s="33"/>
      <c r="F4481" s="33"/>
      <c r="G4481" s="33"/>
      <c r="H4481" s="33"/>
      <c r="I4481" s="33"/>
      <c r="J4481" s="33"/>
      <c r="K4481" s="33"/>
      <c r="L4481" s="33"/>
      <c r="M4481" s="33"/>
      <c r="N4481" s="33"/>
      <c r="O4481" s="33"/>
      <c r="P4481" s="33"/>
      <c r="Q4481" s="33"/>
      <c r="R4481" s="33"/>
      <c r="S4481" s="33"/>
      <c r="T4481" s="33"/>
      <c r="U4481" s="33"/>
      <c r="V4481" s="33"/>
      <c r="W4481" s="33"/>
      <c r="X4481" s="33"/>
      <c r="Y4481" s="33"/>
      <c r="Z4481" s="33"/>
      <c r="AA4481" s="33"/>
      <c r="AB4481" s="33"/>
      <c r="AC4481" s="33"/>
      <c r="AD4481" s="33"/>
      <c r="AE4481" s="33"/>
      <c r="AF4481" s="33"/>
      <c r="AG4481" s="33"/>
      <c r="AH4481" s="33"/>
      <c r="AI4481" s="33"/>
      <c r="AJ4481" s="33"/>
      <c r="AK4481" s="33"/>
    </row>
    <row r="4482">
      <c r="A4482" s="33"/>
      <c r="B4482" s="33"/>
      <c r="C4482" s="33"/>
      <c r="D4482" s="33"/>
      <c r="E4482" s="33"/>
      <c r="F4482" s="33"/>
      <c r="G4482" s="33"/>
      <c r="H4482" s="33"/>
      <c r="I4482" s="33"/>
      <c r="J4482" s="33"/>
      <c r="K4482" s="33"/>
      <c r="L4482" s="33"/>
      <c r="M4482" s="33"/>
      <c r="N4482" s="33"/>
      <c r="O4482" s="33"/>
      <c r="P4482" s="33"/>
      <c r="Q4482" s="33"/>
      <c r="R4482" s="33"/>
      <c r="S4482" s="33"/>
      <c r="T4482" s="33"/>
      <c r="U4482" s="33"/>
      <c r="V4482" s="33"/>
      <c r="W4482" s="33"/>
      <c r="X4482" s="33"/>
      <c r="Y4482" s="33"/>
      <c r="Z4482" s="33"/>
      <c r="AA4482" s="33"/>
      <c r="AB4482" s="33"/>
      <c r="AC4482" s="33"/>
      <c r="AD4482" s="33"/>
      <c r="AE4482" s="33"/>
      <c r="AF4482" s="33"/>
      <c r="AG4482" s="33"/>
      <c r="AH4482" s="33"/>
      <c r="AI4482" s="33"/>
      <c r="AJ4482" s="33"/>
      <c r="AK4482" s="33"/>
    </row>
    <row r="4483">
      <c r="A4483" s="33"/>
      <c r="B4483" s="33"/>
      <c r="C4483" s="33"/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  <c r="Q4483" s="33"/>
      <c r="R4483" s="33"/>
      <c r="S4483" s="33"/>
      <c r="T4483" s="33"/>
      <c r="U4483" s="33"/>
      <c r="V4483" s="33"/>
      <c r="W4483" s="33"/>
      <c r="X4483" s="33"/>
      <c r="Y4483" s="33"/>
      <c r="Z4483" s="33"/>
      <c r="AA4483" s="33"/>
      <c r="AB4483" s="33"/>
      <c r="AC4483" s="33"/>
      <c r="AD4483" s="33"/>
      <c r="AE4483" s="33"/>
      <c r="AF4483" s="33"/>
      <c r="AG4483" s="33"/>
      <c r="AH4483" s="33"/>
      <c r="AI4483" s="33"/>
      <c r="AJ4483" s="33"/>
      <c r="AK4483" s="33"/>
    </row>
    <row r="4484">
      <c r="A4484" s="33"/>
      <c r="B4484" s="33"/>
      <c r="C4484" s="33"/>
      <c r="D4484" s="33"/>
      <c r="E4484" s="33"/>
      <c r="F4484" s="33"/>
      <c r="G4484" s="33"/>
      <c r="H4484" s="33"/>
      <c r="I4484" s="33"/>
      <c r="J4484" s="33"/>
      <c r="K4484" s="33"/>
      <c r="L4484" s="33"/>
      <c r="M4484" s="33"/>
      <c r="N4484" s="33"/>
      <c r="O4484" s="33"/>
      <c r="P4484" s="33"/>
      <c r="Q4484" s="33"/>
      <c r="R4484" s="33"/>
      <c r="S4484" s="33"/>
      <c r="T4484" s="33"/>
      <c r="U4484" s="33"/>
      <c r="V4484" s="33"/>
      <c r="W4484" s="33"/>
      <c r="X4484" s="33"/>
      <c r="Y4484" s="33"/>
      <c r="Z4484" s="33"/>
      <c r="AA4484" s="33"/>
      <c r="AB4484" s="33"/>
      <c r="AC4484" s="33"/>
      <c r="AD4484" s="33"/>
      <c r="AE4484" s="33"/>
      <c r="AF4484" s="33"/>
      <c r="AG4484" s="33"/>
      <c r="AH4484" s="33"/>
      <c r="AI4484" s="33"/>
      <c r="AJ4484" s="33"/>
      <c r="AK4484" s="33"/>
    </row>
    <row r="4485">
      <c r="A4485" s="33"/>
      <c r="B4485" s="33"/>
      <c r="C4485" s="33"/>
      <c r="D4485" s="33"/>
      <c r="E4485" s="33"/>
      <c r="F4485" s="33"/>
      <c r="G4485" s="33"/>
      <c r="H4485" s="33"/>
      <c r="I4485" s="33"/>
      <c r="J4485" s="33"/>
      <c r="K4485" s="33"/>
      <c r="L4485" s="33"/>
      <c r="M4485" s="33"/>
      <c r="N4485" s="33"/>
      <c r="O4485" s="33"/>
      <c r="P4485" s="33"/>
      <c r="Q4485" s="33"/>
      <c r="R4485" s="33"/>
      <c r="S4485" s="33"/>
      <c r="T4485" s="33"/>
      <c r="U4485" s="33"/>
      <c r="V4485" s="33"/>
      <c r="W4485" s="33"/>
      <c r="X4485" s="33"/>
      <c r="Y4485" s="33"/>
      <c r="Z4485" s="33"/>
      <c r="AA4485" s="33"/>
      <c r="AB4485" s="33"/>
      <c r="AC4485" s="33"/>
      <c r="AD4485" s="33"/>
      <c r="AE4485" s="33"/>
      <c r="AF4485" s="33"/>
      <c r="AG4485" s="33"/>
      <c r="AH4485" s="33"/>
      <c r="AI4485" s="33"/>
      <c r="AJ4485" s="33"/>
      <c r="AK4485" s="33"/>
    </row>
    <row r="4486">
      <c r="A4486" s="33"/>
      <c r="B4486" s="33"/>
      <c r="C4486" s="33"/>
      <c r="D4486" s="33"/>
      <c r="E4486" s="33"/>
      <c r="F4486" s="33"/>
      <c r="G4486" s="33"/>
      <c r="H4486" s="33"/>
      <c r="I4486" s="33"/>
      <c r="J4486" s="33"/>
      <c r="K4486" s="33"/>
      <c r="L4486" s="33"/>
      <c r="M4486" s="33"/>
      <c r="N4486" s="33"/>
      <c r="O4486" s="33"/>
      <c r="P4486" s="33"/>
      <c r="Q4486" s="33"/>
      <c r="R4486" s="33"/>
      <c r="S4486" s="33"/>
      <c r="T4486" s="33"/>
      <c r="U4486" s="33"/>
      <c r="V4486" s="33"/>
      <c r="W4486" s="33"/>
      <c r="X4486" s="33"/>
      <c r="Y4486" s="33"/>
      <c r="Z4486" s="33"/>
      <c r="AA4486" s="33"/>
      <c r="AB4486" s="33"/>
      <c r="AC4486" s="33"/>
      <c r="AD4486" s="33"/>
      <c r="AE4486" s="33"/>
      <c r="AF4486" s="33"/>
      <c r="AG4486" s="33"/>
      <c r="AH4486" s="33"/>
      <c r="AI4486" s="33"/>
      <c r="AJ4486" s="33"/>
      <c r="AK4486" s="33"/>
    </row>
    <row r="4487">
      <c r="A4487" s="33"/>
      <c r="B4487" s="33"/>
      <c r="C4487" s="33"/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  <c r="Q4487" s="33"/>
      <c r="R4487" s="33"/>
      <c r="S4487" s="33"/>
      <c r="T4487" s="33"/>
      <c r="U4487" s="33"/>
      <c r="V4487" s="33"/>
      <c r="W4487" s="33"/>
      <c r="X4487" s="33"/>
      <c r="Y4487" s="33"/>
      <c r="Z4487" s="33"/>
      <c r="AA4487" s="33"/>
      <c r="AB4487" s="33"/>
      <c r="AC4487" s="33"/>
      <c r="AD4487" s="33"/>
      <c r="AE4487" s="33"/>
      <c r="AF4487" s="33"/>
      <c r="AG4487" s="33"/>
      <c r="AH4487" s="33"/>
      <c r="AI4487" s="33"/>
      <c r="AJ4487" s="33"/>
      <c r="AK4487" s="33"/>
    </row>
    <row r="4488">
      <c r="A4488" s="33"/>
      <c r="B4488" s="33"/>
      <c r="C4488" s="33"/>
      <c r="D4488" s="33"/>
      <c r="E4488" s="33"/>
      <c r="F4488" s="33"/>
      <c r="G4488" s="33"/>
      <c r="H4488" s="33"/>
      <c r="I4488" s="33"/>
      <c r="J4488" s="33"/>
      <c r="K4488" s="33"/>
      <c r="L4488" s="33"/>
      <c r="M4488" s="33"/>
      <c r="N4488" s="33"/>
      <c r="O4488" s="33"/>
      <c r="P4488" s="33"/>
      <c r="Q4488" s="33"/>
      <c r="R4488" s="33"/>
      <c r="S4488" s="33"/>
      <c r="T4488" s="33"/>
      <c r="U4488" s="33"/>
      <c r="V4488" s="33"/>
      <c r="W4488" s="33"/>
      <c r="X4488" s="33"/>
      <c r="Y4488" s="33"/>
      <c r="Z4488" s="33"/>
      <c r="AA4488" s="33"/>
      <c r="AB4488" s="33"/>
      <c r="AC4488" s="33"/>
      <c r="AD4488" s="33"/>
      <c r="AE4488" s="33"/>
      <c r="AF4488" s="33"/>
      <c r="AG4488" s="33"/>
      <c r="AH4488" s="33"/>
      <c r="AI4488" s="33"/>
      <c r="AJ4488" s="33"/>
      <c r="AK4488" s="33"/>
    </row>
    <row r="4489">
      <c r="A4489" s="33"/>
      <c r="B4489" s="33"/>
      <c r="C4489" s="33"/>
      <c r="D4489" s="33"/>
      <c r="E4489" s="33"/>
      <c r="F4489" s="33"/>
      <c r="G4489" s="33"/>
      <c r="H4489" s="33"/>
      <c r="I4489" s="33"/>
      <c r="J4489" s="33"/>
      <c r="K4489" s="33"/>
      <c r="L4489" s="33"/>
      <c r="M4489" s="33"/>
      <c r="N4489" s="33"/>
      <c r="O4489" s="33"/>
      <c r="P4489" s="33"/>
      <c r="Q4489" s="33"/>
      <c r="R4489" s="33"/>
      <c r="S4489" s="33"/>
      <c r="T4489" s="33"/>
      <c r="U4489" s="33"/>
      <c r="V4489" s="33"/>
      <c r="W4489" s="33"/>
      <c r="X4489" s="33"/>
      <c r="Y4489" s="33"/>
      <c r="Z4489" s="33"/>
      <c r="AA4489" s="33"/>
      <c r="AB4489" s="33"/>
      <c r="AC4489" s="33"/>
      <c r="AD4489" s="33"/>
      <c r="AE4489" s="33"/>
      <c r="AF4489" s="33"/>
      <c r="AG4489" s="33"/>
      <c r="AH4489" s="33"/>
      <c r="AI4489" s="33"/>
      <c r="AJ4489" s="33"/>
      <c r="AK4489" s="33"/>
    </row>
    <row r="4490">
      <c r="A4490" s="33"/>
      <c r="B4490" s="33"/>
      <c r="C4490" s="33"/>
      <c r="D4490" s="33"/>
      <c r="E4490" s="33"/>
      <c r="F4490" s="33"/>
      <c r="G4490" s="33"/>
      <c r="H4490" s="33"/>
      <c r="I4490" s="33"/>
      <c r="J4490" s="33"/>
      <c r="K4490" s="33"/>
      <c r="L4490" s="33"/>
      <c r="M4490" s="33"/>
      <c r="N4490" s="33"/>
      <c r="O4490" s="33"/>
      <c r="P4490" s="33"/>
      <c r="Q4490" s="33"/>
      <c r="R4490" s="33"/>
      <c r="S4490" s="33"/>
      <c r="T4490" s="33"/>
      <c r="U4490" s="33"/>
      <c r="V4490" s="33"/>
      <c r="W4490" s="33"/>
      <c r="X4490" s="33"/>
      <c r="Y4490" s="33"/>
      <c r="Z4490" s="33"/>
      <c r="AA4490" s="33"/>
      <c r="AB4490" s="33"/>
      <c r="AC4490" s="33"/>
      <c r="AD4490" s="33"/>
      <c r="AE4490" s="33"/>
      <c r="AF4490" s="33"/>
      <c r="AG4490" s="33"/>
      <c r="AH4490" s="33"/>
      <c r="AI4490" s="33"/>
      <c r="AJ4490" s="33"/>
      <c r="AK4490" s="33"/>
    </row>
    <row r="4491">
      <c r="A4491" s="33"/>
      <c r="B4491" s="33"/>
      <c r="C4491" s="33"/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  <c r="Q4491" s="33"/>
      <c r="R4491" s="33"/>
      <c r="S4491" s="33"/>
      <c r="T4491" s="33"/>
      <c r="U4491" s="33"/>
      <c r="V4491" s="33"/>
      <c r="W4491" s="33"/>
      <c r="X4491" s="33"/>
      <c r="Y4491" s="33"/>
      <c r="Z4491" s="33"/>
      <c r="AA4491" s="33"/>
      <c r="AB4491" s="33"/>
      <c r="AC4491" s="33"/>
      <c r="AD4491" s="33"/>
      <c r="AE4491" s="33"/>
      <c r="AF4491" s="33"/>
      <c r="AG4491" s="33"/>
      <c r="AH4491" s="33"/>
      <c r="AI4491" s="33"/>
      <c r="AJ4491" s="33"/>
      <c r="AK4491" s="33"/>
    </row>
    <row r="4492">
      <c r="A4492" s="33"/>
      <c r="B4492" s="33"/>
      <c r="C4492" s="33"/>
      <c r="D4492" s="33"/>
      <c r="E4492" s="33"/>
      <c r="F4492" s="33"/>
      <c r="G4492" s="33"/>
      <c r="H4492" s="33"/>
      <c r="I4492" s="33"/>
      <c r="J4492" s="33"/>
      <c r="K4492" s="33"/>
      <c r="L4492" s="33"/>
      <c r="M4492" s="33"/>
      <c r="N4492" s="33"/>
      <c r="O4492" s="33"/>
      <c r="P4492" s="33"/>
      <c r="Q4492" s="33"/>
      <c r="R4492" s="33"/>
      <c r="S4492" s="33"/>
      <c r="T4492" s="33"/>
      <c r="U4492" s="33"/>
      <c r="V4492" s="33"/>
      <c r="W4492" s="33"/>
      <c r="X4492" s="33"/>
      <c r="Y4492" s="33"/>
      <c r="Z4492" s="33"/>
      <c r="AA4492" s="33"/>
      <c r="AB4492" s="33"/>
      <c r="AC4492" s="33"/>
      <c r="AD4492" s="33"/>
      <c r="AE4492" s="33"/>
      <c r="AF4492" s="33"/>
      <c r="AG4492" s="33"/>
      <c r="AH4492" s="33"/>
      <c r="AI4492" s="33"/>
      <c r="AJ4492" s="33"/>
      <c r="AK4492" s="33"/>
    </row>
    <row r="4493">
      <c r="A4493" s="33"/>
      <c r="B4493" s="33"/>
      <c r="C4493" s="33"/>
      <c r="D4493" s="33"/>
      <c r="E4493" s="33"/>
      <c r="F4493" s="33"/>
      <c r="G4493" s="33"/>
      <c r="H4493" s="33"/>
      <c r="I4493" s="33"/>
      <c r="J4493" s="33"/>
      <c r="K4493" s="33"/>
      <c r="L4493" s="33"/>
      <c r="M4493" s="33"/>
      <c r="N4493" s="33"/>
      <c r="O4493" s="33"/>
      <c r="P4493" s="33"/>
      <c r="Q4493" s="33"/>
      <c r="R4493" s="33"/>
      <c r="S4493" s="33"/>
      <c r="T4493" s="33"/>
      <c r="U4493" s="33"/>
      <c r="V4493" s="33"/>
      <c r="W4493" s="33"/>
      <c r="X4493" s="33"/>
      <c r="Y4493" s="33"/>
      <c r="Z4493" s="33"/>
      <c r="AA4493" s="33"/>
      <c r="AB4493" s="33"/>
      <c r="AC4493" s="33"/>
      <c r="AD4493" s="33"/>
      <c r="AE4493" s="33"/>
      <c r="AF4493" s="33"/>
      <c r="AG4493" s="33"/>
      <c r="AH4493" s="33"/>
      <c r="AI4493" s="33"/>
      <c r="AJ4493" s="33"/>
      <c r="AK4493" s="33"/>
    </row>
    <row r="4494">
      <c r="A4494" s="33"/>
      <c r="B4494" s="33"/>
      <c r="C4494" s="33"/>
      <c r="D4494" s="33"/>
      <c r="E4494" s="33"/>
      <c r="F4494" s="33"/>
      <c r="G4494" s="33"/>
      <c r="H4494" s="33"/>
      <c r="I4494" s="33"/>
      <c r="J4494" s="33"/>
      <c r="K4494" s="33"/>
      <c r="L4494" s="33"/>
      <c r="M4494" s="33"/>
      <c r="N4494" s="33"/>
      <c r="O4494" s="33"/>
      <c r="P4494" s="33"/>
      <c r="Q4494" s="33"/>
      <c r="R4494" s="33"/>
      <c r="S4494" s="33"/>
      <c r="T4494" s="33"/>
      <c r="U4494" s="33"/>
      <c r="V4494" s="33"/>
      <c r="W4494" s="33"/>
      <c r="X4494" s="33"/>
      <c r="Y4494" s="33"/>
      <c r="Z4494" s="33"/>
      <c r="AA4494" s="33"/>
      <c r="AB4494" s="33"/>
      <c r="AC4494" s="33"/>
      <c r="AD4494" s="33"/>
      <c r="AE4494" s="33"/>
      <c r="AF4494" s="33"/>
      <c r="AG4494" s="33"/>
      <c r="AH4494" s="33"/>
      <c r="AI4494" s="33"/>
      <c r="AJ4494" s="33"/>
      <c r="AK4494" s="33"/>
    </row>
    <row r="4495">
      <c r="A4495" s="33"/>
      <c r="B4495" s="33"/>
      <c r="C4495" s="33"/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  <c r="R4495" s="33"/>
      <c r="S4495" s="33"/>
      <c r="T4495" s="33"/>
      <c r="U4495" s="33"/>
      <c r="V4495" s="33"/>
      <c r="W4495" s="33"/>
      <c r="X4495" s="33"/>
      <c r="Y4495" s="33"/>
      <c r="Z4495" s="33"/>
      <c r="AA4495" s="33"/>
      <c r="AB4495" s="33"/>
      <c r="AC4495" s="33"/>
      <c r="AD4495" s="33"/>
      <c r="AE4495" s="33"/>
      <c r="AF4495" s="33"/>
      <c r="AG4495" s="33"/>
      <c r="AH4495" s="33"/>
      <c r="AI4495" s="33"/>
      <c r="AJ4495" s="33"/>
      <c r="AK4495" s="33"/>
    </row>
    <row r="4496">
      <c r="A4496" s="33"/>
      <c r="B4496" s="33"/>
      <c r="C4496" s="33"/>
      <c r="D4496" s="33"/>
      <c r="E4496" s="33"/>
      <c r="F4496" s="33"/>
      <c r="G4496" s="33"/>
      <c r="H4496" s="33"/>
      <c r="I4496" s="33"/>
      <c r="J4496" s="33"/>
      <c r="K4496" s="33"/>
      <c r="L4496" s="33"/>
      <c r="M4496" s="33"/>
      <c r="N4496" s="33"/>
      <c r="O4496" s="33"/>
      <c r="P4496" s="33"/>
      <c r="Q4496" s="33"/>
      <c r="R4496" s="33"/>
      <c r="S4496" s="33"/>
      <c r="T4496" s="33"/>
      <c r="U4496" s="33"/>
      <c r="V4496" s="33"/>
      <c r="W4496" s="33"/>
      <c r="X4496" s="33"/>
      <c r="Y4496" s="33"/>
      <c r="Z4496" s="33"/>
      <c r="AA4496" s="33"/>
      <c r="AB4496" s="33"/>
      <c r="AC4496" s="33"/>
      <c r="AD4496" s="33"/>
      <c r="AE4496" s="33"/>
      <c r="AF4496" s="33"/>
      <c r="AG4496" s="33"/>
      <c r="AH4496" s="33"/>
      <c r="AI4496" s="33"/>
      <c r="AJ4496" s="33"/>
      <c r="AK4496" s="33"/>
    </row>
    <row r="4497">
      <c r="A4497" s="33"/>
      <c r="B4497" s="33"/>
      <c r="C4497" s="33"/>
      <c r="D4497" s="33"/>
      <c r="E4497" s="33"/>
      <c r="F4497" s="33"/>
      <c r="G4497" s="33"/>
      <c r="H4497" s="33"/>
      <c r="I4497" s="33"/>
      <c r="J4497" s="33"/>
      <c r="K4497" s="33"/>
      <c r="L4497" s="33"/>
      <c r="M4497" s="33"/>
      <c r="N4497" s="33"/>
      <c r="O4497" s="33"/>
      <c r="P4497" s="33"/>
      <c r="Q4497" s="33"/>
      <c r="R4497" s="33"/>
      <c r="S4497" s="33"/>
      <c r="T4497" s="33"/>
      <c r="U4497" s="33"/>
      <c r="V4497" s="33"/>
      <c r="W4497" s="33"/>
      <c r="X4497" s="33"/>
      <c r="Y4497" s="33"/>
      <c r="Z4497" s="33"/>
      <c r="AA4497" s="33"/>
      <c r="AB4497" s="33"/>
      <c r="AC4497" s="33"/>
      <c r="AD4497" s="33"/>
      <c r="AE4497" s="33"/>
      <c r="AF4497" s="33"/>
      <c r="AG4497" s="33"/>
      <c r="AH4497" s="33"/>
      <c r="AI4497" s="33"/>
      <c r="AJ4497" s="33"/>
      <c r="AK4497" s="33"/>
    </row>
    <row r="4498">
      <c r="A4498" s="33"/>
      <c r="B4498" s="33"/>
      <c r="C4498" s="33"/>
      <c r="D4498" s="33"/>
      <c r="E4498" s="33"/>
      <c r="F4498" s="33"/>
      <c r="G4498" s="33"/>
      <c r="H4498" s="33"/>
      <c r="I4498" s="33"/>
      <c r="J4498" s="33"/>
      <c r="K4498" s="33"/>
      <c r="L4498" s="33"/>
      <c r="M4498" s="33"/>
      <c r="N4498" s="33"/>
      <c r="O4498" s="33"/>
      <c r="P4498" s="33"/>
      <c r="Q4498" s="33"/>
      <c r="R4498" s="33"/>
      <c r="S4498" s="33"/>
      <c r="T4498" s="33"/>
      <c r="U4498" s="33"/>
      <c r="V4498" s="33"/>
      <c r="W4498" s="33"/>
      <c r="X4498" s="33"/>
      <c r="Y4498" s="33"/>
      <c r="Z4498" s="33"/>
      <c r="AA4498" s="33"/>
      <c r="AB4498" s="33"/>
      <c r="AC4498" s="33"/>
      <c r="AD4498" s="33"/>
      <c r="AE4498" s="33"/>
      <c r="AF4498" s="33"/>
      <c r="AG4498" s="33"/>
      <c r="AH4498" s="33"/>
      <c r="AI4498" s="33"/>
      <c r="AJ4498" s="33"/>
      <c r="AK4498" s="33"/>
    </row>
    <row r="4499">
      <c r="A4499" s="33"/>
      <c r="B4499" s="33"/>
      <c r="C4499" s="33"/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  <c r="Q4499" s="33"/>
      <c r="R4499" s="33"/>
      <c r="S4499" s="33"/>
      <c r="T4499" s="33"/>
      <c r="U4499" s="33"/>
      <c r="V4499" s="33"/>
      <c r="W4499" s="33"/>
      <c r="X4499" s="33"/>
      <c r="Y4499" s="33"/>
      <c r="Z4499" s="33"/>
      <c r="AA4499" s="33"/>
      <c r="AB4499" s="33"/>
      <c r="AC4499" s="33"/>
      <c r="AD4499" s="33"/>
      <c r="AE4499" s="33"/>
      <c r="AF4499" s="33"/>
      <c r="AG4499" s="33"/>
      <c r="AH4499" s="33"/>
      <c r="AI4499" s="33"/>
      <c r="AJ4499" s="33"/>
      <c r="AK4499" s="33"/>
    </row>
    <row r="4500">
      <c r="A4500" s="33"/>
      <c r="B4500" s="33"/>
      <c r="C4500" s="33"/>
      <c r="D4500" s="33"/>
      <c r="E4500" s="33"/>
      <c r="F4500" s="33"/>
      <c r="G4500" s="33"/>
      <c r="H4500" s="33"/>
      <c r="I4500" s="33"/>
      <c r="J4500" s="33"/>
      <c r="K4500" s="33"/>
      <c r="L4500" s="33"/>
      <c r="M4500" s="33"/>
      <c r="N4500" s="33"/>
      <c r="O4500" s="33"/>
      <c r="P4500" s="33"/>
      <c r="Q4500" s="33"/>
      <c r="R4500" s="33"/>
      <c r="S4500" s="33"/>
      <c r="T4500" s="33"/>
      <c r="U4500" s="33"/>
      <c r="V4500" s="33"/>
      <c r="W4500" s="33"/>
      <c r="X4500" s="33"/>
      <c r="Y4500" s="33"/>
      <c r="Z4500" s="33"/>
      <c r="AA4500" s="33"/>
      <c r="AB4500" s="33"/>
      <c r="AC4500" s="33"/>
      <c r="AD4500" s="33"/>
      <c r="AE4500" s="33"/>
      <c r="AF4500" s="33"/>
      <c r="AG4500" s="33"/>
      <c r="AH4500" s="33"/>
      <c r="AI4500" s="33"/>
      <c r="AJ4500" s="33"/>
      <c r="AK4500" s="33"/>
    </row>
    <row r="4501">
      <c r="A4501" s="33"/>
      <c r="B4501" s="33"/>
      <c r="C4501" s="33"/>
      <c r="D4501" s="33"/>
      <c r="E4501" s="33"/>
      <c r="F4501" s="33"/>
      <c r="G4501" s="33"/>
      <c r="H4501" s="33"/>
      <c r="I4501" s="33"/>
      <c r="J4501" s="33"/>
      <c r="K4501" s="33"/>
      <c r="L4501" s="33"/>
      <c r="M4501" s="33"/>
      <c r="N4501" s="33"/>
      <c r="O4501" s="33"/>
      <c r="P4501" s="33"/>
      <c r="Q4501" s="33"/>
      <c r="R4501" s="33"/>
      <c r="S4501" s="33"/>
      <c r="T4501" s="33"/>
      <c r="U4501" s="33"/>
      <c r="V4501" s="33"/>
      <c r="W4501" s="33"/>
      <c r="X4501" s="33"/>
      <c r="Y4501" s="33"/>
      <c r="Z4501" s="33"/>
      <c r="AA4501" s="33"/>
      <c r="AB4501" s="33"/>
      <c r="AC4501" s="33"/>
      <c r="AD4501" s="33"/>
      <c r="AE4501" s="33"/>
      <c r="AF4501" s="33"/>
      <c r="AG4501" s="33"/>
      <c r="AH4501" s="33"/>
      <c r="AI4501" s="33"/>
      <c r="AJ4501" s="33"/>
      <c r="AK4501" s="33"/>
    </row>
    <row r="4502">
      <c r="A4502" s="33"/>
      <c r="B4502" s="33"/>
      <c r="C4502" s="33"/>
      <c r="D4502" s="33"/>
      <c r="E4502" s="33"/>
      <c r="F4502" s="33"/>
      <c r="G4502" s="33"/>
      <c r="H4502" s="33"/>
      <c r="I4502" s="33"/>
      <c r="J4502" s="33"/>
      <c r="K4502" s="33"/>
      <c r="L4502" s="33"/>
      <c r="M4502" s="33"/>
      <c r="N4502" s="33"/>
      <c r="O4502" s="33"/>
      <c r="P4502" s="33"/>
      <c r="Q4502" s="33"/>
      <c r="R4502" s="33"/>
      <c r="S4502" s="33"/>
      <c r="T4502" s="33"/>
      <c r="U4502" s="33"/>
      <c r="V4502" s="33"/>
      <c r="W4502" s="33"/>
      <c r="X4502" s="33"/>
      <c r="Y4502" s="33"/>
      <c r="Z4502" s="33"/>
      <c r="AA4502" s="33"/>
      <c r="AB4502" s="33"/>
      <c r="AC4502" s="33"/>
      <c r="AD4502" s="33"/>
      <c r="AE4502" s="33"/>
      <c r="AF4502" s="33"/>
      <c r="AG4502" s="33"/>
      <c r="AH4502" s="33"/>
      <c r="AI4502" s="33"/>
      <c r="AJ4502" s="33"/>
      <c r="AK4502" s="33"/>
    </row>
    <row r="4503">
      <c r="A4503" s="33"/>
      <c r="B4503" s="33"/>
      <c r="C4503" s="33"/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  <c r="Q4503" s="33"/>
      <c r="R4503" s="33"/>
      <c r="S4503" s="33"/>
      <c r="T4503" s="33"/>
      <c r="U4503" s="33"/>
      <c r="V4503" s="33"/>
      <c r="W4503" s="33"/>
      <c r="X4503" s="33"/>
      <c r="Y4503" s="33"/>
      <c r="Z4503" s="33"/>
      <c r="AA4503" s="33"/>
      <c r="AB4503" s="33"/>
      <c r="AC4503" s="33"/>
      <c r="AD4503" s="33"/>
      <c r="AE4503" s="33"/>
      <c r="AF4503" s="33"/>
      <c r="AG4503" s="33"/>
      <c r="AH4503" s="33"/>
      <c r="AI4503" s="33"/>
      <c r="AJ4503" s="33"/>
      <c r="AK4503" s="33"/>
    </row>
    <row r="4504">
      <c r="A4504" s="33"/>
      <c r="B4504" s="33"/>
      <c r="C4504" s="33"/>
      <c r="D4504" s="33"/>
      <c r="E4504" s="33"/>
      <c r="F4504" s="33"/>
      <c r="G4504" s="33"/>
      <c r="H4504" s="33"/>
      <c r="I4504" s="33"/>
      <c r="J4504" s="33"/>
      <c r="K4504" s="33"/>
      <c r="L4504" s="33"/>
      <c r="M4504" s="33"/>
      <c r="N4504" s="33"/>
      <c r="O4504" s="33"/>
      <c r="P4504" s="33"/>
      <c r="Q4504" s="33"/>
      <c r="R4504" s="33"/>
      <c r="S4504" s="33"/>
      <c r="T4504" s="33"/>
      <c r="U4504" s="33"/>
      <c r="V4504" s="33"/>
      <c r="W4504" s="33"/>
      <c r="X4504" s="33"/>
      <c r="Y4504" s="33"/>
      <c r="Z4504" s="33"/>
      <c r="AA4504" s="33"/>
      <c r="AB4504" s="33"/>
      <c r="AC4504" s="33"/>
      <c r="AD4504" s="33"/>
      <c r="AE4504" s="33"/>
      <c r="AF4504" s="33"/>
      <c r="AG4504" s="33"/>
      <c r="AH4504" s="33"/>
      <c r="AI4504" s="33"/>
      <c r="AJ4504" s="33"/>
      <c r="AK4504" s="33"/>
    </row>
    <row r="4505">
      <c r="A4505" s="33"/>
      <c r="B4505" s="33"/>
      <c r="C4505" s="33"/>
      <c r="D4505" s="33"/>
      <c r="E4505" s="33"/>
      <c r="F4505" s="33"/>
      <c r="G4505" s="33"/>
      <c r="H4505" s="33"/>
      <c r="I4505" s="33"/>
      <c r="J4505" s="33"/>
      <c r="K4505" s="33"/>
      <c r="L4505" s="33"/>
      <c r="M4505" s="33"/>
      <c r="N4505" s="33"/>
      <c r="O4505" s="33"/>
      <c r="P4505" s="33"/>
      <c r="Q4505" s="33"/>
      <c r="R4505" s="33"/>
      <c r="S4505" s="33"/>
      <c r="T4505" s="33"/>
      <c r="U4505" s="33"/>
      <c r="V4505" s="33"/>
      <c r="W4505" s="33"/>
      <c r="X4505" s="33"/>
      <c r="Y4505" s="33"/>
      <c r="Z4505" s="33"/>
      <c r="AA4505" s="33"/>
      <c r="AB4505" s="33"/>
      <c r="AC4505" s="33"/>
      <c r="AD4505" s="33"/>
      <c r="AE4505" s="33"/>
      <c r="AF4505" s="33"/>
      <c r="AG4505" s="33"/>
      <c r="AH4505" s="33"/>
      <c r="AI4505" s="33"/>
      <c r="AJ4505" s="33"/>
      <c r="AK4505" s="33"/>
    </row>
    <row r="4506">
      <c r="A4506" s="33"/>
      <c r="B4506" s="33"/>
      <c r="C4506" s="33"/>
      <c r="D4506" s="33"/>
      <c r="E4506" s="33"/>
      <c r="F4506" s="33"/>
      <c r="G4506" s="33"/>
      <c r="H4506" s="33"/>
      <c r="I4506" s="33"/>
      <c r="J4506" s="33"/>
      <c r="K4506" s="33"/>
      <c r="L4506" s="33"/>
      <c r="M4506" s="33"/>
      <c r="N4506" s="33"/>
      <c r="O4506" s="33"/>
      <c r="P4506" s="33"/>
      <c r="Q4506" s="33"/>
      <c r="R4506" s="33"/>
      <c r="S4506" s="33"/>
      <c r="T4506" s="33"/>
      <c r="U4506" s="33"/>
      <c r="V4506" s="33"/>
      <c r="W4506" s="33"/>
      <c r="X4506" s="33"/>
      <c r="Y4506" s="33"/>
      <c r="Z4506" s="33"/>
      <c r="AA4506" s="33"/>
      <c r="AB4506" s="33"/>
      <c r="AC4506" s="33"/>
      <c r="AD4506" s="33"/>
      <c r="AE4506" s="33"/>
      <c r="AF4506" s="33"/>
      <c r="AG4506" s="33"/>
      <c r="AH4506" s="33"/>
      <c r="AI4506" s="33"/>
      <c r="AJ4506" s="33"/>
      <c r="AK4506" s="33"/>
    </row>
    <row r="4507">
      <c r="A4507" s="33"/>
      <c r="B4507" s="33"/>
      <c r="C4507" s="33"/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  <c r="Q4507" s="33"/>
      <c r="R4507" s="33"/>
      <c r="S4507" s="33"/>
      <c r="T4507" s="33"/>
      <c r="U4507" s="33"/>
      <c r="V4507" s="33"/>
      <c r="W4507" s="33"/>
      <c r="X4507" s="33"/>
      <c r="Y4507" s="33"/>
      <c r="Z4507" s="33"/>
      <c r="AA4507" s="33"/>
      <c r="AB4507" s="33"/>
      <c r="AC4507" s="33"/>
      <c r="AD4507" s="33"/>
      <c r="AE4507" s="33"/>
      <c r="AF4507" s="33"/>
      <c r="AG4507" s="33"/>
      <c r="AH4507" s="33"/>
      <c r="AI4507" s="33"/>
      <c r="AJ4507" s="33"/>
      <c r="AK4507" s="33"/>
    </row>
    <row r="4508">
      <c r="A4508" s="33"/>
      <c r="B4508" s="33"/>
      <c r="C4508" s="33"/>
      <c r="D4508" s="33"/>
      <c r="E4508" s="33"/>
      <c r="F4508" s="33"/>
      <c r="G4508" s="33"/>
      <c r="H4508" s="33"/>
      <c r="I4508" s="33"/>
      <c r="J4508" s="33"/>
      <c r="K4508" s="33"/>
      <c r="L4508" s="33"/>
      <c r="M4508" s="33"/>
      <c r="N4508" s="33"/>
      <c r="O4508" s="33"/>
      <c r="P4508" s="33"/>
      <c r="Q4508" s="33"/>
      <c r="R4508" s="33"/>
      <c r="S4508" s="33"/>
      <c r="T4508" s="33"/>
      <c r="U4508" s="33"/>
      <c r="V4508" s="33"/>
      <c r="W4508" s="33"/>
      <c r="X4508" s="33"/>
      <c r="Y4508" s="33"/>
      <c r="Z4508" s="33"/>
      <c r="AA4508" s="33"/>
      <c r="AB4508" s="33"/>
      <c r="AC4508" s="33"/>
      <c r="AD4508" s="33"/>
      <c r="AE4508" s="33"/>
      <c r="AF4508" s="33"/>
      <c r="AG4508" s="33"/>
      <c r="AH4508" s="33"/>
      <c r="AI4508" s="33"/>
      <c r="AJ4508" s="33"/>
      <c r="AK4508" s="33"/>
    </row>
    <row r="4509">
      <c r="A4509" s="33"/>
      <c r="B4509" s="33"/>
      <c r="C4509" s="33"/>
      <c r="D4509" s="33"/>
      <c r="E4509" s="33"/>
      <c r="F4509" s="33"/>
      <c r="G4509" s="33"/>
      <c r="H4509" s="33"/>
      <c r="I4509" s="33"/>
      <c r="J4509" s="33"/>
      <c r="K4509" s="33"/>
      <c r="L4509" s="33"/>
      <c r="M4509" s="33"/>
      <c r="N4509" s="33"/>
      <c r="O4509" s="33"/>
      <c r="P4509" s="33"/>
      <c r="Q4509" s="33"/>
      <c r="R4509" s="33"/>
      <c r="S4509" s="33"/>
      <c r="T4509" s="33"/>
      <c r="U4509" s="33"/>
      <c r="V4509" s="33"/>
      <c r="W4509" s="33"/>
      <c r="X4509" s="33"/>
      <c r="Y4509" s="33"/>
      <c r="Z4509" s="33"/>
      <c r="AA4509" s="33"/>
      <c r="AB4509" s="33"/>
      <c r="AC4509" s="33"/>
      <c r="AD4509" s="33"/>
      <c r="AE4509" s="33"/>
      <c r="AF4509" s="33"/>
      <c r="AG4509" s="33"/>
      <c r="AH4509" s="33"/>
      <c r="AI4509" s="33"/>
      <c r="AJ4509" s="33"/>
      <c r="AK4509" s="33"/>
    </row>
    <row r="4510">
      <c r="A4510" s="33"/>
      <c r="B4510" s="33"/>
      <c r="C4510" s="33"/>
      <c r="D4510" s="33"/>
      <c r="E4510" s="33"/>
      <c r="F4510" s="33"/>
      <c r="G4510" s="33"/>
      <c r="H4510" s="33"/>
      <c r="I4510" s="33"/>
      <c r="J4510" s="33"/>
      <c r="K4510" s="33"/>
      <c r="L4510" s="33"/>
      <c r="M4510" s="33"/>
      <c r="N4510" s="33"/>
      <c r="O4510" s="33"/>
      <c r="P4510" s="33"/>
      <c r="Q4510" s="33"/>
      <c r="R4510" s="33"/>
      <c r="S4510" s="33"/>
      <c r="T4510" s="33"/>
      <c r="U4510" s="33"/>
      <c r="V4510" s="33"/>
      <c r="W4510" s="33"/>
      <c r="X4510" s="33"/>
      <c r="Y4510" s="33"/>
      <c r="Z4510" s="33"/>
      <c r="AA4510" s="33"/>
      <c r="AB4510" s="33"/>
      <c r="AC4510" s="33"/>
      <c r="AD4510" s="33"/>
      <c r="AE4510" s="33"/>
      <c r="AF4510" s="33"/>
      <c r="AG4510" s="33"/>
      <c r="AH4510" s="33"/>
      <c r="AI4510" s="33"/>
      <c r="AJ4510" s="33"/>
      <c r="AK4510" s="33"/>
    </row>
    <row r="4511">
      <c r="A4511" s="33"/>
      <c r="B4511" s="33"/>
      <c r="C4511" s="33"/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33"/>
      <c r="V4511" s="33"/>
      <c r="W4511" s="33"/>
      <c r="X4511" s="33"/>
      <c r="Y4511" s="33"/>
      <c r="Z4511" s="33"/>
      <c r="AA4511" s="33"/>
      <c r="AB4511" s="33"/>
      <c r="AC4511" s="33"/>
      <c r="AD4511" s="33"/>
      <c r="AE4511" s="33"/>
      <c r="AF4511" s="33"/>
      <c r="AG4511" s="33"/>
      <c r="AH4511" s="33"/>
      <c r="AI4511" s="33"/>
      <c r="AJ4511" s="33"/>
      <c r="AK4511" s="33"/>
    </row>
    <row r="4512">
      <c r="A4512" s="33"/>
      <c r="B4512" s="33"/>
      <c r="C4512" s="33"/>
      <c r="D4512" s="33"/>
      <c r="E4512" s="33"/>
      <c r="F4512" s="33"/>
      <c r="G4512" s="33"/>
      <c r="H4512" s="33"/>
      <c r="I4512" s="33"/>
      <c r="J4512" s="33"/>
      <c r="K4512" s="33"/>
      <c r="L4512" s="33"/>
      <c r="M4512" s="33"/>
      <c r="N4512" s="33"/>
      <c r="O4512" s="33"/>
      <c r="P4512" s="33"/>
      <c r="Q4512" s="33"/>
      <c r="R4512" s="33"/>
      <c r="S4512" s="33"/>
      <c r="T4512" s="33"/>
      <c r="U4512" s="33"/>
      <c r="V4512" s="33"/>
      <c r="W4512" s="33"/>
      <c r="X4512" s="33"/>
      <c r="Y4512" s="33"/>
      <c r="Z4512" s="33"/>
      <c r="AA4512" s="33"/>
      <c r="AB4512" s="33"/>
      <c r="AC4512" s="33"/>
      <c r="AD4512" s="33"/>
      <c r="AE4512" s="33"/>
      <c r="AF4512" s="33"/>
      <c r="AG4512" s="33"/>
      <c r="AH4512" s="33"/>
      <c r="AI4512" s="33"/>
      <c r="AJ4512" s="33"/>
      <c r="AK4512" s="33"/>
    </row>
    <row r="4513">
      <c r="A4513" s="33"/>
      <c r="B4513" s="33"/>
      <c r="C4513" s="33"/>
      <c r="D4513" s="33"/>
      <c r="E4513" s="33"/>
      <c r="F4513" s="33"/>
      <c r="G4513" s="33"/>
      <c r="H4513" s="33"/>
      <c r="I4513" s="33"/>
      <c r="J4513" s="33"/>
      <c r="K4513" s="33"/>
      <c r="L4513" s="33"/>
      <c r="M4513" s="33"/>
      <c r="N4513" s="33"/>
      <c r="O4513" s="33"/>
      <c r="P4513" s="33"/>
      <c r="Q4513" s="33"/>
      <c r="R4513" s="33"/>
      <c r="S4513" s="33"/>
      <c r="T4513" s="33"/>
      <c r="U4513" s="33"/>
      <c r="V4513" s="33"/>
      <c r="W4513" s="33"/>
      <c r="X4513" s="33"/>
      <c r="Y4513" s="33"/>
      <c r="Z4513" s="33"/>
      <c r="AA4513" s="33"/>
      <c r="AB4513" s="33"/>
      <c r="AC4513" s="33"/>
      <c r="AD4513" s="33"/>
      <c r="AE4513" s="33"/>
      <c r="AF4513" s="33"/>
      <c r="AG4513" s="33"/>
      <c r="AH4513" s="33"/>
      <c r="AI4513" s="33"/>
      <c r="AJ4513" s="33"/>
      <c r="AK4513" s="33"/>
    </row>
    <row r="4514">
      <c r="A4514" s="33"/>
      <c r="B4514" s="33"/>
      <c r="C4514" s="33"/>
      <c r="D4514" s="33"/>
      <c r="E4514" s="33"/>
      <c r="F4514" s="33"/>
      <c r="G4514" s="33"/>
      <c r="H4514" s="33"/>
      <c r="I4514" s="33"/>
      <c r="J4514" s="33"/>
      <c r="K4514" s="33"/>
      <c r="L4514" s="33"/>
      <c r="M4514" s="33"/>
      <c r="N4514" s="33"/>
      <c r="O4514" s="33"/>
      <c r="P4514" s="33"/>
      <c r="Q4514" s="33"/>
      <c r="R4514" s="33"/>
      <c r="S4514" s="33"/>
      <c r="T4514" s="33"/>
      <c r="U4514" s="33"/>
      <c r="V4514" s="33"/>
      <c r="W4514" s="33"/>
      <c r="X4514" s="33"/>
      <c r="Y4514" s="33"/>
      <c r="Z4514" s="33"/>
      <c r="AA4514" s="33"/>
      <c r="AB4514" s="33"/>
      <c r="AC4514" s="33"/>
      <c r="AD4514" s="33"/>
      <c r="AE4514" s="33"/>
      <c r="AF4514" s="33"/>
      <c r="AG4514" s="33"/>
      <c r="AH4514" s="33"/>
      <c r="AI4514" s="33"/>
      <c r="AJ4514" s="33"/>
      <c r="AK4514" s="33"/>
    </row>
    <row r="4515">
      <c r="A4515" s="33"/>
      <c r="B4515" s="33"/>
      <c r="C4515" s="33"/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  <c r="Q4515" s="33"/>
      <c r="R4515" s="33"/>
      <c r="S4515" s="33"/>
      <c r="T4515" s="33"/>
      <c r="U4515" s="33"/>
      <c r="V4515" s="33"/>
      <c r="W4515" s="33"/>
      <c r="X4515" s="33"/>
      <c r="Y4515" s="33"/>
      <c r="Z4515" s="33"/>
      <c r="AA4515" s="33"/>
      <c r="AB4515" s="33"/>
      <c r="AC4515" s="33"/>
      <c r="AD4515" s="33"/>
      <c r="AE4515" s="33"/>
      <c r="AF4515" s="33"/>
      <c r="AG4515" s="33"/>
      <c r="AH4515" s="33"/>
      <c r="AI4515" s="33"/>
      <c r="AJ4515" s="33"/>
      <c r="AK4515" s="33"/>
    </row>
    <row r="4516">
      <c r="A4516" s="33"/>
      <c r="B4516" s="33"/>
      <c r="C4516" s="33"/>
      <c r="D4516" s="33"/>
      <c r="E4516" s="33"/>
      <c r="F4516" s="33"/>
      <c r="G4516" s="33"/>
      <c r="H4516" s="33"/>
      <c r="I4516" s="33"/>
      <c r="J4516" s="33"/>
      <c r="K4516" s="33"/>
      <c r="L4516" s="33"/>
      <c r="M4516" s="33"/>
      <c r="N4516" s="33"/>
      <c r="O4516" s="33"/>
      <c r="P4516" s="33"/>
      <c r="Q4516" s="33"/>
      <c r="R4516" s="33"/>
      <c r="S4516" s="33"/>
      <c r="T4516" s="33"/>
      <c r="U4516" s="33"/>
      <c r="V4516" s="33"/>
      <c r="W4516" s="33"/>
      <c r="X4516" s="33"/>
      <c r="Y4516" s="33"/>
      <c r="Z4516" s="33"/>
      <c r="AA4516" s="33"/>
      <c r="AB4516" s="33"/>
      <c r="AC4516" s="33"/>
      <c r="AD4516" s="33"/>
      <c r="AE4516" s="33"/>
      <c r="AF4516" s="33"/>
      <c r="AG4516" s="33"/>
      <c r="AH4516" s="33"/>
      <c r="AI4516" s="33"/>
      <c r="AJ4516" s="33"/>
      <c r="AK4516" s="33"/>
    </row>
    <row r="4517">
      <c r="A4517" s="33"/>
      <c r="B4517" s="33"/>
      <c r="C4517" s="33"/>
      <c r="D4517" s="33"/>
      <c r="E4517" s="33"/>
      <c r="F4517" s="33"/>
      <c r="G4517" s="33"/>
      <c r="H4517" s="33"/>
      <c r="I4517" s="33"/>
      <c r="J4517" s="33"/>
      <c r="K4517" s="33"/>
      <c r="L4517" s="33"/>
      <c r="M4517" s="33"/>
      <c r="N4517" s="33"/>
      <c r="O4517" s="33"/>
      <c r="P4517" s="33"/>
      <c r="Q4517" s="33"/>
      <c r="R4517" s="33"/>
      <c r="S4517" s="33"/>
      <c r="T4517" s="33"/>
      <c r="U4517" s="33"/>
      <c r="V4517" s="33"/>
      <c r="W4517" s="33"/>
      <c r="X4517" s="33"/>
      <c r="Y4517" s="33"/>
      <c r="Z4517" s="33"/>
      <c r="AA4517" s="33"/>
      <c r="AB4517" s="33"/>
      <c r="AC4517" s="33"/>
      <c r="AD4517" s="33"/>
      <c r="AE4517" s="33"/>
      <c r="AF4517" s="33"/>
      <c r="AG4517" s="33"/>
      <c r="AH4517" s="33"/>
      <c r="AI4517" s="33"/>
      <c r="AJ4517" s="33"/>
      <c r="AK4517" s="33"/>
    </row>
    <row r="4518">
      <c r="A4518" s="33"/>
      <c r="B4518" s="33"/>
      <c r="C4518" s="33"/>
      <c r="D4518" s="33"/>
      <c r="E4518" s="33"/>
      <c r="F4518" s="33"/>
      <c r="G4518" s="33"/>
      <c r="H4518" s="33"/>
      <c r="I4518" s="33"/>
      <c r="J4518" s="33"/>
      <c r="K4518" s="33"/>
      <c r="L4518" s="33"/>
      <c r="M4518" s="33"/>
      <c r="N4518" s="33"/>
      <c r="O4518" s="33"/>
      <c r="P4518" s="33"/>
      <c r="Q4518" s="33"/>
      <c r="R4518" s="33"/>
      <c r="S4518" s="33"/>
      <c r="T4518" s="33"/>
      <c r="U4518" s="33"/>
      <c r="V4518" s="33"/>
      <c r="W4518" s="33"/>
      <c r="X4518" s="33"/>
      <c r="Y4518" s="33"/>
      <c r="Z4518" s="33"/>
      <c r="AA4518" s="33"/>
      <c r="AB4518" s="33"/>
      <c r="AC4518" s="33"/>
      <c r="AD4518" s="33"/>
      <c r="AE4518" s="33"/>
      <c r="AF4518" s="33"/>
      <c r="AG4518" s="33"/>
      <c r="AH4518" s="33"/>
      <c r="AI4518" s="33"/>
      <c r="AJ4518" s="33"/>
      <c r="AK4518" s="33"/>
    </row>
    <row r="4519">
      <c r="A4519" s="33"/>
      <c r="B4519" s="33"/>
      <c r="C4519" s="33"/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  <c r="Q4519" s="33"/>
      <c r="R4519" s="33"/>
      <c r="S4519" s="33"/>
      <c r="T4519" s="33"/>
      <c r="U4519" s="33"/>
      <c r="V4519" s="33"/>
      <c r="W4519" s="33"/>
      <c r="X4519" s="33"/>
      <c r="Y4519" s="33"/>
      <c r="Z4519" s="33"/>
      <c r="AA4519" s="33"/>
      <c r="AB4519" s="33"/>
      <c r="AC4519" s="33"/>
      <c r="AD4519" s="33"/>
      <c r="AE4519" s="33"/>
      <c r="AF4519" s="33"/>
      <c r="AG4519" s="33"/>
      <c r="AH4519" s="33"/>
      <c r="AI4519" s="33"/>
      <c r="AJ4519" s="33"/>
      <c r="AK4519" s="33"/>
    </row>
    <row r="4520">
      <c r="A4520" s="33"/>
      <c r="B4520" s="33"/>
      <c r="C4520" s="33"/>
      <c r="D4520" s="33"/>
      <c r="E4520" s="33"/>
      <c r="F4520" s="33"/>
      <c r="G4520" s="33"/>
      <c r="H4520" s="33"/>
      <c r="I4520" s="33"/>
      <c r="J4520" s="33"/>
      <c r="K4520" s="33"/>
      <c r="L4520" s="33"/>
      <c r="M4520" s="33"/>
      <c r="N4520" s="33"/>
      <c r="O4520" s="33"/>
      <c r="P4520" s="33"/>
      <c r="Q4520" s="33"/>
      <c r="R4520" s="33"/>
      <c r="S4520" s="33"/>
      <c r="T4520" s="33"/>
      <c r="U4520" s="33"/>
      <c r="V4520" s="33"/>
      <c r="W4520" s="33"/>
      <c r="X4520" s="33"/>
      <c r="Y4520" s="33"/>
      <c r="Z4520" s="33"/>
      <c r="AA4520" s="33"/>
      <c r="AB4520" s="33"/>
      <c r="AC4520" s="33"/>
      <c r="AD4520" s="33"/>
      <c r="AE4520" s="33"/>
      <c r="AF4520" s="33"/>
      <c r="AG4520" s="33"/>
      <c r="AH4520" s="33"/>
      <c r="AI4520" s="33"/>
      <c r="AJ4520" s="33"/>
      <c r="AK4520" s="33"/>
    </row>
    <row r="4521">
      <c r="A4521" s="33"/>
      <c r="B4521" s="33"/>
      <c r="C4521" s="33"/>
      <c r="D4521" s="33"/>
      <c r="E4521" s="33"/>
      <c r="F4521" s="33"/>
      <c r="G4521" s="33"/>
      <c r="H4521" s="33"/>
      <c r="I4521" s="33"/>
      <c r="J4521" s="33"/>
      <c r="K4521" s="33"/>
      <c r="L4521" s="33"/>
      <c r="M4521" s="33"/>
      <c r="N4521" s="33"/>
      <c r="O4521" s="33"/>
      <c r="P4521" s="33"/>
      <c r="Q4521" s="33"/>
      <c r="R4521" s="33"/>
      <c r="S4521" s="33"/>
      <c r="T4521" s="33"/>
      <c r="U4521" s="33"/>
      <c r="V4521" s="33"/>
      <c r="W4521" s="33"/>
      <c r="X4521" s="33"/>
      <c r="Y4521" s="33"/>
      <c r="Z4521" s="33"/>
      <c r="AA4521" s="33"/>
      <c r="AB4521" s="33"/>
      <c r="AC4521" s="33"/>
      <c r="AD4521" s="33"/>
      <c r="AE4521" s="33"/>
      <c r="AF4521" s="33"/>
      <c r="AG4521" s="33"/>
      <c r="AH4521" s="33"/>
      <c r="AI4521" s="33"/>
      <c r="AJ4521" s="33"/>
      <c r="AK4521" s="33"/>
    </row>
    <row r="4522">
      <c r="A4522" s="33"/>
      <c r="B4522" s="33"/>
      <c r="C4522" s="33"/>
      <c r="D4522" s="33"/>
      <c r="E4522" s="33"/>
      <c r="F4522" s="33"/>
      <c r="G4522" s="33"/>
      <c r="H4522" s="33"/>
      <c r="I4522" s="33"/>
      <c r="J4522" s="33"/>
      <c r="K4522" s="33"/>
      <c r="L4522" s="33"/>
      <c r="M4522" s="33"/>
      <c r="N4522" s="33"/>
      <c r="O4522" s="33"/>
      <c r="P4522" s="33"/>
      <c r="Q4522" s="33"/>
      <c r="R4522" s="33"/>
      <c r="S4522" s="33"/>
      <c r="T4522" s="33"/>
      <c r="U4522" s="33"/>
      <c r="V4522" s="33"/>
      <c r="W4522" s="33"/>
      <c r="X4522" s="33"/>
      <c r="Y4522" s="33"/>
      <c r="Z4522" s="33"/>
      <c r="AA4522" s="33"/>
      <c r="AB4522" s="33"/>
      <c r="AC4522" s="33"/>
      <c r="AD4522" s="33"/>
      <c r="AE4522" s="33"/>
      <c r="AF4522" s="33"/>
      <c r="AG4522" s="33"/>
      <c r="AH4522" s="33"/>
      <c r="AI4522" s="33"/>
      <c r="AJ4522" s="33"/>
      <c r="AK4522" s="33"/>
    </row>
    <row r="4523">
      <c r="A4523" s="33"/>
      <c r="B4523" s="33"/>
      <c r="C4523" s="33"/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  <c r="Q4523" s="33"/>
      <c r="R4523" s="33"/>
      <c r="S4523" s="33"/>
      <c r="T4523" s="33"/>
      <c r="U4523" s="33"/>
      <c r="V4523" s="33"/>
      <c r="W4523" s="33"/>
      <c r="X4523" s="33"/>
      <c r="Y4523" s="33"/>
      <c r="Z4523" s="33"/>
      <c r="AA4523" s="33"/>
      <c r="AB4523" s="33"/>
      <c r="AC4523" s="33"/>
      <c r="AD4523" s="33"/>
      <c r="AE4523" s="33"/>
      <c r="AF4523" s="33"/>
      <c r="AG4523" s="33"/>
      <c r="AH4523" s="33"/>
      <c r="AI4523" s="33"/>
      <c r="AJ4523" s="33"/>
      <c r="AK4523" s="33"/>
    </row>
    <row r="4524">
      <c r="A4524" s="33"/>
      <c r="B4524" s="33"/>
      <c r="C4524" s="33"/>
      <c r="D4524" s="33"/>
      <c r="E4524" s="33"/>
      <c r="F4524" s="33"/>
      <c r="G4524" s="33"/>
      <c r="H4524" s="33"/>
      <c r="I4524" s="33"/>
      <c r="J4524" s="33"/>
      <c r="K4524" s="33"/>
      <c r="L4524" s="33"/>
      <c r="M4524" s="33"/>
      <c r="N4524" s="33"/>
      <c r="O4524" s="33"/>
      <c r="P4524" s="33"/>
      <c r="Q4524" s="33"/>
      <c r="R4524" s="33"/>
      <c r="S4524" s="33"/>
      <c r="T4524" s="33"/>
      <c r="U4524" s="33"/>
      <c r="V4524" s="33"/>
      <c r="W4524" s="33"/>
      <c r="X4524" s="33"/>
      <c r="Y4524" s="33"/>
      <c r="Z4524" s="33"/>
      <c r="AA4524" s="33"/>
      <c r="AB4524" s="33"/>
      <c r="AC4524" s="33"/>
      <c r="AD4524" s="33"/>
      <c r="AE4524" s="33"/>
      <c r="AF4524" s="33"/>
      <c r="AG4524" s="33"/>
      <c r="AH4524" s="33"/>
      <c r="AI4524" s="33"/>
      <c r="AJ4524" s="33"/>
      <c r="AK4524" s="33"/>
    </row>
    <row r="4525">
      <c r="A4525" s="33"/>
      <c r="B4525" s="33"/>
      <c r="C4525" s="33"/>
      <c r="D4525" s="33"/>
      <c r="E4525" s="33"/>
      <c r="F4525" s="33"/>
      <c r="G4525" s="33"/>
      <c r="H4525" s="33"/>
      <c r="I4525" s="33"/>
      <c r="J4525" s="33"/>
      <c r="K4525" s="33"/>
      <c r="L4525" s="33"/>
      <c r="M4525" s="33"/>
      <c r="N4525" s="33"/>
      <c r="O4525" s="33"/>
      <c r="P4525" s="33"/>
      <c r="Q4525" s="33"/>
      <c r="R4525" s="33"/>
      <c r="S4525" s="33"/>
      <c r="T4525" s="33"/>
      <c r="U4525" s="33"/>
      <c r="V4525" s="33"/>
      <c r="W4525" s="33"/>
      <c r="X4525" s="33"/>
      <c r="Y4525" s="33"/>
      <c r="Z4525" s="33"/>
      <c r="AA4525" s="33"/>
      <c r="AB4525" s="33"/>
      <c r="AC4525" s="33"/>
      <c r="AD4525" s="33"/>
      <c r="AE4525" s="33"/>
      <c r="AF4525" s="33"/>
      <c r="AG4525" s="33"/>
      <c r="AH4525" s="33"/>
      <c r="AI4525" s="33"/>
      <c r="AJ4525" s="33"/>
      <c r="AK4525" s="33"/>
    </row>
    <row r="4526">
      <c r="A4526" s="33"/>
      <c r="B4526" s="33"/>
      <c r="C4526" s="33"/>
      <c r="D4526" s="33"/>
      <c r="E4526" s="33"/>
      <c r="F4526" s="33"/>
      <c r="G4526" s="33"/>
      <c r="H4526" s="33"/>
      <c r="I4526" s="33"/>
      <c r="J4526" s="33"/>
      <c r="K4526" s="33"/>
      <c r="L4526" s="33"/>
      <c r="M4526" s="33"/>
      <c r="N4526" s="33"/>
      <c r="O4526" s="33"/>
      <c r="P4526" s="33"/>
      <c r="Q4526" s="33"/>
      <c r="R4526" s="33"/>
      <c r="S4526" s="33"/>
      <c r="T4526" s="33"/>
      <c r="U4526" s="33"/>
      <c r="V4526" s="33"/>
      <c r="W4526" s="33"/>
      <c r="X4526" s="33"/>
      <c r="Y4526" s="33"/>
      <c r="Z4526" s="33"/>
      <c r="AA4526" s="33"/>
      <c r="AB4526" s="33"/>
      <c r="AC4526" s="33"/>
      <c r="AD4526" s="33"/>
      <c r="AE4526" s="33"/>
      <c r="AF4526" s="33"/>
      <c r="AG4526" s="33"/>
      <c r="AH4526" s="33"/>
      <c r="AI4526" s="33"/>
      <c r="AJ4526" s="33"/>
      <c r="AK4526" s="33"/>
    </row>
    <row r="4527">
      <c r="A4527" s="33"/>
      <c r="B4527" s="33"/>
      <c r="C4527" s="33"/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  <c r="Q4527" s="33"/>
      <c r="R4527" s="33"/>
      <c r="S4527" s="33"/>
      <c r="T4527" s="33"/>
      <c r="U4527" s="33"/>
      <c r="V4527" s="33"/>
      <c r="W4527" s="33"/>
      <c r="X4527" s="33"/>
      <c r="Y4527" s="33"/>
      <c r="Z4527" s="33"/>
      <c r="AA4527" s="33"/>
      <c r="AB4527" s="33"/>
      <c r="AC4527" s="33"/>
      <c r="AD4527" s="33"/>
      <c r="AE4527" s="33"/>
      <c r="AF4527" s="33"/>
      <c r="AG4527" s="33"/>
      <c r="AH4527" s="33"/>
      <c r="AI4527" s="33"/>
      <c r="AJ4527" s="33"/>
      <c r="AK4527" s="33"/>
    </row>
    <row r="4528">
      <c r="A4528" s="33"/>
      <c r="B4528" s="33"/>
      <c r="C4528" s="33"/>
      <c r="D4528" s="33"/>
      <c r="E4528" s="33"/>
      <c r="F4528" s="33"/>
      <c r="G4528" s="33"/>
      <c r="H4528" s="33"/>
      <c r="I4528" s="33"/>
      <c r="J4528" s="33"/>
      <c r="K4528" s="33"/>
      <c r="L4528" s="33"/>
      <c r="M4528" s="33"/>
      <c r="N4528" s="33"/>
      <c r="O4528" s="33"/>
      <c r="P4528" s="33"/>
      <c r="Q4528" s="33"/>
      <c r="R4528" s="33"/>
      <c r="S4528" s="33"/>
      <c r="T4528" s="33"/>
      <c r="U4528" s="33"/>
      <c r="V4528" s="33"/>
      <c r="W4528" s="33"/>
      <c r="X4528" s="33"/>
      <c r="Y4528" s="33"/>
      <c r="Z4528" s="33"/>
      <c r="AA4528" s="33"/>
      <c r="AB4528" s="33"/>
      <c r="AC4528" s="33"/>
      <c r="AD4528" s="33"/>
      <c r="AE4528" s="33"/>
      <c r="AF4528" s="33"/>
      <c r="AG4528" s="33"/>
      <c r="AH4528" s="33"/>
      <c r="AI4528" s="33"/>
      <c r="AJ4528" s="33"/>
      <c r="AK4528" s="33"/>
    </row>
    <row r="4529">
      <c r="A4529" s="33"/>
      <c r="B4529" s="33"/>
      <c r="C4529" s="33"/>
      <c r="D4529" s="33"/>
      <c r="E4529" s="33"/>
      <c r="F4529" s="33"/>
      <c r="G4529" s="33"/>
      <c r="H4529" s="33"/>
      <c r="I4529" s="33"/>
      <c r="J4529" s="33"/>
      <c r="K4529" s="33"/>
      <c r="L4529" s="33"/>
      <c r="M4529" s="33"/>
      <c r="N4529" s="33"/>
      <c r="O4529" s="33"/>
      <c r="P4529" s="33"/>
      <c r="Q4529" s="33"/>
      <c r="R4529" s="33"/>
      <c r="S4529" s="33"/>
      <c r="T4529" s="33"/>
      <c r="U4529" s="33"/>
      <c r="V4529" s="33"/>
      <c r="W4529" s="33"/>
      <c r="X4529" s="33"/>
      <c r="Y4529" s="33"/>
      <c r="Z4529" s="33"/>
      <c r="AA4529" s="33"/>
      <c r="AB4529" s="33"/>
      <c r="AC4529" s="33"/>
      <c r="AD4529" s="33"/>
      <c r="AE4529" s="33"/>
      <c r="AF4529" s="33"/>
      <c r="AG4529" s="33"/>
      <c r="AH4529" s="33"/>
      <c r="AI4529" s="33"/>
      <c r="AJ4529" s="33"/>
      <c r="AK4529" s="33"/>
    </row>
    <row r="4530">
      <c r="A4530" s="33"/>
      <c r="B4530" s="33"/>
      <c r="C4530" s="33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33"/>
      <c r="Q4530" s="33"/>
      <c r="R4530" s="33"/>
      <c r="S4530" s="33"/>
      <c r="T4530" s="33"/>
      <c r="U4530" s="33"/>
      <c r="V4530" s="33"/>
      <c r="W4530" s="33"/>
      <c r="X4530" s="33"/>
      <c r="Y4530" s="33"/>
      <c r="Z4530" s="33"/>
      <c r="AA4530" s="33"/>
      <c r="AB4530" s="33"/>
      <c r="AC4530" s="33"/>
      <c r="AD4530" s="33"/>
      <c r="AE4530" s="33"/>
      <c r="AF4530" s="33"/>
      <c r="AG4530" s="33"/>
      <c r="AH4530" s="33"/>
      <c r="AI4530" s="33"/>
      <c r="AJ4530" s="33"/>
      <c r="AK4530" s="33"/>
    </row>
    <row r="4531">
      <c r="A4531" s="33"/>
      <c r="B4531" s="33"/>
      <c r="C4531" s="33"/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  <c r="R4531" s="33"/>
      <c r="S4531" s="33"/>
      <c r="T4531" s="33"/>
      <c r="U4531" s="33"/>
      <c r="V4531" s="33"/>
      <c r="W4531" s="33"/>
      <c r="X4531" s="33"/>
      <c r="Y4531" s="33"/>
      <c r="Z4531" s="33"/>
      <c r="AA4531" s="33"/>
      <c r="AB4531" s="33"/>
      <c r="AC4531" s="33"/>
      <c r="AD4531" s="33"/>
      <c r="AE4531" s="33"/>
      <c r="AF4531" s="33"/>
      <c r="AG4531" s="33"/>
      <c r="AH4531" s="33"/>
      <c r="AI4531" s="33"/>
      <c r="AJ4531" s="33"/>
      <c r="AK4531" s="33"/>
    </row>
    <row r="4532">
      <c r="A4532" s="33"/>
      <c r="B4532" s="33"/>
      <c r="C4532" s="33"/>
      <c r="D4532" s="33"/>
      <c r="E4532" s="33"/>
      <c r="F4532" s="33"/>
      <c r="G4532" s="33"/>
      <c r="H4532" s="33"/>
      <c r="I4532" s="33"/>
      <c r="J4532" s="33"/>
      <c r="K4532" s="33"/>
      <c r="L4532" s="33"/>
      <c r="M4532" s="33"/>
      <c r="N4532" s="33"/>
      <c r="O4532" s="33"/>
      <c r="P4532" s="33"/>
      <c r="Q4532" s="33"/>
      <c r="R4532" s="33"/>
      <c r="S4532" s="33"/>
      <c r="T4532" s="33"/>
      <c r="U4532" s="33"/>
      <c r="V4532" s="33"/>
      <c r="W4532" s="33"/>
      <c r="X4532" s="33"/>
      <c r="Y4532" s="33"/>
      <c r="Z4532" s="33"/>
      <c r="AA4532" s="33"/>
      <c r="AB4532" s="33"/>
      <c r="AC4532" s="33"/>
      <c r="AD4532" s="33"/>
      <c r="AE4532" s="33"/>
      <c r="AF4532" s="33"/>
      <c r="AG4532" s="33"/>
      <c r="AH4532" s="33"/>
      <c r="AI4532" s="33"/>
      <c r="AJ4532" s="33"/>
      <c r="AK4532" s="33"/>
    </row>
    <row r="4533">
      <c r="A4533" s="33"/>
      <c r="B4533" s="33"/>
      <c r="C4533" s="33"/>
      <c r="D4533" s="33"/>
      <c r="E4533" s="33"/>
      <c r="F4533" s="33"/>
      <c r="G4533" s="33"/>
      <c r="H4533" s="33"/>
      <c r="I4533" s="33"/>
      <c r="J4533" s="33"/>
      <c r="K4533" s="33"/>
      <c r="L4533" s="33"/>
      <c r="M4533" s="33"/>
      <c r="N4533" s="33"/>
      <c r="O4533" s="33"/>
      <c r="P4533" s="33"/>
      <c r="Q4533" s="33"/>
      <c r="R4533" s="33"/>
      <c r="S4533" s="33"/>
      <c r="T4533" s="33"/>
      <c r="U4533" s="33"/>
      <c r="V4533" s="33"/>
      <c r="W4533" s="33"/>
      <c r="X4533" s="33"/>
      <c r="Y4533" s="33"/>
      <c r="Z4533" s="33"/>
      <c r="AA4533" s="33"/>
      <c r="AB4533" s="33"/>
      <c r="AC4533" s="33"/>
      <c r="AD4533" s="33"/>
      <c r="AE4533" s="33"/>
      <c r="AF4533" s="33"/>
      <c r="AG4533" s="33"/>
      <c r="AH4533" s="33"/>
      <c r="AI4533" s="33"/>
      <c r="AJ4533" s="33"/>
      <c r="AK4533" s="33"/>
    </row>
    <row r="4534">
      <c r="A4534" s="33"/>
      <c r="B4534" s="33"/>
      <c r="C4534" s="33"/>
      <c r="D4534" s="33"/>
      <c r="E4534" s="33"/>
      <c r="F4534" s="33"/>
      <c r="G4534" s="33"/>
      <c r="H4534" s="33"/>
      <c r="I4534" s="33"/>
      <c r="J4534" s="33"/>
      <c r="K4534" s="33"/>
      <c r="L4534" s="33"/>
      <c r="M4534" s="33"/>
      <c r="N4534" s="33"/>
      <c r="O4534" s="33"/>
      <c r="P4534" s="33"/>
      <c r="Q4534" s="33"/>
      <c r="R4534" s="33"/>
      <c r="S4534" s="33"/>
      <c r="T4534" s="33"/>
      <c r="U4534" s="33"/>
      <c r="V4534" s="33"/>
      <c r="W4534" s="33"/>
      <c r="X4534" s="33"/>
      <c r="Y4534" s="33"/>
      <c r="Z4534" s="33"/>
      <c r="AA4534" s="33"/>
      <c r="AB4534" s="33"/>
      <c r="AC4534" s="33"/>
      <c r="AD4534" s="33"/>
      <c r="AE4534" s="33"/>
      <c r="AF4534" s="33"/>
      <c r="AG4534" s="33"/>
      <c r="AH4534" s="33"/>
      <c r="AI4534" s="33"/>
      <c r="AJ4534" s="33"/>
      <c r="AK4534" s="33"/>
    </row>
    <row r="4535">
      <c r="A4535" s="33"/>
      <c r="B4535" s="33"/>
      <c r="C4535" s="33"/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  <c r="Q4535" s="33"/>
      <c r="R4535" s="33"/>
      <c r="S4535" s="33"/>
      <c r="T4535" s="33"/>
      <c r="U4535" s="33"/>
      <c r="V4535" s="33"/>
      <c r="W4535" s="33"/>
      <c r="X4535" s="33"/>
      <c r="Y4535" s="33"/>
      <c r="Z4535" s="33"/>
      <c r="AA4535" s="33"/>
      <c r="AB4535" s="33"/>
      <c r="AC4535" s="33"/>
      <c r="AD4535" s="33"/>
      <c r="AE4535" s="33"/>
      <c r="AF4535" s="33"/>
      <c r="AG4535" s="33"/>
      <c r="AH4535" s="33"/>
      <c r="AI4535" s="33"/>
      <c r="AJ4535" s="33"/>
      <c r="AK4535" s="33"/>
    </row>
    <row r="4536">
      <c r="A4536" s="33"/>
      <c r="B4536" s="33"/>
      <c r="C4536" s="33"/>
      <c r="D4536" s="33"/>
      <c r="E4536" s="33"/>
      <c r="F4536" s="33"/>
      <c r="G4536" s="33"/>
      <c r="H4536" s="33"/>
      <c r="I4536" s="33"/>
      <c r="J4536" s="33"/>
      <c r="K4536" s="33"/>
      <c r="L4536" s="33"/>
      <c r="M4536" s="33"/>
      <c r="N4536" s="33"/>
      <c r="O4536" s="33"/>
      <c r="P4536" s="33"/>
      <c r="Q4536" s="33"/>
      <c r="R4536" s="33"/>
      <c r="S4536" s="33"/>
      <c r="T4536" s="33"/>
      <c r="U4536" s="33"/>
      <c r="V4536" s="33"/>
      <c r="W4536" s="33"/>
      <c r="X4536" s="33"/>
      <c r="Y4536" s="33"/>
      <c r="Z4536" s="33"/>
      <c r="AA4536" s="33"/>
      <c r="AB4536" s="33"/>
      <c r="AC4536" s="33"/>
      <c r="AD4536" s="33"/>
      <c r="AE4536" s="33"/>
      <c r="AF4536" s="33"/>
      <c r="AG4536" s="33"/>
      <c r="AH4536" s="33"/>
      <c r="AI4536" s="33"/>
      <c r="AJ4536" s="33"/>
      <c r="AK4536" s="33"/>
    </row>
    <row r="4537">
      <c r="A4537" s="33"/>
      <c r="B4537" s="33"/>
      <c r="C4537" s="33"/>
      <c r="D4537" s="33"/>
      <c r="E4537" s="33"/>
      <c r="F4537" s="33"/>
      <c r="G4537" s="33"/>
      <c r="H4537" s="33"/>
      <c r="I4537" s="33"/>
      <c r="J4537" s="33"/>
      <c r="K4537" s="33"/>
      <c r="L4537" s="33"/>
      <c r="M4537" s="33"/>
      <c r="N4537" s="33"/>
      <c r="O4537" s="33"/>
      <c r="P4537" s="33"/>
      <c r="Q4537" s="33"/>
      <c r="R4537" s="33"/>
      <c r="S4537" s="33"/>
      <c r="T4537" s="33"/>
      <c r="U4537" s="33"/>
      <c r="V4537" s="33"/>
      <c r="W4537" s="33"/>
      <c r="X4537" s="33"/>
      <c r="Y4537" s="33"/>
      <c r="Z4537" s="33"/>
      <c r="AA4537" s="33"/>
      <c r="AB4537" s="33"/>
      <c r="AC4537" s="33"/>
      <c r="AD4537" s="33"/>
      <c r="AE4537" s="33"/>
      <c r="AF4537" s="33"/>
      <c r="AG4537" s="33"/>
      <c r="AH4537" s="33"/>
      <c r="AI4537" s="33"/>
      <c r="AJ4537" s="33"/>
      <c r="AK4537" s="33"/>
    </row>
    <row r="4538">
      <c r="A4538" s="33"/>
      <c r="B4538" s="33"/>
      <c r="C4538" s="33"/>
      <c r="D4538" s="33"/>
      <c r="E4538" s="33"/>
      <c r="F4538" s="33"/>
      <c r="G4538" s="33"/>
      <c r="H4538" s="33"/>
      <c r="I4538" s="33"/>
      <c r="J4538" s="33"/>
      <c r="K4538" s="33"/>
      <c r="L4538" s="33"/>
      <c r="M4538" s="33"/>
      <c r="N4538" s="33"/>
      <c r="O4538" s="33"/>
      <c r="P4538" s="33"/>
      <c r="Q4538" s="33"/>
      <c r="R4538" s="33"/>
      <c r="S4538" s="33"/>
      <c r="T4538" s="33"/>
      <c r="U4538" s="33"/>
      <c r="V4538" s="33"/>
      <c r="W4538" s="33"/>
      <c r="X4538" s="33"/>
      <c r="Y4538" s="33"/>
      <c r="Z4538" s="33"/>
      <c r="AA4538" s="33"/>
      <c r="AB4538" s="33"/>
      <c r="AC4538" s="33"/>
      <c r="AD4538" s="33"/>
      <c r="AE4538" s="33"/>
      <c r="AF4538" s="33"/>
      <c r="AG4538" s="33"/>
      <c r="AH4538" s="33"/>
      <c r="AI4538" s="33"/>
      <c r="AJ4538" s="33"/>
      <c r="AK4538" s="33"/>
    </row>
    <row r="4539">
      <c r="A4539" s="33"/>
      <c r="B4539" s="33"/>
      <c r="C4539" s="33"/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  <c r="Q4539" s="33"/>
      <c r="R4539" s="33"/>
      <c r="S4539" s="33"/>
      <c r="T4539" s="33"/>
      <c r="U4539" s="33"/>
      <c r="V4539" s="33"/>
      <c r="W4539" s="33"/>
      <c r="X4539" s="33"/>
      <c r="Y4539" s="33"/>
      <c r="Z4539" s="33"/>
      <c r="AA4539" s="33"/>
      <c r="AB4539" s="33"/>
      <c r="AC4539" s="33"/>
      <c r="AD4539" s="33"/>
      <c r="AE4539" s="33"/>
      <c r="AF4539" s="33"/>
      <c r="AG4539" s="33"/>
      <c r="AH4539" s="33"/>
      <c r="AI4539" s="33"/>
      <c r="AJ4539" s="33"/>
      <c r="AK4539" s="33"/>
    </row>
    <row r="4540">
      <c r="A4540" s="33"/>
      <c r="B4540" s="33"/>
      <c r="C4540" s="33"/>
      <c r="D4540" s="33"/>
      <c r="E4540" s="33"/>
      <c r="F4540" s="33"/>
      <c r="G4540" s="33"/>
      <c r="H4540" s="33"/>
      <c r="I4540" s="33"/>
      <c r="J4540" s="33"/>
      <c r="K4540" s="33"/>
      <c r="L4540" s="33"/>
      <c r="M4540" s="33"/>
      <c r="N4540" s="33"/>
      <c r="O4540" s="33"/>
      <c r="P4540" s="33"/>
      <c r="Q4540" s="33"/>
      <c r="R4540" s="33"/>
      <c r="S4540" s="33"/>
      <c r="T4540" s="33"/>
      <c r="U4540" s="33"/>
      <c r="V4540" s="33"/>
      <c r="W4540" s="33"/>
      <c r="X4540" s="33"/>
      <c r="Y4540" s="33"/>
      <c r="Z4540" s="33"/>
      <c r="AA4540" s="33"/>
      <c r="AB4540" s="33"/>
      <c r="AC4540" s="33"/>
      <c r="AD4540" s="33"/>
      <c r="AE4540" s="33"/>
      <c r="AF4540" s="33"/>
      <c r="AG4540" s="33"/>
      <c r="AH4540" s="33"/>
      <c r="AI4540" s="33"/>
      <c r="AJ4540" s="33"/>
      <c r="AK4540" s="33"/>
    </row>
    <row r="4541">
      <c r="A4541" s="33"/>
      <c r="B4541" s="33"/>
      <c r="C4541" s="33"/>
      <c r="D4541" s="33"/>
      <c r="E4541" s="33"/>
      <c r="F4541" s="33"/>
      <c r="G4541" s="33"/>
      <c r="H4541" s="33"/>
      <c r="I4541" s="33"/>
      <c r="J4541" s="33"/>
      <c r="K4541" s="33"/>
      <c r="L4541" s="33"/>
      <c r="M4541" s="33"/>
      <c r="N4541" s="33"/>
      <c r="O4541" s="33"/>
      <c r="P4541" s="33"/>
      <c r="Q4541" s="33"/>
      <c r="R4541" s="33"/>
      <c r="S4541" s="33"/>
      <c r="T4541" s="33"/>
      <c r="U4541" s="33"/>
      <c r="V4541" s="33"/>
      <c r="W4541" s="33"/>
      <c r="X4541" s="33"/>
      <c r="Y4541" s="33"/>
      <c r="Z4541" s="33"/>
      <c r="AA4541" s="33"/>
      <c r="AB4541" s="33"/>
      <c r="AC4541" s="33"/>
      <c r="AD4541" s="33"/>
      <c r="AE4541" s="33"/>
      <c r="AF4541" s="33"/>
      <c r="AG4541" s="33"/>
      <c r="AH4541" s="33"/>
      <c r="AI4541" s="33"/>
      <c r="AJ4541" s="33"/>
      <c r="AK4541" s="33"/>
    </row>
    <row r="4542">
      <c r="A4542" s="33"/>
      <c r="B4542" s="33"/>
      <c r="C4542" s="33"/>
      <c r="D4542" s="33"/>
      <c r="E4542" s="33"/>
      <c r="F4542" s="33"/>
      <c r="G4542" s="33"/>
      <c r="H4542" s="33"/>
      <c r="I4542" s="33"/>
      <c r="J4542" s="33"/>
      <c r="K4542" s="33"/>
      <c r="L4542" s="33"/>
      <c r="M4542" s="33"/>
      <c r="N4542" s="33"/>
      <c r="O4542" s="33"/>
      <c r="P4542" s="33"/>
      <c r="Q4542" s="33"/>
      <c r="R4542" s="33"/>
      <c r="S4542" s="33"/>
      <c r="T4542" s="33"/>
      <c r="U4542" s="33"/>
      <c r="V4542" s="33"/>
      <c r="W4542" s="33"/>
      <c r="X4542" s="33"/>
      <c r="Y4542" s="33"/>
      <c r="Z4542" s="33"/>
      <c r="AA4542" s="33"/>
      <c r="AB4542" s="33"/>
      <c r="AC4542" s="33"/>
      <c r="AD4542" s="33"/>
      <c r="AE4542" s="33"/>
      <c r="AF4542" s="33"/>
      <c r="AG4542" s="33"/>
      <c r="AH4542" s="33"/>
      <c r="AI4542" s="33"/>
      <c r="AJ4542" s="33"/>
      <c r="AK4542" s="33"/>
    </row>
    <row r="4543">
      <c r="A4543" s="33"/>
      <c r="B4543" s="33"/>
      <c r="C4543" s="33"/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3"/>
      <c r="S4543" s="33"/>
      <c r="T4543" s="33"/>
      <c r="U4543" s="33"/>
      <c r="V4543" s="33"/>
      <c r="W4543" s="33"/>
      <c r="X4543" s="33"/>
      <c r="Y4543" s="33"/>
      <c r="Z4543" s="33"/>
      <c r="AA4543" s="33"/>
      <c r="AB4543" s="33"/>
      <c r="AC4543" s="33"/>
      <c r="AD4543" s="33"/>
      <c r="AE4543" s="33"/>
      <c r="AF4543" s="33"/>
      <c r="AG4543" s="33"/>
      <c r="AH4543" s="33"/>
      <c r="AI4543" s="33"/>
      <c r="AJ4543" s="33"/>
      <c r="AK4543" s="33"/>
    </row>
    <row r="4544">
      <c r="A4544" s="33"/>
      <c r="B4544" s="33"/>
      <c r="C4544" s="33"/>
      <c r="D4544" s="33"/>
      <c r="E4544" s="33"/>
      <c r="F4544" s="33"/>
      <c r="G4544" s="33"/>
      <c r="H4544" s="33"/>
      <c r="I4544" s="33"/>
      <c r="J4544" s="33"/>
      <c r="K4544" s="33"/>
      <c r="L4544" s="33"/>
      <c r="M4544" s="33"/>
      <c r="N4544" s="33"/>
      <c r="O4544" s="33"/>
      <c r="P4544" s="33"/>
      <c r="Q4544" s="33"/>
      <c r="R4544" s="33"/>
      <c r="S4544" s="33"/>
      <c r="T4544" s="33"/>
      <c r="U4544" s="33"/>
      <c r="V4544" s="33"/>
      <c r="W4544" s="33"/>
      <c r="X4544" s="33"/>
      <c r="Y4544" s="33"/>
      <c r="Z4544" s="33"/>
      <c r="AA4544" s="33"/>
      <c r="AB4544" s="33"/>
      <c r="AC4544" s="33"/>
      <c r="AD4544" s="33"/>
      <c r="AE4544" s="33"/>
      <c r="AF4544" s="33"/>
      <c r="AG4544" s="33"/>
      <c r="AH4544" s="33"/>
      <c r="AI4544" s="33"/>
      <c r="AJ4544" s="33"/>
      <c r="AK4544" s="33"/>
    </row>
    <row r="4545">
      <c r="A4545" s="33"/>
      <c r="B4545" s="33"/>
      <c r="C4545" s="33"/>
      <c r="D4545" s="33"/>
      <c r="E4545" s="33"/>
      <c r="F4545" s="33"/>
      <c r="G4545" s="33"/>
      <c r="H4545" s="33"/>
      <c r="I4545" s="33"/>
      <c r="J4545" s="33"/>
      <c r="K4545" s="33"/>
      <c r="L4545" s="33"/>
      <c r="M4545" s="33"/>
      <c r="N4545" s="33"/>
      <c r="O4545" s="33"/>
      <c r="P4545" s="33"/>
      <c r="Q4545" s="33"/>
      <c r="R4545" s="33"/>
      <c r="S4545" s="33"/>
      <c r="T4545" s="33"/>
      <c r="U4545" s="33"/>
      <c r="V4545" s="33"/>
      <c r="W4545" s="33"/>
      <c r="X4545" s="33"/>
      <c r="Y4545" s="33"/>
      <c r="Z4545" s="33"/>
      <c r="AA4545" s="33"/>
      <c r="AB4545" s="33"/>
      <c r="AC4545" s="33"/>
      <c r="AD4545" s="33"/>
      <c r="AE4545" s="33"/>
      <c r="AF4545" s="33"/>
      <c r="AG4545" s="33"/>
      <c r="AH4545" s="33"/>
      <c r="AI4545" s="33"/>
      <c r="AJ4545" s="33"/>
      <c r="AK4545" s="33"/>
    </row>
    <row r="4546">
      <c r="A4546" s="33"/>
      <c r="B4546" s="33"/>
      <c r="C4546" s="33"/>
      <c r="D4546" s="33"/>
      <c r="E4546" s="33"/>
      <c r="F4546" s="33"/>
      <c r="G4546" s="33"/>
      <c r="H4546" s="33"/>
      <c r="I4546" s="33"/>
      <c r="J4546" s="33"/>
      <c r="K4546" s="33"/>
      <c r="L4546" s="33"/>
      <c r="M4546" s="33"/>
      <c r="N4546" s="33"/>
      <c r="O4546" s="33"/>
      <c r="P4546" s="33"/>
      <c r="Q4546" s="33"/>
      <c r="R4546" s="33"/>
      <c r="S4546" s="33"/>
      <c r="T4546" s="33"/>
      <c r="U4546" s="33"/>
      <c r="V4546" s="33"/>
      <c r="W4546" s="33"/>
      <c r="X4546" s="33"/>
      <c r="Y4546" s="33"/>
      <c r="Z4546" s="33"/>
      <c r="AA4546" s="33"/>
      <c r="AB4546" s="33"/>
      <c r="AC4546" s="33"/>
      <c r="AD4546" s="33"/>
      <c r="AE4546" s="33"/>
      <c r="AF4546" s="33"/>
      <c r="AG4546" s="33"/>
      <c r="AH4546" s="33"/>
      <c r="AI4546" s="33"/>
      <c r="AJ4546" s="33"/>
      <c r="AK4546" s="33"/>
    </row>
    <row r="4547">
      <c r="A4547" s="33"/>
      <c r="B4547" s="33"/>
      <c r="C4547" s="33"/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  <c r="Q4547" s="33"/>
      <c r="R4547" s="33"/>
      <c r="S4547" s="33"/>
      <c r="T4547" s="33"/>
      <c r="U4547" s="33"/>
      <c r="V4547" s="33"/>
      <c r="W4547" s="33"/>
      <c r="X4547" s="33"/>
      <c r="Y4547" s="33"/>
      <c r="Z4547" s="33"/>
      <c r="AA4547" s="33"/>
      <c r="AB4547" s="33"/>
      <c r="AC4547" s="33"/>
      <c r="AD4547" s="33"/>
      <c r="AE4547" s="33"/>
      <c r="AF4547" s="33"/>
      <c r="AG4547" s="33"/>
      <c r="AH4547" s="33"/>
      <c r="AI4547" s="33"/>
      <c r="AJ4547" s="33"/>
      <c r="AK4547" s="33"/>
    </row>
    <row r="4548">
      <c r="A4548" s="33"/>
      <c r="B4548" s="33"/>
      <c r="C4548" s="33"/>
      <c r="D4548" s="33"/>
      <c r="E4548" s="33"/>
      <c r="F4548" s="33"/>
      <c r="G4548" s="33"/>
      <c r="H4548" s="33"/>
      <c r="I4548" s="33"/>
      <c r="J4548" s="33"/>
      <c r="K4548" s="33"/>
      <c r="L4548" s="33"/>
      <c r="M4548" s="33"/>
      <c r="N4548" s="33"/>
      <c r="O4548" s="33"/>
      <c r="P4548" s="33"/>
      <c r="Q4548" s="33"/>
      <c r="R4548" s="33"/>
      <c r="S4548" s="33"/>
      <c r="T4548" s="33"/>
      <c r="U4548" s="33"/>
      <c r="V4548" s="33"/>
      <c r="W4548" s="33"/>
      <c r="X4548" s="33"/>
      <c r="Y4548" s="33"/>
      <c r="Z4548" s="33"/>
      <c r="AA4548" s="33"/>
      <c r="AB4548" s="33"/>
      <c r="AC4548" s="33"/>
      <c r="AD4548" s="33"/>
      <c r="AE4548" s="33"/>
      <c r="AF4548" s="33"/>
      <c r="AG4548" s="33"/>
      <c r="AH4548" s="33"/>
      <c r="AI4548" s="33"/>
      <c r="AJ4548" s="33"/>
      <c r="AK4548" s="33"/>
    </row>
    <row r="4549">
      <c r="A4549" s="33"/>
      <c r="B4549" s="33"/>
      <c r="C4549" s="33"/>
      <c r="D4549" s="33"/>
      <c r="E4549" s="33"/>
      <c r="F4549" s="33"/>
      <c r="G4549" s="33"/>
      <c r="H4549" s="33"/>
      <c r="I4549" s="33"/>
      <c r="J4549" s="33"/>
      <c r="K4549" s="33"/>
      <c r="L4549" s="33"/>
      <c r="M4549" s="33"/>
      <c r="N4549" s="33"/>
      <c r="O4549" s="33"/>
      <c r="P4549" s="33"/>
      <c r="Q4549" s="33"/>
      <c r="R4549" s="33"/>
      <c r="S4549" s="33"/>
      <c r="T4549" s="33"/>
      <c r="U4549" s="33"/>
      <c r="V4549" s="33"/>
      <c r="W4549" s="33"/>
      <c r="X4549" s="33"/>
      <c r="Y4549" s="33"/>
      <c r="Z4549" s="33"/>
      <c r="AA4549" s="33"/>
      <c r="AB4549" s="33"/>
      <c r="AC4549" s="33"/>
      <c r="AD4549" s="33"/>
      <c r="AE4549" s="33"/>
      <c r="AF4549" s="33"/>
      <c r="AG4549" s="33"/>
      <c r="AH4549" s="33"/>
      <c r="AI4549" s="33"/>
      <c r="AJ4549" s="33"/>
      <c r="AK4549" s="33"/>
    </row>
    <row r="4550">
      <c r="A4550" s="33"/>
      <c r="B4550" s="33"/>
      <c r="C4550" s="33"/>
      <c r="D4550" s="33"/>
      <c r="E4550" s="33"/>
      <c r="F4550" s="33"/>
      <c r="G4550" s="33"/>
      <c r="H4550" s="33"/>
      <c r="I4550" s="33"/>
      <c r="J4550" s="33"/>
      <c r="K4550" s="33"/>
      <c r="L4550" s="33"/>
      <c r="M4550" s="33"/>
      <c r="N4550" s="33"/>
      <c r="O4550" s="33"/>
      <c r="P4550" s="33"/>
      <c r="Q4550" s="33"/>
      <c r="R4550" s="33"/>
      <c r="S4550" s="33"/>
      <c r="T4550" s="33"/>
      <c r="U4550" s="33"/>
      <c r="V4550" s="33"/>
      <c r="W4550" s="33"/>
      <c r="X4550" s="33"/>
      <c r="Y4550" s="33"/>
      <c r="Z4550" s="33"/>
      <c r="AA4550" s="33"/>
      <c r="AB4550" s="33"/>
      <c r="AC4550" s="33"/>
      <c r="AD4550" s="33"/>
      <c r="AE4550" s="33"/>
      <c r="AF4550" s="33"/>
      <c r="AG4550" s="33"/>
      <c r="AH4550" s="33"/>
      <c r="AI4550" s="33"/>
      <c r="AJ4550" s="33"/>
      <c r="AK4550" s="33"/>
    </row>
    <row r="4551">
      <c r="A4551" s="33"/>
      <c r="B4551" s="33"/>
      <c r="C4551" s="33"/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  <c r="Q4551" s="33"/>
      <c r="R4551" s="33"/>
      <c r="S4551" s="33"/>
      <c r="T4551" s="33"/>
      <c r="U4551" s="33"/>
      <c r="V4551" s="33"/>
      <c r="W4551" s="33"/>
      <c r="X4551" s="33"/>
      <c r="Y4551" s="33"/>
      <c r="Z4551" s="33"/>
      <c r="AA4551" s="33"/>
      <c r="AB4551" s="33"/>
      <c r="AC4551" s="33"/>
      <c r="AD4551" s="33"/>
      <c r="AE4551" s="33"/>
      <c r="AF4551" s="33"/>
      <c r="AG4551" s="33"/>
      <c r="AH4551" s="33"/>
      <c r="AI4551" s="33"/>
      <c r="AJ4551" s="33"/>
      <c r="AK4551" s="33"/>
    </row>
    <row r="4552">
      <c r="A4552" s="33"/>
      <c r="B4552" s="33"/>
      <c r="C4552" s="33"/>
      <c r="D4552" s="33"/>
      <c r="E4552" s="33"/>
      <c r="F4552" s="33"/>
      <c r="G4552" s="33"/>
      <c r="H4552" s="33"/>
      <c r="I4552" s="33"/>
      <c r="J4552" s="33"/>
      <c r="K4552" s="33"/>
      <c r="L4552" s="33"/>
      <c r="M4552" s="33"/>
      <c r="N4552" s="33"/>
      <c r="O4552" s="33"/>
      <c r="P4552" s="33"/>
      <c r="Q4552" s="33"/>
      <c r="R4552" s="33"/>
      <c r="S4552" s="33"/>
      <c r="T4552" s="33"/>
      <c r="U4552" s="33"/>
      <c r="V4552" s="33"/>
      <c r="W4552" s="33"/>
      <c r="X4552" s="33"/>
      <c r="Y4552" s="33"/>
      <c r="Z4552" s="33"/>
      <c r="AA4552" s="33"/>
      <c r="AB4552" s="33"/>
      <c r="AC4552" s="33"/>
      <c r="AD4552" s="33"/>
      <c r="AE4552" s="33"/>
      <c r="AF4552" s="33"/>
      <c r="AG4552" s="33"/>
      <c r="AH4552" s="33"/>
      <c r="AI4552" s="33"/>
      <c r="AJ4552" s="33"/>
      <c r="AK4552" s="33"/>
    </row>
    <row r="4553">
      <c r="A4553" s="33"/>
      <c r="B4553" s="33"/>
      <c r="C4553" s="33"/>
      <c r="D4553" s="33"/>
      <c r="E4553" s="33"/>
      <c r="F4553" s="33"/>
      <c r="G4553" s="33"/>
      <c r="H4553" s="33"/>
      <c r="I4553" s="33"/>
      <c r="J4553" s="33"/>
      <c r="K4553" s="33"/>
      <c r="L4553" s="33"/>
      <c r="M4553" s="33"/>
      <c r="N4553" s="33"/>
      <c r="O4553" s="33"/>
      <c r="P4553" s="33"/>
      <c r="Q4553" s="33"/>
      <c r="R4553" s="33"/>
      <c r="S4553" s="33"/>
      <c r="T4553" s="33"/>
      <c r="U4553" s="33"/>
      <c r="V4553" s="33"/>
      <c r="W4553" s="33"/>
      <c r="X4553" s="33"/>
      <c r="Y4553" s="33"/>
      <c r="Z4553" s="33"/>
      <c r="AA4553" s="33"/>
      <c r="AB4553" s="33"/>
      <c r="AC4553" s="33"/>
      <c r="AD4553" s="33"/>
      <c r="AE4553" s="33"/>
      <c r="AF4553" s="33"/>
      <c r="AG4553" s="33"/>
      <c r="AH4553" s="33"/>
      <c r="AI4553" s="33"/>
      <c r="AJ4553" s="33"/>
      <c r="AK4553" s="33"/>
    </row>
    <row r="4554">
      <c r="A4554" s="33"/>
      <c r="B4554" s="33"/>
      <c r="C4554" s="33"/>
      <c r="D4554" s="33"/>
      <c r="E4554" s="33"/>
      <c r="F4554" s="33"/>
      <c r="G4554" s="33"/>
      <c r="H4554" s="33"/>
      <c r="I4554" s="33"/>
      <c r="J4554" s="33"/>
      <c r="K4554" s="33"/>
      <c r="L4554" s="33"/>
      <c r="M4554" s="33"/>
      <c r="N4554" s="33"/>
      <c r="O4554" s="33"/>
      <c r="P4554" s="33"/>
      <c r="Q4554" s="33"/>
      <c r="R4554" s="33"/>
      <c r="S4554" s="33"/>
      <c r="T4554" s="33"/>
      <c r="U4554" s="33"/>
      <c r="V4554" s="33"/>
      <c r="W4554" s="33"/>
      <c r="X4554" s="33"/>
      <c r="Y4554" s="33"/>
      <c r="Z4554" s="33"/>
      <c r="AA4554" s="33"/>
      <c r="AB4554" s="33"/>
      <c r="AC4554" s="33"/>
      <c r="AD4554" s="33"/>
      <c r="AE4554" s="33"/>
      <c r="AF4554" s="33"/>
      <c r="AG4554" s="33"/>
      <c r="AH4554" s="33"/>
      <c r="AI4554" s="33"/>
      <c r="AJ4554" s="33"/>
      <c r="AK4554" s="33"/>
    </row>
    <row r="4555">
      <c r="A4555" s="33"/>
      <c r="B4555" s="33"/>
      <c r="C4555" s="33"/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  <c r="Q4555" s="33"/>
      <c r="R4555" s="33"/>
      <c r="S4555" s="33"/>
      <c r="T4555" s="33"/>
      <c r="U4555" s="33"/>
      <c r="V4555" s="33"/>
      <c r="W4555" s="33"/>
      <c r="X4555" s="33"/>
      <c r="Y4555" s="33"/>
      <c r="Z4555" s="33"/>
      <c r="AA4555" s="33"/>
      <c r="AB4555" s="33"/>
      <c r="AC4555" s="33"/>
      <c r="AD4555" s="33"/>
      <c r="AE4555" s="33"/>
      <c r="AF4555" s="33"/>
      <c r="AG4555" s="33"/>
      <c r="AH4555" s="33"/>
      <c r="AI4555" s="33"/>
      <c r="AJ4555" s="33"/>
      <c r="AK4555" s="33"/>
    </row>
    <row r="4556">
      <c r="A4556" s="33"/>
      <c r="B4556" s="33"/>
      <c r="C4556" s="33"/>
      <c r="D4556" s="33"/>
      <c r="E4556" s="33"/>
      <c r="F4556" s="33"/>
      <c r="G4556" s="33"/>
      <c r="H4556" s="33"/>
      <c r="I4556" s="33"/>
      <c r="J4556" s="33"/>
      <c r="K4556" s="33"/>
      <c r="L4556" s="33"/>
      <c r="M4556" s="33"/>
      <c r="N4556" s="33"/>
      <c r="O4556" s="33"/>
      <c r="P4556" s="33"/>
      <c r="Q4556" s="33"/>
      <c r="R4556" s="33"/>
      <c r="S4556" s="33"/>
      <c r="T4556" s="33"/>
      <c r="U4556" s="33"/>
      <c r="V4556" s="33"/>
      <c r="W4556" s="33"/>
      <c r="X4556" s="33"/>
      <c r="Y4556" s="33"/>
      <c r="Z4556" s="33"/>
      <c r="AA4556" s="33"/>
      <c r="AB4556" s="33"/>
      <c r="AC4556" s="33"/>
      <c r="AD4556" s="33"/>
      <c r="AE4556" s="33"/>
      <c r="AF4556" s="33"/>
      <c r="AG4556" s="33"/>
      <c r="AH4556" s="33"/>
      <c r="AI4556" s="33"/>
      <c r="AJ4556" s="33"/>
      <c r="AK4556" s="33"/>
    </row>
    <row r="4557">
      <c r="A4557" s="33"/>
      <c r="B4557" s="33"/>
      <c r="C4557" s="33"/>
      <c r="D4557" s="33"/>
      <c r="E4557" s="33"/>
      <c r="F4557" s="33"/>
      <c r="G4557" s="33"/>
      <c r="H4557" s="33"/>
      <c r="I4557" s="33"/>
      <c r="J4557" s="33"/>
      <c r="K4557" s="33"/>
      <c r="L4557" s="33"/>
      <c r="M4557" s="33"/>
      <c r="N4557" s="33"/>
      <c r="O4557" s="33"/>
      <c r="P4557" s="33"/>
      <c r="Q4557" s="33"/>
      <c r="R4557" s="33"/>
      <c r="S4557" s="33"/>
      <c r="T4557" s="33"/>
      <c r="U4557" s="33"/>
      <c r="V4557" s="33"/>
      <c r="W4557" s="33"/>
      <c r="X4557" s="33"/>
      <c r="Y4557" s="33"/>
      <c r="Z4557" s="33"/>
      <c r="AA4557" s="33"/>
      <c r="AB4557" s="33"/>
      <c r="AC4557" s="33"/>
      <c r="AD4557" s="33"/>
      <c r="AE4557" s="33"/>
      <c r="AF4557" s="33"/>
      <c r="AG4557" s="33"/>
      <c r="AH4557" s="33"/>
      <c r="AI4557" s="33"/>
      <c r="AJ4557" s="33"/>
      <c r="AK4557" s="33"/>
    </row>
    <row r="4558">
      <c r="A4558" s="33"/>
      <c r="B4558" s="33"/>
      <c r="C4558" s="33"/>
      <c r="D4558" s="33"/>
      <c r="E4558" s="33"/>
      <c r="F4558" s="33"/>
      <c r="G4558" s="33"/>
      <c r="H4558" s="33"/>
      <c r="I4558" s="33"/>
      <c r="J4558" s="33"/>
      <c r="K4558" s="33"/>
      <c r="L4558" s="33"/>
      <c r="M4558" s="33"/>
      <c r="N4558" s="33"/>
      <c r="O4558" s="33"/>
      <c r="P4558" s="33"/>
      <c r="Q4558" s="33"/>
      <c r="R4558" s="33"/>
      <c r="S4558" s="33"/>
      <c r="T4558" s="33"/>
      <c r="U4558" s="33"/>
      <c r="V4558" s="33"/>
      <c r="W4558" s="33"/>
      <c r="X4558" s="33"/>
      <c r="Y4558" s="33"/>
      <c r="Z4558" s="33"/>
      <c r="AA4558" s="33"/>
      <c r="AB4558" s="33"/>
      <c r="AC4558" s="33"/>
      <c r="AD4558" s="33"/>
      <c r="AE4558" s="33"/>
      <c r="AF4558" s="33"/>
      <c r="AG4558" s="33"/>
      <c r="AH4558" s="33"/>
      <c r="AI4558" s="33"/>
      <c r="AJ4558" s="33"/>
      <c r="AK4558" s="33"/>
    </row>
    <row r="4559">
      <c r="A4559" s="33"/>
      <c r="B4559" s="33"/>
      <c r="C4559" s="33"/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  <c r="R4559" s="33"/>
      <c r="S4559" s="33"/>
      <c r="T4559" s="33"/>
      <c r="U4559" s="33"/>
      <c r="V4559" s="33"/>
      <c r="W4559" s="33"/>
      <c r="X4559" s="33"/>
      <c r="Y4559" s="33"/>
      <c r="Z4559" s="33"/>
      <c r="AA4559" s="33"/>
      <c r="AB4559" s="33"/>
      <c r="AC4559" s="33"/>
      <c r="AD4559" s="33"/>
      <c r="AE4559" s="33"/>
      <c r="AF4559" s="33"/>
      <c r="AG4559" s="33"/>
      <c r="AH4559" s="33"/>
      <c r="AI4559" s="33"/>
      <c r="AJ4559" s="33"/>
      <c r="AK4559" s="33"/>
    </row>
    <row r="4560">
      <c r="A4560" s="33"/>
      <c r="B4560" s="33"/>
      <c r="C4560" s="33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33"/>
      <c r="Q4560" s="33"/>
      <c r="R4560" s="33"/>
      <c r="S4560" s="33"/>
      <c r="T4560" s="33"/>
      <c r="U4560" s="33"/>
      <c r="V4560" s="33"/>
      <c r="W4560" s="33"/>
      <c r="X4560" s="33"/>
      <c r="Y4560" s="33"/>
      <c r="Z4560" s="33"/>
      <c r="AA4560" s="33"/>
      <c r="AB4560" s="33"/>
      <c r="AC4560" s="33"/>
      <c r="AD4560" s="33"/>
      <c r="AE4560" s="33"/>
      <c r="AF4560" s="33"/>
      <c r="AG4560" s="33"/>
      <c r="AH4560" s="33"/>
      <c r="AI4560" s="33"/>
      <c r="AJ4560" s="33"/>
      <c r="AK4560" s="33"/>
    </row>
    <row r="4561">
      <c r="A4561" s="33"/>
      <c r="B4561" s="33"/>
      <c r="C4561" s="33"/>
      <c r="D4561" s="33"/>
      <c r="E4561" s="33"/>
      <c r="F4561" s="33"/>
      <c r="G4561" s="33"/>
      <c r="H4561" s="33"/>
      <c r="I4561" s="33"/>
      <c r="J4561" s="33"/>
      <c r="K4561" s="33"/>
      <c r="L4561" s="33"/>
      <c r="M4561" s="33"/>
      <c r="N4561" s="33"/>
      <c r="O4561" s="33"/>
      <c r="P4561" s="33"/>
      <c r="Q4561" s="33"/>
      <c r="R4561" s="33"/>
      <c r="S4561" s="33"/>
      <c r="T4561" s="33"/>
      <c r="U4561" s="33"/>
      <c r="V4561" s="33"/>
      <c r="W4561" s="33"/>
      <c r="X4561" s="33"/>
      <c r="Y4561" s="33"/>
      <c r="Z4561" s="33"/>
      <c r="AA4561" s="33"/>
      <c r="AB4561" s="33"/>
      <c r="AC4561" s="33"/>
      <c r="AD4561" s="33"/>
      <c r="AE4561" s="33"/>
      <c r="AF4561" s="33"/>
      <c r="AG4561" s="33"/>
      <c r="AH4561" s="33"/>
      <c r="AI4561" s="33"/>
      <c r="AJ4561" s="33"/>
      <c r="AK4561" s="33"/>
    </row>
    <row r="4562">
      <c r="A4562" s="33"/>
      <c r="B4562" s="33"/>
      <c r="C4562" s="33"/>
      <c r="D4562" s="33"/>
      <c r="E4562" s="33"/>
      <c r="F4562" s="33"/>
      <c r="G4562" s="33"/>
      <c r="H4562" s="33"/>
      <c r="I4562" s="33"/>
      <c r="J4562" s="33"/>
      <c r="K4562" s="33"/>
      <c r="L4562" s="33"/>
      <c r="M4562" s="33"/>
      <c r="N4562" s="33"/>
      <c r="O4562" s="33"/>
      <c r="P4562" s="33"/>
      <c r="Q4562" s="33"/>
      <c r="R4562" s="33"/>
      <c r="S4562" s="33"/>
      <c r="T4562" s="33"/>
      <c r="U4562" s="33"/>
      <c r="V4562" s="33"/>
      <c r="W4562" s="33"/>
      <c r="X4562" s="33"/>
      <c r="Y4562" s="33"/>
      <c r="Z4562" s="33"/>
      <c r="AA4562" s="33"/>
      <c r="AB4562" s="33"/>
      <c r="AC4562" s="33"/>
      <c r="AD4562" s="33"/>
      <c r="AE4562" s="33"/>
      <c r="AF4562" s="33"/>
      <c r="AG4562" s="33"/>
      <c r="AH4562" s="33"/>
      <c r="AI4562" s="33"/>
      <c r="AJ4562" s="33"/>
      <c r="AK4562" s="33"/>
    </row>
    <row r="4563">
      <c r="A4563" s="33"/>
      <c r="B4563" s="33"/>
      <c r="C4563" s="33"/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  <c r="Q4563" s="33"/>
      <c r="R4563" s="33"/>
      <c r="S4563" s="33"/>
      <c r="T4563" s="33"/>
      <c r="U4563" s="33"/>
      <c r="V4563" s="33"/>
      <c r="W4563" s="33"/>
      <c r="X4563" s="33"/>
      <c r="Y4563" s="33"/>
      <c r="Z4563" s="33"/>
      <c r="AA4563" s="33"/>
      <c r="AB4563" s="33"/>
      <c r="AC4563" s="33"/>
      <c r="AD4563" s="33"/>
      <c r="AE4563" s="33"/>
      <c r="AF4563" s="33"/>
      <c r="AG4563" s="33"/>
      <c r="AH4563" s="33"/>
      <c r="AI4563" s="33"/>
      <c r="AJ4563" s="33"/>
      <c r="AK4563" s="33"/>
    </row>
    <row r="4564">
      <c r="A4564" s="33"/>
      <c r="B4564" s="33"/>
      <c r="C4564" s="33"/>
      <c r="D4564" s="33"/>
      <c r="E4564" s="33"/>
      <c r="F4564" s="33"/>
      <c r="G4564" s="33"/>
      <c r="H4564" s="33"/>
      <c r="I4564" s="33"/>
      <c r="J4564" s="33"/>
      <c r="K4564" s="33"/>
      <c r="L4564" s="33"/>
      <c r="M4564" s="33"/>
      <c r="N4564" s="33"/>
      <c r="O4564" s="33"/>
      <c r="P4564" s="33"/>
      <c r="Q4564" s="33"/>
      <c r="R4564" s="33"/>
      <c r="S4564" s="33"/>
      <c r="T4564" s="33"/>
      <c r="U4564" s="33"/>
      <c r="V4564" s="33"/>
      <c r="W4564" s="33"/>
      <c r="X4564" s="33"/>
      <c r="Y4564" s="33"/>
      <c r="Z4564" s="33"/>
      <c r="AA4564" s="33"/>
      <c r="AB4564" s="33"/>
      <c r="AC4564" s="33"/>
      <c r="AD4564" s="33"/>
      <c r="AE4564" s="33"/>
      <c r="AF4564" s="33"/>
      <c r="AG4564" s="33"/>
      <c r="AH4564" s="33"/>
      <c r="AI4564" s="33"/>
      <c r="AJ4564" s="33"/>
      <c r="AK4564" s="33"/>
    </row>
    <row r="4565">
      <c r="A4565" s="33"/>
      <c r="B4565" s="33"/>
      <c r="C4565" s="33"/>
      <c r="D4565" s="33"/>
      <c r="E4565" s="33"/>
      <c r="F4565" s="33"/>
      <c r="G4565" s="33"/>
      <c r="H4565" s="33"/>
      <c r="I4565" s="33"/>
      <c r="J4565" s="33"/>
      <c r="K4565" s="33"/>
      <c r="L4565" s="33"/>
      <c r="M4565" s="33"/>
      <c r="N4565" s="33"/>
      <c r="O4565" s="33"/>
      <c r="P4565" s="33"/>
      <c r="Q4565" s="33"/>
      <c r="R4565" s="33"/>
      <c r="S4565" s="33"/>
      <c r="T4565" s="33"/>
      <c r="U4565" s="33"/>
      <c r="V4565" s="33"/>
      <c r="W4565" s="33"/>
      <c r="X4565" s="33"/>
      <c r="Y4565" s="33"/>
      <c r="Z4565" s="33"/>
      <c r="AA4565" s="33"/>
      <c r="AB4565" s="33"/>
      <c r="AC4565" s="33"/>
      <c r="AD4565" s="33"/>
      <c r="AE4565" s="33"/>
      <c r="AF4565" s="33"/>
      <c r="AG4565" s="33"/>
      <c r="AH4565" s="33"/>
      <c r="AI4565" s="33"/>
      <c r="AJ4565" s="33"/>
      <c r="AK4565" s="33"/>
    </row>
    <row r="4566">
      <c r="A4566" s="33"/>
      <c r="B4566" s="33"/>
      <c r="C4566" s="33"/>
      <c r="D4566" s="33"/>
      <c r="E4566" s="33"/>
      <c r="F4566" s="33"/>
      <c r="G4566" s="33"/>
      <c r="H4566" s="33"/>
      <c r="I4566" s="33"/>
      <c r="J4566" s="33"/>
      <c r="K4566" s="33"/>
      <c r="L4566" s="33"/>
      <c r="M4566" s="33"/>
      <c r="N4566" s="33"/>
      <c r="O4566" s="33"/>
      <c r="P4566" s="33"/>
      <c r="Q4566" s="33"/>
      <c r="R4566" s="33"/>
      <c r="S4566" s="33"/>
      <c r="T4566" s="33"/>
      <c r="U4566" s="33"/>
      <c r="V4566" s="33"/>
      <c r="W4566" s="33"/>
      <c r="X4566" s="33"/>
      <c r="Y4566" s="33"/>
      <c r="Z4566" s="33"/>
      <c r="AA4566" s="33"/>
      <c r="AB4566" s="33"/>
      <c r="AC4566" s="33"/>
      <c r="AD4566" s="33"/>
      <c r="AE4566" s="33"/>
      <c r="AF4566" s="33"/>
      <c r="AG4566" s="33"/>
      <c r="AH4566" s="33"/>
      <c r="AI4566" s="33"/>
      <c r="AJ4566" s="33"/>
      <c r="AK4566" s="33"/>
    </row>
    <row r="4567">
      <c r="A4567" s="33"/>
      <c r="B4567" s="33"/>
      <c r="C4567" s="33"/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  <c r="Q4567" s="33"/>
      <c r="R4567" s="33"/>
      <c r="S4567" s="33"/>
      <c r="T4567" s="33"/>
      <c r="U4567" s="33"/>
      <c r="V4567" s="33"/>
      <c r="W4567" s="33"/>
      <c r="X4567" s="33"/>
      <c r="Y4567" s="33"/>
      <c r="Z4567" s="33"/>
      <c r="AA4567" s="33"/>
      <c r="AB4567" s="33"/>
      <c r="AC4567" s="33"/>
      <c r="AD4567" s="33"/>
      <c r="AE4567" s="33"/>
      <c r="AF4567" s="33"/>
      <c r="AG4567" s="33"/>
      <c r="AH4567" s="33"/>
      <c r="AI4567" s="33"/>
      <c r="AJ4567" s="33"/>
      <c r="AK4567" s="33"/>
    </row>
    <row r="4568">
      <c r="A4568" s="33"/>
      <c r="B4568" s="33"/>
      <c r="C4568" s="33"/>
      <c r="D4568" s="33"/>
      <c r="E4568" s="33"/>
      <c r="F4568" s="33"/>
      <c r="G4568" s="33"/>
      <c r="H4568" s="33"/>
      <c r="I4568" s="33"/>
      <c r="J4568" s="33"/>
      <c r="K4568" s="33"/>
      <c r="L4568" s="33"/>
      <c r="M4568" s="33"/>
      <c r="N4568" s="33"/>
      <c r="O4568" s="33"/>
      <c r="P4568" s="33"/>
      <c r="Q4568" s="33"/>
      <c r="R4568" s="33"/>
      <c r="S4568" s="33"/>
      <c r="T4568" s="33"/>
      <c r="U4568" s="33"/>
      <c r="V4568" s="33"/>
      <c r="W4568" s="33"/>
      <c r="X4568" s="33"/>
      <c r="Y4568" s="33"/>
      <c r="Z4568" s="33"/>
      <c r="AA4568" s="33"/>
      <c r="AB4568" s="33"/>
      <c r="AC4568" s="33"/>
      <c r="AD4568" s="33"/>
      <c r="AE4568" s="33"/>
      <c r="AF4568" s="33"/>
      <c r="AG4568" s="33"/>
      <c r="AH4568" s="33"/>
      <c r="AI4568" s="33"/>
      <c r="AJ4568" s="33"/>
      <c r="AK4568" s="33"/>
    </row>
    <row r="4569">
      <c r="A4569" s="33"/>
      <c r="B4569" s="33"/>
      <c r="C4569" s="33"/>
      <c r="D4569" s="33"/>
      <c r="E4569" s="33"/>
      <c r="F4569" s="33"/>
      <c r="G4569" s="33"/>
      <c r="H4569" s="33"/>
      <c r="I4569" s="33"/>
      <c r="J4569" s="33"/>
      <c r="K4569" s="33"/>
      <c r="L4569" s="33"/>
      <c r="M4569" s="33"/>
      <c r="N4569" s="33"/>
      <c r="O4569" s="33"/>
      <c r="P4569" s="33"/>
      <c r="Q4569" s="33"/>
      <c r="R4569" s="33"/>
      <c r="S4569" s="33"/>
      <c r="T4569" s="33"/>
      <c r="U4569" s="33"/>
      <c r="V4569" s="33"/>
      <c r="W4569" s="33"/>
      <c r="X4569" s="33"/>
      <c r="Y4569" s="33"/>
      <c r="Z4569" s="33"/>
      <c r="AA4569" s="33"/>
      <c r="AB4569" s="33"/>
      <c r="AC4569" s="33"/>
      <c r="AD4569" s="33"/>
      <c r="AE4569" s="33"/>
      <c r="AF4569" s="33"/>
      <c r="AG4569" s="33"/>
      <c r="AH4569" s="33"/>
      <c r="AI4569" s="33"/>
      <c r="AJ4569" s="33"/>
      <c r="AK4569" s="33"/>
    </row>
    <row r="4570">
      <c r="A4570" s="33"/>
      <c r="B4570" s="33"/>
      <c r="C4570" s="33"/>
      <c r="D4570" s="33"/>
      <c r="E4570" s="33"/>
      <c r="F4570" s="33"/>
      <c r="G4570" s="33"/>
      <c r="H4570" s="33"/>
      <c r="I4570" s="33"/>
      <c r="J4570" s="33"/>
      <c r="K4570" s="33"/>
      <c r="L4570" s="33"/>
      <c r="M4570" s="33"/>
      <c r="N4570" s="33"/>
      <c r="O4570" s="33"/>
      <c r="P4570" s="33"/>
      <c r="Q4570" s="33"/>
      <c r="R4570" s="33"/>
      <c r="S4570" s="33"/>
      <c r="T4570" s="33"/>
      <c r="U4570" s="33"/>
      <c r="V4570" s="33"/>
      <c r="W4570" s="33"/>
      <c r="X4570" s="33"/>
      <c r="Y4570" s="33"/>
      <c r="Z4570" s="33"/>
      <c r="AA4570" s="33"/>
      <c r="AB4570" s="33"/>
      <c r="AC4570" s="33"/>
      <c r="AD4570" s="33"/>
      <c r="AE4570" s="33"/>
      <c r="AF4570" s="33"/>
      <c r="AG4570" s="33"/>
      <c r="AH4570" s="33"/>
      <c r="AI4570" s="33"/>
      <c r="AJ4570" s="33"/>
      <c r="AK4570" s="33"/>
    </row>
    <row r="4571">
      <c r="A4571" s="33"/>
      <c r="B4571" s="33"/>
      <c r="C4571" s="33"/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  <c r="Q4571" s="33"/>
      <c r="R4571" s="33"/>
      <c r="S4571" s="33"/>
      <c r="T4571" s="33"/>
      <c r="U4571" s="33"/>
      <c r="V4571" s="33"/>
      <c r="W4571" s="33"/>
      <c r="X4571" s="33"/>
      <c r="Y4571" s="33"/>
      <c r="Z4571" s="33"/>
      <c r="AA4571" s="33"/>
      <c r="AB4571" s="33"/>
      <c r="AC4571" s="33"/>
      <c r="AD4571" s="33"/>
      <c r="AE4571" s="33"/>
      <c r="AF4571" s="33"/>
      <c r="AG4571" s="33"/>
      <c r="AH4571" s="33"/>
      <c r="AI4571" s="33"/>
      <c r="AJ4571" s="33"/>
      <c r="AK4571" s="33"/>
    </row>
    <row r="4572">
      <c r="A4572" s="33"/>
      <c r="B4572" s="33"/>
      <c r="C4572" s="33"/>
      <c r="D4572" s="33"/>
      <c r="E4572" s="33"/>
      <c r="F4572" s="33"/>
      <c r="G4572" s="33"/>
      <c r="H4572" s="33"/>
      <c r="I4572" s="33"/>
      <c r="J4572" s="33"/>
      <c r="K4572" s="33"/>
      <c r="L4572" s="33"/>
      <c r="M4572" s="33"/>
      <c r="N4572" s="33"/>
      <c r="O4572" s="33"/>
      <c r="P4572" s="33"/>
      <c r="Q4572" s="33"/>
      <c r="R4572" s="33"/>
      <c r="S4572" s="33"/>
      <c r="T4572" s="33"/>
      <c r="U4572" s="33"/>
      <c r="V4572" s="33"/>
      <c r="W4572" s="33"/>
      <c r="X4572" s="33"/>
      <c r="Y4572" s="33"/>
      <c r="Z4572" s="33"/>
      <c r="AA4572" s="33"/>
      <c r="AB4572" s="33"/>
      <c r="AC4572" s="33"/>
      <c r="AD4572" s="33"/>
      <c r="AE4572" s="33"/>
      <c r="AF4572" s="33"/>
      <c r="AG4572" s="33"/>
      <c r="AH4572" s="33"/>
      <c r="AI4572" s="33"/>
      <c r="AJ4572" s="33"/>
      <c r="AK4572" s="33"/>
    </row>
    <row r="4573">
      <c r="A4573" s="33"/>
      <c r="B4573" s="33"/>
      <c r="C4573" s="33"/>
      <c r="D4573" s="33"/>
      <c r="E4573" s="33"/>
      <c r="F4573" s="33"/>
      <c r="G4573" s="33"/>
      <c r="H4573" s="33"/>
      <c r="I4573" s="33"/>
      <c r="J4573" s="33"/>
      <c r="K4573" s="33"/>
      <c r="L4573" s="33"/>
      <c r="M4573" s="33"/>
      <c r="N4573" s="33"/>
      <c r="O4573" s="33"/>
      <c r="P4573" s="33"/>
      <c r="Q4573" s="33"/>
      <c r="R4573" s="33"/>
      <c r="S4573" s="33"/>
      <c r="T4573" s="33"/>
      <c r="U4573" s="33"/>
      <c r="V4573" s="33"/>
      <c r="W4573" s="33"/>
      <c r="X4573" s="33"/>
      <c r="Y4573" s="33"/>
      <c r="Z4573" s="33"/>
      <c r="AA4573" s="33"/>
      <c r="AB4573" s="33"/>
      <c r="AC4573" s="33"/>
      <c r="AD4573" s="33"/>
      <c r="AE4573" s="33"/>
      <c r="AF4573" s="33"/>
      <c r="AG4573" s="33"/>
      <c r="AH4573" s="33"/>
      <c r="AI4573" s="33"/>
      <c r="AJ4573" s="33"/>
      <c r="AK4573" s="33"/>
    </row>
    <row r="4574">
      <c r="A4574" s="33"/>
      <c r="B4574" s="33"/>
      <c r="C4574" s="33"/>
      <c r="D4574" s="33"/>
      <c r="E4574" s="33"/>
      <c r="F4574" s="33"/>
      <c r="G4574" s="33"/>
      <c r="H4574" s="33"/>
      <c r="I4574" s="33"/>
      <c r="J4574" s="33"/>
      <c r="K4574" s="33"/>
      <c r="L4574" s="33"/>
      <c r="M4574" s="33"/>
      <c r="N4574" s="33"/>
      <c r="O4574" s="33"/>
      <c r="P4574" s="33"/>
      <c r="Q4574" s="33"/>
      <c r="R4574" s="33"/>
      <c r="S4574" s="33"/>
      <c r="T4574" s="33"/>
      <c r="U4574" s="33"/>
      <c r="V4574" s="33"/>
      <c r="W4574" s="33"/>
      <c r="X4574" s="33"/>
      <c r="Y4574" s="33"/>
      <c r="Z4574" s="33"/>
      <c r="AA4574" s="33"/>
      <c r="AB4574" s="33"/>
      <c r="AC4574" s="33"/>
      <c r="AD4574" s="33"/>
      <c r="AE4574" s="33"/>
      <c r="AF4574" s="33"/>
      <c r="AG4574" s="33"/>
      <c r="AH4574" s="33"/>
      <c r="AI4574" s="33"/>
      <c r="AJ4574" s="33"/>
      <c r="AK4574" s="33"/>
    </row>
    <row r="4575">
      <c r="A4575" s="33"/>
      <c r="B4575" s="33"/>
      <c r="C4575" s="33"/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  <c r="Q4575" s="33"/>
      <c r="R4575" s="33"/>
      <c r="S4575" s="33"/>
      <c r="T4575" s="33"/>
      <c r="U4575" s="33"/>
      <c r="V4575" s="33"/>
      <c r="W4575" s="33"/>
      <c r="X4575" s="33"/>
      <c r="Y4575" s="33"/>
      <c r="Z4575" s="33"/>
      <c r="AA4575" s="33"/>
      <c r="AB4575" s="33"/>
      <c r="AC4575" s="33"/>
      <c r="AD4575" s="33"/>
      <c r="AE4575" s="33"/>
      <c r="AF4575" s="33"/>
      <c r="AG4575" s="33"/>
      <c r="AH4575" s="33"/>
      <c r="AI4575" s="33"/>
      <c r="AJ4575" s="33"/>
      <c r="AK4575" s="33"/>
    </row>
    <row r="4576">
      <c r="A4576" s="33"/>
      <c r="B4576" s="33"/>
      <c r="C4576" s="33"/>
      <c r="D4576" s="33"/>
      <c r="E4576" s="33"/>
      <c r="F4576" s="33"/>
      <c r="G4576" s="33"/>
      <c r="H4576" s="33"/>
      <c r="I4576" s="33"/>
      <c r="J4576" s="33"/>
      <c r="K4576" s="33"/>
      <c r="L4576" s="33"/>
      <c r="M4576" s="33"/>
      <c r="N4576" s="33"/>
      <c r="O4576" s="33"/>
      <c r="P4576" s="33"/>
      <c r="Q4576" s="33"/>
      <c r="R4576" s="33"/>
      <c r="S4576" s="33"/>
      <c r="T4576" s="33"/>
      <c r="U4576" s="33"/>
      <c r="V4576" s="33"/>
      <c r="W4576" s="33"/>
      <c r="X4576" s="33"/>
      <c r="Y4576" s="33"/>
      <c r="Z4576" s="33"/>
      <c r="AA4576" s="33"/>
      <c r="AB4576" s="33"/>
      <c r="AC4576" s="33"/>
      <c r="AD4576" s="33"/>
      <c r="AE4576" s="33"/>
      <c r="AF4576" s="33"/>
      <c r="AG4576" s="33"/>
      <c r="AH4576" s="33"/>
      <c r="AI4576" s="33"/>
      <c r="AJ4576" s="33"/>
      <c r="AK4576" s="33"/>
    </row>
    <row r="4577">
      <c r="A4577" s="33"/>
      <c r="B4577" s="33"/>
      <c r="C4577" s="33"/>
      <c r="D4577" s="33"/>
      <c r="E4577" s="33"/>
      <c r="F4577" s="33"/>
      <c r="G4577" s="33"/>
      <c r="H4577" s="33"/>
      <c r="I4577" s="33"/>
      <c r="J4577" s="33"/>
      <c r="K4577" s="33"/>
      <c r="L4577" s="33"/>
      <c r="M4577" s="33"/>
      <c r="N4577" s="33"/>
      <c r="O4577" s="33"/>
      <c r="P4577" s="33"/>
      <c r="Q4577" s="33"/>
      <c r="R4577" s="33"/>
      <c r="S4577" s="33"/>
      <c r="T4577" s="33"/>
      <c r="U4577" s="33"/>
      <c r="V4577" s="33"/>
      <c r="W4577" s="33"/>
      <c r="X4577" s="33"/>
      <c r="Y4577" s="33"/>
      <c r="Z4577" s="33"/>
      <c r="AA4577" s="33"/>
      <c r="AB4577" s="33"/>
      <c r="AC4577" s="33"/>
      <c r="AD4577" s="33"/>
      <c r="AE4577" s="33"/>
      <c r="AF4577" s="33"/>
      <c r="AG4577" s="33"/>
      <c r="AH4577" s="33"/>
      <c r="AI4577" s="33"/>
      <c r="AJ4577" s="33"/>
      <c r="AK4577" s="33"/>
    </row>
    <row r="4578">
      <c r="A4578" s="33"/>
      <c r="B4578" s="33"/>
      <c r="C4578" s="33"/>
      <c r="D4578" s="33"/>
      <c r="E4578" s="33"/>
      <c r="F4578" s="33"/>
      <c r="G4578" s="33"/>
      <c r="H4578" s="33"/>
      <c r="I4578" s="33"/>
      <c r="J4578" s="33"/>
      <c r="K4578" s="33"/>
      <c r="L4578" s="33"/>
      <c r="M4578" s="33"/>
      <c r="N4578" s="33"/>
      <c r="O4578" s="33"/>
      <c r="P4578" s="33"/>
      <c r="Q4578" s="33"/>
      <c r="R4578" s="33"/>
      <c r="S4578" s="33"/>
      <c r="T4578" s="33"/>
      <c r="U4578" s="33"/>
      <c r="V4578" s="33"/>
      <c r="W4578" s="33"/>
      <c r="X4578" s="33"/>
      <c r="Y4578" s="33"/>
      <c r="Z4578" s="33"/>
      <c r="AA4578" s="33"/>
      <c r="AB4578" s="33"/>
      <c r="AC4578" s="33"/>
      <c r="AD4578" s="33"/>
      <c r="AE4578" s="33"/>
      <c r="AF4578" s="33"/>
      <c r="AG4578" s="33"/>
      <c r="AH4578" s="33"/>
      <c r="AI4578" s="33"/>
      <c r="AJ4578" s="33"/>
      <c r="AK4578" s="33"/>
    </row>
    <row r="4579">
      <c r="A4579" s="33"/>
      <c r="B4579" s="33"/>
      <c r="C4579" s="33"/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  <c r="Q4579" s="33"/>
      <c r="R4579" s="33"/>
      <c r="S4579" s="33"/>
      <c r="T4579" s="33"/>
      <c r="U4579" s="33"/>
      <c r="V4579" s="33"/>
      <c r="W4579" s="33"/>
      <c r="X4579" s="33"/>
      <c r="Y4579" s="33"/>
      <c r="Z4579" s="33"/>
      <c r="AA4579" s="33"/>
      <c r="AB4579" s="33"/>
      <c r="AC4579" s="33"/>
      <c r="AD4579" s="33"/>
      <c r="AE4579" s="33"/>
      <c r="AF4579" s="33"/>
      <c r="AG4579" s="33"/>
      <c r="AH4579" s="33"/>
      <c r="AI4579" s="33"/>
      <c r="AJ4579" s="33"/>
      <c r="AK4579" s="33"/>
    </row>
    <row r="4580">
      <c r="A4580" s="33"/>
      <c r="B4580" s="33"/>
      <c r="C4580" s="33"/>
      <c r="D4580" s="33"/>
      <c r="E4580" s="33"/>
      <c r="F4580" s="33"/>
      <c r="G4580" s="33"/>
      <c r="H4580" s="33"/>
      <c r="I4580" s="33"/>
      <c r="J4580" s="33"/>
      <c r="K4580" s="33"/>
      <c r="L4580" s="33"/>
      <c r="M4580" s="33"/>
      <c r="N4580" s="33"/>
      <c r="O4580" s="33"/>
      <c r="P4580" s="33"/>
      <c r="Q4580" s="33"/>
      <c r="R4580" s="33"/>
      <c r="S4580" s="33"/>
      <c r="T4580" s="33"/>
      <c r="U4580" s="33"/>
      <c r="V4580" s="33"/>
      <c r="W4580" s="33"/>
      <c r="X4580" s="33"/>
      <c r="Y4580" s="33"/>
      <c r="Z4580" s="33"/>
      <c r="AA4580" s="33"/>
      <c r="AB4580" s="33"/>
      <c r="AC4580" s="33"/>
      <c r="AD4580" s="33"/>
      <c r="AE4580" s="33"/>
      <c r="AF4580" s="33"/>
      <c r="AG4580" s="33"/>
      <c r="AH4580" s="33"/>
      <c r="AI4580" s="33"/>
      <c r="AJ4580" s="33"/>
      <c r="AK4580" s="33"/>
    </row>
    <row r="4581">
      <c r="A4581" s="33"/>
      <c r="B4581" s="33"/>
      <c r="C4581" s="33"/>
      <c r="D4581" s="33"/>
      <c r="E4581" s="33"/>
      <c r="F4581" s="33"/>
      <c r="G4581" s="33"/>
      <c r="H4581" s="33"/>
      <c r="I4581" s="33"/>
      <c r="J4581" s="33"/>
      <c r="K4581" s="33"/>
      <c r="L4581" s="33"/>
      <c r="M4581" s="33"/>
      <c r="N4581" s="33"/>
      <c r="O4581" s="33"/>
      <c r="P4581" s="33"/>
      <c r="Q4581" s="33"/>
      <c r="R4581" s="33"/>
      <c r="S4581" s="33"/>
      <c r="T4581" s="33"/>
      <c r="U4581" s="33"/>
      <c r="V4581" s="33"/>
      <c r="W4581" s="33"/>
      <c r="X4581" s="33"/>
      <c r="Y4581" s="33"/>
      <c r="Z4581" s="33"/>
      <c r="AA4581" s="33"/>
      <c r="AB4581" s="33"/>
      <c r="AC4581" s="33"/>
      <c r="AD4581" s="33"/>
      <c r="AE4581" s="33"/>
      <c r="AF4581" s="33"/>
      <c r="AG4581" s="33"/>
      <c r="AH4581" s="33"/>
      <c r="AI4581" s="33"/>
      <c r="AJ4581" s="33"/>
      <c r="AK4581" s="33"/>
    </row>
    <row r="4582">
      <c r="A4582" s="33"/>
      <c r="B4582" s="33"/>
      <c r="C4582" s="33"/>
      <c r="D4582" s="33"/>
      <c r="E4582" s="33"/>
      <c r="F4582" s="33"/>
      <c r="G4582" s="33"/>
      <c r="H4582" s="33"/>
      <c r="I4582" s="33"/>
      <c r="J4582" s="33"/>
      <c r="K4582" s="33"/>
      <c r="L4582" s="33"/>
      <c r="M4582" s="33"/>
      <c r="N4582" s="33"/>
      <c r="O4582" s="33"/>
      <c r="P4582" s="33"/>
      <c r="Q4582" s="33"/>
      <c r="R4582" s="33"/>
      <c r="S4582" s="33"/>
      <c r="T4582" s="33"/>
      <c r="U4582" s="33"/>
      <c r="V4582" s="33"/>
      <c r="W4582" s="33"/>
      <c r="X4582" s="33"/>
      <c r="Y4582" s="33"/>
      <c r="Z4582" s="33"/>
      <c r="AA4582" s="33"/>
      <c r="AB4582" s="33"/>
      <c r="AC4582" s="33"/>
      <c r="AD4582" s="33"/>
      <c r="AE4582" s="33"/>
      <c r="AF4582" s="33"/>
      <c r="AG4582" s="33"/>
      <c r="AH4582" s="33"/>
      <c r="AI4582" s="33"/>
      <c r="AJ4582" s="33"/>
      <c r="AK4582" s="33"/>
    </row>
    <row r="4583">
      <c r="A4583" s="33"/>
      <c r="B4583" s="33"/>
      <c r="C4583" s="33"/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  <c r="Q4583" s="33"/>
      <c r="R4583" s="33"/>
      <c r="S4583" s="33"/>
      <c r="T4583" s="33"/>
      <c r="U4583" s="33"/>
      <c r="V4583" s="33"/>
      <c r="W4583" s="33"/>
      <c r="X4583" s="33"/>
      <c r="Y4583" s="33"/>
      <c r="Z4583" s="33"/>
      <c r="AA4583" s="33"/>
      <c r="AB4583" s="33"/>
      <c r="AC4583" s="33"/>
      <c r="AD4583" s="33"/>
      <c r="AE4583" s="33"/>
      <c r="AF4583" s="33"/>
      <c r="AG4583" s="33"/>
      <c r="AH4583" s="33"/>
      <c r="AI4583" s="33"/>
      <c r="AJ4583" s="33"/>
      <c r="AK4583" s="33"/>
    </row>
    <row r="4584">
      <c r="A4584" s="33"/>
      <c r="B4584" s="33"/>
      <c r="C4584" s="33"/>
      <c r="D4584" s="33"/>
      <c r="E4584" s="33"/>
      <c r="F4584" s="33"/>
      <c r="G4584" s="33"/>
      <c r="H4584" s="33"/>
      <c r="I4584" s="33"/>
      <c r="J4584" s="33"/>
      <c r="K4584" s="33"/>
      <c r="L4584" s="33"/>
      <c r="M4584" s="33"/>
      <c r="N4584" s="33"/>
      <c r="O4584" s="33"/>
      <c r="P4584" s="33"/>
      <c r="Q4584" s="33"/>
      <c r="R4584" s="33"/>
      <c r="S4584" s="33"/>
      <c r="T4584" s="33"/>
      <c r="U4584" s="33"/>
      <c r="V4584" s="33"/>
      <c r="W4584" s="33"/>
      <c r="X4584" s="33"/>
      <c r="Y4584" s="33"/>
      <c r="Z4584" s="33"/>
      <c r="AA4584" s="33"/>
      <c r="AB4584" s="33"/>
      <c r="AC4584" s="33"/>
      <c r="AD4584" s="33"/>
      <c r="AE4584" s="33"/>
      <c r="AF4584" s="33"/>
      <c r="AG4584" s="33"/>
      <c r="AH4584" s="33"/>
      <c r="AI4584" s="33"/>
      <c r="AJ4584" s="33"/>
      <c r="AK4584" s="33"/>
    </row>
    <row r="4585">
      <c r="A4585" s="33"/>
      <c r="B4585" s="33"/>
      <c r="C4585" s="33"/>
      <c r="D4585" s="33"/>
      <c r="E4585" s="33"/>
      <c r="F4585" s="33"/>
      <c r="G4585" s="33"/>
      <c r="H4585" s="33"/>
      <c r="I4585" s="33"/>
      <c r="J4585" s="33"/>
      <c r="K4585" s="33"/>
      <c r="L4585" s="33"/>
      <c r="M4585" s="33"/>
      <c r="N4585" s="33"/>
      <c r="O4585" s="33"/>
      <c r="P4585" s="33"/>
      <c r="Q4585" s="33"/>
      <c r="R4585" s="33"/>
      <c r="S4585" s="33"/>
      <c r="T4585" s="33"/>
      <c r="U4585" s="33"/>
      <c r="V4585" s="33"/>
      <c r="W4585" s="33"/>
      <c r="X4585" s="33"/>
      <c r="Y4585" s="33"/>
      <c r="Z4585" s="33"/>
      <c r="AA4585" s="33"/>
      <c r="AB4585" s="33"/>
      <c r="AC4585" s="33"/>
      <c r="AD4585" s="33"/>
      <c r="AE4585" s="33"/>
      <c r="AF4585" s="33"/>
      <c r="AG4585" s="33"/>
      <c r="AH4585" s="33"/>
      <c r="AI4585" s="33"/>
      <c r="AJ4585" s="33"/>
      <c r="AK4585" s="33"/>
    </row>
    <row r="4586">
      <c r="A4586" s="33"/>
      <c r="B4586" s="33"/>
      <c r="C4586" s="33"/>
      <c r="D4586" s="33"/>
      <c r="E4586" s="33"/>
      <c r="F4586" s="33"/>
      <c r="G4586" s="33"/>
      <c r="H4586" s="33"/>
      <c r="I4586" s="33"/>
      <c r="J4586" s="33"/>
      <c r="K4586" s="33"/>
      <c r="L4586" s="33"/>
      <c r="M4586" s="33"/>
      <c r="N4586" s="33"/>
      <c r="O4586" s="33"/>
      <c r="P4586" s="33"/>
      <c r="Q4586" s="33"/>
      <c r="R4586" s="33"/>
      <c r="S4586" s="33"/>
      <c r="T4586" s="33"/>
      <c r="U4586" s="33"/>
      <c r="V4586" s="33"/>
      <c r="W4586" s="33"/>
      <c r="X4586" s="33"/>
      <c r="Y4586" s="33"/>
      <c r="Z4586" s="33"/>
      <c r="AA4586" s="33"/>
      <c r="AB4586" s="33"/>
      <c r="AC4586" s="33"/>
      <c r="AD4586" s="33"/>
      <c r="AE4586" s="33"/>
      <c r="AF4586" s="33"/>
      <c r="AG4586" s="33"/>
      <c r="AH4586" s="33"/>
      <c r="AI4586" s="33"/>
      <c r="AJ4586" s="33"/>
      <c r="AK4586" s="33"/>
    </row>
    <row r="4587">
      <c r="A4587" s="33"/>
      <c r="B4587" s="33"/>
      <c r="C4587" s="33"/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  <c r="Q4587" s="33"/>
      <c r="R4587" s="33"/>
      <c r="S4587" s="33"/>
      <c r="T4587" s="33"/>
      <c r="U4587" s="33"/>
      <c r="V4587" s="33"/>
      <c r="W4587" s="33"/>
      <c r="X4587" s="33"/>
      <c r="Y4587" s="33"/>
      <c r="Z4587" s="33"/>
      <c r="AA4587" s="33"/>
      <c r="AB4587" s="33"/>
      <c r="AC4587" s="33"/>
      <c r="AD4587" s="33"/>
      <c r="AE4587" s="33"/>
      <c r="AF4587" s="33"/>
      <c r="AG4587" s="33"/>
      <c r="AH4587" s="33"/>
      <c r="AI4587" s="33"/>
      <c r="AJ4587" s="33"/>
      <c r="AK4587" s="33"/>
    </row>
    <row r="4588">
      <c r="A4588" s="33"/>
      <c r="B4588" s="33"/>
      <c r="C4588" s="33"/>
      <c r="D4588" s="33"/>
      <c r="E4588" s="33"/>
      <c r="F4588" s="33"/>
      <c r="G4588" s="33"/>
      <c r="H4588" s="33"/>
      <c r="I4588" s="33"/>
      <c r="J4588" s="33"/>
      <c r="K4588" s="33"/>
      <c r="L4588" s="33"/>
      <c r="M4588" s="33"/>
      <c r="N4588" s="33"/>
      <c r="O4588" s="33"/>
      <c r="P4588" s="33"/>
      <c r="Q4588" s="33"/>
      <c r="R4588" s="33"/>
      <c r="S4588" s="33"/>
      <c r="T4588" s="33"/>
      <c r="U4588" s="33"/>
      <c r="V4588" s="33"/>
      <c r="W4588" s="33"/>
      <c r="X4588" s="33"/>
      <c r="Y4588" s="33"/>
      <c r="Z4588" s="33"/>
      <c r="AA4588" s="33"/>
      <c r="AB4588" s="33"/>
      <c r="AC4588" s="33"/>
      <c r="AD4588" s="33"/>
      <c r="AE4588" s="33"/>
      <c r="AF4588" s="33"/>
      <c r="AG4588" s="33"/>
      <c r="AH4588" s="33"/>
      <c r="AI4588" s="33"/>
      <c r="AJ4588" s="33"/>
      <c r="AK4588" s="33"/>
    </row>
    <row r="4589">
      <c r="A4589" s="33"/>
      <c r="B4589" s="33"/>
      <c r="C4589" s="33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33"/>
      <c r="Q4589" s="33"/>
      <c r="R4589" s="33"/>
      <c r="S4589" s="33"/>
      <c r="T4589" s="33"/>
      <c r="U4589" s="33"/>
      <c r="V4589" s="33"/>
      <c r="W4589" s="33"/>
      <c r="X4589" s="33"/>
      <c r="Y4589" s="33"/>
      <c r="Z4589" s="33"/>
      <c r="AA4589" s="33"/>
      <c r="AB4589" s="33"/>
      <c r="AC4589" s="33"/>
      <c r="AD4589" s="33"/>
      <c r="AE4589" s="33"/>
      <c r="AF4589" s="33"/>
      <c r="AG4589" s="33"/>
      <c r="AH4589" s="33"/>
      <c r="AI4589" s="33"/>
      <c r="AJ4589" s="33"/>
      <c r="AK4589" s="33"/>
    </row>
    <row r="4590">
      <c r="A4590" s="33"/>
      <c r="B4590" s="33"/>
      <c r="C4590" s="33"/>
      <c r="D4590" s="33"/>
      <c r="E4590" s="33"/>
      <c r="F4590" s="33"/>
      <c r="G4590" s="33"/>
      <c r="H4590" s="33"/>
      <c r="I4590" s="33"/>
      <c r="J4590" s="33"/>
      <c r="K4590" s="33"/>
      <c r="L4590" s="33"/>
      <c r="M4590" s="33"/>
      <c r="N4590" s="33"/>
      <c r="O4590" s="33"/>
      <c r="P4590" s="33"/>
      <c r="Q4590" s="33"/>
      <c r="R4590" s="33"/>
      <c r="S4590" s="33"/>
      <c r="T4590" s="33"/>
      <c r="U4590" s="33"/>
      <c r="V4590" s="33"/>
      <c r="W4590" s="33"/>
      <c r="X4590" s="33"/>
      <c r="Y4590" s="33"/>
      <c r="Z4590" s="33"/>
      <c r="AA4590" s="33"/>
      <c r="AB4590" s="33"/>
      <c r="AC4590" s="33"/>
      <c r="AD4590" s="33"/>
      <c r="AE4590" s="33"/>
      <c r="AF4590" s="33"/>
      <c r="AG4590" s="33"/>
      <c r="AH4590" s="33"/>
      <c r="AI4590" s="33"/>
      <c r="AJ4590" s="33"/>
      <c r="AK4590" s="33"/>
    </row>
    <row r="4591">
      <c r="A4591" s="33"/>
      <c r="B4591" s="33"/>
      <c r="C4591" s="33"/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  <c r="Q4591" s="33"/>
      <c r="R4591" s="33"/>
      <c r="S4591" s="33"/>
      <c r="T4591" s="33"/>
      <c r="U4591" s="33"/>
      <c r="V4591" s="33"/>
      <c r="W4591" s="33"/>
      <c r="X4591" s="33"/>
      <c r="Y4591" s="33"/>
      <c r="Z4591" s="33"/>
      <c r="AA4591" s="33"/>
      <c r="AB4591" s="33"/>
      <c r="AC4591" s="33"/>
      <c r="AD4591" s="33"/>
      <c r="AE4591" s="33"/>
      <c r="AF4591" s="33"/>
      <c r="AG4591" s="33"/>
      <c r="AH4591" s="33"/>
      <c r="AI4591" s="33"/>
      <c r="AJ4591" s="33"/>
      <c r="AK4591" s="33"/>
    </row>
    <row r="4592">
      <c r="A4592" s="33"/>
      <c r="B4592" s="33"/>
      <c r="C4592" s="33"/>
      <c r="D4592" s="33"/>
      <c r="E4592" s="33"/>
      <c r="F4592" s="33"/>
      <c r="G4592" s="33"/>
      <c r="H4592" s="33"/>
      <c r="I4592" s="33"/>
      <c r="J4592" s="33"/>
      <c r="K4592" s="33"/>
      <c r="L4592" s="33"/>
      <c r="M4592" s="33"/>
      <c r="N4592" s="33"/>
      <c r="O4592" s="33"/>
      <c r="P4592" s="33"/>
      <c r="Q4592" s="33"/>
      <c r="R4592" s="33"/>
      <c r="S4592" s="33"/>
      <c r="T4592" s="33"/>
      <c r="U4592" s="33"/>
      <c r="V4592" s="33"/>
      <c r="W4592" s="33"/>
      <c r="X4592" s="33"/>
      <c r="Y4592" s="33"/>
      <c r="Z4592" s="33"/>
      <c r="AA4592" s="33"/>
      <c r="AB4592" s="33"/>
      <c r="AC4592" s="33"/>
      <c r="AD4592" s="33"/>
      <c r="AE4592" s="33"/>
      <c r="AF4592" s="33"/>
      <c r="AG4592" s="33"/>
      <c r="AH4592" s="33"/>
      <c r="AI4592" s="33"/>
      <c r="AJ4592" s="33"/>
      <c r="AK4592" s="33"/>
    </row>
    <row r="4593">
      <c r="A4593" s="33"/>
      <c r="B4593" s="33"/>
      <c r="C4593" s="33"/>
      <c r="D4593" s="33"/>
      <c r="E4593" s="33"/>
      <c r="F4593" s="33"/>
      <c r="G4593" s="33"/>
      <c r="H4593" s="33"/>
      <c r="I4593" s="33"/>
      <c r="J4593" s="33"/>
      <c r="K4593" s="33"/>
      <c r="L4593" s="33"/>
      <c r="M4593" s="33"/>
      <c r="N4593" s="33"/>
      <c r="O4593" s="33"/>
      <c r="P4593" s="33"/>
      <c r="Q4593" s="33"/>
      <c r="R4593" s="33"/>
      <c r="S4593" s="33"/>
      <c r="T4593" s="33"/>
      <c r="U4593" s="33"/>
      <c r="V4593" s="33"/>
      <c r="W4593" s="33"/>
      <c r="X4593" s="33"/>
      <c r="Y4593" s="33"/>
      <c r="Z4593" s="33"/>
      <c r="AA4593" s="33"/>
      <c r="AB4593" s="33"/>
      <c r="AC4593" s="33"/>
      <c r="AD4593" s="33"/>
      <c r="AE4593" s="33"/>
      <c r="AF4593" s="33"/>
      <c r="AG4593" s="33"/>
      <c r="AH4593" s="33"/>
      <c r="AI4593" s="33"/>
      <c r="AJ4593" s="33"/>
      <c r="AK4593" s="33"/>
    </row>
    <row r="4594">
      <c r="A4594" s="33"/>
      <c r="B4594" s="33"/>
      <c r="C4594" s="33"/>
      <c r="D4594" s="33"/>
      <c r="E4594" s="33"/>
      <c r="F4594" s="33"/>
      <c r="G4594" s="33"/>
      <c r="H4594" s="33"/>
      <c r="I4594" s="33"/>
      <c r="J4594" s="33"/>
      <c r="K4594" s="33"/>
      <c r="L4594" s="33"/>
      <c r="M4594" s="33"/>
      <c r="N4594" s="33"/>
      <c r="O4594" s="33"/>
      <c r="P4594" s="33"/>
      <c r="Q4594" s="33"/>
      <c r="R4594" s="33"/>
      <c r="S4594" s="33"/>
      <c r="T4594" s="33"/>
      <c r="U4594" s="33"/>
      <c r="V4594" s="33"/>
      <c r="W4594" s="33"/>
      <c r="X4594" s="33"/>
      <c r="Y4594" s="33"/>
      <c r="Z4594" s="33"/>
      <c r="AA4594" s="33"/>
      <c r="AB4594" s="33"/>
      <c r="AC4594" s="33"/>
      <c r="AD4594" s="33"/>
      <c r="AE4594" s="33"/>
      <c r="AF4594" s="33"/>
      <c r="AG4594" s="33"/>
      <c r="AH4594" s="33"/>
      <c r="AI4594" s="33"/>
      <c r="AJ4594" s="33"/>
      <c r="AK4594" s="33"/>
    </row>
    <row r="4595">
      <c r="A4595" s="33"/>
      <c r="B4595" s="33"/>
      <c r="C4595" s="33"/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  <c r="Q4595" s="33"/>
      <c r="R4595" s="33"/>
      <c r="S4595" s="33"/>
      <c r="T4595" s="33"/>
      <c r="U4595" s="33"/>
      <c r="V4595" s="33"/>
      <c r="W4595" s="33"/>
      <c r="X4595" s="33"/>
      <c r="Y4595" s="33"/>
      <c r="Z4595" s="33"/>
      <c r="AA4595" s="33"/>
      <c r="AB4595" s="33"/>
      <c r="AC4595" s="33"/>
      <c r="AD4595" s="33"/>
      <c r="AE4595" s="33"/>
      <c r="AF4595" s="33"/>
      <c r="AG4595" s="33"/>
      <c r="AH4595" s="33"/>
      <c r="AI4595" s="33"/>
      <c r="AJ4595" s="33"/>
      <c r="AK4595" s="33"/>
    </row>
    <row r="4596">
      <c r="A4596" s="33"/>
      <c r="B4596" s="33"/>
      <c r="C4596" s="33"/>
      <c r="D4596" s="33"/>
      <c r="E4596" s="33"/>
      <c r="F4596" s="33"/>
      <c r="G4596" s="33"/>
      <c r="H4596" s="33"/>
      <c r="I4596" s="33"/>
      <c r="J4596" s="33"/>
      <c r="K4596" s="33"/>
      <c r="L4596" s="33"/>
      <c r="M4596" s="33"/>
      <c r="N4596" s="33"/>
      <c r="O4596" s="33"/>
      <c r="P4596" s="33"/>
      <c r="Q4596" s="33"/>
      <c r="R4596" s="33"/>
      <c r="S4596" s="33"/>
      <c r="T4596" s="33"/>
      <c r="U4596" s="33"/>
      <c r="V4596" s="33"/>
      <c r="W4596" s="33"/>
      <c r="X4596" s="33"/>
      <c r="Y4596" s="33"/>
      <c r="Z4596" s="33"/>
      <c r="AA4596" s="33"/>
      <c r="AB4596" s="33"/>
      <c r="AC4596" s="33"/>
      <c r="AD4596" s="33"/>
      <c r="AE4596" s="33"/>
      <c r="AF4596" s="33"/>
      <c r="AG4596" s="33"/>
      <c r="AH4596" s="33"/>
      <c r="AI4596" s="33"/>
      <c r="AJ4596" s="33"/>
      <c r="AK4596" s="33"/>
    </row>
    <row r="4597">
      <c r="A4597" s="33"/>
      <c r="B4597" s="33"/>
      <c r="C4597" s="33"/>
      <c r="D4597" s="33"/>
      <c r="E4597" s="33"/>
      <c r="F4597" s="33"/>
      <c r="G4597" s="33"/>
      <c r="H4597" s="33"/>
      <c r="I4597" s="33"/>
      <c r="J4597" s="33"/>
      <c r="K4597" s="33"/>
      <c r="L4597" s="33"/>
      <c r="M4597" s="33"/>
      <c r="N4597" s="33"/>
      <c r="O4597" s="33"/>
      <c r="P4597" s="33"/>
      <c r="Q4597" s="33"/>
      <c r="R4597" s="33"/>
      <c r="S4597" s="33"/>
      <c r="T4597" s="33"/>
      <c r="U4597" s="33"/>
      <c r="V4597" s="33"/>
      <c r="W4597" s="33"/>
      <c r="X4597" s="33"/>
      <c r="Y4597" s="33"/>
      <c r="Z4597" s="33"/>
      <c r="AA4597" s="33"/>
      <c r="AB4597" s="33"/>
      <c r="AC4597" s="33"/>
      <c r="AD4597" s="33"/>
      <c r="AE4597" s="33"/>
      <c r="AF4597" s="33"/>
      <c r="AG4597" s="33"/>
      <c r="AH4597" s="33"/>
      <c r="AI4597" s="33"/>
      <c r="AJ4597" s="33"/>
      <c r="AK4597" s="33"/>
    </row>
    <row r="4598">
      <c r="A4598" s="33"/>
      <c r="B4598" s="33"/>
      <c r="C4598" s="33"/>
      <c r="D4598" s="33"/>
      <c r="E4598" s="33"/>
      <c r="F4598" s="33"/>
      <c r="G4598" s="33"/>
      <c r="H4598" s="33"/>
      <c r="I4598" s="33"/>
      <c r="J4598" s="33"/>
      <c r="K4598" s="33"/>
      <c r="L4598" s="33"/>
      <c r="M4598" s="33"/>
      <c r="N4598" s="33"/>
      <c r="O4598" s="33"/>
      <c r="P4598" s="33"/>
      <c r="Q4598" s="33"/>
      <c r="R4598" s="33"/>
      <c r="S4598" s="33"/>
      <c r="T4598" s="33"/>
      <c r="U4598" s="33"/>
      <c r="V4598" s="33"/>
      <c r="W4598" s="33"/>
      <c r="X4598" s="33"/>
      <c r="Y4598" s="33"/>
      <c r="Z4598" s="33"/>
      <c r="AA4598" s="33"/>
      <c r="AB4598" s="33"/>
      <c r="AC4598" s="33"/>
      <c r="AD4598" s="33"/>
      <c r="AE4598" s="33"/>
      <c r="AF4598" s="33"/>
      <c r="AG4598" s="33"/>
      <c r="AH4598" s="33"/>
      <c r="AI4598" s="33"/>
      <c r="AJ4598" s="33"/>
      <c r="AK4598" s="33"/>
    </row>
    <row r="4599">
      <c r="A4599" s="33"/>
      <c r="B4599" s="33"/>
      <c r="C4599" s="33"/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  <c r="Q4599" s="33"/>
      <c r="R4599" s="33"/>
      <c r="S4599" s="33"/>
      <c r="T4599" s="33"/>
      <c r="U4599" s="33"/>
      <c r="V4599" s="33"/>
      <c r="W4599" s="33"/>
      <c r="X4599" s="33"/>
      <c r="Y4599" s="33"/>
      <c r="Z4599" s="33"/>
      <c r="AA4599" s="33"/>
      <c r="AB4599" s="33"/>
      <c r="AC4599" s="33"/>
      <c r="AD4599" s="33"/>
      <c r="AE4599" s="33"/>
      <c r="AF4599" s="33"/>
      <c r="AG4599" s="33"/>
      <c r="AH4599" s="33"/>
      <c r="AI4599" s="33"/>
      <c r="AJ4599" s="33"/>
      <c r="AK4599" s="33"/>
    </row>
    <row r="4600">
      <c r="A4600" s="33"/>
      <c r="B4600" s="33"/>
      <c r="C4600" s="33"/>
      <c r="D4600" s="33"/>
      <c r="E4600" s="33"/>
      <c r="F4600" s="33"/>
      <c r="G4600" s="33"/>
      <c r="H4600" s="33"/>
      <c r="I4600" s="33"/>
      <c r="J4600" s="33"/>
      <c r="K4600" s="33"/>
      <c r="L4600" s="33"/>
      <c r="M4600" s="33"/>
      <c r="N4600" s="33"/>
      <c r="O4600" s="33"/>
      <c r="P4600" s="33"/>
      <c r="Q4600" s="33"/>
      <c r="R4600" s="33"/>
      <c r="S4600" s="33"/>
      <c r="T4600" s="33"/>
      <c r="U4600" s="33"/>
      <c r="V4600" s="33"/>
      <c r="W4600" s="33"/>
      <c r="X4600" s="33"/>
      <c r="Y4600" s="33"/>
      <c r="Z4600" s="33"/>
      <c r="AA4600" s="33"/>
      <c r="AB4600" s="33"/>
      <c r="AC4600" s="33"/>
      <c r="AD4600" s="33"/>
      <c r="AE4600" s="33"/>
      <c r="AF4600" s="33"/>
      <c r="AG4600" s="33"/>
      <c r="AH4600" s="33"/>
      <c r="AI4600" s="33"/>
      <c r="AJ4600" s="33"/>
      <c r="AK4600" s="33"/>
    </row>
    <row r="4601">
      <c r="A4601" s="33"/>
      <c r="B4601" s="33"/>
      <c r="C4601" s="33"/>
      <c r="D4601" s="33"/>
      <c r="E4601" s="33"/>
      <c r="F4601" s="33"/>
      <c r="G4601" s="33"/>
      <c r="H4601" s="33"/>
      <c r="I4601" s="33"/>
      <c r="J4601" s="33"/>
      <c r="K4601" s="33"/>
      <c r="L4601" s="33"/>
      <c r="M4601" s="33"/>
      <c r="N4601" s="33"/>
      <c r="O4601" s="33"/>
      <c r="P4601" s="33"/>
      <c r="Q4601" s="33"/>
      <c r="R4601" s="33"/>
      <c r="S4601" s="33"/>
      <c r="T4601" s="33"/>
      <c r="U4601" s="33"/>
      <c r="V4601" s="33"/>
      <c r="W4601" s="33"/>
      <c r="X4601" s="33"/>
      <c r="Y4601" s="33"/>
      <c r="Z4601" s="33"/>
      <c r="AA4601" s="33"/>
      <c r="AB4601" s="33"/>
      <c r="AC4601" s="33"/>
      <c r="AD4601" s="33"/>
      <c r="AE4601" s="33"/>
      <c r="AF4601" s="33"/>
      <c r="AG4601" s="33"/>
      <c r="AH4601" s="33"/>
      <c r="AI4601" s="33"/>
      <c r="AJ4601" s="33"/>
      <c r="AK4601" s="33"/>
    </row>
    <row r="4602">
      <c r="A4602" s="33"/>
      <c r="B4602" s="33"/>
      <c r="C4602" s="33"/>
      <c r="D4602" s="33"/>
      <c r="E4602" s="33"/>
      <c r="F4602" s="33"/>
      <c r="G4602" s="33"/>
      <c r="H4602" s="33"/>
      <c r="I4602" s="33"/>
      <c r="J4602" s="33"/>
      <c r="K4602" s="33"/>
      <c r="L4602" s="33"/>
      <c r="M4602" s="33"/>
      <c r="N4602" s="33"/>
      <c r="O4602" s="33"/>
      <c r="P4602" s="33"/>
      <c r="Q4602" s="33"/>
      <c r="R4602" s="33"/>
      <c r="S4602" s="33"/>
      <c r="T4602" s="33"/>
      <c r="U4602" s="33"/>
      <c r="V4602" s="33"/>
      <c r="W4602" s="33"/>
      <c r="X4602" s="33"/>
      <c r="Y4602" s="33"/>
      <c r="Z4602" s="33"/>
      <c r="AA4602" s="33"/>
      <c r="AB4602" s="33"/>
      <c r="AC4602" s="33"/>
      <c r="AD4602" s="33"/>
      <c r="AE4602" s="33"/>
      <c r="AF4602" s="33"/>
      <c r="AG4602" s="33"/>
      <c r="AH4602" s="33"/>
      <c r="AI4602" s="33"/>
      <c r="AJ4602" s="33"/>
      <c r="AK4602" s="33"/>
    </row>
    <row r="4603">
      <c r="A4603" s="33"/>
      <c r="B4603" s="33"/>
      <c r="C4603" s="33"/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  <c r="Q4603" s="33"/>
      <c r="R4603" s="33"/>
      <c r="S4603" s="33"/>
      <c r="T4603" s="33"/>
      <c r="U4603" s="33"/>
      <c r="V4603" s="33"/>
      <c r="W4603" s="33"/>
      <c r="X4603" s="33"/>
      <c r="Y4603" s="33"/>
      <c r="Z4603" s="33"/>
      <c r="AA4603" s="33"/>
      <c r="AB4603" s="33"/>
      <c r="AC4603" s="33"/>
      <c r="AD4603" s="33"/>
      <c r="AE4603" s="33"/>
      <c r="AF4603" s="33"/>
      <c r="AG4603" s="33"/>
      <c r="AH4603" s="33"/>
      <c r="AI4603" s="33"/>
      <c r="AJ4603" s="33"/>
      <c r="AK4603" s="33"/>
    </row>
    <row r="4604">
      <c r="A4604" s="33"/>
      <c r="B4604" s="33"/>
      <c r="C4604" s="33"/>
      <c r="D4604" s="33"/>
      <c r="E4604" s="33"/>
      <c r="F4604" s="33"/>
      <c r="G4604" s="33"/>
      <c r="H4604" s="33"/>
      <c r="I4604" s="33"/>
      <c r="J4604" s="33"/>
      <c r="K4604" s="33"/>
      <c r="L4604" s="33"/>
      <c r="M4604" s="33"/>
      <c r="N4604" s="33"/>
      <c r="O4604" s="33"/>
      <c r="P4604" s="33"/>
      <c r="Q4604" s="33"/>
      <c r="R4604" s="33"/>
      <c r="S4604" s="33"/>
      <c r="T4604" s="33"/>
      <c r="U4604" s="33"/>
      <c r="V4604" s="33"/>
      <c r="W4604" s="33"/>
      <c r="X4604" s="33"/>
      <c r="Y4604" s="33"/>
      <c r="Z4604" s="33"/>
      <c r="AA4604" s="33"/>
      <c r="AB4604" s="33"/>
      <c r="AC4604" s="33"/>
      <c r="AD4604" s="33"/>
      <c r="AE4604" s="33"/>
      <c r="AF4604" s="33"/>
      <c r="AG4604" s="33"/>
      <c r="AH4604" s="33"/>
      <c r="AI4604" s="33"/>
      <c r="AJ4604" s="33"/>
      <c r="AK4604" s="33"/>
    </row>
    <row r="4605">
      <c r="A4605" s="33"/>
      <c r="B4605" s="33"/>
      <c r="C4605" s="33"/>
      <c r="D4605" s="33"/>
      <c r="E4605" s="33"/>
      <c r="F4605" s="33"/>
      <c r="G4605" s="33"/>
      <c r="H4605" s="33"/>
      <c r="I4605" s="33"/>
      <c r="J4605" s="33"/>
      <c r="K4605" s="33"/>
      <c r="L4605" s="33"/>
      <c r="M4605" s="33"/>
      <c r="N4605" s="33"/>
      <c r="O4605" s="33"/>
      <c r="P4605" s="33"/>
      <c r="Q4605" s="33"/>
      <c r="R4605" s="33"/>
      <c r="S4605" s="33"/>
      <c r="T4605" s="33"/>
      <c r="U4605" s="33"/>
      <c r="V4605" s="33"/>
      <c r="W4605" s="33"/>
      <c r="X4605" s="33"/>
      <c r="Y4605" s="33"/>
      <c r="Z4605" s="33"/>
      <c r="AA4605" s="33"/>
      <c r="AB4605" s="33"/>
      <c r="AC4605" s="33"/>
      <c r="AD4605" s="33"/>
      <c r="AE4605" s="33"/>
      <c r="AF4605" s="33"/>
      <c r="AG4605" s="33"/>
      <c r="AH4605" s="33"/>
      <c r="AI4605" s="33"/>
      <c r="AJ4605" s="33"/>
      <c r="AK4605" s="33"/>
    </row>
    <row r="4606">
      <c r="A4606" s="33"/>
      <c r="B4606" s="33"/>
      <c r="C4606" s="33"/>
      <c r="D4606" s="33"/>
      <c r="E4606" s="33"/>
      <c r="F4606" s="33"/>
      <c r="G4606" s="33"/>
      <c r="H4606" s="33"/>
      <c r="I4606" s="33"/>
      <c r="J4606" s="33"/>
      <c r="K4606" s="33"/>
      <c r="L4606" s="33"/>
      <c r="M4606" s="33"/>
      <c r="N4606" s="33"/>
      <c r="O4606" s="33"/>
      <c r="P4606" s="33"/>
      <c r="Q4606" s="33"/>
      <c r="R4606" s="33"/>
      <c r="S4606" s="33"/>
      <c r="T4606" s="33"/>
      <c r="U4606" s="33"/>
      <c r="V4606" s="33"/>
      <c r="W4606" s="33"/>
      <c r="X4606" s="33"/>
      <c r="Y4606" s="33"/>
      <c r="Z4606" s="33"/>
      <c r="AA4606" s="33"/>
      <c r="AB4606" s="33"/>
      <c r="AC4606" s="33"/>
      <c r="AD4606" s="33"/>
      <c r="AE4606" s="33"/>
      <c r="AF4606" s="33"/>
      <c r="AG4606" s="33"/>
      <c r="AH4606" s="33"/>
      <c r="AI4606" s="33"/>
      <c r="AJ4606" s="33"/>
      <c r="AK4606" s="33"/>
    </row>
    <row r="4607">
      <c r="A4607" s="33"/>
      <c r="B4607" s="33"/>
      <c r="C4607" s="33"/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  <c r="Q4607" s="33"/>
      <c r="R4607" s="33"/>
      <c r="S4607" s="33"/>
      <c r="T4607" s="33"/>
      <c r="U4607" s="33"/>
      <c r="V4607" s="33"/>
      <c r="W4607" s="33"/>
      <c r="X4607" s="33"/>
      <c r="Y4607" s="33"/>
      <c r="Z4607" s="33"/>
      <c r="AA4607" s="33"/>
      <c r="AB4607" s="33"/>
      <c r="AC4607" s="33"/>
      <c r="AD4607" s="33"/>
      <c r="AE4607" s="33"/>
      <c r="AF4607" s="33"/>
      <c r="AG4607" s="33"/>
      <c r="AH4607" s="33"/>
      <c r="AI4607" s="33"/>
      <c r="AJ4607" s="33"/>
      <c r="AK4607" s="33"/>
    </row>
    <row r="4608">
      <c r="A4608" s="33"/>
      <c r="B4608" s="33"/>
      <c r="C4608" s="33"/>
      <c r="D4608" s="33"/>
      <c r="E4608" s="33"/>
      <c r="F4608" s="33"/>
      <c r="G4608" s="33"/>
      <c r="H4608" s="33"/>
      <c r="I4608" s="33"/>
      <c r="J4608" s="33"/>
      <c r="K4608" s="33"/>
      <c r="L4608" s="33"/>
      <c r="M4608" s="33"/>
      <c r="N4608" s="33"/>
      <c r="O4608" s="33"/>
      <c r="P4608" s="33"/>
      <c r="Q4608" s="33"/>
      <c r="R4608" s="33"/>
      <c r="S4608" s="33"/>
      <c r="T4608" s="33"/>
      <c r="U4608" s="33"/>
      <c r="V4608" s="33"/>
      <c r="W4608" s="33"/>
      <c r="X4608" s="33"/>
      <c r="Y4608" s="33"/>
      <c r="Z4608" s="33"/>
      <c r="AA4608" s="33"/>
      <c r="AB4608" s="33"/>
      <c r="AC4608" s="33"/>
      <c r="AD4608" s="33"/>
      <c r="AE4608" s="33"/>
      <c r="AF4608" s="33"/>
      <c r="AG4608" s="33"/>
      <c r="AH4608" s="33"/>
      <c r="AI4608" s="33"/>
      <c r="AJ4608" s="33"/>
      <c r="AK4608" s="33"/>
    </row>
    <row r="4609">
      <c r="A4609" s="33"/>
      <c r="B4609" s="33"/>
      <c r="C4609" s="33"/>
      <c r="D4609" s="33"/>
      <c r="E4609" s="33"/>
      <c r="F4609" s="33"/>
      <c r="G4609" s="33"/>
      <c r="H4609" s="33"/>
      <c r="I4609" s="33"/>
      <c r="J4609" s="33"/>
      <c r="K4609" s="33"/>
      <c r="L4609" s="33"/>
      <c r="M4609" s="33"/>
      <c r="N4609" s="33"/>
      <c r="O4609" s="33"/>
      <c r="P4609" s="33"/>
      <c r="Q4609" s="33"/>
      <c r="R4609" s="33"/>
      <c r="S4609" s="33"/>
      <c r="T4609" s="33"/>
      <c r="U4609" s="33"/>
      <c r="V4609" s="33"/>
      <c r="W4609" s="33"/>
      <c r="X4609" s="33"/>
      <c r="Y4609" s="33"/>
      <c r="Z4609" s="33"/>
      <c r="AA4609" s="33"/>
      <c r="AB4609" s="33"/>
      <c r="AC4609" s="33"/>
      <c r="AD4609" s="33"/>
      <c r="AE4609" s="33"/>
      <c r="AF4609" s="33"/>
      <c r="AG4609" s="33"/>
      <c r="AH4609" s="33"/>
      <c r="AI4609" s="33"/>
      <c r="AJ4609" s="33"/>
      <c r="AK4609" s="33"/>
    </row>
    <row r="4610">
      <c r="A4610" s="33"/>
      <c r="B4610" s="33"/>
      <c r="C4610" s="33"/>
      <c r="D4610" s="33"/>
      <c r="E4610" s="33"/>
      <c r="F4610" s="33"/>
      <c r="G4610" s="33"/>
      <c r="H4610" s="33"/>
      <c r="I4610" s="33"/>
      <c r="J4610" s="33"/>
      <c r="K4610" s="33"/>
      <c r="L4610" s="33"/>
      <c r="M4610" s="33"/>
      <c r="N4610" s="33"/>
      <c r="O4610" s="33"/>
      <c r="P4610" s="33"/>
      <c r="Q4610" s="33"/>
      <c r="R4610" s="33"/>
      <c r="S4610" s="33"/>
      <c r="T4610" s="33"/>
      <c r="U4610" s="33"/>
      <c r="V4610" s="33"/>
      <c r="W4610" s="33"/>
      <c r="X4610" s="33"/>
      <c r="Y4610" s="33"/>
      <c r="Z4610" s="33"/>
      <c r="AA4610" s="33"/>
      <c r="AB4610" s="33"/>
      <c r="AC4610" s="33"/>
      <c r="AD4610" s="33"/>
      <c r="AE4610" s="33"/>
      <c r="AF4610" s="33"/>
      <c r="AG4610" s="33"/>
      <c r="AH4610" s="33"/>
      <c r="AI4610" s="33"/>
      <c r="AJ4610" s="33"/>
      <c r="AK4610" s="33"/>
    </row>
    <row r="4611">
      <c r="A4611" s="33"/>
      <c r="B4611" s="33"/>
      <c r="C4611" s="33"/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3"/>
      <c r="S4611" s="33"/>
      <c r="T4611" s="33"/>
      <c r="U4611" s="33"/>
      <c r="V4611" s="33"/>
      <c r="W4611" s="33"/>
      <c r="X4611" s="33"/>
      <c r="Y4611" s="33"/>
      <c r="Z4611" s="33"/>
      <c r="AA4611" s="33"/>
      <c r="AB4611" s="33"/>
      <c r="AC4611" s="33"/>
      <c r="AD4611" s="33"/>
      <c r="AE4611" s="33"/>
      <c r="AF4611" s="33"/>
      <c r="AG4611" s="33"/>
      <c r="AH4611" s="33"/>
      <c r="AI4611" s="33"/>
      <c r="AJ4611" s="33"/>
      <c r="AK4611" s="33"/>
    </row>
    <row r="4612">
      <c r="A4612" s="33"/>
      <c r="B4612" s="33"/>
      <c r="C4612" s="33"/>
      <c r="D4612" s="33"/>
      <c r="E4612" s="33"/>
      <c r="F4612" s="33"/>
      <c r="G4612" s="33"/>
      <c r="H4612" s="33"/>
      <c r="I4612" s="33"/>
      <c r="J4612" s="33"/>
      <c r="K4612" s="33"/>
      <c r="L4612" s="33"/>
      <c r="M4612" s="33"/>
      <c r="N4612" s="33"/>
      <c r="O4612" s="33"/>
      <c r="P4612" s="33"/>
      <c r="Q4612" s="33"/>
      <c r="R4612" s="33"/>
      <c r="S4612" s="33"/>
      <c r="T4612" s="33"/>
      <c r="U4612" s="33"/>
      <c r="V4612" s="33"/>
      <c r="W4612" s="33"/>
      <c r="X4612" s="33"/>
      <c r="Y4612" s="33"/>
      <c r="Z4612" s="33"/>
      <c r="AA4612" s="33"/>
      <c r="AB4612" s="33"/>
      <c r="AC4612" s="33"/>
      <c r="AD4612" s="33"/>
      <c r="AE4612" s="33"/>
      <c r="AF4612" s="33"/>
      <c r="AG4612" s="33"/>
      <c r="AH4612" s="33"/>
      <c r="AI4612" s="33"/>
      <c r="AJ4612" s="33"/>
      <c r="AK4612" s="33"/>
    </row>
    <row r="4613">
      <c r="A4613" s="33"/>
      <c r="B4613" s="33"/>
      <c r="C4613" s="33"/>
      <c r="D4613" s="33"/>
      <c r="E4613" s="33"/>
      <c r="F4613" s="33"/>
      <c r="G4613" s="33"/>
      <c r="H4613" s="33"/>
      <c r="I4613" s="33"/>
      <c r="J4613" s="33"/>
      <c r="K4613" s="33"/>
      <c r="L4613" s="33"/>
      <c r="M4613" s="33"/>
      <c r="N4613" s="33"/>
      <c r="O4613" s="33"/>
      <c r="P4613" s="33"/>
      <c r="Q4613" s="33"/>
      <c r="R4613" s="33"/>
      <c r="S4613" s="33"/>
      <c r="T4613" s="33"/>
      <c r="U4613" s="33"/>
      <c r="V4613" s="33"/>
      <c r="W4613" s="33"/>
      <c r="X4613" s="33"/>
      <c r="Y4613" s="33"/>
      <c r="Z4613" s="33"/>
      <c r="AA4613" s="33"/>
      <c r="AB4613" s="33"/>
      <c r="AC4613" s="33"/>
      <c r="AD4613" s="33"/>
      <c r="AE4613" s="33"/>
      <c r="AF4613" s="33"/>
      <c r="AG4613" s="33"/>
      <c r="AH4613" s="33"/>
      <c r="AI4613" s="33"/>
      <c r="AJ4613" s="33"/>
      <c r="AK4613" s="33"/>
    </row>
    <row r="4614">
      <c r="A4614" s="33"/>
      <c r="B4614" s="33"/>
      <c r="C4614" s="33"/>
      <c r="D4614" s="33"/>
      <c r="E4614" s="33"/>
      <c r="F4614" s="33"/>
      <c r="G4614" s="33"/>
      <c r="H4614" s="33"/>
      <c r="I4614" s="33"/>
      <c r="J4614" s="33"/>
      <c r="K4614" s="33"/>
      <c r="L4614" s="33"/>
      <c r="M4614" s="33"/>
      <c r="N4614" s="33"/>
      <c r="O4614" s="33"/>
      <c r="P4614" s="33"/>
      <c r="Q4614" s="33"/>
      <c r="R4614" s="33"/>
      <c r="S4614" s="33"/>
      <c r="T4614" s="33"/>
      <c r="U4614" s="33"/>
      <c r="V4614" s="33"/>
      <c r="W4614" s="33"/>
      <c r="X4614" s="33"/>
      <c r="Y4614" s="33"/>
      <c r="Z4614" s="33"/>
      <c r="AA4614" s="33"/>
      <c r="AB4614" s="33"/>
      <c r="AC4614" s="33"/>
      <c r="AD4614" s="33"/>
      <c r="AE4614" s="33"/>
      <c r="AF4614" s="33"/>
      <c r="AG4614" s="33"/>
      <c r="AH4614" s="33"/>
      <c r="AI4614" s="33"/>
      <c r="AJ4614" s="33"/>
      <c r="AK4614" s="33"/>
    </row>
    <row r="4615">
      <c r="A4615" s="33"/>
      <c r="B4615" s="33"/>
      <c r="C4615" s="33"/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  <c r="Q4615" s="33"/>
      <c r="R4615" s="33"/>
      <c r="S4615" s="33"/>
      <c r="T4615" s="33"/>
      <c r="U4615" s="33"/>
      <c r="V4615" s="33"/>
      <c r="W4615" s="33"/>
      <c r="X4615" s="33"/>
      <c r="Y4615" s="33"/>
      <c r="Z4615" s="33"/>
      <c r="AA4615" s="33"/>
      <c r="AB4615" s="33"/>
      <c r="AC4615" s="33"/>
      <c r="AD4615" s="33"/>
      <c r="AE4615" s="33"/>
      <c r="AF4615" s="33"/>
      <c r="AG4615" s="33"/>
      <c r="AH4615" s="33"/>
      <c r="AI4615" s="33"/>
      <c r="AJ4615" s="33"/>
      <c r="AK4615" s="33"/>
    </row>
    <row r="4616">
      <c r="A4616" s="33"/>
      <c r="B4616" s="33"/>
      <c r="C4616" s="33"/>
      <c r="D4616" s="33"/>
      <c r="E4616" s="33"/>
      <c r="F4616" s="33"/>
      <c r="G4616" s="33"/>
      <c r="H4616" s="33"/>
      <c r="I4616" s="33"/>
      <c r="J4616" s="33"/>
      <c r="K4616" s="33"/>
      <c r="L4616" s="33"/>
      <c r="M4616" s="33"/>
      <c r="N4616" s="33"/>
      <c r="O4616" s="33"/>
      <c r="P4616" s="33"/>
      <c r="Q4616" s="33"/>
      <c r="R4616" s="33"/>
      <c r="S4616" s="33"/>
      <c r="T4616" s="33"/>
      <c r="U4616" s="33"/>
      <c r="V4616" s="33"/>
      <c r="W4616" s="33"/>
      <c r="X4616" s="33"/>
      <c r="Y4616" s="33"/>
      <c r="Z4616" s="33"/>
      <c r="AA4616" s="33"/>
      <c r="AB4616" s="33"/>
      <c r="AC4616" s="33"/>
      <c r="AD4616" s="33"/>
      <c r="AE4616" s="33"/>
      <c r="AF4616" s="33"/>
      <c r="AG4616" s="33"/>
      <c r="AH4616" s="33"/>
      <c r="AI4616" s="33"/>
      <c r="AJ4616" s="33"/>
      <c r="AK4616" s="33"/>
    </row>
    <row r="4617">
      <c r="A4617" s="33"/>
      <c r="B4617" s="33"/>
      <c r="C4617" s="33"/>
      <c r="D4617" s="33"/>
      <c r="E4617" s="33"/>
      <c r="F4617" s="33"/>
      <c r="G4617" s="33"/>
      <c r="H4617" s="33"/>
      <c r="I4617" s="33"/>
      <c r="J4617" s="33"/>
      <c r="K4617" s="33"/>
      <c r="L4617" s="33"/>
      <c r="M4617" s="33"/>
      <c r="N4617" s="33"/>
      <c r="O4617" s="33"/>
      <c r="P4617" s="33"/>
      <c r="Q4617" s="33"/>
      <c r="R4617" s="33"/>
      <c r="S4617" s="33"/>
      <c r="T4617" s="33"/>
      <c r="U4617" s="33"/>
      <c r="V4617" s="33"/>
      <c r="W4617" s="33"/>
      <c r="X4617" s="33"/>
      <c r="Y4617" s="33"/>
      <c r="Z4617" s="33"/>
      <c r="AA4617" s="33"/>
      <c r="AB4617" s="33"/>
      <c r="AC4617" s="33"/>
      <c r="AD4617" s="33"/>
      <c r="AE4617" s="33"/>
      <c r="AF4617" s="33"/>
      <c r="AG4617" s="33"/>
      <c r="AH4617" s="33"/>
      <c r="AI4617" s="33"/>
      <c r="AJ4617" s="33"/>
      <c r="AK4617" s="33"/>
    </row>
    <row r="4618">
      <c r="A4618" s="33"/>
      <c r="B4618" s="33"/>
      <c r="C4618" s="33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33"/>
      <c r="Q4618" s="33"/>
      <c r="R4618" s="33"/>
      <c r="S4618" s="33"/>
      <c r="T4618" s="33"/>
      <c r="U4618" s="33"/>
      <c r="V4618" s="33"/>
      <c r="W4618" s="33"/>
      <c r="X4618" s="33"/>
      <c r="Y4618" s="33"/>
      <c r="Z4618" s="33"/>
      <c r="AA4618" s="33"/>
      <c r="AB4618" s="33"/>
      <c r="AC4618" s="33"/>
      <c r="AD4618" s="33"/>
      <c r="AE4618" s="33"/>
      <c r="AF4618" s="33"/>
      <c r="AG4618" s="33"/>
      <c r="AH4618" s="33"/>
      <c r="AI4618" s="33"/>
      <c r="AJ4618" s="33"/>
      <c r="AK4618" s="33"/>
    </row>
    <row r="4619">
      <c r="A4619" s="33"/>
      <c r="B4619" s="33"/>
      <c r="C4619" s="33"/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  <c r="R4619" s="33"/>
      <c r="S4619" s="33"/>
      <c r="T4619" s="33"/>
      <c r="U4619" s="33"/>
      <c r="V4619" s="33"/>
      <c r="W4619" s="33"/>
      <c r="X4619" s="33"/>
      <c r="Y4619" s="33"/>
      <c r="Z4619" s="33"/>
      <c r="AA4619" s="33"/>
      <c r="AB4619" s="33"/>
      <c r="AC4619" s="33"/>
      <c r="AD4619" s="33"/>
      <c r="AE4619" s="33"/>
      <c r="AF4619" s="33"/>
      <c r="AG4619" s="33"/>
      <c r="AH4619" s="33"/>
      <c r="AI4619" s="33"/>
      <c r="AJ4619" s="33"/>
      <c r="AK4619" s="33"/>
    </row>
    <row r="4620">
      <c r="A4620" s="33"/>
      <c r="B4620" s="33"/>
      <c r="C4620" s="33"/>
      <c r="D4620" s="33"/>
      <c r="E4620" s="33"/>
      <c r="F4620" s="33"/>
      <c r="G4620" s="33"/>
      <c r="H4620" s="33"/>
      <c r="I4620" s="33"/>
      <c r="J4620" s="33"/>
      <c r="K4620" s="33"/>
      <c r="L4620" s="33"/>
      <c r="M4620" s="33"/>
      <c r="N4620" s="33"/>
      <c r="O4620" s="33"/>
      <c r="P4620" s="33"/>
      <c r="Q4620" s="33"/>
      <c r="R4620" s="33"/>
      <c r="S4620" s="33"/>
      <c r="T4620" s="33"/>
      <c r="U4620" s="33"/>
      <c r="V4620" s="33"/>
      <c r="W4620" s="33"/>
      <c r="X4620" s="33"/>
      <c r="Y4620" s="33"/>
      <c r="Z4620" s="33"/>
      <c r="AA4620" s="33"/>
      <c r="AB4620" s="33"/>
      <c r="AC4620" s="33"/>
      <c r="AD4620" s="33"/>
      <c r="AE4620" s="33"/>
      <c r="AF4620" s="33"/>
      <c r="AG4620" s="33"/>
      <c r="AH4620" s="33"/>
      <c r="AI4620" s="33"/>
      <c r="AJ4620" s="33"/>
      <c r="AK4620" s="33"/>
    </row>
    <row r="4621">
      <c r="A4621" s="33"/>
      <c r="B4621" s="33"/>
      <c r="C4621" s="33"/>
      <c r="D4621" s="33"/>
      <c r="E4621" s="33"/>
      <c r="F4621" s="33"/>
      <c r="G4621" s="33"/>
      <c r="H4621" s="33"/>
      <c r="I4621" s="33"/>
      <c r="J4621" s="33"/>
      <c r="K4621" s="33"/>
      <c r="L4621" s="33"/>
      <c r="M4621" s="33"/>
      <c r="N4621" s="33"/>
      <c r="O4621" s="33"/>
      <c r="P4621" s="33"/>
      <c r="Q4621" s="33"/>
      <c r="R4621" s="33"/>
      <c r="S4621" s="33"/>
      <c r="T4621" s="33"/>
      <c r="U4621" s="33"/>
      <c r="V4621" s="33"/>
      <c r="W4621" s="33"/>
      <c r="X4621" s="33"/>
      <c r="Y4621" s="33"/>
      <c r="Z4621" s="33"/>
      <c r="AA4621" s="33"/>
      <c r="AB4621" s="33"/>
      <c r="AC4621" s="33"/>
      <c r="AD4621" s="33"/>
      <c r="AE4621" s="33"/>
      <c r="AF4621" s="33"/>
      <c r="AG4621" s="33"/>
      <c r="AH4621" s="33"/>
      <c r="AI4621" s="33"/>
      <c r="AJ4621" s="33"/>
      <c r="AK4621" s="33"/>
    </row>
    <row r="4622">
      <c r="A4622" s="33"/>
      <c r="B4622" s="33"/>
      <c r="C4622" s="33"/>
      <c r="D4622" s="33"/>
      <c r="E4622" s="33"/>
      <c r="F4622" s="33"/>
      <c r="G4622" s="33"/>
      <c r="H4622" s="33"/>
      <c r="I4622" s="33"/>
      <c r="J4622" s="33"/>
      <c r="K4622" s="33"/>
      <c r="L4622" s="33"/>
      <c r="M4622" s="33"/>
      <c r="N4622" s="33"/>
      <c r="O4622" s="33"/>
      <c r="P4622" s="33"/>
      <c r="Q4622" s="33"/>
      <c r="R4622" s="33"/>
      <c r="S4622" s="33"/>
      <c r="T4622" s="33"/>
      <c r="U4622" s="33"/>
      <c r="V4622" s="33"/>
      <c r="W4622" s="33"/>
      <c r="X4622" s="33"/>
      <c r="Y4622" s="33"/>
      <c r="Z4622" s="33"/>
      <c r="AA4622" s="33"/>
      <c r="AB4622" s="33"/>
      <c r="AC4622" s="33"/>
      <c r="AD4622" s="33"/>
      <c r="AE4622" s="33"/>
      <c r="AF4622" s="33"/>
      <c r="AG4622" s="33"/>
      <c r="AH4622" s="33"/>
      <c r="AI4622" s="33"/>
      <c r="AJ4622" s="33"/>
      <c r="AK4622" s="33"/>
    </row>
    <row r="4623">
      <c r="A4623" s="33"/>
      <c r="B4623" s="33"/>
      <c r="C4623" s="33"/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  <c r="Q4623" s="33"/>
      <c r="R4623" s="33"/>
      <c r="S4623" s="33"/>
      <c r="T4623" s="33"/>
      <c r="U4623" s="33"/>
      <c r="V4623" s="33"/>
      <c r="W4623" s="33"/>
      <c r="X4623" s="33"/>
      <c r="Y4623" s="33"/>
      <c r="Z4623" s="33"/>
      <c r="AA4623" s="33"/>
      <c r="AB4623" s="33"/>
      <c r="AC4623" s="33"/>
      <c r="AD4623" s="33"/>
      <c r="AE4623" s="33"/>
      <c r="AF4623" s="33"/>
      <c r="AG4623" s="33"/>
      <c r="AH4623" s="33"/>
      <c r="AI4623" s="33"/>
      <c r="AJ4623" s="33"/>
      <c r="AK4623" s="33"/>
    </row>
    <row r="4624">
      <c r="A4624" s="33"/>
      <c r="B4624" s="33"/>
      <c r="C4624" s="33"/>
      <c r="D4624" s="33"/>
      <c r="E4624" s="33"/>
      <c r="F4624" s="33"/>
      <c r="G4624" s="33"/>
      <c r="H4624" s="33"/>
      <c r="I4624" s="33"/>
      <c r="J4624" s="33"/>
      <c r="K4624" s="33"/>
      <c r="L4624" s="33"/>
      <c r="M4624" s="33"/>
      <c r="N4624" s="33"/>
      <c r="O4624" s="33"/>
      <c r="P4624" s="33"/>
      <c r="Q4624" s="33"/>
      <c r="R4624" s="33"/>
      <c r="S4624" s="33"/>
      <c r="T4624" s="33"/>
      <c r="U4624" s="33"/>
      <c r="V4624" s="33"/>
      <c r="W4624" s="33"/>
      <c r="X4624" s="33"/>
      <c r="Y4624" s="33"/>
      <c r="Z4624" s="33"/>
      <c r="AA4624" s="33"/>
      <c r="AB4624" s="33"/>
      <c r="AC4624" s="33"/>
      <c r="AD4624" s="33"/>
      <c r="AE4624" s="33"/>
      <c r="AF4624" s="33"/>
      <c r="AG4624" s="33"/>
      <c r="AH4624" s="33"/>
      <c r="AI4624" s="33"/>
      <c r="AJ4624" s="33"/>
      <c r="AK4624" s="33"/>
    </row>
    <row r="4625">
      <c r="A4625" s="33"/>
      <c r="B4625" s="33"/>
      <c r="C4625" s="33"/>
      <c r="D4625" s="33"/>
      <c r="E4625" s="33"/>
      <c r="F4625" s="33"/>
      <c r="G4625" s="33"/>
      <c r="H4625" s="33"/>
      <c r="I4625" s="33"/>
      <c r="J4625" s="33"/>
      <c r="K4625" s="33"/>
      <c r="L4625" s="33"/>
      <c r="M4625" s="33"/>
      <c r="N4625" s="33"/>
      <c r="O4625" s="33"/>
      <c r="P4625" s="33"/>
      <c r="Q4625" s="33"/>
      <c r="R4625" s="33"/>
      <c r="S4625" s="33"/>
      <c r="T4625" s="33"/>
      <c r="U4625" s="33"/>
      <c r="V4625" s="33"/>
      <c r="W4625" s="33"/>
      <c r="X4625" s="33"/>
      <c r="Y4625" s="33"/>
      <c r="Z4625" s="33"/>
      <c r="AA4625" s="33"/>
      <c r="AB4625" s="33"/>
      <c r="AC4625" s="33"/>
      <c r="AD4625" s="33"/>
      <c r="AE4625" s="33"/>
      <c r="AF4625" s="33"/>
      <c r="AG4625" s="33"/>
      <c r="AH4625" s="33"/>
      <c r="AI4625" s="33"/>
      <c r="AJ4625" s="33"/>
      <c r="AK4625" s="33"/>
    </row>
    <row r="4626">
      <c r="A4626" s="33"/>
      <c r="B4626" s="33"/>
      <c r="C4626" s="33"/>
      <c r="D4626" s="33"/>
      <c r="E4626" s="33"/>
      <c r="F4626" s="33"/>
      <c r="G4626" s="33"/>
      <c r="H4626" s="33"/>
      <c r="I4626" s="33"/>
      <c r="J4626" s="33"/>
      <c r="K4626" s="33"/>
      <c r="L4626" s="33"/>
      <c r="M4626" s="33"/>
      <c r="N4626" s="33"/>
      <c r="O4626" s="33"/>
      <c r="P4626" s="33"/>
      <c r="Q4626" s="33"/>
      <c r="R4626" s="33"/>
      <c r="S4626" s="33"/>
      <c r="T4626" s="33"/>
      <c r="U4626" s="33"/>
      <c r="V4626" s="33"/>
      <c r="W4626" s="33"/>
      <c r="X4626" s="33"/>
      <c r="Y4626" s="33"/>
      <c r="Z4626" s="33"/>
      <c r="AA4626" s="33"/>
      <c r="AB4626" s="33"/>
      <c r="AC4626" s="33"/>
      <c r="AD4626" s="33"/>
      <c r="AE4626" s="33"/>
      <c r="AF4626" s="33"/>
      <c r="AG4626" s="33"/>
      <c r="AH4626" s="33"/>
      <c r="AI4626" s="33"/>
      <c r="AJ4626" s="33"/>
      <c r="AK4626" s="33"/>
    </row>
    <row r="4627">
      <c r="A4627" s="33"/>
      <c r="B4627" s="33"/>
      <c r="C4627" s="33"/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  <c r="Q4627" s="33"/>
      <c r="R4627" s="33"/>
      <c r="S4627" s="33"/>
      <c r="T4627" s="33"/>
      <c r="U4627" s="33"/>
      <c r="V4627" s="33"/>
      <c r="W4627" s="33"/>
      <c r="X4627" s="33"/>
      <c r="Y4627" s="33"/>
      <c r="Z4627" s="33"/>
      <c r="AA4627" s="33"/>
      <c r="AB4627" s="33"/>
      <c r="AC4627" s="33"/>
      <c r="AD4627" s="33"/>
      <c r="AE4627" s="33"/>
      <c r="AF4627" s="33"/>
      <c r="AG4627" s="33"/>
      <c r="AH4627" s="33"/>
      <c r="AI4627" s="33"/>
      <c r="AJ4627" s="33"/>
      <c r="AK4627" s="33"/>
    </row>
    <row r="4628">
      <c r="A4628" s="33"/>
      <c r="B4628" s="33"/>
      <c r="C4628" s="33"/>
      <c r="D4628" s="33"/>
      <c r="E4628" s="33"/>
      <c r="F4628" s="33"/>
      <c r="G4628" s="33"/>
      <c r="H4628" s="33"/>
      <c r="I4628" s="33"/>
      <c r="J4628" s="33"/>
      <c r="K4628" s="33"/>
      <c r="L4628" s="33"/>
      <c r="M4628" s="33"/>
      <c r="N4628" s="33"/>
      <c r="O4628" s="33"/>
      <c r="P4628" s="33"/>
      <c r="Q4628" s="33"/>
      <c r="R4628" s="33"/>
      <c r="S4628" s="33"/>
      <c r="T4628" s="33"/>
      <c r="U4628" s="33"/>
      <c r="V4628" s="33"/>
      <c r="W4628" s="33"/>
      <c r="X4628" s="33"/>
      <c r="Y4628" s="33"/>
      <c r="Z4628" s="33"/>
      <c r="AA4628" s="33"/>
      <c r="AB4628" s="33"/>
      <c r="AC4628" s="33"/>
      <c r="AD4628" s="33"/>
      <c r="AE4628" s="33"/>
      <c r="AF4628" s="33"/>
      <c r="AG4628" s="33"/>
      <c r="AH4628" s="33"/>
      <c r="AI4628" s="33"/>
      <c r="AJ4628" s="33"/>
      <c r="AK4628" s="33"/>
    </row>
    <row r="4629">
      <c r="A4629" s="33"/>
      <c r="B4629" s="33"/>
      <c r="C4629" s="33"/>
      <c r="D4629" s="33"/>
      <c r="E4629" s="33"/>
      <c r="F4629" s="33"/>
      <c r="G4629" s="33"/>
      <c r="H4629" s="33"/>
      <c r="I4629" s="33"/>
      <c r="J4629" s="33"/>
      <c r="K4629" s="33"/>
      <c r="L4629" s="33"/>
      <c r="M4629" s="33"/>
      <c r="N4629" s="33"/>
      <c r="O4629" s="33"/>
      <c r="P4629" s="33"/>
      <c r="Q4629" s="33"/>
      <c r="R4629" s="33"/>
      <c r="S4629" s="33"/>
      <c r="T4629" s="33"/>
      <c r="U4629" s="33"/>
      <c r="V4629" s="33"/>
      <c r="W4629" s="33"/>
      <c r="X4629" s="33"/>
      <c r="Y4629" s="33"/>
      <c r="Z4629" s="33"/>
      <c r="AA4629" s="33"/>
      <c r="AB4629" s="33"/>
      <c r="AC4629" s="33"/>
      <c r="AD4629" s="33"/>
      <c r="AE4629" s="33"/>
      <c r="AF4629" s="33"/>
      <c r="AG4629" s="33"/>
      <c r="AH4629" s="33"/>
      <c r="AI4629" s="33"/>
      <c r="AJ4629" s="33"/>
      <c r="AK4629" s="33"/>
    </row>
    <row r="4630">
      <c r="A4630" s="33"/>
      <c r="B4630" s="33"/>
      <c r="C4630" s="33"/>
      <c r="D4630" s="33"/>
      <c r="E4630" s="33"/>
      <c r="F4630" s="33"/>
      <c r="G4630" s="33"/>
      <c r="H4630" s="33"/>
      <c r="I4630" s="33"/>
      <c r="J4630" s="33"/>
      <c r="K4630" s="33"/>
      <c r="L4630" s="33"/>
      <c r="M4630" s="33"/>
      <c r="N4630" s="33"/>
      <c r="O4630" s="33"/>
      <c r="P4630" s="33"/>
      <c r="Q4630" s="33"/>
      <c r="R4630" s="33"/>
      <c r="S4630" s="33"/>
      <c r="T4630" s="33"/>
      <c r="U4630" s="33"/>
      <c r="V4630" s="33"/>
      <c r="W4630" s="33"/>
      <c r="X4630" s="33"/>
      <c r="Y4630" s="33"/>
      <c r="Z4630" s="33"/>
      <c r="AA4630" s="33"/>
      <c r="AB4630" s="33"/>
      <c r="AC4630" s="33"/>
      <c r="AD4630" s="33"/>
      <c r="AE4630" s="33"/>
      <c r="AF4630" s="33"/>
      <c r="AG4630" s="33"/>
      <c r="AH4630" s="33"/>
      <c r="AI4630" s="33"/>
      <c r="AJ4630" s="33"/>
      <c r="AK4630" s="33"/>
    </row>
    <row r="4631">
      <c r="A4631" s="33"/>
      <c r="B4631" s="33"/>
      <c r="C4631" s="33"/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  <c r="Q4631" s="33"/>
      <c r="R4631" s="33"/>
      <c r="S4631" s="33"/>
      <c r="T4631" s="33"/>
      <c r="U4631" s="33"/>
      <c r="V4631" s="33"/>
      <c r="W4631" s="33"/>
      <c r="X4631" s="33"/>
      <c r="Y4631" s="33"/>
      <c r="Z4631" s="33"/>
      <c r="AA4631" s="33"/>
      <c r="AB4631" s="33"/>
      <c r="AC4631" s="33"/>
      <c r="AD4631" s="33"/>
      <c r="AE4631" s="33"/>
      <c r="AF4631" s="33"/>
      <c r="AG4631" s="33"/>
      <c r="AH4631" s="33"/>
      <c r="AI4631" s="33"/>
      <c r="AJ4631" s="33"/>
      <c r="AK4631" s="33"/>
    </row>
    <row r="4632">
      <c r="A4632" s="33"/>
      <c r="B4632" s="33"/>
      <c r="C4632" s="33"/>
      <c r="D4632" s="33"/>
      <c r="E4632" s="33"/>
      <c r="F4632" s="33"/>
      <c r="G4632" s="33"/>
      <c r="H4632" s="33"/>
      <c r="I4632" s="33"/>
      <c r="J4632" s="33"/>
      <c r="K4632" s="33"/>
      <c r="L4632" s="33"/>
      <c r="M4632" s="33"/>
      <c r="N4632" s="33"/>
      <c r="O4632" s="33"/>
      <c r="P4632" s="33"/>
      <c r="Q4632" s="33"/>
      <c r="R4632" s="33"/>
      <c r="S4632" s="33"/>
      <c r="T4632" s="33"/>
      <c r="U4632" s="33"/>
      <c r="V4632" s="33"/>
      <c r="W4632" s="33"/>
      <c r="X4632" s="33"/>
      <c r="Y4632" s="33"/>
      <c r="Z4632" s="33"/>
      <c r="AA4632" s="33"/>
      <c r="AB4632" s="33"/>
      <c r="AC4632" s="33"/>
      <c r="AD4632" s="33"/>
      <c r="AE4632" s="33"/>
      <c r="AF4632" s="33"/>
      <c r="AG4632" s="33"/>
      <c r="AH4632" s="33"/>
      <c r="AI4632" s="33"/>
      <c r="AJ4632" s="33"/>
      <c r="AK4632" s="33"/>
    </row>
    <row r="4633">
      <c r="A4633" s="33"/>
      <c r="B4633" s="33"/>
      <c r="C4633" s="33"/>
      <c r="D4633" s="33"/>
      <c r="E4633" s="33"/>
      <c r="F4633" s="33"/>
      <c r="G4633" s="33"/>
      <c r="H4633" s="33"/>
      <c r="I4633" s="33"/>
      <c r="J4633" s="33"/>
      <c r="K4633" s="33"/>
      <c r="L4633" s="33"/>
      <c r="M4633" s="33"/>
      <c r="N4633" s="33"/>
      <c r="O4633" s="33"/>
      <c r="P4633" s="33"/>
      <c r="Q4633" s="33"/>
      <c r="R4633" s="33"/>
      <c r="S4633" s="33"/>
      <c r="T4633" s="33"/>
      <c r="U4633" s="33"/>
      <c r="V4633" s="33"/>
      <c r="W4633" s="33"/>
      <c r="X4633" s="33"/>
      <c r="Y4633" s="33"/>
      <c r="Z4633" s="33"/>
      <c r="AA4633" s="33"/>
      <c r="AB4633" s="33"/>
      <c r="AC4633" s="33"/>
      <c r="AD4633" s="33"/>
      <c r="AE4633" s="33"/>
      <c r="AF4633" s="33"/>
      <c r="AG4633" s="33"/>
      <c r="AH4633" s="33"/>
      <c r="AI4633" s="33"/>
      <c r="AJ4633" s="33"/>
      <c r="AK4633" s="33"/>
    </row>
    <row r="4634">
      <c r="A4634" s="33"/>
      <c r="B4634" s="33"/>
      <c r="C4634" s="33"/>
      <c r="D4634" s="33"/>
      <c r="E4634" s="33"/>
      <c r="F4634" s="33"/>
      <c r="G4634" s="33"/>
      <c r="H4634" s="33"/>
      <c r="I4634" s="33"/>
      <c r="J4634" s="33"/>
      <c r="K4634" s="33"/>
      <c r="L4634" s="33"/>
      <c r="M4634" s="33"/>
      <c r="N4634" s="33"/>
      <c r="O4634" s="33"/>
      <c r="P4634" s="33"/>
      <c r="Q4634" s="33"/>
      <c r="R4634" s="33"/>
      <c r="S4634" s="33"/>
      <c r="T4634" s="33"/>
      <c r="U4634" s="33"/>
      <c r="V4634" s="33"/>
      <c r="W4634" s="33"/>
      <c r="X4634" s="33"/>
      <c r="Y4634" s="33"/>
      <c r="Z4634" s="33"/>
      <c r="AA4634" s="33"/>
      <c r="AB4634" s="33"/>
      <c r="AC4634" s="33"/>
      <c r="AD4634" s="33"/>
      <c r="AE4634" s="33"/>
      <c r="AF4634" s="33"/>
      <c r="AG4634" s="33"/>
      <c r="AH4634" s="33"/>
      <c r="AI4634" s="33"/>
      <c r="AJ4634" s="33"/>
      <c r="AK4634" s="33"/>
    </row>
    <row r="4635">
      <c r="A4635" s="33"/>
      <c r="B4635" s="33"/>
      <c r="C4635" s="33"/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  <c r="Q4635" s="33"/>
      <c r="R4635" s="33"/>
      <c r="S4635" s="33"/>
      <c r="T4635" s="33"/>
      <c r="U4635" s="33"/>
      <c r="V4635" s="33"/>
      <c r="W4635" s="33"/>
      <c r="X4635" s="33"/>
      <c r="Y4635" s="33"/>
      <c r="Z4635" s="33"/>
      <c r="AA4635" s="33"/>
      <c r="AB4635" s="33"/>
      <c r="AC4635" s="33"/>
      <c r="AD4635" s="33"/>
      <c r="AE4635" s="33"/>
      <c r="AF4635" s="33"/>
      <c r="AG4635" s="33"/>
      <c r="AH4635" s="33"/>
      <c r="AI4635" s="33"/>
      <c r="AJ4635" s="33"/>
      <c r="AK4635" s="33"/>
    </row>
    <row r="4636">
      <c r="A4636" s="33"/>
      <c r="B4636" s="33"/>
      <c r="C4636" s="33"/>
      <c r="D4636" s="33"/>
      <c r="E4636" s="33"/>
      <c r="F4636" s="33"/>
      <c r="G4636" s="33"/>
      <c r="H4636" s="33"/>
      <c r="I4636" s="33"/>
      <c r="J4636" s="33"/>
      <c r="K4636" s="33"/>
      <c r="L4636" s="33"/>
      <c r="M4636" s="33"/>
      <c r="N4636" s="33"/>
      <c r="O4636" s="33"/>
      <c r="P4636" s="33"/>
      <c r="Q4636" s="33"/>
      <c r="R4636" s="33"/>
      <c r="S4636" s="33"/>
      <c r="T4636" s="33"/>
      <c r="U4636" s="33"/>
      <c r="V4636" s="33"/>
      <c r="W4636" s="33"/>
      <c r="X4636" s="33"/>
      <c r="Y4636" s="33"/>
      <c r="Z4636" s="33"/>
      <c r="AA4636" s="33"/>
      <c r="AB4636" s="33"/>
      <c r="AC4636" s="33"/>
      <c r="AD4636" s="33"/>
      <c r="AE4636" s="33"/>
      <c r="AF4636" s="33"/>
      <c r="AG4636" s="33"/>
      <c r="AH4636" s="33"/>
      <c r="AI4636" s="33"/>
      <c r="AJ4636" s="33"/>
      <c r="AK4636" s="33"/>
    </row>
    <row r="4637">
      <c r="A4637" s="33"/>
      <c r="B4637" s="33"/>
      <c r="C4637" s="33"/>
      <c r="D4637" s="33"/>
      <c r="E4637" s="33"/>
      <c r="F4637" s="33"/>
      <c r="G4637" s="33"/>
      <c r="H4637" s="33"/>
      <c r="I4637" s="33"/>
      <c r="J4637" s="33"/>
      <c r="K4637" s="33"/>
      <c r="L4637" s="33"/>
      <c r="M4637" s="33"/>
      <c r="N4637" s="33"/>
      <c r="O4637" s="33"/>
      <c r="P4637" s="33"/>
      <c r="Q4637" s="33"/>
      <c r="R4637" s="33"/>
      <c r="S4637" s="33"/>
      <c r="T4637" s="33"/>
      <c r="U4637" s="33"/>
      <c r="V4637" s="33"/>
      <c r="W4637" s="33"/>
      <c r="X4637" s="33"/>
      <c r="Y4637" s="33"/>
      <c r="Z4637" s="33"/>
      <c r="AA4637" s="33"/>
      <c r="AB4637" s="33"/>
      <c r="AC4637" s="33"/>
      <c r="AD4637" s="33"/>
      <c r="AE4637" s="33"/>
      <c r="AF4637" s="33"/>
      <c r="AG4637" s="33"/>
      <c r="AH4637" s="33"/>
      <c r="AI4637" s="33"/>
      <c r="AJ4637" s="33"/>
      <c r="AK4637" s="33"/>
    </row>
    <row r="4638">
      <c r="A4638" s="33"/>
      <c r="B4638" s="33"/>
      <c r="C4638" s="33"/>
      <c r="D4638" s="33"/>
      <c r="E4638" s="33"/>
      <c r="F4638" s="33"/>
      <c r="G4638" s="33"/>
      <c r="H4638" s="33"/>
      <c r="I4638" s="33"/>
      <c r="J4638" s="33"/>
      <c r="K4638" s="33"/>
      <c r="L4638" s="33"/>
      <c r="M4638" s="33"/>
      <c r="N4638" s="33"/>
      <c r="O4638" s="33"/>
      <c r="P4638" s="33"/>
      <c r="Q4638" s="33"/>
      <c r="R4638" s="33"/>
      <c r="S4638" s="33"/>
      <c r="T4638" s="33"/>
      <c r="U4638" s="33"/>
      <c r="V4638" s="33"/>
      <c r="W4638" s="33"/>
      <c r="X4638" s="33"/>
      <c r="Y4638" s="33"/>
      <c r="Z4638" s="33"/>
      <c r="AA4638" s="33"/>
      <c r="AB4638" s="33"/>
      <c r="AC4638" s="33"/>
      <c r="AD4638" s="33"/>
      <c r="AE4638" s="33"/>
      <c r="AF4638" s="33"/>
      <c r="AG4638" s="33"/>
      <c r="AH4638" s="33"/>
      <c r="AI4638" s="33"/>
      <c r="AJ4638" s="33"/>
      <c r="AK4638" s="33"/>
    </row>
    <row r="4639">
      <c r="A4639" s="33"/>
      <c r="B4639" s="33"/>
      <c r="C4639" s="33"/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  <c r="Q4639" s="33"/>
      <c r="R4639" s="33"/>
      <c r="S4639" s="33"/>
      <c r="T4639" s="33"/>
      <c r="U4639" s="33"/>
      <c r="V4639" s="33"/>
      <c r="W4639" s="33"/>
      <c r="X4639" s="33"/>
      <c r="Y4639" s="33"/>
      <c r="Z4639" s="33"/>
      <c r="AA4639" s="33"/>
      <c r="AB4639" s="33"/>
      <c r="AC4639" s="33"/>
      <c r="AD4639" s="33"/>
      <c r="AE4639" s="33"/>
      <c r="AF4639" s="33"/>
      <c r="AG4639" s="33"/>
      <c r="AH4639" s="33"/>
      <c r="AI4639" s="33"/>
      <c r="AJ4639" s="33"/>
      <c r="AK4639" s="33"/>
    </row>
    <row r="4640">
      <c r="A4640" s="33"/>
      <c r="B4640" s="33"/>
      <c r="C4640" s="33"/>
      <c r="D4640" s="33"/>
      <c r="E4640" s="33"/>
      <c r="F4640" s="33"/>
      <c r="G4640" s="33"/>
      <c r="H4640" s="33"/>
      <c r="I4640" s="33"/>
      <c r="J4640" s="33"/>
      <c r="K4640" s="33"/>
      <c r="L4640" s="33"/>
      <c r="M4640" s="33"/>
      <c r="N4640" s="33"/>
      <c r="O4640" s="33"/>
      <c r="P4640" s="33"/>
      <c r="Q4640" s="33"/>
      <c r="R4640" s="33"/>
      <c r="S4640" s="33"/>
      <c r="T4640" s="33"/>
      <c r="U4640" s="33"/>
      <c r="V4640" s="33"/>
      <c r="W4640" s="33"/>
      <c r="X4640" s="33"/>
      <c r="Y4640" s="33"/>
      <c r="Z4640" s="33"/>
      <c r="AA4640" s="33"/>
      <c r="AB4640" s="33"/>
      <c r="AC4640" s="33"/>
      <c r="AD4640" s="33"/>
      <c r="AE4640" s="33"/>
      <c r="AF4640" s="33"/>
      <c r="AG4640" s="33"/>
      <c r="AH4640" s="33"/>
      <c r="AI4640" s="33"/>
      <c r="AJ4640" s="33"/>
      <c r="AK4640" s="33"/>
    </row>
    <row r="4641">
      <c r="A4641" s="33"/>
      <c r="B4641" s="33"/>
      <c r="C4641" s="33"/>
      <c r="D4641" s="33"/>
      <c r="E4641" s="33"/>
      <c r="F4641" s="33"/>
      <c r="G4641" s="33"/>
      <c r="H4641" s="33"/>
      <c r="I4641" s="33"/>
      <c r="J4641" s="33"/>
      <c r="K4641" s="33"/>
      <c r="L4641" s="33"/>
      <c r="M4641" s="33"/>
      <c r="N4641" s="33"/>
      <c r="O4641" s="33"/>
      <c r="P4641" s="33"/>
      <c r="Q4641" s="33"/>
      <c r="R4641" s="33"/>
      <c r="S4641" s="33"/>
      <c r="T4641" s="33"/>
      <c r="U4641" s="33"/>
      <c r="V4641" s="33"/>
      <c r="W4641" s="33"/>
      <c r="X4641" s="33"/>
      <c r="Y4641" s="33"/>
      <c r="Z4641" s="33"/>
      <c r="AA4641" s="33"/>
      <c r="AB4641" s="33"/>
      <c r="AC4641" s="33"/>
      <c r="AD4641" s="33"/>
      <c r="AE4641" s="33"/>
      <c r="AF4641" s="33"/>
      <c r="AG4641" s="33"/>
      <c r="AH4641" s="33"/>
      <c r="AI4641" s="33"/>
      <c r="AJ4641" s="33"/>
      <c r="AK4641" s="33"/>
    </row>
    <row r="4642">
      <c r="A4642" s="33"/>
      <c r="B4642" s="33"/>
      <c r="C4642" s="33"/>
      <c r="D4642" s="33"/>
      <c r="E4642" s="33"/>
      <c r="F4642" s="33"/>
      <c r="G4642" s="33"/>
      <c r="H4642" s="33"/>
      <c r="I4642" s="33"/>
      <c r="J4642" s="33"/>
      <c r="K4642" s="33"/>
      <c r="L4642" s="33"/>
      <c r="M4642" s="33"/>
      <c r="N4642" s="33"/>
      <c r="O4642" s="33"/>
      <c r="P4642" s="33"/>
      <c r="Q4642" s="33"/>
      <c r="R4642" s="33"/>
      <c r="S4642" s="33"/>
      <c r="T4642" s="33"/>
      <c r="U4642" s="33"/>
      <c r="V4642" s="33"/>
      <c r="W4642" s="33"/>
      <c r="X4642" s="33"/>
      <c r="Y4642" s="33"/>
      <c r="Z4642" s="33"/>
      <c r="AA4642" s="33"/>
      <c r="AB4642" s="33"/>
      <c r="AC4642" s="33"/>
      <c r="AD4642" s="33"/>
      <c r="AE4642" s="33"/>
      <c r="AF4642" s="33"/>
      <c r="AG4642" s="33"/>
      <c r="AH4642" s="33"/>
      <c r="AI4642" s="33"/>
      <c r="AJ4642" s="33"/>
      <c r="AK4642" s="33"/>
    </row>
    <row r="4643">
      <c r="A4643" s="33"/>
      <c r="B4643" s="33"/>
      <c r="C4643" s="33"/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  <c r="Q4643" s="33"/>
      <c r="R4643" s="33"/>
      <c r="S4643" s="33"/>
      <c r="T4643" s="33"/>
      <c r="U4643" s="33"/>
      <c r="V4643" s="33"/>
      <c r="W4643" s="33"/>
      <c r="X4643" s="33"/>
      <c r="Y4643" s="33"/>
      <c r="Z4643" s="33"/>
      <c r="AA4643" s="33"/>
      <c r="AB4643" s="33"/>
      <c r="AC4643" s="33"/>
      <c r="AD4643" s="33"/>
      <c r="AE4643" s="33"/>
      <c r="AF4643" s="33"/>
      <c r="AG4643" s="33"/>
      <c r="AH4643" s="33"/>
      <c r="AI4643" s="33"/>
      <c r="AJ4643" s="33"/>
      <c r="AK4643" s="33"/>
    </row>
    <row r="4644">
      <c r="A4644" s="33"/>
      <c r="B4644" s="33"/>
      <c r="C4644" s="33"/>
      <c r="D4644" s="33"/>
      <c r="E4644" s="33"/>
      <c r="F4644" s="33"/>
      <c r="G4644" s="33"/>
      <c r="H4644" s="33"/>
      <c r="I4644" s="33"/>
      <c r="J4644" s="33"/>
      <c r="K4644" s="33"/>
      <c r="L4644" s="33"/>
      <c r="M4644" s="33"/>
      <c r="N4644" s="33"/>
      <c r="O4644" s="33"/>
      <c r="P4644" s="33"/>
      <c r="Q4644" s="33"/>
      <c r="R4644" s="33"/>
      <c r="S4644" s="33"/>
      <c r="T4644" s="33"/>
      <c r="U4644" s="33"/>
      <c r="V4644" s="33"/>
      <c r="W4644" s="33"/>
      <c r="X4644" s="33"/>
      <c r="Y4644" s="33"/>
      <c r="Z4644" s="33"/>
      <c r="AA4644" s="33"/>
      <c r="AB4644" s="33"/>
      <c r="AC4644" s="33"/>
      <c r="AD4644" s="33"/>
      <c r="AE4644" s="33"/>
      <c r="AF4644" s="33"/>
      <c r="AG4644" s="33"/>
      <c r="AH4644" s="33"/>
      <c r="AI4644" s="33"/>
      <c r="AJ4644" s="33"/>
      <c r="AK4644" s="33"/>
    </row>
    <row r="4645">
      <c r="A4645" s="33"/>
      <c r="B4645" s="33"/>
      <c r="C4645" s="33"/>
      <c r="D4645" s="33"/>
      <c r="E4645" s="33"/>
      <c r="F4645" s="33"/>
      <c r="G4645" s="33"/>
      <c r="H4645" s="33"/>
      <c r="I4645" s="33"/>
      <c r="J4645" s="33"/>
      <c r="K4645" s="33"/>
      <c r="L4645" s="33"/>
      <c r="M4645" s="33"/>
      <c r="N4645" s="33"/>
      <c r="O4645" s="33"/>
      <c r="P4645" s="33"/>
      <c r="Q4645" s="33"/>
      <c r="R4645" s="33"/>
      <c r="S4645" s="33"/>
      <c r="T4645" s="33"/>
      <c r="U4645" s="33"/>
      <c r="V4645" s="33"/>
      <c r="W4645" s="33"/>
      <c r="X4645" s="33"/>
      <c r="Y4645" s="33"/>
      <c r="Z4645" s="33"/>
      <c r="AA4645" s="33"/>
      <c r="AB4645" s="33"/>
      <c r="AC4645" s="33"/>
      <c r="AD4645" s="33"/>
      <c r="AE4645" s="33"/>
      <c r="AF4645" s="33"/>
      <c r="AG4645" s="33"/>
      <c r="AH4645" s="33"/>
      <c r="AI4645" s="33"/>
      <c r="AJ4645" s="33"/>
      <c r="AK4645" s="33"/>
    </row>
    <row r="4646">
      <c r="A4646" s="33"/>
      <c r="B4646" s="33"/>
      <c r="C4646" s="33"/>
      <c r="D4646" s="33"/>
      <c r="E4646" s="33"/>
      <c r="F4646" s="33"/>
      <c r="G4646" s="33"/>
      <c r="H4646" s="33"/>
      <c r="I4646" s="33"/>
      <c r="J4646" s="33"/>
      <c r="K4646" s="33"/>
      <c r="L4646" s="33"/>
      <c r="M4646" s="33"/>
      <c r="N4646" s="33"/>
      <c r="O4646" s="33"/>
      <c r="P4646" s="33"/>
      <c r="Q4646" s="33"/>
      <c r="R4646" s="33"/>
      <c r="S4646" s="33"/>
      <c r="T4646" s="33"/>
      <c r="U4646" s="33"/>
      <c r="V4646" s="33"/>
      <c r="W4646" s="33"/>
      <c r="X4646" s="33"/>
      <c r="Y4646" s="33"/>
      <c r="Z4646" s="33"/>
      <c r="AA4646" s="33"/>
      <c r="AB4646" s="33"/>
      <c r="AC4646" s="33"/>
      <c r="AD4646" s="33"/>
      <c r="AE4646" s="33"/>
      <c r="AF4646" s="33"/>
      <c r="AG4646" s="33"/>
      <c r="AH4646" s="33"/>
      <c r="AI4646" s="33"/>
      <c r="AJ4646" s="33"/>
      <c r="AK4646" s="33"/>
    </row>
    <row r="4647">
      <c r="A4647" s="33"/>
      <c r="B4647" s="33"/>
      <c r="C4647" s="33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33"/>
      <c r="V4647" s="33"/>
      <c r="W4647" s="33"/>
      <c r="X4647" s="33"/>
      <c r="Y4647" s="33"/>
      <c r="Z4647" s="33"/>
      <c r="AA4647" s="33"/>
      <c r="AB4647" s="33"/>
      <c r="AC4647" s="33"/>
      <c r="AD4647" s="33"/>
      <c r="AE4647" s="33"/>
      <c r="AF4647" s="33"/>
      <c r="AG4647" s="33"/>
      <c r="AH4647" s="33"/>
      <c r="AI4647" s="33"/>
      <c r="AJ4647" s="33"/>
      <c r="AK4647" s="33"/>
    </row>
    <row r="4648">
      <c r="A4648" s="33"/>
      <c r="B4648" s="33"/>
      <c r="C4648" s="33"/>
      <c r="D4648" s="33"/>
      <c r="E4648" s="33"/>
      <c r="F4648" s="33"/>
      <c r="G4648" s="33"/>
      <c r="H4648" s="33"/>
      <c r="I4648" s="33"/>
      <c r="J4648" s="33"/>
      <c r="K4648" s="33"/>
      <c r="L4648" s="33"/>
      <c r="M4648" s="33"/>
      <c r="N4648" s="33"/>
      <c r="O4648" s="33"/>
      <c r="P4648" s="33"/>
      <c r="Q4648" s="33"/>
      <c r="R4648" s="33"/>
      <c r="S4648" s="33"/>
      <c r="T4648" s="33"/>
      <c r="U4648" s="33"/>
      <c r="V4648" s="33"/>
      <c r="W4648" s="33"/>
      <c r="X4648" s="33"/>
      <c r="Y4648" s="33"/>
      <c r="Z4648" s="33"/>
      <c r="AA4648" s="33"/>
      <c r="AB4648" s="33"/>
      <c r="AC4648" s="33"/>
      <c r="AD4648" s="33"/>
      <c r="AE4648" s="33"/>
      <c r="AF4648" s="33"/>
      <c r="AG4648" s="33"/>
      <c r="AH4648" s="33"/>
      <c r="AI4648" s="33"/>
      <c r="AJ4648" s="33"/>
      <c r="AK4648" s="33"/>
    </row>
    <row r="4649">
      <c r="A4649" s="33"/>
      <c r="B4649" s="33"/>
      <c r="C4649" s="33"/>
      <c r="D4649" s="33"/>
      <c r="E4649" s="33"/>
      <c r="F4649" s="33"/>
      <c r="G4649" s="33"/>
      <c r="H4649" s="33"/>
      <c r="I4649" s="33"/>
      <c r="J4649" s="33"/>
      <c r="K4649" s="33"/>
      <c r="L4649" s="33"/>
      <c r="M4649" s="33"/>
      <c r="N4649" s="33"/>
      <c r="O4649" s="33"/>
      <c r="P4649" s="33"/>
      <c r="Q4649" s="33"/>
      <c r="R4649" s="33"/>
      <c r="S4649" s="33"/>
      <c r="T4649" s="33"/>
      <c r="U4649" s="33"/>
      <c r="V4649" s="33"/>
      <c r="W4649" s="33"/>
      <c r="X4649" s="33"/>
      <c r="Y4649" s="33"/>
      <c r="Z4649" s="33"/>
      <c r="AA4649" s="33"/>
      <c r="AB4649" s="33"/>
      <c r="AC4649" s="33"/>
      <c r="AD4649" s="33"/>
      <c r="AE4649" s="33"/>
      <c r="AF4649" s="33"/>
      <c r="AG4649" s="33"/>
      <c r="AH4649" s="33"/>
      <c r="AI4649" s="33"/>
      <c r="AJ4649" s="33"/>
      <c r="AK4649" s="33"/>
    </row>
    <row r="4650">
      <c r="A4650" s="33"/>
      <c r="B4650" s="33"/>
      <c r="C4650" s="33"/>
      <c r="D4650" s="33"/>
      <c r="E4650" s="33"/>
      <c r="F4650" s="33"/>
      <c r="G4650" s="33"/>
      <c r="H4650" s="33"/>
      <c r="I4650" s="33"/>
      <c r="J4650" s="33"/>
      <c r="K4650" s="33"/>
      <c r="L4650" s="33"/>
      <c r="M4650" s="33"/>
      <c r="N4650" s="33"/>
      <c r="O4650" s="33"/>
      <c r="P4650" s="33"/>
      <c r="Q4650" s="33"/>
      <c r="R4650" s="33"/>
      <c r="S4650" s="33"/>
      <c r="T4650" s="33"/>
      <c r="U4650" s="33"/>
      <c r="V4650" s="33"/>
      <c r="W4650" s="33"/>
      <c r="X4650" s="33"/>
      <c r="Y4650" s="33"/>
      <c r="Z4650" s="33"/>
      <c r="AA4650" s="33"/>
      <c r="AB4650" s="33"/>
      <c r="AC4650" s="33"/>
      <c r="AD4650" s="33"/>
      <c r="AE4650" s="33"/>
      <c r="AF4650" s="33"/>
      <c r="AG4650" s="33"/>
      <c r="AH4650" s="33"/>
      <c r="AI4650" s="33"/>
      <c r="AJ4650" s="33"/>
      <c r="AK4650" s="33"/>
    </row>
    <row r="4651">
      <c r="A4651" s="33"/>
      <c r="B4651" s="33"/>
      <c r="C4651" s="33"/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  <c r="Q4651" s="33"/>
      <c r="R4651" s="33"/>
      <c r="S4651" s="33"/>
      <c r="T4651" s="33"/>
      <c r="U4651" s="33"/>
      <c r="V4651" s="33"/>
      <c r="W4651" s="33"/>
      <c r="X4651" s="33"/>
      <c r="Y4651" s="33"/>
      <c r="Z4651" s="33"/>
      <c r="AA4651" s="33"/>
      <c r="AB4651" s="33"/>
      <c r="AC4651" s="33"/>
      <c r="AD4651" s="33"/>
      <c r="AE4651" s="33"/>
      <c r="AF4651" s="33"/>
      <c r="AG4651" s="33"/>
      <c r="AH4651" s="33"/>
      <c r="AI4651" s="33"/>
      <c r="AJ4651" s="33"/>
      <c r="AK4651" s="33"/>
    </row>
    <row r="4652">
      <c r="A4652" s="33"/>
      <c r="B4652" s="33"/>
      <c r="C4652" s="33"/>
      <c r="D4652" s="33"/>
      <c r="E4652" s="33"/>
      <c r="F4652" s="33"/>
      <c r="G4652" s="33"/>
      <c r="H4652" s="33"/>
      <c r="I4652" s="33"/>
      <c r="J4652" s="33"/>
      <c r="K4652" s="33"/>
      <c r="L4652" s="33"/>
      <c r="M4652" s="33"/>
      <c r="N4652" s="33"/>
      <c r="O4652" s="33"/>
      <c r="P4652" s="33"/>
      <c r="Q4652" s="33"/>
      <c r="R4652" s="33"/>
      <c r="S4652" s="33"/>
      <c r="T4652" s="33"/>
      <c r="U4652" s="33"/>
      <c r="V4652" s="33"/>
      <c r="W4652" s="33"/>
      <c r="X4652" s="33"/>
      <c r="Y4652" s="33"/>
      <c r="Z4652" s="33"/>
      <c r="AA4652" s="33"/>
      <c r="AB4652" s="33"/>
      <c r="AC4652" s="33"/>
      <c r="AD4652" s="33"/>
      <c r="AE4652" s="33"/>
      <c r="AF4652" s="33"/>
      <c r="AG4652" s="33"/>
      <c r="AH4652" s="33"/>
      <c r="AI4652" s="33"/>
      <c r="AJ4652" s="33"/>
      <c r="AK4652" s="33"/>
    </row>
    <row r="4653">
      <c r="A4653" s="33"/>
      <c r="B4653" s="33"/>
      <c r="C4653" s="33"/>
      <c r="D4653" s="33"/>
      <c r="E4653" s="33"/>
      <c r="F4653" s="33"/>
      <c r="G4653" s="33"/>
      <c r="H4653" s="33"/>
      <c r="I4653" s="33"/>
      <c r="J4653" s="33"/>
      <c r="K4653" s="33"/>
      <c r="L4653" s="33"/>
      <c r="M4653" s="33"/>
      <c r="N4653" s="33"/>
      <c r="O4653" s="33"/>
      <c r="P4653" s="33"/>
      <c r="Q4653" s="33"/>
      <c r="R4653" s="33"/>
      <c r="S4653" s="33"/>
      <c r="T4653" s="33"/>
      <c r="U4653" s="33"/>
      <c r="V4653" s="33"/>
      <c r="W4653" s="33"/>
      <c r="X4653" s="33"/>
      <c r="Y4653" s="33"/>
      <c r="Z4653" s="33"/>
      <c r="AA4653" s="33"/>
      <c r="AB4653" s="33"/>
      <c r="AC4653" s="33"/>
      <c r="AD4653" s="33"/>
      <c r="AE4653" s="33"/>
      <c r="AF4653" s="33"/>
      <c r="AG4653" s="33"/>
      <c r="AH4653" s="33"/>
      <c r="AI4653" s="33"/>
      <c r="AJ4653" s="33"/>
      <c r="AK4653" s="33"/>
    </row>
    <row r="4654">
      <c r="A4654" s="33"/>
      <c r="B4654" s="33"/>
      <c r="C4654" s="33"/>
      <c r="D4654" s="33"/>
      <c r="E4654" s="33"/>
      <c r="F4654" s="33"/>
      <c r="G4654" s="33"/>
      <c r="H4654" s="33"/>
      <c r="I4654" s="33"/>
      <c r="J4654" s="33"/>
      <c r="K4654" s="33"/>
      <c r="L4654" s="33"/>
      <c r="M4654" s="33"/>
      <c r="N4654" s="33"/>
      <c r="O4654" s="33"/>
      <c r="P4654" s="33"/>
      <c r="Q4654" s="33"/>
      <c r="R4654" s="33"/>
      <c r="S4654" s="33"/>
      <c r="T4654" s="33"/>
      <c r="U4654" s="33"/>
      <c r="V4654" s="33"/>
      <c r="W4654" s="33"/>
      <c r="X4654" s="33"/>
      <c r="Y4654" s="33"/>
      <c r="Z4654" s="33"/>
      <c r="AA4654" s="33"/>
      <c r="AB4654" s="33"/>
      <c r="AC4654" s="33"/>
      <c r="AD4654" s="33"/>
      <c r="AE4654" s="33"/>
      <c r="AF4654" s="33"/>
      <c r="AG4654" s="33"/>
      <c r="AH4654" s="33"/>
      <c r="AI4654" s="33"/>
      <c r="AJ4654" s="33"/>
      <c r="AK4654" s="33"/>
    </row>
    <row r="4655">
      <c r="A4655" s="33"/>
      <c r="B4655" s="33"/>
      <c r="C4655" s="33"/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  <c r="Q4655" s="33"/>
      <c r="R4655" s="33"/>
      <c r="S4655" s="33"/>
      <c r="T4655" s="33"/>
      <c r="U4655" s="33"/>
      <c r="V4655" s="33"/>
      <c r="W4655" s="33"/>
      <c r="X4655" s="33"/>
      <c r="Y4655" s="33"/>
      <c r="Z4655" s="33"/>
      <c r="AA4655" s="33"/>
      <c r="AB4655" s="33"/>
      <c r="AC4655" s="33"/>
      <c r="AD4655" s="33"/>
      <c r="AE4655" s="33"/>
      <c r="AF4655" s="33"/>
      <c r="AG4655" s="33"/>
      <c r="AH4655" s="33"/>
      <c r="AI4655" s="33"/>
      <c r="AJ4655" s="33"/>
      <c r="AK4655" s="33"/>
    </row>
    <row r="4656">
      <c r="A4656" s="33"/>
      <c r="B4656" s="33"/>
      <c r="C4656" s="33"/>
      <c r="D4656" s="33"/>
      <c r="E4656" s="33"/>
      <c r="F4656" s="33"/>
      <c r="G4656" s="33"/>
      <c r="H4656" s="33"/>
      <c r="I4656" s="33"/>
      <c r="J4656" s="33"/>
      <c r="K4656" s="33"/>
      <c r="L4656" s="33"/>
      <c r="M4656" s="33"/>
      <c r="N4656" s="33"/>
      <c r="O4656" s="33"/>
      <c r="P4656" s="33"/>
      <c r="Q4656" s="33"/>
      <c r="R4656" s="33"/>
      <c r="S4656" s="33"/>
      <c r="T4656" s="33"/>
      <c r="U4656" s="33"/>
      <c r="V4656" s="33"/>
      <c r="W4656" s="33"/>
      <c r="X4656" s="33"/>
      <c r="Y4656" s="33"/>
      <c r="Z4656" s="33"/>
      <c r="AA4656" s="33"/>
      <c r="AB4656" s="33"/>
      <c r="AC4656" s="33"/>
      <c r="AD4656" s="33"/>
      <c r="AE4656" s="33"/>
      <c r="AF4656" s="33"/>
      <c r="AG4656" s="33"/>
      <c r="AH4656" s="33"/>
      <c r="AI4656" s="33"/>
      <c r="AJ4656" s="33"/>
      <c r="AK4656" s="33"/>
    </row>
    <row r="4657">
      <c r="A4657" s="33"/>
      <c r="B4657" s="33"/>
      <c r="C4657" s="33"/>
      <c r="D4657" s="33"/>
      <c r="E4657" s="33"/>
      <c r="F4657" s="33"/>
      <c r="G4657" s="33"/>
      <c r="H4657" s="33"/>
      <c r="I4657" s="33"/>
      <c r="J4657" s="33"/>
      <c r="K4657" s="33"/>
      <c r="L4657" s="33"/>
      <c r="M4657" s="33"/>
      <c r="N4657" s="33"/>
      <c r="O4657" s="33"/>
      <c r="P4657" s="33"/>
      <c r="Q4657" s="33"/>
      <c r="R4657" s="33"/>
      <c r="S4657" s="33"/>
      <c r="T4657" s="33"/>
      <c r="U4657" s="33"/>
      <c r="V4657" s="33"/>
      <c r="W4657" s="33"/>
      <c r="X4657" s="33"/>
      <c r="Y4657" s="33"/>
      <c r="Z4657" s="33"/>
      <c r="AA4657" s="33"/>
      <c r="AB4657" s="33"/>
      <c r="AC4657" s="33"/>
      <c r="AD4657" s="33"/>
      <c r="AE4657" s="33"/>
      <c r="AF4657" s="33"/>
      <c r="AG4657" s="33"/>
      <c r="AH4657" s="33"/>
      <c r="AI4657" s="33"/>
      <c r="AJ4657" s="33"/>
      <c r="AK4657" s="33"/>
    </row>
    <row r="4658">
      <c r="A4658" s="33"/>
      <c r="B4658" s="33"/>
      <c r="C4658" s="33"/>
      <c r="D4658" s="33"/>
      <c r="E4658" s="33"/>
      <c r="F4658" s="33"/>
      <c r="G4658" s="33"/>
      <c r="H4658" s="33"/>
      <c r="I4658" s="33"/>
      <c r="J4658" s="33"/>
      <c r="K4658" s="33"/>
      <c r="L4658" s="33"/>
      <c r="M4658" s="33"/>
      <c r="N4658" s="33"/>
      <c r="O4658" s="33"/>
      <c r="P4658" s="33"/>
      <c r="Q4658" s="33"/>
      <c r="R4658" s="33"/>
      <c r="S4658" s="33"/>
      <c r="T4658" s="33"/>
      <c r="U4658" s="33"/>
      <c r="V4658" s="33"/>
      <c r="W4658" s="33"/>
      <c r="X4658" s="33"/>
      <c r="Y4658" s="33"/>
      <c r="Z4658" s="33"/>
      <c r="AA4658" s="33"/>
      <c r="AB4658" s="33"/>
      <c r="AC4658" s="33"/>
      <c r="AD4658" s="33"/>
      <c r="AE4658" s="33"/>
      <c r="AF4658" s="33"/>
      <c r="AG4658" s="33"/>
      <c r="AH4658" s="33"/>
      <c r="AI4658" s="33"/>
      <c r="AJ4658" s="33"/>
      <c r="AK4658" s="33"/>
    </row>
    <row r="4659">
      <c r="A4659" s="33"/>
      <c r="B4659" s="33"/>
      <c r="C4659" s="33"/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33"/>
      <c r="Q4659" s="33"/>
      <c r="R4659" s="33"/>
      <c r="S4659" s="33"/>
      <c r="T4659" s="33"/>
      <c r="U4659" s="33"/>
      <c r="V4659" s="33"/>
      <c r="W4659" s="33"/>
      <c r="X4659" s="33"/>
      <c r="Y4659" s="33"/>
      <c r="Z4659" s="33"/>
      <c r="AA4659" s="33"/>
      <c r="AB4659" s="33"/>
      <c r="AC4659" s="33"/>
      <c r="AD4659" s="33"/>
      <c r="AE4659" s="33"/>
      <c r="AF4659" s="33"/>
      <c r="AG4659" s="33"/>
      <c r="AH4659" s="33"/>
      <c r="AI4659" s="33"/>
      <c r="AJ4659" s="33"/>
      <c r="AK4659" s="33"/>
    </row>
    <row r="4660">
      <c r="A4660" s="33"/>
      <c r="B4660" s="33"/>
      <c r="C4660" s="33"/>
      <c r="D4660" s="33"/>
      <c r="E4660" s="33"/>
      <c r="F4660" s="33"/>
      <c r="G4660" s="33"/>
      <c r="H4660" s="33"/>
      <c r="I4660" s="33"/>
      <c r="J4660" s="33"/>
      <c r="K4660" s="33"/>
      <c r="L4660" s="33"/>
      <c r="M4660" s="33"/>
      <c r="N4660" s="33"/>
      <c r="O4660" s="33"/>
      <c r="P4660" s="33"/>
      <c r="Q4660" s="33"/>
      <c r="R4660" s="33"/>
      <c r="S4660" s="33"/>
      <c r="T4660" s="33"/>
      <c r="U4660" s="33"/>
      <c r="V4660" s="33"/>
      <c r="W4660" s="33"/>
      <c r="X4660" s="33"/>
      <c r="Y4660" s="33"/>
      <c r="Z4660" s="33"/>
      <c r="AA4660" s="33"/>
      <c r="AB4660" s="33"/>
      <c r="AC4660" s="33"/>
      <c r="AD4660" s="33"/>
      <c r="AE4660" s="33"/>
      <c r="AF4660" s="33"/>
      <c r="AG4660" s="33"/>
      <c r="AH4660" s="33"/>
      <c r="AI4660" s="33"/>
      <c r="AJ4660" s="33"/>
      <c r="AK4660" s="33"/>
    </row>
    <row r="4661">
      <c r="A4661" s="33"/>
      <c r="B4661" s="33"/>
      <c r="C4661" s="33"/>
      <c r="D4661" s="33"/>
      <c r="E4661" s="33"/>
      <c r="F4661" s="33"/>
      <c r="G4661" s="33"/>
      <c r="H4661" s="33"/>
      <c r="I4661" s="33"/>
      <c r="J4661" s="33"/>
      <c r="K4661" s="33"/>
      <c r="L4661" s="33"/>
      <c r="M4661" s="33"/>
      <c r="N4661" s="33"/>
      <c r="O4661" s="33"/>
      <c r="P4661" s="33"/>
      <c r="Q4661" s="33"/>
      <c r="R4661" s="33"/>
      <c r="S4661" s="33"/>
      <c r="T4661" s="33"/>
      <c r="U4661" s="33"/>
      <c r="V4661" s="33"/>
      <c r="W4661" s="33"/>
      <c r="X4661" s="33"/>
      <c r="Y4661" s="33"/>
      <c r="Z4661" s="33"/>
      <c r="AA4661" s="33"/>
      <c r="AB4661" s="33"/>
      <c r="AC4661" s="33"/>
      <c r="AD4661" s="33"/>
      <c r="AE4661" s="33"/>
      <c r="AF4661" s="33"/>
      <c r="AG4661" s="33"/>
      <c r="AH4661" s="33"/>
      <c r="AI4661" s="33"/>
      <c r="AJ4661" s="33"/>
      <c r="AK4661" s="33"/>
    </row>
    <row r="4662">
      <c r="A4662" s="33"/>
      <c r="B4662" s="33"/>
      <c r="C4662" s="33"/>
      <c r="D4662" s="33"/>
      <c r="E4662" s="33"/>
      <c r="F4662" s="33"/>
      <c r="G4662" s="33"/>
      <c r="H4662" s="33"/>
      <c r="I4662" s="33"/>
      <c r="J4662" s="33"/>
      <c r="K4662" s="33"/>
      <c r="L4662" s="33"/>
      <c r="M4662" s="33"/>
      <c r="N4662" s="33"/>
      <c r="O4662" s="33"/>
      <c r="P4662" s="33"/>
      <c r="Q4662" s="33"/>
      <c r="R4662" s="33"/>
      <c r="S4662" s="33"/>
      <c r="T4662" s="33"/>
      <c r="U4662" s="33"/>
      <c r="V4662" s="33"/>
      <c r="W4662" s="33"/>
      <c r="X4662" s="33"/>
      <c r="Y4662" s="33"/>
      <c r="Z4662" s="33"/>
      <c r="AA4662" s="33"/>
      <c r="AB4662" s="33"/>
      <c r="AC4662" s="33"/>
      <c r="AD4662" s="33"/>
      <c r="AE4662" s="33"/>
      <c r="AF4662" s="33"/>
      <c r="AG4662" s="33"/>
      <c r="AH4662" s="33"/>
      <c r="AI4662" s="33"/>
      <c r="AJ4662" s="33"/>
      <c r="AK4662" s="33"/>
    </row>
    <row r="4663">
      <c r="A4663" s="33"/>
      <c r="B4663" s="33"/>
      <c r="C4663" s="33"/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  <c r="Q4663" s="33"/>
      <c r="R4663" s="33"/>
      <c r="S4663" s="33"/>
      <c r="T4663" s="33"/>
      <c r="U4663" s="33"/>
      <c r="V4663" s="33"/>
      <c r="W4663" s="33"/>
      <c r="X4663" s="33"/>
      <c r="Y4663" s="33"/>
      <c r="Z4663" s="33"/>
      <c r="AA4663" s="33"/>
      <c r="AB4663" s="33"/>
      <c r="AC4663" s="33"/>
      <c r="AD4663" s="33"/>
      <c r="AE4663" s="33"/>
      <c r="AF4663" s="33"/>
      <c r="AG4663" s="33"/>
      <c r="AH4663" s="33"/>
      <c r="AI4663" s="33"/>
      <c r="AJ4663" s="33"/>
      <c r="AK4663" s="33"/>
    </row>
    <row r="4664">
      <c r="A4664" s="33"/>
      <c r="B4664" s="33"/>
      <c r="C4664" s="33"/>
      <c r="D4664" s="33"/>
      <c r="E4664" s="33"/>
      <c r="F4664" s="33"/>
      <c r="G4664" s="33"/>
      <c r="H4664" s="33"/>
      <c r="I4664" s="33"/>
      <c r="J4664" s="33"/>
      <c r="K4664" s="33"/>
      <c r="L4664" s="33"/>
      <c r="M4664" s="33"/>
      <c r="N4664" s="33"/>
      <c r="O4664" s="33"/>
      <c r="P4664" s="33"/>
      <c r="Q4664" s="33"/>
      <c r="R4664" s="33"/>
      <c r="S4664" s="33"/>
      <c r="T4664" s="33"/>
      <c r="U4664" s="33"/>
      <c r="V4664" s="33"/>
      <c r="W4664" s="33"/>
      <c r="X4664" s="33"/>
      <c r="Y4664" s="33"/>
      <c r="Z4664" s="33"/>
      <c r="AA4664" s="33"/>
      <c r="AB4664" s="33"/>
      <c r="AC4664" s="33"/>
      <c r="AD4664" s="33"/>
      <c r="AE4664" s="33"/>
      <c r="AF4664" s="33"/>
      <c r="AG4664" s="33"/>
      <c r="AH4664" s="33"/>
      <c r="AI4664" s="33"/>
      <c r="AJ4664" s="33"/>
      <c r="AK4664" s="33"/>
    </row>
    <row r="4665">
      <c r="A4665" s="33"/>
      <c r="B4665" s="33"/>
      <c r="C4665" s="33"/>
      <c r="D4665" s="33"/>
      <c r="E4665" s="33"/>
      <c r="F4665" s="33"/>
      <c r="G4665" s="33"/>
      <c r="H4665" s="33"/>
      <c r="I4665" s="33"/>
      <c r="J4665" s="33"/>
      <c r="K4665" s="33"/>
      <c r="L4665" s="33"/>
      <c r="M4665" s="33"/>
      <c r="N4665" s="33"/>
      <c r="O4665" s="33"/>
      <c r="P4665" s="33"/>
      <c r="Q4665" s="33"/>
      <c r="R4665" s="33"/>
      <c r="S4665" s="33"/>
      <c r="T4665" s="33"/>
      <c r="U4665" s="33"/>
      <c r="V4665" s="33"/>
      <c r="W4665" s="33"/>
      <c r="X4665" s="33"/>
      <c r="Y4665" s="33"/>
      <c r="Z4665" s="33"/>
      <c r="AA4665" s="33"/>
      <c r="AB4665" s="33"/>
      <c r="AC4665" s="33"/>
      <c r="AD4665" s="33"/>
      <c r="AE4665" s="33"/>
      <c r="AF4665" s="33"/>
      <c r="AG4665" s="33"/>
      <c r="AH4665" s="33"/>
      <c r="AI4665" s="33"/>
      <c r="AJ4665" s="33"/>
      <c r="AK4665" s="33"/>
    </row>
    <row r="4666">
      <c r="A4666" s="33"/>
      <c r="B4666" s="33"/>
      <c r="C4666" s="33"/>
      <c r="D4666" s="33"/>
      <c r="E4666" s="33"/>
      <c r="F4666" s="33"/>
      <c r="G4666" s="33"/>
      <c r="H4666" s="33"/>
      <c r="I4666" s="33"/>
      <c r="J4666" s="33"/>
      <c r="K4666" s="33"/>
      <c r="L4666" s="33"/>
      <c r="M4666" s="33"/>
      <c r="N4666" s="33"/>
      <c r="O4666" s="33"/>
      <c r="P4666" s="33"/>
      <c r="Q4666" s="33"/>
      <c r="R4666" s="33"/>
      <c r="S4666" s="33"/>
      <c r="T4666" s="33"/>
      <c r="U4666" s="33"/>
      <c r="V4666" s="33"/>
      <c r="W4666" s="33"/>
      <c r="X4666" s="33"/>
      <c r="Y4666" s="33"/>
      <c r="Z4666" s="33"/>
      <c r="AA4666" s="33"/>
      <c r="AB4666" s="33"/>
      <c r="AC4666" s="33"/>
      <c r="AD4666" s="33"/>
      <c r="AE4666" s="33"/>
      <c r="AF4666" s="33"/>
      <c r="AG4666" s="33"/>
      <c r="AH4666" s="33"/>
      <c r="AI4666" s="33"/>
      <c r="AJ4666" s="33"/>
      <c r="AK4666" s="33"/>
    </row>
    <row r="4667">
      <c r="A4667" s="33"/>
      <c r="B4667" s="33"/>
      <c r="C4667" s="33"/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  <c r="Q4667" s="33"/>
      <c r="R4667" s="33"/>
      <c r="S4667" s="33"/>
      <c r="T4667" s="33"/>
      <c r="U4667" s="33"/>
      <c r="V4667" s="33"/>
      <c r="W4667" s="33"/>
      <c r="X4667" s="33"/>
      <c r="Y4667" s="33"/>
      <c r="Z4667" s="33"/>
      <c r="AA4667" s="33"/>
      <c r="AB4667" s="33"/>
      <c r="AC4667" s="33"/>
      <c r="AD4667" s="33"/>
      <c r="AE4667" s="33"/>
      <c r="AF4667" s="33"/>
      <c r="AG4667" s="33"/>
      <c r="AH4667" s="33"/>
      <c r="AI4667" s="33"/>
      <c r="AJ4667" s="33"/>
      <c r="AK4667" s="33"/>
    </row>
    <row r="4668">
      <c r="A4668" s="33"/>
      <c r="B4668" s="33"/>
      <c r="C4668" s="33"/>
      <c r="D4668" s="33"/>
      <c r="E4668" s="33"/>
      <c r="F4668" s="33"/>
      <c r="G4668" s="33"/>
      <c r="H4668" s="33"/>
      <c r="I4668" s="33"/>
      <c r="J4668" s="33"/>
      <c r="K4668" s="33"/>
      <c r="L4668" s="33"/>
      <c r="M4668" s="33"/>
      <c r="N4668" s="33"/>
      <c r="O4668" s="33"/>
      <c r="P4668" s="33"/>
      <c r="Q4668" s="33"/>
      <c r="R4668" s="33"/>
      <c r="S4668" s="33"/>
      <c r="T4668" s="33"/>
      <c r="U4668" s="33"/>
      <c r="V4668" s="33"/>
      <c r="W4668" s="33"/>
      <c r="X4668" s="33"/>
      <c r="Y4668" s="33"/>
      <c r="Z4668" s="33"/>
      <c r="AA4668" s="33"/>
      <c r="AB4668" s="33"/>
      <c r="AC4668" s="33"/>
      <c r="AD4668" s="33"/>
      <c r="AE4668" s="33"/>
      <c r="AF4668" s="33"/>
      <c r="AG4668" s="33"/>
      <c r="AH4668" s="33"/>
      <c r="AI4668" s="33"/>
      <c r="AJ4668" s="33"/>
      <c r="AK4668" s="33"/>
    </row>
    <row r="4669">
      <c r="A4669" s="33"/>
      <c r="B4669" s="33"/>
      <c r="C4669" s="33"/>
      <c r="D4669" s="33"/>
      <c r="E4669" s="33"/>
      <c r="F4669" s="33"/>
      <c r="G4669" s="33"/>
      <c r="H4669" s="33"/>
      <c r="I4669" s="33"/>
      <c r="J4669" s="33"/>
      <c r="K4669" s="33"/>
      <c r="L4669" s="33"/>
      <c r="M4669" s="33"/>
      <c r="N4669" s="33"/>
      <c r="O4669" s="33"/>
      <c r="P4669" s="33"/>
      <c r="Q4669" s="33"/>
      <c r="R4669" s="33"/>
      <c r="S4669" s="33"/>
      <c r="T4669" s="33"/>
      <c r="U4669" s="33"/>
      <c r="V4669" s="33"/>
      <c r="W4669" s="33"/>
      <c r="X4669" s="33"/>
      <c r="Y4669" s="33"/>
      <c r="Z4669" s="33"/>
      <c r="AA4669" s="33"/>
      <c r="AB4669" s="33"/>
      <c r="AC4669" s="33"/>
      <c r="AD4669" s="33"/>
      <c r="AE4669" s="33"/>
      <c r="AF4669" s="33"/>
      <c r="AG4669" s="33"/>
      <c r="AH4669" s="33"/>
      <c r="AI4669" s="33"/>
      <c r="AJ4669" s="33"/>
      <c r="AK4669" s="33"/>
    </row>
    <row r="4670">
      <c r="A4670" s="33"/>
      <c r="B4670" s="33"/>
      <c r="C4670" s="33"/>
      <c r="D4670" s="33"/>
      <c r="E4670" s="33"/>
      <c r="F4670" s="33"/>
      <c r="G4670" s="33"/>
      <c r="H4670" s="33"/>
      <c r="I4670" s="33"/>
      <c r="J4670" s="33"/>
      <c r="K4670" s="33"/>
      <c r="L4670" s="33"/>
      <c r="M4670" s="33"/>
      <c r="N4670" s="33"/>
      <c r="O4670" s="33"/>
      <c r="P4670" s="33"/>
      <c r="Q4670" s="33"/>
      <c r="R4670" s="33"/>
      <c r="S4670" s="33"/>
      <c r="T4670" s="33"/>
      <c r="U4670" s="33"/>
      <c r="V4670" s="33"/>
      <c r="W4670" s="33"/>
      <c r="X4670" s="33"/>
      <c r="Y4670" s="33"/>
      <c r="Z4670" s="33"/>
      <c r="AA4670" s="33"/>
      <c r="AB4670" s="33"/>
      <c r="AC4670" s="33"/>
      <c r="AD4670" s="33"/>
      <c r="AE4670" s="33"/>
      <c r="AF4670" s="33"/>
      <c r="AG4670" s="33"/>
      <c r="AH4670" s="33"/>
      <c r="AI4670" s="33"/>
      <c r="AJ4670" s="33"/>
      <c r="AK4670" s="33"/>
    </row>
    <row r="4671">
      <c r="A4671" s="33"/>
      <c r="B4671" s="33"/>
      <c r="C4671" s="33"/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33"/>
      <c r="Q4671" s="33"/>
      <c r="R4671" s="33"/>
      <c r="S4671" s="33"/>
      <c r="T4671" s="33"/>
      <c r="U4671" s="33"/>
      <c r="V4671" s="33"/>
      <c r="W4671" s="33"/>
      <c r="X4671" s="33"/>
      <c r="Y4671" s="33"/>
      <c r="Z4671" s="33"/>
      <c r="AA4671" s="33"/>
      <c r="AB4671" s="33"/>
      <c r="AC4671" s="33"/>
      <c r="AD4671" s="33"/>
      <c r="AE4671" s="33"/>
      <c r="AF4671" s="33"/>
      <c r="AG4671" s="33"/>
      <c r="AH4671" s="33"/>
      <c r="AI4671" s="33"/>
      <c r="AJ4671" s="33"/>
      <c r="AK4671" s="33"/>
    </row>
    <row r="4672">
      <c r="A4672" s="33"/>
      <c r="B4672" s="33"/>
      <c r="C4672" s="33"/>
      <c r="D4672" s="33"/>
      <c r="E4672" s="33"/>
      <c r="F4672" s="33"/>
      <c r="G4672" s="33"/>
      <c r="H4672" s="33"/>
      <c r="I4672" s="33"/>
      <c r="J4672" s="33"/>
      <c r="K4672" s="33"/>
      <c r="L4672" s="33"/>
      <c r="M4672" s="33"/>
      <c r="N4672" s="33"/>
      <c r="O4672" s="33"/>
      <c r="P4672" s="33"/>
      <c r="Q4672" s="33"/>
      <c r="R4672" s="33"/>
      <c r="S4672" s="33"/>
      <c r="T4672" s="33"/>
      <c r="U4672" s="33"/>
      <c r="V4672" s="33"/>
      <c r="W4672" s="33"/>
      <c r="X4672" s="33"/>
      <c r="Y4672" s="33"/>
      <c r="Z4672" s="33"/>
      <c r="AA4672" s="33"/>
      <c r="AB4672" s="33"/>
      <c r="AC4672" s="33"/>
      <c r="AD4672" s="33"/>
      <c r="AE4672" s="33"/>
      <c r="AF4672" s="33"/>
      <c r="AG4672" s="33"/>
      <c r="AH4672" s="33"/>
      <c r="AI4672" s="33"/>
      <c r="AJ4672" s="33"/>
      <c r="AK4672" s="33"/>
    </row>
    <row r="4673">
      <c r="A4673" s="33"/>
      <c r="B4673" s="33"/>
      <c r="C4673" s="33"/>
      <c r="D4673" s="33"/>
      <c r="E4673" s="33"/>
      <c r="F4673" s="33"/>
      <c r="G4673" s="33"/>
      <c r="H4673" s="33"/>
      <c r="I4673" s="33"/>
      <c r="J4673" s="33"/>
      <c r="K4673" s="33"/>
      <c r="L4673" s="33"/>
      <c r="M4673" s="33"/>
      <c r="N4673" s="33"/>
      <c r="O4673" s="33"/>
      <c r="P4673" s="33"/>
      <c r="Q4673" s="33"/>
      <c r="R4673" s="33"/>
      <c r="S4673" s="33"/>
      <c r="T4673" s="33"/>
      <c r="U4673" s="33"/>
      <c r="V4673" s="33"/>
      <c r="W4673" s="33"/>
      <c r="X4673" s="33"/>
      <c r="Y4673" s="33"/>
      <c r="Z4673" s="33"/>
      <c r="AA4673" s="33"/>
      <c r="AB4673" s="33"/>
      <c r="AC4673" s="33"/>
      <c r="AD4673" s="33"/>
      <c r="AE4673" s="33"/>
      <c r="AF4673" s="33"/>
      <c r="AG4673" s="33"/>
      <c r="AH4673" s="33"/>
      <c r="AI4673" s="33"/>
      <c r="AJ4673" s="33"/>
      <c r="AK4673" s="33"/>
    </row>
    <row r="4674">
      <c r="A4674" s="33"/>
      <c r="B4674" s="33"/>
      <c r="C4674" s="33"/>
      <c r="D4674" s="33"/>
      <c r="E4674" s="33"/>
      <c r="F4674" s="33"/>
      <c r="G4674" s="33"/>
      <c r="H4674" s="33"/>
      <c r="I4674" s="33"/>
      <c r="J4674" s="33"/>
      <c r="K4674" s="33"/>
      <c r="L4674" s="33"/>
      <c r="M4674" s="33"/>
      <c r="N4674" s="33"/>
      <c r="O4674" s="33"/>
      <c r="P4674" s="33"/>
      <c r="Q4674" s="33"/>
      <c r="R4674" s="33"/>
      <c r="S4674" s="33"/>
      <c r="T4674" s="33"/>
      <c r="U4674" s="33"/>
      <c r="V4674" s="33"/>
      <c r="W4674" s="33"/>
      <c r="X4674" s="33"/>
      <c r="Y4674" s="33"/>
      <c r="Z4674" s="33"/>
      <c r="AA4674" s="33"/>
      <c r="AB4674" s="33"/>
      <c r="AC4674" s="33"/>
      <c r="AD4674" s="33"/>
      <c r="AE4674" s="33"/>
      <c r="AF4674" s="33"/>
      <c r="AG4674" s="33"/>
      <c r="AH4674" s="33"/>
      <c r="AI4674" s="33"/>
      <c r="AJ4674" s="33"/>
      <c r="AK4674" s="33"/>
    </row>
    <row r="4675">
      <c r="A4675" s="33"/>
      <c r="B4675" s="33"/>
      <c r="C4675" s="33"/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  <c r="Q4675" s="33"/>
      <c r="R4675" s="33"/>
      <c r="S4675" s="33"/>
      <c r="T4675" s="33"/>
      <c r="U4675" s="33"/>
      <c r="V4675" s="33"/>
      <c r="W4675" s="33"/>
      <c r="X4675" s="33"/>
      <c r="Y4675" s="33"/>
      <c r="Z4675" s="33"/>
      <c r="AA4675" s="33"/>
      <c r="AB4675" s="33"/>
      <c r="AC4675" s="33"/>
      <c r="AD4675" s="33"/>
      <c r="AE4675" s="33"/>
      <c r="AF4675" s="33"/>
      <c r="AG4675" s="33"/>
      <c r="AH4675" s="33"/>
      <c r="AI4675" s="33"/>
      <c r="AJ4675" s="33"/>
      <c r="AK4675" s="33"/>
    </row>
    <row r="4676">
      <c r="A4676" s="33"/>
      <c r="B4676" s="33"/>
      <c r="C4676" s="33"/>
      <c r="D4676" s="33"/>
      <c r="E4676" s="33"/>
      <c r="F4676" s="33"/>
      <c r="G4676" s="33"/>
      <c r="H4676" s="33"/>
      <c r="I4676" s="33"/>
      <c r="J4676" s="33"/>
      <c r="K4676" s="33"/>
      <c r="L4676" s="33"/>
      <c r="M4676" s="33"/>
      <c r="N4676" s="33"/>
      <c r="O4676" s="33"/>
      <c r="P4676" s="33"/>
      <c r="Q4676" s="33"/>
      <c r="R4676" s="33"/>
      <c r="S4676" s="33"/>
      <c r="T4676" s="33"/>
      <c r="U4676" s="33"/>
      <c r="V4676" s="33"/>
      <c r="W4676" s="33"/>
      <c r="X4676" s="33"/>
      <c r="Y4676" s="33"/>
      <c r="Z4676" s="33"/>
      <c r="AA4676" s="33"/>
      <c r="AB4676" s="33"/>
      <c r="AC4676" s="33"/>
      <c r="AD4676" s="33"/>
      <c r="AE4676" s="33"/>
      <c r="AF4676" s="33"/>
      <c r="AG4676" s="33"/>
      <c r="AH4676" s="33"/>
      <c r="AI4676" s="33"/>
      <c r="AJ4676" s="33"/>
      <c r="AK4676" s="33"/>
    </row>
    <row r="4677">
      <c r="A4677" s="33"/>
      <c r="B4677" s="33"/>
      <c r="C4677" s="33"/>
      <c r="D4677" s="33"/>
      <c r="E4677" s="33"/>
      <c r="F4677" s="33"/>
      <c r="G4677" s="33"/>
      <c r="H4677" s="33"/>
      <c r="I4677" s="33"/>
      <c r="J4677" s="33"/>
      <c r="K4677" s="33"/>
      <c r="L4677" s="33"/>
      <c r="M4677" s="33"/>
      <c r="N4677" s="33"/>
      <c r="O4677" s="33"/>
      <c r="P4677" s="33"/>
      <c r="Q4677" s="33"/>
      <c r="R4677" s="33"/>
      <c r="S4677" s="33"/>
      <c r="T4677" s="33"/>
      <c r="U4677" s="33"/>
      <c r="V4677" s="33"/>
      <c r="W4677" s="33"/>
      <c r="X4677" s="33"/>
      <c r="Y4677" s="33"/>
      <c r="Z4677" s="33"/>
      <c r="AA4677" s="33"/>
      <c r="AB4677" s="33"/>
      <c r="AC4677" s="33"/>
      <c r="AD4677" s="33"/>
      <c r="AE4677" s="33"/>
      <c r="AF4677" s="33"/>
      <c r="AG4677" s="33"/>
      <c r="AH4677" s="33"/>
      <c r="AI4677" s="33"/>
      <c r="AJ4677" s="33"/>
      <c r="AK4677" s="33"/>
    </row>
    <row r="4678">
      <c r="A4678" s="33"/>
      <c r="B4678" s="33"/>
      <c r="C4678" s="33"/>
      <c r="D4678" s="33"/>
      <c r="E4678" s="33"/>
      <c r="F4678" s="33"/>
      <c r="G4678" s="33"/>
      <c r="H4678" s="33"/>
      <c r="I4678" s="33"/>
      <c r="J4678" s="33"/>
      <c r="K4678" s="33"/>
      <c r="L4678" s="33"/>
      <c r="M4678" s="33"/>
      <c r="N4678" s="33"/>
      <c r="O4678" s="33"/>
      <c r="P4678" s="33"/>
      <c r="Q4678" s="33"/>
      <c r="R4678" s="33"/>
      <c r="S4678" s="33"/>
      <c r="T4678" s="33"/>
      <c r="U4678" s="33"/>
      <c r="V4678" s="33"/>
      <c r="W4678" s="33"/>
      <c r="X4678" s="33"/>
      <c r="Y4678" s="33"/>
      <c r="Z4678" s="33"/>
      <c r="AA4678" s="33"/>
      <c r="AB4678" s="33"/>
      <c r="AC4678" s="33"/>
      <c r="AD4678" s="33"/>
      <c r="AE4678" s="33"/>
      <c r="AF4678" s="33"/>
      <c r="AG4678" s="33"/>
      <c r="AH4678" s="33"/>
      <c r="AI4678" s="33"/>
      <c r="AJ4678" s="33"/>
      <c r="AK4678" s="33"/>
    </row>
    <row r="4679">
      <c r="A4679" s="33"/>
      <c r="B4679" s="33"/>
      <c r="C4679" s="33"/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  <c r="Q4679" s="33"/>
      <c r="R4679" s="33"/>
      <c r="S4679" s="33"/>
      <c r="T4679" s="33"/>
      <c r="U4679" s="33"/>
      <c r="V4679" s="33"/>
      <c r="W4679" s="33"/>
      <c r="X4679" s="33"/>
      <c r="Y4679" s="33"/>
      <c r="Z4679" s="33"/>
      <c r="AA4679" s="33"/>
      <c r="AB4679" s="33"/>
      <c r="AC4679" s="33"/>
      <c r="AD4679" s="33"/>
      <c r="AE4679" s="33"/>
      <c r="AF4679" s="33"/>
      <c r="AG4679" s="33"/>
      <c r="AH4679" s="33"/>
      <c r="AI4679" s="33"/>
      <c r="AJ4679" s="33"/>
      <c r="AK4679" s="33"/>
    </row>
    <row r="4680">
      <c r="A4680" s="33"/>
      <c r="B4680" s="33"/>
      <c r="C4680" s="33"/>
      <c r="D4680" s="33"/>
      <c r="E4680" s="33"/>
      <c r="F4680" s="33"/>
      <c r="G4680" s="33"/>
      <c r="H4680" s="33"/>
      <c r="I4680" s="33"/>
      <c r="J4680" s="33"/>
      <c r="K4680" s="33"/>
      <c r="L4680" s="33"/>
      <c r="M4680" s="33"/>
      <c r="N4680" s="33"/>
      <c r="O4680" s="33"/>
      <c r="P4680" s="33"/>
      <c r="Q4680" s="33"/>
      <c r="R4680" s="33"/>
      <c r="S4680" s="33"/>
      <c r="T4680" s="33"/>
      <c r="U4680" s="33"/>
      <c r="V4680" s="33"/>
      <c r="W4680" s="33"/>
      <c r="X4680" s="33"/>
      <c r="Y4680" s="33"/>
      <c r="Z4680" s="33"/>
      <c r="AA4680" s="33"/>
      <c r="AB4680" s="33"/>
      <c r="AC4680" s="33"/>
      <c r="AD4680" s="33"/>
      <c r="AE4680" s="33"/>
      <c r="AF4680" s="33"/>
      <c r="AG4680" s="33"/>
      <c r="AH4680" s="33"/>
      <c r="AI4680" s="33"/>
      <c r="AJ4680" s="33"/>
      <c r="AK4680" s="33"/>
    </row>
    <row r="4681">
      <c r="A4681" s="33"/>
      <c r="B4681" s="33"/>
      <c r="C4681" s="33"/>
      <c r="D4681" s="33"/>
      <c r="E4681" s="33"/>
      <c r="F4681" s="33"/>
      <c r="G4681" s="33"/>
      <c r="H4681" s="33"/>
      <c r="I4681" s="33"/>
      <c r="J4681" s="33"/>
      <c r="K4681" s="33"/>
      <c r="L4681" s="33"/>
      <c r="M4681" s="33"/>
      <c r="N4681" s="33"/>
      <c r="O4681" s="33"/>
      <c r="P4681" s="33"/>
      <c r="Q4681" s="33"/>
      <c r="R4681" s="33"/>
      <c r="S4681" s="33"/>
      <c r="T4681" s="33"/>
      <c r="U4681" s="33"/>
      <c r="V4681" s="33"/>
      <c r="W4681" s="33"/>
      <c r="X4681" s="33"/>
      <c r="Y4681" s="33"/>
      <c r="Z4681" s="33"/>
      <c r="AA4681" s="33"/>
      <c r="AB4681" s="33"/>
      <c r="AC4681" s="33"/>
      <c r="AD4681" s="33"/>
      <c r="AE4681" s="33"/>
      <c r="AF4681" s="33"/>
      <c r="AG4681" s="33"/>
      <c r="AH4681" s="33"/>
      <c r="AI4681" s="33"/>
      <c r="AJ4681" s="33"/>
      <c r="AK4681" s="33"/>
    </row>
    <row r="4682">
      <c r="A4682" s="33"/>
      <c r="B4682" s="33"/>
      <c r="C4682" s="33"/>
      <c r="D4682" s="33"/>
      <c r="E4682" s="33"/>
      <c r="F4682" s="33"/>
      <c r="G4682" s="33"/>
      <c r="H4682" s="33"/>
      <c r="I4682" s="33"/>
      <c r="J4682" s="33"/>
      <c r="K4682" s="33"/>
      <c r="L4682" s="33"/>
      <c r="M4682" s="33"/>
      <c r="N4682" s="33"/>
      <c r="O4682" s="33"/>
      <c r="P4682" s="33"/>
      <c r="Q4682" s="33"/>
      <c r="R4682" s="33"/>
      <c r="S4682" s="33"/>
      <c r="T4682" s="33"/>
      <c r="U4682" s="33"/>
      <c r="V4682" s="33"/>
      <c r="W4682" s="33"/>
      <c r="X4682" s="33"/>
      <c r="Y4682" s="33"/>
      <c r="Z4682" s="33"/>
      <c r="AA4682" s="33"/>
      <c r="AB4682" s="33"/>
      <c r="AC4682" s="33"/>
      <c r="AD4682" s="33"/>
      <c r="AE4682" s="33"/>
      <c r="AF4682" s="33"/>
      <c r="AG4682" s="33"/>
      <c r="AH4682" s="33"/>
      <c r="AI4682" s="33"/>
      <c r="AJ4682" s="33"/>
      <c r="AK4682" s="33"/>
    </row>
    <row r="4683">
      <c r="A4683" s="33"/>
      <c r="B4683" s="33"/>
      <c r="C4683" s="33"/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33"/>
      <c r="Q4683" s="33"/>
      <c r="R4683" s="33"/>
      <c r="S4683" s="33"/>
      <c r="T4683" s="33"/>
      <c r="U4683" s="33"/>
      <c r="V4683" s="33"/>
      <c r="W4683" s="33"/>
      <c r="X4683" s="33"/>
      <c r="Y4683" s="33"/>
      <c r="Z4683" s="33"/>
      <c r="AA4683" s="33"/>
      <c r="AB4683" s="33"/>
      <c r="AC4683" s="33"/>
      <c r="AD4683" s="33"/>
      <c r="AE4683" s="33"/>
      <c r="AF4683" s="33"/>
      <c r="AG4683" s="33"/>
      <c r="AH4683" s="33"/>
      <c r="AI4683" s="33"/>
      <c r="AJ4683" s="33"/>
      <c r="AK4683" s="33"/>
    </row>
    <row r="4684">
      <c r="A4684" s="33"/>
      <c r="B4684" s="33"/>
      <c r="C4684" s="33"/>
      <c r="D4684" s="33"/>
      <c r="E4684" s="33"/>
      <c r="F4684" s="33"/>
      <c r="G4684" s="33"/>
      <c r="H4684" s="33"/>
      <c r="I4684" s="33"/>
      <c r="J4684" s="33"/>
      <c r="K4684" s="33"/>
      <c r="L4684" s="33"/>
      <c r="M4684" s="33"/>
      <c r="N4684" s="33"/>
      <c r="O4684" s="33"/>
      <c r="P4684" s="33"/>
      <c r="Q4684" s="33"/>
      <c r="R4684" s="33"/>
      <c r="S4684" s="33"/>
      <c r="T4684" s="33"/>
      <c r="U4684" s="33"/>
      <c r="V4684" s="33"/>
      <c r="W4684" s="33"/>
      <c r="X4684" s="33"/>
      <c r="Y4684" s="33"/>
      <c r="Z4684" s="33"/>
      <c r="AA4684" s="33"/>
      <c r="AB4684" s="33"/>
      <c r="AC4684" s="33"/>
      <c r="AD4684" s="33"/>
      <c r="AE4684" s="33"/>
      <c r="AF4684" s="33"/>
      <c r="AG4684" s="33"/>
      <c r="AH4684" s="33"/>
      <c r="AI4684" s="33"/>
      <c r="AJ4684" s="33"/>
      <c r="AK4684" s="33"/>
    </row>
    <row r="4685">
      <c r="A4685" s="33"/>
      <c r="B4685" s="33"/>
      <c r="C4685" s="33"/>
      <c r="D4685" s="33"/>
      <c r="E4685" s="33"/>
      <c r="F4685" s="33"/>
      <c r="G4685" s="33"/>
      <c r="H4685" s="33"/>
      <c r="I4685" s="33"/>
      <c r="J4685" s="33"/>
      <c r="K4685" s="33"/>
      <c r="L4685" s="33"/>
      <c r="M4685" s="33"/>
      <c r="N4685" s="33"/>
      <c r="O4685" s="33"/>
      <c r="P4685" s="33"/>
      <c r="Q4685" s="33"/>
      <c r="R4685" s="33"/>
      <c r="S4685" s="33"/>
      <c r="T4685" s="33"/>
      <c r="U4685" s="33"/>
      <c r="V4685" s="33"/>
      <c r="W4685" s="33"/>
      <c r="X4685" s="33"/>
      <c r="Y4685" s="33"/>
      <c r="Z4685" s="33"/>
      <c r="AA4685" s="33"/>
      <c r="AB4685" s="33"/>
      <c r="AC4685" s="33"/>
      <c r="AD4685" s="33"/>
      <c r="AE4685" s="33"/>
      <c r="AF4685" s="33"/>
      <c r="AG4685" s="33"/>
      <c r="AH4685" s="33"/>
      <c r="AI4685" s="33"/>
      <c r="AJ4685" s="33"/>
      <c r="AK4685" s="33"/>
    </row>
    <row r="4686">
      <c r="A4686" s="33"/>
      <c r="B4686" s="33"/>
      <c r="C4686" s="33"/>
      <c r="D4686" s="33"/>
      <c r="E4686" s="33"/>
      <c r="F4686" s="33"/>
      <c r="G4686" s="33"/>
      <c r="H4686" s="33"/>
      <c r="I4686" s="33"/>
      <c r="J4686" s="33"/>
      <c r="K4686" s="33"/>
      <c r="L4686" s="33"/>
      <c r="M4686" s="33"/>
      <c r="N4686" s="33"/>
      <c r="O4686" s="33"/>
      <c r="P4686" s="33"/>
      <c r="Q4686" s="33"/>
      <c r="R4686" s="33"/>
      <c r="S4686" s="33"/>
      <c r="T4686" s="33"/>
      <c r="U4686" s="33"/>
      <c r="V4686" s="33"/>
      <c r="W4686" s="33"/>
      <c r="X4686" s="33"/>
      <c r="Y4686" s="33"/>
      <c r="Z4686" s="33"/>
      <c r="AA4686" s="33"/>
      <c r="AB4686" s="33"/>
      <c r="AC4686" s="33"/>
      <c r="AD4686" s="33"/>
      <c r="AE4686" s="33"/>
      <c r="AF4686" s="33"/>
      <c r="AG4686" s="33"/>
      <c r="AH4686" s="33"/>
      <c r="AI4686" s="33"/>
      <c r="AJ4686" s="33"/>
      <c r="AK4686" s="33"/>
    </row>
    <row r="4687">
      <c r="A4687" s="33"/>
      <c r="B4687" s="33"/>
      <c r="C4687" s="33"/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  <c r="Q4687" s="33"/>
      <c r="R4687" s="33"/>
      <c r="S4687" s="33"/>
      <c r="T4687" s="33"/>
      <c r="U4687" s="33"/>
      <c r="V4687" s="33"/>
      <c r="W4687" s="33"/>
      <c r="X4687" s="33"/>
      <c r="Y4687" s="33"/>
      <c r="Z4687" s="33"/>
      <c r="AA4687" s="33"/>
      <c r="AB4687" s="33"/>
      <c r="AC4687" s="33"/>
      <c r="AD4687" s="33"/>
      <c r="AE4687" s="33"/>
      <c r="AF4687" s="33"/>
      <c r="AG4687" s="33"/>
      <c r="AH4687" s="33"/>
      <c r="AI4687" s="33"/>
      <c r="AJ4687" s="33"/>
      <c r="AK4687" s="33"/>
    </row>
    <row r="4688">
      <c r="A4688" s="33"/>
      <c r="B4688" s="33"/>
      <c r="C4688" s="33"/>
      <c r="D4688" s="33"/>
      <c r="E4688" s="33"/>
      <c r="F4688" s="33"/>
      <c r="G4688" s="33"/>
      <c r="H4688" s="33"/>
      <c r="I4688" s="33"/>
      <c r="J4688" s="33"/>
      <c r="K4688" s="33"/>
      <c r="L4688" s="33"/>
      <c r="M4688" s="33"/>
      <c r="N4688" s="33"/>
      <c r="O4688" s="33"/>
      <c r="P4688" s="33"/>
      <c r="Q4688" s="33"/>
      <c r="R4688" s="33"/>
      <c r="S4688" s="33"/>
      <c r="T4688" s="33"/>
      <c r="U4688" s="33"/>
      <c r="V4688" s="33"/>
      <c r="W4688" s="33"/>
      <c r="X4688" s="33"/>
      <c r="Y4688" s="33"/>
      <c r="Z4688" s="33"/>
      <c r="AA4688" s="33"/>
      <c r="AB4688" s="33"/>
      <c r="AC4688" s="33"/>
      <c r="AD4688" s="33"/>
      <c r="AE4688" s="33"/>
      <c r="AF4688" s="33"/>
      <c r="AG4688" s="33"/>
      <c r="AH4688" s="33"/>
      <c r="AI4688" s="33"/>
      <c r="AJ4688" s="33"/>
      <c r="AK4688" s="33"/>
    </row>
    <row r="4689">
      <c r="A4689" s="33"/>
      <c r="B4689" s="33"/>
      <c r="C4689" s="33"/>
      <c r="D4689" s="33"/>
      <c r="E4689" s="33"/>
      <c r="F4689" s="33"/>
      <c r="G4689" s="33"/>
      <c r="H4689" s="33"/>
      <c r="I4689" s="33"/>
      <c r="J4689" s="33"/>
      <c r="K4689" s="33"/>
      <c r="L4689" s="33"/>
      <c r="M4689" s="33"/>
      <c r="N4689" s="33"/>
      <c r="O4689" s="33"/>
      <c r="P4689" s="33"/>
      <c r="Q4689" s="33"/>
      <c r="R4689" s="33"/>
      <c r="S4689" s="33"/>
      <c r="T4689" s="33"/>
      <c r="U4689" s="33"/>
      <c r="V4689" s="33"/>
      <c r="W4689" s="33"/>
      <c r="X4689" s="33"/>
      <c r="Y4689" s="33"/>
      <c r="Z4689" s="33"/>
      <c r="AA4689" s="33"/>
      <c r="AB4689" s="33"/>
      <c r="AC4689" s="33"/>
      <c r="AD4689" s="33"/>
      <c r="AE4689" s="33"/>
      <c r="AF4689" s="33"/>
      <c r="AG4689" s="33"/>
      <c r="AH4689" s="33"/>
      <c r="AI4689" s="33"/>
      <c r="AJ4689" s="33"/>
      <c r="AK4689" s="33"/>
    </row>
    <row r="4690">
      <c r="A4690" s="33"/>
      <c r="B4690" s="33"/>
      <c r="C4690" s="33"/>
      <c r="D4690" s="33"/>
      <c r="E4690" s="33"/>
      <c r="F4690" s="33"/>
      <c r="G4690" s="33"/>
      <c r="H4690" s="33"/>
      <c r="I4690" s="33"/>
      <c r="J4690" s="33"/>
      <c r="K4690" s="33"/>
      <c r="L4690" s="33"/>
      <c r="M4690" s="33"/>
      <c r="N4690" s="33"/>
      <c r="O4690" s="33"/>
      <c r="P4690" s="33"/>
      <c r="Q4690" s="33"/>
      <c r="R4690" s="33"/>
      <c r="S4690" s="33"/>
      <c r="T4690" s="33"/>
      <c r="U4690" s="33"/>
      <c r="V4690" s="33"/>
      <c r="W4690" s="33"/>
      <c r="X4690" s="33"/>
      <c r="Y4690" s="33"/>
      <c r="Z4690" s="33"/>
      <c r="AA4690" s="33"/>
      <c r="AB4690" s="33"/>
      <c r="AC4690" s="33"/>
      <c r="AD4690" s="33"/>
      <c r="AE4690" s="33"/>
      <c r="AF4690" s="33"/>
      <c r="AG4690" s="33"/>
      <c r="AH4690" s="33"/>
      <c r="AI4690" s="33"/>
      <c r="AJ4690" s="33"/>
      <c r="AK4690" s="33"/>
    </row>
    <row r="4691">
      <c r="A4691" s="33"/>
      <c r="B4691" s="33"/>
      <c r="C4691" s="33"/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  <c r="Q4691" s="33"/>
      <c r="R4691" s="33"/>
      <c r="S4691" s="33"/>
      <c r="T4691" s="33"/>
      <c r="U4691" s="33"/>
      <c r="V4691" s="33"/>
      <c r="W4691" s="33"/>
      <c r="X4691" s="33"/>
      <c r="Y4691" s="33"/>
      <c r="Z4691" s="33"/>
      <c r="AA4691" s="33"/>
      <c r="AB4691" s="33"/>
      <c r="AC4691" s="33"/>
      <c r="AD4691" s="33"/>
      <c r="AE4691" s="33"/>
      <c r="AF4691" s="33"/>
      <c r="AG4691" s="33"/>
      <c r="AH4691" s="33"/>
      <c r="AI4691" s="33"/>
      <c r="AJ4691" s="33"/>
      <c r="AK4691" s="33"/>
    </row>
    <row r="4692">
      <c r="A4692" s="33"/>
      <c r="B4692" s="33"/>
      <c r="C4692" s="33"/>
      <c r="D4692" s="33"/>
      <c r="E4692" s="33"/>
      <c r="F4692" s="33"/>
      <c r="G4692" s="33"/>
      <c r="H4692" s="33"/>
      <c r="I4692" s="33"/>
      <c r="J4692" s="33"/>
      <c r="K4692" s="33"/>
      <c r="L4692" s="33"/>
      <c r="M4692" s="33"/>
      <c r="N4692" s="33"/>
      <c r="O4692" s="33"/>
      <c r="P4692" s="33"/>
      <c r="Q4692" s="33"/>
      <c r="R4692" s="33"/>
      <c r="S4692" s="33"/>
      <c r="T4692" s="33"/>
      <c r="U4692" s="33"/>
      <c r="V4692" s="33"/>
      <c r="W4692" s="33"/>
      <c r="X4692" s="33"/>
      <c r="Y4692" s="33"/>
      <c r="Z4692" s="33"/>
      <c r="AA4692" s="33"/>
      <c r="AB4692" s="33"/>
      <c r="AC4692" s="33"/>
      <c r="AD4692" s="33"/>
      <c r="AE4692" s="33"/>
      <c r="AF4692" s="33"/>
      <c r="AG4692" s="33"/>
      <c r="AH4692" s="33"/>
      <c r="AI4692" s="33"/>
      <c r="AJ4692" s="33"/>
      <c r="AK4692" s="33"/>
    </row>
    <row r="4693">
      <c r="A4693" s="33"/>
      <c r="B4693" s="33"/>
      <c r="C4693" s="33"/>
      <c r="D4693" s="33"/>
      <c r="E4693" s="33"/>
      <c r="F4693" s="33"/>
      <c r="G4693" s="33"/>
      <c r="H4693" s="33"/>
      <c r="I4693" s="33"/>
      <c r="J4693" s="33"/>
      <c r="K4693" s="33"/>
      <c r="L4693" s="33"/>
      <c r="M4693" s="33"/>
      <c r="N4693" s="33"/>
      <c r="O4693" s="33"/>
      <c r="P4693" s="33"/>
      <c r="Q4693" s="33"/>
      <c r="R4693" s="33"/>
      <c r="S4693" s="33"/>
      <c r="T4693" s="33"/>
      <c r="U4693" s="33"/>
      <c r="V4693" s="33"/>
      <c r="W4693" s="33"/>
      <c r="X4693" s="33"/>
      <c r="Y4693" s="33"/>
      <c r="Z4693" s="33"/>
      <c r="AA4693" s="33"/>
      <c r="AB4693" s="33"/>
      <c r="AC4693" s="33"/>
      <c r="AD4693" s="33"/>
      <c r="AE4693" s="33"/>
      <c r="AF4693" s="33"/>
      <c r="AG4693" s="33"/>
      <c r="AH4693" s="33"/>
      <c r="AI4693" s="33"/>
      <c r="AJ4693" s="33"/>
      <c r="AK4693" s="33"/>
    </row>
    <row r="4694">
      <c r="A4694" s="33"/>
      <c r="B4694" s="33"/>
      <c r="C4694" s="33"/>
      <c r="D4694" s="33"/>
      <c r="E4694" s="33"/>
      <c r="F4694" s="33"/>
      <c r="G4694" s="33"/>
      <c r="H4694" s="33"/>
      <c r="I4694" s="33"/>
      <c r="J4694" s="33"/>
      <c r="K4694" s="33"/>
      <c r="L4694" s="33"/>
      <c r="M4694" s="33"/>
      <c r="N4694" s="33"/>
      <c r="O4694" s="33"/>
      <c r="P4694" s="33"/>
      <c r="Q4694" s="33"/>
      <c r="R4694" s="33"/>
      <c r="S4694" s="33"/>
      <c r="T4694" s="33"/>
      <c r="U4694" s="33"/>
      <c r="V4694" s="33"/>
      <c r="W4694" s="33"/>
      <c r="X4694" s="33"/>
      <c r="Y4694" s="33"/>
      <c r="Z4694" s="33"/>
      <c r="AA4694" s="33"/>
      <c r="AB4694" s="33"/>
      <c r="AC4694" s="33"/>
      <c r="AD4694" s="33"/>
      <c r="AE4694" s="33"/>
      <c r="AF4694" s="33"/>
      <c r="AG4694" s="33"/>
      <c r="AH4694" s="33"/>
      <c r="AI4694" s="33"/>
      <c r="AJ4694" s="33"/>
      <c r="AK4694" s="33"/>
    </row>
    <row r="4695">
      <c r="A4695" s="33"/>
      <c r="B4695" s="33"/>
      <c r="C4695" s="33"/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  <c r="Q4695" s="33"/>
      <c r="R4695" s="33"/>
      <c r="S4695" s="33"/>
      <c r="T4695" s="33"/>
      <c r="U4695" s="33"/>
      <c r="V4695" s="33"/>
      <c r="W4695" s="33"/>
      <c r="X4695" s="33"/>
      <c r="Y4695" s="33"/>
      <c r="Z4695" s="33"/>
      <c r="AA4695" s="33"/>
      <c r="AB4695" s="33"/>
      <c r="AC4695" s="33"/>
      <c r="AD4695" s="33"/>
      <c r="AE4695" s="33"/>
      <c r="AF4695" s="33"/>
      <c r="AG4695" s="33"/>
      <c r="AH4695" s="33"/>
      <c r="AI4695" s="33"/>
      <c r="AJ4695" s="33"/>
      <c r="AK4695" s="33"/>
    </row>
    <row r="4696">
      <c r="A4696" s="33"/>
      <c r="B4696" s="33"/>
      <c r="C4696" s="33"/>
      <c r="D4696" s="33"/>
      <c r="E4696" s="33"/>
      <c r="F4696" s="33"/>
      <c r="G4696" s="33"/>
      <c r="H4696" s="33"/>
      <c r="I4696" s="33"/>
      <c r="J4696" s="33"/>
      <c r="K4696" s="33"/>
      <c r="L4696" s="33"/>
      <c r="M4696" s="33"/>
      <c r="N4696" s="33"/>
      <c r="O4696" s="33"/>
      <c r="P4696" s="33"/>
      <c r="Q4696" s="33"/>
      <c r="R4696" s="33"/>
      <c r="S4696" s="33"/>
      <c r="T4696" s="33"/>
      <c r="U4696" s="33"/>
      <c r="V4696" s="33"/>
      <c r="W4696" s="33"/>
      <c r="X4696" s="33"/>
      <c r="Y4696" s="33"/>
      <c r="Z4696" s="33"/>
      <c r="AA4696" s="33"/>
      <c r="AB4696" s="33"/>
      <c r="AC4696" s="33"/>
      <c r="AD4696" s="33"/>
      <c r="AE4696" s="33"/>
      <c r="AF4696" s="33"/>
      <c r="AG4696" s="33"/>
      <c r="AH4696" s="33"/>
      <c r="AI4696" s="33"/>
      <c r="AJ4696" s="33"/>
      <c r="AK4696" s="33"/>
    </row>
    <row r="4697">
      <c r="A4697" s="33"/>
      <c r="B4697" s="33"/>
      <c r="C4697" s="33"/>
      <c r="D4697" s="33"/>
      <c r="E4697" s="33"/>
      <c r="F4697" s="33"/>
      <c r="G4697" s="33"/>
      <c r="H4697" s="33"/>
      <c r="I4697" s="33"/>
      <c r="J4697" s="33"/>
      <c r="K4697" s="33"/>
      <c r="L4697" s="33"/>
      <c r="M4697" s="33"/>
      <c r="N4697" s="33"/>
      <c r="O4697" s="33"/>
      <c r="P4697" s="33"/>
      <c r="Q4697" s="33"/>
      <c r="R4697" s="33"/>
      <c r="S4697" s="33"/>
      <c r="T4697" s="33"/>
      <c r="U4697" s="33"/>
      <c r="V4697" s="33"/>
      <c r="W4697" s="33"/>
      <c r="X4697" s="33"/>
      <c r="Y4697" s="33"/>
      <c r="Z4697" s="33"/>
      <c r="AA4697" s="33"/>
      <c r="AB4697" s="33"/>
      <c r="AC4697" s="33"/>
      <c r="AD4697" s="33"/>
      <c r="AE4697" s="33"/>
      <c r="AF4697" s="33"/>
      <c r="AG4697" s="33"/>
      <c r="AH4697" s="33"/>
      <c r="AI4697" s="33"/>
      <c r="AJ4697" s="33"/>
      <c r="AK4697" s="33"/>
    </row>
    <row r="4698">
      <c r="A4698" s="33"/>
      <c r="B4698" s="33"/>
      <c r="C4698" s="33"/>
      <c r="D4698" s="33"/>
      <c r="E4698" s="33"/>
      <c r="F4698" s="33"/>
      <c r="G4698" s="33"/>
      <c r="H4698" s="33"/>
      <c r="I4698" s="33"/>
      <c r="J4698" s="33"/>
      <c r="K4698" s="33"/>
      <c r="L4698" s="33"/>
      <c r="M4698" s="33"/>
      <c r="N4698" s="33"/>
      <c r="O4698" s="33"/>
      <c r="P4698" s="33"/>
      <c r="Q4698" s="33"/>
      <c r="R4698" s="33"/>
      <c r="S4698" s="33"/>
      <c r="T4698" s="33"/>
      <c r="U4698" s="33"/>
      <c r="V4698" s="33"/>
      <c r="W4698" s="33"/>
      <c r="X4698" s="33"/>
      <c r="Y4698" s="33"/>
      <c r="Z4698" s="33"/>
      <c r="AA4698" s="33"/>
      <c r="AB4698" s="33"/>
      <c r="AC4698" s="33"/>
      <c r="AD4698" s="33"/>
      <c r="AE4698" s="33"/>
      <c r="AF4698" s="33"/>
      <c r="AG4698" s="33"/>
      <c r="AH4698" s="33"/>
      <c r="AI4698" s="33"/>
      <c r="AJ4698" s="33"/>
      <c r="AK4698" s="33"/>
    </row>
    <row r="4699">
      <c r="A4699" s="33"/>
      <c r="B4699" s="33"/>
      <c r="C4699" s="33"/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  <c r="Q4699" s="33"/>
      <c r="R4699" s="33"/>
      <c r="S4699" s="33"/>
      <c r="T4699" s="33"/>
      <c r="U4699" s="33"/>
      <c r="V4699" s="33"/>
      <c r="W4699" s="33"/>
      <c r="X4699" s="33"/>
      <c r="Y4699" s="33"/>
      <c r="Z4699" s="33"/>
      <c r="AA4699" s="33"/>
      <c r="AB4699" s="33"/>
      <c r="AC4699" s="33"/>
      <c r="AD4699" s="33"/>
      <c r="AE4699" s="33"/>
      <c r="AF4699" s="33"/>
      <c r="AG4699" s="33"/>
      <c r="AH4699" s="33"/>
      <c r="AI4699" s="33"/>
      <c r="AJ4699" s="33"/>
      <c r="AK4699" s="33"/>
    </row>
    <row r="4700">
      <c r="A4700" s="33"/>
      <c r="B4700" s="33"/>
      <c r="C4700" s="33"/>
      <c r="D4700" s="33"/>
      <c r="E4700" s="33"/>
      <c r="F4700" s="33"/>
      <c r="G4700" s="33"/>
      <c r="H4700" s="33"/>
      <c r="I4700" s="33"/>
      <c r="J4700" s="33"/>
      <c r="K4700" s="33"/>
      <c r="L4700" s="33"/>
      <c r="M4700" s="33"/>
      <c r="N4700" s="33"/>
      <c r="O4700" s="33"/>
      <c r="P4700" s="33"/>
      <c r="Q4700" s="33"/>
      <c r="R4700" s="33"/>
      <c r="S4700" s="33"/>
      <c r="T4700" s="33"/>
      <c r="U4700" s="33"/>
      <c r="V4700" s="33"/>
      <c r="W4700" s="33"/>
      <c r="X4700" s="33"/>
      <c r="Y4700" s="33"/>
      <c r="Z4700" s="33"/>
      <c r="AA4700" s="33"/>
      <c r="AB4700" s="33"/>
      <c r="AC4700" s="33"/>
      <c r="AD4700" s="33"/>
      <c r="AE4700" s="33"/>
      <c r="AF4700" s="33"/>
      <c r="AG4700" s="33"/>
      <c r="AH4700" s="33"/>
      <c r="AI4700" s="33"/>
      <c r="AJ4700" s="33"/>
      <c r="AK4700" s="33"/>
    </row>
    <row r="4701">
      <c r="A4701" s="33"/>
      <c r="B4701" s="33"/>
      <c r="C4701" s="33"/>
      <c r="D4701" s="33"/>
      <c r="E4701" s="33"/>
      <c r="F4701" s="33"/>
      <c r="G4701" s="33"/>
      <c r="H4701" s="33"/>
      <c r="I4701" s="33"/>
      <c r="J4701" s="33"/>
      <c r="K4701" s="33"/>
      <c r="L4701" s="33"/>
      <c r="M4701" s="33"/>
      <c r="N4701" s="33"/>
      <c r="O4701" s="33"/>
      <c r="P4701" s="33"/>
      <c r="Q4701" s="33"/>
      <c r="R4701" s="33"/>
      <c r="S4701" s="33"/>
      <c r="T4701" s="33"/>
      <c r="U4701" s="33"/>
      <c r="V4701" s="33"/>
      <c r="W4701" s="33"/>
      <c r="X4701" s="33"/>
      <c r="Y4701" s="33"/>
      <c r="Z4701" s="33"/>
      <c r="AA4701" s="33"/>
      <c r="AB4701" s="33"/>
      <c r="AC4701" s="33"/>
      <c r="AD4701" s="33"/>
      <c r="AE4701" s="33"/>
      <c r="AF4701" s="33"/>
      <c r="AG4701" s="33"/>
      <c r="AH4701" s="33"/>
      <c r="AI4701" s="33"/>
      <c r="AJ4701" s="33"/>
      <c r="AK4701" s="33"/>
    </row>
    <row r="4702">
      <c r="A4702" s="33"/>
      <c r="B4702" s="33"/>
      <c r="C4702" s="33"/>
      <c r="D4702" s="33"/>
      <c r="E4702" s="33"/>
      <c r="F4702" s="33"/>
      <c r="G4702" s="33"/>
      <c r="H4702" s="33"/>
      <c r="I4702" s="33"/>
      <c r="J4702" s="33"/>
      <c r="K4702" s="33"/>
      <c r="L4702" s="33"/>
      <c r="M4702" s="33"/>
      <c r="N4702" s="33"/>
      <c r="O4702" s="33"/>
      <c r="P4702" s="33"/>
      <c r="Q4702" s="33"/>
      <c r="R4702" s="33"/>
      <c r="S4702" s="33"/>
      <c r="T4702" s="33"/>
      <c r="U4702" s="33"/>
      <c r="V4702" s="33"/>
      <c r="W4702" s="33"/>
      <c r="X4702" s="33"/>
      <c r="Y4702" s="33"/>
      <c r="Z4702" s="33"/>
      <c r="AA4702" s="33"/>
      <c r="AB4702" s="33"/>
      <c r="AC4702" s="33"/>
      <c r="AD4702" s="33"/>
      <c r="AE4702" s="33"/>
      <c r="AF4702" s="33"/>
      <c r="AG4702" s="33"/>
      <c r="AH4702" s="33"/>
      <c r="AI4702" s="33"/>
      <c r="AJ4702" s="33"/>
      <c r="AK4702" s="33"/>
    </row>
    <row r="4703">
      <c r="A4703" s="33"/>
      <c r="B4703" s="33"/>
      <c r="C4703" s="33"/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3"/>
      <c r="S4703" s="33"/>
      <c r="T4703" s="33"/>
      <c r="U4703" s="33"/>
      <c r="V4703" s="33"/>
      <c r="W4703" s="33"/>
      <c r="X4703" s="33"/>
      <c r="Y4703" s="33"/>
      <c r="Z4703" s="33"/>
      <c r="AA4703" s="33"/>
      <c r="AB4703" s="33"/>
      <c r="AC4703" s="33"/>
      <c r="AD4703" s="33"/>
      <c r="AE4703" s="33"/>
      <c r="AF4703" s="33"/>
      <c r="AG4703" s="33"/>
      <c r="AH4703" s="33"/>
      <c r="AI4703" s="33"/>
      <c r="AJ4703" s="33"/>
      <c r="AK4703" s="33"/>
    </row>
    <row r="4704">
      <c r="A4704" s="33"/>
      <c r="B4704" s="33"/>
      <c r="C4704" s="33"/>
      <c r="D4704" s="33"/>
      <c r="E4704" s="33"/>
      <c r="F4704" s="33"/>
      <c r="G4704" s="33"/>
      <c r="H4704" s="33"/>
      <c r="I4704" s="33"/>
      <c r="J4704" s="33"/>
      <c r="K4704" s="33"/>
      <c r="L4704" s="33"/>
      <c r="M4704" s="33"/>
      <c r="N4704" s="33"/>
      <c r="O4704" s="33"/>
      <c r="P4704" s="33"/>
      <c r="Q4704" s="33"/>
      <c r="R4704" s="33"/>
      <c r="S4704" s="33"/>
      <c r="T4704" s="33"/>
      <c r="U4704" s="33"/>
      <c r="V4704" s="33"/>
      <c r="W4704" s="33"/>
      <c r="X4704" s="33"/>
      <c r="Y4704" s="33"/>
      <c r="Z4704" s="33"/>
      <c r="AA4704" s="33"/>
      <c r="AB4704" s="33"/>
      <c r="AC4704" s="33"/>
      <c r="AD4704" s="33"/>
      <c r="AE4704" s="33"/>
      <c r="AF4704" s="33"/>
      <c r="AG4704" s="33"/>
      <c r="AH4704" s="33"/>
      <c r="AI4704" s="33"/>
      <c r="AJ4704" s="33"/>
      <c r="AK4704" s="33"/>
    </row>
    <row r="4705">
      <c r="A4705" s="33"/>
      <c r="B4705" s="33"/>
      <c r="C4705" s="33"/>
      <c r="D4705" s="33"/>
      <c r="E4705" s="33"/>
      <c r="F4705" s="33"/>
      <c r="G4705" s="33"/>
      <c r="H4705" s="33"/>
      <c r="I4705" s="33"/>
      <c r="J4705" s="33"/>
      <c r="K4705" s="33"/>
      <c r="L4705" s="33"/>
      <c r="M4705" s="33"/>
      <c r="N4705" s="33"/>
      <c r="O4705" s="33"/>
      <c r="P4705" s="33"/>
      <c r="Q4705" s="33"/>
      <c r="R4705" s="33"/>
      <c r="S4705" s="33"/>
      <c r="T4705" s="33"/>
      <c r="U4705" s="33"/>
      <c r="V4705" s="33"/>
      <c r="W4705" s="33"/>
      <c r="X4705" s="33"/>
      <c r="Y4705" s="33"/>
      <c r="Z4705" s="33"/>
      <c r="AA4705" s="33"/>
      <c r="AB4705" s="33"/>
      <c r="AC4705" s="33"/>
      <c r="AD4705" s="33"/>
      <c r="AE4705" s="33"/>
      <c r="AF4705" s="33"/>
      <c r="AG4705" s="33"/>
      <c r="AH4705" s="33"/>
      <c r="AI4705" s="33"/>
      <c r="AJ4705" s="33"/>
      <c r="AK4705" s="33"/>
    </row>
    <row r="4706">
      <c r="A4706" s="33"/>
      <c r="B4706" s="33"/>
      <c r="C4706" s="33"/>
      <c r="D4706" s="33"/>
      <c r="E4706" s="33"/>
      <c r="F4706" s="33"/>
      <c r="G4706" s="33"/>
      <c r="H4706" s="33"/>
      <c r="I4706" s="33"/>
      <c r="J4706" s="33"/>
      <c r="K4706" s="33"/>
      <c r="L4706" s="33"/>
      <c r="M4706" s="33"/>
      <c r="N4706" s="33"/>
      <c r="O4706" s="33"/>
      <c r="P4706" s="33"/>
      <c r="Q4706" s="33"/>
      <c r="R4706" s="33"/>
      <c r="S4706" s="33"/>
      <c r="T4706" s="33"/>
      <c r="U4706" s="33"/>
      <c r="V4706" s="33"/>
      <c r="W4706" s="33"/>
      <c r="X4706" s="33"/>
      <c r="Y4706" s="33"/>
      <c r="Z4706" s="33"/>
      <c r="AA4706" s="33"/>
      <c r="AB4706" s="33"/>
      <c r="AC4706" s="33"/>
      <c r="AD4706" s="33"/>
      <c r="AE4706" s="33"/>
      <c r="AF4706" s="33"/>
      <c r="AG4706" s="33"/>
      <c r="AH4706" s="33"/>
      <c r="AI4706" s="33"/>
      <c r="AJ4706" s="33"/>
      <c r="AK4706" s="33"/>
    </row>
    <row r="4707">
      <c r="A4707" s="33"/>
      <c r="B4707" s="33"/>
      <c r="C4707" s="33"/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  <c r="Q4707" s="33"/>
      <c r="R4707" s="33"/>
      <c r="S4707" s="33"/>
      <c r="T4707" s="33"/>
      <c r="U4707" s="33"/>
      <c r="V4707" s="33"/>
      <c r="W4707" s="33"/>
      <c r="X4707" s="33"/>
      <c r="Y4707" s="33"/>
      <c r="Z4707" s="33"/>
      <c r="AA4707" s="33"/>
      <c r="AB4707" s="33"/>
      <c r="AC4707" s="33"/>
      <c r="AD4707" s="33"/>
      <c r="AE4707" s="33"/>
      <c r="AF4707" s="33"/>
      <c r="AG4707" s="33"/>
      <c r="AH4707" s="33"/>
      <c r="AI4707" s="33"/>
      <c r="AJ4707" s="33"/>
      <c r="AK4707" s="33"/>
    </row>
    <row r="4708">
      <c r="A4708" s="33"/>
      <c r="B4708" s="33"/>
      <c r="C4708" s="33"/>
      <c r="D4708" s="33"/>
      <c r="E4708" s="33"/>
      <c r="F4708" s="33"/>
      <c r="G4708" s="33"/>
      <c r="H4708" s="33"/>
      <c r="I4708" s="33"/>
      <c r="J4708" s="33"/>
      <c r="K4708" s="33"/>
      <c r="L4708" s="33"/>
      <c r="M4708" s="33"/>
      <c r="N4708" s="33"/>
      <c r="O4708" s="33"/>
      <c r="P4708" s="33"/>
      <c r="Q4708" s="33"/>
      <c r="R4708" s="33"/>
      <c r="S4708" s="33"/>
      <c r="T4708" s="33"/>
      <c r="U4708" s="33"/>
      <c r="V4708" s="33"/>
      <c r="W4708" s="33"/>
      <c r="X4708" s="33"/>
      <c r="Y4708" s="33"/>
      <c r="Z4708" s="33"/>
      <c r="AA4708" s="33"/>
      <c r="AB4708" s="33"/>
      <c r="AC4708" s="33"/>
      <c r="AD4708" s="33"/>
      <c r="AE4708" s="33"/>
      <c r="AF4708" s="33"/>
      <c r="AG4708" s="33"/>
      <c r="AH4708" s="33"/>
      <c r="AI4708" s="33"/>
      <c r="AJ4708" s="33"/>
      <c r="AK4708" s="33"/>
    </row>
    <row r="4709">
      <c r="A4709" s="33"/>
      <c r="B4709" s="33"/>
      <c r="C4709" s="33"/>
      <c r="D4709" s="33"/>
      <c r="E4709" s="33"/>
      <c r="F4709" s="33"/>
      <c r="G4709" s="33"/>
      <c r="H4709" s="33"/>
      <c r="I4709" s="33"/>
      <c r="J4709" s="33"/>
      <c r="K4709" s="33"/>
      <c r="L4709" s="33"/>
      <c r="M4709" s="33"/>
      <c r="N4709" s="33"/>
      <c r="O4709" s="33"/>
      <c r="P4709" s="33"/>
      <c r="Q4709" s="33"/>
      <c r="R4709" s="33"/>
      <c r="S4709" s="33"/>
      <c r="T4709" s="33"/>
      <c r="U4709" s="33"/>
      <c r="V4709" s="33"/>
      <c r="W4709" s="33"/>
      <c r="X4709" s="33"/>
      <c r="Y4709" s="33"/>
      <c r="Z4709" s="33"/>
      <c r="AA4709" s="33"/>
      <c r="AB4709" s="33"/>
      <c r="AC4709" s="33"/>
      <c r="AD4709" s="33"/>
      <c r="AE4709" s="33"/>
      <c r="AF4709" s="33"/>
      <c r="AG4709" s="33"/>
      <c r="AH4709" s="33"/>
      <c r="AI4709" s="33"/>
      <c r="AJ4709" s="33"/>
      <c r="AK4709" s="33"/>
    </row>
    <row r="4710">
      <c r="A4710" s="33"/>
      <c r="B4710" s="33"/>
      <c r="C4710" s="33"/>
      <c r="D4710" s="33"/>
      <c r="E4710" s="33"/>
      <c r="F4710" s="33"/>
      <c r="G4710" s="33"/>
      <c r="H4710" s="33"/>
      <c r="I4710" s="33"/>
      <c r="J4710" s="33"/>
      <c r="K4710" s="33"/>
      <c r="L4710" s="33"/>
      <c r="M4710" s="33"/>
      <c r="N4710" s="33"/>
      <c r="O4710" s="33"/>
      <c r="P4710" s="33"/>
      <c r="Q4710" s="33"/>
      <c r="R4710" s="33"/>
      <c r="S4710" s="33"/>
      <c r="T4710" s="33"/>
      <c r="U4710" s="33"/>
      <c r="V4710" s="33"/>
      <c r="W4710" s="33"/>
      <c r="X4710" s="33"/>
      <c r="Y4710" s="33"/>
      <c r="Z4710" s="33"/>
      <c r="AA4710" s="33"/>
      <c r="AB4710" s="33"/>
      <c r="AC4710" s="33"/>
      <c r="AD4710" s="33"/>
      <c r="AE4710" s="33"/>
      <c r="AF4710" s="33"/>
      <c r="AG4710" s="33"/>
      <c r="AH4710" s="33"/>
      <c r="AI4710" s="33"/>
      <c r="AJ4710" s="33"/>
      <c r="AK4710" s="33"/>
    </row>
    <row r="4711">
      <c r="A4711" s="33"/>
      <c r="B4711" s="33"/>
      <c r="C4711" s="33"/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  <c r="Q4711" s="33"/>
      <c r="R4711" s="33"/>
      <c r="S4711" s="33"/>
      <c r="T4711" s="33"/>
      <c r="U4711" s="33"/>
      <c r="V4711" s="33"/>
      <c r="W4711" s="33"/>
      <c r="X4711" s="33"/>
      <c r="Y4711" s="33"/>
      <c r="Z4711" s="33"/>
      <c r="AA4711" s="33"/>
      <c r="AB4711" s="33"/>
      <c r="AC4711" s="33"/>
      <c r="AD4711" s="33"/>
      <c r="AE4711" s="33"/>
      <c r="AF4711" s="33"/>
      <c r="AG4711" s="33"/>
      <c r="AH4711" s="33"/>
      <c r="AI4711" s="33"/>
      <c r="AJ4711" s="33"/>
      <c r="AK4711" s="33"/>
    </row>
    <row r="4712">
      <c r="A4712" s="33"/>
      <c r="B4712" s="33"/>
      <c r="C4712" s="33"/>
      <c r="D4712" s="33"/>
      <c r="E4712" s="33"/>
      <c r="F4712" s="33"/>
      <c r="G4712" s="33"/>
      <c r="H4712" s="33"/>
      <c r="I4712" s="33"/>
      <c r="J4712" s="33"/>
      <c r="K4712" s="33"/>
      <c r="L4712" s="33"/>
      <c r="M4712" s="33"/>
      <c r="N4712" s="33"/>
      <c r="O4712" s="33"/>
      <c r="P4712" s="33"/>
      <c r="Q4712" s="33"/>
      <c r="R4712" s="33"/>
      <c r="S4712" s="33"/>
      <c r="T4712" s="33"/>
      <c r="U4712" s="33"/>
      <c r="V4712" s="33"/>
      <c r="W4712" s="33"/>
      <c r="X4712" s="33"/>
      <c r="Y4712" s="33"/>
      <c r="Z4712" s="33"/>
      <c r="AA4712" s="33"/>
      <c r="AB4712" s="33"/>
      <c r="AC4712" s="33"/>
      <c r="AD4712" s="33"/>
      <c r="AE4712" s="33"/>
      <c r="AF4712" s="33"/>
      <c r="AG4712" s="33"/>
      <c r="AH4712" s="33"/>
      <c r="AI4712" s="33"/>
      <c r="AJ4712" s="33"/>
      <c r="AK4712" s="33"/>
    </row>
    <row r="4713">
      <c r="A4713" s="33"/>
      <c r="B4713" s="33"/>
      <c r="C4713" s="33"/>
      <c r="D4713" s="33"/>
      <c r="E4713" s="33"/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33"/>
      <c r="Q4713" s="33"/>
      <c r="R4713" s="33"/>
      <c r="S4713" s="33"/>
      <c r="T4713" s="33"/>
      <c r="U4713" s="33"/>
      <c r="V4713" s="33"/>
      <c r="W4713" s="33"/>
      <c r="X4713" s="33"/>
      <c r="Y4713" s="33"/>
      <c r="Z4713" s="33"/>
      <c r="AA4713" s="33"/>
      <c r="AB4713" s="33"/>
      <c r="AC4713" s="33"/>
      <c r="AD4713" s="33"/>
      <c r="AE4713" s="33"/>
      <c r="AF4713" s="33"/>
      <c r="AG4713" s="33"/>
      <c r="AH4713" s="33"/>
      <c r="AI4713" s="33"/>
      <c r="AJ4713" s="33"/>
      <c r="AK4713" s="33"/>
    </row>
    <row r="4714">
      <c r="A4714" s="33"/>
      <c r="B4714" s="33"/>
      <c r="C4714" s="33"/>
      <c r="D4714" s="33"/>
      <c r="E4714" s="33"/>
      <c r="F4714" s="33"/>
      <c r="G4714" s="33"/>
      <c r="H4714" s="33"/>
      <c r="I4714" s="33"/>
      <c r="J4714" s="33"/>
      <c r="K4714" s="33"/>
      <c r="L4714" s="33"/>
      <c r="M4714" s="33"/>
      <c r="N4714" s="33"/>
      <c r="O4714" s="33"/>
      <c r="P4714" s="33"/>
      <c r="Q4714" s="33"/>
      <c r="R4714" s="33"/>
      <c r="S4714" s="33"/>
      <c r="T4714" s="33"/>
      <c r="U4714" s="33"/>
      <c r="V4714" s="33"/>
      <c r="W4714" s="33"/>
      <c r="X4714" s="33"/>
      <c r="Y4714" s="33"/>
      <c r="Z4714" s="33"/>
      <c r="AA4714" s="33"/>
      <c r="AB4714" s="33"/>
      <c r="AC4714" s="33"/>
      <c r="AD4714" s="33"/>
      <c r="AE4714" s="33"/>
      <c r="AF4714" s="33"/>
      <c r="AG4714" s="33"/>
      <c r="AH4714" s="33"/>
      <c r="AI4714" s="33"/>
      <c r="AJ4714" s="33"/>
      <c r="AK4714" s="33"/>
    </row>
    <row r="4715">
      <c r="A4715" s="33"/>
      <c r="B4715" s="33"/>
      <c r="C4715" s="33"/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33"/>
      <c r="Q4715" s="33"/>
      <c r="R4715" s="33"/>
      <c r="S4715" s="33"/>
      <c r="T4715" s="33"/>
      <c r="U4715" s="33"/>
      <c r="V4715" s="33"/>
      <c r="W4715" s="33"/>
      <c r="X4715" s="33"/>
      <c r="Y4715" s="33"/>
      <c r="Z4715" s="33"/>
      <c r="AA4715" s="33"/>
      <c r="AB4715" s="33"/>
      <c r="AC4715" s="33"/>
      <c r="AD4715" s="33"/>
      <c r="AE4715" s="33"/>
      <c r="AF4715" s="33"/>
      <c r="AG4715" s="33"/>
      <c r="AH4715" s="33"/>
      <c r="AI4715" s="33"/>
      <c r="AJ4715" s="33"/>
      <c r="AK4715" s="33"/>
    </row>
    <row r="4716">
      <c r="A4716" s="33"/>
      <c r="B4716" s="33"/>
      <c r="C4716" s="33"/>
      <c r="D4716" s="33"/>
      <c r="E4716" s="33"/>
      <c r="F4716" s="33"/>
      <c r="G4716" s="33"/>
      <c r="H4716" s="33"/>
      <c r="I4716" s="33"/>
      <c r="J4716" s="33"/>
      <c r="K4716" s="33"/>
      <c r="L4716" s="33"/>
      <c r="M4716" s="33"/>
      <c r="N4716" s="33"/>
      <c r="O4716" s="33"/>
      <c r="P4716" s="33"/>
      <c r="Q4716" s="33"/>
      <c r="R4716" s="33"/>
      <c r="S4716" s="33"/>
      <c r="T4716" s="33"/>
      <c r="U4716" s="33"/>
      <c r="V4716" s="33"/>
      <c r="W4716" s="33"/>
      <c r="X4716" s="33"/>
      <c r="Y4716" s="33"/>
      <c r="Z4716" s="33"/>
      <c r="AA4716" s="33"/>
      <c r="AB4716" s="33"/>
      <c r="AC4716" s="33"/>
      <c r="AD4716" s="33"/>
      <c r="AE4716" s="33"/>
      <c r="AF4716" s="33"/>
      <c r="AG4716" s="33"/>
      <c r="AH4716" s="33"/>
      <c r="AI4716" s="33"/>
      <c r="AJ4716" s="33"/>
      <c r="AK4716" s="33"/>
    </row>
    <row r="4717">
      <c r="A4717" s="33"/>
      <c r="B4717" s="33"/>
      <c r="C4717" s="33"/>
      <c r="D4717" s="33"/>
      <c r="E4717" s="33"/>
      <c r="F4717" s="33"/>
      <c r="G4717" s="33"/>
      <c r="H4717" s="33"/>
      <c r="I4717" s="33"/>
      <c r="J4717" s="33"/>
      <c r="K4717" s="33"/>
      <c r="L4717" s="33"/>
      <c r="M4717" s="33"/>
      <c r="N4717" s="33"/>
      <c r="O4717" s="33"/>
      <c r="P4717" s="33"/>
      <c r="Q4717" s="33"/>
      <c r="R4717" s="33"/>
      <c r="S4717" s="33"/>
      <c r="T4717" s="33"/>
      <c r="U4717" s="33"/>
      <c r="V4717" s="33"/>
      <c r="W4717" s="33"/>
      <c r="X4717" s="33"/>
      <c r="Y4717" s="33"/>
      <c r="Z4717" s="33"/>
      <c r="AA4717" s="33"/>
      <c r="AB4717" s="33"/>
      <c r="AC4717" s="33"/>
      <c r="AD4717" s="33"/>
      <c r="AE4717" s="33"/>
      <c r="AF4717" s="33"/>
      <c r="AG4717" s="33"/>
      <c r="AH4717" s="33"/>
      <c r="AI4717" s="33"/>
      <c r="AJ4717" s="33"/>
      <c r="AK4717" s="33"/>
    </row>
    <row r="4718">
      <c r="A4718" s="33"/>
      <c r="B4718" s="33"/>
      <c r="C4718" s="33"/>
      <c r="D4718" s="33"/>
      <c r="E4718" s="33"/>
      <c r="F4718" s="33"/>
      <c r="G4718" s="33"/>
      <c r="H4718" s="33"/>
      <c r="I4718" s="33"/>
      <c r="J4718" s="33"/>
      <c r="K4718" s="33"/>
      <c r="L4718" s="33"/>
      <c r="M4718" s="33"/>
      <c r="N4718" s="33"/>
      <c r="O4718" s="33"/>
      <c r="P4718" s="33"/>
      <c r="Q4718" s="33"/>
      <c r="R4718" s="33"/>
      <c r="S4718" s="33"/>
      <c r="T4718" s="33"/>
      <c r="U4718" s="33"/>
      <c r="V4718" s="33"/>
      <c r="W4718" s="33"/>
      <c r="X4718" s="33"/>
      <c r="Y4718" s="33"/>
      <c r="Z4718" s="33"/>
      <c r="AA4718" s="33"/>
      <c r="AB4718" s="33"/>
      <c r="AC4718" s="33"/>
      <c r="AD4718" s="33"/>
      <c r="AE4718" s="33"/>
      <c r="AF4718" s="33"/>
      <c r="AG4718" s="33"/>
      <c r="AH4718" s="33"/>
      <c r="AI4718" s="33"/>
      <c r="AJ4718" s="33"/>
      <c r="AK4718" s="33"/>
    </row>
    <row r="4719">
      <c r="A4719" s="33"/>
      <c r="B4719" s="33"/>
      <c r="C4719" s="33"/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  <c r="Q4719" s="33"/>
      <c r="R4719" s="33"/>
      <c r="S4719" s="33"/>
      <c r="T4719" s="33"/>
      <c r="U4719" s="33"/>
      <c r="V4719" s="33"/>
      <c r="W4719" s="33"/>
      <c r="X4719" s="33"/>
      <c r="Y4719" s="33"/>
      <c r="Z4719" s="33"/>
      <c r="AA4719" s="33"/>
      <c r="AB4719" s="33"/>
      <c r="AC4719" s="33"/>
      <c r="AD4719" s="33"/>
      <c r="AE4719" s="33"/>
      <c r="AF4719" s="33"/>
      <c r="AG4719" s="33"/>
      <c r="AH4719" s="33"/>
      <c r="AI4719" s="33"/>
      <c r="AJ4719" s="33"/>
      <c r="AK4719" s="33"/>
    </row>
    <row r="4720">
      <c r="A4720" s="33"/>
      <c r="B4720" s="33"/>
      <c r="C4720" s="33"/>
      <c r="D4720" s="33"/>
      <c r="E4720" s="33"/>
      <c r="F4720" s="33"/>
      <c r="G4720" s="33"/>
      <c r="H4720" s="33"/>
      <c r="I4720" s="33"/>
      <c r="J4720" s="33"/>
      <c r="K4720" s="33"/>
      <c r="L4720" s="33"/>
      <c r="M4720" s="33"/>
      <c r="N4720" s="33"/>
      <c r="O4720" s="33"/>
      <c r="P4720" s="33"/>
      <c r="Q4720" s="33"/>
      <c r="R4720" s="33"/>
      <c r="S4720" s="33"/>
      <c r="T4720" s="33"/>
      <c r="U4720" s="33"/>
      <c r="V4720" s="33"/>
      <c r="W4720" s="33"/>
      <c r="X4720" s="33"/>
      <c r="Y4720" s="33"/>
      <c r="Z4720" s="33"/>
      <c r="AA4720" s="33"/>
      <c r="AB4720" s="33"/>
      <c r="AC4720" s="33"/>
      <c r="AD4720" s="33"/>
      <c r="AE4720" s="33"/>
      <c r="AF4720" s="33"/>
      <c r="AG4720" s="33"/>
      <c r="AH4720" s="33"/>
      <c r="AI4720" s="33"/>
      <c r="AJ4720" s="33"/>
      <c r="AK4720" s="33"/>
    </row>
    <row r="4721">
      <c r="A4721" s="33"/>
      <c r="B4721" s="33"/>
      <c r="C4721" s="33"/>
      <c r="D4721" s="33"/>
      <c r="E4721" s="33"/>
      <c r="F4721" s="33"/>
      <c r="G4721" s="33"/>
      <c r="H4721" s="33"/>
      <c r="I4721" s="33"/>
      <c r="J4721" s="33"/>
      <c r="K4721" s="33"/>
      <c r="L4721" s="33"/>
      <c r="M4721" s="33"/>
      <c r="N4721" s="33"/>
      <c r="O4721" s="33"/>
      <c r="P4721" s="33"/>
      <c r="Q4721" s="33"/>
      <c r="R4721" s="33"/>
      <c r="S4721" s="33"/>
      <c r="T4721" s="33"/>
      <c r="U4721" s="33"/>
      <c r="V4721" s="33"/>
      <c r="W4721" s="33"/>
      <c r="X4721" s="33"/>
      <c r="Y4721" s="33"/>
      <c r="Z4721" s="33"/>
      <c r="AA4721" s="33"/>
      <c r="AB4721" s="33"/>
      <c r="AC4721" s="33"/>
      <c r="AD4721" s="33"/>
      <c r="AE4721" s="33"/>
      <c r="AF4721" s="33"/>
      <c r="AG4721" s="33"/>
      <c r="AH4721" s="33"/>
      <c r="AI4721" s="33"/>
      <c r="AJ4721" s="33"/>
      <c r="AK4721" s="33"/>
    </row>
    <row r="4722">
      <c r="A4722" s="33"/>
      <c r="B4722" s="33"/>
      <c r="C4722" s="33"/>
      <c r="D4722" s="33"/>
      <c r="E4722" s="33"/>
      <c r="F4722" s="33"/>
      <c r="G4722" s="33"/>
      <c r="H4722" s="33"/>
      <c r="I4722" s="33"/>
      <c r="J4722" s="33"/>
      <c r="K4722" s="33"/>
      <c r="L4722" s="33"/>
      <c r="M4722" s="33"/>
      <c r="N4722" s="33"/>
      <c r="O4722" s="33"/>
      <c r="P4722" s="33"/>
      <c r="Q4722" s="33"/>
      <c r="R4722" s="33"/>
      <c r="S4722" s="33"/>
      <c r="T4722" s="33"/>
      <c r="U4722" s="33"/>
      <c r="V4722" s="33"/>
      <c r="W4722" s="33"/>
      <c r="X4722" s="33"/>
      <c r="Y4722" s="33"/>
      <c r="Z4722" s="33"/>
      <c r="AA4722" s="33"/>
      <c r="AB4722" s="33"/>
      <c r="AC4722" s="33"/>
      <c r="AD4722" s="33"/>
      <c r="AE4722" s="33"/>
      <c r="AF4722" s="33"/>
      <c r="AG4722" s="33"/>
      <c r="AH4722" s="33"/>
      <c r="AI4722" s="33"/>
      <c r="AJ4722" s="33"/>
      <c r="AK4722" s="33"/>
    </row>
    <row r="4723">
      <c r="A4723" s="33"/>
      <c r="B4723" s="33"/>
      <c r="C4723" s="33"/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  <c r="Q4723" s="33"/>
      <c r="R4723" s="33"/>
      <c r="S4723" s="33"/>
      <c r="T4723" s="33"/>
      <c r="U4723" s="33"/>
      <c r="V4723" s="33"/>
      <c r="W4723" s="33"/>
      <c r="X4723" s="33"/>
      <c r="Y4723" s="33"/>
      <c r="Z4723" s="33"/>
      <c r="AA4723" s="33"/>
      <c r="AB4723" s="33"/>
      <c r="AC4723" s="33"/>
      <c r="AD4723" s="33"/>
      <c r="AE4723" s="33"/>
      <c r="AF4723" s="33"/>
      <c r="AG4723" s="33"/>
      <c r="AH4723" s="33"/>
      <c r="AI4723" s="33"/>
      <c r="AJ4723" s="33"/>
      <c r="AK4723" s="33"/>
    </row>
    <row r="4724">
      <c r="A4724" s="33"/>
      <c r="B4724" s="33"/>
      <c r="C4724" s="33"/>
      <c r="D4724" s="33"/>
      <c r="E4724" s="33"/>
      <c r="F4724" s="33"/>
      <c r="G4724" s="33"/>
      <c r="H4724" s="33"/>
      <c r="I4724" s="33"/>
      <c r="J4724" s="33"/>
      <c r="K4724" s="33"/>
      <c r="L4724" s="33"/>
      <c r="M4724" s="33"/>
      <c r="N4724" s="33"/>
      <c r="O4724" s="33"/>
      <c r="P4724" s="33"/>
      <c r="Q4724" s="33"/>
      <c r="R4724" s="33"/>
      <c r="S4724" s="33"/>
      <c r="T4724" s="33"/>
      <c r="U4724" s="33"/>
      <c r="V4724" s="33"/>
      <c r="W4724" s="33"/>
      <c r="X4724" s="33"/>
      <c r="Y4724" s="33"/>
      <c r="Z4724" s="33"/>
      <c r="AA4724" s="33"/>
      <c r="AB4724" s="33"/>
      <c r="AC4724" s="33"/>
      <c r="AD4724" s="33"/>
      <c r="AE4724" s="33"/>
      <c r="AF4724" s="33"/>
      <c r="AG4724" s="33"/>
      <c r="AH4724" s="33"/>
      <c r="AI4724" s="33"/>
      <c r="AJ4724" s="33"/>
      <c r="AK4724" s="33"/>
    </row>
    <row r="4725">
      <c r="A4725" s="33"/>
      <c r="B4725" s="33"/>
      <c r="C4725" s="33"/>
      <c r="D4725" s="33"/>
      <c r="E4725" s="33"/>
      <c r="F4725" s="33"/>
      <c r="G4725" s="33"/>
      <c r="H4725" s="33"/>
      <c r="I4725" s="33"/>
      <c r="J4725" s="33"/>
      <c r="K4725" s="33"/>
      <c r="L4725" s="33"/>
      <c r="M4725" s="33"/>
      <c r="N4725" s="33"/>
      <c r="O4725" s="33"/>
      <c r="P4725" s="33"/>
      <c r="Q4725" s="33"/>
      <c r="R4725" s="33"/>
      <c r="S4725" s="33"/>
      <c r="T4725" s="33"/>
      <c r="U4725" s="33"/>
      <c r="V4725" s="33"/>
      <c r="W4725" s="33"/>
      <c r="X4725" s="33"/>
      <c r="Y4725" s="33"/>
      <c r="Z4725" s="33"/>
      <c r="AA4725" s="33"/>
      <c r="AB4725" s="33"/>
      <c r="AC4725" s="33"/>
      <c r="AD4725" s="33"/>
      <c r="AE4725" s="33"/>
      <c r="AF4725" s="33"/>
      <c r="AG4725" s="33"/>
      <c r="AH4725" s="33"/>
      <c r="AI4725" s="33"/>
      <c r="AJ4725" s="33"/>
      <c r="AK4725" s="33"/>
    </row>
    <row r="4726">
      <c r="A4726" s="33"/>
      <c r="B4726" s="33"/>
      <c r="C4726" s="33"/>
      <c r="D4726" s="33"/>
      <c r="E4726" s="33"/>
      <c r="F4726" s="33"/>
      <c r="G4726" s="33"/>
      <c r="H4726" s="33"/>
      <c r="I4726" s="33"/>
      <c r="J4726" s="33"/>
      <c r="K4726" s="33"/>
      <c r="L4726" s="33"/>
      <c r="M4726" s="33"/>
      <c r="N4726" s="33"/>
      <c r="O4726" s="33"/>
      <c r="P4726" s="33"/>
      <c r="Q4726" s="33"/>
      <c r="R4726" s="33"/>
      <c r="S4726" s="33"/>
      <c r="T4726" s="33"/>
      <c r="U4726" s="33"/>
      <c r="V4726" s="33"/>
      <c r="W4726" s="33"/>
      <c r="X4726" s="33"/>
      <c r="Y4726" s="33"/>
      <c r="Z4726" s="33"/>
      <c r="AA4726" s="33"/>
      <c r="AB4726" s="33"/>
      <c r="AC4726" s="33"/>
      <c r="AD4726" s="33"/>
      <c r="AE4726" s="33"/>
      <c r="AF4726" s="33"/>
      <c r="AG4726" s="33"/>
      <c r="AH4726" s="33"/>
      <c r="AI4726" s="33"/>
      <c r="AJ4726" s="33"/>
      <c r="AK4726" s="33"/>
    </row>
    <row r="4727">
      <c r="A4727" s="33"/>
      <c r="B4727" s="33"/>
      <c r="C4727" s="33"/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  <c r="Q4727" s="33"/>
      <c r="R4727" s="33"/>
      <c r="S4727" s="33"/>
      <c r="T4727" s="33"/>
      <c r="U4727" s="33"/>
      <c r="V4727" s="33"/>
      <c r="W4727" s="33"/>
      <c r="X4727" s="33"/>
      <c r="Y4727" s="33"/>
      <c r="Z4727" s="33"/>
      <c r="AA4727" s="33"/>
      <c r="AB4727" s="33"/>
      <c r="AC4727" s="33"/>
      <c r="AD4727" s="33"/>
      <c r="AE4727" s="33"/>
      <c r="AF4727" s="33"/>
      <c r="AG4727" s="33"/>
      <c r="AH4727" s="33"/>
      <c r="AI4727" s="33"/>
      <c r="AJ4727" s="33"/>
      <c r="AK4727" s="33"/>
    </row>
    <row r="4728">
      <c r="A4728" s="33"/>
      <c r="B4728" s="33"/>
      <c r="C4728" s="33"/>
      <c r="D4728" s="33"/>
      <c r="E4728" s="33"/>
      <c r="F4728" s="33"/>
      <c r="G4728" s="33"/>
      <c r="H4728" s="33"/>
      <c r="I4728" s="33"/>
      <c r="J4728" s="33"/>
      <c r="K4728" s="33"/>
      <c r="L4728" s="33"/>
      <c r="M4728" s="33"/>
      <c r="N4728" s="33"/>
      <c r="O4728" s="33"/>
      <c r="P4728" s="33"/>
      <c r="Q4728" s="33"/>
      <c r="R4728" s="33"/>
      <c r="S4728" s="33"/>
      <c r="T4728" s="33"/>
      <c r="U4728" s="33"/>
      <c r="V4728" s="33"/>
      <c r="W4728" s="33"/>
      <c r="X4728" s="33"/>
      <c r="Y4728" s="33"/>
      <c r="Z4728" s="33"/>
      <c r="AA4728" s="33"/>
      <c r="AB4728" s="33"/>
      <c r="AC4728" s="33"/>
      <c r="AD4728" s="33"/>
      <c r="AE4728" s="33"/>
      <c r="AF4728" s="33"/>
      <c r="AG4728" s="33"/>
      <c r="AH4728" s="33"/>
      <c r="AI4728" s="33"/>
      <c r="AJ4728" s="33"/>
      <c r="AK4728" s="33"/>
    </row>
    <row r="4729">
      <c r="A4729" s="33"/>
      <c r="B4729" s="33"/>
      <c r="C4729" s="33"/>
      <c r="D4729" s="33"/>
      <c r="E4729" s="33"/>
      <c r="F4729" s="33"/>
      <c r="G4729" s="33"/>
      <c r="H4729" s="33"/>
      <c r="I4729" s="33"/>
      <c r="J4729" s="33"/>
      <c r="K4729" s="33"/>
      <c r="L4729" s="33"/>
      <c r="M4729" s="33"/>
      <c r="N4729" s="33"/>
      <c r="O4729" s="33"/>
      <c r="P4729" s="33"/>
      <c r="Q4729" s="33"/>
      <c r="R4729" s="33"/>
      <c r="S4729" s="33"/>
      <c r="T4729" s="33"/>
      <c r="U4729" s="33"/>
      <c r="V4729" s="33"/>
      <c r="W4729" s="33"/>
      <c r="X4729" s="33"/>
      <c r="Y4729" s="33"/>
      <c r="Z4729" s="33"/>
      <c r="AA4729" s="33"/>
      <c r="AB4729" s="33"/>
      <c r="AC4729" s="33"/>
      <c r="AD4729" s="33"/>
      <c r="AE4729" s="33"/>
      <c r="AF4729" s="33"/>
      <c r="AG4729" s="33"/>
      <c r="AH4729" s="33"/>
      <c r="AI4729" s="33"/>
      <c r="AJ4729" s="33"/>
      <c r="AK4729" s="33"/>
    </row>
    <row r="4730">
      <c r="A4730" s="33"/>
      <c r="B4730" s="33"/>
      <c r="C4730" s="33"/>
      <c r="D4730" s="33"/>
      <c r="E4730" s="33"/>
      <c r="F4730" s="33"/>
      <c r="G4730" s="33"/>
      <c r="H4730" s="33"/>
      <c r="I4730" s="33"/>
      <c r="J4730" s="33"/>
      <c r="K4730" s="33"/>
      <c r="L4730" s="33"/>
      <c r="M4730" s="33"/>
      <c r="N4730" s="33"/>
      <c r="O4730" s="33"/>
      <c r="P4730" s="33"/>
      <c r="Q4730" s="33"/>
      <c r="R4730" s="33"/>
      <c r="S4730" s="33"/>
      <c r="T4730" s="33"/>
      <c r="U4730" s="33"/>
      <c r="V4730" s="33"/>
      <c r="W4730" s="33"/>
      <c r="X4730" s="33"/>
      <c r="Y4730" s="33"/>
      <c r="Z4730" s="33"/>
      <c r="AA4730" s="33"/>
      <c r="AB4730" s="33"/>
      <c r="AC4730" s="33"/>
      <c r="AD4730" s="33"/>
      <c r="AE4730" s="33"/>
      <c r="AF4730" s="33"/>
      <c r="AG4730" s="33"/>
      <c r="AH4730" s="33"/>
      <c r="AI4730" s="33"/>
      <c r="AJ4730" s="33"/>
      <c r="AK4730" s="33"/>
    </row>
    <row r="4731">
      <c r="A4731" s="33"/>
      <c r="B4731" s="33"/>
      <c r="C4731" s="33"/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  <c r="Q4731" s="33"/>
      <c r="R4731" s="33"/>
      <c r="S4731" s="33"/>
      <c r="T4731" s="33"/>
      <c r="U4731" s="33"/>
      <c r="V4731" s="33"/>
      <c r="W4731" s="33"/>
      <c r="X4731" s="33"/>
      <c r="Y4731" s="33"/>
      <c r="Z4731" s="33"/>
      <c r="AA4731" s="33"/>
      <c r="AB4731" s="33"/>
      <c r="AC4731" s="33"/>
      <c r="AD4731" s="33"/>
      <c r="AE4731" s="33"/>
      <c r="AF4731" s="33"/>
      <c r="AG4731" s="33"/>
      <c r="AH4731" s="33"/>
      <c r="AI4731" s="33"/>
      <c r="AJ4731" s="33"/>
      <c r="AK4731" s="33"/>
    </row>
    <row r="4732">
      <c r="A4732" s="33"/>
      <c r="B4732" s="33"/>
      <c r="C4732" s="33"/>
      <c r="D4732" s="33"/>
      <c r="E4732" s="33"/>
      <c r="F4732" s="33"/>
      <c r="G4732" s="33"/>
      <c r="H4732" s="33"/>
      <c r="I4732" s="33"/>
      <c r="J4732" s="33"/>
      <c r="K4732" s="33"/>
      <c r="L4732" s="33"/>
      <c r="M4732" s="33"/>
      <c r="N4732" s="33"/>
      <c r="O4732" s="33"/>
      <c r="P4732" s="33"/>
      <c r="Q4732" s="33"/>
      <c r="R4732" s="33"/>
      <c r="S4732" s="33"/>
      <c r="T4732" s="33"/>
      <c r="U4732" s="33"/>
      <c r="V4732" s="33"/>
      <c r="W4732" s="33"/>
      <c r="X4732" s="33"/>
      <c r="Y4732" s="33"/>
      <c r="Z4732" s="33"/>
      <c r="AA4732" s="33"/>
      <c r="AB4732" s="33"/>
      <c r="AC4732" s="33"/>
      <c r="AD4732" s="33"/>
      <c r="AE4732" s="33"/>
      <c r="AF4732" s="33"/>
      <c r="AG4732" s="33"/>
      <c r="AH4732" s="33"/>
      <c r="AI4732" s="33"/>
      <c r="AJ4732" s="33"/>
      <c r="AK4732" s="33"/>
    </row>
    <row r="4733">
      <c r="A4733" s="33"/>
      <c r="B4733" s="33"/>
      <c r="C4733" s="33"/>
      <c r="D4733" s="33"/>
      <c r="E4733" s="33"/>
      <c r="F4733" s="33"/>
      <c r="G4733" s="33"/>
      <c r="H4733" s="33"/>
      <c r="I4733" s="33"/>
      <c r="J4733" s="33"/>
      <c r="K4733" s="33"/>
      <c r="L4733" s="33"/>
      <c r="M4733" s="33"/>
      <c r="N4733" s="33"/>
      <c r="O4733" s="33"/>
      <c r="P4733" s="33"/>
      <c r="Q4733" s="33"/>
      <c r="R4733" s="33"/>
      <c r="S4733" s="33"/>
      <c r="T4733" s="33"/>
      <c r="U4733" s="33"/>
      <c r="V4733" s="33"/>
      <c r="W4733" s="33"/>
      <c r="X4733" s="33"/>
      <c r="Y4733" s="33"/>
      <c r="Z4733" s="33"/>
      <c r="AA4733" s="33"/>
      <c r="AB4733" s="33"/>
      <c r="AC4733" s="33"/>
      <c r="AD4733" s="33"/>
      <c r="AE4733" s="33"/>
      <c r="AF4733" s="33"/>
      <c r="AG4733" s="33"/>
      <c r="AH4733" s="33"/>
      <c r="AI4733" s="33"/>
      <c r="AJ4733" s="33"/>
      <c r="AK4733" s="33"/>
    </row>
    <row r="4734">
      <c r="A4734" s="33"/>
      <c r="B4734" s="33"/>
      <c r="C4734" s="33"/>
      <c r="D4734" s="33"/>
      <c r="E4734" s="33"/>
      <c r="F4734" s="33"/>
      <c r="G4734" s="33"/>
      <c r="H4734" s="33"/>
      <c r="I4734" s="33"/>
      <c r="J4734" s="33"/>
      <c r="K4734" s="33"/>
      <c r="L4734" s="33"/>
      <c r="M4734" s="33"/>
      <c r="N4734" s="33"/>
      <c r="O4734" s="33"/>
      <c r="P4734" s="33"/>
      <c r="Q4734" s="33"/>
      <c r="R4734" s="33"/>
      <c r="S4734" s="33"/>
      <c r="T4734" s="33"/>
      <c r="U4734" s="33"/>
      <c r="V4734" s="33"/>
      <c r="W4734" s="33"/>
      <c r="X4734" s="33"/>
      <c r="Y4734" s="33"/>
      <c r="Z4734" s="33"/>
      <c r="AA4734" s="33"/>
      <c r="AB4734" s="33"/>
      <c r="AC4734" s="33"/>
      <c r="AD4734" s="33"/>
      <c r="AE4734" s="33"/>
      <c r="AF4734" s="33"/>
      <c r="AG4734" s="33"/>
      <c r="AH4734" s="33"/>
      <c r="AI4734" s="33"/>
      <c r="AJ4734" s="33"/>
      <c r="AK4734" s="33"/>
    </row>
    <row r="4735">
      <c r="A4735" s="33"/>
      <c r="B4735" s="33"/>
      <c r="C4735" s="33"/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33"/>
      <c r="Q4735" s="33"/>
      <c r="R4735" s="33"/>
      <c r="S4735" s="33"/>
      <c r="T4735" s="33"/>
      <c r="U4735" s="33"/>
      <c r="V4735" s="33"/>
      <c r="W4735" s="33"/>
      <c r="X4735" s="33"/>
      <c r="Y4735" s="33"/>
      <c r="Z4735" s="33"/>
      <c r="AA4735" s="33"/>
      <c r="AB4735" s="33"/>
      <c r="AC4735" s="33"/>
      <c r="AD4735" s="33"/>
      <c r="AE4735" s="33"/>
      <c r="AF4735" s="33"/>
      <c r="AG4735" s="33"/>
      <c r="AH4735" s="33"/>
      <c r="AI4735" s="33"/>
      <c r="AJ4735" s="33"/>
      <c r="AK4735" s="33"/>
    </row>
    <row r="4736">
      <c r="A4736" s="33"/>
      <c r="B4736" s="33"/>
      <c r="C4736" s="33"/>
      <c r="D4736" s="33"/>
      <c r="E4736" s="33"/>
      <c r="F4736" s="33"/>
      <c r="G4736" s="33"/>
      <c r="H4736" s="33"/>
      <c r="I4736" s="33"/>
      <c r="J4736" s="33"/>
      <c r="K4736" s="33"/>
      <c r="L4736" s="33"/>
      <c r="M4736" s="33"/>
      <c r="N4736" s="33"/>
      <c r="O4736" s="33"/>
      <c r="P4736" s="33"/>
      <c r="Q4736" s="33"/>
      <c r="R4736" s="33"/>
      <c r="S4736" s="33"/>
      <c r="T4736" s="33"/>
      <c r="U4736" s="33"/>
      <c r="V4736" s="33"/>
      <c r="W4736" s="33"/>
      <c r="X4736" s="33"/>
      <c r="Y4736" s="33"/>
      <c r="Z4736" s="33"/>
      <c r="AA4736" s="33"/>
      <c r="AB4736" s="33"/>
      <c r="AC4736" s="33"/>
      <c r="AD4736" s="33"/>
      <c r="AE4736" s="33"/>
      <c r="AF4736" s="33"/>
      <c r="AG4736" s="33"/>
      <c r="AH4736" s="33"/>
      <c r="AI4736" s="33"/>
      <c r="AJ4736" s="33"/>
      <c r="AK4736" s="33"/>
    </row>
    <row r="4737">
      <c r="A4737" s="33"/>
      <c r="B4737" s="33"/>
      <c r="C4737" s="33"/>
      <c r="D4737" s="33"/>
      <c r="E4737" s="33"/>
      <c r="F4737" s="33"/>
      <c r="G4737" s="33"/>
      <c r="H4737" s="33"/>
      <c r="I4737" s="33"/>
      <c r="J4737" s="33"/>
      <c r="K4737" s="33"/>
      <c r="L4737" s="33"/>
      <c r="M4737" s="33"/>
      <c r="N4737" s="33"/>
      <c r="O4737" s="33"/>
      <c r="P4737" s="33"/>
      <c r="Q4737" s="33"/>
      <c r="R4737" s="33"/>
      <c r="S4737" s="33"/>
      <c r="T4737" s="33"/>
      <c r="U4737" s="33"/>
      <c r="V4737" s="33"/>
      <c r="W4737" s="33"/>
      <c r="X4737" s="33"/>
      <c r="Y4737" s="33"/>
      <c r="Z4737" s="33"/>
      <c r="AA4737" s="33"/>
      <c r="AB4737" s="33"/>
      <c r="AC4737" s="33"/>
      <c r="AD4737" s="33"/>
      <c r="AE4737" s="33"/>
      <c r="AF4737" s="33"/>
      <c r="AG4737" s="33"/>
      <c r="AH4737" s="33"/>
      <c r="AI4737" s="33"/>
      <c r="AJ4737" s="33"/>
      <c r="AK4737" s="33"/>
    </row>
    <row r="4738">
      <c r="A4738" s="33"/>
      <c r="B4738" s="33"/>
      <c r="C4738" s="33"/>
      <c r="D4738" s="33"/>
      <c r="E4738" s="33"/>
      <c r="F4738" s="33"/>
      <c r="G4738" s="33"/>
      <c r="H4738" s="33"/>
      <c r="I4738" s="33"/>
      <c r="J4738" s="33"/>
      <c r="K4738" s="33"/>
      <c r="L4738" s="33"/>
      <c r="M4738" s="33"/>
      <c r="N4738" s="33"/>
      <c r="O4738" s="33"/>
      <c r="P4738" s="33"/>
      <c r="Q4738" s="33"/>
      <c r="R4738" s="33"/>
      <c r="S4738" s="33"/>
      <c r="T4738" s="33"/>
      <c r="U4738" s="33"/>
      <c r="V4738" s="33"/>
      <c r="W4738" s="33"/>
      <c r="X4738" s="33"/>
      <c r="Y4738" s="33"/>
      <c r="Z4738" s="33"/>
      <c r="AA4738" s="33"/>
      <c r="AB4738" s="33"/>
      <c r="AC4738" s="33"/>
      <c r="AD4738" s="33"/>
      <c r="AE4738" s="33"/>
      <c r="AF4738" s="33"/>
      <c r="AG4738" s="33"/>
      <c r="AH4738" s="33"/>
      <c r="AI4738" s="33"/>
      <c r="AJ4738" s="33"/>
      <c r="AK4738" s="33"/>
    </row>
    <row r="4739">
      <c r="A4739" s="33"/>
      <c r="B4739" s="33"/>
      <c r="C4739" s="33"/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  <c r="Q4739" s="33"/>
      <c r="R4739" s="33"/>
      <c r="S4739" s="33"/>
      <c r="T4739" s="33"/>
      <c r="U4739" s="33"/>
      <c r="V4739" s="33"/>
      <c r="W4739" s="33"/>
      <c r="X4739" s="33"/>
      <c r="Y4739" s="33"/>
      <c r="Z4739" s="33"/>
      <c r="AA4739" s="33"/>
      <c r="AB4739" s="33"/>
      <c r="AC4739" s="33"/>
      <c r="AD4739" s="33"/>
      <c r="AE4739" s="33"/>
      <c r="AF4739" s="33"/>
      <c r="AG4739" s="33"/>
      <c r="AH4739" s="33"/>
      <c r="AI4739" s="33"/>
      <c r="AJ4739" s="33"/>
      <c r="AK4739" s="33"/>
    </row>
    <row r="4740">
      <c r="A4740" s="33"/>
      <c r="B4740" s="33"/>
      <c r="C4740" s="33"/>
      <c r="D4740" s="33"/>
      <c r="E4740" s="33"/>
      <c r="F4740" s="33"/>
      <c r="G4740" s="33"/>
      <c r="H4740" s="33"/>
      <c r="I4740" s="33"/>
      <c r="J4740" s="33"/>
      <c r="K4740" s="33"/>
      <c r="L4740" s="33"/>
      <c r="M4740" s="33"/>
      <c r="N4740" s="33"/>
      <c r="O4740" s="33"/>
      <c r="P4740" s="33"/>
      <c r="Q4740" s="33"/>
      <c r="R4740" s="33"/>
      <c r="S4740" s="33"/>
      <c r="T4740" s="33"/>
      <c r="U4740" s="33"/>
      <c r="V4740" s="33"/>
      <c r="W4740" s="33"/>
      <c r="X4740" s="33"/>
      <c r="Y4740" s="33"/>
      <c r="Z4740" s="33"/>
      <c r="AA4740" s="33"/>
      <c r="AB4740" s="33"/>
      <c r="AC4740" s="33"/>
      <c r="AD4740" s="33"/>
      <c r="AE4740" s="33"/>
      <c r="AF4740" s="33"/>
      <c r="AG4740" s="33"/>
      <c r="AH4740" s="33"/>
      <c r="AI4740" s="33"/>
      <c r="AJ4740" s="33"/>
      <c r="AK4740" s="33"/>
    </row>
    <row r="4741">
      <c r="A4741" s="33"/>
      <c r="B4741" s="33"/>
      <c r="C4741" s="33"/>
      <c r="D4741" s="33"/>
      <c r="E4741" s="33"/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33"/>
      <c r="Q4741" s="33"/>
      <c r="R4741" s="33"/>
      <c r="S4741" s="33"/>
      <c r="T4741" s="33"/>
      <c r="U4741" s="33"/>
      <c r="V4741" s="33"/>
      <c r="W4741" s="33"/>
      <c r="X4741" s="33"/>
      <c r="Y4741" s="33"/>
      <c r="Z4741" s="33"/>
      <c r="AA4741" s="33"/>
      <c r="AB4741" s="33"/>
      <c r="AC4741" s="33"/>
      <c r="AD4741" s="33"/>
      <c r="AE4741" s="33"/>
      <c r="AF4741" s="33"/>
      <c r="AG4741" s="33"/>
      <c r="AH4741" s="33"/>
      <c r="AI4741" s="33"/>
      <c r="AJ4741" s="33"/>
      <c r="AK4741" s="33"/>
    </row>
    <row r="4742">
      <c r="A4742" s="33"/>
      <c r="B4742" s="33"/>
      <c r="C4742" s="33"/>
      <c r="D4742" s="33"/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3"/>
      <c r="P4742" s="33"/>
      <c r="Q4742" s="33"/>
      <c r="R4742" s="33"/>
      <c r="S4742" s="33"/>
      <c r="T4742" s="33"/>
      <c r="U4742" s="33"/>
      <c r="V4742" s="33"/>
      <c r="W4742" s="33"/>
      <c r="X4742" s="33"/>
      <c r="Y4742" s="33"/>
      <c r="Z4742" s="33"/>
      <c r="AA4742" s="33"/>
      <c r="AB4742" s="33"/>
      <c r="AC4742" s="33"/>
      <c r="AD4742" s="33"/>
      <c r="AE4742" s="33"/>
      <c r="AF4742" s="33"/>
      <c r="AG4742" s="33"/>
      <c r="AH4742" s="33"/>
      <c r="AI4742" s="33"/>
      <c r="AJ4742" s="33"/>
      <c r="AK4742" s="33"/>
    </row>
    <row r="4743">
      <c r="A4743" s="33"/>
      <c r="B4743" s="33"/>
      <c r="C4743" s="33"/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  <c r="Q4743" s="33"/>
      <c r="R4743" s="33"/>
      <c r="S4743" s="33"/>
      <c r="T4743" s="33"/>
      <c r="U4743" s="33"/>
      <c r="V4743" s="33"/>
      <c r="W4743" s="33"/>
      <c r="X4743" s="33"/>
      <c r="Y4743" s="33"/>
      <c r="Z4743" s="33"/>
      <c r="AA4743" s="33"/>
      <c r="AB4743" s="33"/>
      <c r="AC4743" s="33"/>
      <c r="AD4743" s="33"/>
      <c r="AE4743" s="33"/>
      <c r="AF4743" s="33"/>
      <c r="AG4743" s="33"/>
      <c r="AH4743" s="33"/>
      <c r="AI4743" s="33"/>
      <c r="AJ4743" s="33"/>
      <c r="AK4743" s="33"/>
    </row>
    <row r="4744">
      <c r="A4744" s="33"/>
      <c r="B4744" s="33"/>
      <c r="C4744" s="33"/>
      <c r="D4744" s="33"/>
      <c r="E4744" s="33"/>
      <c r="F4744" s="33"/>
      <c r="G4744" s="33"/>
      <c r="H4744" s="33"/>
      <c r="I4744" s="33"/>
      <c r="J4744" s="33"/>
      <c r="K4744" s="33"/>
      <c r="L4744" s="33"/>
      <c r="M4744" s="33"/>
      <c r="N4744" s="33"/>
      <c r="O4744" s="33"/>
      <c r="P4744" s="33"/>
      <c r="Q4744" s="33"/>
      <c r="R4744" s="33"/>
      <c r="S4744" s="33"/>
      <c r="T4744" s="33"/>
      <c r="U4744" s="33"/>
      <c r="V4744" s="33"/>
      <c r="W4744" s="33"/>
      <c r="X4744" s="33"/>
      <c r="Y4744" s="33"/>
      <c r="Z4744" s="33"/>
      <c r="AA4744" s="33"/>
      <c r="AB4744" s="33"/>
      <c r="AC4744" s="33"/>
      <c r="AD4744" s="33"/>
      <c r="AE4744" s="33"/>
      <c r="AF4744" s="33"/>
      <c r="AG4744" s="33"/>
      <c r="AH4744" s="33"/>
      <c r="AI4744" s="33"/>
      <c r="AJ4744" s="33"/>
      <c r="AK4744" s="33"/>
    </row>
    <row r="4745">
      <c r="A4745" s="33"/>
      <c r="B4745" s="33"/>
      <c r="C4745" s="33"/>
      <c r="D4745" s="33"/>
      <c r="E4745" s="33"/>
      <c r="F4745" s="33"/>
      <c r="G4745" s="33"/>
      <c r="H4745" s="33"/>
      <c r="I4745" s="33"/>
      <c r="J4745" s="33"/>
      <c r="K4745" s="33"/>
      <c r="L4745" s="33"/>
      <c r="M4745" s="33"/>
      <c r="N4745" s="33"/>
      <c r="O4745" s="33"/>
      <c r="P4745" s="33"/>
      <c r="Q4745" s="33"/>
      <c r="R4745" s="33"/>
      <c r="S4745" s="33"/>
      <c r="T4745" s="33"/>
      <c r="U4745" s="33"/>
      <c r="V4745" s="33"/>
      <c r="W4745" s="33"/>
      <c r="X4745" s="33"/>
      <c r="Y4745" s="33"/>
      <c r="Z4745" s="33"/>
      <c r="AA4745" s="33"/>
      <c r="AB4745" s="33"/>
      <c r="AC4745" s="33"/>
      <c r="AD4745" s="33"/>
      <c r="AE4745" s="33"/>
      <c r="AF4745" s="33"/>
      <c r="AG4745" s="33"/>
      <c r="AH4745" s="33"/>
      <c r="AI4745" s="33"/>
      <c r="AJ4745" s="33"/>
      <c r="AK4745" s="33"/>
    </row>
    <row r="4746">
      <c r="A4746" s="33"/>
      <c r="B4746" s="33"/>
      <c r="C4746" s="33"/>
      <c r="D4746" s="33"/>
      <c r="E4746" s="33"/>
      <c r="F4746" s="33"/>
      <c r="G4746" s="33"/>
      <c r="H4746" s="33"/>
      <c r="I4746" s="33"/>
      <c r="J4746" s="33"/>
      <c r="K4746" s="33"/>
      <c r="L4746" s="33"/>
      <c r="M4746" s="33"/>
      <c r="N4746" s="33"/>
      <c r="O4746" s="33"/>
      <c r="P4746" s="33"/>
      <c r="Q4746" s="33"/>
      <c r="R4746" s="33"/>
      <c r="S4746" s="33"/>
      <c r="T4746" s="33"/>
      <c r="U4746" s="33"/>
      <c r="V4746" s="33"/>
      <c r="W4746" s="33"/>
      <c r="X4746" s="33"/>
      <c r="Y4746" s="33"/>
      <c r="Z4746" s="33"/>
      <c r="AA4746" s="33"/>
      <c r="AB4746" s="33"/>
      <c r="AC4746" s="33"/>
      <c r="AD4746" s="33"/>
      <c r="AE4746" s="33"/>
      <c r="AF4746" s="33"/>
      <c r="AG4746" s="33"/>
      <c r="AH4746" s="33"/>
      <c r="AI4746" s="33"/>
      <c r="AJ4746" s="33"/>
      <c r="AK4746" s="33"/>
    </row>
    <row r="4747">
      <c r="A4747" s="33"/>
      <c r="B4747" s="33"/>
      <c r="C4747" s="33"/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  <c r="Q4747" s="33"/>
      <c r="R4747" s="33"/>
      <c r="S4747" s="33"/>
      <c r="T4747" s="33"/>
      <c r="U4747" s="33"/>
      <c r="V4747" s="33"/>
      <c r="W4747" s="33"/>
      <c r="X4747" s="33"/>
      <c r="Y4747" s="33"/>
      <c r="Z4747" s="33"/>
      <c r="AA4747" s="33"/>
      <c r="AB4747" s="33"/>
      <c r="AC4747" s="33"/>
      <c r="AD4747" s="33"/>
      <c r="AE4747" s="33"/>
      <c r="AF4747" s="33"/>
      <c r="AG4747" s="33"/>
      <c r="AH4747" s="33"/>
      <c r="AI4747" s="33"/>
      <c r="AJ4747" s="33"/>
      <c r="AK4747" s="33"/>
    </row>
    <row r="4748">
      <c r="A4748" s="33"/>
      <c r="B4748" s="33"/>
      <c r="C4748" s="33"/>
      <c r="D4748" s="33"/>
      <c r="E4748" s="33"/>
      <c r="F4748" s="33"/>
      <c r="G4748" s="33"/>
      <c r="H4748" s="33"/>
      <c r="I4748" s="33"/>
      <c r="J4748" s="33"/>
      <c r="K4748" s="33"/>
      <c r="L4748" s="33"/>
      <c r="M4748" s="33"/>
      <c r="N4748" s="33"/>
      <c r="O4748" s="33"/>
      <c r="P4748" s="33"/>
      <c r="Q4748" s="33"/>
      <c r="R4748" s="33"/>
      <c r="S4748" s="33"/>
      <c r="T4748" s="33"/>
      <c r="U4748" s="33"/>
      <c r="V4748" s="33"/>
      <c r="W4748" s="33"/>
      <c r="X4748" s="33"/>
      <c r="Y4748" s="33"/>
      <c r="Z4748" s="33"/>
      <c r="AA4748" s="33"/>
      <c r="AB4748" s="33"/>
      <c r="AC4748" s="33"/>
      <c r="AD4748" s="33"/>
      <c r="AE4748" s="33"/>
      <c r="AF4748" s="33"/>
      <c r="AG4748" s="33"/>
      <c r="AH4748" s="33"/>
      <c r="AI4748" s="33"/>
      <c r="AJ4748" s="33"/>
      <c r="AK4748" s="33"/>
    </row>
    <row r="4749">
      <c r="A4749" s="33"/>
      <c r="B4749" s="33"/>
      <c r="C4749" s="33"/>
      <c r="D4749" s="33"/>
      <c r="E4749" s="33"/>
      <c r="F4749" s="33"/>
      <c r="G4749" s="33"/>
      <c r="H4749" s="33"/>
      <c r="I4749" s="33"/>
      <c r="J4749" s="33"/>
      <c r="K4749" s="33"/>
      <c r="L4749" s="33"/>
      <c r="M4749" s="33"/>
      <c r="N4749" s="33"/>
      <c r="O4749" s="33"/>
      <c r="P4749" s="33"/>
      <c r="Q4749" s="33"/>
      <c r="R4749" s="33"/>
      <c r="S4749" s="33"/>
      <c r="T4749" s="33"/>
      <c r="U4749" s="33"/>
      <c r="V4749" s="33"/>
      <c r="W4749" s="33"/>
      <c r="X4749" s="33"/>
      <c r="Y4749" s="33"/>
      <c r="Z4749" s="33"/>
      <c r="AA4749" s="33"/>
      <c r="AB4749" s="33"/>
      <c r="AC4749" s="33"/>
      <c r="AD4749" s="33"/>
      <c r="AE4749" s="33"/>
      <c r="AF4749" s="33"/>
      <c r="AG4749" s="33"/>
      <c r="AH4749" s="33"/>
      <c r="AI4749" s="33"/>
      <c r="AJ4749" s="33"/>
      <c r="AK4749" s="33"/>
    </row>
    <row r="4750">
      <c r="A4750" s="33"/>
      <c r="B4750" s="33"/>
      <c r="C4750" s="33"/>
      <c r="D4750" s="33"/>
      <c r="E4750" s="33"/>
      <c r="F4750" s="33"/>
      <c r="G4750" s="33"/>
      <c r="H4750" s="33"/>
      <c r="I4750" s="33"/>
      <c r="J4750" s="33"/>
      <c r="K4750" s="33"/>
      <c r="L4750" s="33"/>
      <c r="M4750" s="33"/>
      <c r="N4750" s="33"/>
      <c r="O4750" s="33"/>
      <c r="P4750" s="33"/>
      <c r="Q4750" s="33"/>
      <c r="R4750" s="33"/>
      <c r="S4750" s="33"/>
      <c r="T4750" s="33"/>
      <c r="U4750" s="33"/>
      <c r="V4750" s="33"/>
      <c r="W4750" s="33"/>
      <c r="X4750" s="33"/>
      <c r="Y4750" s="33"/>
      <c r="Z4750" s="33"/>
      <c r="AA4750" s="33"/>
      <c r="AB4750" s="33"/>
      <c r="AC4750" s="33"/>
      <c r="AD4750" s="33"/>
      <c r="AE4750" s="33"/>
      <c r="AF4750" s="33"/>
      <c r="AG4750" s="33"/>
      <c r="AH4750" s="33"/>
      <c r="AI4750" s="33"/>
      <c r="AJ4750" s="33"/>
      <c r="AK4750" s="33"/>
    </row>
    <row r="4751">
      <c r="A4751" s="33"/>
      <c r="B4751" s="33"/>
      <c r="C4751" s="33"/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  <c r="Q4751" s="33"/>
      <c r="R4751" s="33"/>
      <c r="S4751" s="33"/>
      <c r="T4751" s="33"/>
      <c r="U4751" s="33"/>
      <c r="V4751" s="33"/>
      <c r="W4751" s="33"/>
      <c r="X4751" s="33"/>
      <c r="Y4751" s="33"/>
      <c r="Z4751" s="33"/>
      <c r="AA4751" s="33"/>
      <c r="AB4751" s="33"/>
      <c r="AC4751" s="33"/>
      <c r="AD4751" s="33"/>
      <c r="AE4751" s="33"/>
      <c r="AF4751" s="33"/>
      <c r="AG4751" s="33"/>
      <c r="AH4751" s="33"/>
      <c r="AI4751" s="33"/>
      <c r="AJ4751" s="33"/>
      <c r="AK4751" s="33"/>
    </row>
    <row r="4752">
      <c r="A4752" s="33"/>
      <c r="B4752" s="33"/>
      <c r="C4752" s="33"/>
      <c r="D4752" s="33"/>
      <c r="E4752" s="33"/>
      <c r="F4752" s="33"/>
      <c r="G4752" s="33"/>
      <c r="H4752" s="33"/>
      <c r="I4752" s="33"/>
      <c r="J4752" s="33"/>
      <c r="K4752" s="33"/>
      <c r="L4752" s="33"/>
      <c r="M4752" s="33"/>
      <c r="N4752" s="33"/>
      <c r="O4752" s="33"/>
      <c r="P4752" s="33"/>
      <c r="Q4752" s="33"/>
      <c r="R4752" s="33"/>
      <c r="S4752" s="33"/>
      <c r="T4752" s="33"/>
      <c r="U4752" s="33"/>
      <c r="V4752" s="33"/>
      <c r="W4752" s="33"/>
      <c r="X4752" s="33"/>
      <c r="Y4752" s="33"/>
      <c r="Z4752" s="33"/>
      <c r="AA4752" s="33"/>
      <c r="AB4752" s="33"/>
      <c r="AC4752" s="33"/>
      <c r="AD4752" s="33"/>
      <c r="AE4752" s="33"/>
      <c r="AF4752" s="33"/>
      <c r="AG4752" s="33"/>
      <c r="AH4752" s="33"/>
      <c r="AI4752" s="33"/>
      <c r="AJ4752" s="33"/>
      <c r="AK4752" s="33"/>
    </row>
    <row r="4753">
      <c r="A4753" s="33"/>
      <c r="B4753" s="33"/>
      <c r="C4753" s="33"/>
      <c r="D4753" s="33"/>
      <c r="E4753" s="33"/>
      <c r="F4753" s="33"/>
      <c r="G4753" s="33"/>
      <c r="H4753" s="33"/>
      <c r="I4753" s="33"/>
      <c r="J4753" s="33"/>
      <c r="K4753" s="33"/>
      <c r="L4753" s="33"/>
      <c r="M4753" s="33"/>
      <c r="N4753" s="33"/>
      <c r="O4753" s="33"/>
      <c r="P4753" s="33"/>
      <c r="Q4753" s="33"/>
      <c r="R4753" s="33"/>
      <c r="S4753" s="33"/>
      <c r="T4753" s="33"/>
      <c r="U4753" s="33"/>
      <c r="V4753" s="33"/>
      <c r="W4753" s="33"/>
      <c r="X4753" s="33"/>
      <c r="Y4753" s="33"/>
      <c r="Z4753" s="33"/>
      <c r="AA4753" s="33"/>
      <c r="AB4753" s="33"/>
      <c r="AC4753" s="33"/>
      <c r="AD4753" s="33"/>
      <c r="AE4753" s="33"/>
      <c r="AF4753" s="33"/>
      <c r="AG4753" s="33"/>
      <c r="AH4753" s="33"/>
      <c r="AI4753" s="33"/>
      <c r="AJ4753" s="33"/>
      <c r="AK4753" s="33"/>
    </row>
    <row r="4754">
      <c r="A4754" s="33"/>
      <c r="B4754" s="33"/>
      <c r="C4754" s="33"/>
      <c r="D4754" s="33"/>
      <c r="E4754" s="33"/>
      <c r="F4754" s="33"/>
      <c r="G4754" s="33"/>
      <c r="H4754" s="33"/>
      <c r="I4754" s="33"/>
      <c r="J4754" s="33"/>
      <c r="K4754" s="33"/>
      <c r="L4754" s="33"/>
      <c r="M4754" s="33"/>
      <c r="N4754" s="33"/>
      <c r="O4754" s="33"/>
      <c r="P4754" s="33"/>
      <c r="Q4754" s="33"/>
      <c r="R4754" s="33"/>
      <c r="S4754" s="33"/>
      <c r="T4754" s="33"/>
      <c r="U4754" s="33"/>
      <c r="V4754" s="33"/>
      <c r="W4754" s="33"/>
      <c r="X4754" s="33"/>
      <c r="Y4754" s="33"/>
      <c r="Z4754" s="33"/>
      <c r="AA4754" s="33"/>
      <c r="AB4754" s="33"/>
      <c r="AC4754" s="33"/>
      <c r="AD4754" s="33"/>
      <c r="AE4754" s="33"/>
      <c r="AF4754" s="33"/>
      <c r="AG4754" s="33"/>
      <c r="AH4754" s="33"/>
      <c r="AI4754" s="33"/>
      <c r="AJ4754" s="33"/>
      <c r="AK4754" s="33"/>
    </row>
    <row r="4755">
      <c r="A4755" s="33"/>
      <c r="B4755" s="33"/>
      <c r="C4755" s="33"/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  <c r="Q4755" s="33"/>
      <c r="R4755" s="33"/>
      <c r="S4755" s="33"/>
      <c r="T4755" s="33"/>
      <c r="U4755" s="33"/>
      <c r="V4755" s="33"/>
      <c r="W4755" s="33"/>
      <c r="X4755" s="33"/>
      <c r="Y4755" s="33"/>
      <c r="Z4755" s="33"/>
      <c r="AA4755" s="33"/>
      <c r="AB4755" s="33"/>
      <c r="AC4755" s="33"/>
      <c r="AD4755" s="33"/>
      <c r="AE4755" s="33"/>
      <c r="AF4755" s="33"/>
      <c r="AG4755" s="33"/>
      <c r="AH4755" s="33"/>
      <c r="AI4755" s="33"/>
      <c r="AJ4755" s="33"/>
      <c r="AK4755" s="33"/>
    </row>
    <row r="4756">
      <c r="A4756" s="33"/>
      <c r="B4756" s="33"/>
      <c r="C4756" s="33"/>
      <c r="D4756" s="33"/>
      <c r="E4756" s="33"/>
      <c r="F4756" s="33"/>
      <c r="G4756" s="33"/>
      <c r="H4756" s="33"/>
      <c r="I4756" s="33"/>
      <c r="J4756" s="33"/>
      <c r="K4756" s="33"/>
      <c r="L4756" s="33"/>
      <c r="M4756" s="33"/>
      <c r="N4756" s="33"/>
      <c r="O4756" s="33"/>
      <c r="P4756" s="33"/>
      <c r="Q4756" s="33"/>
      <c r="R4756" s="33"/>
      <c r="S4756" s="33"/>
      <c r="T4756" s="33"/>
      <c r="U4756" s="33"/>
      <c r="V4756" s="33"/>
      <c r="W4756" s="33"/>
      <c r="X4756" s="33"/>
      <c r="Y4756" s="33"/>
      <c r="Z4756" s="33"/>
      <c r="AA4756" s="33"/>
      <c r="AB4756" s="33"/>
      <c r="AC4756" s="33"/>
      <c r="AD4756" s="33"/>
      <c r="AE4756" s="33"/>
      <c r="AF4756" s="33"/>
      <c r="AG4756" s="33"/>
      <c r="AH4756" s="33"/>
      <c r="AI4756" s="33"/>
      <c r="AJ4756" s="33"/>
      <c r="AK4756" s="33"/>
    </row>
    <row r="4757">
      <c r="A4757" s="33"/>
      <c r="B4757" s="33"/>
      <c r="C4757" s="33"/>
      <c r="D4757" s="33"/>
      <c r="E4757" s="33"/>
      <c r="F4757" s="33"/>
      <c r="G4757" s="33"/>
      <c r="H4757" s="33"/>
      <c r="I4757" s="33"/>
      <c r="J4757" s="33"/>
      <c r="K4757" s="33"/>
      <c r="L4757" s="33"/>
      <c r="M4757" s="33"/>
      <c r="N4757" s="33"/>
      <c r="O4757" s="33"/>
      <c r="P4757" s="33"/>
      <c r="Q4757" s="33"/>
      <c r="R4757" s="33"/>
      <c r="S4757" s="33"/>
      <c r="T4757" s="33"/>
      <c r="U4757" s="33"/>
      <c r="V4757" s="33"/>
      <c r="W4757" s="33"/>
      <c r="X4757" s="33"/>
      <c r="Y4757" s="33"/>
      <c r="Z4757" s="33"/>
      <c r="AA4757" s="33"/>
      <c r="AB4757" s="33"/>
      <c r="AC4757" s="33"/>
      <c r="AD4757" s="33"/>
      <c r="AE4757" s="33"/>
      <c r="AF4757" s="33"/>
      <c r="AG4757" s="33"/>
      <c r="AH4757" s="33"/>
      <c r="AI4757" s="33"/>
      <c r="AJ4757" s="33"/>
      <c r="AK4757" s="33"/>
    </row>
    <row r="4758">
      <c r="A4758" s="33"/>
      <c r="B4758" s="33"/>
      <c r="C4758" s="33"/>
      <c r="D4758" s="33"/>
      <c r="E4758" s="33"/>
      <c r="F4758" s="33"/>
      <c r="G4758" s="33"/>
      <c r="H4758" s="33"/>
      <c r="I4758" s="33"/>
      <c r="J4758" s="33"/>
      <c r="K4758" s="33"/>
      <c r="L4758" s="33"/>
      <c r="M4758" s="33"/>
      <c r="N4758" s="33"/>
      <c r="O4758" s="33"/>
      <c r="P4758" s="33"/>
      <c r="Q4758" s="33"/>
      <c r="R4758" s="33"/>
      <c r="S4758" s="33"/>
      <c r="T4758" s="33"/>
      <c r="U4758" s="33"/>
      <c r="V4758" s="33"/>
      <c r="W4758" s="33"/>
      <c r="X4758" s="33"/>
      <c r="Y4758" s="33"/>
      <c r="Z4758" s="33"/>
      <c r="AA4758" s="33"/>
      <c r="AB4758" s="33"/>
      <c r="AC4758" s="33"/>
      <c r="AD4758" s="33"/>
      <c r="AE4758" s="33"/>
      <c r="AF4758" s="33"/>
      <c r="AG4758" s="33"/>
      <c r="AH4758" s="33"/>
      <c r="AI4758" s="33"/>
      <c r="AJ4758" s="33"/>
      <c r="AK4758" s="33"/>
    </row>
    <row r="4759">
      <c r="A4759" s="33"/>
      <c r="B4759" s="33"/>
      <c r="C4759" s="33"/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  <c r="Q4759" s="33"/>
      <c r="R4759" s="33"/>
      <c r="S4759" s="33"/>
      <c r="T4759" s="33"/>
      <c r="U4759" s="33"/>
      <c r="V4759" s="33"/>
      <c r="W4759" s="33"/>
      <c r="X4759" s="33"/>
      <c r="Y4759" s="33"/>
      <c r="Z4759" s="33"/>
      <c r="AA4759" s="33"/>
      <c r="AB4759" s="33"/>
      <c r="AC4759" s="33"/>
      <c r="AD4759" s="33"/>
      <c r="AE4759" s="33"/>
      <c r="AF4759" s="33"/>
      <c r="AG4759" s="33"/>
      <c r="AH4759" s="33"/>
      <c r="AI4759" s="33"/>
      <c r="AJ4759" s="33"/>
      <c r="AK4759" s="33"/>
    </row>
    <row r="4760">
      <c r="A4760" s="33"/>
      <c r="B4760" s="33"/>
      <c r="C4760" s="33"/>
      <c r="D4760" s="33"/>
      <c r="E4760" s="33"/>
      <c r="F4760" s="33"/>
      <c r="G4760" s="33"/>
      <c r="H4760" s="33"/>
      <c r="I4760" s="33"/>
      <c r="J4760" s="33"/>
      <c r="K4760" s="33"/>
      <c r="L4760" s="33"/>
      <c r="M4760" s="33"/>
      <c r="N4760" s="33"/>
      <c r="O4760" s="33"/>
      <c r="P4760" s="33"/>
      <c r="Q4760" s="33"/>
      <c r="R4760" s="33"/>
      <c r="S4760" s="33"/>
      <c r="T4760" s="33"/>
      <c r="U4760" s="33"/>
      <c r="V4760" s="33"/>
      <c r="W4760" s="33"/>
      <c r="X4760" s="33"/>
      <c r="Y4760" s="33"/>
      <c r="Z4760" s="33"/>
      <c r="AA4760" s="33"/>
      <c r="AB4760" s="33"/>
      <c r="AC4760" s="33"/>
      <c r="AD4760" s="33"/>
      <c r="AE4760" s="33"/>
      <c r="AF4760" s="33"/>
      <c r="AG4760" s="33"/>
      <c r="AH4760" s="33"/>
      <c r="AI4760" s="33"/>
      <c r="AJ4760" s="33"/>
      <c r="AK4760" s="33"/>
    </row>
    <row r="4761">
      <c r="A4761" s="33"/>
      <c r="B4761" s="33"/>
      <c r="C4761" s="33"/>
      <c r="D4761" s="33"/>
      <c r="E4761" s="33"/>
      <c r="F4761" s="33"/>
      <c r="G4761" s="33"/>
      <c r="H4761" s="33"/>
      <c r="I4761" s="33"/>
      <c r="J4761" s="33"/>
      <c r="K4761" s="33"/>
      <c r="L4761" s="33"/>
      <c r="M4761" s="33"/>
      <c r="N4761" s="33"/>
      <c r="O4761" s="33"/>
      <c r="P4761" s="33"/>
      <c r="Q4761" s="33"/>
      <c r="R4761" s="33"/>
      <c r="S4761" s="33"/>
      <c r="T4761" s="33"/>
      <c r="U4761" s="33"/>
      <c r="V4761" s="33"/>
      <c r="W4761" s="33"/>
      <c r="X4761" s="33"/>
      <c r="Y4761" s="33"/>
      <c r="Z4761" s="33"/>
      <c r="AA4761" s="33"/>
      <c r="AB4761" s="33"/>
      <c r="AC4761" s="33"/>
      <c r="AD4761" s="33"/>
      <c r="AE4761" s="33"/>
      <c r="AF4761" s="33"/>
      <c r="AG4761" s="33"/>
      <c r="AH4761" s="33"/>
      <c r="AI4761" s="33"/>
      <c r="AJ4761" s="33"/>
      <c r="AK4761" s="33"/>
    </row>
    <row r="4762">
      <c r="A4762" s="33"/>
      <c r="B4762" s="33"/>
      <c r="C4762" s="33"/>
      <c r="D4762" s="33"/>
      <c r="E4762" s="33"/>
      <c r="F4762" s="33"/>
      <c r="G4762" s="33"/>
      <c r="H4762" s="33"/>
      <c r="I4762" s="33"/>
      <c r="J4762" s="33"/>
      <c r="K4762" s="33"/>
      <c r="L4762" s="33"/>
      <c r="M4762" s="33"/>
      <c r="N4762" s="33"/>
      <c r="O4762" s="33"/>
      <c r="P4762" s="33"/>
      <c r="Q4762" s="33"/>
      <c r="R4762" s="33"/>
      <c r="S4762" s="33"/>
      <c r="T4762" s="33"/>
      <c r="U4762" s="33"/>
      <c r="V4762" s="33"/>
      <c r="W4762" s="33"/>
      <c r="X4762" s="33"/>
      <c r="Y4762" s="33"/>
      <c r="Z4762" s="33"/>
      <c r="AA4762" s="33"/>
      <c r="AB4762" s="33"/>
      <c r="AC4762" s="33"/>
      <c r="AD4762" s="33"/>
      <c r="AE4762" s="33"/>
      <c r="AF4762" s="33"/>
      <c r="AG4762" s="33"/>
      <c r="AH4762" s="33"/>
      <c r="AI4762" s="33"/>
      <c r="AJ4762" s="33"/>
      <c r="AK4762" s="33"/>
    </row>
    <row r="4763">
      <c r="A4763" s="33"/>
      <c r="B4763" s="33"/>
      <c r="C4763" s="33"/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  <c r="Q4763" s="33"/>
      <c r="R4763" s="33"/>
      <c r="S4763" s="33"/>
      <c r="T4763" s="33"/>
      <c r="U4763" s="33"/>
      <c r="V4763" s="33"/>
      <c r="W4763" s="33"/>
      <c r="X4763" s="33"/>
      <c r="Y4763" s="33"/>
      <c r="Z4763" s="33"/>
      <c r="AA4763" s="33"/>
      <c r="AB4763" s="33"/>
      <c r="AC4763" s="33"/>
      <c r="AD4763" s="33"/>
      <c r="AE4763" s="33"/>
      <c r="AF4763" s="33"/>
      <c r="AG4763" s="33"/>
      <c r="AH4763" s="33"/>
      <c r="AI4763" s="33"/>
      <c r="AJ4763" s="33"/>
      <c r="AK4763" s="33"/>
    </row>
    <row r="4764">
      <c r="A4764" s="33"/>
      <c r="B4764" s="33"/>
      <c r="C4764" s="33"/>
      <c r="D4764" s="33"/>
      <c r="E4764" s="33"/>
      <c r="F4764" s="33"/>
      <c r="G4764" s="33"/>
      <c r="H4764" s="33"/>
      <c r="I4764" s="33"/>
      <c r="J4764" s="33"/>
      <c r="K4764" s="33"/>
      <c r="L4764" s="33"/>
      <c r="M4764" s="33"/>
      <c r="N4764" s="33"/>
      <c r="O4764" s="33"/>
      <c r="P4764" s="33"/>
      <c r="Q4764" s="33"/>
      <c r="R4764" s="33"/>
      <c r="S4764" s="33"/>
      <c r="T4764" s="33"/>
      <c r="U4764" s="33"/>
      <c r="V4764" s="33"/>
      <c r="W4764" s="33"/>
      <c r="X4764" s="33"/>
      <c r="Y4764" s="33"/>
      <c r="Z4764" s="33"/>
      <c r="AA4764" s="33"/>
      <c r="AB4764" s="33"/>
      <c r="AC4764" s="33"/>
      <c r="AD4764" s="33"/>
      <c r="AE4764" s="33"/>
      <c r="AF4764" s="33"/>
      <c r="AG4764" s="33"/>
      <c r="AH4764" s="33"/>
      <c r="AI4764" s="33"/>
      <c r="AJ4764" s="33"/>
      <c r="AK4764" s="33"/>
    </row>
    <row r="4765">
      <c r="A4765" s="33"/>
      <c r="B4765" s="33"/>
      <c r="C4765" s="33"/>
      <c r="D4765" s="33"/>
      <c r="E4765" s="33"/>
      <c r="F4765" s="33"/>
      <c r="G4765" s="33"/>
      <c r="H4765" s="33"/>
      <c r="I4765" s="33"/>
      <c r="J4765" s="33"/>
      <c r="K4765" s="33"/>
      <c r="L4765" s="33"/>
      <c r="M4765" s="33"/>
      <c r="N4765" s="33"/>
      <c r="O4765" s="33"/>
      <c r="P4765" s="33"/>
      <c r="Q4765" s="33"/>
      <c r="R4765" s="33"/>
      <c r="S4765" s="33"/>
      <c r="T4765" s="33"/>
      <c r="U4765" s="33"/>
      <c r="V4765" s="33"/>
      <c r="W4765" s="33"/>
      <c r="X4765" s="33"/>
      <c r="Y4765" s="33"/>
      <c r="Z4765" s="33"/>
      <c r="AA4765" s="33"/>
      <c r="AB4765" s="33"/>
      <c r="AC4765" s="33"/>
      <c r="AD4765" s="33"/>
      <c r="AE4765" s="33"/>
      <c r="AF4765" s="33"/>
      <c r="AG4765" s="33"/>
      <c r="AH4765" s="33"/>
      <c r="AI4765" s="33"/>
      <c r="AJ4765" s="33"/>
      <c r="AK4765" s="33"/>
    </row>
    <row r="4766">
      <c r="A4766" s="33"/>
      <c r="B4766" s="33"/>
      <c r="C4766" s="33"/>
      <c r="D4766" s="33"/>
      <c r="E4766" s="33"/>
      <c r="F4766" s="33"/>
      <c r="G4766" s="33"/>
      <c r="H4766" s="33"/>
      <c r="I4766" s="33"/>
      <c r="J4766" s="33"/>
      <c r="K4766" s="33"/>
      <c r="L4766" s="33"/>
      <c r="M4766" s="33"/>
      <c r="N4766" s="33"/>
      <c r="O4766" s="33"/>
      <c r="P4766" s="33"/>
      <c r="Q4766" s="33"/>
      <c r="R4766" s="33"/>
      <c r="S4766" s="33"/>
      <c r="T4766" s="33"/>
      <c r="U4766" s="33"/>
      <c r="V4766" s="33"/>
      <c r="W4766" s="33"/>
      <c r="X4766" s="33"/>
      <c r="Y4766" s="33"/>
      <c r="Z4766" s="33"/>
      <c r="AA4766" s="33"/>
      <c r="AB4766" s="33"/>
      <c r="AC4766" s="33"/>
      <c r="AD4766" s="33"/>
      <c r="AE4766" s="33"/>
      <c r="AF4766" s="33"/>
      <c r="AG4766" s="33"/>
      <c r="AH4766" s="33"/>
      <c r="AI4766" s="33"/>
      <c r="AJ4766" s="33"/>
      <c r="AK4766" s="33"/>
    </row>
    <row r="4767">
      <c r="A4767" s="33"/>
      <c r="B4767" s="33"/>
      <c r="C4767" s="33"/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33"/>
      <c r="Q4767" s="33"/>
      <c r="R4767" s="33"/>
      <c r="S4767" s="33"/>
      <c r="T4767" s="33"/>
      <c r="U4767" s="33"/>
      <c r="V4767" s="33"/>
      <c r="W4767" s="33"/>
      <c r="X4767" s="33"/>
      <c r="Y4767" s="33"/>
      <c r="Z4767" s="33"/>
      <c r="AA4767" s="33"/>
      <c r="AB4767" s="33"/>
      <c r="AC4767" s="33"/>
      <c r="AD4767" s="33"/>
      <c r="AE4767" s="33"/>
      <c r="AF4767" s="33"/>
      <c r="AG4767" s="33"/>
      <c r="AH4767" s="33"/>
      <c r="AI4767" s="33"/>
      <c r="AJ4767" s="33"/>
      <c r="AK4767" s="33"/>
    </row>
    <row r="4768">
      <c r="A4768" s="33"/>
      <c r="B4768" s="33"/>
      <c r="C4768" s="33"/>
      <c r="D4768" s="33"/>
      <c r="E4768" s="33"/>
      <c r="F4768" s="33"/>
      <c r="G4768" s="33"/>
      <c r="H4768" s="33"/>
      <c r="I4768" s="33"/>
      <c r="J4768" s="33"/>
      <c r="K4768" s="33"/>
      <c r="L4768" s="33"/>
      <c r="M4768" s="33"/>
      <c r="N4768" s="33"/>
      <c r="O4768" s="33"/>
      <c r="P4768" s="33"/>
      <c r="Q4768" s="33"/>
      <c r="R4768" s="33"/>
      <c r="S4768" s="33"/>
      <c r="T4768" s="33"/>
      <c r="U4768" s="33"/>
      <c r="V4768" s="33"/>
      <c r="W4768" s="33"/>
      <c r="X4768" s="33"/>
      <c r="Y4768" s="33"/>
      <c r="Z4768" s="33"/>
      <c r="AA4768" s="33"/>
      <c r="AB4768" s="33"/>
      <c r="AC4768" s="33"/>
      <c r="AD4768" s="33"/>
      <c r="AE4768" s="33"/>
      <c r="AF4768" s="33"/>
      <c r="AG4768" s="33"/>
      <c r="AH4768" s="33"/>
      <c r="AI4768" s="33"/>
      <c r="AJ4768" s="33"/>
      <c r="AK4768" s="33"/>
    </row>
    <row r="4769">
      <c r="A4769" s="33"/>
      <c r="B4769" s="33"/>
      <c r="C4769" s="33"/>
      <c r="D4769" s="33"/>
      <c r="E4769" s="33"/>
      <c r="F4769" s="33"/>
      <c r="G4769" s="33"/>
      <c r="H4769" s="33"/>
      <c r="I4769" s="33"/>
      <c r="J4769" s="33"/>
      <c r="K4769" s="33"/>
      <c r="L4769" s="33"/>
      <c r="M4769" s="33"/>
      <c r="N4769" s="33"/>
      <c r="O4769" s="33"/>
      <c r="P4769" s="33"/>
      <c r="Q4769" s="33"/>
      <c r="R4769" s="33"/>
      <c r="S4769" s="33"/>
      <c r="T4769" s="33"/>
      <c r="U4769" s="33"/>
      <c r="V4769" s="33"/>
      <c r="W4769" s="33"/>
      <c r="X4769" s="33"/>
      <c r="Y4769" s="33"/>
      <c r="Z4769" s="33"/>
      <c r="AA4769" s="33"/>
      <c r="AB4769" s="33"/>
      <c r="AC4769" s="33"/>
      <c r="AD4769" s="33"/>
      <c r="AE4769" s="33"/>
      <c r="AF4769" s="33"/>
      <c r="AG4769" s="33"/>
      <c r="AH4769" s="33"/>
      <c r="AI4769" s="33"/>
      <c r="AJ4769" s="33"/>
      <c r="AK4769" s="33"/>
    </row>
    <row r="4770">
      <c r="A4770" s="33"/>
      <c r="B4770" s="33"/>
      <c r="C4770" s="33"/>
      <c r="D4770" s="33"/>
      <c r="E4770" s="33"/>
      <c r="F4770" s="33"/>
      <c r="G4770" s="33"/>
      <c r="H4770" s="33"/>
      <c r="I4770" s="33"/>
      <c r="J4770" s="33"/>
      <c r="K4770" s="33"/>
      <c r="L4770" s="33"/>
      <c r="M4770" s="33"/>
      <c r="N4770" s="33"/>
      <c r="O4770" s="33"/>
      <c r="P4770" s="33"/>
      <c r="Q4770" s="33"/>
      <c r="R4770" s="33"/>
      <c r="S4770" s="33"/>
      <c r="T4770" s="33"/>
      <c r="U4770" s="33"/>
      <c r="V4770" s="33"/>
      <c r="W4770" s="33"/>
      <c r="X4770" s="33"/>
      <c r="Y4770" s="33"/>
      <c r="Z4770" s="33"/>
      <c r="AA4770" s="33"/>
      <c r="AB4770" s="33"/>
      <c r="AC4770" s="33"/>
      <c r="AD4770" s="33"/>
      <c r="AE4770" s="33"/>
      <c r="AF4770" s="33"/>
      <c r="AG4770" s="33"/>
      <c r="AH4770" s="33"/>
      <c r="AI4770" s="33"/>
      <c r="AJ4770" s="33"/>
      <c r="AK4770" s="33"/>
    </row>
    <row r="4771">
      <c r="A4771" s="33"/>
      <c r="B4771" s="33"/>
      <c r="C4771" s="33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33"/>
      <c r="V4771" s="33"/>
      <c r="W4771" s="33"/>
      <c r="X4771" s="33"/>
      <c r="Y4771" s="33"/>
      <c r="Z4771" s="33"/>
      <c r="AA4771" s="33"/>
      <c r="AB4771" s="33"/>
      <c r="AC4771" s="33"/>
      <c r="AD4771" s="33"/>
      <c r="AE4771" s="33"/>
      <c r="AF4771" s="33"/>
      <c r="AG4771" s="33"/>
      <c r="AH4771" s="33"/>
      <c r="AI4771" s="33"/>
      <c r="AJ4771" s="33"/>
      <c r="AK4771" s="33"/>
    </row>
    <row r="4772">
      <c r="A4772" s="33"/>
      <c r="B4772" s="33"/>
      <c r="C4772" s="33"/>
      <c r="D4772" s="33"/>
      <c r="E4772" s="33"/>
      <c r="F4772" s="33"/>
      <c r="G4772" s="33"/>
      <c r="H4772" s="33"/>
      <c r="I4772" s="33"/>
      <c r="J4772" s="33"/>
      <c r="K4772" s="33"/>
      <c r="L4772" s="33"/>
      <c r="M4772" s="33"/>
      <c r="N4772" s="33"/>
      <c r="O4772" s="33"/>
      <c r="P4772" s="33"/>
      <c r="Q4772" s="33"/>
      <c r="R4772" s="33"/>
      <c r="S4772" s="33"/>
      <c r="T4772" s="33"/>
      <c r="U4772" s="33"/>
      <c r="V4772" s="33"/>
      <c r="W4772" s="33"/>
      <c r="X4772" s="33"/>
      <c r="Y4772" s="33"/>
      <c r="Z4772" s="33"/>
      <c r="AA4772" s="33"/>
      <c r="AB4772" s="33"/>
      <c r="AC4772" s="33"/>
      <c r="AD4772" s="33"/>
      <c r="AE4772" s="33"/>
      <c r="AF4772" s="33"/>
      <c r="AG4772" s="33"/>
      <c r="AH4772" s="33"/>
      <c r="AI4772" s="33"/>
      <c r="AJ4772" s="33"/>
      <c r="AK4772" s="33"/>
    </row>
    <row r="4773">
      <c r="A4773" s="33"/>
      <c r="B4773" s="33"/>
      <c r="C4773" s="33"/>
      <c r="D4773" s="33"/>
      <c r="E4773" s="33"/>
      <c r="F4773" s="33"/>
      <c r="G4773" s="33"/>
      <c r="H4773" s="33"/>
      <c r="I4773" s="33"/>
      <c r="J4773" s="33"/>
      <c r="K4773" s="33"/>
      <c r="L4773" s="33"/>
      <c r="M4773" s="33"/>
      <c r="N4773" s="33"/>
      <c r="O4773" s="33"/>
      <c r="P4773" s="33"/>
      <c r="Q4773" s="33"/>
      <c r="R4773" s="33"/>
      <c r="S4773" s="33"/>
      <c r="T4773" s="33"/>
      <c r="U4773" s="33"/>
      <c r="V4773" s="33"/>
      <c r="W4773" s="33"/>
      <c r="X4773" s="33"/>
      <c r="Y4773" s="33"/>
      <c r="Z4773" s="33"/>
      <c r="AA4773" s="33"/>
      <c r="AB4773" s="33"/>
      <c r="AC4773" s="33"/>
      <c r="AD4773" s="33"/>
      <c r="AE4773" s="33"/>
      <c r="AF4773" s="33"/>
      <c r="AG4773" s="33"/>
      <c r="AH4773" s="33"/>
      <c r="AI4773" s="33"/>
      <c r="AJ4773" s="33"/>
      <c r="AK4773" s="33"/>
    </row>
    <row r="4774">
      <c r="A4774" s="33"/>
      <c r="B4774" s="33"/>
      <c r="C4774" s="33"/>
      <c r="D4774" s="33"/>
      <c r="E4774" s="33"/>
      <c r="F4774" s="33"/>
      <c r="G4774" s="33"/>
      <c r="H4774" s="33"/>
      <c r="I4774" s="33"/>
      <c r="J4774" s="33"/>
      <c r="K4774" s="33"/>
      <c r="L4774" s="33"/>
      <c r="M4774" s="33"/>
      <c r="N4774" s="33"/>
      <c r="O4774" s="33"/>
      <c r="P4774" s="33"/>
      <c r="Q4774" s="33"/>
      <c r="R4774" s="33"/>
      <c r="S4774" s="33"/>
      <c r="T4774" s="33"/>
      <c r="U4774" s="33"/>
      <c r="V4774" s="33"/>
      <c r="W4774" s="33"/>
      <c r="X4774" s="33"/>
      <c r="Y4774" s="33"/>
      <c r="Z4774" s="33"/>
      <c r="AA4774" s="33"/>
      <c r="AB4774" s="33"/>
      <c r="AC4774" s="33"/>
      <c r="AD4774" s="33"/>
      <c r="AE4774" s="33"/>
      <c r="AF4774" s="33"/>
      <c r="AG4774" s="33"/>
      <c r="AH4774" s="33"/>
      <c r="AI4774" s="33"/>
      <c r="AJ4774" s="33"/>
      <c r="AK4774" s="33"/>
    </row>
    <row r="4775">
      <c r="A4775" s="33"/>
      <c r="B4775" s="33"/>
      <c r="C4775" s="33"/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  <c r="Q4775" s="33"/>
      <c r="R4775" s="33"/>
      <c r="S4775" s="33"/>
      <c r="T4775" s="33"/>
      <c r="U4775" s="33"/>
      <c r="V4775" s="33"/>
      <c r="W4775" s="33"/>
      <c r="X4775" s="33"/>
      <c r="Y4775" s="33"/>
      <c r="Z4775" s="33"/>
      <c r="AA4775" s="33"/>
      <c r="AB4775" s="33"/>
      <c r="AC4775" s="33"/>
      <c r="AD4775" s="33"/>
      <c r="AE4775" s="33"/>
      <c r="AF4775" s="33"/>
      <c r="AG4775" s="33"/>
      <c r="AH4775" s="33"/>
      <c r="AI4775" s="33"/>
      <c r="AJ4775" s="33"/>
      <c r="AK4775" s="33"/>
    </row>
    <row r="4776">
      <c r="A4776" s="33"/>
      <c r="B4776" s="33"/>
      <c r="C4776" s="33"/>
      <c r="D4776" s="33"/>
      <c r="E4776" s="33"/>
      <c r="F4776" s="33"/>
      <c r="G4776" s="33"/>
      <c r="H4776" s="33"/>
      <c r="I4776" s="33"/>
      <c r="J4776" s="33"/>
      <c r="K4776" s="33"/>
      <c r="L4776" s="33"/>
      <c r="M4776" s="33"/>
      <c r="N4776" s="33"/>
      <c r="O4776" s="33"/>
      <c r="P4776" s="33"/>
      <c r="Q4776" s="33"/>
      <c r="R4776" s="33"/>
      <c r="S4776" s="33"/>
      <c r="T4776" s="33"/>
      <c r="U4776" s="33"/>
      <c r="V4776" s="33"/>
      <c r="W4776" s="33"/>
      <c r="X4776" s="33"/>
      <c r="Y4776" s="33"/>
      <c r="Z4776" s="33"/>
      <c r="AA4776" s="33"/>
      <c r="AB4776" s="33"/>
      <c r="AC4776" s="33"/>
      <c r="AD4776" s="33"/>
      <c r="AE4776" s="33"/>
      <c r="AF4776" s="33"/>
      <c r="AG4776" s="33"/>
      <c r="AH4776" s="33"/>
      <c r="AI4776" s="33"/>
      <c r="AJ4776" s="33"/>
      <c r="AK4776" s="33"/>
    </row>
    <row r="4777">
      <c r="A4777" s="33"/>
      <c r="B4777" s="33"/>
      <c r="C4777" s="33"/>
      <c r="D4777" s="33"/>
      <c r="E4777" s="33"/>
      <c r="F4777" s="33"/>
      <c r="G4777" s="33"/>
      <c r="H4777" s="33"/>
      <c r="I4777" s="33"/>
      <c r="J4777" s="33"/>
      <c r="K4777" s="33"/>
      <c r="L4777" s="33"/>
      <c r="M4777" s="33"/>
      <c r="N4777" s="33"/>
      <c r="O4777" s="33"/>
      <c r="P4777" s="33"/>
      <c r="Q4777" s="33"/>
      <c r="R4777" s="33"/>
      <c r="S4777" s="33"/>
      <c r="T4777" s="33"/>
      <c r="U4777" s="33"/>
      <c r="V4777" s="33"/>
      <c r="W4777" s="33"/>
      <c r="X4777" s="33"/>
      <c r="Y4777" s="33"/>
      <c r="Z4777" s="33"/>
      <c r="AA4777" s="33"/>
      <c r="AB4777" s="33"/>
      <c r="AC4777" s="33"/>
      <c r="AD4777" s="33"/>
      <c r="AE4777" s="33"/>
      <c r="AF4777" s="33"/>
      <c r="AG4777" s="33"/>
      <c r="AH4777" s="33"/>
      <c r="AI4777" s="33"/>
      <c r="AJ4777" s="33"/>
      <c r="AK4777" s="33"/>
    </row>
    <row r="4778">
      <c r="A4778" s="33"/>
      <c r="B4778" s="33"/>
      <c r="C4778" s="33"/>
      <c r="D4778" s="33"/>
      <c r="E4778" s="33"/>
      <c r="F4778" s="33"/>
      <c r="G4778" s="33"/>
      <c r="H4778" s="33"/>
      <c r="I4778" s="33"/>
      <c r="J4778" s="33"/>
      <c r="K4778" s="33"/>
      <c r="L4778" s="33"/>
      <c r="M4778" s="33"/>
      <c r="N4778" s="33"/>
      <c r="O4778" s="33"/>
      <c r="P4778" s="33"/>
      <c r="Q4778" s="33"/>
      <c r="R4778" s="33"/>
      <c r="S4778" s="33"/>
      <c r="T4778" s="33"/>
      <c r="U4778" s="33"/>
      <c r="V4778" s="33"/>
      <c r="W4778" s="33"/>
      <c r="X4778" s="33"/>
      <c r="Y4778" s="33"/>
      <c r="Z4778" s="33"/>
      <c r="AA4778" s="33"/>
      <c r="AB4778" s="33"/>
      <c r="AC4778" s="33"/>
      <c r="AD4778" s="33"/>
      <c r="AE4778" s="33"/>
      <c r="AF4778" s="33"/>
      <c r="AG4778" s="33"/>
      <c r="AH4778" s="33"/>
      <c r="AI4778" s="33"/>
      <c r="AJ4778" s="33"/>
      <c r="AK4778" s="33"/>
    </row>
    <row r="4779">
      <c r="A4779" s="33"/>
      <c r="B4779" s="33"/>
      <c r="C4779" s="33"/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  <c r="Q4779" s="33"/>
      <c r="R4779" s="33"/>
      <c r="S4779" s="33"/>
      <c r="T4779" s="33"/>
      <c r="U4779" s="33"/>
      <c r="V4779" s="33"/>
      <c r="W4779" s="33"/>
      <c r="X4779" s="33"/>
      <c r="Y4779" s="33"/>
      <c r="Z4779" s="33"/>
      <c r="AA4779" s="33"/>
      <c r="AB4779" s="33"/>
      <c r="AC4779" s="33"/>
      <c r="AD4779" s="33"/>
      <c r="AE4779" s="33"/>
      <c r="AF4779" s="33"/>
      <c r="AG4779" s="33"/>
      <c r="AH4779" s="33"/>
      <c r="AI4779" s="33"/>
      <c r="AJ4779" s="33"/>
      <c r="AK4779" s="33"/>
    </row>
    <row r="4780">
      <c r="A4780" s="33"/>
      <c r="B4780" s="33"/>
      <c r="C4780" s="33"/>
      <c r="D4780" s="33"/>
      <c r="E4780" s="33"/>
      <c r="F4780" s="33"/>
      <c r="G4780" s="33"/>
      <c r="H4780" s="33"/>
      <c r="I4780" s="33"/>
      <c r="J4780" s="33"/>
      <c r="K4780" s="33"/>
      <c r="L4780" s="33"/>
      <c r="M4780" s="33"/>
      <c r="N4780" s="33"/>
      <c r="O4780" s="33"/>
      <c r="P4780" s="33"/>
      <c r="Q4780" s="33"/>
      <c r="R4780" s="33"/>
      <c r="S4780" s="33"/>
      <c r="T4780" s="33"/>
      <c r="U4780" s="33"/>
      <c r="V4780" s="33"/>
      <c r="W4780" s="33"/>
      <c r="X4780" s="33"/>
      <c r="Y4780" s="33"/>
      <c r="Z4780" s="33"/>
      <c r="AA4780" s="33"/>
      <c r="AB4780" s="33"/>
      <c r="AC4780" s="33"/>
      <c r="AD4780" s="33"/>
      <c r="AE4780" s="33"/>
      <c r="AF4780" s="33"/>
      <c r="AG4780" s="33"/>
      <c r="AH4780" s="33"/>
      <c r="AI4780" s="33"/>
      <c r="AJ4780" s="33"/>
      <c r="AK4780" s="33"/>
    </row>
    <row r="4781">
      <c r="A4781" s="33"/>
      <c r="B4781" s="33"/>
      <c r="C4781" s="33"/>
      <c r="D4781" s="33"/>
      <c r="E4781" s="33"/>
      <c r="F4781" s="33"/>
      <c r="G4781" s="33"/>
      <c r="H4781" s="33"/>
      <c r="I4781" s="33"/>
      <c r="J4781" s="33"/>
      <c r="K4781" s="33"/>
      <c r="L4781" s="33"/>
      <c r="M4781" s="33"/>
      <c r="N4781" s="33"/>
      <c r="O4781" s="33"/>
      <c r="P4781" s="33"/>
      <c r="Q4781" s="33"/>
      <c r="R4781" s="33"/>
      <c r="S4781" s="33"/>
      <c r="T4781" s="33"/>
      <c r="U4781" s="33"/>
      <c r="V4781" s="33"/>
      <c r="W4781" s="33"/>
      <c r="X4781" s="33"/>
      <c r="Y4781" s="33"/>
      <c r="Z4781" s="33"/>
      <c r="AA4781" s="33"/>
      <c r="AB4781" s="33"/>
      <c r="AC4781" s="33"/>
      <c r="AD4781" s="33"/>
      <c r="AE4781" s="33"/>
      <c r="AF4781" s="33"/>
      <c r="AG4781" s="33"/>
      <c r="AH4781" s="33"/>
      <c r="AI4781" s="33"/>
      <c r="AJ4781" s="33"/>
      <c r="AK4781" s="33"/>
    </row>
    <row r="4782">
      <c r="A4782" s="33"/>
      <c r="B4782" s="33"/>
      <c r="C4782" s="33"/>
      <c r="D4782" s="33"/>
      <c r="E4782" s="33"/>
      <c r="F4782" s="33"/>
      <c r="G4782" s="33"/>
      <c r="H4782" s="33"/>
      <c r="I4782" s="33"/>
      <c r="J4782" s="33"/>
      <c r="K4782" s="33"/>
      <c r="L4782" s="33"/>
      <c r="M4782" s="33"/>
      <c r="N4782" s="33"/>
      <c r="O4782" s="33"/>
      <c r="P4782" s="33"/>
      <c r="Q4782" s="33"/>
      <c r="R4782" s="33"/>
      <c r="S4782" s="33"/>
      <c r="T4782" s="33"/>
      <c r="U4782" s="33"/>
      <c r="V4782" s="33"/>
      <c r="W4782" s="33"/>
      <c r="X4782" s="33"/>
      <c r="Y4782" s="33"/>
      <c r="Z4782" s="33"/>
      <c r="AA4782" s="33"/>
      <c r="AB4782" s="33"/>
      <c r="AC4782" s="33"/>
      <c r="AD4782" s="33"/>
      <c r="AE4782" s="33"/>
      <c r="AF4782" s="33"/>
      <c r="AG4782" s="33"/>
      <c r="AH4782" s="33"/>
      <c r="AI4782" s="33"/>
      <c r="AJ4782" s="33"/>
      <c r="AK4782" s="33"/>
    </row>
    <row r="4783">
      <c r="A4783" s="33"/>
      <c r="B4783" s="33"/>
      <c r="C4783" s="33"/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  <c r="Q4783" s="33"/>
      <c r="R4783" s="33"/>
      <c r="S4783" s="33"/>
      <c r="T4783" s="33"/>
      <c r="U4783" s="33"/>
      <c r="V4783" s="33"/>
      <c r="W4783" s="33"/>
      <c r="X4783" s="33"/>
      <c r="Y4783" s="33"/>
      <c r="Z4783" s="33"/>
      <c r="AA4783" s="33"/>
      <c r="AB4783" s="33"/>
      <c r="AC4783" s="33"/>
      <c r="AD4783" s="33"/>
      <c r="AE4783" s="33"/>
      <c r="AF4783" s="33"/>
      <c r="AG4783" s="33"/>
      <c r="AH4783" s="33"/>
      <c r="AI4783" s="33"/>
      <c r="AJ4783" s="33"/>
      <c r="AK4783" s="33"/>
    </row>
    <row r="4784">
      <c r="A4784" s="33"/>
      <c r="B4784" s="33"/>
      <c r="C4784" s="33"/>
      <c r="D4784" s="33"/>
      <c r="E4784" s="33"/>
      <c r="F4784" s="33"/>
      <c r="G4784" s="33"/>
      <c r="H4784" s="33"/>
      <c r="I4784" s="33"/>
      <c r="J4784" s="33"/>
      <c r="K4784" s="33"/>
      <c r="L4784" s="33"/>
      <c r="M4784" s="33"/>
      <c r="N4784" s="33"/>
      <c r="O4784" s="33"/>
      <c r="P4784" s="33"/>
      <c r="Q4784" s="33"/>
      <c r="R4784" s="33"/>
      <c r="S4784" s="33"/>
      <c r="T4784" s="33"/>
      <c r="U4784" s="33"/>
      <c r="V4784" s="33"/>
      <c r="W4784" s="33"/>
      <c r="X4784" s="33"/>
      <c r="Y4784" s="33"/>
      <c r="Z4784" s="33"/>
      <c r="AA4784" s="33"/>
      <c r="AB4784" s="33"/>
      <c r="AC4784" s="33"/>
      <c r="AD4784" s="33"/>
      <c r="AE4784" s="33"/>
      <c r="AF4784" s="33"/>
      <c r="AG4784" s="33"/>
      <c r="AH4784" s="33"/>
      <c r="AI4784" s="33"/>
      <c r="AJ4784" s="33"/>
      <c r="AK4784" s="33"/>
    </row>
    <row r="4785">
      <c r="A4785" s="33"/>
      <c r="B4785" s="33"/>
      <c r="C4785" s="33"/>
      <c r="D4785" s="33"/>
      <c r="E4785" s="33"/>
      <c r="F4785" s="33"/>
      <c r="G4785" s="33"/>
      <c r="H4785" s="33"/>
      <c r="I4785" s="33"/>
      <c r="J4785" s="33"/>
      <c r="K4785" s="33"/>
      <c r="L4785" s="33"/>
      <c r="M4785" s="33"/>
      <c r="N4785" s="33"/>
      <c r="O4785" s="33"/>
      <c r="P4785" s="33"/>
      <c r="Q4785" s="33"/>
      <c r="R4785" s="33"/>
      <c r="S4785" s="33"/>
      <c r="T4785" s="33"/>
      <c r="U4785" s="33"/>
      <c r="V4785" s="33"/>
      <c r="W4785" s="33"/>
      <c r="X4785" s="33"/>
      <c r="Y4785" s="33"/>
      <c r="Z4785" s="33"/>
      <c r="AA4785" s="33"/>
      <c r="AB4785" s="33"/>
      <c r="AC4785" s="33"/>
      <c r="AD4785" s="33"/>
      <c r="AE4785" s="33"/>
      <c r="AF4785" s="33"/>
      <c r="AG4785" s="33"/>
      <c r="AH4785" s="33"/>
      <c r="AI4785" s="33"/>
      <c r="AJ4785" s="33"/>
      <c r="AK4785" s="33"/>
    </row>
    <row r="4786">
      <c r="A4786" s="33"/>
      <c r="B4786" s="33"/>
      <c r="C4786" s="33"/>
      <c r="D4786" s="33"/>
      <c r="E4786" s="33"/>
      <c r="F4786" s="33"/>
      <c r="G4786" s="33"/>
      <c r="H4786" s="33"/>
      <c r="I4786" s="33"/>
      <c r="J4786" s="33"/>
      <c r="K4786" s="33"/>
      <c r="L4786" s="33"/>
      <c r="M4786" s="33"/>
      <c r="N4786" s="33"/>
      <c r="O4786" s="33"/>
      <c r="P4786" s="33"/>
      <c r="Q4786" s="33"/>
      <c r="R4786" s="33"/>
      <c r="S4786" s="33"/>
      <c r="T4786" s="33"/>
      <c r="U4786" s="33"/>
      <c r="V4786" s="33"/>
      <c r="W4786" s="33"/>
      <c r="X4786" s="33"/>
      <c r="Y4786" s="33"/>
      <c r="Z4786" s="33"/>
      <c r="AA4786" s="33"/>
      <c r="AB4786" s="33"/>
      <c r="AC4786" s="33"/>
      <c r="AD4786" s="33"/>
      <c r="AE4786" s="33"/>
      <c r="AF4786" s="33"/>
      <c r="AG4786" s="33"/>
      <c r="AH4786" s="33"/>
      <c r="AI4786" s="33"/>
      <c r="AJ4786" s="33"/>
      <c r="AK4786" s="33"/>
    </row>
    <row r="4787">
      <c r="A4787" s="33"/>
      <c r="B4787" s="33"/>
      <c r="C4787" s="33"/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  <c r="Q4787" s="33"/>
      <c r="R4787" s="33"/>
      <c r="S4787" s="33"/>
      <c r="T4787" s="33"/>
      <c r="U4787" s="33"/>
      <c r="V4787" s="33"/>
      <c r="W4787" s="33"/>
      <c r="X4787" s="33"/>
      <c r="Y4787" s="33"/>
      <c r="Z4787" s="33"/>
      <c r="AA4787" s="33"/>
      <c r="AB4787" s="33"/>
      <c r="AC4787" s="33"/>
      <c r="AD4787" s="33"/>
      <c r="AE4787" s="33"/>
      <c r="AF4787" s="33"/>
      <c r="AG4787" s="33"/>
      <c r="AH4787" s="33"/>
      <c r="AI4787" s="33"/>
      <c r="AJ4787" s="33"/>
      <c r="AK4787" s="33"/>
    </row>
    <row r="4788">
      <c r="A4788" s="33"/>
      <c r="B4788" s="33"/>
      <c r="C4788" s="33"/>
      <c r="D4788" s="33"/>
      <c r="E4788" s="33"/>
      <c r="F4788" s="33"/>
      <c r="G4788" s="33"/>
      <c r="H4788" s="33"/>
      <c r="I4788" s="33"/>
      <c r="J4788" s="33"/>
      <c r="K4788" s="33"/>
      <c r="L4788" s="33"/>
      <c r="M4788" s="33"/>
      <c r="N4788" s="33"/>
      <c r="O4788" s="33"/>
      <c r="P4788" s="33"/>
      <c r="Q4788" s="33"/>
      <c r="R4788" s="33"/>
      <c r="S4788" s="33"/>
      <c r="T4788" s="33"/>
      <c r="U4788" s="33"/>
      <c r="V4788" s="33"/>
      <c r="W4788" s="33"/>
      <c r="X4788" s="33"/>
      <c r="Y4788" s="33"/>
      <c r="Z4788" s="33"/>
      <c r="AA4788" s="33"/>
      <c r="AB4788" s="33"/>
      <c r="AC4788" s="33"/>
      <c r="AD4788" s="33"/>
      <c r="AE4788" s="33"/>
      <c r="AF4788" s="33"/>
      <c r="AG4788" s="33"/>
      <c r="AH4788" s="33"/>
      <c r="AI4788" s="33"/>
      <c r="AJ4788" s="33"/>
      <c r="AK4788" s="33"/>
    </row>
    <row r="4789">
      <c r="A4789" s="33"/>
      <c r="B4789" s="33"/>
      <c r="C4789" s="33"/>
      <c r="D4789" s="33"/>
      <c r="E4789" s="33"/>
      <c r="F4789" s="33"/>
      <c r="G4789" s="33"/>
      <c r="H4789" s="33"/>
      <c r="I4789" s="33"/>
      <c r="J4789" s="33"/>
      <c r="K4789" s="33"/>
      <c r="L4789" s="33"/>
      <c r="M4789" s="33"/>
      <c r="N4789" s="33"/>
      <c r="O4789" s="33"/>
      <c r="P4789" s="33"/>
      <c r="Q4789" s="33"/>
      <c r="R4789" s="33"/>
      <c r="S4789" s="33"/>
      <c r="T4789" s="33"/>
      <c r="U4789" s="33"/>
      <c r="V4789" s="33"/>
      <c r="W4789" s="33"/>
      <c r="X4789" s="33"/>
      <c r="Y4789" s="33"/>
      <c r="Z4789" s="33"/>
      <c r="AA4789" s="33"/>
      <c r="AB4789" s="33"/>
      <c r="AC4789" s="33"/>
      <c r="AD4789" s="33"/>
      <c r="AE4789" s="33"/>
      <c r="AF4789" s="33"/>
      <c r="AG4789" s="33"/>
      <c r="AH4789" s="33"/>
      <c r="AI4789" s="33"/>
      <c r="AJ4789" s="33"/>
      <c r="AK4789" s="33"/>
    </row>
    <row r="4790">
      <c r="A4790" s="33"/>
      <c r="B4790" s="33"/>
      <c r="C4790" s="33"/>
      <c r="D4790" s="33"/>
      <c r="E4790" s="33"/>
      <c r="F4790" s="33"/>
      <c r="G4790" s="33"/>
      <c r="H4790" s="33"/>
      <c r="I4790" s="33"/>
      <c r="J4790" s="33"/>
      <c r="K4790" s="33"/>
      <c r="L4790" s="33"/>
      <c r="M4790" s="33"/>
      <c r="N4790" s="33"/>
      <c r="O4790" s="33"/>
      <c r="P4790" s="33"/>
      <c r="Q4790" s="33"/>
      <c r="R4790" s="33"/>
      <c r="S4790" s="33"/>
      <c r="T4790" s="33"/>
      <c r="U4790" s="33"/>
      <c r="V4790" s="33"/>
      <c r="W4790" s="33"/>
      <c r="X4790" s="33"/>
      <c r="Y4790" s="33"/>
      <c r="Z4790" s="33"/>
      <c r="AA4790" s="33"/>
      <c r="AB4790" s="33"/>
      <c r="AC4790" s="33"/>
      <c r="AD4790" s="33"/>
      <c r="AE4790" s="33"/>
      <c r="AF4790" s="33"/>
      <c r="AG4790" s="33"/>
      <c r="AH4790" s="33"/>
      <c r="AI4790" s="33"/>
      <c r="AJ4790" s="33"/>
      <c r="AK4790" s="33"/>
    </row>
    <row r="4791">
      <c r="A4791" s="33"/>
      <c r="B4791" s="33"/>
      <c r="C4791" s="33"/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  <c r="Q4791" s="33"/>
      <c r="R4791" s="33"/>
      <c r="S4791" s="33"/>
      <c r="T4791" s="33"/>
      <c r="U4791" s="33"/>
      <c r="V4791" s="33"/>
      <c r="W4791" s="33"/>
      <c r="X4791" s="33"/>
      <c r="Y4791" s="33"/>
      <c r="Z4791" s="33"/>
      <c r="AA4791" s="33"/>
      <c r="AB4791" s="33"/>
      <c r="AC4791" s="33"/>
      <c r="AD4791" s="33"/>
      <c r="AE4791" s="33"/>
      <c r="AF4791" s="33"/>
      <c r="AG4791" s="33"/>
      <c r="AH4791" s="33"/>
      <c r="AI4791" s="33"/>
      <c r="AJ4791" s="33"/>
      <c r="AK4791" s="33"/>
    </row>
    <row r="4792">
      <c r="A4792" s="33"/>
      <c r="B4792" s="33"/>
      <c r="C4792" s="33"/>
      <c r="D4792" s="33"/>
      <c r="E4792" s="33"/>
      <c r="F4792" s="33"/>
      <c r="G4792" s="33"/>
      <c r="H4792" s="33"/>
      <c r="I4792" s="33"/>
      <c r="J4792" s="33"/>
      <c r="K4792" s="33"/>
      <c r="L4792" s="33"/>
      <c r="M4792" s="33"/>
      <c r="N4792" s="33"/>
      <c r="O4792" s="33"/>
      <c r="P4792" s="33"/>
      <c r="Q4792" s="33"/>
      <c r="R4792" s="33"/>
      <c r="S4792" s="33"/>
      <c r="T4792" s="33"/>
      <c r="U4792" s="33"/>
      <c r="V4792" s="33"/>
      <c r="W4792" s="33"/>
      <c r="X4792" s="33"/>
      <c r="Y4792" s="33"/>
      <c r="Z4792" s="33"/>
      <c r="AA4792" s="33"/>
      <c r="AB4792" s="33"/>
      <c r="AC4792" s="33"/>
      <c r="AD4792" s="33"/>
      <c r="AE4792" s="33"/>
      <c r="AF4792" s="33"/>
      <c r="AG4792" s="33"/>
      <c r="AH4792" s="33"/>
      <c r="AI4792" s="33"/>
      <c r="AJ4792" s="33"/>
      <c r="AK4792" s="33"/>
    </row>
    <row r="4793">
      <c r="A4793" s="33"/>
      <c r="B4793" s="33"/>
      <c r="C4793" s="33"/>
      <c r="D4793" s="33"/>
      <c r="E4793" s="33"/>
      <c r="F4793" s="33"/>
      <c r="G4793" s="33"/>
      <c r="H4793" s="33"/>
      <c r="I4793" s="33"/>
      <c r="J4793" s="33"/>
      <c r="K4793" s="33"/>
      <c r="L4793" s="33"/>
      <c r="M4793" s="33"/>
      <c r="N4793" s="33"/>
      <c r="O4793" s="33"/>
      <c r="P4793" s="33"/>
      <c r="Q4793" s="33"/>
      <c r="R4793" s="33"/>
      <c r="S4793" s="33"/>
      <c r="T4793" s="33"/>
      <c r="U4793" s="33"/>
      <c r="V4793" s="33"/>
      <c r="W4793" s="33"/>
      <c r="X4793" s="33"/>
      <c r="Y4793" s="33"/>
      <c r="Z4793" s="33"/>
      <c r="AA4793" s="33"/>
      <c r="AB4793" s="33"/>
      <c r="AC4793" s="33"/>
      <c r="AD4793" s="33"/>
      <c r="AE4793" s="33"/>
      <c r="AF4793" s="33"/>
      <c r="AG4793" s="33"/>
      <c r="AH4793" s="33"/>
      <c r="AI4793" s="33"/>
      <c r="AJ4793" s="33"/>
      <c r="AK4793" s="33"/>
    </row>
    <row r="4794">
      <c r="A4794" s="33"/>
      <c r="B4794" s="33"/>
      <c r="C4794" s="33"/>
      <c r="D4794" s="33"/>
      <c r="E4794" s="33"/>
      <c r="F4794" s="33"/>
      <c r="G4794" s="33"/>
      <c r="H4794" s="33"/>
      <c r="I4794" s="33"/>
      <c r="J4794" s="33"/>
      <c r="K4794" s="33"/>
      <c r="L4794" s="33"/>
      <c r="M4794" s="33"/>
      <c r="N4794" s="33"/>
      <c r="O4794" s="33"/>
      <c r="P4794" s="33"/>
      <c r="Q4794" s="33"/>
      <c r="R4794" s="33"/>
      <c r="S4794" s="33"/>
      <c r="T4794" s="33"/>
      <c r="U4794" s="33"/>
      <c r="V4794" s="33"/>
      <c r="W4794" s="33"/>
      <c r="X4794" s="33"/>
      <c r="Y4794" s="33"/>
      <c r="Z4794" s="33"/>
      <c r="AA4794" s="33"/>
      <c r="AB4794" s="33"/>
      <c r="AC4794" s="33"/>
      <c r="AD4794" s="33"/>
      <c r="AE4794" s="33"/>
      <c r="AF4794" s="33"/>
      <c r="AG4794" s="33"/>
      <c r="AH4794" s="33"/>
      <c r="AI4794" s="33"/>
      <c r="AJ4794" s="33"/>
      <c r="AK4794" s="33"/>
    </row>
    <row r="4795">
      <c r="A4795" s="33"/>
      <c r="B4795" s="33"/>
      <c r="C4795" s="33"/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  <c r="Q4795" s="33"/>
      <c r="R4795" s="33"/>
      <c r="S4795" s="33"/>
      <c r="T4795" s="33"/>
      <c r="U4795" s="33"/>
      <c r="V4795" s="33"/>
      <c r="W4795" s="33"/>
      <c r="X4795" s="33"/>
      <c r="Y4795" s="33"/>
      <c r="Z4795" s="33"/>
      <c r="AA4795" s="33"/>
      <c r="AB4795" s="33"/>
      <c r="AC4795" s="33"/>
      <c r="AD4795" s="33"/>
      <c r="AE4795" s="33"/>
      <c r="AF4795" s="33"/>
      <c r="AG4795" s="33"/>
      <c r="AH4795" s="33"/>
      <c r="AI4795" s="33"/>
      <c r="AJ4795" s="33"/>
      <c r="AK4795" s="33"/>
    </row>
    <row r="4796">
      <c r="A4796" s="33"/>
      <c r="B4796" s="33"/>
      <c r="C4796" s="33"/>
      <c r="D4796" s="33"/>
      <c r="E4796" s="33"/>
      <c r="F4796" s="33"/>
      <c r="G4796" s="33"/>
      <c r="H4796" s="33"/>
      <c r="I4796" s="33"/>
      <c r="J4796" s="33"/>
      <c r="K4796" s="33"/>
      <c r="L4796" s="33"/>
      <c r="M4796" s="33"/>
      <c r="N4796" s="33"/>
      <c r="O4796" s="33"/>
      <c r="P4796" s="33"/>
      <c r="Q4796" s="33"/>
      <c r="R4796" s="33"/>
      <c r="S4796" s="33"/>
      <c r="T4796" s="33"/>
      <c r="U4796" s="33"/>
      <c r="V4796" s="33"/>
      <c r="W4796" s="33"/>
      <c r="X4796" s="33"/>
      <c r="Y4796" s="33"/>
      <c r="Z4796" s="33"/>
      <c r="AA4796" s="33"/>
      <c r="AB4796" s="33"/>
      <c r="AC4796" s="33"/>
      <c r="AD4796" s="33"/>
      <c r="AE4796" s="33"/>
      <c r="AF4796" s="33"/>
      <c r="AG4796" s="33"/>
      <c r="AH4796" s="33"/>
      <c r="AI4796" s="33"/>
      <c r="AJ4796" s="33"/>
      <c r="AK4796" s="33"/>
    </row>
    <row r="4797">
      <c r="A4797" s="33"/>
      <c r="B4797" s="33"/>
      <c r="C4797" s="33"/>
      <c r="D4797" s="33"/>
      <c r="E4797" s="33"/>
      <c r="F4797" s="33"/>
      <c r="G4797" s="33"/>
      <c r="H4797" s="33"/>
      <c r="I4797" s="33"/>
      <c r="J4797" s="33"/>
      <c r="K4797" s="33"/>
      <c r="L4797" s="33"/>
      <c r="M4797" s="33"/>
      <c r="N4797" s="33"/>
      <c r="O4797" s="33"/>
      <c r="P4797" s="33"/>
      <c r="Q4797" s="33"/>
      <c r="R4797" s="33"/>
      <c r="S4797" s="33"/>
      <c r="T4797" s="33"/>
      <c r="U4797" s="33"/>
      <c r="V4797" s="33"/>
      <c r="W4797" s="33"/>
      <c r="X4797" s="33"/>
      <c r="Y4797" s="33"/>
      <c r="Z4797" s="33"/>
      <c r="AA4797" s="33"/>
      <c r="AB4797" s="33"/>
      <c r="AC4797" s="33"/>
      <c r="AD4797" s="33"/>
      <c r="AE4797" s="33"/>
      <c r="AF4797" s="33"/>
      <c r="AG4797" s="33"/>
      <c r="AH4797" s="33"/>
      <c r="AI4797" s="33"/>
      <c r="AJ4797" s="33"/>
      <c r="AK4797" s="33"/>
    </row>
    <row r="4798">
      <c r="A4798" s="33"/>
      <c r="B4798" s="33"/>
      <c r="C4798" s="33"/>
      <c r="D4798" s="33"/>
      <c r="E4798" s="33"/>
      <c r="F4798" s="33"/>
      <c r="G4798" s="33"/>
      <c r="H4798" s="33"/>
      <c r="I4798" s="33"/>
      <c r="J4798" s="33"/>
      <c r="K4798" s="33"/>
      <c r="L4798" s="33"/>
      <c r="M4798" s="33"/>
      <c r="N4798" s="33"/>
      <c r="O4798" s="33"/>
      <c r="P4798" s="33"/>
      <c r="Q4798" s="33"/>
      <c r="R4798" s="33"/>
      <c r="S4798" s="33"/>
      <c r="T4798" s="33"/>
      <c r="U4798" s="33"/>
      <c r="V4798" s="33"/>
      <c r="W4798" s="33"/>
      <c r="X4798" s="33"/>
      <c r="Y4798" s="33"/>
      <c r="Z4798" s="33"/>
      <c r="AA4798" s="33"/>
      <c r="AB4798" s="33"/>
      <c r="AC4798" s="33"/>
      <c r="AD4798" s="33"/>
      <c r="AE4798" s="33"/>
      <c r="AF4798" s="33"/>
      <c r="AG4798" s="33"/>
      <c r="AH4798" s="33"/>
      <c r="AI4798" s="33"/>
      <c r="AJ4798" s="33"/>
      <c r="AK4798" s="33"/>
    </row>
    <row r="4799">
      <c r="A4799" s="33"/>
      <c r="B4799" s="33"/>
      <c r="C4799" s="33"/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  <c r="Q4799" s="33"/>
      <c r="R4799" s="33"/>
      <c r="S4799" s="33"/>
      <c r="T4799" s="33"/>
      <c r="U4799" s="33"/>
      <c r="V4799" s="33"/>
      <c r="W4799" s="33"/>
      <c r="X4799" s="33"/>
      <c r="Y4799" s="33"/>
      <c r="Z4799" s="33"/>
      <c r="AA4799" s="33"/>
      <c r="AB4799" s="33"/>
      <c r="AC4799" s="33"/>
      <c r="AD4799" s="33"/>
      <c r="AE4799" s="33"/>
      <c r="AF4799" s="33"/>
      <c r="AG4799" s="33"/>
      <c r="AH4799" s="33"/>
      <c r="AI4799" s="33"/>
      <c r="AJ4799" s="33"/>
      <c r="AK4799" s="33"/>
    </row>
    <row r="4800">
      <c r="A4800" s="33"/>
      <c r="B4800" s="33"/>
      <c r="C4800" s="33"/>
      <c r="D4800" s="33"/>
      <c r="E4800" s="33"/>
      <c r="F4800" s="33"/>
      <c r="G4800" s="33"/>
      <c r="H4800" s="33"/>
      <c r="I4800" s="33"/>
      <c r="J4800" s="33"/>
      <c r="K4800" s="33"/>
      <c r="L4800" s="33"/>
      <c r="M4800" s="33"/>
      <c r="N4800" s="33"/>
      <c r="O4800" s="33"/>
      <c r="P4800" s="33"/>
      <c r="Q4800" s="33"/>
      <c r="R4800" s="33"/>
      <c r="S4800" s="33"/>
      <c r="T4800" s="33"/>
      <c r="U4800" s="33"/>
      <c r="V4800" s="33"/>
      <c r="W4800" s="33"/>
      <c r="X4800" s="33"/>
      <c r="Y4800" s="33"/>
      <c r="Z4800" s="33"/>
      <c r="AA4800" s="33"/>
      <c r="AB4800" s="33"/>
      <c r="AC4800" s="33"/>
      <c r="AD4800" s="33"/>
      <c r="AE4800" s="33"/>
      <c r="AF4800" s="33"/>
      <c r="AG4800" s="33"/>
      <c r="AH4800" s="33"/>
      <c r="AI4800" s="33"/>
      <c r="AJ4800" s="33"/>
      <c r="AK4800" s="33"/>
    </row>
    <row r="4801">
      <c r="A4801" s="33"/>
      <c r="B4801" s="33"/>
      <c r="C4801" s="33"/>
      <c r="D4801" s="33"/>
      <c r="E4801" s="33"/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33"/>
      <c r="Q4801" s="33"/>
      <c r="R4801" s="33"/>
      <c r="S4801" s="33"/>
      <c r="T4801" s="33"/>
      <c r="U4801" s="33"/>
      <c r="V4801" s="33"/>
      <c r="W4801" s="33"/>
      <c r="X4801" s="33"/>
      <c r="Y4801" s="33"/>
      <c r="Z4801" s="33"/>
      <c r="AA4801" s="33"/>
      <c r="AB4801" s="33"/>
      <c r="AC4801" s="33"/>
      <c r="AD4801" s="33"/>
      <c r="AE4801" s="33"/>
      <c r="AF4801" s="33"/>
      <c r="AG4801" s="33"/>
      <c r="AH4801" s="33"/>
      <c r="AI4801" s="33"/>
      <c r="AJ4801" s="33"/>
      <c r="AK4801" s="33"/>
    </row>
    <row r="4802">
      <c r="A4802" s="33"/>
      <c r="B4802" s="33"/>
      <c r="C4802" s="33"/>
      <c r="D4802" s="33"/>
      <c r="E4802" s="33"/>
      <c r="F4802" s="33"/>
      <c r="G4802" s="33"/>
      <c r="H4802" s="33"/>
      <c r="I4802" s="33"/>
      <c r="J4802" s="33"/>
      <c r="K4802" s="33"/>
      <c r="L4802" s="33"/>
      <c r="M4802" s="33"/>
      <c r="N4802" s="33"/>
      <c r="O4802" s="33"/>
      <c r="P4802" s="33"/>
      <c r="Q4802" s="33"/>
      <c r="R4802" s="33"/>
      <c r="S4802" s="33"/>
      <c r="T4802" s="33"/>
      <c r="U4802" s="33"/>
      <c r="V4802" s="33"/>
      <c r="W4802" s="33"/>
      <c r="X4802" s="33"/>
      <c r="Y4802" s="33"/>
      <c r="Z4802" s="33"/>
      <c r="AA4802" s="33"/>
      <c r="AB4802" s="33"/>
      <c r="AC4802" s="33"/>
      <c r="AD4802" s="33"/>
      <c r="AE4802" s="33"/>
      <c r="AF4802" s="33"/>
      <c r="AG4802" s="33"/>
      <c r="AH4802" s="33"/>
      <c r="AI4802" s="33"/>
      <c r="AJ4802" s="33"/>
      <c r="AK4802" s="33"/>
    </row>
    <row r="4803">
      <c r="A4803" s="33"/>
      <c r="B4803" s="33"/>
      <c r="C4803" s="33"/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  <c r="Q4803" s="33"/>
      <c r="R4803" s="33"/>
      <c r="S4803" s="33"/>
      <c r="T4803" s="33"/>
      <c r="U4803" s="33"/>
      <c r="V4803" s="33"/>
      <c r="W4803" s="33"/>
      <c r="X4803" s="33"/>
      <c r="Y4803" s="33"/>
      <c r="Z4803" s="33"/>
      <c r="AA4803" s="33"/>
      <c r="AB4803" s="33"/>
      <c r="AC4803" s="33"/>
      <c r="AD4803" s="33"/>
      <c r="AE4803" s="33"/>
      <c r="AF4803" s="33"/>
      <c r="AG4803" s="33"/>
      <c r="AH4803" s="33"/>
      <c r="AI4803" s="33"/>
      <c r="AJ4803" s="33"/>
      <c r="AK4803" s="33"/>
    </row>
    <row r="4804">
      <c r="A4804" s="33"/>
      <c r="B4804" s="33"/>
      <c r="C4804" s="33"/>
      <c r="D4804" s="33"/>
      <c r="E4804" s="33"/>
      <c r="F4804" s="33"/>
      <c r="G4804" s="33"/>
      <c r="H4804" s="33"/>
      <c r="I4804" s="33"/>
      <c r="J4804" s="33"/>
      <c r="K4804" s="33"/>
      <c r="L4804" s="33"/>
      <c r="M4804" s="33"/>
      <c r="N4804" s="33"/>
      <c r="O4804" s="33"/>
      <c r="P4804" s="33"/>
      <c r="Q4804" s="33"/>
      <c r="R4804" s="33"/>
      <c r="S4804" s="33"/>
      <c r="T4804" s="33"/>
      <c r="U4804" s="33"/>
      <c r="V4804" s="33"/>
      <c r="W4804" s="33"/>
      <c r="X4804" s="33"/>
      <c r="Y4804" s="33"/>
      <c r="Z4804" s="33"/>
      <c r="AA4804" s="33"/>
      <c r="AB4804" s="33"/>
      <c r="AC4804" s="33"/>
      <c r="AD4804" s="33"/>
      <c r="AE4804" s="33"/>
      <c r="AF4804" s="33"/>
      <c r="AG4804" s="33"/>
      <c r="AH4804" s="33"/>
      <c r="AI4804" s="33"/>
      <c r="AJ4804" s="33"/>
      <c r="AK4804" s="33"/>
    </row>
    <row r="4805">
      <c r="A4805" s="33"/>
      <c r="B4805" s="33"/>
      <c r="C4805" s="33"/>
      <c r="D4805" s="33"/>
      <c r="E4805" s="33"/>
      <c r="F4805" s="33"/>
      <c r="G4805" s="33"/>
      <c r="H4805" s="33"/>
      <c r="I4805" s="33"/>
      <c r="J4805" s="33"/>
      <c r="K4805" s="33"/>
      <c r="L4805" s="33"/>
      <c r="M4805" s="33"/>
      <c r="N4805" s="33"/>
      <c r="O4805" s="33"/>
      <c r="P4805" s="33"/>
      <c r="Q4805" s="33"/>
      <c r="R4805" s="33"/>
      <c r="S4805" s="33"/>
      <c r="T4805" s="33"/>
      <c r="U4805" s="33"/>
      <c r="V4805" s="33"/>
      <c r="W4805" s="33"/>
      <c r="X4805" s="33"/>
      <c r="Y4805" s="33"/>
      <c r="Z4805" s="33"/>
      <c r="AA4805" s="33"/>
      <c r="AB4805" s="33"/>
      <c r="AC4805" s="33"/>
      <c r="AD4805" s="33"/>
      <c r="AE4805" s="33"/>
      <c r="AF4805" s="33"/>
      <c r="AG4805" s="33"/>
      <c r="AH4805" s="33"/>
      <c r="AI4805" s="33"/>
      <c r="AJ4805" s="33"/>
      <c r="AK4805" s="33"/>
    </row>
    <row r="4806">
      <c r="A4806" s="33"/>
      <c r="B4806" s="33"/>
      <c r="C4806" s="33"/>
      <c r="D4806" s="33"/>
      <c r="E4806" s="33"/>
      <c r="F4806" s="33"/>
      <c r="G4806" s="33"/>
      <c r="H4806" s="33"/>
      <c r="I4806" s="33"/>
      <c r="J4806" s="33"/>
      <c r="K4806" s="33"/>
      <c r="L4806" s="33"/>
      <c r="M4806" s="33"/>
      <c r="N4806" s="33"/>
      <c r="O4806" s="33"/>
      <c r="P4806" s="33"/>
      <c r="Q4806" s="33"/>
      <c r="R4806" s="33"/>
      <c r="S4806" s="33"/>
      <c r="T4806" s="33"/>
      <c r="U4806" s="33"/>
      <c r="V4806" s="33"/>
      <c r="W4806" s="33"/>
      <c r="X4806" s="33"/>
      <c r="Y4806" s="33"/>
      <c r="Z4806" s="33"/>
      <c r="AA4806" s="33"/>
      <c r="AB4806" s="33"/>
      <c r="AC4806" s="33"/>
      <c r="AD4806" s="33"/>
      <c r="AE4806" s="33"/>
      <c r="AF4806" s="33"/>
      <c r="AG4806" s="33"/>
      <c r="AH4806" s="33"/>
      <c r="AI4806" s="33"/>
      <c r="AJ4806" s="33"/>
      <c r="AK4806" s="33"/>
    </row>
    <row r="4807">
      <c r="A4807" s="33"/>
      <c r="B4807" s="33"/>
      <c r="C4807" s="33"/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  <c r="Q4807" s="33"/>
      <c r="R4807" s="33"/>
      <c r="S4807" s="33"/>
      <c r="T4807" s="33"/>
      <c r="U4807" s="33"/>
      <c r="V4807" s="33"/>
      <c r="W4807" s="33"/>
      <c r="X4807" s="33"/>
      <c r="Y4807" s="33"/>
      <c r="Z4807" s="33"/>
      <c r="AA4807" s="33"/>
      <c r="AB4807" s="33"/>
      <c r="AC4807" s="33"/>
      <c r="AD4807" s="33"/>
      <c r="AE4807" s="33"/>
      <c r="AF4807" s="33"/>
      <c r="AG4807" s="33"/>
      <c r="AH4807" s="33"/>
      <c r="AI4807" s="33"/>
      <c r="AJ4807" s="33"/>
      <c r="AK4807" s="33"/>
    </row>
    <row r="4808">
      <c r="A4808" s="33"/>
      <c r="B4808" s="33"/>
      <c r="C4808" s="33"/>
      <c r="D4808" s="33"/>
      <c r="E4808" s="33"/>
      <c r="F4808" s="33"/>
      <c r="G4808" s="33"/>
      <c r="H4808" s="33"/>
      <c r="I4808" s="33"/>
      <c r="J4808" s="33"/>
      <c r="K4808" s="33"/>
      <c r="L4808" s="33"/>
      <c r="M4808" s="33"/>
      <c r="N4808" s="33"/>
      <c r="O4808" s="33"/>
      <c r="P4808" s="33"/>
      <c r="Q4808" s="33"/>
      <c r="R4808" s="33"/>
      <c r="S4808" s="33"/>
      <c r="T4808" s="33"/>
      <c r="U4808" s="33"/>
      <c r="V4808" s="33"/>
      <c r="W4808" s="33"/>
      <c r="X4808" s="33"/>
      <c r="Y4808" s="33"/>
      <c r="Z4808" s="33"/>
      <c r="AA4808" s="33"/>
      <c r="AB4808" s="33"/>
      <c r="AC4808" s="33"/>
      <c r="AD4808" s="33"/>
      <c r="AE4808" s="33"/>
      <c r="AF4808" s="33"/>
      <c r="AG4808" s="33"/>
      <c r="AH4808" s="33"/>
      <c r="AI4808" s="33"/>
      <c r="AJ4808" s="33"/>
      <c r="AK4808" s="33"/>
    </row>
    <row r="4809">
      <c r="A4809" s="33"/>
      <c r="B4809" s="33"/>
      <c r="C4809" s="33"/>
      <c r="D4809" s="33"/>
      <c r="E4809" s="33"/>
      <c r="F4809" s="33"/>
      <c r="G4809" s="33"/>
      <c r="H4809" s="33"/>
      <c r="I4809" s="33"/>
      <c r="J4809" s="33"/>
      <c r="K4809" s="33"/>
      <c r="L4809" s="33"/>
      <c r="M4809" s="33"/>
      <c r="N4809" s="33"/>
      <c r="O4809" s="33"/>
      <c r="P4809" s="33"/>
      <c r="Q4809" s="33"/>
      <c r="R4809" s="33"/>
      <c r="S4809" s="33"/>
      <c r="T4809" s="33"/>
      <c r="U4809" s="33"/>
      <c r="V4809" s="33"/>
      <c r="W4809" s="33"/>
      <c r="X4809" s="33"/>
      <c r="Y4809" s="33"/>
      <c r="Z4809" s="33"/>
      <c r="AA4809" s="33"/>
      <c r="AB4809" s="33"/>
      <c r="AC4809" s="33"/>
      <c r="AD4809" s="33"/>
      <c r="AE4809" s="33"/>
      <c r="AF4809" s="33"/>
      <c r="AG4809" s="33"/>
      <c r="AH4809" s="33"/>
      <c r="AI4809" s="33"/>
      <c r="AJ4809" s="33"/>
      <c r="AK4809" s="33"/>
    </row>
    <row r="4810">
      <c r="A4810" s="33"/>
      <c r="B4810" s="33"/>
      <c r="C4810" s="33"/>
      <c r="D4810" s="33"/>
      <c r="E4810" s="33"/>
      <c r="F4810" s="33"/>
      <c r="G4810" s="33"/>
      <c r="H4810" s="33"/>
      <c r="I4810" s="33"/>
      <c r="J4810" s="33"/>
      <c r="K4810" s="33"/>
      <c r="L4810" s="33"/>
      <c r="M4810" s="33"/>
      <c r="N4810" s="33"/>
      <c r="O4810" s="33"/>
      <c r="P4810" s="33"/>
      <c r="Q4810" s="33"/>
      <c r="R4810" s="33"/>
      <c r="S4810" s="33"/>
      <c r="T4810" s="33"/>
      <c r="U4810" s="33"/>
      <c r="V4810" s="33"/>
      <c r="W4810" s="33"/>
      <c r="X4810" s="33"/>
      <c r="Y4810" s="33"/>
      <c r="Z4810" s="33"/>
      <c r="AA4810" s="33"/>
      <c r="AB4810" s="33"/>
      <c r="AC4810" s="33"/>
      <c r="AD4810" s="33"/>
      <c r="AE4810" s="33"/>
      <c r="AF4810" s="33"/>
      <c r="AG4810" s="33"/>
      <c r="AH4810" s="33"/>
      <c r="AI4810" s="33"/>
      <c r="AJ4810" s="33"/>
      <c r="AK4810" s="33"/>
    </row>
    <row r="4811">
      <c r="A4811" s="33"/>
      <c r="B4811" s="33"/>
      <c r="C4811" s="33"/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  <c r="Q4811" s="33"/>
      <c r="R4811" s="33"/>
      <c r="S4811" s="33"/>
      <c r="T4811" s="33"/>
      <c r="U4811" s="33"/>
      <c r="V4811" s="33"/>
      <c r="W4811" s="33"/>
      <c r="X4811" s="33"/>
      <c r="Y4811" s="33"/>
      <c r="Z4811" s="33"/>
      <c r="AA4811" s="33"/>
      <c r="AB4811" s="33"/>
      <c r="AC4811" s="33"/>
      <c r="AD4811" s="33"/>
      <c r="AE4811" s="33"/>
      <c r="AF4811" s="33"/>
      <c r="AG4811" s="33"/>
      <c r="AH4811" s="33"/>
      <c r="AI4811" s="33"/>
      <c r="AJ4811" s="33"/>
      <c r="AK4811" s="33"/>
    </row>
    <row r="4812">
      <c r="A4812" s="33"/>
      <c r="B4812" s="33"/>
      <c r="C4812" s="33"/>
      <c r="D4812" s="33"/>
      <c r="E4812" s="33"/>
      <c r="F4812" s="33"/>
      <c r="G4812" s="33"/>
      <c r="H4812" s="33"/>
      <c r="I4812" s="33"/>
      <c r="J4812" s="33"/>
      <c r="K4812" s="33"/>
      <c r="L4812" s="33"/>
      <c r="M4812" s="33"/>
      <c r="N4812" s="33"/>
      <c r="O4812" s="33"/>
      <c r="P4812" s="33"/>
      <c r="Q4812" s="33"/>
      <c r="R4812" s="33"/>
      <c r="S4812" s="33"/>
      <c r="T4812" s="33"/>
      <c r="U4812" s="33"/>
      <c r="V4812" s="33"/>
      <c r="W4812" s="33"/>
      <c r="X4812" s="33"/>
      <c r="Y4812" s="33"/>
      <c r="Z4812" s="33"/>
      <c r="AA4812" s="33"/>
      <c r="AB4812" s="33"/>
      <c r="AC4812" s="33"/>
      <c r="AD4812" s="33"/>
      <c r="AE4812" s="33"/>
      <c r="AF4812" s="33"/>
      <c r="AG4812" s="33"/>
      <c r="AH4812" s="33"/>
      <c r="AI4812" s="33"/>
      <c r="AJ4812" s="33"/>
      <c r="AK4812" s="33"/>
    </row>
    <row r="4813">
      <c r="A4813" s="33"/>
      <c r="B4813" s="33"/>
      <c r="C4813" s="33"/>
      <c r="D4813" s="33"/>
      <c r="E4813" s="33"/>
      <c r="F4813" s="33"/>
      <c r="G4813" s="33"/>
      <c r="H4813" s="33"/>
      <c r="I4813" s="33"/>
      <c r="J4813" s="33"/>
      <c r="K4813" s="33"/>
      <c r="L4813" s="33"/>
      <c r="M4813" s="33"/>
      <c r="N4813" s="33"/>
      <c r="O4813" s="33"/>
      <c r="P4813" s="33"/>
      <c r="Q4813" s="33"/>
      <c r="R4813" s="33"/>
      <c r="S4813" s="33"/>
      <c r="T4813" s="33"/>
      <c r="U4813" s="33"/>
      <c r="V4813" s="33"/>
      <c r="W4813" s="33"/>
      <c r="X4813" s="33"/>
      <c r="Y4813" s="33"/>
      <c r="Z4813" s="33"/>
      <c r="AA4813" s="33"/>
      <c r="AB4813" s="33"/>
      <c r="AC4813" s="33"/>
      <c r="AD4813" s="33"/>
      <c r="AE4813" s="33"/>
      <c r="AF4813" s="33"/>
      <c r="AG4813" s="33"/>
      <c r="AH4813" s="33"/>
      <c r="AI4813" s="33"/>
      <c r="AJ4813" s="33"/>
      <c r="AK4813" s="33"/>
    </row>
    <row r="4814">
      <c r="A4814" s="33"/>
      <c r="B4814" s="33"/>
      <c r="C4814" s="33"/>
      <c r="D4814" s="33"/>
      <c r="E4814" s="33"/>
      <c r="F4814" s="33"/>
      <c r="G4814" s="33"/>
      <c r="H4814" s="33"/>
      <c r="I4814" s="33"/>
      <c r="J4814" s="33"/>
      <c r="K4814" s="33"/>
      <c r="L4814" s="33"/>
      <c r="M4814" s="33"/>
      <c r="N4814" s="33"/>
      <c r="O4814" s="33"/>
      <c r="P4814" s="33"/>
      <c r="Q4814" s="33"/>
      <c r="R4814" s="33"/>
      <c r="S4814" s="33"/>
      <c r="T4814" s="33"/>
      <c r="U4814" s="33"/>
      <c r="V4814" s="33"/>
      <c r="W4814" s="33"/>
      <c r="X4814" s="33"/>
      <c r="Y4814" s="33"/>
      <c r="Z4814" s="33"/>
      <c r="AA4814" s="33"/>
      <c r="AB4814" s="33"/>
      <c r="AC4814" s="33"/>
      <c r="AD4814" s="33"/>
      <c r="AE4814" s="33"/>
      <c r="AF4814" s="33"/>
      <c r="AG4814" s="33"/>
      <c r="AH4814" s="33"/>
      <c r="AI4814" s="33"/>
      <c r="AJ4814" s="33"/>
      <c r="AK4814" s="33"/>
    </row>
    <row r="4815">
      <c r="A4815" s="33"/>
      <c r="B4815" s="33"/>
      <c r="C4815" s="33"/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  <c r="Q4815" s="33"/>
      <c r="R4815" s="33"/>
      <c r="S4815" s="33"/>
      <c r="T4815" s="33"/>
      <c r="U4815" s="33"/>
      <c r="V4815" s="33"/>
      <c r="W4815" s="33"/>
      <c r="X4815" s="33"/>
      <c r="Y4815" s="33"/>
      <c r="Z4815" s="33"/>
      <c r="AA4815" s="33"/>
      <c r="AB4815" s="33"/>
      <c r="AC4815" s="33"/>
      <c r="AD4815" s="33"/>
      <c r="AE4815" s="33"/>
      <c r="AF4815" s="33"/>
      <c r="AG4815" s="33"/>
      <c r="AH4815" s="33"/>
      <c r="AI4815" s="33"/>
      <c r="AJ4815" s="33"/>
      <c r="AK4815" s="33"/>
    </row>
    <row r="4816">
      <c r="A4816" s="33"/>
      <c r="B4816" s="33"/>
      <c r="C4816" s="33"/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3"/>
      <c r="P4816" s="33"/>
      <c r="Q4816" s="33"/>
      <c r="R4816" s="33"/>
      <c r="S4816" s="33"/>
      <c r="T4816" s="33"/>
      <c r="U4816" s="33"/>
      <c r="V4816" s="33"/>
      <c r="W4816" s="33"/>
      <c r="X4816" s="33"/>
      <c r="Y4816" s="33"/>
      <c r="Z4816" s="33"/>
      <c r="AA4816" s="33"/>
      <c r="AB4816" s="33"/>
      <c r="AC4816" s="33"/>
      <c r="AD4816" s="33"/>
      <c r="AE4816" s="33"/>
      <c r="AF4816" s="33"/>
      <c r="AG4816" s="33"/>
      <c r="AH4816" s="33"/>
      <c r="AI4816" s="33"/>
      <c r="AJ4816" s="33"/>
      <c r="AK4816" s="33"/>
    </row>
    <row r="4817">
      <c r="A4817" s="33"/>
      <c r="B4817" s="33"/>
      <c r="C4817" s="33"/>
      <c r="D4817" s="33"/>
      <c r="E4817" s="33"/>
      <c r="F4817" s="33"/>
      <c r="G4817" s="33"/>
      <c r="H4817" s="33"/>
      <c r="I4817" s="33"/>
      <c r="J4817" s="33"/>
      <c r="K4817" s="33"/>
      <c r="L4817" s="33"/>
      <c r="M4817" s="33"/>
      <c r="N4817" s="33"/>
      <c r="O4817" s="33"/>
      <c r="P4817" s="33"/>
      <c r="Q4817" s="33"/>
      <c r="R4817" s="33"/>
      <c r="S4817" s="33"/>
      <c r="T4817" s="33"/>
      <c r="U4817" s="33"/>
      <c r="V4817" s="33"/>
      <c r="W4817" s="33"/>
      <c r="X4817" s="33"/>
      <c r="Y4817" s="33"/>
      <c r="Z4817" s="33"/>
      <c r="AA4817" s="33"/>
      <c r="AB4817" s="33"/>
      <c r="AC4817" s="33"/>
      <c r="AD4817" s="33"/>
      <c r="AE4817" s="33"/>
      <c r="AF4817" s="33"/>
      <c r="AG4817" s="33"/>
      <c r="AH4817" s="33"/>
      <c r="AI4817" s="33"/>
      <c r="AJ4817" s="33"/>
      <c r="AK4817" s="33"/>
    </row>
    <row r="4818">
      <c r="A4818" s="33"/>
      <c r="B4818" s="33"/>
      <c r="C4818" s="33"/>
      <c r="D4818" s="33"/>
      <c r="E4818" s="33"/>
      <c r="F4818" s="33"/>
      <c r="G4818" s="33"/>
      <c r="H4818" s="33"/>
      <c r="I4818" s="33"/>
      <c r="J4818" s="33"/>
      <c r="K4818" s="33"/>
      <c r="L4818" s="33"/>
      <c r="M4818" s="33"/>
      <c r="N4818" s="33"/>
      <c r="O4818" s="33"/>
      <c r="P4818" s="33"/>
      <c r="Q4818" s="33"/>
      <c r="R4818" s="33"/>
      <c r="S4818" s="33"/>
      <c r="T4818" s="33"/>
      <c r="U4818" s="33"/>
      <c r="V4818" s="33"/>
      <c r="W4818" s="33"/>
      <c r="X4818" s="33"/>
      <c r="Y4818" s="33"/>
      <c r="Z4818" s="33"/>
      <c r="AA4818" s="33"/>
      <c r="AB4818" s="33"/>
      <c r="AC4818" s="33"/>
      <c r="AD4818" s="33"/>
      <c r="AE4818" s="33"/>
      <c r="AF4818" s="33"/>
      <c r="AG4818" s="33"/>
      <c r="AH4818" s="33"/>
      <c r="AI4818" s="33"/>
      <c r="AJ4818" s="33"/>
      <c r="AK4818" s="33"/>
    </row>
    <row r="4819">
      <c r="A4819" s="33"/>
      <c r="B4819" s="33"/>
      <c r="C4819" s="33"/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  <c r="Q4819" s="33"/>
      <c r="R4819" s="33"/>
      <c r="S4819" s="33"/>
      <c r="T4819" s="33"/>
      <c r="U4819" s="33"/>
      <c r="V4819" s="33"/>
      <c r="W4819" s="33"/>
      <c r="X4819" s="33"/>
      <c r="Y4819" s="33"/>
      <c r="Z4819" s="33"/>
      <c r="AA4819" s="33"/>
      <c r="AB4819" s="33"/>
      <c r="AC4819" s="33"/>
      <c r="AD4819" s="33"/>
      <c r="AE4819" s="33"/>
      <c r="AF4819" s="33"/>
      <c r="AG4819" s="33"/>
      <c r="AH4819" s="33"/>
      <c r="AI4819" s="33"/>
      <c r="AJ4819" s="33"/>
      <c r="AK4819" s="33"/>
    </row>
    <row r="4820">
      <c r="A4820" s="33"/>
      <c r="B4820" s="33"/>
      <c r="C4820" s="33"/>
      <c r="D4820" s="33"/>
      <c r="E4820" s="33"/>
      <c r="F4820" s="33"/>
      <c r="G4820" s="33"/>
      <c r="H4820" s="33"/>
      <c r="I4820" s="33"/>
      <c r="J4820" s="33"/>
      <c r="K4820" s="33"/>
      <c r="L4820" s="33"/>
      <c r="M4820" s="33"/>
      <c r="N4820" s="33"/>
      <c r="O4820" s="33"/>
      <c r="P4820" s="33"/>
      <c r="Q4820" s="33"/>
      <c r="R4820" s="33"/>
      <c r="S4820" s="33"/>
      <c r="T4820" s="33"/>
      <c r="U4820" s="33"/>
      <c r="V4820" s="33"/>
      <c r="W4820" s="33"/>
      <c r="X4820" s="33"/>
      <c r="Y4820" s="33"/>
      <c r="Z4820" s="33"/>
      <c r="AA4820" s="33"/>
      <c r="AB4820" s="33"/>
      <c r="AC4820" s="33"/>
      <c r="AD4820" s="33"/>
      <c r="AE4820" s="33"/>
      <c r="AF4820" s="33"/>
      <c r="AG4820" s="33"/>
      <c r="AH4820" s="33"/>
      <c r="AI4820" s="33"/>
      <c r="AJ4820" s="33"/>
      <c r="AK4820" s="33"/>
    </row>
    <row r="4821">
      <c r="A4821" s="33"/>
      <c r="B4821" s="33"/>
      <c r="C4821" s="33"/>
      <c r="D4821" s="33"/>
      <c r="E4821" s="33"/>
      <c r="F4821" s="33"/>
      <c r="G4821" s="33"/>
      <c r="H4821" s="33"/>
      <c r="I4821" s="33"/>
      <c r="J4821" s="33"/>
      <c r="K4821" s="33"/>
      <c r="L4821" s="33"/>
      <c r="M4821" s="33"/>
      <c r="N4821" s="33"/>
      <c r="O4821" s="33"/>
      <c r="P4821" s="33"/>
      <c r="Q4821" s="33"/>
      <c r="R4821" s="33"/>
      <c r="S4821" s="33"/>
      <c r="T4821" s="33"/>
      <c r="U4821" s="33"/>
      <c r="V4821" s="33"/>
      <c r="W4821" s="33"/>
      <c r="X4821" s="33"/>
      <c r="Y4821" s="33"/>
      <c r="Z4821" s="33"/>
      <c r="AA4821" s="33"/>
      <c r="AB4821" s="33"/>
      <c r="AC4821" s="33"/>
      <c r="AD4821" s="33"/>
      <c r="AE4821" s="33"/>
      <c r="AF4821" s="33"/>
      <c r="AG4821" s="33"/>
      <c r="AH4821" s="33"/>
      <c r="AI4821" s="33"/>
      <c r="AJ4821" s="33"/>
      <c r="AK4821" s="33"/>
    </row>
    <row r="4822">
      <c r="A4822" s="33"/>
      <c r="B4822" s="33"/>
      <c r="C4822" s="33"/>
      <c r="D4822" s="33"/>
      <c r="E4822" s="33"/>
      <c r="F4822" s="33"/>
      <c r="G4822" s="33"/>
      <c r="H4822" s="33"/>
      <c r="I4822" s="33"/>
      <c r="J4822" s="33"/>
      <c r="K4822" s="33"/>
      <c r="L4822" s="33"/>
      <c r="M4822" s="33"/>
      <c r="N4822" s="33"/>
      <c r="O4822" s="33"/>
      <c r="P4822" s="33"/>
      <c r="Q4822" s="33"/>
      <c r="R4822" s="33"/>
      <c r="S4822" s="33"/>
      <c r="T4822" s="33"/>
      <c r="U4822" s="33"/>
      <c r="V4822" s="33"/>
      <c r="W4822" s="33"/>
      <c r="X4822" s="33"/>
      <c r="Y4822" s="33"/>
      <c r="Z4822" s="33"/>
      <c r="AA4822" s="33"/>
      <c r="AB4822" s="33"/>
      <c r="AC4822" s="33"/>
      <c r="AD4822" s="33"/>
      <c r="AE4822" s="33"/>
      <c r="AF4822" s="33"/>
      <c r="AG4822" s="33"/>
      <c r="AH4822" s="33"/>
      <c r="AI4822" s="33"/>
      <c r="AJ4822" s="33"/>
      <c r="AK4822" s="33"/>
    </row>
    <row r="4823">
      <c r="A4823" s="33"/>
      <c r="B4823" s="33"/>
      <c r="C4823" s="33"/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  <c r="Q4823" s="33"/>
      <c r="R4823" s="33"/>
      <c r="S4823" s="33"/>
      <c r="T4823" s="33"/>
      <c r="U4823" s="33"/>
      <c r="V4823" s="33"/>
      <c r="W4823" s="33"/>
      <c r="X4823" s="33"/>
      <c r="Y4823" s="33"/>
      <c r="Z4823" s="33"/>
      <c r="AA4823" s="33"/>
      <c r="AB4823" s="33"/>
      <c r="AC4823" s="33"/>
      <c r="AD4823" s="33"/>
      <c r="AE4823" s="33"/>
      <c r="AF4823" s="33"/>
      <c r="AG4823" s="33"/>
      <c r="AH4823" s="33"/>
      <c r="AI4823" s="33"/>
      <c r="AJ4823" s="33"/>
      <c r="AK4823" s="33"/>
    </row>
    <row r="4824">
      <c r="A4824" s="33"/>
      <c r="B4824" s="33"/>
      <c r="C4824" s="33"/>
      <c r="D4824" s="33"/>
      <c r="E4824" s="33"/>
      <c r="F4824" s="33"/>
      <c r="G4824" s="33"/>
      <c r="H4824" s="33"/>
      <c r="I4824" s="33"/>
      <c r="J4824" s="33"/>
      <c r="K4824" s="33"/>
      <c r="L4824" s="33"/>
      <c r="M4824" s="33"/>
      <c r="N4824" s="33"/>
      <c r="O4824" s="33"/>
      <c r="P4824" s="33"/>
      <c r="Q4824" s="33"/>
      <c r="R4824" s="33"/>
      <c r="S4824" s="33"/>
      <c r="T4824" s="33"/>
      <c r="U4824" s="33"/>
      <c r="V4824" s="33"/>
      <c r="W4824" s="33"/>
      <c r="X4824" s="33"/>
      <c r="Y4824" s="33"/>
      <c r="Z4824" s="33"/>
      <c r="AA4824" s="33"/>
      <c r="AB4824" s="33"/>
      <c r="AC4824" s="33"/>
      <c r="AD4824" s="33"/>
      <c r="AE4824" s="33"/>
      <c r="AF4824" s="33"/>
      <c r="AG4824" s="33"/>
      <c r="AH4824" s="33"/>
      <c r="AI4824" s="33"/>
      <c r="AJ4824" s="33"/>
      <c r="AK4824" s="33"/>
    </row>
    <row r="4825">
      <c r="A4825" s="33"/>
      <c r="B4825" s="33"/>
      <c r="C4825" s="33"/>
      <c r="D4825" s="33"/>
      <c r="E4825" s="33"/>
      <c r="F4825" s="33"/>
      <c r="G4825" s="33"/>
      <c r="H4825" s="33"/>
      <c r="I4825" s="33"/>
      <c r="J4825" s="33"/>
      <c r="K4825" s="33"/>
      <c r="L4825" s="33"/>
      <c r="M4825" s="33"/>
      <c r="N4825" s="33"/>
      <c r="O4825" s="33"/>
      <c r="P4825" s="33"/>
      <c r="Q4825" s="33"/>
      <c r="R4825" s="33"/>
      <c r="S4825" s="33"/>
      <c r="T4825" s="33"/>
      <c r="U4825" s="33"/>
      <c r="V4825" s="33"/>
      <c r="W4825" s="33"/>
      <c r="X4825" s="33"/>
      <c r="Y4825" s="33"/>
      <c r="Z4825" s="33"/>
      <c r="AA4825" s="33"/>
      <c r="AB4825" s="33"/>
      <c r="AC4825" s="33"/>
      <c r="AD4825" s="33"/>
      <c r="AE4825" s="33"/>
      <c r="AF4825" s="33"/>
      <c r="AG4825" s="33"/>
      <c r="AH4825" s="33"/>
      <c r="AI4825" s="33"/>
      <c r="AJ4825" s="33"/>
      <c r="AK4825" s="33"/>
    </row>
    <row r="4826">
      <c r="A4826" s="33"/>
      <c r="B4826" s="33"/>
      <c r="C4826" s="33"/>
      <c r="D4826" s="33"/>
      <c r="E4826" s="33"/>
      <c r="F4826" s="33"/>
      <c r="G4826" s="33"/>
      <c r="H4826" s="33"/>
      <c r="I4826" s="33"/>
      <c r="J4826" s="33"/>
      <c r="K4826" s="33"/>
      <c r="L4826" s="33"/>
      <c r="M4826" s="33"/>
      <c r="N4826" s="33"/>
      <c r="O4826" s="33"/>
      <c r="P4826" s="33"/>
      <c r="Q4826" s="33"/>
      <c r="R4826" s="33"/>
      <c r="S4826" s="33"/>
      <c r="T4826" s="33"/>
      <c r="U4826" s="33"/>
      <c r="V4826" s="33"/>
      <c r="W4826" s="33"/>
      <c r="X4826" s="33"/>
      <c r="Y4826" s="33"/>
      <c r="Z4826" s="33"/>
      <c r="AA4826" s="33"/>
      <c r="AB4826" s="33"/>
      <c r="AC4826" s="33"/>
      <c r="AD4826" s="33"/>
      <c r="AE4826" s="33"/>
      <c r="AF4826" s="33"/>
      <c r="AG4826" s="33"/>
      <c r="AH4826" s="33"/>
      <c r="AI4826" s="33"/>
      <c r="AJ4826" s="33"/>
      <c r="AK4826" s="33"/>
    </row>
    <row r="4827">
      <c r="A4827" s="33"/>
      <c r="B4827" s="33"/>
      <c r="C4827" s="33"/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  <c r="Q4827" s="33"/>
      <c r="R4827" s="33"/>
      <c r="S4827" s="33"/>
      <c r="T4827" s="33"/>
      <c r="U4827" s="33"/>
      <c r="V4827" s="33"/>
      <c r="W4827" s="33"/>
      <c r="X4827" s="33"/>
      <c r="Y4827" s="33"/>
      <c r="Z4827" s="33"/>
      <c r="AA4827" s="33"/>
      <c r="AB4827" s="33"/>
      <c r="AC4827" s="33"/>
      <c r="AD4827" s="33"/>
      <c r="AE4827" s="33"/>
      <c r="AF4827" s="33"/>
      <c r="AG4827" s="33"/>
      <c r="AH4827" s="33"/>
      <c r="AI4827" s="33"/>
      <c r="AJ4827" s="33"/>
      <c r="AK4827" s="33"/>
    </row>
    <row r="4828">
      <c r="A4828" s="33"/>
      <c r="B4828" s="33"/>
      <c r="C4828" s="33"/>
      <c r="D4828" s="33"/>
      <c r="E4828" s="33"/>
      <c r="F4828" s="33"/>
      <c r="G4828" s="33"/>
      <c r="H4828" s="33"/>
      <c r="I4828" s="33"/>
      <c r="J4828" s="33"/>
      <c r="K4828" s="33"/>
      <c r="L4828" s="33"/>
      <c r="M4828" s="33"/>
      <c r="N4828" s="33"/>
      <c r="O4828" s="33"/>
      <c r="P4828" s="33"/>
      <c r="Q4828" s="33"/>
      <c r="R4828" s="33"/>
      <c r="S4828" s="33"/>
      <c r="T4828" s="33"/>
      <c r="U4828" s="33"/>
      <c r="V4828" s="33"/>
      <c r="W4828" s="33"/>
      <c r="X4828" s="33"/>
      <c r="Y4828" s="33"/>
      <c r="Z4828" s="33"/>
      <c r="AA4828" s="33"/>
      <c r="AB4828" s="33"/>
      <c r="AC4828" s="33"/>
      <c r="AD4828" s="33"/>
      <c r="AE4828" s="33"/>
      <c r="AF4828" s="33"/>
      <c r="AG4828" s="33"/>
      <c r="AH4828" s="33"/>
      <c r="AI4828" s="33"/>
      <c r="AJ4828" s="33"/>
      <c r="AK4828" s="33"/>
    </row>
    <row r="4829">
      <c r="A4829" s="33"/>
      <c r="B4829" s="33"/>
      <c r="C4829" s="33"/>
      <c r="D4829" s="33"/>
      <c r="E4829" s="33"/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33"/>
      <c r="Q4829" s="33"/>
      <c r="R4829" s="33"/>
      <c r="S4829" s="33"/>
      <c r="T4829" s="33"/>
      <c r="U4829" s="33"/>
      <c r="V4829" s="33"/>
      <c r="W4829" s="33"/>
      <c r="X4829" s="33"/>
      <c r="Y4829" s="33"/>
      <c r="Z4829" s="33"/>
      <c r="AA4829" s="33"/>
      <c r="AB4829" s="33"/>
      <c r="AC4829" s="33"/>
      <c r="AD4829" s="33"/>
      <c r="AE4829" s="33"/>
      <c r="AF4829" s="33"/>
      <c r="AG4829" s="33"/>
      <c r="AH4829" s="33"/>
      <c r="AI4829" s="33"/>
      <c r="AJ4829" s="33"/>
      <c r="AK4829" s="33"/>
    </row>
    <row r="4830">
      <c r="A4830" s="33"/>
      <c r="B4830" s="33"/>
      <c r="C4830" s="33"/>
      <c r="D4830" s="33"/>
      <c r="E4830" s="33"/>
      <c r="F4830" s="33"/>
      <c r="G4830" s="33"/>
      <c r="H4830" s="33"/>
      <c r="I4830" s="33"/>
      <c r="J4830" s="33"/>
      <c r="K4830" s="33"/>
      <c r="L4830" s="33"/>
      <c r="M4830" s="33"/>
      <c r="N4830" s="33"/>
      <c r="O4830" s="33"/>
      <c r="P4830" s="33"/>
      <c r="Q4830" s="33"/>
      <c r="R4830" s="33"/>
      <c r="S4830" s="33"/>
      <c r="T4830" s="33"/>
      <c r="U4830" s="33"/>
      <c r="V4830" s="33"/>
      <c r="W4830" s="33"/>
      <c r="X4830" s="33"/>
      <c r="Y4830" s="33"/>
      <c r="Z4830" s="33"/>
      <c r="AA4830" s="33"/>
      <c r="AB4830" s="33"/>
      <c r="AC4830" s="33"/>
      <c r="AD4830" s="33"/>
      <c r="AE4830" s="33"/>
      <c r="AF4830" s="33"/>
      <c r="AG4830" s="33"/>
      <c r="AH4830" s="33"/>
      <c r="AI4830" s="33"/>
      <c r="AJ4830" s="33"/>
      <c r="AK4830" s="33"/>
    </row>
    <row r="4831">
      <c r="A4831" s="33"/>
      <c r="B4831" s="33"/>
      <c r="C4831" s="33"/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  <c r="Q4831" s="33"/>
      <c r="R4831" s="33"/>
      <c r="S4831" s="33"/>
      <c r="T4831" s="33"/>
      <c r="U4831" s="33"/>
      <c r="V4831" s="33"/>
      <c r="W4831" s="33"/>
      <c r="X4831" s="33"/>
      <c r="Y4831" s="33"/>
      <c r="Z4831" s="33"/>
      <c r="AA4831" s="33"/>
      <c r="AB4831" s="33"/>
      <c r="AC4831" s="33"/>
      <c r="AD4831" s="33"/>
      <c r="AE4831" s="33"/>
      <c r="AF4831" s="33"/>
      <c r="AG4831" s="33"/>
      <c r="AH4831" s="33"/>
      <c r="AI4831" s="33"/>
      <c r="AJ4831" s="33"/>
      <c r="AK4831" s="33"/>
    </row>
    <row r="4832">
      <c r="A4832" s="33"/>
      <c r="B4832" s="33"/>
      <c r="C4832" s="33"/>
      <c r="D4832" s="33"/>
      <c r="E4832" s="33"/>
      <c r="F4832" s="33"/>
      <c r="G4832" s="33"/>
      <c r="H4832" s="33"/>
      <c r="I4832" s="33"/>
      <c r="J4832" s="33"/>
      <c r="K4832" s="33"/>
      <c r="L4832" s="33"/>
      <c r="M4832" s="33"/>
      <c r="N4832" s="33"/>
      <c r="O4832" s="33"/>
      <c r="P4832" s="33"/>
      <c r="Q4832" s="33"/>
      <c r="R4832" s="33"/>
      <c r="S4832" s="33"/>
      <c r="T4832" s="33"/>
      <c r="U4832" s="33"/>
      <c r="V4832" s="33"/>
      <c r="W4832" s="33"/>
      <c r="X4832" s="33"/>
      <c r="Y4832" s="33"/>
      <c r="Z4832" s="33"/>
      <c r="AA4832" s="33"/>
      <c r="AB4832" s="33"/>
      <c r="AC4832" s="33"/>
      <c r="AD4832" s="33"/>
      <c r="AE4832" s="33"/>
      <c r="AF4832" s="33"/>
      <c r="AG4832" s="33"/>
      <c r="AH4832" s="33"/>
      <c r="AI4832" s="33"/>
      <c r="AJ4832" s="33"/>
      <c r="AK4832" s="33"/>
    </row>
    <row r="4833">
      <c r="A4833" s="33"/>
      <c r="B4833" s="33"/>
      <c r="C4833" s="33"/>
      <c r="D4833" s="33"/>
      <c r="E4833" s="33"/>
      <c r="F4833" s="33"/>
      <c r="G4833" s="33"/>
      <c r="H4833" s="33"/>
      <c r="I4833" s="33"/>
      <c r="J4833" s="33"/>
      <c r="K4833" s="33"/>
      <c r="L4833" s="33"/>
      <c r="M4833" s="33"/>
      <c r="N4833" s="33"/>
      <c r="O4833" s="33"/>
      <c r="P4833" s="33"/>
      <c r="Q4833" s="33"/>
      <c r="R4833" s="33"/>
      <c r="S4833" s="33"/>
      <c r="T4833" s="33"/>
      <c r="U4833" s="33"/>
      <c r="V4833" s="33"/>
      <c r="W4833" s="33"/>
      <c r="X4833" s="33"/>
      <c r="Y4833" s="33"/>
      <c r="Z4833" s="33"/>
      <c r="AA4833" s="33"/>
      <c r="AB4833" s="33"/>
      <c r="AC4833" s="33"/>
      <c r="AD4833" s="33"/>
      <c r="AE4833" s="33"/>
      <c r="AF4833" s="33"/>
      <c r="AG4833" s="33"/>
      <c r="AH4833" s="33"/>
      <c r="AI4833" s="33"/>
      <c r="AJ4833" s="33"/>
      <c r="AK4833" s="33"/>
    </row>
    <row r="4834">
      <c r="A4834" s="33"/>
      <c r="B4834" s="33"/>
      <c r="C4834" s="33"/>
      <c r="D4834" s="33"/>
      <c r="E4834" s="33"/>
      <c r="F4834" s="33"/>
      <c r="G4834" s="33"/>
      <c r="H4834" s="33"/>
      <c r="I4834" s="33"/>
      <c r="J4834" s="33"/>
      <c r="K4834" s="33"/>
      <c r="L4834" s="33"/>
      <c r="M4834" s="33"/>
      <c r="N4834" s="33"/>
      <c r="O4834" s="33"/>
      <c r="P4834" s="33"/>
      <c r="Q4834" s="33"/>
      <c r="R4834" s="33"/>
      <c r="S4834" s="33"/>
      <c r="T4834" s="33"/>
      <c r="U4834" s="33"/>
      <c r="V4834" s="33"/>
      <c r="W4834" s="33"/>
      <c r="X4834" s="33"/>
      <c r="Y4834" s="33"/>
      <c r="Z4834" s="33"/>
      <c r="AA4834" s="33"/>
      <c r="AB4834" s="33"/>
      <c r="AC4834" s="33"/>
      <c r="AD4834" s="33"/>
      <c r="AE4834" s="33"/>
      <c r="AF4834" s="33"/>
      <c r="AG4834" s="33"/>
      <c r="AH4834" s="33"/>
      <c r="AI4834" s="33"/>
      <c r="AJ4834" s="33"/>
      <c r="AK4834" s="33"/>
    </row>
    <row r="4835">
      <c r="A4835" s="33"/>
      <c r="B4835" s="33"/>
      <c r="C4835" s="33"/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  <c r="Q4835" s="33"/>
      <c r="R4835" s="33"/>
      <c r="S4835" s="33"/>
      <c r="T4835" s="33"/>
      <c r="U4835" s="33"/>
      <c r="V4835" s="33"/>
      <c r="W4835" s="33"/>
      <c r="X4835" s="33"/>
      <c r="Y4835" s="33"/>
      <c r="Z4835" s="33"/>
      <c r="AA4835" s="33"/>
      <c r="AB4835" s="33"/>
      <c r="AC4835" s="33"/>
      <c r="AD4835" s="33"/>
      <c r="AE4835" s="33"/>
      <c r="AF4835" s="33"/>
      <c r="AG4835" s="33"/>
      <c r="AH4835" s="33"/>
      <c r="AI4835" s="33"/>
      <c r="AJ4835" s="33"/>
      <c r="AK4835" s="33"/>
    </row>
    <row r="4836">
      <c r="A4836" s="33"/>
      <c r="B4836" s="33"/>
      <c r="C4836" s="33"/>
      <c r="D4836" s="33"/>
      <c r="E4836" s="33"/>
      <c r="F4836" s="33"/>
      <c r="G4836" s="33"/>
      <c r="H4836" s="33"/>
      <c r="I4836" s="33"/>
      <c r="J4836" s="33"/>
      <c r="K4836" s="33"/>
      <c r="L4836" s="33"/>
      <c r="M4836" s="33"/>
      <c r="N4836" s="33"/>
      <c r="O4836" s="33"/>
      <c r="P4836" s="33"/>
      <c r="Q4836" s="33"/>
      <c r="R4836" s="33"/>
      <c r="S4836" s="33"/>
      <c r="T4836" s="33"/>
      <c r="U4836" s="33"/>
      <c r="V4836" s="33"/>
      <c r="W4836" s="33"/>
      <c r="X4836" s="33"/>
      <c r="Y4836" s="33"/>
      <c r="Z4836" s="33"/>
      <c r="AA4836" s="33"/>
      <c r="AB4836" s="33"/>
      <c r="AC4836" s="33"/>
      <c r="AD4836" s="33"/>
      <c r="AE4836" s="33"/>
      <c r="AF4836" s="33"/>
      <c r="AG4836" s="33"/>
      <c r="AH4836" s="33"/>
      <c r="AI4836" s="33"/>
      <c r="AJ4836" s="33"/>
      <c r="AK4836" s="33"/>
    </row>
    <row r="4837">
      <c r="A4837" s="33"/>
      <c r="B4837" s="33"/>
      <c r="C4837" s="33"/>
      <c r="D4837" s="33"/>
      <c r="E4837" s="33"/>
      <c r="F4837" s="33"/>
      <c r="G4837" s="33"/>
      <c r="H4837" s="33"/>
      <c r="I4837" s="33"/>
      <c r="J4837" s="33"/>
      <c r="K4837" s="33"/>
      <c r="L4837" s="33"/>
      <c r="M4837" s="33"/>
      <c r="N4837" s="33"/>
      <c r="O4837" s="33"/>
      <c r="P4837" s="33"/>
      <c r="Q4837" s="33"/>
      <c r="R4837" s="33"/>
      <c r="S4837" s="33"/>
      <c r="T4837" s="33"/>
      <c r="U4837" s="33"/>
      <c r="V4837" s="33"/>
      <c r="W4837" s="33"/>
      <c r="X4837" s="33"/>
      <c r="Y4837" s="33"/>
      <c r="Z4837" s="33"/>
      <c r="AA4837" s="33"/>
      <c r="AB4837" s="33"/>
      <c r="AC4837" s="33"/>
      <c r="AD4837" s="33"/>
      <c r="AE4837" s="33"/>
      <c r="AF4837" s="33"/>
      <c r="AG4837" s="33"/>
      <c r="AH4837" s="33"/>
      <c r="AI4837" s="33"/>
      <c r="AJ4837" s="33"/>
      <c r="AK4837" s="33"/>
    </row>
    <row r="4838">
      <c r="A4838" s="33"/>
      <c r="B4838" s="33"/>
      <c r="C4838" s="33"/>
      <c r="D4838" s="33"/>
      <c r="E4838" s="33"/>
      <c r="F4838" s="33"/>
      <c r="G4838" s="33"/>
      <c r="H4838" s="33"/>
      <c r="I4838" s="33"/>
      <c r="J4838" s="33"/>
      <c r="K4838" s="33"/>
      <c r="L4838" s="33"/>
      <c r="M4838" s="33"/>
      <c r="N4838" s="33"/>
      <c r="O4838" s="33"/>
      <c r="P4838" s="33"/>
      <c r="Q4838" s="33"/>
      <c r="R4838" s="33"/>
      <c r="S4838" s="33"/>
      <c r="T4838" s="33"/>
      <c r="U4838" s="33"/>
      <c r="V4838" s="33"/>
      <c r="W4838" s="33"/>
      <c r="X4838" s="33"/>
      <c r="Y4838" s="33"/>
      <c r="Z4838" s="33"/>
      <c r="AA4838" s="33"/>
      <c r="AB4838" s="33"/>
      <c r="AC4838" s="33"/>
      <c r="AD4838" s="33"/>
      <c r="AE4838" s="33"/>
      <c r="AF4838" s="33"/>
      <c r="AG4838" s="33"/>
      <c r="AH4838" s="33"/>
      <c r="AI4838" s="33"/>
      <c r="AJ4838" s="33"/>
      <c r="AK4838" s="33"/>
    </row>
    <row r="4839">
      <c r="A4839" s="33"/>
      <c r="B4839" s="33"/>
      <c r="C4839" s="33"/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  <c r="Q4839" s="33"/>
      <c r="R4839" s="33"/>
      <c r="S4839" s="33"/>
      <c r="T4839" s="33"/>
      <c r="U4839" s="33"/>
      <c r="V4839" s="33"/>
      <c r="W4839" s="33"/>
      <c r="X4839" s="33"/>
      <c r="Y4839" s="33"/>
      <c r="Z4839" s="33"/>
      <c r="AA4839" s="33"/>
      <c r="AB4839" s="33"/>
      <c r="AC4839" s="33"/>
      <c r="AD4839" s="33"/>
      <c r="AE4839" s="33"/>
      <c r="AF4839" s="33"/>
      <c r="AG4839" s="33"/>
      <c r="AH4839" s="33"/>
      <c r="AI4839" s="33"/>
      <c r="AJ4839" s="33"/>
      <c r="AK4839" s="33"/>
    </row>
    <row r="4840">
      <c r="A4840" s="33"/>
      <c r="B4840" s="33"/>
      <c r="C4840" s="33"/>
      <c r="D4840" s="33"/>
      <c r="E4840" s="33"/>
      <c r="F4840" s="33"/>
      <c r="G4840" s="33"/>
      <c r="H4840" s="33"/>
      <c r="I4840" s="33"/>
      <c r="J4840" s="33"/>
      <c r="K4840" s="33"/>
      <c r="L4840" s="33"/>
      <c r="M4840" s="33"/>
      <c r="N4840" s="33"/>
      <c r="O4840" s="33"/>
      <c r="P4840" s="33"/>
      <c r="Q4840" s="33"/>
      <c r="R4840" s="33"/>
      <c r="S4840" s="33"/>
      <c r="T4840" s="33"/>
      <c r="U4840" s="33"/>
      <c r="V4840" s="33"/>
      <c r="W4840" s="33"/>
      <c r="X4840" s="33"/>
      <c r="Y4840" s="33"/>
      <c r="Z4840" s="33"/>
      <c r="AA4840" s="33"/>
      <c r="AB4840" s="33"/>
      <c r="AC4840" s="33"/>
      <c r="AD4840" s="33"/>
      <c r="AE4840" s="33"/>
      <c r="AF4840" s="33"/>
      <c r="AG4840" s="33"/>
      <c r="AH4840" s="33"/>
      <c r="AI4840" s="33"/>
      <c r="AJ4840" s="33"/>
      <c r="AK4840" s="33"/>
    </row>
    <row r="4841">
      <c r="A4841" s="33"/>
      <c r="B4841" s="33"/>
      <c r="C4841" s="33"/>
      <c r="D4841" s="33"/>
      <c r="E4841" s="33"/>
      <c r="F4841" s="33"/>
      <c r="G4841" s="33"/>
      <c r="H4841" s="33"/>
      <c r="I4841" s="33"/>
      <c r="J4841" s="33"/>
      <c r="K4841" s="33"/>
      <c r="L4841" s="33"/>
      <c r="M4841" s="33"/>
      <c r="N4841" s="33"/>
      <c r="O4841" s="33"/>
      <c r="P4841" s="33"/>
      <c r="Q4841" s="33"/>
      <c r="R4841" s="33"/>
      <c r="S4841" s="33"/>
      <c r="T4841" s="33"/>
      <c r="U4841" s="33"/>
      <c r="V4841" s="33"/>
      <c r="W4841" s="33"/>
      <c r="X4841" s="33"/>
      <c r="Y4841" s="33"/>
      <c r="Z4841" s="33"/>
      <c r="AA4841" s="33"/>
      <c r="AB4841" s="33"/>
      <c r="AC4841" s="33"/>
      <c r="AD4841" s="33"/>
      <c r="AE4841" s="33"/>
      <c r="AF4841" s="33"/>
      <c r="AG4841" s="33"/>
      <c r="AH4841" s="33"/>
      <c r="AI4841" s="33"/>
      <c r="AJ4841" s="33"/>
      <c r="AK4841" s="33"/>
    </row>
    <row r="4842">
      <c r="A4842" s="33"/>
      <c r="B4842" s="33"/>
      <c r="C4842" s="33"/>
      <c r="D4842" s="33"/>
      <c r="E4842" s="33"/>
      <c r="F4842" s="33"/>
      <c r="G4842" s="33"/>
      <c r="H4842" s="33"/>
      <c r="I4842" s="33"/>
      <c r="J4842" s="33"/>
      <c r="K4842" s="33"/>
      <c r="L4842" s="33"/>
      <c r="M4842" s="33"/>
      <c r="N4842" s="33"/>
      <c r="O4842" s="33"/>
      <c r="P4842" s="33"/>
      <c r="Q4842" s="33"/>
      <c r="R4842" s="33"/>
      <c r="S4842" s="33"/>
      <c r="T4842" s="33"/>
      <c r="U4842" s="33"/>
      <c r="V4842" s="33"/>
      <c r="W4842" s="33"/>
      <c r="X4842" s="33"/>
      <c r="Y4842" s="33"/>
      <c r="Z4842" s="33"/>
      <c r="AA4842" s="33"/>
      <c r="AB4842" s="33"/>
      <c r="AC4842" s="33"/>
      <c r="AD4842" s="33"/>
      <c r="AE4842" s="33"/>
      <c r="AF4842" s="33"/>
      <c r="AG4842" s="33"/>
      <c r="AH4842" s="33"/>
      <c r="AI4842" s="33"/>
      <c r="AJ4842" s="33"/>
      <c r="AK4842" s="33"/>
    </row>
    <row r="4843">
      <c r="A4843" s="33"/>
      <c r="B4843" s="33"/>
      <c r="C4843" s="33"/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  <c r="Q4843" s="33"/>
      <c r="R4843" s="33"/>
      <c r="S4843" s="33"/>
      <c r="T4843" s="33"/>
      <c r="U4843" s="33"/>
      <c r="V4843" s="33"/>
      <c r="W4843" s="33"/>
      <c r="X4843" s="33"/>
      <c r="Y4843" s="33"/>
      <c r="Z4843" s="33"/>
      <c r="AA4843" s="33"/>
      <c r="AB4843" s="33"/>
      <c r="AC4843" s="33"/>
      <c r="AD4843" s="33"/>
      <c r="AE4843" s="33"/>
      <c r="AF4843" s="33"/>
      <c r="AG4843" s="33"/>
      <c r="AH4843" s="33"/>
      <c r="AI4843" s="33"/>
      <c r="AJ4843" s="33"/>
      <c r="AK4843" s="33"/>
    </row>
    <row r="4844">
      <c r="A4844" s="33"/>
      <c r="B4844" s="33"/>
      <c r="C4844" s="33"/>
      <c r="D4844" s="33"/>
      <c r="E4844" s="33"/>
      <c r="F4844" s="33"/>
      <c r="G4844" s="33"/>
      <c r="H4844" s="33"/>
      <c r="I4844" s="33"/>
      <c r="J4844" s="33"/>
      <c r="K4844" s="33"/>
      <c r="L4844" s="33"/>
      <c r="M4844" s="33"/>
      <c r="N4844" s="33"/>
      <c r="O4844" s="33"/>
      <c r="P4844" s="33"/>
      <c r="Q4844" s="33"/>
      <c r="R4844" s="33"/>
      <c r="S4844" s="33"/>
      <c r="T4844" s="33"/>
      <c r="U4844" s="33"/>
      <c r="V4844" s="33"/>
      <c r="W4844" s="33"/>
      <c r="X4844" s="33"/>
      <c r="Y4844" s="33"/>
      <c r="Z4844" s="33"/>
      <c r="AA4844" s="33"/>
      <c r="AB4844" s="33"/>
      <c r="AC4844" s="33"/>
      <c r="AD4844" s="33"/>
      <c r="AE4844" s="33"/>
      <c r="AF4844" s="33"/>
      <c r="AG4844" s="33"/>
      <c r="AH4844" s="33"/>
      <c r="AI4844" s="33"/>
      <c r="AJ4844" s="33"/>
      <c r="AK4844" s="33"/>
    </row>
    <row r="4845">
      <c r="A4845" s="33"/>
      <c r="B4845" s="33"/>
      <c r="C4845" s="33"/>
      <c r="D4845" s="33"/>
      <c r="E4845" s="33"/>
      <c r="F4845" s="33"/>
      <c r="G4845" s="33"/>
      <c r="H4845" s="33"/>
      <c r="I4845" s="33"/>
      <c r="J4845" s="33"/>
      <c r="K4845" s="33"/>
      <c r="L4845" s="33"/>
      <c r="M4845" s="33"/>
      <c r="N4845" s="33"/>
      <c r="O4845" s="33"/>
      <c r="P4845" s="33"/>
      <c r="Q4845" s="33"/>
      <c r="R4845" s="33"/>
      <c r="S4845" s="33"/>
      <c r="T4845" s="33"/>
      <c r="U4845" s="33"/>
      <c r="V4845" s="33"/>
      <c r="W4845" s="33"/>
      <c r="X4845" s="33"/>
      <c r="Y4845" s="33"/>
      <c r="Z4845" s="33"/>
      <c r="AA4845" s="33"/>
      <c r="AB4845" s="33"/>
      <c r="AC4845" s="33"/>
      <c r="AD4845" s="33"/>
      <c r="AE4845" s="33"/>
      <c r="AF4845" s="33"/>
      <c r="AG4845" s="33"/>
      <c r="AH4845" s="33"/>
      <c r="AI4845" s="33"/>
      <c r="AJ4845" s="33"/>
      <c r="AK4845" s="33"/>
    </row>
    <row r="4846">
      <c r="A4846" s="33"/>
      <c r="B4846" s="33"/>
      <c r="C4846" s="33"/>
      <c r="D4846" s="33"/>
      <c r="E4846" s="33"/>
      <c r="F4846" s="33"/>
      <c r="G4846" s="33"/>
      <c r="H4846" s="33"/>
      <c r="I4846" s="33"/>
      <c r="J4846" s="33"/>
      <c r="K4846" s="33"/>
      <c r="L4846" s="33"/>
      <c r="M4846" s="33"/>
      <c r="N4846" s="33"/>
      <c r="O4846" s="33"/>
      <c r="P4846" s="33"/>
      <c r="Q4846" s="33"/>
      <c r="R4846" s="33"/>
      <c r="S4846" s="33"/>
      <c r="T4846" s="33"/>
      <c r="U4846" s="33"/>
      <c r="V4846" s="33"/>
      <c r="W4846" s="33"/>
      <c r="X4846" s="33"/>
      <c r="Y4846" s="33"/>
      <c r="Z4846" s="33"/>
      <c r="AA4846" s="33"/>
      <c r="AB4846" s="33"/>
      <c r="AC4846" s="33"/>
      <c r="AD4846" s="33"/>
      <c r="AE4846" s="33"/>
      <c r="AF4846" s="33"/>
      <c r="AG4846" s="33"/>
      <c r="AH4846" s="33"/>
      <c r="AI4846" s="33"/>
      <c r="AJ4846" s="33"/>
      <c r="AK4846" s="33"/>
    </row>
    <row r="4847">
      <c r="A4847" s="33"/>
      <c r="B4847" s="33"/>
      <c r="C4847" s="33"/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  <c r="Q4847" s="33"/>
      <c r="R4847" s="33"/>
      <c r="S4847" s="33"/>
      <c r="T4847" s="33"/>
      <c r="U4847" s="33"/>
      <c r="V4847" s="33"/>
      <c r="W4847" s="33"/>
      <c r="X4847" s="33"/>
      <c r="Y4847" s="33"/>
      <c r="Z4847" s="33"/>
      <c r="AA4847" s="33"/>
      <c r="AB4847" s="33"/>
      <c r="AC4847" s="33"/>
      <c r="AD4847" s="33"/>
      <c r="AE4847" s="33"/>
      <c r="AF4847" s="33"/>
      <c r="AG4847" s="33"/>
      <c r="AH4847" s="33"/>
      <c r="AI4847" s="33"/>
      <c r="AJ4847" s="33"/>
      <c r="AK4847" s="33"/>
    </row>
    <row r="4848">
      <c r="A4848" s="33"/>
      <c r="B4848" s="33"/>
      <c r="C4848" s="33"/>
      <c r="D4848" s="33"/>
      <c r="E4848" s="33"/>
      <c r="F4848" s="33"/>
      <c r="G4848" s="33"/>
      <c r="H4848" s="33"/>
      <c r="I4848" s="33"/>
      <c r="J4848" s="33"/>
      <c r="K4848" s="33"/>
      <c r="L4848" s="33"/>
      <c r="M4848" s="33"/>
      <c r="N4848" s="33"/>
      <c r="O4848" s="33"/>
      <c r="P4848" s="33"/>
      <c r="Q4848" s="33"/>
      <c r="R4848" s="33"/>
      <c r="S4848" s="33"/>
      <c r="T4848" s="33"/>
      <c r="U4848" s="33"/>
      <c r="V4848" s="33"/>
      <c r="W4848" s="33"/>
      <c r="X4848" s="33"/>
      <c r="Y4848" s="33"/>
      <c r="Z4848" s="33"/>
      <c r="AA4848" s="33"/>
      <c r="AB4848" s="33"/>
      <c r="AC4848" s="33"/>
      <c r="AD4848" s="33"/>
      <c r="AE4848" s="33"/>
      <c r="AF4848" s="33"/>
      <c r="AG4848" s="33"/>
      <c r="AH4848" s="33"/>
      <c r="AI4848" s="33"/>
      <c r="AJ4848" s="33"/>
      <c r="AK4848" s="33"/>
    </row>
    <row r="4849">
      <c r="A4849" s="33"/>
      <c r="B4849" s="33"/>
      <c r="C4849" s="33"/>
      <c r="D4849" s="33"/>
      <c r="E4849" s="33"/>
      <c r="F4849" s="33"/>
      <c r="G4849" s="33"/>
      <c r="H4849" s="33"/>
      <c r="I4849" s="33"/>
      <c r="J4849" s="33"/>
      <c r="K4849" s="33"/>
      <c r="L4849" s="33"/>
      <c r="M4849" s="33"/>
      <c r="N4849" s="33"/>
      <c r="O4849" s="33"/>
      <c r="P4849" s="33"/>
      <c r="Q4849" s="33"/>
      <c r="R4849" s="33"/>
      <c r="S4849" s="33"/>
      <c r="T4849" s="33"/>
      <c r="U4849" s="33"/>
      <c r="V4849" s="33"/>
      <c r="W4849" s="33"/>
      <c r="X4849" s="33"/>
      <c r="Y4849" s="33"/>
      <c r="Z4849" s="33"/>
      <c r="AA4849" s="33"/>
      <c r="AB4849" s="33"/>
      <c r="AC4849" s="33"/>
      <c r="AD4849" s="33"/>
      <c r="AE4849" s="33"/>
      <c r="AF4849" s="33"/>
      <c r="AG4849" s="33"/>
      <c r="AH4849" s="33"/>
      <c r="AI4849" s="33"/>
      <c r="AJ4849" s="33"/>
      <c r="AK4849" s="33"/>
    </row>
    <row r="4850">
      <c r="A4850" s="33"/>
      <c r="B4850" s="33"/>
      <c r="C4850" s="33"/>
      <c r="D4850" s="33"/>
      <c r="E4850" s="33"/>
      <c r="F4850" s="33"/>
      <c r="G4850" s="33"/>
      <c r="H4850" s="33"/>
      <c r="I4850" s="33"/>
      <c r="J4850" s="33"/>
      <c r="K4850" s="33"/>
      <c r="L4850" s="33"/>
      <c r="M4850" s="33"/>
      <c r="N4850" s="33"/>
      <c r="O4850" s="33"/>
      <c r="P4850" s="33"/>
      <c r="Q4850" s="33"/>
      <c r="R4850" s="33"/>
      <c r="S4850" s="33"/>
      <c r="T4850" s="33"/>
      <c r="U4850" s="33"/>
      <c r="V4850" s="33"/>
      <c r="W4850" s="33"/>
      <c r="X4850" s="33"/>
      <c r="Y4850" s="33"/>
      <c r="Z4850" s="33"/>
      <c r="AA4850" s="33"/>
      <c r="AB4850" s="33"/>
      <c r="AC4850" s="33"/>
      <c r="AD4850" s="33"/>
      <c r="AE4850" s="33"/>
      <c r="AF4850" s="33"/>
      <c r="AG4850" s="33"/>
      <c r="AH4850" s="33"/>
      <c r="AI4850" s="33"/>
      <c r="AJ4850" s="33"/>
      <c r="AK4850" s="33"/>
    </row>
    <row r="4851">
      <c r="A4851" s="33"/>
      <c r="B4851" s="33"/>
      <c r="C4851" s="33"/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  <c r="Q4851" s="33"/>
      <c r="R4851" s="33"/>
      <c r="S4851" s="33"/>
      <c r="T4851" s="33"/>
      <c r="U4851" s="33"/>
      <c r="V4851" s="33"/>
      <c r="W4851" s="33"/>
      <c r="X4851" s="33"/>
      <c r="Y4851" s="33"/>
      <c r="Z4851" s="33"/>
      <c r="AA4851" s="33"/>
      <c r="AB4851" s="33"/>
      <c r="AC4851" s="33"/>
      <c r="AD4851" s="33"/>
      <c r="AE4851" s="33"/>
      <c r="AF4851" s="33"/>
      <c r="AG4851" s="33"/>
      <c r="AH4851" s="33"/>
      <c r="AI4851" s="33"/>
      <c r="AJ4851" s="33"/>
      <c r="AK4851" s="33"/>
    </row>
    <row r="4852">
      <c r="A4852" s="33"/>
      <c r="B4852" s="33"/>
      <c r="C4852" s="33"/>
      <c r="D4852" s="33"/>
      <c r="E4852" s="33"/>
      <c r="F4852" s="33"/>
      <c r="G4852" s="33"/>
      <c r="H4852" s="33"/>
      <c r="I4852" s="33"/>
      <c r="J4852" s="33"/>
      <c r="K4852" s="33"/>
      <c r="L4852" s="33"/>
      <c r="M4852" s="33"/>
      <c r="N4852" s="33"/>
      <c r="O4852" s="33"/>
      <c r="P4852" s="33"/>
      <c r="Q4852" s="33"/>
      <c r="R4852" s="33"/>
      <c r="S4852" s="33"/>
      <c r="T4852" s="33"/>
      <c r="U4852" s="33"/>
      <c r="V4852" s="33"/>
      <c r="W4852" s="33"/>
      <c r="X4852" s="33"/>
      <c r="Y4852" s="33"/>
      <c r="Z4852" s="33"/>
      <c r="AA4852" s="33"/>
      <c r="AB4852" s="33"/>
      <c r="AC4852" s="33"/>
      <c r="AD4852" s="33"/>
      <c r="AE4852" s="33"/>
      <c r="AF4852" s="33"/>
      <c r="AG4852" s="33"/>
      <c r="AH4852" s="33"/>
      <c r="AI4852" s="33"/>
      <c r="AJ4852" s="33"/>
      <c r="AK4852" s="33"/>
    </row>
    <row r="4853">
      <c r="A4853" s="33"/>
      <c r="B4853" s="33"/>
      <c r="C4853" s="33"/>
      <c r="D4853" s="33"/>
      <c r="E4853" s="33"/>
      <c r="F4853" s="33"/>
      <c r="G4853" s="33"/>
      <c r="H4853" s="33"/>
      <c r="I4853" s="33"/>
      <c r="J4853" s="33"/>
      <c r="K4853" s="33"/>
      <c r="L4853" s="33"/>
      <c r="M4853" s="33"/>
      <c r="N4853" s="33"/>
      <c r="O4853" s="33"/>
      <c r="P4853" s="33"/>
      <c r="Q4853" s="33"/>
      <c r="R4853" s="33"/>
      <c r="S4853" s="33"/>
      <c r="T4853" s="33"/>
      <c r="U4853" s="33"/>
      <c r="V4853" s="33"/>
      <c r="W4853" s="33"/>
      <c r="X4853" s="33"/>
      <c r="Y4853" s="33"/>
      <c r="Z4853" s="33"/>
      <c r="AA4853" s="33"/>
      <c r="AB4853" s="33"/>
      <c r="AC4853" s="33"/>
      <c r="AD4853" s="33"/>
      <c r="AE4853" s="33"/>
      <c r="AF4853" s="33"/>
      <c r="AG4853" s="33"/>
      <c r="AH4853" s="33"/>
      <c r="AI4853" s="33"/>
      <c r="AJ4853" s="33"/>
      <c r="AK4853" s="33"/>
    </row>
    <row r="4854">
      <c r="A4854" s="33"/>
      <c r="B4854" s="33"/>
      <c r="C4854" s="33"/>
      <c r="D4854" s="33"/>
      <c r="E4854" s="33"/>
      <c r="F4854" s="33"/>
      <c r="G4854" s="33"/>
      <c r="H4854" s="33"/>
      <c r="I4854" s="33"/>
      <c r="J4854" s="33"/>
      <c r="K4854" s="33"/>
      <c r="L4854" s="33"/>
      <c r="M4854" s="33"/>
      <c r="N4854" s="33"/>
      <c r="O4854" s="33"/>
      <c r="P4854" s="33"/>
      <c r="Q4854" s="33"/>
      <c r="R4854" s="33"/>
      <c r="S4854" s="33"/>
      <c r="T4854" s="33"/>
      <c r="U4854" s="33"/>
      <c r="V4854" s="33"/>
      <c r="W4854" s="33"/>
      <c r="X4854" s="33"/>
      <c r="Y4854" s="33"/>
      <c r="Z4854" s="33"/>
      <c r="AA4854" s="33"/>
      <c r="AB4854" s="33"/>
      <c r="AC4854" s="33"/>
      <c r="AD4854" s="33"/>
      <c r="AE4854" s="33"/>
      <c r="AF4854" s="33"/>
      <c r="AG4854" s="33"/>
      <c r="AH4854" s="33"/>
      <c r="AI4854" s="33"/>
      <c r="AJ4854" s="33"/>
      <c r="AK4854" s="33"/>
    </row>
    <row r="4855">
      <c r="A4855" s="33"/>
      <c r="B4855" s="33"/>
      <c r="C4855" s="33"/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  <c r="Q4855" s="33"/>
      <c r="R4855" s="33"/>
      <c r="S4855" s="33"/>
      <c r="T4855" s="33"/>
      <c r="U4855" s="33"/>
      <c r="V4855" s="33"/>
      <c r="W4855" s="33"/>
      <c r="X4855" s="33"/>
      <c r="Y4855" s="33"/>
      <c r="Z4855" s="33"/>
      <c r="AA4855" s="33"/>
      <c r="AB4855" s="33"/>
      <c r="AC4855" s="33"/>
      <c r="AD4855" s="33"/>
      <c r="AE4855" s="33"/>
      <c r="AF4855" s="33"/>
      <c r="AG4855" s="33"/>
      <c r="AH4855" s="33"/>
      <c r="AI4855" s="33"/>
      <c r="AJ4855" s="33"/>
      <c r="AK4855" s="33"/>
    </row>
    <row r="4856">
      <c r="A4856" s="33"/>
      <c r="B4856" s="33"/>
      <c r="C4856" s="33"/>
      <c r="D4856" s="33"/>
      <c r="E4856" s="33"/>
      <c r="F4856" s="33"/>
      <c r="G4856" s="33"/>
      <c r="H4856" s="33"/>
      <c r="I4856" s="33"/>
      <c r="J4856" s="33"/>
      <c r="K4856" s="33"/>
      <c r="L4856" s="33"/>
      <c r="M4856" s="33"/>
      <c r="N4856" s="33"/>
      <c r="O4856" s="33"/>
      <c r="P4856" s="33"/>
      <c r="Q4856" s="33"/>
      <c r="R4856" s="33"/>
      <c r="S4856" s="33"/>
      <c r="T4856" s="33"/>
      <c r="U4856" s="33"/>
      <c r="V4856" s="33"/>
      <c r="W4856" s="33"/>
      <c r="X4856" s="33"/>
      <c r="Y4856" s="33"/>
      <c r="Z4856" s="33"/>
      <c r="AA4856" s="33"/>
      <c r="AB4856" s="33"/>
      <c r="AC4856" s="33"/>
      <c r="AD4856" s="33"/>
      <c r="AE4856" s="33"/>
      <c r="AF4856" s="33"/>
      <c r="AG4856" s="33"/>
      <c r="AH4856" s="33"/>
      <c r="AI4856" s="33"/>
      <c r="AJ4856" s="33"/>
      <c r="AK4856" s="33"/>
    </row>
    <row r="4857">
      <c r="A4857" s="33"/>
      <c r="B4857" s="33"/>
      <c r="C4857" s="33"/>
      <c r="D4857" s="33"/>
      <c r="E4857" s="33"/>
      <c r="F4857" s="33"/>
      <c r="G4857" s="33"/>
      <c r="H4857" s="33"/>
      <c r="I4857" s="33"/>
      <c r="J4857" s="33"/>
      <c r="K4857" s="33"/>
      <c r="L4857" s="33"/>
      <c r="M4857" s="33"/>
      <c r="N4857" s="33"/>
      <c r="O4857" s="33"/>
      <c r="P4857" s="33"/>
      <c r="Q4857" s="33"/>
      <c r="R4857" s="33"/>
      <c r="S4857" s="33"/>
      <c r="T4857" s="33"/>
      <c r="U4857" s="33"/>
      <c r="V4857" s="33"/>
      <c r="W4857" s="33"/>
      <c r="X4857" s="33"/>
      <c r="Y4857" s="33"/>
      <c r="Z4857" s="33"/>
      <c r="AA4857" s="33"/>
      <c r="AB4857" s="33"/>
      <c r="AC4857" s="33"/>
      <c r="AD4857" s="33"/>
      <c r="AE4857" s="33"/>
      <c r="AF4857" s="33"/>
      <c r="AG4857" s="33"/>
      <c r="AH4857" s="33"/>
      <c r="AI4857" s="33"/>
      <c r="AJ4857" s="33"/>
      <c r="AK4857" s="33"/>
    </row>
    <row r="4858">
      <c r="A4858" s="33"/>
      <c r="B4858" s="33"/>
      <c r="C4858" s="33"/>
      <c r="D4858" s="33"/>
      <c r="E4858" s="33"/>
      <c r="F4858" s="33"/>
      <c r="G4858" s="33"/>
      <c r="H4858" s="33"/>
      <c r="I4858" s="33"/>
      <c r="J4858" s="33"/>
      <c r="K4858" s="33"/>
      <c r="L4858" s="33"/>
      <c r="M4858" s="33"/>
      <c r="N4858" s="33"/>
      <c r="O4858" s="33"/>
      <c r="P4858" s="33"/>
      <c r="Q4858" s="33"/>
      <c r="R4858" s="33"/>
      <c r="S4858" s="33"/>
      <c r="T4858" s="33"/>
      <c r="U4858" s="33"/>
      <c r="V4858" s="33"/>
      <c r="W4858" s="33"/>
      <c r="X4858" s="33"/>
      <c r="Y4858" s="33"/>
      <c r="Z4858" s="33"/>
      <c r="AA4858" s="33"/>
      <c r="AB4858" s="33"/>
      <c r="AC4858" s="33"/>
      <c r="AD4858" s="33"/>
      <c r="AE4858" s="33"/>
      <c r="AF4858" s="33"/>
      <c r="AG4858" s="33"/>
      <c r="AH4858" s="33"/>
      <c r="AI4858" s="33"/>
      <c r="AJ4858" s="33"/>
      <c r="AK4858" s="33"/>
    </row>
    <row r="4859">
      <c r="A4859" s="33"/>
      <c r="B4859" s="33"/>
      <c r="C4859" s="33"/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  <c r="R4859" s="33"/>
      <c r="S4859" s="33"/>
      <c r="T4859" s="33"/>
      <c r="U4859" s="33"/>
      <c r="V4859" s="33"/>
      <c r="W4859" s="33"/>
      <c r="X4859" s="33"/>
      <c r="Y4859" s="33"/>
      <c r="Z4859" s="33"/>
      <c r="AA4859" s="33"/>
      <c r="AB4859" s="33"/>
      <c r="AC4859" s="33"/>
      <c r="AD4859" s="33"/>
      <c r="AE4859" s="33"/>
      <c r="AF4859" s="33"/>
      <c r="AG4859" s="33"/>
      <c r="AH4859" s="33"/>
      <c r="AI4859" s="33"/>
      <c r="AJ4859" s="33"/>
      <c r="AK4859" s="33"/>
    </row>
    <row r="4860">
      <c r="A4860" s="33"/>
      <c r="B4860" s="33"/>
      <c r="C4860" s="33"/>
      <c r="D4860" s="33"/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3"/>
      <c r="P4860" s="33"/>
      <c r="Q4860" s="33"/>
      <c r="R4860" s="33"/>
      <c r="S4860" s="33"/>
      <c r="T4860" s="33"/>
      <c r="U4860" s="33"/>
      <c r="V4860" s="33"/>
      <c r="W4860" s="33"/>
      <c r="X4860" s="33"/>
      <c r="Y4860" s="33"/>
      <c r="Z4860" s="33"/>
      <c r="AA4860" s="33"/>
      <c r="AB4860" s="33"/>
      <c r="AC4860" s="33"/>
      <c r="AD4860" s="33"/>
      <c r="AE4860" s="33"/>
      <c r="AF4860" s="33"/>
      <c r="AG4860" s="33"/>
      <c r="AH4860" s="33"/>
      <c r="AI4860" s="33"/>
      <c r="AJ4860" s="33"/>
      <c r="AK4860" s="33"/>
    </row>
    <row r="4861">
      <c r="A4861" s="33"/>
      <c r="B4861" s="33"/>
      <c r="C4861" s="33"/>
      <c r="D4861" s="33"/>
      <c r="E4861" s="33"/>
      <c r="F4861" s="33"/>
      <c r="G4861" s="33"/>
      <c r="H4861" s="33"/>
      <c r="I4861" s="33"/>
      <c r="J4861" s="33"/>
      <c r="K4861" s="33"/>
      <c r="L4861" s="33"/>
      <c r="M4861" s="33"/>
      <c r="N4861" s="33"/>
      <c r="O4861" s="33"/>
      <c r="P4861" s="33"/>
      <c r="Q4861" s="33"/>
      <c r="R4861" s="33"/>
      <c r="S4861" s="33"/>
      <c r="T4861" s="33"/>
      <c r="U4861" s="33"/>
      <c r="V4861" s="33"/>
      <c r="W4861" s="33"/>
      <c r="X4861" s="33"/>
      <c r="Y4861" s="33"/>
      <c r="Z4861" s="33"/>
      <c r="AA4861" s="33"/>
      <c r="AB4861" s="33"/>
      <c r="AC4861" s="33"/>
      <c r="AD4861" s="33"/>
      <c r="AE4861" s="33"/>
      <c r="AF4861" s="33"/>
      <c r="AG4861" s="33"/>
      <c r="AH4861" s="33"/>
      <c r="AI4861" s="33"/>
      <c r="AJ4861" s="33"/>
      <c r="AK4861" s="33"/>
    </row>
    <row r="4862">
      <c r="A4862" s="33"/>
      <c r="B4862" s="33"/>
      <c r="C4862" s="33"/>
      <c r="D4862" s="33"/>
      <c r="E4862" s="33"/>
      <c r="F4862" s="33"/>
      <c r="G4862" s="33"/>
      <c r="H4862" s="33"/>
      <c r="I4862" s="33"/>
      <c r="J4862" s="33"/>
      <c r="K4862" s="33"/>
      <c r="L4862" s="33"/>
      <c r="M4862" s="33"/>
      <c r="N4862" s="33"/>
      <c r="O4862" s="33"/>
      <c r="P4862" s="33"/>
      <c r="Q4862" s="33"/>
      <c r="R4862" s="33"/>
      <c r="S4862" s="33"/>
      <c r="T4862" s="33"/>
      <c r="U4862" s="33"/>
      <c r="V4862" s="33"/>
      <c r="W4862" s="33"/>
      <c r="X4862" s="33"/>
      <c r="Y4862" s="33"/>
      <c r="Z4862" s="33"/>
      <c r="AA4862" s="33"/>
      <c r="AB4862" s="33"/>
      <c r="AC4862" s="33"/>
      <c r="AD4862" s="33"/>
      <c r="AE4862" s="33"/>
      <c r="AF4862" s="33"/>
      <c r="AG4862" s="33"/>
      <c r="AH4862" s="33"/>
      <c r="AI4862" s="33"/>
      <c r="AJ4862" s="33"/>
      <c r="AK4862" s="33"/>
    </row>
    <row r="4863">
      <c r="A4863" s="33"/>
      <c r="B4863" s="33"/>
      <c r="C4863" s="33"/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  <c r="Q4863" s="33"/>
      <c r="R4863" s="33"/>
      <c r="S4863" s="33"/>
      <c r="T4863" s="33"/>
      <c r="U4863" s="33"/>
      <c r="V4863" s="33"/>
      <c r="W4863" s="33"/>
      <c r="X4863" s="33"/>
      <c r="Y4863" s="33"/>
      <c r="Z4863" s="33"/>
      <c r="AA4863" s="33"/>
      <c r="AB4863" s="33"/>
      <c r="AC4863" s="33"/>
      <c r="AD4863" s="33"/>
      <c r="AE4863" s="33"/>
      <c r="AF4863" s="33"/>
      <c r="AG4863" s="33"/>
      <c r="AH4863" s="33"/>
      <c r="AI4863" s="33"/>
      <c r="AJ4863" s="33"/>
      <c r="AK4863" s="33"/>
    </row>
    <row r="4864">
      <c r="A4864" s="33"/>
      <c r="B4864" s="33"/>
      <c r="C4864" s="33"/>
      <c r="D4864" s="33"/>
      <c r="E4864" s="33"/>
      <c r="F4864" s="33"/>
      <c r="G4864" s="33"/>
      <c r="H4864" s="33"/>
      <c r="I4864" s="33"/>
      <c r="J4864" s="33"/>
      <c r="K4864" s="33"/>
      <c r="L4864" s="33"/>
      <c r="M4864" s="33"/>
      <c r="N4864" s="33"/>
      <c r="O4864" s="33"/>
      <c r="P4864" s="33"/>
      <c r="Q4864" s="33"/>
      <c r="R4864" s="33"/>
      <c r="S4864" s="33"/>
      <c r="T4864" s="33"/>
      <c r="U4864" s="33"/>
      <c r="V4864" s="33"/>
      <c r="W4864" s="33"/>
      <c r="X4864" s="33"/>
      <c r="Y4864" s="33"/>
      <c r="Z4864" s="33"/>
      <c r="AA4864" s="33"/>
      <c r="AB4864" s="33"/>
      <c r="AC4864" s="33"/>
      <c r="AD4864" s="33"/>
      <c r="AE4864" s="33"/>
      <c r="AF4864" s="33"/>
      <c r="AG4864" s="33"/>
      <c r="AH4864" s="33"/>
      <c r="AI4864" s="33"/>
      <c r="AJ4864" s="33"/>
      <c r="AK4864" s="33"/>
    </row>
    <row r="4865">
      <c r="A4865" s="33"/>
      <c r="B4865" s="33"/>
      <c r="C4865" s="33"/>
      <c r="D4865" s="33"/>
      <c r="E4865" s="33"/>
      <c r="F4865" s="33"/>
      <c r="G4865" s="33"/>
      <c r="H4865" s="33"/>
      <c r="I4865" s="33"/>
      <c r="J4865" s="33"/>
      <c r="K4865" s="33"/>
      <c r="L4865" s="33"/>
      <c r="M4865" s="33"/>
      <c r="N4865" s="33"/>
      <c r="O4865" s="33"/>
      <c r="P4865" s="33"/>
      <c r="Q4865" s="33"/>
      <c r="R4865" s="33"/>
      <c r="S4865" s="33"/>
      <c r="T4865" s="33"/>
      <c r="U4865" s="33"/>
      <c r="V4865" s="33"/>
      <c r="W4865" s="33"/>
      <c r="X4865" s="33"/>
      <c r="Y4865" s="33"/>
      <c r="Z4865" s="33"/>
      <c r="AA4865" s="33"/>
      <c r="AB4865" s="33"/>
      <c r="AC4865" s="33"/>
      <c r="AD4865" s="33"/>
      <c r="AE4865" s="33"/>
      <c r="AF4865" s="33"/>
      <c r="AG4865" s="33"/>
      <c r="AH4865" s="33"/>
      <c r="AI4865" s="33"/>
      <c r="AJ4865" s="33"/>
      <c r="AK4865" s="33"/>
    </row>
    <row r="4866">
      <c r="A4866" s="33"/>
      <c r="B4866" s="33"/>
      <c r="C4866" s="33"/>
      <c r="D4866" s="33"/>
      <c r="E4866" s="33"/>
      <c r="F4866" s="33"/>
      <c r="G4866" s="33"/>
      <c r="H4866" s="33"/>
      <c r="I4866" s="33"/>
      <c r="J4866" s="33"/>
      <c r="K4866" s="33"/>
      <c r="L4866" s="33"/>
      <c r="M4866" s="33"/>
      <c r="N4866" s="33"/>
      <c r="O4866" s="33"/>
      <c r="P4866" s="33"/>
      <c r="Q4866" s="33"/>
      <c r="R4866" s="33"/>
      <c r="S4866" s="33"/>
      <c r="T4866" s="33"/>
      <c r="U4866" s="33"/>
      <c r="V4866" s="33"/>
      <c r="W4866" s="33"/>
      <c r="X4866" s="33"/>
      <c r="Y4866" s="33"/>
      <c r="Z4866" s="33"/>
      <c r="AA4866" s="33"/>
      <c r="AB4866" s="33"/>
      <c r="AC4866" s="33"/>
      <c r="AD4866" s="33"/>
      <c r="AE4866" s="33"/>
      <c r="AF4866" s="33"/>
      <c r="AG4866" s="33"/>
      <c r="AH4866" s="33"/>
      <c r="AI4866" s="33"/>
      <c r="AJ4866" s="33"/>
      <c r="AK4866" s="33"/>
    </row>
    <row r="4867">
      <c r="A4867" s="33"/>
      <c r="B4867" s="33"/>
      <c r="C4867" s="33"/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  <c r="Q4867" s="33"/>
      <c r="R4867" s="33"/>
      <c r="S4867" s="33"/>
      <c r="T4867" s="33"/>
      <c r="U4867" s="33"/>
      <c r="V4867" s="33"/>
      <c r="W4867" s="33"/>
      <c r="X4867" s="33"/>
      <c r="Y4867" s="33"/>
      <c r="Z4867" s="33"/>
      <c r="AA4867" s="33"/>
      <c r="AB4867" s="33"/>
      <c r="AC4867" s="33"/>
      <c r="AD4867" s="33"/>
      <c r="AE4867" s="33"/>
      <c r="AF4867" s="33"/>
      <c r="AG4867" s="33"/>
      <c r="AH4867" s="33"/>
      <c r="AI4867" s="33"/>
      <c r="AJ4867" s="33"/>
      <c r="AK4867" s="33"/>
    </row>
    <row r="4868">
      <c r="A4868" s="33"/>
      <c r="B4868" s="33"/>
      <c r="C4868" s="33"/>
      <c r="D4868" s="33"/>
      <c r="E4868" s="33"/>
      <c r="F4868" s="33"/>
      <c r="G4868" s="33"/>
      <c r="H4868" s="33"/>
      <c r="I4868" s="33"/>
      <c r="J4868" s="33"/>
      <c r="K4868" s="33"/>
      <c r="L4868" s="33"/>
      <c r="M4868" s="33"/>
      <c r="N4868" s="33"/>
      <c r="O4868" s="33"/>
      <c r="P4868" s="33"/>
      <c r="Q4868" s="33"/>
      <c r="R4868" s="33"/>
      <c r="S4868" s="33"/>
      <c r="T4868" s="33"/>
      <c r="U4868" s="33"/>
      <c r="V4868" s="33"/>
      <c r="W4868" s="33"/>
      <c r="X4868" s="33"/>
      <c r="Y4868" s="33"/>
      <c r="Z4868" s="33"/>
      <c r="AA4868" s="33"/>
      <c r="AB4868" s="33"/>
      <c r="AC4868" s="33"/>
      <c r="AD4868" s="33"/>
      <c r="AE4868" s="33"/>
      <c r="AF4868" s="33"/>
      <c r="AG4868" s="33"/>
      <c r="AH4868" s="33"/>
      <c r="AI4868" s="33"/>
      <c r="AJ4868" s="33"/>
      <c r="AK4868" s="33"/>
    </row>
    <row r="4869">
      <c r="A4869" s="33"/>
      <c r="B4869" s="33"/>
      <c r="C4869" s="33"/>
      <c r="D4869" s="33"/>
      <c r="E4869" s="33"/>
      <c r="F4869" s="33"/>
      <c r="G4869" s="33"/>
      <c r="H4869" s="33"/>
      <c r="I4869" s="33"/>
      <c r="J4869" s="33"/>
      <c r="K4869" s="33"/>
      <c r="L4869" s="33"/>
      <c r="M4869" s="33"/>
      <c r="N4869" s="33"/>
      <c r="O4869" s="33"/>
      <c r="P4869" s="33"/>
      <c r="Q4869" s="33"/>
      <c r="R4869" s="33"/>
      <c r="S4869" s="33"/>
      <c r="T4869" s="33"/>
      <c r="U4869" s="33"/>
      <c r="V4869" s="33"/>
      <c r="W4869" s="33"/>
      <c r="X4869" s="33"/>
      <c r="Y4869" s="33"/>
      <c r="Z4869" s="33"/>
      <c r="AA4869" s="33"/>
      <c r="AB4869" s="33"/>
      <c r="AC4869" s="33"/>
      <c r="AD4869" s="33"/>
      <c r="AE4869" s="33"/>
      <c r="AF4869" s="33"/>
      <c r="AG4869" s="33"/>
      <c r="AH4869" s="33"/>
      <c r="AI4869" s="33"/>
      <c r="AJ4869" s="33"/>
      <c r="AK4869" s="33"/>
    </row>
    <row r="4870">
      <c r="A4870" s="33"/>
      <c r="B4870" s="33"/>
      <c r="C4870" s="33"/>
      <c r="D4870" s="33"/>
      <c r="E4870" s="33"/>
      <c r="F4870" s="33"/>
      <c r="G4870" s="33"/>
      <c r="H4870" s="33"/>
      <c r="I4870" s="33"/>
      <c r="J4870" s="33"/>
      <c r="K4870" s="33"/>
      <c r="L4870" s="33"/>
      <c r="M4870" s="33"/>
      <c r="N4870" s="33"/>
      <c r="O4870" s="33"/>
      <c r="P4870" s="33"/>
      <c r="Q4870" s="33"/>
      <c r="R4870" s="33"/>
      <c r="S4870" s="33"/>
      <c r="T4870" s="33"/>
      <c r="U4870" s="33"/>
      <c r="V4870" s="33"/>
      <c r="W4870" s="33"/>
      <c r="X4870" s="33"/>
      <c r="Y4870" s="33"/>
      <c r="Z4870" s="33"/>
      <c r="AA4870" s="33"/>
      <c r="AB4870" s="33"/>
      <c r="AC4870" s="33"/>
      <c r="AD4870" s="33"/>
      <c r="AE4870" s="33"/>
      <c r="AF4870" s="33"/>
      <c r="AG4870" s="33"/>
      <c r="AH4870" s="33"/>
      <c r="AI4870" s="33"/>
      <c r="AJ4870" s="33"/>
      <c r="AK4870" s="33"/>
    </row>
    <row r="4871">
      <c r="A4871" s="33"/>
      <c r="B4871" s="33"/>
      <c r="C4871" s="33"/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  <c r="Q4871" s="33"/>
      <c r="R4871" s="33"/>
      <c r="S4871" s="33"/>
      <c r="T4871" s="33"/>
      <c r="U4871" s="33"/>
      <c r="V4871" s="33"/>
      <c r="W4871" s="33"/>
      <c r="X4871" s="33"/>
      <c r="Y4871" s="33"/>
      <c r="Z4871" s="33"/>
      <c r="AA4871" s="33"/>
      <c r="AB4871" s="33"/>
      <c r="AC4871" s="33"/>
      <c r="AD4871" s="33"/>
      <c r="AE4871" s="33"/>
      <c r="AF4871" s="33"/>
      <c r="AG4871" s="33"/>
      <c r="AH4871" s="33"/>
      <c r="AI4871" s="33"/>
      <c r="AJ4871" s="33"/>
      <c r="AK4871" s="33"/>
    </row>
    <row r="4872">
      <c r="A4872" s="33"/>
      <c r="B4872" s="33"/>
      <c r="C4872" s="33"/>
      <c r="D4872" s="33"/>
      <c r="E4872" s="33"/>
      <c r="F4872" s="33"/>
      <c r="G4872" s="33"/>
      <c r="H4872" s="33"/>
      <c r="I4872" s="33"/>
      <c r="J4872" s="33"/>
      <c r="K4872" s="33"/>
      <c r="L4872" s="33"/>
      <c r="M4872" s="33"/>
      <c r="N4872" s="33"/>
      <c r="O4872" s="33"/>
      <c r="P4872" s="33"/>
      <c r="Q4872" s="33"/>
      <c r="R4872" s="33"/>
      <c r="S4872" s="33"/>
      <c r="T4872" s="33"/>
      <c r="U4872" s="33"/>
      <c r="V4872" s="33"/>
      <c r="W4872" s="33"/>
      <c r="X4872" s="33"/>
      <c r="Y4872" s="33"/>
      <c r="Z4872" s="33"/>
      <c r="AA4872" s="33"/>
      <c r="AB4872" s="33"/>
      <c r="AC4872" s="33"/>
      <c r="AD4872" s="33"/>
      <c r="AE4872" s="33"/>
      <c r="AF4872" s="33"/>
      <c r="AG4872" s="33"/>
      <c r="AH4872" s="33"/>
      <c r="AI4872" s="33"/>
      <c r="AJ4872" s="33"/>
      <c r="AK4872" s="33"/>
    </row>
    <row r="4873">
      <c r="A4873" s="33"/>
      <c r="B4873" s="33"/>
      <c r="C4873" s="33"/>
      <c r="D4873" s="33"/>
      <c r="E4873" s="33"/>
      <c r="F4873" s="33"/>
      <c r="G4873" s="33"/>
      <c r="H4873" s="33"/>
      <c r="I4873" s="33"/>
      <c r="J4873" s="33"/>
      <c r="K4873" s="33"/>
      <c r="L4873" s="33"/>
      <c r="M4873" s="33"/>
      <c r="N4873" s="33"/>
      <c r="O4873" s="33"/>
      <c r="P4873" s="33"/>
      <c r="Q4873" s="33"/>
      <c r="R4873" s="33"/>
      <c r="S4873" s="33"/>
      <c r="T4873" s="33"/>
      <c r="U4873" s="33"/>
      <c r="V4873" s="33"/>
      <c r="W4873" s="33"/>
      <c r="X4873" s="33"/>
      <c r="Y4873" s="33"/>
      <c r="Z4873" s="33"/>
      <c r="AA4873" s="33"/>
      <c r="AB4873" s="33"/>
      <c r="AC4873" s="33"/>
      <c r="AD4873" s="33"/>
      <c r="AE4873" s="33"/>
      <c r="AF4873" s="33"/>
      <c r="AG4873" s="33"/>
      <c r="AH4873" s="33"/>
      <c r="AI4873" s="33"/>
      <c r="AJ4873" s="33"/>
      <c r="AK4873" s="33"/>
    </row>
    <row r="4874">
      <c r="A4874" s="33"/>
      <c r="B4874" s="33"/>
      <c r="C4874" s="33"/>
      <c r="D4874" s="33"/>
      <c r="E4874" s="33"/>
      <c r="F4874" s="33"/>
      <c r="G4874" s="33"/>
      <c r="H4874" s="33"/>
      <c r="I4874" s="33"/>
      <c r="J4874" s="33"/>
      <c r="K4874" s="33"/>
      <c r="L4874" s="33"/>
      <c r="M4874" s="33"/>
      <c r="N4874" s="33"/>
      <c r="O4874" s="33"/>
      <c r="P4874" s="33"/>
      <c r="Q4874" s="33"/>
      <c r="R4874" s="33"/>
      <c r="S4874" s="33"/>
      <c r="T4874" s="33"/>
      <c r="U4874" s="33"/>
      <c r="V4874" s="33"/>
      <c r="W4874" s="33"/>
      <c r="X4874" s="33"/>
      <c r="Y4874" s="33"/>
      <c r="Z4874" s="33"/>
      <c r="AA4874" s="33"/>
      <c r="AB4874" s="33"/>
      <c r="AC4874" s="33"/>
      <c r="AD4874" s="33"/>
      <c r="AE4874" s="33"/>
      <c r="AF4874" s="33"/>
      <c r="AG4874" s="33"/>
      <c r="AH4874" s="33"/>
      <c r="AI4874" s="33"/>
      <c r="AJ4874" s="33"/>
      <c r="AK4874" s="33"/>
    </row>
    <row r="4875">
      <c r="A4875" s="33"/>
      <c r="B4875" s="33"/>
      <c r="C4875" s="33"/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  <c r="Q4875" s="33"/>
      <c r="R4875" s="33"/>
      <c r="S4875" s="33"/>
      <c r="T4875" s="33"/>
      <c r="U4875" s="33"/>
      <c r="V4875" s="33"/>
      <c r="W4875" s="33"/>
      <c r="X4875" s="33"/>
      <c r="Y4875" s="33"/>
      <c r="Z4875" s="33"/>
      <c r="AA4875" s="33"/>
      <c r="AB4875" s="33"/>
      <c r="AC4875" s="33"/>
      <c r="AD4875" s="33"/>
      <c r="AE4875" s="33"/>
      <c r="AF4875" s="33"/>
      <c r="AG4875" s="33"/>
      <c r="AH4875" s="33"/>
      <c r="AI4875" s="33"/>
      <c r="AJ4875" s="33"/>
      <c r="AK4875" s="33"/>
    </row>
    <row r="4876">
      <c r="A4876" s="33"/>
      <c r="B4876" s="33"/>
      <c r="C4876" s="33"/>
      <c r="D4876" s="33"/>
      <c r="E4876" s="33"/>
      <c r="F4876" s="33"/>
      <c r="G4876" s="33"/>
      <c r="H4876" s="33"/>
      <c r="I4876" s="33"/>
      <c r="J4876" s="33"/>
      <c r="K4876" s="33"/>
      <c r="L4876" s="33"/>
      <c r="M4876" s="33"/>
      <c r="N4876" s="33"/>
      <c r="O4876" s="33"/>
      <c r="P4876" s="33"/>
      <c r="Q4876" s="33"/>
      <c r="R4876" s="33"/>
      <c r="S4876" s="33"/>
      <c r="T4876" s="33"/>
      <c r="U4876" s="33"/>
      <c r="V4876" s="33"/>
      <c r="W4876" s="33"/>
      <c r="X4876" s="33"/>
      <c r="Y4876" s="33"/>
      <c r="Z4876" s="33"/>
      <c r="AA4876" s="33"/>
      <c r="AB4876" s="33"/>
      <c r="AC4876" s="33"/>
      <c r="AD4876" s="33"/>
      <c r="AE4876" s="33"/>
      <c r="AF4876" s="33"/>
      <c r="AG4876" s="33"/>
      <c r="AH4876" s="33"/>
      <c r="AI4876" s="33"/>
      <c r="AJ4876" s="33"/>
      <c r="AK4876" s="33"/>
    </row>
    <row r="4877">
      <c r="A4877" s="33"/>
      <c r="B4877" s="33"/>
      <c r="C4877" s="33"/>
      <c r="D4877" s="33"/>
      <c r="E4877" s="33"/>
      <c r="F4877" s="33"/>
      <c r="G4877" s="33"/>
      <c r="H4877" s="33"/>
      <c r="I4877" s="33"/>
      <c r="J4877" s="33"/>
      <c r="K4877" s="33"/>
      <c r="L4877" s="33"/>
      <c r="M4877" s="33"/>
      <c r="N4877" s="33"/>
      <c r="O4877" s="33"/>
      <c r="P4877" s="33"/>
      <c r="Q4877" s="33"/>
      <c r="R4877" s="33"/>
      <c r="S4877" s="33"/>
      <c r="T4877" s="33"/>
      <c r="U4877" s="33"/>
      <c r="V4877" s="33"/>
      <c r="W4877" s="33"/>
      <c r="X4877" s="33"/>
      <c r="Y4877" s="33"/>
      <c r="Z4877" s="33"/>
      <c r="AA4877" s="33"/>
      <c r="AB4877" s="33"/>
      <c r="AC4877" s="33"/>
      <c r="AD4877" s="33"/>
      <c r="AE4877" s="33"/>
      <c r="AF4877" s="33"/>
      <c r="AG4877" s="33"/>
      <c r="AH4877" s="33"/>
      <c r="AI4877" s="33"/>
      <c r="AJ4877" s="33"/>
      <c r="AK4877" s="33"/>
    </row>
    <row r="4878">
      <c r="A4878" s="33"/>
      <c r="B4878" s="33"/>
      <c r="C4878" s="33"/>
      <c r="D4878" s="33"/>
      <c r="E4878" s="33"/>
      <c r="F4878" s="33"/>
      <c r="G4878" s="33"/>
      <c r="H4878" s="33"/>
      <c r="I4878" s="33"/>
      <c r="J4878" s="33"/>
      <c r="K4878" s="33"/>
      <c r="L4878" s="33"/>
      <c r="M4878" s="33"/>
      <c r="N4878" s="33"/>
      <c r="O4878" s="33"/>
      <c r="P4878" s="33"/>
      <c r="Q4878" s="33"/>
      <c r="R4878" s="33"/>
      <c r="S4878" s="33"/>
      <c r="T4878" s="33"/>
      <c r="U4878" s="33"/>
      <c r="V4878" s="33"/>
      <c r="W4878" s="33"/>
      <c r="X4878" s="33"/>
      <c r="Y4878" s="33"/>
      <c r="Z4878" s="33"/>
      <c r="AA4878" s="33"/>
      <c r="AB4878" s="33"/>
      <c r="AC4878" s="33"/>
      <c r="AD4878" s="33"/>
      <c r="AE4878" s="33"/>
      <c r="AF4878" s="33"/>
      <c r="AG4878" s="33"/>
      <c r="AH4878" s="33"/>
      <c r="AI4878" s="33"/>
      <c r="AJ4878" s="33"/>
      <c r="AK4878" s="33"/>
    </row>
    <row r="4879">
      <c r="A4879" s="33"/>
      <c r="B4879" s="33"/>
      <c r="C4879" s="33"/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  <c r="Q4879" s="33"/>
      <c r="R4879" s="33"/>
      <c r="S4879" s="33"/>
      <c r="T4879" s="33"/>
      <c r="U4879" s="33"/>
      <c r="V4879" s="33"/>
      <c r="W4879" s="33"/>
      <c r="X4879" s="33"/>
      <c r="Y4879" s="33"/>
      <c r="Z4879" s="33"/>
      <c r="AA4879" s="33"/>
      <c r="AB4879" s="33"/>
      <c r="AC4879" s="33"/>
      <c r="AD4879" s="33"/>
      <c r="AE4879" s="33"/>
      <c r="AF4879" s="33"/>
      <c r="AG4879" s="33"/>
      <c r="AH4879" s="33"/>
      <c r="AI4879" s="33"/>
      <c r="AJ4879" s="33"/>
      <c r="AK4879" s="33"/>
    </row>
    <row r="4880">
      <c r="A4880" s="33"/>
      <c r="B4880" s="33"/>
      <c r="C4880" s="33"/>
      <c r="D4880" s="33"/>
      <c r="E4880" s="33"/>
      <c r="F4880" s="33"/>
      <c r="G4880" s="33"/>
      <c r="H4880" s="33"/>
      <c r="I4880" s="33"/>
      <c r="J4880" s="33"/>
      <c r="K4880" s="33"/>
      <c r="L4880" s="33"/>
      <c r="M4880" s="33"/>
      <c r="N4880" s="33"/>
      <c r="O4880" s="33"/>
      <c r="P4880" s="33"/>
      <c r="Q4880" s="33"/>
      <c r="R4880" s="33"/>
      <c r="S4880" s="33"/>
      <c r="T4880" s="33"/>
      <c r="U4880" s="33"/>
      <c r="V4880" s="33"/>
      <c r="W4880" s="33"/>
      <c r="X4880" s="33"/>
      <c r="Y4880" s="33"/>
      <c r="Z4880" s="33"/>
      <c r="AA4880" s="33"/>
      <c r="AB4880" s="33"/>
      <c r="AC4880" s="33"/>
      <c r="AD4880" s="33"/>
      <c r="AE4880" s="33"/>
      <c r="AF4880" s="33"/>
      <c r="AG4880" s="33"/>
      <c r="AH4880" s="33"/>
      <c r="AI4880" s="33"/>
      <c r="AJ4880" s="33"/>
      <c r="AK4880" s="33"/>
    </row>
    <row r="4881">
      <c r="A4881" s="33"/>
      <c r="B4881" s="33"/>
      <c r="C4881" s="33"/>
      <c r="D4881" s="33"/>
      <c r="E4881" s="33"/>
      <c r="F4881" s="33"/>
      <c r="G4881" s="33"/>
      <c r="H4881" s="33"/>
      <c r="I4881" s="33"/>
      <c r="J4881" s="33"/>
      <c r="K4881" s="33"/>
      <c r="L4881" s="33"/>
      <c r="M4881" s="33"/>
      <c r="N4881" s="33"/>
      <c r="O4881" s="33"/>
      <c r="P4881" s="33"/>
      <c r="Q4881" s="33"/>
      <c r="R4881" s="33"/>
      <c r="S4881" s="33"/>
      <c r="T4881" s="33"/>
      <c r="U4881" s="33"/>
      <c r="V4881" s="33"/>
      <c r="W4881" s="33"/>
      <c r="X4881" s="33"/>
      <c r="Y4881" s="33"/>
      <c r="Z4881" s="33"/>
      <c r="AA4881" s="33"/>
      <c r="AB4881" s="33"/>
      <c r="AC4881" s="33"/>
      <c r="AD4881" s="33"/>
      <c r="AE4881" s="33"/>
      <c r="AF4881" s="33"/>
      <c r="AG4881" s="33"/>
      <c r="AH4881" s="33"/>
      <c r="AI4881" s="33"/>
      <c r="AJ4881" s="33"/>
      <c r="AK4881" s="33"/>
    </row>
    <row r="4882">
      <c r="A4882" s="33"/>
      <c r="B4882" s="33"/>
      <c r="C4882" s="33"/>
      <c r="D4882" s="33"/>
      <c r="E4882" s="33"/>
      <c r="F4882" s="33"/>
      <c r="G4882" s="33"/>
      <c r="H4882" s="33"/>
      <c r="I4882" s="33"/>
      <c r="J4882" s="33"/>
      <c r="K4882" s="33"/>
      <c r="L4882" s="33"/>
      <c r="M4882" s="33"/>
      <c r="N4882" s="33"/>
      <c r="O4882" s="33"/>
      <c r="P4882" s="33"/>
      <c r="Q4882" s="33"/>
      <c r="R4882" s="33"/>
      <c r="S4882" s="33"/>
      <c r="T4882" s="33"/>
      <c r="U4882" s="33"/>
      <c r="V4882" s="33"/>
      <c r="W4882" s="33"/>
      <c r="X4882" s="33"/>
      <c r="Y4882" s="33"/>
      <c r="Z4882" s="33"/>
      <c r="AA4882" s="33"/>
      <c r="AB4882" s="33"/>
      <c r="AC4882" s="33"/>
      <c r="AD4882" s="33"/>
      <c r="AE4882" s="33"/>
      <c r="AF4882" s="33"/>
      <c r="AG4882" s="33"/>
      <c r="AH4882" s="33"/>
      <c r="AI4882" s="33"/>
      <c r="AJ4882" s="33"/>
      <c r="AK4882" s="33"/>
    </row>
    <row r="4883">
      <c r="A4883" s="33"/>
      <c r="B4883" s="33"/>
      <c r="C4883" s="33"/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  <c r="Q4883" s="33"/>
      <c r="R4883" s="33"/>
      <c r="S4883" s="33"/>
      <c r="T4883" s="33"/>
      <c r="U4883" s="33"/>
      <c r="V4883" s="33"/>
      <c r="W4883" s="33"/>
      <c r="X4883" s="33"/>
      <c r="Y4883" s="33"/>
      <c r="Z4883" s="33"/>
      <c r="AA4883" s="33"/>
      <c r="AB4883" s="33"/>
      <c r="AC4883" s="33"/>
      <c r="AD4883" s="33"/>
      <c r="AE4883" s="33"/>
      <c r="AF4883" s="33"/>
      <c r="AG4883" s="33"/>
      <c r="AH4883" s="33"/>
      <c r="AI4883" s="33"/>
      <c r="AJ4883" s="33"/>
      <c r="AK4883" s="33"/>
    </row>
    <row r="4884">
      <c r="A4884" s="33"/>
      <c r="B4884" s="33"/>
      <c r="C4884" s="33"/>
      <c r="D4884" s="33"/>
      <c r="E4884" s="33"/>
      <c r="F4884" s="33"/>
      <c r="G4884" s="33"/>
      <c r="H4884" s="33"/>
      <c r="I4884" s="33"/>
      <c r="J4884" s="33"/>
      <c r="K4884" s="33"/>
      <c r="L4884" s="33"/>
      <c r="M4884" s="33"/>
      <c r="N4884" s="33"/>
      <c r="O4884" s="33"/>
      <c r="P4884" s="33"/>
      <c r="Q4884" s="33"/>
      <c r="R4884" s="33"/>
      <c r="S4884" s="33"/>
      <c r="T4884" s="33"/>
      <c r="U4884" s="33"/>
      <c r="V4884" s="33"/>
      <c r="W4884" s="33"/>
      <c r="X4884" s="33"/>
      <c r="Y4884" s="33"/>
      <c r="Z4884" s="33"/>
      <c r="AA4884" s="33"/>
      <c r="AB4884" s="33"/>
      <c r="AC4884" s="33"/>
      <c r="AD4884" s="33"/>
      <c r="AE4884" s="33"/>
      <c r="AF4884" s="33"/>
      <c r="AG4884" s="33"/>
      <c r="AH4884" s="33"/>
      <c r="AI4884" s="33"/>
      <c r="AJ4884" s="33"/>
      <c r="AK4884" s="33"/>
    </row>
    <row r="4885">
      <c r="A4885" s="33"/>
      <c r="B4885" s="33"/>
      <c r="C4885" s="33"/>
      <c r="D4885" s="33"/>
      <c r="E4885" s="33"/>
      <c r="F4885" s="33"/>
      <c r="G4885" s="33"/>
      <c r="H4885" s="33"/>
      <c r="I4885" s="33"/>
      <c r="J4885" s="33"/>
      <c r="K4885" s="33"/>
      <c r="L4885" s="33"/>
      <c r="M4885" s="33"/>
      <c r="N4885" s="33"/>
      <c r="O4885" s="33"/>
      <c r="P4885" s="33"/>
      <c r="Q4885" s="33"/>
      <c r="R4885" s="33"/>
      <c r="S4885" s="33"/>
      <c r="T4885" s="33"/>
      <c r="U4885" s="33"/>
      <c r="V4885" s="33"/>
      <c r="W4885" s="33"/>
      <c r="X4885" s="33"/>
      <c r="Y4885" s="33"/>
      <c r="Z4885" s="33"/>
      <c r="AA4885" s="33"/>
      <c r="AB4885" s="33"/>
      <c r="AC4885" s="33"/>
      <c r="AD4885" s="33"/>
      <c r="AE4885" s="33"/>
      <c r="AF4885" s="33"/>
      <c r="AG4885" s="33"/>
      <c r="AH4885" s="33"/>
      <c r="AI4885" s="33"/>
      <c r="AJ4885" s="33"/>
      <c r="AK4885" s="33"/>
    </row>
    <row r="4886">
      <c r="A4886" s="33"/>
      <c r="B4886" s="33"/>
      <c r="C4886" s="33"/>
      <c r="D4886" s="33"/>
      <c r="E4886" s="33"/>
      <c r="F4886" s="33"/>
      <c r="G4886" s="33"/>
      <c r="H4886" s="33"/>
      <c r="I4886" s="33"/>
      <c r="J4886" s="33"/>
      <c r="K4886" s="33"/>
      <c r="L4886" s="33"/>
      <c r="M4886" s="33"/>
      <c r="N4886" s="33"/>
      <c r="O4886" s="33"/>
      <c r="P4886" s="33"/>
      <c r="Q4886" s="33"/>
      <c r="R4886" s="33"/>
      <c r="S4886" s="33"/>
      <c r="T4886" s="33"/>
      <c r="U4886" s="33"/>
      <c r="V4886" s="33"/>
      <c r="W4886" s="33"/>
      <c r="X4886" s="33"/>
      <c r="Y4886" s="33"/>
      <c r="Z4886" s="33"/>
      <c r="AA4886" s="33"/>
      <c r="AB4886" s="33"/>
      <c r="AC4886" s="33"/>
      <c r="AD4886" s="33"/>
      <c r="AE4886" s="33"/>
      <c r="AF4886" s="33"/>
      <c r="AG4886" s="33"/>
      <c r="AH4886" s="33"/>
      <c r="AI4886" s="33"/>
      <c r="AJ4886" s="33"/>
      <c r="AK4886" s="33"/>
    </row>
    <row r="4887">
      <c r="A4887" s="33"/>
      <c r="B4887" s="33"/>
      <c r="C4887" s="33"/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  <c r="Q4887" s="33"/>
      <c r="R4887" s="33"/>
      <c r="S4887" s="33"/>
      <c r="T4887" s="33"/>
      <c r="U4887" s="33"/>
      <c r="V4887" s="33"/>
      <c r="W4887" s="33"/>
      <c r="X4887" s="33"/>
      <c r="Y4887" s="33"/>
      <c r="Z4887" s="33"/>
      <c r="AA4887" s="33"/>
      <c r="AB4887" s="33"/>
      <c r="AC4887" s="33"/>
      <c r="AD4887" s="33"/>
      <c r="AE4887" s="33"/>
      <c r="AF4887" s="33"/>
      <c r="AG4887" s="33"/>
      <c r="AH4887" s="33"/>
      <c r="AI4887" s="33"/>
      <c r="AJ4887" s="33"/>
      <c r="AK4887" s="33"/>
    </row>
    <row r="4888">
      <c r="A4888" s="33"/>
      <c r="B4888" s="33"/>
      <c r="C4888" s="33"/>
      <c r="D4888" s="33"/>
      <c r="E4888" s="33"/>
      <c r="F4888" s="33"/>
      <c r="G4888" s="33"/>
      <c r="H4888" s="33"/>
      <c r="I4888" s="33"/>
      <c r="J4888" s="33"/>
      <c r="K4888" s="33"/>
      <c r="L4888" s="33"/>
      <c r="M4888" s="33"/>
      <c r="N4888" s="33"/>
      <c r="O4888" s="33"/>
      <c r="P4888" s="33"/>
      <c r="Q4888" s="33"/>
      <c r="R4888" s="33"/>
      <c r="S4888" s="33"/>
      <c r="T4888" s="33"/>
      <c r="U4888" s="33"/>
      <c r="V4888" s="33"/>
      <c r="W4888" s="33"/>
      <c r="X4888" s="33"/>
      <c r="Y4888" s="33"/>
      <c r="Z4888" s="33"/>
      <c r="AA4888" s="33"/>
      <c r="AB4888" s="33"/>
      <c r="AC4888" s="33"/>
      <c r="AD4888" s="33"/>
      <c r="AE4888" s="33"/>
      <c r="AF4888" s="33"/>
      <c r="AG4888" s="33"/>
      <c r="AH4888" s="33"/>
      <c r="AI4888" s="33"/>
      <c r="AJ4888" s="33"/>
      <c r="AK4888" s="33"/>
    </row>
    <row r="4889">
      <c r="A4889" s="33"/>
      <c r="B4889" s="33"/>
      <c r="C4889" s="33"/>
      <c r="D4889" s="33"/>
      <c r="E4889" s="33"/>
      <c r="F4889" s="33"/>
      <c r="G4889" s="33"/>
      <c r="H4889" s="33"/>
      <c r="I4889" s="33"/>
      <c r="J4889" s="33"/>
      <c r="K4889" s="33"/>
      <c r="L4889" s="33"/>
      <c r="M4889" s="33"/>
      <c r="N4889" s="33"/>
      <c r="O4889" s="33"/>
      <c r="P4889" s="33"/>
      <c r="Q4889" s="33"/>
      <c r="R4889" s="33"/>
      <c r="S4889" s="33"/>
      <c r="T4889" s="33"/>
      <c r="U4889" s="33"/>
      <c r="V4889" s="33"/>
      <c r="W4889" s="33"/>
      <c r="X4889" s="33"/>
      <c r="Y4889" s="33"/>
      <c r="Z4889" s="33"/>
      <c r="AA4889" s="33"/>
      <c r="AB4889" s="33"/>
      <c r="AC4889" s="33"/>
      <c r="AD4889" s="33"/>
      <c r="AE4889" s="33"/>
      <c r="AF4889" s="33"/>
      <c r="AG4889" s="33"/>
      <c r="AH4889" s="33"/>
      <c r="AI4889" s="33"/>
      <c r="AJ4889" s="33"/>
      <c r="AK4889" s="33"/>
    </row>
    <row r="4890">
      <c r="A4890" s="33"/>
      <c r="B4890" s="33"/>
      <c r="C4890" s="33"/>
      <c r="D4890" s="33"/>
      <c r="E4890" s="33"/>
      <c r="F4890" s="33"/>
      <c r="G4890" s="33"/>
      <c r="H4890" s="33"/>
      <c r="I4890" s="33"/>
      <c r="J4890" s="33"/>
      <c r="K4890" s="33"/>
      <c r="L4890" s="33"/>
      <c r="M4890" s="33"/>
      <c r="N4890" s="33"/>
      <c r="O4890" s="33"/>
      <c r="P4890" s="33"/>
      <c r="Q4890" s="33"/>
      <c r="R4890" s="33"/>
      <c r="S4890" s="33"/>
      <c r="T4890" s="33"/>
      <c r="U4890" s="33"/>
      <c r="V4890" s="33"/>
      <c r="W4890" s="33"/>
      <c r="X4890" s="33"/>
      <c r="Y4890" s="33"/>
      <c r="Z4890" s="33"/>
      <c r="AA4890" s="33"/>
      <c r="AB4890" s="33"/>
      <c r="AC4890" s="33"/>
      <c r="AD4890" s="33"/>
      <c r="AE4890" s="33"/>
      <c r="AF4890" s="33"/>
      <c r="AG4890" s="33"/>
      <c r="AH4890" s="33"/>
      <c r="AI4890" s="33"/>
      <c r="AJ4890" s="33"/>
      <c r="AK4890" s="33"/>
    </row>
    <row r="4891">
      <c r="A4891" s="33"/>
      <c r="B4891" s="33"/>
      <c r="C4891" s="33"/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  <c r="Q4891" s="33"/>
      <c r="R4891" s="33"/>
      <c r="S4891" s="33"/>
      <c r="T4891" s="33"/>
      <c r="U4891" s="33"/>
      <c r="V4891" s="33"/>
      <c r="W4891" s="33"/>
      <c r="X4891" s="33"/>
      <c r="Y4891" s="33"/>
      <c r="Z4891" s="33"/>
      <c r="AA4891" s="33"/>
      <c r="AB4891" s="33"/>
      <c r="AC4891" s="33"/>
      <c r="AD4891" s="33"/>
      <c r="AE4891" s="33"/>
      <c r="AF4891" s="33"/>
      <c r="AG4891" s="33"/>
      <c r="AH4891" s="33"/>
      <c r="AI4891" s="33"/>
      <c r="AJ4891" s="33"/>
      <c r="AK4891" s="33"/>
    </row>
    <row r="4892">
      <c r="A4892" s="33"/>
      <c r="B4892" s="33"/>
      <c r="C4892" s="33"/>
      <c r="D4892" s="33"/>
      <c r="E4892" s="33"/>
      <c r="F4892" s="33"/>
      <c r="G4892" s="33"/>
      <c r="H4892" s="33"/>
      <c r="I4892" s="33"/>
      <c r="J4892" s="33"/>
      <c r="K4892" s="33"/>
      <c r="L4892" s="33"/>
      <c r="M4892" s="33"/>
      <c r="N4892" s="33"/>
      <c r="O4892" s="33"/>
      <c r="P4892" s="33"/>
      <c r="Q4892" s="33"/>
      <c r="R4892" s="33"/>
      <c r="S4892" s="33"/>
      <c r="T4892" s="33"/>
      <c r="U4892" s="33"/>
      <c r="V4892" s="33"/>
      <c r="W4892" s="33"/>
      <c r="X4892" s="33"/>
      <c r="Y4892" s="33"/>
      <c r="Z4892" s="33"/>
      <c r="AA4892" s="33"/>
      <c r="AB4892" s="33"/>
      <c r="AC4892" s="33"/>
      <c r="AD4892" s="33"/>
      <c r="AE4892" s="33"/>
      <c r="AF4892" s="33"/>
      <c r="AG4892" s="33"/>
      <c r="AH4892" s="33"/>
      <c r="AI4892" s="33"/>
      <c r="AJ4892" s="33"/>
      <c r="AK4892" s="33"/>
    </row>
    <row r="4893">
      <c r="A4893" s="33"/>
      <c r="B4893" s="33"/>
      <c r="C4893" s="33"/>
      <c r="D4893" s="33"/>
      <c r="E4893" s="33"/>
      <c r="F4893" s="33"/>
      <c r="G4893" s="33"/>
      <c r="H4893" s="33"/>
      <c r="I4893" s="33"/>
      <c r="J4893" s="33"/>
      <c r="K4893" s="33"/>
      <c r="L4893" s="33"/>
      <c r="M4893" s="33"/>
      <c r="N4893" s="33"/>
      <c r="O4893" s="33"/>
      <c r="P4893" s="33"/>
      <c r="Q4893" s="33"/>
      <c r="R4893" s="33"/>
      <c r="S4893" s="33"/>
      <c r="T4893" s="33"/>
      <c r="U4893" s="33"/>
      <c r="V4893" s="33"/>
      <c r="W4893" s="33"/>
      <c r="X4893" s="33"/>
      <c r="Y4893" s="33"/>
      <c r="Z4893" s="33"/>
      <c r="AA4893" s="33"/>
      <c r="AB4893" s="33"/>
      <c r="AC4893" s="33"/>
      <c r="AD4893" s="33"/>
      <c r="AE4893" s="33"/>
      <c r="AF4893" s="33"/>
      <c r="AG4893" s="33"/>
      <c r="AH4893" s="33"/>
      <c r="AI4893" s="33"/>
      <c r="AJ4893" s="33"/>
      <c r="AK4893" s="33"/>
    </row>
    <row r="4894">
      <c r="A4894" s="33"/>
      <c r="B4894" s="33"/>
      <c r="C4894" s="33"/>
      <c r="D4894" s="33"/>
      <c r="E4894" s="33"/>
      <c r="F4894" s="33"/>
      <c r="G4894" s="33"/>
      <c r="H4894" s="33"/>
      <c r="I4894" s="33"/>
      <c r="J4894" s="33"/>
      <c r="K4894" s="33"/>
      <c r="L4894" s="33"/>
      <c r="M4894" s="33"/>
      <c r="N4894" s="33"/>
      <c r="O4894" s="33"/>
      <c r="P4894" s="33"/>
      <c r="Q4894" s="33"/>
      <c r="R4894" s="33"/>
      <c r="S4894" s="33"/>
      <c r="T4894" s="33"/>
      <c r="U4894" s="33"/>
      <c r="V4894" s="33"/>
      <c r="W4894" s="33"/>
      <c r="X4894" s="33"/>
      <c r="Y4894" s="33"/>
      <c r="Z4894" s="33"/>
      <c r="AA4894" s="33"/>
      <c r="AB4894" s="33"/>
      <c r="AC4894" s="33"/>
      <c r="AD4894" s="33"/>
      <c r="AE4894" s="33"/>
      <c r="AF4894" s="33"/>
      <c r="AG4894" s="33"/>
      <c r="AH4894" s="33"/>
      <c r="AI4894" s="33"/>
      <c r="AJ4894" s="33"/>
      <c r="AK4894" s="33"/>
    </row>
    <row r="4895">
      <c r="A4895" s="33"/>
      <c r="B4895" s="33"/>
      <c r="C4895" s="33"/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  <c r="R4895" s="33"/>
      <c r="S4895" s="33"/>
      <c r="T4895" s="33"/>
      <c r="U4895" s="33"/>
      <c r="V4895" s="33"/>
      <c r="W4895" s="33"/>
      <c r="X4895" s="33"/>
      <c r="Y4895" s="33"/>
      <c r="Z4895" s="33"/>
      <c r="AA4895" s="33"/>
      <c r="AB4895" s="33"/>
      <c r="AC4895" s="33"/>
      <c r="AD4895" s="33"/>
      <c r="AE4895" s="33"/>
      <c r="AF4895" s="33"/>
      <c r="AG4895" s="33"/>
      <c r="AH4895" s="33"/>
      <c r="AI4895" s="33"/>
      <c r="AJ4895" s="33"/>
      <c r="AK4895" s="33"/>
    </row>
    <row r="4896">
      <c r="A4896" s="33"/>
      <c r="B4896" s="33"/>
      <c r="C4896" s="33"/>
      <c r="D4896" s="33"/>
      <c r="E4896" s="33"/>
      <c r="F4896" s="33"/>
      <c r="G4896" s="33"/>
      <c r="H4896" s="33"/>
      <c r="I4896" s="33"/>
      <c r="J4896" s="33"/>
      <c r="K4896" s="33"/>
      <c r="L4896" s="33"/>
      <c r="M4896" s="33"/>
      <c r="N4896" s="33"/>
      <c r="O4896" s="33"/>
      <c r="P4896" s="33"/>
      <c r="Q4896" s="33"/>
      <c r="R4896" s="33"/>
      <c r="S4896" s="33"/>
      <c r="T4896" s="33"/>
      <c r="U4896" s="33"/>
      <c r="V4896" s="33"/>
      <c r="W4896" s="33"/>
      <c r="X4896" s="33"/>
      <c r="Y4896" s="33"/>
      <c r="Z4896" s="33"/>
      <c r="AA4896" s="33"/>
      <c r="AB4896" s="33"/>
      <c r="AC4896" s="33"/>
      <c r="AD4896" s="33"/>
      <c r="AE4896" s="33"/>
      <c r="AF4896" s="33"/>
      <c r="AG4896" s="33"/>
      <c r="AH4896" s="33"/>
      <c r="AI4896" s="33"/>
      <c r="AJ4896" s="33"/>
      <c r="AK4896" s="33"/>
    </row>
    <row r="4897">
      <c r="A4897" s="33"/>
      <c r="B4897" s="33"/>
      <c r="C4897" s="33"/>
      <c r="D4897" s="33"/>
      <c r="E4897" s="33"/>
      <c r="F4897" s="33"/>
      <c r="G4897" s="33"/>
      <c r="H4897" s="33"/>
      <c r="I4897" s="33"/>
      <c r="J4897" s="33"/>
      <c r="K4897" s="33"/>
      <c r="L4897" s="33"/>
      <c r="M4897" s="33"/>
      <c r="N4897" s="33"/>
      <c r="O4897" s="33"/>
      <c r="P4897" s="33"/>
      <c r="Q4897" s="33"/>
      <c r="R4897" s="33"/>
      <c r="S4897" s="33"/>
      <c r="T4897" s="33"/>
      <c r="U4897" s="33"/>
      <c r="V4897" s="33"/>
      <c r="W4897" s="33"/>
      <c r="X4897" s="33"/>
      <c r="Y4897" s="33"/>
      <c r="Z4897" s="33"/>
      <c r="AA4897" s="33"/>
      <c r="AB4897" s="33"/>
      <c r="AC4897" s="33"/>
      <c r="AD4897" s="33"/>
      <c r="AE4897" s="33"/>
      <c r="AF4897" s="33"/>
      <c r="AG4897" s="33"/>
      <c r="AH4897" s="33"/>
      <c r="AI4897" s="33"/>
      <c r="AJ4897" s="33"/>
      <c r="AK4897" s="33"/>
    </row>
    <row r="4898">
      <c r="A4898" s="33"/>
      <c r="B4898" s="33"/>
      <c r="C4898" s="33"/>
      <c r="D4898" s="33"/>
      <c r="E4898" s="33"/>
      <c r="F4898" s="33"/>
      <c r="G4898" s="33"/>
      <c r="H4898" s="33"/>
      <c r="I4898" s="33"/>
      <c r="J4898" s="33"/>
      <c r="K4898" s="33"/>
      <c r="L4898" s="33"/>
      <c r="M4898" s="33"/>
      <c r="N4898" s="33"/>
      <c r="O4898" s="33"/>
      <c r="P4898" s="33"/>
      <c r="Q4898" s="33"/>
      <c r="R4898" s="33"/>
      <c r="S4898" s="33"/>
      <c r="T4898" s="33"/>
      <c r="U4898" s="33"/>
      <c r="V4898" s="33"/>
      <c r="W4898" s="33"/>
      <c r="X4898" s="33"/>
      <c r="Y4898" s="33"/>
      <c r="Z4898" s="33"/>
      <c r="AA4898" s="33"/>
      <c r="AB4898" s="33"/>
      <c r="AC4898" s="33"/>
      <c r="AD4898" s="33"/>
      <c r="AE4898" s="33"/>
      <c r="AF4898" s="33"/>
      <c r="AG4898" s="33"/>
      <c r="AH4898" s="33"/>
      <c r="AI4898" s="33"/>
      <c r="AJ4898" s="33"/>
      <c r="AK4898" s="33"/>
    </row>
    <row r="4899">
      <c r="A4899" s="33"/>
      <c r="B4899" s="33"/>
      <c r="C4899" s="33"/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  <c r="Q4899" s="33"/>
      <c r="R4899" s="33"/>
      <c r="S4899" s="33"/>
      <c r="T4899" s="33"/>
      <c r="U4899" s="33"/>
      <c r="V4899" s="33"/>
      <c r="W4899" s="33"/>
      <c r="X4899" s="33"/>
      <c r="Y4899" s="33"/>
      <c r="Z4899" s="33"/>
      <c r="AA4899" s="33"/>
      <c r="AB4899" s="33"/>
      <c r="AC4899" s="33"/>
      <c r="AD4899" s="33"/>
      <c r="AE4899" s="33"/>
      <c r="AF4899" s="33"/>
      <c r="AG4899" s="33"/>
      <c r="AH4899" s="33"/>
      <c r="AI4899" s="33"/>
      <c r="AJ4899" s="33"/>
      <c r="AK4899" s="33"/>
    </row>
    <row r="4900">
      <c r="A4900" s="33"/>
      <c r="B4900" s="33"/>
      <c r="C4900" s="33"/>
      <c r="D4900" s="33"/>
      <c r="E4900" s="33"/>
      <c r="F4900" s="33"/>
      <c r="G4900" s="33"/>
      <c r="H4900" s="33"/>
      <c r="I4900" s="33"/>
      <c r="J4900" s="33"/>
      <c r="K4900" s="33"/>
      <c r="L4900" s="33"/>
      <c r="M4900" s="33"/>
      <c r="N4900" s="33"/>
      <c r="O4900" s="33"/>
      <c r="P4900" s="33"/>
      <c r="Q4900" s="33"/>
      <c r="R4900" s="33"/>
      <c r="S4900" s="33"/>
      <c r="T4900" s="33"/>
      <c r="U4900" s="33"/>
      <c r="V4900" s="33"/>
      <c r="W4900" s="33"/>
      <c r="X4900" s="33"/>
      <c r="Y4900" s="33"/>
      <c r="Z4900" s="33"/>
      <c r="AA4900" s="33"/>
      <c r="AB4900" s="33"/>
      <c r="AC4900" s="33"/>
      <c r="AD4900" s="33"/>
      <c r="AE4900" s="33"/>
      <c r="AF4900" s="33"/>
      <c r="AG4900" s="33"/>
      <c r="AH4900" s="33"/>
      <c r="AI4900" s="33"/>
      <c r="AJ4900" s="33"/>
      <c r="AK4900" s="33"/>
    </row>
    <row r="4901">
      <c r="A4901" s="33"/>
      <c r="B4901" s="33"/>
      <c r="C4901" s="33"/>
      <c r="D4901" s="33"/>
      <c r="E4901" s="33"/>
      <c r="F4901" s="33"/>
      <c r="G4901" s="33"/>
      <c r="H4901" s="33"/>
      <c r="I4901" s="33"/>
      <c r="J4901" s="33"/>
      <c r="K4901" s="33"/>
      <c r="L4901" s="33"/>
      <c r="M4901" s="33"/>
      <c r="N4901" s="33"/>
      <c r="O4901" s="33"/>
      <c r="P4901" s="33"/>
      <c r="Q4901" s="33"/>
      <c r="R4901" s="33"/>
      <c r="S4901" s="33"/>
      <c r="T4901" s="33"/>
      <c r="U4901" s="33"/>
      <c r="V4901" s="33"/>
      <c r="W4901" s="33"/>
      <c r="X4901" s="33"/>
      <c r="Y4901" s="33"/>
      <c r="Z4901" s="33"/>
      <c r="AA4901" s="33"/>
      <c r="AB4901" s="33"/>
      <c r="AC4901" s="33"/>
      <c r="AD4901" s="33"/>
      <c r="AE4901" s="33"/>
      <c r="AF4901" s="33"/>
      <c r="AG4901" s="33"/>
      <c r="AH4901" s="33"/>
      <c r="AI4901" s="33"/>
      <c r="AJ4901" s="33"/>
      <c r="AK4901" s="33"/>
    </row>
    <row r="4902">
      <c r="A4902" s="33"/>
      <c r="B4902" s="33"/>
      <c r="C4902" s="33"/>
      <c r="D4902" s="33"/>
      <c r="E4902" s="33"/>
      <c r="F4902" s="33"/>
      <c r="G4902" s="33"/>
      <c r="H4902" s="33"/>
      <c r="I4902" s="33"/>
      <c r="J4902" s="33"/>
      <c r="K4902" s="33"/>
      <c r="L4902" s="33"/>
      <c r="M4902" s="33"/>
      <c r="N4902" s="33"/>
      <c r="O4902" s="33"/>
      <c r="P4902" s="33"/>
      <c r="Q4902" s="33"/>
      <c r="R4902" s="33"/>
      <c r="S4902" s="33"/>
      <c r="T4902" s="33"/>
      <c r="U4902" s="33"/>
      <c r="V4902" s="33"/>
      <c r="W4902" s="33"/>
      <c r="X4902" s="33"/>
      <c r="Y4902" s="33"/>
      <c r="Z4902" s="33"/>
      <c r="AA4902" s="33"/>
      <c r="AB4902" s="33"/>
      <c r="AC4902" s="33"/>
      <c r="AD4902" s="33"/>
      <c r="AE4902" s="33"/>
      <c r="AF4902" s="33"/>
      <c r="AG4902" s="33"/>
      <c r="AH4902" s="33"/>
      <c r="AI4902" s="33"/>
      <c r="AJ4902" s="33"/>
      <c r="AK4902" s="33"/>
    </row>
    <row r="4903">
      <c r="A4903" s="33"/>
      <c r="B4903" s="33"/>
      <c r="C4903" s="33"/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  <c r="Q4903" s="33"/>
      <c r="R4903" s="33"/>
      <c r="S4903" s="33"/>
      <c r="T4903" s="33"/>
      <c r="U4903" s="33"/>
      <c r="V4903" s="33"/>
      <c r="W4903" s="33"/>
      <c r="X4903" s="33"/>
      <c r="Y4903" s="33"/>
      <c r="Z4903" s="33"/>
      <c r="AA4903" s="33"/>
      <c r="AB4903" s="33"/>
      <c r="AC4903" s="33"/>
      <c r="AD4903" s="33"/>
      <c r="AE4903" s="33"/>
      <c r="AF4903" s="33"/>
      <c r="AG4903" s="33"/>
      <c r="AH4903" s="33"/>
      <c r="AI4903" s="33"/>
      <c r="AJ4903" s="33"/>
      <c r="AK4903" s="33"/>
    </row>
    <row r="4904">
      <c r="A4904" s="33"/>
      <c r="B4904" s="33"/>
      <c r="C4904" s="33"/>
      <c r="D4904" s="33"/>
      <c r="E4904" s="33"/>
      <c r="F4904" s="33"/>
      <c r="G4904" s="33"/>
      <c r="H4904" s="33"/>
      <c r="I4904" s="33"/>
      <c r="J4904" s="33"/>
      <c r="K4904" s="33"/>
      <c r="L4904" s="33"/>
      <c r="M4904" s="33"/>
      <c r="N4904" s="33"/>
      <c r="O4904" s="33"/>
      <c r="P4904" s="33"/>
      <c r="Q4904" s="33"/>
      <c r="R4904" s="33"/>
      <c r="S4904" s="33"/>
      <c r="T4904" s="33"/>
      <c r="U4904" s="33"/>
      <c r="V4904" s="33"/>
      <c r="W4904" s="33"/>
      <c r="X4904" s="33"/>
      <c r="Y4904" s="33"/>
      <c r="Z4904" s="33"/>
      <c r="AA4904" s="33"/>
      <c r="AB4904" s="33"/>
      <c r="AC4904" s="33"/>
      <c r="AD4904" s="33"/>
      <c r="AE4904" s="33"/>
      <c r="AF4904" s="33"/>
      <c r="AG4904" s="33"/>
      <c r="AH4904" s="33"/>
      <c r="AI4904" s="33"/>
      <c r="AJ4904" s="33"/>
      <c r="AK4904" s="33"/>
    </row>
    <row r="4905">
      <c r="A4905" s="33"/>
      <c r="B4905" s="33"/>
      <c r="C4905" s="33"/>
      <c r="D4905" s="33"/>
      <c r="E4905" s="33"/>
      <c r="F4905" s="33"/>
      <c r="G4905" s="33"/>
      <c r="H4905" s="33"/>
      <c r="I4905" s="33"/>
      <c r="J4905" s="33"/>
      <c r="K4905" s="33"/>
      <c r="L4905" s="33"/>
      <c r="M4905" s="33"/>
      <c r="N4905" s="33"/>
      <c r="O4905" s="33"/>
      <c r="P4905" s="33"/>
      <c r="Q4905" s="33"/>
      <c r="R4905" s="33"/>
      <c r="S4905" s="33"/>
      <c r="T4905" s="33"/>
      <c r="U4905" s="33"/>
      <c r="V4905" s="33"/>
      <c r="W4905" s="33"/>
      <c r="X4905" s="33"/>
      <c r="Y4905" s="33"/>
      <c r="Z4905" s="33"/>
      <c r="AA4905" s="33"/>
      <c r="AB4905" s="33"/>
      <c r="AC4905" s="33"/>
      <c r="AD4905" s="33"/>
      <c r="AE4905" s="33"/>
      <c r="AF4905" s="33"/>
      <c r="AG4905" s="33"/>
      <c r="AH4905" s="33"/>
      <c r="AI4905" s="33"/>
      <c r="AJ4905" s="33"/>
      <c r="AK4905" s="33"/>
    </row>
    <row r="4906">
      <c r="A4906" s="33"/>
      <c r="B4906" s="33"/>
      <c r="C4906" s="33"/>
      <c r="D4906" s="33"/>
      <c r="E4906" s="33"/>
      <c r="F4906" s="33"/>
      <c r="G4906" s="33"/>
      <c r="H4906" s="33"/>
      <c r="I4906" s="33"/>
      <c r="J4906" s="33"/>
      <c r="K4906" s="33"/>
      <c r="L4906" s="33"/>
      <c r="M4906" s="33"/>
      <c r="N4906" s="33"/>
      <c r="O4906" s="33"/>
      <c r="P4906" s="33"/>
      <c r="Q4906" s="33"/>
      <c r="R4906" s="33"/>
      <c r="S4906" s="33"/>
      <c r="T4906" s="33"/>
      <c r="U4906" s="33"/>
      <c r="V4906" s="33"/>
      <c r="W4906" s="33"/>
      <c r="X4906" s="33"/>
      <c r="Y4906" s="33"/>
      <c r="Z4906" s="33"/>
      <c r="AA4906" s="33"/>
      <c r="AB4906" s="33"/>
      <c r="AC4906" s="33"/>
      <c r="AD4906" s="33"/>
      <c r="AE4906" s="33"/>
      <c r="AF4906" s="33"/>
      <c r="AG4906" s="33"/>
      <c r="AH4906" s="33"/>
      <c r="AI4906" s="33"/>
      <c r="AJ4906" s="33"/>
      <c r="AK4906" s="33"/>
    </row>
    <row r="4907">
      <c r="A4907" s="33"/>
      <c r="B4907" s="33"/>
      <c r="C4907" s="33"/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33"/>
      <c r="V4907" s="33"/>
      <c r="W4907" s="33"/>
      <c r="X4907" s="33"/>
      <c r="Y4907" s="33"/>
      <c r="Z4907" s="33"/>
      <c r="AA4907" s="33"/>
      <c r="AB4907" s="33"/>
      <c r="AC4907" s="33"/>
      <c r="AD4907" s="33"/>
      <c r="AE4907" s="33"/>
      <c r="AF4907" s="33"/>
      <c r="AG4907" s="33"/>
      <c r="AH4907" s="33"/>
      <c r="AI4907" s="33"/>
      <c r="AJ4907" s="33"/>
      <c r="AK4907" s="33"/>
    </row>
    <row r="4908">
      <c r="A4908" s="33"/>
      <c r="B4908" s="33"/>
      <c r="C4908" s="33"/>
      <c r="D4908" s="33"/>
      <c r="E4908" s="33"/>
      <c r="F4908" s="33"/>
      <c r="G4908" s="33"/>
      <c r="H4908" s="33"/>
      <c r="I4908" s="33"/>
      <c r="J4908" s="33"/>
      <c r="K4908" s="33"/>
      <c r="L4908" s="33"/>
      <c r="M4908" s="33"/>
      <c r="N4908" s="33"/>
      <c r="O4908" s="33"/>
      <c r="P4908" s="33"/>
      <c r="Q4908" s="33"/>
      <c r="R4908" s="33"/>
      <c r="S4908" s="33"/>
      <c r="T4908" s="33"/>
      <c r="U4908" s="33"/>
      <c r="V4908" s="33"/>
      <c r="W4908" s="33"/>
      <c r="X4908" s="33"/>
      <c r="Y4908" s="33"/>
      <c r="Z4908" s="33"/>
      <c r="AA4908" s="33"/>
      <c r="AB4908" s="33"/>
      <c r="AC4908" s="33"/>
      <c r="AD4908" s="33"/>
      <c r="AE4908" s="33"/>
      <c r="AF4908" s="33"/>
      <c r="AG4908" s="33"/>
      <c r="AH4908" s="33"/>
      <c r="AI4908" s="33"/>
      <c r="AJ4908" s="33"/>
      <c r="AK4908" s="33"/>
    </row>
    <row r="4909">
      <c r="A4909" s="33"/>
      <c r="B4909" s="33"/>
      <c r="C4909" s="33"/>
      <c r="D4909" s="33"/>
      <c r="E4909" s="33"/>
      <c r="F4909" s="33"/>
      <c r="G4909" s="33"/>
      <c r="H4909" s="33"/>
      <c r="I4909" s="33"/>
      <c r="J4909" s="33"/>
      <c r="K4909" s="33"/>
      <c r="L4909" s="33"/>
      <c r="M4909" s="33"/>
      <c r="N4909" s="33"/>
      <c r="O4909" s="33"/>
      <c r="P4909" s="33"/>
      <c r="Q4909" s="33"/>
      <c r="R4909" s="33"/>
      <c r="S4909" s="33"/>
      <c r="T4909" s="33"/>
      <c r="U4909" s="33"/>
      <c r="V4909" s="33"/>
      <c r="W4909" s="33"/>
      <c r="X4909" s="33"/>
      <c r="Y4909" s="33"/>
      <c r="Z4909" s="33"/>
      <c r="AA4909" s="33"/>
      <c r="AB4909" s="33"/>
      <c r="AC4909" s="33"/>
      <c r="AD4909" s="33"/>
      <c r="AE4909" s="33"/>
      <c r="AF4909" s="33"/>
      <c r="AG4909" s="33"/>
      <c r="AH4909" s="33"/>
      <c r="AI4909" s="33"/>
      <c r="AJ4909" s="33"/>
      <c r="AK4909" s="33"/>
    </row>
    <row r="4910">
      <c r="A4910" s="33"/>
      <c r="B4910" s="33"/>
      <c r="C4910" s="33"/>
      <c r="D4910" s="33"/>
      <c r="E4910" s="33"/>
      <c r="F4910" s="33"/>
      <c r="G4910" s="33"/>
      <c r="H4910" s="33"/>
      <c r="I4910" s="33"/>
      <c r="J4910" s="33"/>
      <c r="K4910" s="33"/>
      <c r="L4910" s="33"/>
      <c r="M4910" s="33"/>
      <c r="N4910" s="33"/>
      <c r="O4910" s="33"/>
      <c r="P4910" s="33"/>
      <c r="Q4910" s="33"/>
      <c r="R4910" s="33"/>
      <c r="S4910" s="33"/>
      <c r="T4910" s="33"/>
      <c r="U4910" s="33"/>
      <c r="V4910" s="33"/>
      <c r="W4910" s="33"/>
      <c r="X4910" s="33"/>
      <c r="Y4910" s="33"/>
      <c r="Z4910" s="33"/>
      <c r="AA4910" s="33"/>
      <c r="AB4910" s="33"/>
      <c r="AC4910" s="33"/>
      <c r="AD4910" s="33"/>
      <c r="AE4910" s="33"/>
      <c r="AF4910" s="33"/>
      <c r="AG4910" s="33"/>
      <c r="AH4910" s="33"/>
      <c r="AI4910" s="33"/>
      <c r="AJ4910" s="33"/>
      <c r="AK4910" s="33"/>
    </row>
    <row r="4911">
      <c r="A4911" s="33"/>
      <c r="B4911" s="33"/>
      <c r="C4911" s="33"/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  <c r="Q4911" s="33"/>
      <c r="R4911" s="33"/>
      <c r="S4911" s="33"/>
      <c r="T4911" s="33"/>
      <c r="U4911" s="33"/>
      <c r="V4911" s="33"/>
      <c r="W4911" s="33"/>
      <c r="X4911" s="33"/>
      <c r="Y4911" s="33"/>
      <c r="Z4911" s="33"/>
      <c r="AA4911" s="33"/>
      <c r="AB4911" s="33"/>
      <c r="AC4911" s="33"/>
      <c r="AD4911" s="33"/>
      <c r="AE4911" s="33"/>
      <c r="AF4911" s="33"/>
      <c r="AG4911" s="33"/>
      <c r="AH4911" s="33"/>
      <c r="AI4911" s="33"/>
      <c r="AJ4911" s="33"/>
      <c r="AK4911" s="33"/>
    </row>
    <row r="4912">
      <c r="A4912" s="33"/>
      <c r="B4912" s="33"/>
      <c r="C4912" s="33"/>
      <c r="D4912" s="33"/>
      <c r="E4912" s="33"/>
      <c r="F4912" s="33"/>
      <c r="G4912" s="33"/>
      <c r="H4912" s="33"/>
      <c r="I4912" s="33"/>
      <c r="J4912" s="33"/>
      <c r="K4912" s="33"/>
      <c r="L4912" s="33"/>
      <c r="M4912" s="33"/>
      <c r="N4912" s="33"/>
      <c r="O4912" s="33"/>
      <c r="P4912" s="33"/>
      <c r="Q4912" s="33"/>
      <c r="R4912" s="33"/>
      <c r="S4912" s="33"/>
      <c r="T4912" s="33"/>
      <c r="U4912" s="33"/>
      <c r="V4912" s="33"/>
      <c r="W4912" s="33"/>
      <c r="X4912" s="33"/>
      <c r="Y4912" s="33"/>
      <c r="Z4912" s="33"/>
      <c r="AA4912" s="33"/>
      <c r="AB4912" s="33"/>
      <c r="AC4912" s="33"/>
      <c r="AD4912" s="33"/>
      <c r="AE4912" s="33"/>
      <c r="AF4912" s="33"/>
      <c r="AG4912" s="33"/>
      <c r="AH4912" s="33"/>
      <c r="AI4912" s="33"/>
      <c r="AJ4912" s="33"/>
      <c r="AK4912" s="33"/>
    </row>
    <row r="4913">
      <c r="A4913" s="33"/>
      <c r="B4913" s="33"/>
      <c r="C4913" s="33"/>
      <c r="D4913" s="33"/>
      <c r="E4913" s="33"/>
      <c r="F4913" s="33"/>
      <c r="G4913" s="33"/>
      <c r="H4913" s="33"/>
      <c r="I4913" s="33"/>
      <c r="J4913" s="33"/>
      <c r="K4913" s="33"/>
      <c r="L4913" s="33"/>
      <c r="M4913" s="33"/>
      <c r="N4913" s="33"/>
      <c r="O4913" s="33"/>
      <c r="P4913" s="33"/>
      <c r="Q4913" s="33"/>
      <c r="R4913" s="33"/>
      <c r="S4913" s="33"/>
      <c r="T4913" s="33"/>
      <c r="U4913" s="33"/>
      <c r="V4913" s="33"/>
      <c r="W4913" s="33"/>
      <c r="X4913" s="33"/>
      <c r="Y4913" s="33"/>
      <c r="Z4913" s="33"/>
      <c r="AA4913" s="33"/>
      <c r="AB4913" s="33"/>
      <c r="AC4913" s="33"/>
      <c r="AD4913" s="33"/>
      <c r="AE4913" s="33"/>
      <c r="AF4913" s="33"/>
      <c r="AG4913" s="33"/>
      <c r="AH4913" s="33"/>
      <c r="AI4913" s="33"/>
      <c r="AJ4913" s="33"/>
      <c r="AK4913" s="33"/>
    </row>
    <row r="4914">
      <c r="A4914" s="33"/>
      <c r="B4914" s="33"/>
      <c r="C4914" s="33"/>
      <c r="D4914" s="33"/>
      <c r="E4914" s="33"/>
      <c r="F4914" s="33"/>
      <c r="G4914" s="33"/>
      <c r="H4914" s="33"/>
      <c r="I4914" s="33"/>
      <c r="J4914" s="33"/>
      <c r="K4914" s="33"/>
      <c r="L4914" s="33"/>
      <c r="M4914" s="33"/>
      <c r="N4914" s="33"/>
      <c r="O4914" s="33"/>
      <c r="P4914" s="33"/>
      <c r="Q4914" s="33"/>
      <c r="R4914" s="33"/>
      <c r="S4914" s="33"/>
      <c r="T4914" s="33"/>
      <c r="U4914" s="33"/>
      <c r="V4914" s="33"/>
      <c r="W4914" s="33"/>
      <c r="X4914" s="33"/>
      <c r="Y4914" s="33"/>
      <c r="Z4914" s="33"/>
      <c r="AA4914" s="33"/>
      <c r="AB4914" s="33"/>
      <c r="AC4914" s="33"/>
      <c r="AD4914" s="33"/>
      <c r="AE4914" s="33"/>
      <c r="AF4914" s="33"/>
      <c r="AG4914" s="33"/>
      <c r="AH4914" s="33"/>
      <c r="AI4914" s="33"/>
      <c r="AJ4914" s="33"/>
      <c r="AK4914" s="33"/>
    </row>
    <row r="4915">
      <c r="A4915" s="33"/>
      <c r="B4915" s="33"/>
      <c r="C4915" s="33"/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  <c r="Q4915" s="33"/>
      <c r="R4915" s="33"/>
      <c r="S4915" s="33"/>
      <c r="T4915" s="33"/>
      <c r="U4915" s="33"/>
      <c r="V4915" s="33"/>
      <c r="W4915" s="33"/>
      <c r="X4915" s="33"/>
      <c r="Y4915" s="33"/>
      <c r="Z4915" s="33"/>
      <c r="AA4915" s="33"/>
      <c r="AB4915" s="33"/>
      <c r="AC4915" s="33"/>
      <c r="AD4915" s="33"/>
      <c r="AE4915" s="33"/>
      <c r="AF4915" s="33"/>
      <c r="AG4915" s="33"/>
      <c r="AH4915" s="33"/>
      <c r="AI4915" s="33"/>
      <c r="AJ4915" s="33"/>
      <c r="AK4915" s="33"/>
    </row>
    <row r="4916">
      <c r="A4916" s="33"/>
      <c r="B4916" s="33"/>
      <c r="C4916" s="33"/>
      <c r="D4916" s="33"/>
      <c r="E4916" s="33"/>
      <c r="F4916" s="33"/>
      <c r="G4916" s="33"/>
      <c r="H4916" s="33"/>
      <c r="I4916" s="33"/>
      <c r="J4916" s="33"/>
      <c r="K4916" s="33"/>
      <c r="L4916" s="33"/>
      <c r="M4916" s="33"/>
      <c r="N4916" s="33"/>
      <c r="O4916" s="33"/>
      <c r="P4916" s="33"/>
      <c r="Q4916" s="33"/>
      <c r="R4916" s="33"/>
      <c r="S4916" s="33"/>
      <c r="T4916" s="33"/>
      <c r="U4916" s="33"/>
      <c r="V4916" s="33"/>
      <c r="W4916" s="33"/>
      <c r="X4916" s="33"/>
      <c r="Y4916" s="33"/>
      <c r="Z4916" s="33"/>
      <c r="AA4916" s="33"/>
      <c r="AB4916" s="33"/>
      <c r="AC4916" s="33"/>
      <c r="AD4916" s="33"/>
      <c r="AE4916" s="33"/>
      <c r="AF4916" s="33"/>
      <c r="AG4916" s="33"/>
      <c r="AH4916" s="33"/>
      <c r="AI4916" s="33"/>
      <c r="AJ4916" s="33"/>
      <c r="AK4916" s="33"/>
    </row>
    <row r="4917">
      <c r="A4917" s="33"/>
      <c r="B4917" s="33"/>
      <c r="C4917" s="33"/>
      <c r="D4917" s="33"/>
      <c r="E4917" s="33"/>
      <c r="F4917" s="33"/>
      <c r="G4917" s="33"/>
      <c r="H4917" s="33"/>
      <c r="I4917" s="33"/>
      <c r="J4917" s="33"/>
      <c r="K4917" s="33"/>
      <c r="L4917" s="33"/>
      <c r="M4917" s="33"/>
      <c r="N4917" s="33"/>
      <c r="O4917" s="33"/>
      <c r="P4917" s="33"/>
      <c r="Q4917" s="33"/>
      <c r="R4917" s="33"/>
      <c r="S4917" s="33"/>
      <c r="T4917" s="33"/>
      <c r="U4917" s="33"/>
      <c r="V4917" s="33"/>
      <c r="W4917" s="33"/>
      <c r="X4917" s="33"/>
      <c r="Y4917" s="33"/>
      <c r="Z4917" s="33"/>
      <c r="AA4917" s="33"/>
      <c r="AB4917" s="33"/>
      <c r="AC4917" s="33"/>
      <c r="AD4917" s="33"/>
      <c r="AE4917" s="33"/>
      <c r="AF4917" s="33"/>
      <c r="AG4917" s="33"/>
      <c r="AH4917" s="33"/>
      <c r="AI4917" s="33"/>
      <c r="AJ4917" s="33"/>
      <c r="AK4917" s="33"/>
    </row>
    <row r="4918">
      <c r="A4918" s="33"/>
      <c r="B4918" s="33"/>
      <c r="C4918" s="33"/>
      <c r="D4918" s="33"/>
      <c r="E4918" s="33"/>
      <c r="F4918" s="33"/>
      <c r="G4918" s="33"/>
      <c r="H4918" s="33"/>
      <c r="I4918" s="33"/>
      <c r="J4918" s="33"/>
      <c r="K4918" s="33"/>
      <c r="L4918" s="33"/>
      <c r="M4918" s="33"/>
      <c r="N4918" s="33"/>
      <c r="O4918" s="33"/>
      <c r="P4918" s="33"/>
      <c r="Q4918" s="33"/>
      <c r="R4918" s="33"/>
      <c r="S4918" s="33"/>
      <c r="T4918" s="33"/>
      <c r="U4918" s="33"/>
      <c r="V4918" s="33"/>
      <c r="W4918" s="33"/>
      <c r="X4918" s="33"/>
      <c r="Y4918" s="33"/>
      <c r="Z4918" s="33"/>
      <c r="AA4918" s="33"/>
      <c r="AB4918" s="33"/>
      <c r="AC4918" s="33"/>
      <c r="AD4918" s="33"/>
      <c r="AE4918" s="33"/>
      <c r="AF4918" s="33"/>
      <c r="AG4918" s="33"/>
      <c r="AH4918" s="33"/>
      <c r="AI4918" s="33"/>
      <c r="AJ4918" s="33"/>
      <c r="AK4918" s="33"/>
    </row>
    <row r="4919">
      <c r="A4919" s="33"/>
      <c r="B4919" s="33"/>
      <c r="C4919" s="33"/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  <c r="Q4919" s="33"/>
      <c r="R4919" s="33"/>
      <c r="S4919" s="33"/>
      <c r="T4919" s="33"/>
      <c r="U4919" s="33"/>
      <c r="V4919" s="33"/>
      <c r="W4919" s="33"/>
      <c r="X4919" s="33"/>
      <c r="Y4919" s="33"/>
      <c r="Z4919" s="33"/>
      <c r="AA4919" s="33"/>
      <c r="AB4919" s="33"/>
      <c r="AC4919" s="33"/>
      <c r="AD4919" s="33"/>
      <c r="AE4919" s="33"/>
      <c r="AF4919" s="33"/>
      <c r="AG4919" s="33"/>
      <c r="AH4919" s="33"/>
      <c r="AI4919" s="33"/>
      <c r="AJ4919" s="33"/>
      <c r="AK4919" s="33"/>
    </row>
    <row r="4920">
      <c r="A4920" s="33"/>
      <c r="B4920" s="33"/>
      <c r="C4920" s="33"/>
      <c r="D4920" s="33"/>
      <c r="E4920" s="33"/>
      <c r="F4920" s="33"/>
      <c r="G4920" s="33"/>
      <c r="H4920" s="33"/>
      <c r="I4920" s="33"/>
      <c r="J4920" s="33"/>
      <c r="K4920" s="33"/>
      <c r="L4920" s="33"/>
      <c r="M4920" s="33"/>
      <c r="N4920" s="33"/>
      <c r="O4920" s="33"/>
      <c r="P4920" s="33"/>
      <c r="Q4920" s="33"/>
      <c r="R4920" s="33"/>
      <c r="S4920" s="33"/>
      <c r="T4920" s="33"/>
      <c r="U4920" s="33"/>
      <c r="V4920" s="33"/>
      <c r="W4920" s="33"/>
      <c r="X4920" s="33"/>
      <c r="Y4920" s="33"/>
      <c r="Z4920" s="33"/>
      <c r="AA4920" s="33"/>
      <c r="AB4920" s="33"/>
      <c r="AC4920" s="33"/>
      <c r="AD4920" s="33"/>
      <c r="AE4920" s="33"/>
      <c r="AF4920" s="33"/>
      <c r="AG4920" s="33"/>
      <c r="AH4920" s="33"/>
      <c r="AI4920" s="33"/>
      <c r="AJ4920" s="33"/>
      <c r="AK4920" s="33"/>
    </row>
    <row r="4921">
      <c r="A4921" s="33"/>
      <c r="B4921" s="33"/>
      <c r="C4921" s="33"/>
      <c r="D4921" s="33"/>
      <c r="E4921" s="33"/>
      <c r="F4921" s="33"/>
      <c r="G4921" s="33"/>
      <c r="H4921" s="33"/>
      <c r="I4921" s="33"/>
      <c r="J4921" s="33"/>
      <c r="K4921" s="33"/>
      <c r="L4921" s="33"/>
      <c r="M4921" s="33"/>
      <c r="N4921" s="33"/>
      <c r="O4921" s="33"/>
      <c r="P4921" s="33"/>
      <c r="Q4921" s="33"/>
      <c r="R4921" s="33"/>
      <c r="S4921" s="33"/>
      <c r="T4921" s="33"/>
      <c r="U4921" s="33"/>
      <c r="V4921" s="33"/>
      <c r="W4921" s="33"/>
      <c r="X4921" s="33"/>
      <c r="Y4921" s="33"/>
      <c r="Z4921" s="33"/>
      <c r="AA4921" s="33"/>
      <c r="AB4921" s="33"/>
      <c r="AC4921" s="33"/>
      <c r="AD4921" s="33"/>
      <c r="AE4921" s="33"/>
      <c r="AF4921" s="33"/>
      <c r="AG4921" s="33"/>
      <c r="AH4921" s="33"/>
      <c r="AI4921" s="33"/>
      <c r="AJ4921" s="33"/>
      <c r="AK4921" s="33"/>
    </row>
    <row r="4922">
      <c r="A4922" s="33"/>
      <c r="B4922" s="33"/>
      <c r="C4922" s="33"/>
      <c r="D4922" s="33"/>
      <c r="E4922" s="33"/>
      <c r="F4922" s="33"/>
      <c r="G4922" s="33"/>
      <c r="H4922" s="33"/>
      <c r="I4922" s="33"/>
      <c r="J4922" s="33"/>
      <c r="K4922" s="33"/>
      <c r="L4922" s="33"/>
      <c r="M4922" s="33"/>
      <c r="N4922" s="33"/>
      <c r="O4922" s="33"/>
      <c r="P4922" s="33"/>
      <c r="Q4922" s="33"/>
      <c r="R4922" s="33"/>
      <c r="S4922" s="33"/>
      <c r="T4922" s="33"/>
      <c r="U4922" s="33"/>
      <c r="V4922" s="33"/>
      <c r="W4922" s="33"/>
      <c r="X4922" s="33"/>
      <c r="Y4922" s="33"/>
      <c r="Z4922" s="33"/>
      <c r="AA4922" s="33"/>
      <c r="AB4922" s="33"/>
      <c r="AC4922" s="33"/>
      <c r="AD4922" s="33"/>
      <c r="AE4922" s="33"/>
      <c r="AF4922" s="33"/>
      <c r="AG4922" s="33"/>
      <c r="AH4922" s="33"/>
      <c r="AI4922" s="33"/>
      <c r="AJ4922" s="33"/>
      <c r="AK4922" s="33"/>
    </row>
    <row r="4923">
      <c r="A4923" s="33"/>
      <c r="B4923" s="33"/>
      <c r="C4923" s="33"/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  <c r="R4923" s="33"/>
      <c r="S4923" s="33"/>
      <c r="T4923" s="33"/>
      <c r="U4923" s="33"/>
      <c r="V4923" s="33"/>
      <c r="W4923" s="33"/>
      <c r="X4923" s="33"/>
      <c r="Y4923" s="33"/>
      <c r="Z4923" s="33"/>
      <c r="AA4923" s="33"/>
      <c r="AB4923" s="33"/>
      <c r="AC4923" s="33"/>
      <c r="AD4923" s="33"/>
      <c r="AE4923" s="33"/>
      <c r="AF4923" s="33"/>
      <c r="AG4923" s="33"/>
      <c r="AH4923" s="33"/>
      <c r="AI4923" s="33"/>
      <c r="AJ4923" s="33"/>
      <c r="AK4923" s="33"/>
    </row>
    <row r="4924">
      <c r="A4924" s="33"/>
      <c r="B4924" s="33"/>
      <c r="C4924" s="33"/>
      <c r="D4924" s="33"/>
      <c r="E4924" s="33"/>
      <c r="F4924" s="33"/>
      <c r="G4924" s="33"/>
      <c r="H4924" s="33"/>
      <c r="I4924" s="33"/>
      <c r="J4924" s="33"/>
      <c r="K4924" s="33"/>
      <c r="L4924" s="33"/>
      <c r="M4924" s="33"/>
      <c r="N4924" s="33"/>
      <c r="O4924" s="33"/>
      <c r="P4924" s="33"/>
      <c r="Q4924" s="33"/>
      <c r="R4924" s="33"/>
      <c r="S4924" s="33"/>
      <c r="T4924" s="33"/>
      <c r="U4924" s="33"/>
      <c r="V4924" s="33"/>
      <c r="W4924" s="33"/>
      <c r="X4924" s="33"/>
      <c r="Y4924" s="33"/>
      <c r="Z4924" s="33"/>
      <c r="AA4924" s="33"/>
      <c r="AB4924" s="33"/>
      <c r="AC4924" s="33"/>
      <c r="AD4924" s="33"/>
      <c r="AE4924" s="33"/>
      <c r="AF4924" s="33"/>
      <c r="AG4924" s="33"/>
      <c r="AH4924" s="33"/>
      <c r="AI4924" s="33"/>
      <c r="AJ4924" s="33"/>
      <c r="AK4924" s="33"/>
    </row>
    <row r="4925">
      <c r="A4925" s="33"/>
      <c r="B4925" s="33"/>
      <c r="C4925" s="33"/>
      <c r="D4925" s="33"/>
      <c r="E4925" s="33"/>
      <c r="F4925" s="33"/>
      <c r="G4925" s="33"/>
      <c r="H4925" s="33"/>
      <c r="I4925" s="33"/>
      <c r="J4925" s="33"/>
      <c r="K4925" s="33"/>
      <c r="L4925" s="33"/>
      <c r="M4925" s="33"/>
      <c r="N4925" s="33"/>
      <c r="O4925" s="33"/>
      <c r="P4925" s="33"/>
      <c r="Q4925" s="33"/>
      <c r="R4925" s="33"/>
      <c r="S4925" s="33"/>
      <c r="T4925" s="33"/>
      <c r="U4925" s="33"/>
      <c r="V4925" s="33"/>
      <c r="W4925" s="33"/>
      <c r="X4925" s="33"/>
      <c r="Y4925" s="33"/>
      <c r="Z4925" s="33"/>
      <c r="AA4925" s="33"/>
      <c r="AB4925" s="33"/>
      <c r="AC4925" s="33"/>
      <c r="AD4925" s="33"/>
      <c r="AE4925" s="33"/>
      <c r="AF4925" s="33"/>
      <c r="AG4925" s="33"/>
      <c r="AH4925" s="33"/>
      <c r="AI4925" s="33"/>
      <c r="AJ4925" s="33"/>
      <c r="AK4925" s="33"/>
    </row>
    <row r="4926">
      <c r="A4926" s="33"/>
      <c r="B4926" s="33"/>
      <c r="C4926" s="33"/>
      <c r="D4926" s="33"/>
      <c r="E4926" s="33"/>
      <c r="F4926" s="33"/>
      <c r="G4926" s="33"/>
      <c r="H4926" s="33"/>
      <c r="I4926" s="33"/>
      <c r="J4926" s="33"/>
      <c r="K4926" s="33"/>
      <c r="L4926" s="33"/>
      <c r="M4926" s="33"/>
      <c r="N4926" s="33"/>
      <c r="O4926" s="33"/>
      <c r="P4926" s="33"/>
      <c r="Q4926" s="33"/>
      <c r="R4926" s="33"/>
      <c r="S4926" s="33"/>
      <c r="T4926" s="33"/>
      <c r="U4926" s="33"/>
      <c r="V4926" s="33"/>
      <c r="W4926" s="33"/>
      <c r="X4926" s="33"/>
      <c r="Y4926" s="33"/>
      <c r="Z4926" s="33"/>
      <c r="AA4926" s="33"/>
      <c r="AB4926" s="33"/>
      <c r="AC4926" s="33"/>
      <c r="AD4926" s="33"/>
      <c r="AE4926" s="33"/>
      <c r="AF4926" s="33"/>
      <c r="AG4926" s="33"/>
      <c r="AH4926" s="33"/>
      <c r="AI4926" s="33"/>
      <c r="AJ4926" s="33"/>
      <c r="AK4926" s="33"/>
    </row>
    <row r="4927">
      <c r="A4927" s="33"/>
      <c r="B4927" s="33"/>
      <c r="C4927" s="33"/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  <c r="Q4927" s="33"/>
      <c r="R4927" s="33"/>
      <c r="S4927" s="33"/>
      <c r="T4927" s="33"/>
      <c r="U4927" s="33"/>
      <c r="V4927" s="33"/>
      <c r="W4927" s="33"/>
      <c r="X4927" s="33"/>
      <c r="Y4927" s="33"/>
      <c r="Z4927" s="33"/>
      <c r="AA4927" s="33"/>
      <c r="AB4927" s="33"/>
      <c r="AC4927" s="33"/>
      <c r="AD4927" s="33"/>
      <c r="AE4927" s="33"/>
      <c r="AF4927" s="33"/>
      <c r="AG4927" s="33"/>
      <c r="AH4927" s="33"/>
      <c r="AI4927" s="33"/>
      <c r="AJ4927" s="33"/>
      <c r="AK4927" s="33"/>
    </row>
    <row r="4928">
      <c r="A4928" s="33"/>
      <c r="B4928" s="33"/>
      <c r="C4928" s="33"/>
      <c r="D4928" s="33"/>
      <c r="E4928" s="33"/>
      <c r="F4928" s="33"/>
      <c r="G4928" s="33"/>
      <c r="H4928" s="33"/>
      <c r="I4928" s="33"/>
      <c r="J4928" s="33"/>
      <c r="K4928" s="33"/>
      <c r="L4928" s="33"/>
      <c r="M4928" s="33"/>
      <c r="N4928" s="33"/>
      <c r="O4928" s="33"/>
      <c r="P4928" s="33"/>
      <c r="Q4928" s="33"/>
      <c r="R4928" s="33"/>
      <c r="S4928" s="33"/>
      <c r="T4928" s="33"/>
      <c r="U4928" s="33"/>
      <c r="V4928" s="33"/>
      <c r="W4928" s="33"/>
      <c r="X4928" s="33"/>
      <c r="Y4928" s="33"/>
      <c r="Z4928" s="33"/>
      <c r="AA4928" s="33"/>
      <c r="AB4928" s="33"/>
      <c r="AC4928" s="33"/>
      <c r="AD4928" s="33"/>
      <c r="AE4928" s="33"/>
      <c r="AF4928" s="33"/>
      <c r="AG4928" s="33"/>
      <c r="AH4928" s="33"/>
      <c r="AI4928" s="33"/>
      <c r="AJ4928" s="33"/>
      <c r="AK4928" s="33"/>
    </row>
    <row r="4929">
      <c r="A4929" s="33"/>
      <c r="B4929" s="33"/>
      <c r="C4929" s="33"/>
      <c r="D4929" s="33"/>
      <c r="E4929" s="33"/>
      <c r="F4929" s="33"/>
      <c r="G4929" s="33"/>
      <c r="H4929" s="33"/>
      <c r="I4929" s="33"/>
      <c r="J4929" s="33"/>
      <c r="K4929" s="33"/>
      <c r="L4929" s="33"/>
      <c r="M4929" s="33"/>
      <c r="N4929" s="33"/>
      <c r="O4929" s="33"/>
      <c r="P4929" s="33"/>
      <c r="Q4929" s="33"/>
      <c r="R4929" s="33"/>
      <c r="S4929" s="33"/>
      <c r="T4929" s="33"/>
      <c r="U4929" s="33"/>
      <c r="V4929" s="33"/>
      <c r="W4929" s="33"/>
      <c r="X4929" s="33"/>
      <c r="Y4929" s="33"/>
      <c r="Z4929" s="33"/>
      <c r="AA4929" s="33"/>
      <c r="AB4929" s="33"/>
      <c r="AC4929" s="33"/>
      <c r="AD4929" s="33"/>
      <c r="AE4929" s="33"/>
      <c r="AF4929" s="33"/>
      <c r="AG4929" s="33"/>
      <c r="AH4929" s="33"/>
      <c r="AI4929" s="33"/>
      <c r="AJ4929" s="33"/>
      <c r="AK4929" s="33"/>
    </row>
    <row r="4930">
      <c r="A4930" s="33"/>
      <c r="B4930" s="33"/>
      <c r="C4930" s="33"/>
      <c r="D4930" s="33"/>
      <c r="E4930" s="33"/>
      <c r="F4930" s="33"/>
      <c r="G4930" s="33"/>
      <c r="H4930" s="33"/>
      <c r="I4930" s="33"/>
      <c r="J4930" s="33"/>
      <c r="K4930" s="33"/>
      <c r="L4930" s="33"/>
      <c r="M4930" s="33"/>
      <c r="N4930" s="33"/>
      <c r="O4930" s="33"/>
      <c r="P4930" s="33"/>
      <c r="Q4930" s="33"/>
      <c r="R4930" s="33"/>
      <c r="S4930" s="33"/>
      <c r="T4930" s="33"/>
      <c r="U4930" s="33"/>
      <c r="V4930" s="33"/>
      <c r="W4930" s="33"/>
      <c r="X4930" s="33"/>
      <c r="Y4930" s="33"/>
      <c r="Z4930" s="33"/>
      <c r="AA4930" s="33"/>
      <c r="AB4930" s="33"/>
      <c r="AC4930" s="33"/>
      <c r="AD4930" s="33"/>
      <c r="AE4930" s="33"/>
      <c r="AF4930" s="33"/>
      <c r="AG4930" s="33"/>
      <c r="AH4930" s="33"/>
      <c r="AI4930" s="33"/>
      <c r="AJ4930" s="33"/>
      <c r="AK4930" s="33"/>
    </row>
    <row r="4931">
      <c r="A4931" s="33"/>
      <c r="B4931" s="33"/>
      <c r="C4931" s="33"/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  <c r="Q4931" s="33"/>
      <c r="R4931" s="33"/>
      <c r="S4931" s="33"/>
      <c r="T4931" s="33"/>
      <c r="U4931" s="33"/>
      <c r="V4931" s="33"/>
      <c r="W4931" s="33"/>
      <c r="X4931" s="33"/>
      <c r="Y4931" s="33"/>
      <c r="Z4931" s="33"/>
      <c r="AA4931" s="33"/>
      <c r="AB4931" s="33"/>
      <c r="AC4931" s="33"/>
      <c r="AD4931" s="33"/>
      <c r="AE4931" s="33"/>
      <c r="AF4931" s="33"/>
      <c r="AG4931" s="33"/>
      <c r="AH4931" s="33"/>
      <c r="AI4931" s="33"/>
      <c r="AJ4931" s="33"/>
      <c r="AK4931" s="33"/>
    </row>
    <row r="4932">
      <c r="A4932" s="33"/>
      <c r="B4932" s="33"/>
      <c r="C4932" s="33"/>
      <c r="D4932" s="33"/>
      <c r="E4932" s="33"/>
      <c r="F4932" s="33"/>
      <c r="G4932" s="33"/>
      <c r="H4932" s="33"/>
      <c r="I4932" s="33"/>
      <c r="J4932" s="33"/>
      <c r="K4932" s="33"/>
      <c r="L4932" s="33"/>
      <c r="M4932" s="33"/>
      <c r="N4932" s="33"/>
      <c r="O4932" s="33"/>
      <c r="P4932" s="33"/>
      <c r="Q4932" s="33"/>
      <c r="R4932" s="33"/>
      <c r="S4932" s="33"/>
      <c r="T4932" s="33"/>
      <c r="U4932" s="33"/>
      <c r="V4932" s="33"/>
      <c r="W4932" s="33"/>
      <c r="X4932" s="33"/>
      <c r="Y4932" s="33"/>
      <c r="Z4932" s="33"/>
      <c r="AA4932" s="33"/>
      <c r="AB4932" s="33"/>
      <c r="AC4932" s="33"/>
      <c r="AD4932" s="33"/>
      <c r="AE4932" s="33"/>
      <c r="AF4932" s="33"/>
      <c r="AG4932" s="33"/>
      <c r="AH4932" s="33"/>
      <c r="AI4932" s="33"/>
      <c r="AJ4932" s="33"/>
      <c r="AK4932" s="33"/>
    </row>
    <row r="4933">
      <c r="A4933" s="33"/>
      <c r="B4933" s="33"/>
      <c r="C4933" s="33"/>
      <c r="D4933" s="33"/>
      <c r="E4933" s="33"/>
      <c r="F4933" s="33"/>
      <c r="G4933" s="33"/>
      <c r="H4933" s="33"/>
      <c r="I4933" s="33"/>
      <c r="J4933" s="33"/>
      <c r="K4933" s="33"/>
      <c r="L4933" s="33"/>
      <c r="M4933" s="33"/>
      <c r="N4933" s="33"/>
      <c r="O4933" s="33"/>
      <c r="P4933" s="33"/>
      <c r="Q4933" s="33"/>
      <c r="R4933" s="33"/>
      <c r="S4933" s="33"/>
      <c r="T4933" s="33"/>
      <c r="U4933" s="33"/>
      <c r="V4933" s="33"/>
      <c r="W4933" s="33"/>
      <c r="X4933" s="33"/>
      <c r="Y4933" s="33"/>
      <c r="Z4933" s="33"/>
      <c r="AA4933" s="33"/>
      <c r="AB4933" s="33"/>
      <c r="AC4933" s="33"/>
      <c r="AD4933" s="33"/>
      <c r="AE4933" s="33"/>
      <c r="AF4933" s="33"/>
      <c r="AG4933" s="33"/>
      <c r="AH4933" s="33"/>
      <c r="AI4933" s="33"/>
      <c r="AJ4933" s="33"/>
      <c r="AK4933" s="33"/>
    </row>
    <row r="4934">
      <c r="A4934" s="33"/>
      <c r="B4934" s="33"/>
      <c r="C4934" s="33"/>
      <c r="D4934" s="33"/>
      <c r="E4934" s="33"/>
      <c r="F4934" s="33"/>
      <c r="G4934" s="33"/>
      <c r="H4934" s="33"/>
      <c r="I4934" s="33"/>
      <c r="J4934" s="33"/>
      <c r="K4934" s="33"/>
      <c r="L4934" s="33"/>
      <c r="M4934" s="33"/>
      <c r="N4934" s="33"/>
      <c r="O4934" s="33"/>
      <c r="P4934" s="33"/>
      <c r="Q4934" s="33"/>
      <c r="R4934" s="33"/>
      <c r="S4934" s="33"/>
      <c r="T4934" s="33"/>
      <c r="U4934" s="33"/>
      <c r="V4934" s="33"/>
      <c r="W4934" s="33"/>
      <c r="X4934" s="33"/>
      <c r="Y4934" s="33"/>
      <c r="Z4934" s="33"/>
      <c r="AA4934" s="33"/>
      <c r="AB4934" s="33"/>
      <c r="AC4934" s="33"/>
      <c r="AD4934" s="33"/>
      <c r="AE4934" s="33"/>
      <c r="AF4934" s="33"/>
      <c r="AG4934" s="33"/>
      <c r="AH4934" s="33"/>
      <c r="AI4934" s="33"/>
      <c r="AJ4934" s="33"/>
      <c r="AK4934" s="33"/>
    </row>
    <row r="4935">
      <c r="A4935" s="33"/>
      <c r="B4935" s="33"/>
      <c r="C4935" s="33"/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  <c r="Q4935" s="33"/>
      <c r="R4935" s="33"/>
      <c r="S4935" s="33"/>
      <c r="T4935" s="33"/>
      <c r="U4935" s="33"/>
      <c r="V4935" s="33"/>
      <c r="W4935" s="33"/>
      <c r="X4935" s="33"/>
      <c r="Y4935" s="33"/>
      <c r="Z4935" s="33"/>
      <c r="AA4935" s="33"/>
      <c r="AB4935" s="33"/>
      <c r="AC4935" s="33"/>
      <c r="AD4935" s="33"/>
      <c r="AE4935" s="33"/>
      <c r="AF4935" s="33"/>
      <c r="AG4935" s="33"/>
      <c r="AH4935" s="33"/>
      <c r="AI4935" s="33"/>
      <c r="AJ4935" s="33"/>
      <c r="AK4935" s="33"/>
    </row>
    <row r="4936">
      <c r="A4936" s="33"/>
      <c r="B4936" s="33"/>
      <c r="C4936" s="33"/>
      <c r="D4936" s="33"/>
      <c r="E4936" s="33"/>
      <c r="F4936" s="33"/>
      <c r="G4936" s="33"/>
      <c r="H4936" s="33"/>
      <c r="I4936" s="33"/>
      <c r="J4936" s="33"/>
      <c r="K4936" s="33"/>
      <c r="L4936" s="33"/>
      <c r="M4936" s="33"/>
      <c r="N4936" s="33"/>
      <c r="O4936" s="33"/>
      <c r="P4936" s="33"/>
      <c r="Q4936" s="33"/>
      <c r="R4936" s="33"/>
      <c r="S4936" s="33"/>
      <c r="T4936" s="33"/>
      <c r="U4936" s="33"/>
      <c r="V4936" s="33"/>
      <c r="W4936" s="33"/>
      <c r="X4936" s="33"/>
      <c r="Y4936" s="33"/>
      <c r="Z4936" s="33"/>
      <c r="AA4936" s="33"/>
      <c r="AB4936" s="33"/>
      <c r="AC4936" s="33"/>
      <c r="AD4936" s="33"/>
      <c r="AE4936" s="33"/>
      <c r="AF4936" s="33"/>
      <c r="AG4936" s="33"/>
      <c r="AH4936" s="33"/>
      <c r="AI4936" s="33"/>
      <c r="AJ4936" s="33"/>
      <c r="AK4936" s="33"/>
    </row>
    <row r="4937">
      <c r="A4937" s="33"/>
      <c r="B4937" s="33"/>
      <c r="C4937" s="33"/>
      <c r="D4937" s="33"/>
      <c r="E4937" s="33"/>
      <c r="F4937" s="33"/>
      <c r="G4937" s="33"/>
      <c r="H4937" s="33"/>
      <c r="I4937" s="33"/>
      <c r="J4937" s="33"/>
      <c r="K4937" s="33"/>
      <c r="L4937" s="33"/>
      <c r="M4937" s="33"/>
      <c r="N4937" s="33"/>
      <c r="O4937" s="33"/>
      <c r="P4937" s="33"/>
      <c r="Q4937" s="33"/>
      <c r="R4937" s="33"/>
      <c r="S4937" s="33"/>
      <c r="T4937" s="33"/>
      <c r="U4937" s="33"/>
      <c r="V4937" s="33"/>
      <c r="W4937" s="33"/>
      <c r="X4937" s="33"/>
      <c r="Y4937" s="33"/>
      <c r="Z4937" s="33"/>
      <c r="AA4937" s="33"/>
      <c r="AB4937" s="33"/>
      <c r="AC4937" s="33"/>
      <c r="AD4937" s="33"/>
      <c r="AE4937" s="33"/>
      <c r="AF4937" s="33"/>
      <c r="AG4937" s="33"/>
      <c r="AH4937" s="33"/>
      <c r="AI4937" s="33"/>
      <c r="AJ4937" s="33"/>
      <c r="AK4937" s="33"/>
    </row>
    <row r="4938">
      <c r="A4938" s="33"/>
      <c r="B4938" s="33"/>
      <c r="C4938" s="33"/>
      <c r="D4938" s="33"/>
      <c r="E4938" s="33"/>
      <c r="F4938" s="33"/>
      <c r="G4938" s="33"/>
      <c r="H4938" s="33"/>
      <c r="I4938" s="33"/>
      <c r="J4938" s="33"/>
      <c r="K4938" s="33"/>
      <c r="L4938" s="33"/>
      <c r="M4938" s="33"/>
      <c r="N4938" s="33"/>
      <c r="O4938" s="33"/>
      <c r="P4938" s="33"/>
      <c r="Q4938" s="33"/>
      <c r="R4938" s="33"/>
      <c r="S4938" s="33"/>
      <c r="T4938" s="33"/>
      <c r="U4938" s="33"/>
      <c r="V4938" s="33"/>
      <c r="W4938" s="33"/>
      <c r="X4938" s="33"/>
      <c r="Y4938" s="33"/>
      <c r="Z4938" s="33"/>
      <c r="AA4938" s="33"/>
      <c r="AB4938" s="33"/>
      <c r="AC4938" s="33"/>
      <c r="AD4938" s="33"/>
      <c r="AE4938" s="33"/>
      <c r="AF4938" s="33"/>
      <c r="AG4938" s="33"/>
      <c r="AH4938" s="33"/>
      <c r="AI4938" s="33"/>
      <c r="AJ4938" s="33"/>
      <c r="AK4938" s="33"/>
    </row>
    <row r="4939">
      <c r="A4939" s="33"/>
      <c r="B4939" s="33"/>
      <c r="C4939" s="33"/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  <c r="Q4939" s="33"/>
      <c r="R4939" s="33"/>
      <c r="S4939" s="33"/>
      <c r="T4939" s="33"/>
      <c r="U4939" s="33"/>
      <c r="V4939" s="33"/>
      <c r="W4939" s="33"/>
      <c r="X4939" s="33"/>
      <c r="Y4939" s="33"/>
      <c r="Z4939" s="33"/>
      <c r="AA4939" s="33"/>
      <c r="AB4939" s="33"/>
      <c r="AC4939" s="33"/>
      <c r="AD4939" s="33"/>
      <c r="AE4939" s="33"/>
      <c r="AF4939" s="33"/>
      <c r="AG4939" s="33"/>
      <c r="AH4939" s="33"/>
      <c r="AI4939" s="33"/>
      <c r="AJ4939" s="33"/>
      <c r="AK4939" s="33"/>
    </row>
    <row r="4940">
      <c r="A4940" s="33"/>
      <c r="B4940" s="33"/>
      <c r="C4940" s="33"/>
      <c r="D4940" s="33"/>
      <c r="E4940" s="33"/>
      <c r="F4940" s="33"/>
      <c r="G4940" s="33"/>
      <c r="H4940" s="33"/>
      <c r="I4940" s="33"/>
      <c r="J4940" s="33"/>
      <c r="K4940" s="33"/>
      <c r="L4940" s="33"/>
      <c r="M4940" s="33"/>
      <c r="N4940" s="33"/>
      <c r="O4940" s="33"/>
      <c r="P4940" s="33"/>
      <c r="Q4940" s="33"/>
      <c r="R4940" s="33"/>
      <c r="S4940" s="33"/>
      <c r="T4940" s="33"/>
      <c r="U4940" s="33"/>
      <c r="V4940" s="33"/>
      <c r="W4940" s="33"/>
      <c r="X4940" s="33"/>
      <c r="Y4940" s="33"/>
      <c r="Z4940" s="33"/>
      <c r="AA4940" s="33"/>
      <c r="AB4940" s="33"/>
      <c r="AC4940" s="33"/>
      <c r="AD4940" s="33"/>
      <c r="AE4940" s="33"/>
      <c r="AF4940" s="33"/>
      <c r="AG4940" s="33"/>
      <c r="AH4940" s="33"/>
      <c r="AI4940" s="33"/>
      <c r="AJ4940" s="33"/>
      <c r="AK4940" s="33"/>
    </row>
    <row r="4941">
      <c r="A4941" s="33"/>
      <c r="B4941" s="33"/>
      <c r="C4941" s="33"/>
      <c r="D4941" s="33"/>
      <c r="E4941" s="33"/>
      <c r="F4941" s="33"/>
      <c r="G4941" s="33"/>
      <c r="H4941" s="33"/>
      <c r="I4941" s="33"/>
      <c r="J4941" s="33"/>
      <c r="K4941" s="33"/>
      <c r="L4941" s="33"/>
      <c r="M4941" s="33"/>
      <c r="N4941" s="33"/>
      <c r="O4941" s="33"/>
      <c r="P4941" s="33"/>
      <c r="Q4941" s="33"/>
      <c r="R4941" s="33"/>
      <c r="S4941" s="33"/>
      <c r="T4941" s="33"/>
      <c r="U4941" s="33"/>
      <c r="V4941" s="33"/>
      <c r="W4941" s="33"/>
      <c r="X4941" s="33"/>
      <c r="Y4941" s="33"/>
      <c r="Z4941" s="33"/>
      <c r="AA4941" s="33"/>
      <c r="AB4941" s="33"/>
      <c r="AC4941" s="33"/>
      <c r="AD4941" s="33"/>
      <c r="AE4941" s="33"/>
      <c r="AF4941" s="33"/>
      <c r="AG4941" s="33"/>
      <c r="AH4941" s="33"/>
      <c r="AI4941" s="33"/>
      <c r="AJ4941" s="33"/>
      <c r="AK4941" s="33"/>
    </row>
    <row r="4942">
      <c r="A4942" s="33"/>
      <c r="B4942" s="33"/>
      <c r="C4942" s="33"/>
      <c r="D4942" s="33"/>
      <c r="E4942" s="33"/>
      <c r="F4942" s="33"/>
      <c r="G4942" s="33"/>
      <c r="H4942" s="33"/>
      <c r="I4942" s="33"/>
      <c r="J4942" s="33"/>
      <c r="K4942" s="33"/>
      <c r="L4942" s="33"/>
      <c r="M4942" s="33"/>
      <c r="N4942" s="33"/>
      <c r="O4942" s="33"/>
      <c r="P4942" s="33"/>
      <c r="Q4942" s="33"/>
      <c r="R4942" s="33"/>
      <c r="S4942" s="33"/>
      <c r="T4942" s="33"/>
      <c r="U4942" s="33"/>
      <c r="V4942" s="33"/>
      <c r="W4942" s="33"/>
      <c r="X4942" s="33"/>
      <c r="Y4942" s="33"/>
      <c r="Z4942" s="33"/>
      <c r="AA4942" s="33"/>
      <c r="AB4942" s="33"/>
      <c r="AC4942" s="33"/>
      <c r="AD4942" s="33"/>
      <c r="AE4942" s="33"/>
      <c r="AF4942" s="33"/>
      <c r="AG4942" s="33"/>
      <c r="AH4942" s="33"/>
      <c r="AI4942" s="33"/>
      <c r="AJ4942" s="33"/>
      <c r="AK4942" s="33"/>
    </row>
    <row r="4943">
      <c r="A4943" s="33"/>
      <c r="B4943" s="33"/>
      <c r="C4943" s="33"/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  <c r="Q4943" s="33"/>
      <c r="R4943" s="33"/>
      <c r="S4943" s="33"/>
      <c r="T4943" s="33"/>
      <c r="U4943" s="33"/>
      <c r="V4943" s="33"/>
      <c r="W4943" s="33"/>
      <c r="X4943" s="33"/>
      <c r="Y4943" s="33"/>
      <c r="Z4943" s="33"/>
      <c r="AA4943" s="33"/>
      <c r="AB4943" s="33"/>
      <c r="AC4943" s="33"/>
      <c r="AD4943" s="33"/>
      <c r="AE4943" s="33"/>
      <c r="AF4943" s="33"/>
      <c r="AG4943" s="33"/>
      <c r="AH4943" s="33"/>
      <c r="AI4943" s="33"/>
      <c r="AJ4943" s="33"/>
      <c r="AK4943" s="33"/>
    </row>
    <row r="4944">
      <c r="A4944" s="33"/>
      <c r="B4944" s="33"/>
      <c r="C4944" s="33"/>
      <c r="D4944" s="33"/>
      <c r="E4944" s="33"/>
      <c r="F4944" s="33"/>
      <c r="G4944" s="33"/>
      <c r="H4944" s="33"/>
      <c r="I4944" s="33"/>
      <c r="J4944" s="33"/>
      <c r="K4944" s="33"/>
      <c r="L4944" s="33"/>
      <c r="M4944" s="33"/>
      <c r="N4944" s="33"/>
      <c r="O4944" s="33"/>
      <c r="P4944" s="33"/>
      <c r="Q4944" s="33"/>
      <c r="R4944" s="33"/>
      <c r="S4944" s="33"/>
      <c r="T4944" s="33"/>
      <c r="U4944" s="33"/>
      <c r="V4944" s="33"/>
      <c r="W4944" s="33"/>
      <c r="X4944" s="33"/>
      <c r="Y4944" s="33"/>
      <c r="Z4944" s="33"/>
      <c r="AA4944" s="33"/>
      <c r="AB4944" s="33"/>
      <c r="AC4944" s="33"/>
      <c r="AD4944" s="33"/>
      <c r="AE4944" s="33"/>
      <c r="AF4944" s="33"/>
      <c r="AG4944" s="33"/>
      <c r="AH4944" s="33"/>
      <c r="AI4944" s="33"/>
      <c r="AJ4944" s="33"/>
      <c r="AK4944" s="33"/>
    </row>
    <row r="4945">
      <c r="A4945" s="33"/>
      <c r="B4945" s="33"/>
      <c r="C4945" s="33"/>
      <c r="D4945" s="33"/>
      <c r="E4945" s="33"/>
      <c r="F4945" s="33"/>
      <c r="G4945" s="33"/>
      <c r="H4945" s="33"/>
      <c r="I4945" s="33"/>
      <c r="J4945" s="33"/>
      <c r="K4945" s="33"/>
      <c r="L4945" s="33"/>
      <c r="M4945" s="33"/>
      <c r="N4945" s="33"/>
      <c r="O4945" s="33"/>
      <c r="P4945" s="33"/>
      <c r="Q4945" s="33"/>
      <c r="R4945" s="33"/>
      <c r="S4945" s="33"/>
      <c r="T4945" s="33"/>
      <c r="U4945" s="33"/>
      <c r="V4945" s="33"/>
      <c r="W4945" s="33"/>
      <c r="X4945" s="33"/>
      <c r="Y4945" s="33"/>
      <c r="Z4945" s="33"/>
      <c r="AA4945" s="33"/>
      <c r="AB4945" s="33"/>
      <c r="AC4945" s="33"/>
      <c r="AD4945" s="33"/>
      <c r="AE4945" s="33"/>
      <c r="AF4945" s="33"/>
      <c r="AG4945" s="33"/>
      <c r="AH4945" s="33"/>
      <c r="AI4945" s="33"/>
      <c r="AJ4945" s="33"/>
      <c r="AK4945" s="33"/>
    </row>
    <row r="4946">
      <c r="A4946" s="33"/>
      <c r="B4946" s="33"/>
      <c r="C4946" s="33"/>
      <c r="D4946" s="33"/>
      <c r="E4946" s="33"/>
      <c r="F4946" s="33"/>
      <c r="G4946" s="33"/>
      <c r="H4946" s="33"/>
      <c r="I4946" s="33"/>
      <c r="J4946" s="33"/>
      <c r="K4946" s="33"/>
      <c r="L4946" s="33"/>
      <c r="M4946" s="33"/>
      <c r="N4946" s="33"/>
      <c r="O4946" s="33"/>
      <c r="P4946" s="33"/>
      <c r="Q4946" s="33"/>
      <c r="R4946" s="33"/>
      <c r="S4946" s="33"/>
      <c r="T4946" s="33"/>
      <c r="U4946" s="33"/>
      <c r="V4946" s="33"/>
      <c r="W4946" s="33"/>
      <c r="X4946" s="33"/>
      <c r="Y4946" s="33"/>
      <c r="Z4946" s="33"/>
      <c r="AA4946" s="33"/>
      <c r="AB4946" s="33"/>
      <c r="AC4946" s="33"/>
      <c r="AD4946" s="33"/>
      <c r="AE4946" s="33"/>
      <c r="AF4946" s="33"/>
      <c r="AG4946" s="33"/>
      <c r="AH4946" s="33"/>
      <c r="AI4946" s="33"/>
      <c r="AJ4946" s="33"/>
      <c r="AK4946" s="33"/>
    </row>
    <row r="4947">
      <c r="A4947" s="33"/>
      <c r="B4947" s="33"/>
      <c r="C4947" s="33"/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  <c r="Q4947" s="33"/>
      <c r="R4947" s="33"/>
      <c r="S4947" s="33"/>
      <c r="T4947" s="33"/>
      <c r="U4947" s="33"/>
      <c r="V4947" s="33"/>
      <c r="W4947" s="33"/>
      <c r="X4947" s="33"/>
      <c r="Y4947" s="33"/>
      <c r="Z4947" s="33"/>
      <c r="AA4947" s="33"/>
      <c r="AB4947" s="33"/>
      <c r="AC4947" s="33"/>
      <c r="AD4947" s="33"/>
      <c r="AE4947" s="33"/>
      <c r="AF4947" s="33"/>
      <c r="AG4947" s="33"/>
      <c r="AH4947" s="33"/>
      <c r="AI4947" s="33"/>
      <c r="AJ4947" s="33"/>
      <c r="AK4947" s="33"/>
    </row>
    <row r="4948">
      <c r="A4948" s="33"/>
      <c r="B4948" s="33"/>
      <c r="C4948" s="33"/>
      <c r="D4948" s="33"/>
      <c r="E4948" s="33"/>
      <c r="F4948" s="33"/>
      <c r="G4948" s="33"/>
      <c r="H4948" s="33"/>
      <c r="I4948" s="33"/>
      <c r="J4948" s="33"/>
      <c r="K4948" s="33"/>
      <c r="L4948" s="33"/>
      <c r="M4948" s="33"/>
      <c r="N4948" s="33"/>
      <c r="O4948" s="33"/>
      <c r="P4948" s="33"/>
      <c r="Q4948" s="33"/>
      <c r="R4948" s="33"/>
      <c r="S4948" s="33"/>
      <c r="T4948" s="33"/>
      <c r="U4948" s="33"/>
      <c r="V4948" s="33"/>
      <c r="W4948" s="33"/>
      <c r="X4948" s="33"/>
      <c r="Y4948" s="33"/>
      <c r="Z4948" s="33"/>
      <c r="AA4948" s="33"/>
      <c r="AB4948" s="33"/>
      <c r="AC4948" s="33"/>
      <c r="AD4948" s="33"/>
      <c r="AE4948" s="33"/>
      <c r="AF4948" s="33"/>
      <c r="AG4948" s="33"/>
      <c r="AH4948" s="33"/>
      <c r="AI4948" s="33"/>
      <c r="AJ4948" s="33"/>
      <c r="AK4948" s="33"/>
    </row>
    <row r="4949">
      <c r="A4949" s="33"/>
      <c r="B4949" s="33"/>
      <c r="C4949" s="33"/>
      <c r="D4949" s="33"/>
      <c r="E4949" s="33"/>
      <c r="F4949" s="33"/>
      <c r="G4949" s="33"/>
      <c r="H4949" s="33"/>
      <c r="I4949" s="33"/>
      <c r="J4949" s="33"/>
      <c r="K4949" s="33"/>
      <c r="L4949" s="33"/>
      <c r="M4949" s="33"/>
      <c r="N4949" s="33"/>
      <c r="O4949" s="33"/>
      <c r="P4949" s="33"/>
      <c r="Q4949" s="33"/>
      <c r="R4949" s="33"/>
      <c r="S4949" s="33"/>
      <c r="T4949" s="33"/>
      <c r="U4949" s="33"/>
      <c r="V4949" s="33"/>
      <c r="W4949" s="33"/>
      <c r="X4949" s="33"/>
      <c r="Y4949" s="33"/>
      <c r="Z4949" s="33"/>
      <c r="AA4949" s="33"/>
      <c r="AB4949" s="33"/>
      <c r="AC4949" s="33"/>
      <c r="AD4949" s="33"/>
      <c r="AE4949" s="33"/>
      <c r="AF4949" s="33"/>
      <c r="AG4949" s="33"/>
      <c r="AH4949" s="33"/>
      <c r="AI4949" s="33"/>
      <c r="AJ4949" s="33"/>
      <c r="AK4949" s="33"/>
    </row>
    <row r="4950">
      <c r="A4950" s="33"/>
      <c r="B4950" s="33"/>
      <c r="C4950" s="33"/>
      <c r="D4950" s="33"/>
      <c r="E4950" s="33"/>
      <c r="F4950" s="33"/>
      <c r="G4950" s="33"/>
      <c r="H4950" s="33"/>
      <c r="I4950" s="33"/>
      <c r="J4950" s="33"/>
      <c r="K4950" s="33"/>
      <c r="L4950" s="33"/>
      <c r="M4950" s="33"/>
      <c r="N4950" s="33"/>
      <c r="O4950" s="33"/>
      <c r="P4950" s="33"/>
      <c r="Q4950" s="33"/>
      <c r="R4950" s="33"/>
      <c r="S4950" s="33"/>
      <c r="T4950" s="33"/>
      <c r="U4950" s="33"/>
      <c r="V4950" s="33"/>
      <c r="W4950" s="33"/>
      <c r="X4950" s="33"/>
      <c r="Y4950" s="33"/>
      <c r="Z4950" s="33"/>
      <c r="AA4950" s="33"/>
      <c r="AB4950" s="33"/>
      <c r="AC4950" s="33"/>
      <c r="AD4950" s="33"/>
      <c r="AE4950" s="33"/>
      <c r="AF4950" s="33"/>
      <c r="AG4950" s="33"/>
      <c r="AH4950" s="33"/>
      <c r="AI4950" s="33"/>
      <c r="AJ4950" s="33"/>
      <c r="AK4950" s="33"/>
    </row>
    <row r="4951">
      <c r="A4951" s="33"/>
      <c r="B4951" s="33"/>
      <c r="C4951" s="33"/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  <c r="Q4951" s="33"/>
      <c r="R4951" s="33"/>
      <c r="S4951" s="33"/>
      <c r="T4951" s="33"/>
      <c r="U4951" s="33"/>
      <c r="V4951" s="33"/>
      <c r="W4951" s="33"/>
      <c r="X4951" s="33"/>
      <c r="Y4951" s="33"/>
      <c r="Z4951" s="33"/>
      <c r="AA4951" s="33"/>
      <c r="AB4951" s="33"/>
      <c r="AC4951" s="33"/>
      <c r="AD4951" s="33"/>
      <c r="AE4951" s="33"/>
      <c r="AF4951" s="33"/>
      <c r="AG4951" s="33"/>
      <c r="AH4951" s="33"/>
      <c r="AI4951" s="33"/>
      <c r="AJ4951" s="33"/>
      <c r="AK4951" s="33"/>
    </row>
    <row r="4952">
      <c r="A4952" s="33"/>
      <c r="B4952" s="33"/>
      <c r="C4952" s="33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33"/>
      <c r="Q4952" s="33"/>
      <c r="R4952" s="33"/>
      <c r="S4952" s="33"/>
      <c r="T4952" s="33"/>
      <c r="U4952" s="33"/>
      <c r="V4952" s="33"/>
      <c r="W4952" s="33"/>
      <c r="X4952" s="33"/>
      <c r="Y4952" s="33"/>
      <c r="Z4952" s="33"/>
      <c r="AA4952" s="33"/>
      <c r="AB4952" s="33"/>
      <c r="AC4952" s="33"/>
      <c r="AD4952" s="33"/>
      <c r="AE4952" s="33"/>
      <c r="AF4952" s="33"/>
      <c r="AG4952" s="33"/>
      <c r="AH4952" s="33"/>
      <c r="AI4952" s="33"/>
      <c r="AJ4952" s="33"/>
      <c r="AK4952" s="33"/>
    </row>
    <row r="4953">
      <c r="A4953" s="33"/>
      <c r="B4953" s="33"/>
      <c r="C4953" s="33"/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33"/>
      <c r="Q4953" s="33"/>
      <c r="R4953" s="33"/>
      <c r="S4953" s="33"/>
      <c r="T4953" s="33"/>
      <c r="U4953" s="33"/>
      <c r="V4953" s="33"/>
      <c r="W4953" s="33"/>
      <c r="X4953" s="33"/>
      <c r="Y4953" s="33"/>
      <c r="Z4953" s="33"/>
      <c r="AA4953" s="33"/>
      <c r="AB4953" s="33"/>
      <c r="AC4953" s="33"/>
      <c r="AD4953" s="33"/>
      <c r="AE4953" s="33"/>
      <c r="AF4953" s="33"/>
      <c r="AG4953" s="33"/>
      <c r="AH4953" s="33"/>
      <c r="AI4953" s="33"/>
      <c r="AJ4953" s="33"/>
      <c r="AK4953" s="33"/>
    </row>
    <row r="4954">
      <c r="A4954" s="33"/>
      <c r="B4954" s="33"/>
      <c r="C4954" s="33"/>
      <c r="D4954" s="33"/>
      <c r="E4954" s="33"/>
      <c r="F4954" s="33"/>
      <c r="G4954" s="33"/>
      <c r="H4954" s="33"/>
      <c r="I4954" s="33"/>
      <c r="J4954" s="33"/>
      <c r="K4954" s="33"/>
      <c r="L4954" s="33"/>
      <c r="M4954" s="33"/>
      <c r="N4954" s="33"/>
      <c r="O4954" s="33"/>
      <c r="P4954" s="33"/>
      <c r="Q4954" s="33"/>
      <c r="R4954" s="33"/>
      <c r="S4954" s="33"/>
      <c r="T4954" s="33"/>
      <c r="U4954" s="33"/>
      <c r="V4954" s="33"/>
      <c r="W4954" s="33"/>
      <c r="X4954" s="33"/>
      <c r="Y4954" s="33"/>
      <c r="Z4954" s="33"/>
      <c r="AA4954" s="33"/>
      <c r="AB4954" s="33"/>
      <c r="AC4954" s="33"/>
      <c r="AD4954" s="33"/>
      <c r="AE4954" s="33"/>
      <c r="AF4954" s="33"/>
      <c r="AG4954" s="33"/>
      <c r="AH4954" s="33"/>
      <c r="AI4954" s="33"/>
      <c r="AJ4954" s="33"/>
      <c r="AK4954" s="33"/>
    </row>
    <row r="4955">
      <c r="A4955" s="33"/>
      <c r="B4955" s="33"/>
      <c r="C4955" s="33"/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  <c r="Q4955" s="33"/>
      <c r="R4955" s="33"/>
      <c r="S4955" s="33"/>
      <c r="T4955" s="33"/>
      <c r="U4955" s="33"/>
      <c r="V4955" s="33"/>
      <c r="W4955" s="33"/>
      <c r="X4955" s="33"/>
      <c r="Y4955" s="33"/>
      <c r="Z4955" s="33"/>
      <c r="AA4955" s="33"/>
      <c r="AB4955" s="33"/>
      <c r="AC4955" s="33"/>
      <c r="AD4955" s="33"/>
      <c r="AE4955" s="33"/>
      <c r="AF4955" s="33"/>
      <c r="AG4955" s="33"/>
      <c r="AH4955" s="33"/>
      <c r="AI4955" s="33"/>
      <c r="AJ4955" s="33"/>
      <c r="AK4955" s="33"/>
    </row>
    <row r="4956">
      <c r="A4956" s="33"/>
      <c r="B4956" s="33"/>
      <c r="C4956" s="33"/>
      <c r="D4956" s="33"/>
      <c r="E4956" s="33"/>
      <c r="F4956" s="33"/>
      <c r="G4956" s="33"/>
      <c r="H4956" s="33"/>
      <c r="I4956" s="33"/>
      <c r="J4956" s="33"/>
      <c r="K4956" s="33"/>
      <c r="L4956" s="33"/>
      <c r="M4956" s="33"/>
      <c r="N4956" s="33"/>
      <c r="O4956" s="33"/>
      <c r="P4956" s="33"/>
      <c r="Q4956" s="33"/>
      <c r="R4956" s="33"/>
      <c r="S4956" s="33"/>
      <c r="T4956" s="33"/>
      <c r="U4956" s="33"/>
      <c r="V4956" s="33"/>
      <c r="W4956" s="33"/>
      <c r="X4956" s="33"/>
      <c r="Y4956" s="33"/>
      <c r="Z4956" s="33"/>
      <c r="AA4956" s="33"/>
      <c r="AB4956" s="33"/>
      <c r="AC4956" s="33"/>
      <c r="AD4956" s="33"/>
      <c r="AE4956" s="33"/>
      <c r="AF4956" s="33"/>
      <c r="AG4956" s="33"/>
      <c r="AH4956" s="33"/>
      <c r="AI4956" s="33"/>
      <c r="AJ4956" s="33"/>
      <c r="AK4956" s="33"/>
    </row>
    <row r="4957">
      <c r="A4957" s="33"/>
      <c r="B4957" s="33"/>
      <c r="C4957" s="33"/>
      <c r="D4957" s="33"/>
      <c r="E4957" s="33"/>
      <c r="F4957" s="33"/>
      <c r="G4957" s="33"/>
      <c r="H4957" s="33"/>
      <c r="I4957" s="33"/>
      <c r="J4957" s="33"/>
      <c r="K4957" s="33"/>
      <c r="L4957" s="33"/>
      <c r="M4957" s="33"/>
      <c r="N4957" s="33"/>
      <c r="O4957" s="33"/>
      <c r="P4957" s="33"/>
      <c r="Q4957" s="33"/>
      <c r="R4957" s="33"/>
      <c r="S4957" s="33"/>
      <c r="T4957" s="33"/>
      <c r="U4957" s="33"/>
      <c r="V4957" s="33"/>
      <c r="W4957" s="33"/>
      <c r="X4957" s="33"/>
      <c r="Y4957" s="33"/>
      <c r="Z4957" s="33"/>
      <c r="AA4957" s="33"/>
      <c r="AB4957" s="33"/>
      <c r="AC4957" s="33"/>
      <c r="AD4957" s="33"/>
      <c r="AE4957" s="33"/>
      <c r="AF4957" s="33"/>
      <c r="AG4957" s="33"/>
      <c r="AH4957" s="33"/>
      <c r="AI4957" s="33"/>
      <c r="AJ4957" s="33"/>
      <c r="AK4957" s="33"/>
    </row>
    <row r="4958">
      <c r="A4958" s="33"/>
      <c r="B4958" s="33"/>
      <c r="C4958" s="33"/>
      <c r="D4958" s="33"/>
      <c r="E4958" s="33"/>
      <c r="F4958" s="33"/>
      <c r="G4958" s="33"/>
      <c r="H4958" s="33"/>
      <c r="I4958" s="33"/>
      <c r="J4958" s="33"/>
      <c r="K4958" s="33"/>
      <c r="L4958" s="33"/>
      <c r="M4958" s="33"/>
      <c r="N4958" s="33"/>
      <c r="O4958" s="33"/>
      <c r="P4958" s="33"/>
      <c r="Q4958" s="33"/>
      <c r="R4958" s="33"/>
      <c r="S4958" s="33"/>
      <c r="T4958" s="33"/>
      <c r="U4958" s="33"/>
      <c r="V4958" s="33"/>
      <c r="W4958" s="33"/>
      <c r="X4958" s="33"/>
      <c r="Y4958" s="33"/>
      <c r="Z4958" s="33"/>
      <c r="AA4958" s="33"/>
      <c r="AB4958" s="33"/>
      <c r="AC4958" s="33"/>
      <c r="AD4958" s="33"/>
      <c r="AE4958" s="33"/>
      <c r="AF4958" s="33"/>
      <c r="AG4958" s="33"/>
      <c r="AH4958" s="33"/>
      <c r="AI4958" s="33"/>
      <c r="AJ4958" s="33"/>
      <c r="AK4958" s="33"/>
    </row>
    <row r="4959">
      <c r="A4959" s="33"/>
      <c r="B4959" s="33"/>
      <c r="C4959" s="33"/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  <c r="Q4959" s="33"/>
      <c r="R4959" s="33"/>
      <c r="S4959" s="33"/>
      <c r="T4959" s="33"/>
      <c r="U4959" s="33"/>
      <c r="V4959" s="33"/>
      <c r="W4959" s="33"/>
      <c r="X4959" s="33"/>
      <c r="Y4959" s="33"/>
      <c r="Z4959" s="33"/>
      <c r="AA4959" s="33"/>
      <c r="AB4959" s="33"/>
      <c r="AC4959" s="33"/>
      <c r="AD4959" s="33"/>
      <c r="AE4959" s="33"/>
      <c r="AF4959" s="33"/>
      <c r="AG4959" s="33"/>
      <c r="AH4959" s="33"/>
      <c r="AI4959" s="33"/>
      <c r="AJ4959" s="33"/>
      <c r="AK4959" s="33"/>
    </row>
    <row r="4960">
      <c r="A4960" s="33"/>
      <c r="B4960" s="33"/>
      <c r="C4960" s="33"/>
      <c r="D4960" s="33"/>
      <c r="E4960" s="33"/>
      <c r="F4960" s="33"/>
      <c r="G4960" s="33"/>
      <c r="H4960" s="33"/>
      <c r="I4960" s="33"/>
      <c r="J4960" s="33"/>
      <c r="K4960" s="33"/>
      <c r="L4960" s="33"/>
      <c r="M4960" s="33"/>
      <c r="N4960" s="33"/>
      <c r="O4960" s="33"/>
      <c r="P4960" s="33"/>
      <c r="Q4960" s="33"/>
      <c r="R4960" s="33"/>
      <c r="S4960" s="33"/>
      <c r="T4960" s="33"/>
      <c r="U4960" s="33"/>
      <c r="V4960" s="33"/>
      <c r="W4960" s="33"/>
      <c r="X4960" s="33"/>
      <c r="Y4960" s="33"/>
      <c r="Z4960" s="33"/>
      <c r="AA4960" s="33"/>
      <c r="AB4960" s="33"/>
      <c r="AC4960" s="33"/>
      <c r="AD4960" s="33"/>
      <c r="AE4960" s="33"/>
      <c r="AF4960" s="33"/>
      <c r="AG4960" s="33"/>
      <c r="AH4960" s="33"/>
      <c r="AI4960" s="33"/>
      <c r="AJ4960" s="33"/>
      <c r="AK4960" s="33"/>
    </row>
    <row r="4961">
      <c r="A4961" s="33"/>
      <c r="B4961" s="33"/>
      <c r="C4961" s="33"/>
      <c r="D4961" s="33"/>
      <c r="E4961" s="33"/>
      <c r="F4961" s="33"/>
      <c r="G4961" s="33"/>
      <c r="H4961" s="33"/>
      <c r="I4961" s="33"/>
      <c r="J4961" s="33"/>
      <c r="K4961" s="33"/>
      <c r="L4961" s="33"/>
      <c r="M4961" s="33"/>
      <c r="N4961" s="33"/>
      <c r="O4961" s="33"/>
      <c r="P4961" s="33"/>
      <c r="Q4961" s="33"/>
      <c r="R4961" s="33"/>
      <c r="S4961" s="33"/>
      <c r="T4961" s="33"/>
      <c r="U4961" s="33"/>
      <c r="V4961" s="33"/>
      <c r="W4961" s="33"/>
      <c r="X4961" s="33"/>
      <c r="Y4961" s="33"/>
      <c r="Z4961" s="33"/>
      <c r="AA4961" s="33"/>
      <c r="AB4961" s="33"/>
      <c r="AC4961" s="33"/>
      <c r="AD4961" s="33"/>
      <c r="AE4961" s="33"/>
      <c r="AF4961" s="33"/>
      <c r="AG4961" s="33"/>
      <c r="AH4961" s="33"/>
      <c r="AI4961" s="33"/>
      <c r="AJ4961" s="33"/>
      <c r="AK4961" s="33"/>
    </row>
    <row r="4962">
      <c r="A4962" s="33"/>
      <c r="B4962" s="33"/>
      <c r="C4962" s="33"/>
      <c r="D4962" s="33"/>
      <c r="E4962" s="33"/>
      <c r="F4962" s="33"/>
      <c r="G4962" s="33"/>
      <c r="H4962" s="33"/>
      <c r="I4962" s="33"/>
      <c r="J4962" s="33"/>
      <c r="K4962" s="33"/>
      <c r="L4962" s="33"/>
      <c r="M4962" s="33"/>
      <c r="N4962" s="33"/>
      <c r="O4962" s="33"/>
      <c r="P4962" s="33"/>
      <c r="Q4962" s="33"/>
      <c r="R4962" s="33"/>
      <c r="S4962" s="33"/>
      <c r="T4962" s="33"/>
      <c r="U4962" s="33"/>
      <c r="V4962" s="33"/>
      <c r="W4962" s="33"/>
      <c r="X4962" s="33"/>
      <c r="Y4962" s="33"/>
      <c r="Z4962" s="33"/>
      <c r="AA4962" s="33"/>
      <c r="AB4962" s="33"/>
      <c r="AC4962" s="33"/>
      <c r="AD4962" s="33"/>
      <c r="AE4962" s="33"/>
      <c r="AF4962" s="33"/>
      <c r="AG4962" s="33"/>
      <c r="AH4962" s="33"/>
      <c r="AI4962" s="33"/>
      <c r="AJ4962" s="33"/>
      <c r="AK4962" s="33"/>
    </row>
    <row r="4963">
      <c r="A4963" s="33"/>
      <c r="B4963" s="33"/>
      <c r="C4963" s="33"/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  <c r="Q4963" s="33"/>
      <c r="R4963" s="33"/>
      <c r="S4963" s="33"/>
      <c r="T4963" s="33"/>
      <c r="U4963" s="33"/>
      <c r="V4963" s="33"/>
      <c r="W4963" s="33"/>
      <c r="X4963" s="33"/>
      <c r="Y4963" s="33"/>
      <c r="Z4963" s="33"/>
      <c r="AA4963" s="33"/>
      <c r="AB4963" s="33"/>
      <c r="AC4963" s="33"/>
      <c r="AD4963" s="33"/>
      <c r="AE4963" s="33"/>
      <c r="AF4963" s="33"/>
      <c r="AG4963" s="33"/>
      <c r="AH4963" s="33"/>
      <c r="AI4963" s="33"/>
      <c r="AJ4963" s="33"/>
      <c r="AK4963" s="33"/>
    </row>
    <row r="4964">
      <c r="A4964" s="33"/>
      <c r="B4964" s="33"/>
      <c r="C4964" s="33"/>
      <c r="D4964" s="33"/>
      <c r="E4964" s="33"/>
      <c r="F4964" s="33"/>
      <c r="G4964" s="33"/>
      <c r="H4964" s="33"/>
      <c r="I4964" s="33"/>
      <c r="J4964" s="33"/>
      <c r="K4964" s="33"/>
      <c r="L4964" s="33"/>
      <c r="M4964" s="33"/>
      <c r="N4964" s="33"/>
      <c r="O4964" s="33"/>
      <c r="P4964" s="33"/>
      <c r="Q4964" s="33"/>
      <c r="R4964" s="33"/>
      <c r="S4964" s="33"/>
      <c r="T4964" s="33"/>
      <c r="U4964" s="33"/>
      <c r="V4964" s="33"/>
      <c r="W4964" s="33"/>
      <c r="X4964" s="33"/>
      <c r="Y4964" s="33"/>
      <c r="Z4964" s="33"/>
      <c r="AA4964" s="33"/>
      <c r="AB4964" s="33"/>
      <c r="AC4964" s="33"/>
      <c r="AD4964" s="33"/>
      <c r="AE4964" s="33"/>
      <c r="AF4964" s="33"/>
      <c r="AG4964" s="33"/>
      <c r="AH4964" s="33"/>
      <c r="AI4964" s="33"/>
      <c r="AJ4964" s="33"/>
      <c r="AK4964" s="33"/>
    </row>
    <row r="4965">
      <c r="A4965" s="33"/>
      <c r="B4965" s="33"/>
      <c r="C4965" s="33"/>
      <c r="D4965" s="33"/>
      <c r="E4965" s="33"/>
      <c r="F4965" s="33"/>
      <c r="G4965" s="33"/>
      <c r="H4965" s="33"/>
      <c r="I4965" s="33"/>
      <c r="J4965" s="33"/>
      <c r="K4965" s="33"/>
      <c r="L4965" s="33"/>
      <c r="M4965" s="33"/>
      <c r="N4965" s="33"/>
      <c r="O4965" s="33"/>
      <c r="P4965" s="33"/>
      <c r="Q4965" s="33"/>
      <c r="R4965" s="33"/>
      <c r="S4965" s="33"/>
      <c r="T4965" s="33"/>
      <c r="U4965" s="33"/>
      <c r="V4965" s="33"/>
      <c r="W4965" s="33"/>
      <c r="X4965" s="33"/>
      <c r="Y4965" s="33"/>
      <c r="Z4965" s="33"/>
      <c r="AA4965" s="33"/>
      <c r="AB4965" s="33"/>
      <c r="AC4965" s="33"/>
      <c r="AD4965" s="33"/>
      <c r="AE4965" s="33"/>
      <c r="AF4965" s="33"/>
      <c r="AG4965" s="33"/>
      <c r="AH4965" s="33"/>
      <c r="AI4965" s="33"/>
      <c r="AJ4965" s="33"/>
      <c r="AK4965" s="33"/>
    </row>
    <row r="4966">
      <c r="A4966" s="33"/>
      <c r="B4966" s="33"/>
      <c r="C4966" s="33"/>
      <c r="D4966" s="33"/>
      <c r="E4966" s="33"/>
      <c r="F4966" s="33"/>
      <c r="G4966" s="33"/>
      <c r="H4966" s="33"/>
      <c r="I4966" s="33"/>
      <c r="J4966" s="33"/>
      <c r="K4966" s="33"/>
      <c r="L4966" s="33"/>
      <c r="M4966" s="33"/>
      <c r="N4966" s="33"/>
      <c r="O4966" s="33"/>
      <c r="P4966" s="33"/>
      <c r="Q4966" s="33"/>
      <c r="R4966" s="33"/>
      <c r="S4966" s="33"/>
      <c r="T4966" s="33"/>
      <c r="U4966" s="33"/>
      <c r="V4966" s="33"/>
      <c r="W4966" s="33"/>
      <c r="X4966" s="33"/>
      <c r="Y4966" s="33"/>
      <c r="Z4966" s="33"/>
      <c r="AA4966" s="33"/>
      <c r="AB4966" s="33"/>
      <c r="AC4966" s="33"/>
      <c r="AD4966" s="33"/>
      <c r="AE4966" s="33"/>
      <c r="AF4966" s="33"/>
      <c r="AG4966" s="33"/>
      <c r="AH4966" s="33"/>
      <c r="AI4966" s="33"/>
      <c r="AJ4966" s="33"/>
      <c r="AK4966" s="33"/>
    </row>
    <row r="4967">
      <c r="A4967" s="33"/>
      <c r="B4967" s="33"/>
      <c r="C4967" s="33"/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  <c r="Q4967" s="33"/>
      <c r="R4967" s="33"/>
      <c r="S4967" s="33"/>
      <c r="T4967" s="33"/>
      <c r="U4967" s="33"/>
      <c r="V4967" s="33"/>
      <c r="W4967" s="33"/>
      <c r="X4967" s="33"/>
      <c r="Y4967" s="33"/>
      <c r="Z4967" s="33"/>
      <c r="AA4967" s="33"/>
      <c r="AB4967" s="33"/>
      <c r="AC4967" s="33"/>
      <c r="AD4967" s="33"/>
      <c r="AE4967" s="33"/>
      <c r="AF4967" s="33"/>
      <c r="AG4967" s="33"/>
      <c r="AH4967" s="33"/>
      <c r="AI4967" s="33"/>
      <c r="AJ4967" s="33"/>
      <c r="AK4967" s="33"/>
    </row>
    <row r="4968">
      <c r="A4968" s="33"/>
      <c r="B4968" s="33"/>
      <c r="C4968" s="33"/>
      <c r="D4968" s="33"/>
      <c r="E4968" s="33"/>
      <c r="F4968" s="33"/>
      <c r="G4968" s="33"/>
      <c r="H4968" s="33"/>
      <c r="I4968" s="33"/>
      <c r="J4968" s="33"/>
      <c r="K4968" s="33"/>
      <c r="L4968" s="33"/>
      <c r="M4968" s="33"/>
      <c r="N4968" s="33"/>
      <c r="O4968" s="33"/>
      <c r="P4968" s="33"/>
      <c r="Q4968" s="33"/>
      <c r="R4968" s="33"/>
      <c r="S4968" s="33"/>
      <c r="T4968" s="33"/>
      <c r="U4968" s="33"/>
      <c r="V4968" s="33"/>
      <c r="W4968" s="33"/>
      <c r="X4968" s="33"/>
      <c r="Y4968" s="33"/>
      <c r="Z4968" s="33"/>
      <c r="AA4968" s="33"/>
      <c r="AB4968" s="33"/>
      <c r="AC4968" s="33"/>
      <c r="AD4968" s="33"/>
      <c r="AE4968" s="33"/>
      <c r="AF4968" s="33"/>
      <c r="AG4968" s="33"/>
      <c r="AH4968" s="33"/>
      <c r="AI4968" s="33"/>
      <c r="AJ4968" s="33"/>
      <c r="AK4968" s="33"/>
    </row>
    <row r="4969">
      <c r="A4969" s="33"/>
      <c r="B4969" s="33"/>
      <c r="C4969" s="33"/>
      <c r="D4969" s="33"/>
      <c r="E4969" s="33"/>
      <c r="F4969" s="33"/>
      <c r="G4969" s="33"/>
      <c r="H4969" s="33"/>
      <c r="I4969" s="33"/>
      <c r="J4969" s="33"/>
      <c r="K4969" s="33"/>
      <c r="L4969" s="33"/>
      <c r="M4969" s="33"/>
      <c r="N4969" s="33"/>
      <c r="O4969" s="33"/>
      <c r="P4969" s="33"/>
      <c r="Q4969" s="33"/>
      <c r="R4969" s="33"/>
      <c r="S4969" s="33"/>
      <c r="T4969" s="33"/>
      <c r="U4969" s="33"/>
      <c r="V4969" s="33"/>
      <c r="W4969" s="33"/>
      <c r="X4969" s="33"/>
      <c r="Y4969" s="33"/>
      <c r="Z4969" s="33"/>
      <c r="AA4969" s="33"/>
      <c r="AB4969" s="33"/>
      <c r="AC4969" s="33"/>
      <c r="AD4969" s="33"/>
      <c r="AE4969" s="33"/>
      <c r="AF4969" s="33"/>
      <c r="AG4969" s="33"/>
      <c r="AH4969" s="33"/>
      <c r="AI4969" s="33"/>
      <c r="AJ4969" s="33"/>
      <c r="AK4969" s="33"/>
    </row>
    <row r="4970">
      <c r="A4970" s="33"/>
      <c r="B4970" s="33"/>
      <c r="C4970" s="33"/>
      <c r="D4970" s="33"/>
      <c r="E4970" s="33"/>
      <c r="F4970" s="33"/>
      <c r="G4970" s="33"/>
      <c r="H4970" s="33"/>
      <c r="I4970" s="33"/>
      <c r="J4970" s="33"/>
      <c r="K4970" s="33"/>
      <c r="L4970" s="33"/>
      <c r="M4970" s="33"/>
      <c r="N4970" s="33"/>
      <c r="O4970" s="33"/>
      <c r="P4970" s="33"/>
      <c r="Q4970" s="33"/>
      <c r="R4970" s="33"/>
      <c r="S4970" s="33"/>
      <c r="T4970" s="33"/>
      <c r="U4970" s="33"/>
      <c r="V4970" s="33"/>
      <c r="W4970" s="33"/>
      <c r="X4970" s="33"/>
      <c r="Y4970" s="33"/>
      <c r="Z4970" s="33"/>
      <c r="AA4970" s="33"/>
      <c r="AB4970" s="33"/>
      <c r="AC4970" s="33"/>
      <c r="AD4970" s="33"/>
      <c r="AE4970" s="33"/>
      <c r="AF4970" s="33"/>
      <c r="AG4970" s="33"/>
      <c r="AH4970" s="33"/>
      <c r="AI4970" s="33"/>
      <c r="AJ4970" s="33"/>
      <c r="AK4970" s="33"/>
    </row>
    <row r="4971">
      <c r="A4971" s="33"/>
      <c r="B4971" s="33"/>
      <c r="C4971" s="33"/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  <c r="Q4971" s="33"/>
      <c r="R4971" s="33"/>
      <c r="S4971" s="33"/>
      <c r="T4971" s="33"/>
      <c r="U4971" s="33"/>
      <c r="V4971" s="33"/>
      <c r="W4971" s="33"/>
      <c r="X4971" s="33"/>
      <c r="Y4971" s="33"/>
      <c r="Z4971" s="33"/>
      <c r="AA4971" s="33"/>
      <c r="AB4971" s="33"/>
      <c r="AC4971" s="33"/>
      <c r="AD4971" s="33"/>
      <c r="AE4971" s="33"/>
      <c r="AF4971" s="33"/>
      <c r="AG4971" s="33"/>
      <c r="AH4971" s="33"/>
      <c r="AI4971" s="33"/>
      <c r="AJ4971" s="33"/>
      <c r="AK4971" s="33"/>
    </row>
    <row r="4972">
      <c r="A4972" s="33"/>
      <c r="B4972" s="33"/>
      <c r="C4972" s="33"/>
      <c r="D4972" s="33"/>
      <c r="E4972" s="33"/>
      <c r="F4972" s="33"/>
      <c r="G4972" s="33"/>
      <c r="H4972" s="33"/>
      <c r="I4972" s="33"/>
      <c r="J4972" s="33"/>
      <c r="K4972" s="33"/>
      <c r="L4972" s="33"/>
      <c r="M4972" s="33"/>
      <c r="N4972" s="33"/>
      <c r="O4972" s="33"/>
      <c r="P4972" s="33"/>
      <c r="Q4972" s="33"/>
      <c r="R4972" s="33"/>
      <c r="S4972" s="33"/>
      <c r="T4972" s="33"/>
      <c r="U4972" s="33"/>
      <c r="V4972" s="33"/>
      <c r="W4972" s="33"/>
      <c r="X4972" s="33"/>
      <c r="Y4972" s="33"/>
      <c r="Z4972" s="33"/>
      <c r="AA4972" s="33"/>
      <c r="AB4972" s="33"/>
      <c r="AC4972" s="33"/>
      <c r="AD4972" s="33"/>
      <c r="AE4972" s="33"/>
      <c r="AF4972" s="33"/>
      <c r="AG4972" s="33"/>
      <c r="AH4972" s="33"/>
      <c r="AI4972" s="33"/>
      <c r="AJ4972" s="33"/>
      <c r="AK4972" s="33"/>
    </row>
    <row r="4973">
      <c r="A4973" s="33"/>
      <c r="B4973" s="33"/>
      <c r="C4973" s="33"/>
      <c r="D4973" s="33"/>
      <c r="E4973" s="33"/>
      <c r="F4973" s="33"/>
      <c r="G4973" s="33"/>
      <c r="H4973" s="33"/>
      <c r="I4973" s="33"/>
      <c r="J4973" s="33"/>
      <c r="K4973" s="33"/>
      <c r="L4973" s="33"/>
      <c r="M4973" s="33"/>
      <c r="N4973" s="33"/>
      <c r="O4973" s="33"/>
      <c r="P4973" s="33"/>
      <c r="Q4973" s="33"/>
      <c r="R4973" s="33"/>
      <c r="S4973" s="33"/>
      <c r="T4973" s="33"/>
      <c r="U4973" s="33"/>
      <c r="V4973" s="33"/>
      <c r="W4973" s="33"/>
      <c r="X4973" s="33"/>
      <c r="Y4973" s="33"/>
      <c r="Z4973" s="33"/>
      <c r="AA4973" s="33"/>
      <c r="AB4973" s="33"/>
      <c r="AC4973" s="33"/>
      <c r="AD4973" s="33"/>
      <c r="AE4973" s="33"/>
      <c r="AF4973" s="33"/>
      <c r="AG4973" s="33"/>
      <c r="AH4973" s="33"/>
      <c r="AI4973" s="33"/>
      <c r="AJ4973" s="33"/>
      <c r="AK4973" s="33"/>
    </row>
    <row r="4974">
      <c r="A4974" s="33"/>
      <c r="B4974" s="33"/>
      <c r="C4974" s="33"/>
      <c r="D4974" s="33"/>
      <c r="E4974" s="33"/>
      <c r="F4974" s="33"/>
      <c r="G4974" s="33"/>
      <c r="H4974" s="33"/>
      <c r="I4974" s="33"/>
      <c r="J4974" s="33"/>
      <c r="K4974" s="33"/>
      <c r="L4974" s="33"/>
      <c r="M4974" s="33"/>
      <c r="N4974" s="33"/>
      <c r="O4974" s="33"/>
      <c r="P4974" s="33"/>
      <c r="Q4974" s="33"/>
      <c r="R4974" s="33"/>
      <c r="S4974" s="33"/>
      <c r="T4974" s="33"/>
      <c r="U4974" s="33"/>
      <c r="V4974" s="33"/>
      <c r="W4974" s="33"/>
      <c r="X4974" s="33"/>
      <c r="Y4974" s="33"/>
      <c r="Z4974" s="33"/>
      <c r="AA4974" s="33"/>
      <c r="AB4974" s="33"/>
      <c r="AC4974" s="33"/>
      <c r="AD4974" s="33"/>
      <c r="AE4974" s="33"/>
      <c r="AF4974" s="33"/>
      <c r="AG4974" s="33"/>
      <c r="AH4974" s="33"/>
      <c r="AI4974" s="33"/>
      <c r="AJ4974" s="33"/>
      <c r="AK4974" s="33"/>
    </row>
    <row r="4975">
      <c r="A4975" s="33"/>
      <c r="B4975" s="33"/>
      <c r="C4975" s="33"/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3"/>
      <c r="S4975" s="33"/>
      <c r="T4975" s="33"/>
      <c r="U4975" s="33"/>
      <c r="V4975" s="33"/>
      <c r="W4975" s="33"/>
      <c r="X4975" s="33"/>
      <c r="Y4975" s="33"/>
      <c r="Z4975" s="33"/>
      <c r="AA4975" s="33"/>
      <c r="AB4975" s="33"/>
      <c r="AC4975" s="33"/>
      <c r="AD4975" s="33"/>
      <c r="AE4975" s="33"/>
      <c r="AF4975" s="33"/>
      <c r="AG4975" s="33"/>
      <c r="AH4975" s="33"/>
      <c r="AI4975" s="33"/>
      <c r="AJ4975" s="33"/>
      <c r="AK4975" s="33"/>
    </row>
    <row r="4976">
      <c r="A4976" s="33"/>
      <c r="B4976" s="33"/>
      <c r="C4976" s="33"/>
      <c r="D4976" s="33"/>
      <c r="E4976" s="33"/>
      <c r="F4976" s="33"/>
      <c r="G4976" s="33"/>
      <c r="H4976" s="33"/>
      <c r="I4976" s="33"/>
      <c r="J4976" s="33"/>
      <c r="K4976" s="33"/>
      <c r="L4976" s="33"/>
      <c r="M4976" s="33"/>
      <c r="N4976" s="33"/>
      <c r="O4976" s="33"/>
      <c r="P4976" s="33"/>
      <c r="Q4976" s="33"/>
      <c r="R4976" s="33"/>
      <c r="S4976" s="33"/>
      <c r="T4976" s="33"/>
      <c r="U4976" s="33"/>
      <c r="V4976" s="33"/>
      <c r="W4976" s="33"/>
      <c r="X4976" s="33"/>
      <c r="Y4976" s="33"/>
      <c r="Z4976" s="33"/>
      <c r="AA4976" s="33"/>
      <c r="AB4976" s="33"/>
      <c r="AC4976" s="33"/>
      <c r="AD4976" s="33"/>
      <c r="AE4976" s="33"/>
      <c r="AF4976" s="33"/>
      <c r="AG4976" s="33"/>
      <c r="AH4976" s="33"/>
      <c r="AI4976" s="33"/>
      <c r="AJ4976" s="33"/>
      <c r="AK4976" s="33"/>
    </row>
    <row r="4977">
      <c r="A4977" s="33"/>
      <c r="B4977" s="33"/>
      <c r="C4977" s="33"/>
      <c r="D4977" s="33"/>
      <c r="E4977" s="33"/>
      <c r="F4977" s="33"/>
      <c r="G4977" s="33"/>
      <c r="H4977" s="33"/>
      <c r="I4977" s="33"/>
      <c r="J4977" s="33"/>
      <c r="K4977" s="33"/>
      <c r="L4977" s="33"/>
      <c r="M4977" s="33"/>
      <c r="N4977" s="33"/>
      <c r="O4977" s="33"/>
      <c r="P4977" s="33"/>
      <c r="Q4977" s="33"/>
      <c r="R4977" s="33"/>
      <c r="S4977" s="33"/>
      <c r="T4977" s="33"/>
      <c r="U4977" s="33"/>
      <c r="V4977" s="33"/>
      <c r="W4977" s="33"/>
      <c r="X4977" s="33"/>
      <c r="Y4977" s="33"/>
      <c r="Z4977" s="33"/>
      <c r="AA4977" s="33"/>
      <c r="AB4977" s="33"/>
      <c r="AC4977" s="33"/>
      <c r="AD4977" s="33"/>
      <c r="AE4977" s="33"/>
      <c r="AF4977" s="33"/>
      <c r="AG4977" s="33"/>
      <c r="AH4977" s="33"/>
      <c r="AI4977" s="33"/>
      <c r="AJ4977" s="33"/>
      <c r="AK4977" s="33"/>
    </row>
    <row r="4978">
      <c r="A4978" s="33"/>
      <c r="B4978" s="33"/>
      <c r="C4978" s="33"/>
      <c r="D4978" s="33"/>
      <c r="E4978" s="33"/>
      <c r="F4978" s="33"/>
      <c r="G4978" s="33"/>
      <c r="H4978" s="33"/>
      <c r="I4978" s="33"/>
      <c r="J4978" s="33"/>
      <c r="K4978" s="33"/>
      <c r="L4978" s="33"/>
      <c r="M4978" s="33"/>
      <c r="N4978" s="33"/>
      <c r="O4978" s="33"/>
      <c r="P4978" s="33"/>
      <c r="Q4978" s="33"/>
      <c r="R4978" s="33"/>
      <c r="S4978" s="33"/>
      <c r="T4978" s="33"/>
      <c r="U4978" s="33"/>
      <c r="V4978" s="33"/>
      <c r="W4978" s="33"/>
      <c r="X4978" s="33"/>
      <c r="Y4978" s="33"/>
      <c r="Z4978" s="33"/>
      <c r="AA4978" s="33"/>
      <c r="AB4978" s="33"/>
      <c r="AC4978" s="33"/>
      <c r="AD4978" s="33"/>
      <c r="AE4978" s="33"/>
      <c r="AF4978" s="33"/>
      <c r="AG4978" s="33"/>
      <c r="AH4978" s="33"/>
      <c r="AI4978" s="33"/>
      <c r="AJ4978" s="33"/>
      <c r="AK4978" s="33"/>
    </row>
    <row r="4979">
      <c r="A4979" s="33"/>
      <c r="B4979" s="33"/>
      <c r="C4979" s="33"/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  <c r="Q4979" s="33"/>
      <c r="R4979" s="33"/>
      <c r="S4979" s="33"/>
      <c r="T4979" s="33"/>
      <c r="U4979" s="33"/>
      <c r="V4979" s="33"/>
      <c r="W4979" s="33"/>
      <c r="X4979" s="33"/>
      <c r="Y4979" s="33"/>
      <c r="Z4979" s="33"/>
      <c r="AA4979" s="33"/>
      <c r="AB4979" s="33"/>
      <c r="AC4979" s="33"/>
      <c r="AD4979" s="33"/>
      <c r="AE4979" s="33"/>
      <c r="AF4979" s="33"/>
      <c r="AG4979" s="33"/>
      <c r="AH4979" s="33"/>
      <c r="AI4979" s="33"/>
      <c r="AJ4979" s="33"/>
      <c r="AK4979" s="33"/>
    </row>
    <row r="4980">
      <c r="A4980" s="33"/>
      <c r="B4980" s="33"/>
      <c r="C4980" s="33"/>
      <c r="D4980" s="33"/>
      <c r="E4980" s="33"/>
      <c r="F4980" s="33"/>
      <c r="G4980" s="33"/>
      <c r="H4980" s="33"/>
      <c r="I4980" s="33"/>
      <c r="J4980" s="33"/>
      <c r="K4980" s="33"/>
      <c r="L4980" s="33"/>
      <c r="M4980" s="33"/>
      <c r="N4980" s="33"/>
      <c r="O4980" s="33"/>
      <c r="P4980" s="33"/>
      <c r="Q4980" s="33"/>
      <c r="R4980" s="33"/>
      <c r="S4980" s="33"/>
      <c r="T4980" s="33"/>
      <c r="U4980" s="33"/>
      <c r="V4980" s="33"/>
      <c r="W4980" s="33"/>
      <c r="X4980" s="33"/>
      <c r="Y4980" s="33"/>
      <c r="Z4980" s="33"/>
      <c r="AA4980" s="33"/>
      <c r="AB4980" s="33"/>
      <c r="AC4980" s="33"/>
      <c r="AD4980" s="33"/>
      <c r="AE4980" s="33"/>
      <c r="AF4980" s="33"/>
      <c r="AG4980" s="33"/>
      <c r="AH4980" s="33"/>
      <c r="AI4980" s="33"/>
      <c r="AJ4980" s="33"/>
      <c r="AK4980" s="33"/>
    </row>
    <row r="4981">
      <c r="A4981" s="33"/>
      <c r="B4981" s="33"/>
      <c r="C4981" s="33"/>
      <c r="D4981" s="33"/>
      <c r="E4981" s="33"/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33"/>
      <c r="Q4981" s="33"/>
      <c r="R4981" s="33"/>
      <c r="S4981" s="33"/>
      <c r="T4981" s="33"/>
      <c r="U4981" s="33"/>
      <c r="V4981" s="33"/>
      <c r="W4981" s="33"/>
      <c r="X4981" s="33"/>
      <c r="Y4981" s="33"/>
      <c r="Z4981" s="33"/>
      <c r="AA4981" s="33"/>
      <c r="AB4981" s="33"/>
      <c r="AC4981" s="33"/>
      <c r="AD4981" s="33"/>
      <c r="AE4981" s="33"/>
      <c r="AF4981" s="33"/>
      <c r="AG4981" s="33"/>
      <c r="AH4981" s="33"/>
      <c r="AI4981" s="33"/>
      <c r="AJ4981" s="33"/>
      <c r="AK4981" s="33"/>
    </row>
    <row r="4982">
      <c r="A4982" s="33"/>
      <c r="B4982" s="33"/>
      <c r="C4982" s="33"/>
      <c r="D4982" s="33"/>
      <c r="E4982" s="33"/>
      <c r="F4982" s="33"/>
      <c r="G4982" s="33"/>
      <c r="H4982" s="33"/>
      <c r="I4982" s="33"/>
      <c r="J4982" s="33"/>
      <c r="K4982" s="33"/>
      <c r="L4982" s="33"/>
      <c r="M4982" s="33"/>
      <c r="N4982" s="33"/>
      <c r="O4982" s="33"/>
      <c r="P4982" s="33"/>
      <c r="Q4982" s="33"/>
      <c r="R4982" s="33"/>
      <c r="S4982" s="33"/>
      <c r="T4982" s="33"/>
      <c r="U4982" s="33"/>
      <c r="V4982" s="33"/>
      <c r="W4982" s="33"/>
      <c r="X4982" s="33"/>
      <c r="Y4982" s="33"/>
      <c r="Z4982" s="33"/>
      <c r="AA4982" s="33"/>
      <c r="AB4982" s="33"/>
      <c r="AC4982" s="33"/>
      <c r="AD4982" s="33"/>
      <c r="AE4982" s="33"/>
      <c r="AF4982" s="33"/>
      <c r="AG4982" s="33"/>
      <c r="AH4982" s="33"/>
      <c r="AI4982" s="33"/>
      <c r="AJ4982" s="33"/>
      <c r="AK4982" s="33"/>
    </row>
    <row r="4983">
      <c r="A4983" s="33"/>
      <c r="B4983" s="33"/>
      <c r="C4983" s="33"/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  <c r="Q4983" s="33"/>
      <c r="R4983" s="33"/>
      <c r="S4983" s="33"/>
      <c r="T4983" s="33"/>
      <c r="U4983" s="33"/>
      <c r="V4983" s="33"/>
      <c r="W4983" s="33"/>
      <c r="X4983" s="33"/>
      <c r="Y4983" s="33"/>
      <c r="Z4983" s="33"/>
      <c r="AA4983" s="33"/>
      <c r="AB4983" s="33"/>
      <c r="AC4983" s="33"/>
      <c r="AD4983" s="33"/>
      <c r="AE4983" s="33"/>
      <c r="AF4983" s="33"/>
      <c r="AG4983" s="33"/>
      <c r="AH4983" s="33"/>
      <c r="AI4983" s="33"/>
      <c r="AJ4983" s="33"/>
      <c r="AK4983" s="33"/>
    </row>
    <row r="4984">
      <c r="A4984" s="33"/>
      <c r="B4984" s="33"/>
      <c r="C4984" s="33"/>
      <c r="D4984" s="33"/>
      <c r="E4984" s="33"/>
      <c r="F4984" s="33"/>
      <c r="G4984" s="33"/>
      <c r="H4984" s="33"/>
      <c r="I4984" s="33"/>
      <c r="J4984" s="33"/>
      <c r="K4984" s="33"/>
      <c r="L4984" s="33"/>
      <c r="M4984" s="33"/>
      <c r="N4984" s="33"/>
      <c r="O4984" s="33"/>
      <c r="P4984" s="33"/>
      <c r="Q4984" s="33"/>
      <c r="R4984" s="33"/>
      <c r="S4984" s="33"/>
      <c r="T4984" s="33"/>
      <c r="U4984" s="33"/>
      <c r="V4984" s="33"/>
      <c r="W4984" s="33"/>
      <c r="X4984" s="33"/>
      <c r="Y4984" s="33"/>
      <c r="Z4984" s="33"/>
      <c r="AA4984" s="33"/>
      <c r="AB4984" s="33"/>
      <c r="AC4984" s="33"/>
      <c r="AD4984" s="33"/>
      <c r="AE4984" s="33"/>
      <c r="AF4984" s="33"/>
      <c r="AG4984" s="33"/>
      <c r="AH4984" s="33"/>
      <c r="AI4984" s="33"/>
      <c r="AJ4984" s="33"/>
      <c r="AK4984" s="33"/>
    </row>
    <row r="4985">
      <c r="A4985" s="33"/>
      <c r="B4985" s="33"/>
      <c r="C4985" s="33"/>
      <c r="D4985" s="33"/>
      <c r="E4985" s="33"/>
      <c r="F4985" s="33"/>
      <c r="G4985" s="33"/>
      <c r="H4985" s="33"/>
      <c r="I4985" s="33"/>
      <c r="J4985" s="33"/>
      <c r="K4985" s="33"/>
      <c r="L4985" s="33"/>
      <c r="M4985" s="33"/>
      <c r="N4985" s="33"/>
      <c r="O4985" s="33"/>
      <c r="P4985" s="33"/>
      <c r="Q4985" s="33"/>
      <c r="R4985" s="33"/>
      <c r="S4985" s="33"/>
      <c r="T4985" s="33"/>
      <c r="U4985" s="33"/>
      <c r="V4985" s="33"/>
      <c r="W4985" s="33"/>
      <c r="X4985" s="33"/>
      <c r="Y4985" s="33"/>
      <c r="Z4985" s="33"/>
      <c r="AA4985" s="33"/>
      <c r="AB4985" s="33"/>
      <c r="AC4985" s="33"/>
      <c r="AD4985" s="33"/>
      <c r="AE4985" s="33"/>
      <c r="AF4985" s="33"/>
      <c r="AG4985" s="33"/>
      <c r="AH4985" s="33"/>
      <c r="AI4985" s="33"/>
      <c r="AJ4985" s="33"/>
      <c r="AK4985" s="33"/>
    </row>
    <row r="4986">
      <c r="A4986" s="33"/>
      <c r="B4986" s="33"/>
      <c r="C4986" s="33"/>
      <c r="D4986" s="33"/>
      <c r="E4986" s="33"/>
      <c r="F4986" s="33"/>
      <c r="G4986" s="33"/>
      <c r="H4986" s="33"/>
      <c r="I4986" s="33"/>
      <c r="J4986" s="33"/>
      <c r="K4986" s="33"/>
      <c r="L4986" s="33"/>
      <c r="M4986" s="33"/>
      <c r="N4986" s="33"/>
      <c r="O4986" s="33"/>
      <c r="P4986" s="33"/>
      <c r="Q4986" s="33"/>
      <c r="R4986" s="33"/>
      <c r="S4986" s="33"/>
      <c r="T4986" s="33"/>
      <c r="U4986" s="33"/>
      <c r="V4986" s="33"/>
      <c r="W4986" s="33"/>
      <c r="X4986" s="33"/>
      <c r="Y4986" s="33"/>
      <c r="Z4986" s="33"/>
      <c r="AA4986" s="33"/>
      <c r="AB4986" s="33"/>
      <c r="AC4986" s="33"/>
      <c r="AD4986" s="33"/>
      <c r="AE4986" s="33"/>
      <c r="AF4986" s="33"/>
      <c r="AG4986" s="33"/>
      <c r="AH4986" s="33"/>
      <c r="AI4986" s="33"/>
      <c r="AJ4986" s="33"/>
      <c r="AK4986" s="33"/>
    </row>
    <row r="4987">
      <c r="A4987" s="33"/>
      <c r="B4987" s="33"/>
      <c r="C4987" s="33"/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33"/>
      <c r="V4987" s="33"/>
      <c r="W4987" s="33"/>
      <c r="X4987" s="33"/>
      <c r="Y4987" s="33"/>
      <c r="Z4987" s="33"/>
      <c r="AA4987" s="33"/>
      <c r="AB4987" s="33"/>
      <c r="AC4987" s="33"/>
      <c r="AD4987" s="33"/>
      <c r="AE4987" s="33"/>
      <c r="AF4987" s="33"/>
      <c r="AG4987" s="33"/>
      <c r="AH4987" s="33"/>
      <c r="AI4987" s="33"/>
      <c r="AJ4987" s="33"/>
      <c r="AK4987" s="33"/>
    </row>
    <row r="4988">
      <c r="A4988" s="33"/>
      <c r="B4988" s="33"/>
      <c r="C4988" s="33"/>
      <c r="D4988" s="33"/>
      <c r="E4988" s="33"/>
      <c r="F4988" s="33"/>
      <c r="G4988" s="33"/>
      <c r="H4988" s="33"/>
      <c r="I4988" s="33"/>
      <c r="J4988" s="33"/>
      <c r="K4988" s="33"/>
      <c r="L4988" s="33"/>
      <c r="M4988" s="33"/>
      <c r="N4988" s="33"/>
      <c r="O4988" s="33"/>
      <c r="P4988" s="33"/>
      <c r="Q4988" s="33"/>
      <c r="R4988" s="33"/>
      <c r="S4988" s="33"/>
      <c r="T4988" s="33"/>
      <c r="U4988" s="33"/>
      <c r="V4988" s="33"/>
      <c r="W4988" s="33"/>
      <c r="X4988" s="33"/>
      <c r="Y4988" s="33"/>
      <c r="Z4988" s="33"/>
      <c r="AA4988" s="33"/>
      <c r="AB4988" s="33"/>
      <c r="AC4988" s="33"/>
      <c r="AD4988" s="33"/>
      <c r="AE4988" s="33"/>
      <c r="AF4988" s="33"/>
      <c r="AG4988" s="33"/>
      <c r="AH4988" s="33"/>
      <c r="AI4988" s="33"/>
      <c r="AJ4988" s="33"/>
      <c r="AK4988" s="33"/>
    </row>
    <row r="4989">
      <c r="A4989" s="33"/>
      <c r="B4989" s="33"/>
      <c r="C4989" s="33"/>
      <c r="D4989" s="33"/>
      <c r="E4989" s="33"/>
      <c r="F4989" s="33"/>
      <c r="G4989" s="33"/>
      <c r="H4989" s="33"/>
      <c r="I4989" s="33"/>
      <c r="J4989" s="33"/>
      <c r="K4989" s="33"/>
      <c r="L4989" s="33"/>
      <c r="M4989" s="33"/>
      <c r="N4989" s="33"/>
      <c r="O4989" s="33"/>
      <c r="P4989" s="33"/>
      <c r="Q4989" s="33"/>
      <c r="R4989" s="33"/>
      <c r="S4989" s="33"/>
      <c r="T4989" s="33"/>
      <c r="U4989" s="33"/>
      <c r="V4989" s="33"/>
      <c r="W4989" s="33"/>
      <c r="X4989" s="33"/>
      <c r="Y4989" s="33"/>
      <c r="Z4989" s="33"/>
      <c r="AA4989" s="33"/>
      <c r="AB4989" s="33"/>
      <c r="AC4989" s="33"/>
      <c r="AD4989" s="33"/>
      <c r="AE4989" s="33"/>
      <c r="AF4989" s="33"/>
      <c r="AG4989" s="33"/>
      <c r="AH4989" s="33"/>
      <c r="AI4989" s="33"/>
      <c r="AJ4989" s="33"/>
      <c r="AK4989" s="33"/>
    </row>
    <row r="4990">
      <c r="A4990" s="33"/>
      <c r="B4990" s="33"/>
      <c r="C4990" s="33"/>
      <c r="D4990" s="33"/>
      <c r="E4990" s="33"/>
      <c r="F4990" s="33"/>
      <c r="G4990" s="33"/>
      <c r="H4990" s="33"/>
      <c r="I4990" s="33"/>
      <c r="J4990" s="33"/>
      <c r="K4990" s="33"/>
      <c r="L4990" s="33"/>
      <c r="M4990" s="33"/>
      <c r="N4990" s="33"/>
      <c r="O4990" s="33"/>
      <c r="P4990" s="33"/>
      <c r="Q4990" s="33"/>
      <c r="R4990" s="33"/>
      <c r="S4990" s="33"/>
      <c r="T4990" s="33"/>
      <c r="U4990" s="33"/>
      <c r="V4990" s="33"/>
      <c r="W4990" s="33"/>
      <c r="X4990" s="33"/>
      <c r="Y4990" s="33"/>
      <c r="Z4990" s="33"/>
      <c r="AA4990" s="33"/>
      <c r="AB4990" s="33"/>
      <c r="AC4990" s="33"/>
      <c r="AD4990" s="33"/>
      <c r="AE4990" s="33"/>
      <c r="AF4990" s="33"/>
      <c r="AG4990" s="33"/>
      <c r="AH4990" s="33"/>
      <c r="AI4990" s="33"/>
      <c r="AJ4990" s="33"/>
      <c r="AK4990" s="33"/>
    </row>
    <row r="4991">
      <c r="A4991" s="33"/>
      <c r="B4991" s="33"/>
      <c r="C4991" s="33"/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  <c r="Q4991" s="33"/>
      <c r="R4991" s="33"/>
      <c r="S4991" s="33"/>
      <c r="T4991" s="33"/>
      <c r="U4991" s="33"/>
      <c r="V4991" s="33"/>
      <c r="W4991" s="33"/>
      <c r="X4991" s="33"/>
      <c r="Y4991" s="33"/>
      <c r="Z4991" s="33"/>
      <c r="AA4991" s="33"/>
      <c r="AB4991" s="33"/>
      <c r="AC4991" s="33"/>
      <c r="AD4991" s="33"/>
      <c r="AE4991" s="33"/>
      <c r="AF4991" s="33"/>
      <c r="AG4991" s="33"/>
      <c r="AH4991" s="33"/>
      <c r="AI4991" s="33"/>
      <c r="AJ4991" s="33"/>
      <c r="AK4991" s="33"/>
    </row>
    <row r="4992">
      <c r="A4992" s="33"/>
      <c r="B4992" s="33"/>
      <c r="C4992" s="33"/>
      <c r="D4992" s="33"/>
      <c r="E4992" s="33"/>
      <c r="F4992" s="33"/>
      <c r="G4992" s="33"/>
      <c r="H4992" s="33"/>
      <c r="I4992" s="33"/>
      <c r="J4992" s="33"/>
      <c r="K4992" s="33"/>
      <c r="L4992" s="33"/>
      <c r="M4992" s="33"/>
      <c r="N4992" s="33"/>
      <c r="O4992" s="33"/>
      <c r="P4992" s="33"/>
      <c r="Q4992" s="33"/>
      <c r="R4992" s="33"/>
      <c r="S4992" s="33"/>
      <c r="T4992" s="33"/>
      <c r="U4992" s="33"/>
      <c r="V4992" s="33"/>
      <c r="W4992" s="33"/>
      <c r="X4992" s="33"/>
      <c r="Y4992" s="33"/>
      <c r="Z4992" s="33"/>
      <c r="AA4992" s="33"/>
      <c r="AB4992" s="33"/>
      <c r="AC4992" s="33"/>
      <c r="AD4992" s="33"/>
      <c r="AE4992" s="33"/>
      <c r="AF4992" s="33"/>
      <c r="AG4992" s="33"/>
      <c r="AH4992" s="33"/>
      <c r="AI4992" s="33"/>
      <c r="AJ4992" s="33"/>
      <c r="AK4992" s="33"/>
    </row>
    <row r="4993">
      <c r="A4993" s="33"/>
      <c r="B4993" s="33"/>
      <c r="C4993" s="33"/>
      <c r="D4993" s="33"/>
      <c r="E4993" s="33"/>
      <c r="F4993" s="33"/>
      <c r="G4993" s="33"/>
      <c r="H4993" s="33"/>
      <c r="I4993" s="33"/>
      <c r="J4993" s="33"/>
      <c r="K4993" s="33"/>
      <c r="L4993" s="33"/>
      <c r="M4993" s="33"/>
      <c r="N4993" s="33"/>
      <c r="O4993" s="33"/>
      <c r="P4993" s="33"/>
      <c r="Q4993" s="33"/>
      <c r="R4993" s="33"/>
      <c r="S4993" s="33"/>
      <c r="T4993" s="33"/>
      <c r="U4993" s="33"/>
      <c r="V4993" s="33"/>
      <c r="W4993" s="33"/>
      <c r="X4993" s="33"/>
      <c r="Y4993" s="33"/>
      <c r="Z4993" s="33"/>
      <c r="AA4993" s="33"/>
      <c r="AB4993" s="33"/>
      <c r="AC4993" s="33"/>
      <c r="AD4993" s="33"/>
      <c r="AE4993" s="33"/>
      <c r="AF4993" s="33"/>
      <c r="AG4993" s="33"/>
      <c r="AH4993" s="33"/>
      <c r="AI4993" s="33"/>
      <c r="AJ4993" s="33"/>
      <c r="AK4993" s="33"/>
    </row>
    <row r="4994">
      <c r="A4994" s="33"/>
      <c r="B4994" s="33"/>
      <c r="C4994" s="33"/>
      <c r="D4994" s="33"/>
      <c r="E4994" s="33"/>
      <c r="F4994" s="33"/>
      <c r="G4994" s="33"/>
      <c r="H4994" s="33"/>
      <c r="I4994" s="33"/>
      <c r="J4994" s="33"/>
      <c r="K4994" s="33"/>
      <c r="L4994" s="33"/>
      <c r="M4994" s="33"/>
      <c r="N4994" s="33"/>
      <c r="O4994" s="33"/>
      <c r="P4994" s="33"/>
      <c r="Q4994" s="33"/>
      <c r="R4994" s="33"/>
      <c r="S4994" s="33"/>
      <c r="T4994" s="33"/>
      <c r="U4994" s="33"/>
      <c r="V4994" s="33"/>
      <c r="W4994" s="33"/>
      <c r="X4994" s="33"/>
      <c r="Y4994" s="33"/>
      <c r="Z4994" s="33"/>
      <c r="AA4994" s="33"/>
      <c r="AB4994" s="33"/>
      <c r="AC4994" s="33"/>
      <c r="AD4994" s="33"/>
      <c r="AE4994" s="33"/>
      <c r="AF4994" s="33"/>
      <c r="AG4994" s="33"/>
      <c r="AH4994" s="33"/>
      <c r="AI4994" s="33"/>
      <c r="AJ4994" s="33"/>
      <c r="AK4994" s="33"/>
    </row>
    <row r="4995">
      <c r="A4995" s="33"/>
      <c r="B4995" s="33"/>
      <c r="C4995" s="33"/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  <c r="Q4995" s="33"/>
      <c r="R4995" s="33"/>
      <c r="S4995" s="33"/>
      <c r="T4995" s="33"/>
      <c r="U4995" s="33"/>
      <c r="V4995" s="33"/>
      <c r="W4995" s="33"/>
      <c r="X4995" s="33"/>
      <c r="Y4995" s="33"/>
      <c r="Z4995" s="33"/>
      <c r="AA4995" s="33"/>
      <c r="AB4995" s="33"/>
      <c r="AC4995" s="33"/>
      <c r="AD4995" s="33"/>
      <c r="AE4995" s="33"/>
      <c r="AF4995" s="33"/>
      <c r="AG4995" s="33"/>
      <c r="AH4995" s="33"/>
      <c r="AI4995" s="33"/>
      <c r="AJ4995" s="33"/>
      <c r="AK4995" s="33"/>
    </row>
    <row r="4996">
      <c r="A4996" s="33"/>
      <c r="B4996" s="33"/>
      <c r="C4996" s="33"/>
      <c r="D4996" s="33"/>
      <c r="E4996" s="33"/>
      <c r="F4996" s="33"/>
      <c r="G4996" s="33"/>
      <c r="H4996" s="33"/>
      <c r="I4996" s="33"/>
      <c r="J4996" s="33"/>
      <c r="K4996" s="33"/>
      <c r="L4996" s="33"/>
      <c r="M4996" s="33"/>
      <c r="N4996" s="33"/>
      <c r="O4996" s="33"/>
      <c r="P4996" s="33"/>
      <c r="Q4996" s="33"/>
      <c r="R4996" s="33"/>
      <c r="S4996" s="33"/>
      <c r="T4996" s="33"/>
      <c r="U4996" s="33"/>
      <c r="V4996" s="33"/>
      <c r="W4996" s="33"/>
      <c r="X4996" s="33"/>
      <c r="Y4996" s="33"/>
      <c r="Z4996" s="33"/>
      <c r="AA4996" s="33"/>
      <c r="AB4996" s="33"/>
      <c r="AC4996" s="33"/>
      <c r="AD4996" s="33"/>
      <c r="AE4996" s="33"/>
      <c r="AF4996" s="33"/>
      <c r="AG4996" s="33"/>
      <c r="AH4996" s="33"/>
      <c r="AI4996" s="33"/>
      <c r="AJ4996" s="33"/>
      <c r="AK4996" s="33"/>
    </row>
    <row r="4997">
      <c r="A4997" s="33"/>
      <c r="B4997" s="33"/>
      <c r="C4997" s="33"/>
      <c r="D4997" s="33"/>
      <c r="E4997" s="33"/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33"/>
      <c r="Q4997" s="33"/>
      <c r="R4997" s="33"/>
      <c r="S4997" s="33"/>
      <c r="T4997" s="33"/>
      <c r="U4997" s="33"/>
      <c r="V4997" s="33"/>
      <c r="W4997" s="33"/>
      <c r="X4997" s="33"/>
      <c r="Y4997" s="33"/>
      <c r="Z4997" s="33"/>
      <c r="AA4997" s="33"/>
      <c r="AB4997" s="33"/>
      <c r="AC4997" s="33"/>
      <c r="AD4997" s="33"/>
      <c r="AE4997" s="33"/>
      <c r="AF4997" s="33"/>
      <c r="AG4997" s="33"/>
      <c r="AH4997" s="33"/>
      <c r="AI4997" s="33"/>
      <c r="AJ4997" s="33"/>
      <c r="AK4997" s="33"/>
    </row>
    <row r="4998">
      <c r="A4998" s="33"/>
      <c r="B4998" s="33"/>
      <c r="C4998" s="33"/>
      <c r="D4998" s="33"/>
      <c r="E4998" s="33"/>
      <c r="F4998" s="33"/>
      <c r="G4998" s="33"/>
      <c r="H4998" s="33"/>
      <c r="I4998" s="33"/>
      <c r="J4998" s="33"/>
      <c r="K4998" s="33"/>
      <c r="L4998" s="33"/>
      <c r="M4998" s="33"/>
      <c r="N4998" s="33"/>
      <c r="O4998" s="33"/>
      <c r="P4998" s="33"/>
      <c r="Q4998" s="33"/>
      <c r="R4998" s="33"/>
      <c r="S4998" s="33"/>
      <c r="T4998" s="33"/>
      <c r="U4998" s="33"/>
      <c r="V4998" s="33"/>
      <c r="W4998" s="33"/>
      <c r="X4998" s="33"/>
      <c r="Y4998" s="33"/>
      <c r="Z4998" s="33"/>
      <c r="AA4998" s="33"/>
      <c r="AB4998" s="33"/>
      <c r="AC4998" s="33"/>
      <c r="AD4998" s="33"/>
      <c r="AE4998" s="33"/>
      <c r="AF4998" s="33"/>
      <c r="AG4998" s="33"/>
      <c r="AH4998" s="33"/>
      <c r="AI4998" s="33"/>
      <c r="AJ4998" s="33"/>
      <c r="AK4998" s="33"/>
    </row>
    <row r="4999">
      <c r="A4999" s="33"/>
      <c r="B4999" s="33"/>
      <c r="C4999" s="33"/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  <c r="Q4999" s="33"/>
      <c r="R4999" s="33"/>
      <c r="S4999" s="33"/>
      <c r="T4999" s="33"/>
      <c r="U4999" s="33"/>
      <c r="V4999" s="33"/>
      <c r="W4999" s="33"/>
      <c r="X4999" s="33"/>
      <c r="Y4999" s="33"/>
      <c r="Z4999" s="33"/>
      <c r="AA4999" s="33"/>
      <c r="AB4999" s="33"/>
      <c r="AC4999" s="33"/>
      <c r="AD4999" s="33"/>
      <c r="AE4999" s="33"/>
      <c r="AF4999" s="33"/>
      <c r="AG4999" s="33"/>
      <c r="AH4999" s="33"/>
      <c r="AI4999" s="33"/>
      <c r="AJ4999" s="33"/>
      <c r="AK4999" s="33"/>
    </row>
    <row r="5000">
      <c r="A5000" s="33"/>
      <c r="B5000" s="33"/>
      <c r="C5000" s="33"/>
      <c r="D5000" s="33"/>
      <c r="E5000" s="33"/>
      <c r="F5000" s="33"/>
      <c r="G5000" s="33"/>
      <c r="H5000" s="33"/>
      <c r="I5000" s="33"/>
      <c r="J5000" s="33"/>
      <c r="K5000" s="33"/>
      <c r="L5000" s="33"/>
      <c r="M5000" s="33"/>
      <c r="N5000" s="33"/>
      <c r="O5000" s="33"/>
      <c r="P5000" s="33"/>
      <c r="Q5000" s="33"/>
      <c r="R5000" s="33"/>
      <c r="S5000" s="33"/>
      <c r="T5000" s="33"/>
      <c r="U5000" s="33"/>
      <c r="V5000" s="33"/>
      <c r="W5000" s="33"/>
      <c r="X5000" s="33"/>
      <c r="Y5000" s="33"/>
      <c r="Z5000" s="33"/>
      <c r="AA5000" s="33"/>
      <c r="AB5000" s="33"/>
      <c r="AC5000" s="33"/>
      <c r="AD5000" s="33"/>
      <c r="AE5000" s="33"/>
      <c r="AF5000" s="33"/>
      <c r="AG5000" s="33"/>
      <c r="AH5000" s="33"/>
      <c r="AI5000" s="33"/>
      <c r="AJ5000" s="33"/>
      <c r="AK5000" s="33"/>
    </row>
    <row r="5001">
      <c r="A5001" s="33"/>
      <c r="B5001" s="33"/>
      <c r="C5001" s="33"/>
      <c r="D5001" s="33"/>
      <c r="E5001" s="33"/>
      <c r="F5001" s="33"/>
      <c r="G5001" s="33"/>
      <c r="H5001" s="33"/>
      <c r="I5001" s="33"/>
      <c r="J5001" s="33"/>
      <c r="K5001" s="33"/>
      <c r="L5001" s="33"/>
      <c r="M5001" s="33"/>
      <c r="N5001" s="33"/>
      <c r="O5001" s="33"/>
      <c r="P5001" s="33"/>
      <c r="Q5001" s="33"/>
      <c r="R5001" s="33"/>
      <c r="S5001" s="33"/>
      <c r="T5001" s="33"/>
      <c r="U5001" s="33"/>
      <c r="V5001" s="33"/>
      <c r="W5001" s="33"/>
      <c r="X5001" s="33"/>
      <c r="Y5001" s="33"/>
      <c r="Z5001" s="33"/>
      <c r="AA5001" s="33"/>
      <c r="AB5001" s="33"/>
      <c r="AC5001" s="33"/>
      <c r="AD5001" s="33"/>
      <c r="AE5001" s="33"/>
      <c r="AF5001" s="33"/>
      <c r="AG5001" s="33"/>
      <c r="AH5001" s="33"/>
      <c r="AI5001" s="33"/>
      <c r="AJ5001" s="33"/>
      <c r="AK5001" s="33"/>
    </row>
    <row r="5002">
      <c r="A5002" s="33"/>
      <c r="B5002" s="33"/>
      <c r="C5002" s="33"/>
      <c r="D5002" s="33"/>
      <c r="E5002" s="33"/>
      <c r="F5002" s="33"/>
      <c r="G5002" s="33"/>
      <c r="H5002" s="33"/>
      <c r="I5002" s="33"/>
      <c r="J5002" s="33"/>
      <c r="K5002" s="33"/>
      <c r="L5002" s="33"/>
      <c r="M5002" s="33"/>
      <c r="N5002" s="33"/>
      <c r="O5002" s="33"/>
      <c r="P5002" s="33"/>
      <c r="Q5002" s="33"/>
      <c r="R5002" s="33"/>
      <c r="S5002" s="33"/>
      <c r="T5002" s="33"/>
      <c r="U5002" s="33"/>
      <c r="V5002" s="33"/>
      <c r="W5002" s="33"/>
      <c r="X5002" s="33"/>
      <c r="Y5002" s="33"/>
      <c r="Z5002" s="33"/>
      <c r="AA5002" s="33"/>
      <c r="AB5002" s="33"/>
      <c r="AC5002" s="33"/>
      <c r="AD5002" s="33"/>
      <c r="AE5002" s="33"/>
      <c r="AF5002" s="33"/>
      <c r="AG5002" s="33"/>
      <c r="AH5002" s="33"/>
      <c r="AI5002" s="33"/>
      <c r="AJ5002" s="33"/>
      <c r="AK5002" s="33"/>
    </row>
    <row r="5003">
      <c r="A5003" s="33"/>
      <c r="B5003" s="33"/>
      <c r="C5003" s="33"/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  <c r="Q5003" s="33"/>
      <c r="R5003" s="33"/>
      <c r="S5003" s="33"/>
      <c r="T5003" s="33"/>
      <c r="U5003" s="33"/>
      <c r="V5003" s="33"/>
      <c r="W5003" s="33"/>
      <c r="X5003" s="33"/>
      <c r="Y5003" s="33"/>
      <c r="Z5003" s="33"/>
      <c r="AA5003" s="33"/>
      <c r="AB5003" s="33"/>
      <c r="AC5003" s="33"/>
      <c r="AD5003" s="33"/>
      <c r="AE5003" s="33"/>
      <c r="AF5003" s="33"/>
      <c r="AG5003" s="33"/>
      <c r="AH5003" s="33"/>
      <c r="AI5003" s="33"/>
      <c r="AJ5003" s="33"/>
      <c r="AK5003" s="33"/>
    </row>
    <row r="5004">
      <c r="A5004" s="33"/>
      <c r="B5004" s="33"/>
      <c r="C5004" s="33"/>
      <c r="D5004" s="33"/>
      <c r="E5004" s="33"/>
      <c r="F5004" s="33"/>
      <c r="G5004" s="33"/>
      <c r="H5004" s="33"/>
      <c r="I5004" s="33"/>
      <c r="J5004" s="33"/>
      <c r="K5004" s="33"/>
      <c r="L5004" s="33"/>
      <c r="M5004" s="33"/>
      <c r="N5004" s="33"/>
      <c r="O5004" s="33"/>
      <c r="P5004" s="33"/>
      <c r="Q5004" s="33"/>
      <c r="R5004" s="33"/>
      <c r="S5004" s="33"/>
      <c r="T5004" s="33"/>
      <c r="U5004" s="33"/>
      <c r="V5004" s="33"/>
      <c r="W5004" s="33"/>
      <c r="X5004" s="33"/>
      <c r="Y5004" s="33"/>
      <c r="Z5004" s="33"/>
      <c r="AA5004" s="33"/>
      <c r="AB5004" s="33"/>
      <c r="AC5004" s="33"/>
      <c r="AD5004" s="33"/>
      <c r="AE5004" s="33"/>
      <c r="AF5004" s="33"/>
      <c r="AG5004" s="33"/>
      <c r="AH5004" s="33"/>
      <c r="AI5004" s="33"/>
      <c r="AJ5004" s="33"/>
      <c r="AK5004" s="33"/>
    </row>
    <row r="5005">
      <c r="A5005" s="33"/>
      <c r="B5005" s="33"/>
      <c r="C5005" s="33"/>
      <c r="D5005" s="33"/>
      <c r="E5005" s="33"/>
      <c r="F5005" s="33"/>
      <c r="G5005" s="33"/>
      <c r="H5005" s="33"/>
      <c r="I5005" s="33"/>
      <c r="J5005" s="33"/>
      <c r="K5005" s="33"/>
      <c r="L5005" s="33"/>
      <c r="M5005" s="33"/>
      <c r="N5005" s="33"/>
      <c r="O5005" s="33"/>
      <c r="P5005" s="33"/>
      <c r="Q5005" s="33"/>
      <c r="R5005" s="33"/>
      <c r="S5005" s="33"/>
      <c r="T5005" s="33"/>
      <c r="U5005" s="33"/>
      <c r="V5005" s="33"/>
      <c r="W5005" s="33"/>
      <c r="X5005" s="33"/>
      <c r="Y5005" s="33"/>
      <c r="Z5005" s="33"/>
      <c r="AA5005" s="33"/>
      <c r="AB5005" s="33"/>
      <c r="AC5005" s="33"/>
      <c r="AD5005" s="33"/>
      <c r="AE5005" s="33"/>
      <c r="AF5005" s="33"/>
      <c r="AG5005" s="33"/>
      <c r="AH5005" s="33"/>
      <c r="AI5005" s="33"/>
      <c r="AJ5005" s="33"/>
      <c r="AK5005" s="33"/>
    </row>
    <row r="5006">
      <c r="A5006" s="33"/>
      <c r="B5006" s="33"/>
      <c r="C5006" s="33"/>
      <c r="D5006" s="33"/>
      <c r="E5006" s="33"/>
      <c r="F5006" s="33"/>
      <c r="G5006" s="33"/>
      <c r="H5006" s="33"/>
      <c r="I5006" s="33"/>
      <c r="J5006" s="33"/>
      <c r="K5006" s="33"/>
      <c r="L5006" s="33"/>
      <c r="M5006" s="33"/>
      <c r="N5006" s="33"/>
      <c r="O5006" s="33"/>
      <c r="P5006" s="33"/>
      <c r="Q5006" s="33"/>
      <c r="R5006" s="33"/>
      <c r="S5006" s="33"/>
      <c r="T5006" s="33"/>
      <c r="U5006" s="33"/>
      <c r="V5006" s="33"/>
      <c r="W5006" s="33"/>
      <c r="X5006" s="33"/>
      <c r="Y5006" s="33"/>
      <c r="Z5006" s="33"/>
      <c r="AA5006" s="33"/>
      <c r="AB5006" s="33"/>
      <c r="AC5006" s="33"/>
      <c r="AD5006" s="33"/>
      <c r="AE5006" s="33"/>
      <c r="AF5006" s="33"/>
      <c r="AG5006" s="33"/>
      <c r="AH5006" s="33"/>
      <c r="AI5006" s="33"/>
      <c r="AJ5006" s="33"/>
      <c r="AK5006" s="33"/>
    </row>
    <row r="5007">
      <c r="A5007" s="33"/>
      <c r="B5007" s="33"/>
      <c r="C5007" s="33"/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  <c r="Q5007" s="33"/>
      <c r="R5007" s="33"/>
      <c r="S5007" s="33"/>
      <c r="T5007" s="33"/>
      <c r="U5007" s="33"/>
      <c r="V5007" s="33"/>
      <c r="W5007" s="33"/>
      <c r="X5007" s="33"/>
      <c r="Y5007" s="33"/>
      <c r="Z5007" s="33"/>
      <c r="AA5007" s="33"/>
      <c r="AB5007" s="33"/>
      <c r="AC5007" s="33"/>
      <c r="AD5007" s="33"/>
      <c r="AE5007" s="33"/>
      <c r="AF5007" s="33"/>
      <c r="AG5007" s="33"/>
      <c r="AH5007" s="33"/>
      <c r="AI5007" s="33"/>
      <c r="AJ5007" s="33"/>
      <c r="AK5007" s="33"/>
    </row>
    <row r="5008">
      <c r="A5008" s="33"/>
      <c r="B5008" s="33"/>
      <c r="C5008" s="33"/>
      <c r="D5008" s="33"/>
      <c r="E5008" s="33"/>
      <c r="F5008" s="33"/>
      <c r="G5008" s="33"/>
      <c r="H5008" s="33"/>
      <c r="I5008" s="33"/>
      <c r="J5008" s="33"/>
      <c r="K5008" s="33"/>
      <c r="L5008" s="33"/>
      <c r="M5008" s="33"/>
      <c r="N5008" s="33"/>
      <c r="O5008" s="33"/>
      <c r="P5008" s="33"/>
      <c r="Q5008" s="33"/>
      <c r="R5008" s="33"/>
      <c r="S5008" s="33"/>
      <c r="T5008" s="33"/>
      <c r="U5008" s="33"/>
      <c r="V5008" s="33"/>
      <c r="W5008" s="33"/>
      <c r="X5008" s="33"/>
      <c r="Y5008" s="33"/>
      <c r="Z5008" s="33"/>
      <c r="AA5008" s="33"/>
      <c r="AB5008" s="33"/>
      <c r="AC5008" s="33"/>
      <c r="AD5008" s="33"/>
      <c r="AE5008" s="33"/>
      <c r="AF5008" s="33"/>
      <c r="AG5008" s="33"/>
      <c r="AH5008" s="33"/>
      <c r="AI5008" s="33"/>
      <c r="AJ5008" s="33"/>
      <c r="AK5008" s="33"/>
    </row>
    <row r="5009">
      <c r="A5009" s="33"/>
      <c r="B5009" s="33"/>
      <c r="C5009" s="33"/>
      <c r="D5009" s="33"/>
      <c r="E5009" s="33"/>
      <c r="F5009" s="33"/>
      <c r="G5009" s="33"/>
      <c r="H5009" s="33"/>
      <c r="I5009" s="33"/>
      <c r="J5009" s="33"/>
      <c r="K5009" s="33"/>
      <c r="L5009" s="33"/>
      <c r="M5009" s="33"/>
      <c r="N5009" s="33"/>
      <c r="O5009" s="33"/>
      <c r="P5009" s="33"/>
      <c r="Q5009" s="33"/>
      <c r="R5009" s="33"/>
      <c r="S5009" s="33"/>
      <c r="T5009" s="33"/>
      <c r="U5009" s="33"/>
      <c r="V5009" s="33"/>
      <c r="W5009" s="33"/>
      <c r="X5009" s="33"/>
      <c r="Y5009" s="33"/>
      <c r="Z5009" s="33"/>
      <c r="AA5009" s="33"/>
      <c r="AB5009" s="33"/>
      <c r="AC5009" s="33"/>
      <c r="AD5009" s="33"/>
      <c r="AE5009" s="33"/>
      <c r="AF5009" s="33"/>
      <c r="AG5009" s="33"/>
      <c r="AH5009" s="33"/>
      <c r="AI5009" s="33"/>
      <c r="AJ5009" s="33"/>
      <c r="AK5009" s="33"/>
    </row>
    <row r="5010">
      <c r="A5010" s="33"/>
      <c r="B5010" s="33"/>
      <c r="C5010" s="33"/>
      <c r="D5010" s="33"/>
      <c r="E5010" s="33"/>
      <c r="F5010" s="33"/>
      <c r="G5010" s="33"/>
      <c r="H5010" s="33"/>
      <c r="I5010" s="33"/>
      <c r="J5010" s="33"/>
      <c r="K5010" s="33"/>
      <c r="L5010" s="33"/>
      <c r="M5010" s="33"/>
      <c r="N5010" s="33"/>
      <c r="O5010" s="33"/>
      <c r="P5010" s="33"/>
      <c r="Q5010" s="33"/>
      <c r="R5010" s="33"/>
      <c r="S5010" s="33"/>
      <c r="T5010" s="33"/>
      <c r="U5010" s="33"/>
      <c r="V5010" s="33"/>
      <c r="W5010" s="33"/>
      <c r="X5010" s="33"/>
      <c r="Y5010" s="33"/>
      <c r="Z5010" s="33"/>
      <c r="AA5010" s="33"/>
      <c r="AB5010" s="33"/>
      <c r="AC5010" s="33"/>
      <c r="AD5010" s="33"/>
      <c r="AE5010" s="33"/>
      <c r="AF5010" s="33"/>
      <c r="AG5010" s="33"/>
      <c r="AH5010" s="33"/>
      <c r="AI5010" s="33"/>
      <c r="AJ5010" s="33"/>
      <c r="AK5010" s="33"/>
    </row>
    <row r="5011">
      <c r="A5011" s="33"/>
      <c r="B5011" s="33"/>
      <c r="C5011" s="33"/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  <c r="R5011" s="33"/>
      <c r="S5011" s="33"/>
      <c r="T5011" s="33"/>
      <c r="U5011" s="33"/>
      <c r="V5011" s="33"/>
      <c r="W5011" s="33"/>
      <c r="X5011" s="33"/>
      <c r="Y5011" s="33"/>
      <c r="Z5011" s="33"/>
      <c r="AA5011" s="33"/>
      <c r="AB5011" s="33"/>
      <c r="AC5011" s="33"/>
      <c r="AD5011" s="33"/>
      <c r="AE5011" s="33"/>
      <c r="AF5011" s="33"/>
      <c r="AG5011" s="33"/>
      <c r="AH5011" s="33"/>
      <c r="AI5011" s="33"/>
      <c r="AJ5011" s="33"/>
      <c r="AK5011" s="33"/>
    </row>
    <row r="5012">
      <c r="A5012" s="33"/>
      <c r="B5012" s="33"/>
      <c r="C5012" s="33"/>
      <c r="D5012" s="33"/>
      <c r="E5012" s="33"/>
      <c r="F5012" s="33"/>
      <c r="G5012" s="33"/>
      <c r="H5012" s="33"/>
      <c r="I5012" s="33"/>
      <c r="J5012" s="33"/>
      <c r="K5012" s="33"/>
      <c r="L5012" s="33"/>
      <c r="M5012" s="33"/>
      <c r="N5012" s="33"/>
      <c r="O5012" s="33"/>
      <c r="P5012" s="33"/>
      <c r="Q5012" s="33"/>
      <c r="R5012" s="33"/>
      <c r="S5012" s="33"/>
      <c r="T5012" s="33"/>
      <c r="U5012" s="33"/>
      <c r="V5012" s="33"/>
      <c r="W5012" s="33"/>
      <c r="X5012" s="33"/>
      <c r="Y5012" s="33"/>
      <c r="Z5012" s="33"/>
      <c r="AA5012" s="33"/>
      <c r="AB5012" s="33"/>
      <c r="AC5012" s="33"/>
      <c r="AD5012" s="33"/>
      <c r="AE5012" s="33"/>
      <c r="AF5012" s="33"/>
      <c r="AG5012" s="33"/>
      <c r="AH5012" s="33"/>
      <c r="AI5012" s="33"/>
      <c r="AJ5012" s="33"/>
      <c r="AK5012" s="33"/>
    </row>
    <row r="5013">
      <c r="A5013" s="33"/>
      <c r="B5013" s="33"/>
      <c r="C5013" s="33"/>
      <c r="D5013" s="33"/>
      <c r="E5013" s="33"/>
      <c r="F5013" s="33"/>
      <c r="G5013" s="33"/>
      <c r="H5013" s="33"/>
      <c r="I5013" s="33"/>
      <c r="J5013" s="33"/>
      <c r="K5013" s="33"/>
      <c r="L5013" s="33"/>
      <c r="M5013" s="33"/>
      <c r="N5013" s="33"/>
      <c r="O5013" s="33"/>
      <c r="P5013" s="33"/>
      <c r="Q5013" s="33"/>
      <c r="R5013" s="33"/>
      <c r="S5013" s="33"/>
      <c r="T5013" s="33"/>
      <c r="U5013" s="33"/>
      <c r="V5013" s="33"/>
      <c r="W5013" s="33"/>
      <c r="X5013" s="33"/>
      <c r="Y5013" s="33"/>
      <c r="Z5013" s="33"/>
      <c r="AA5013" s="33"/>
      <c r="AB5013" s="33"/>
      <c r="AC5013" s="33"/>
      <c r="AD5013" s="33"/>
      <c r="AE5013" s="33"/>
      <c r="AF5013" s="33"/>
      <c r="AG5013" s="33"/>
      <c r="AH5013" s="33"/>
      <c r="AI5013" s="33"/>
      <c r="AJ5013" s="33"/>
      <c r="AK5013" s="33"/>
    </row>
    <row r="5014">
      <c r="A5014" s="33"/>
      <c r="B5014" s="33"/>
      <c r="C5014" s="33"/>
      <c r="D5014" s="33"/>
      <c r="E5014" s="33"/>
      <c r="F5014" s="33"/>
      <c r="G5014" s="33"/>
      <c r="H5014" s="33"/>
      <c r="I5014" s="33"/>
      <c r="J5014" s="33"/>
      <c r="K5014" s="33"/>
      <c r="L5014" s="33"/>
      <c r="M5014" s="33"/>
      <c r="N5014" s="33"/>
      <c r="O5014" s="33"/>
      <c r="P5014" s="33"/>
      <c r="Q5014" s="33"/>
      <c r="R5014" s="33"/>
      <c r="S5014" s="33"/>
      <c r="T5014" s="33"/>
      <c r="U5014" s="33"/>
      <c r="V5014" s="33"/>
      <c r="W5014" s="33"/>
      <c r="X5014" s="33"/>
      <c r="Y5014" s="33"/>
      <c r="Z5014" s="33"/>
      <c r="AA5014" s="33"/>
      <c r="AB5014" s="33"/>
      <c r="AC5014" s="33"/>
      <c r="AD5014" s="33"/>
      <c r="AE5014" s="33"/>
      <c r="AF5014" s="33"/>
      <c r="AG5014" s="33"/>
      <c r="AH5014" s="33"/>
      <c r="AI5014" s="33"/>
      <c r="AJ5014" s="33"/>
      <c r="AK5014" s="33"/>
    </row>
    <row r="5015">
      <c r="A5015" s="33"/>
      <c r="B5015" s="33"/>
      <c r="C5015" s="33"/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  <c r="Q5015" s="33"/>
      <c r="R5015" s="33"/>
      <c r="S5015" s="33"/>
      <c r="T5015" s="33"/>
      <c r="U5015" s="33"/>
      <c r="V5015" s="33"/>
      <c r="W5015" s="33"/>
      <c r="X5015" s="33"/>
      <c r="Y5015" s="33"/>
      <c r="Z5015" s="33"/>
      <c r="AA5015" s="33"/>
      <c r="AB5015" s="33"/>
      <c r="AC5015" s="33"/>
      <c r="AD5015" s="33"/>
      <c r="AE5015" s="33"/>
      <c r="AF5015" s="33"/>
      <c r="AG5015" s="33"/>
      <c r="AH5015" s="33"/>
      <c r="AI5015" s="33"/>
      <c r="AJ5015" s="33"/>
      <c r="AK5015" s="33"/>
    </row>
    <row r="5016">
      <c r="A5016" s="33"/>
      <c r="B5016" s="33"/>
      <c r="C5016" s="33"/>
      <c r="D5016" s="33"/>
      <c r="E5016" s="33"/>
      <c r="F5016" s="33"/>
      <c r="G5016" s="33"/>
      <c r="H5016" s="33"/>
      <c r="I5016" s="33"/>
      <c r="J5016" s="33"/>
      <c r="K5016" s="33"/>
      <c r="L5016" s="33"/>
      <c r="M5016" s="33"/>
      <c r="N5016" s="33"/>
      <c r="O5016" s="33"/>
      <c r="P5016" s="33"/>
      <c r="Q5016" s="33"/>
      <c r="R5016" s="33"/>
      <c r="S5016" s="33"/>
      <c r="T5016" s="33"/>
      <c r="U5016" s="33"/>
      <c r="V5016" s="33"/>
      <c r="W5016" s="33"/>
      <c r="X5016" s="33"/>
      <c r="Y5016" s="33"/>
      <c r="Z5016" s="33"/>
      <c r="AA5016" s="33"/>
      <c r="AB5016" s="33"/>
      <c r="AC5016" s="33"/>
      <c r="AD5016" s="33"/>
      <c r="AE5016" s="33"/>
      <c r="AF5016" s="33"/>
      <c r="AG5016" s="33"/>
      <c r="AH5016" s="33"/>
      <c r="AI5016" s="33"/>
      <c r="AJ5016" s="33"/>
      <c r="AK5016" s="33"/>
    </row>
    <row r="5017">
      <c r="A5017" s="33"/>
      <c r="B5017" s="33"/>
      <c r="C5017" s="33"/>
      <c r="D5017" s="33"/>
      <c r="E5017" s="33"/>
      <c r="F5017" s="33"/>
      <c r="G5017" s="33"/>
      <c r="H5017" s="33"/>
      <c r="I5017" s="33"/>
      <c r="J5017" s="33"/>
      <c r="K5017" s="33"/>
      <c r="L5017" s="33"/>
      <c r="M5017" s="33"/>
      <c r="N5017" s="33"/>
      <c r="O5017" s="33"/>
      <c r="P5017" s="33"/>
      <c r="Q5017" s="33"/>
      <c r="R5017" s="33"/>
      <c r="S5017" s="33"/>
      <c r="T5017" s="33"/>
      <c r="U5017" s="33"/>
      <c r="V5017" s="33"/>
      <c r="W5017" s="33"/>
      <c r="X5017" s="33"/>
      <c r="Y5017" s="33"/>
      <c r="Z5017" s="33"/>
      <c r="AA5017" s="33"/>
      <c r="AB5017" s="33"/>
      <c r="AC5017" s="33"/>
      <c r="AD5017" s="33"/>
      <c r="AE5017" s="33"/>
      <c r="AF5017" s="33"/>
      <c r="AG5017" s="33"/>
      <c r="AH5017" s="33"/>
      <c r="AI5017" s="33"/>
      <c r="AJ5017" s="33"/>
      <c r="AK5017" s="33"/>
    </row>
    <row r="5018">
      <c r="A5018" s="33"/>
      <c r="B5018" s="33"/>
      <c r="C5018" s="33"/>
      <c r="D5018" s="33"/>
      <c r="E5018" s="33"/>
      <c r="F5018" s="33"/>
      <c r="G5018" s="33"/>
      <c r="H5018" s="33"/>
      <c r="I5018" s="33"/>
      <c r="J5018" s="33"/>
      <c r="K5018" s="33"/>
      <c r="L5018" s="33"/>
      <c r="M5018" s="33"/>
      <c r="N5018" s="33"/>
      <c r="O5018" s="33"/>
      <c r="P5018" s="33"/>
      <c r="Q5018" s="33"/>
      <c r="R5018" s="33"/>
      <c r="S5018" s="33"/>
      <c r="T5018" s="33"/>
      <c r="U5018" s="33"/>
      <c r="V5018" s="33"/>
      <c r="W5018" s="33"/>
      <c r="X5018" s="33"/>
      <c r="Y5018" s="33"/>
      <c r="Z5018" s="33"/>
      <c r="AA5018" s="33"/>
      <c r="AB5018" s="33"/>
      <c r="AC5018" s="33"/>
      <c r="AD5018" s="33"/>
      <c r="AE5018" s="33"/>
      <c r="AF5018" s="33"/>
      <c r="AG5018" s="33"/>
      <c r="AH5018" s="33"/>
      <c r="AI5018" s="33"/>
      <c r="AJ5018" s="33"/>
      <c r="AK5018" s="33"/>
    </row>
    <row r="5019">
      <c r="A5019" s="33"/>
      <c r="B5019" s="33"/>
      <c r="C5019" s="33"/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3"/>
      <c r="S5019" s="33"/>
      <c r="T5019" s="33"/>
      <c r="U5019" s="33"/>
      <c r="V5019" s="33"/>
      <c r="W5019" s="33"/>
      <c r="X5019" s="33"/>
      <c r="Y5019" s="33"/>
      <c r="Z5019" s="33"/>
      <c r="AA5019" s="33"/>
      <c r="AB5019" s="33"/>
      <c r="AC5019" s="33"/>
      <c r="AD5019" s="33"/>
      <c r="AE5019" s="33"/>
      <c r="AF5019" s="33"/>
      <c r="AG5019" s="33"/>
      <c r="AH5019" s="33"/>
      <c r="AI5019" s="33"/>
      <c r="AJ5019" s="33"/>
      <c r="AK5019" s="33"/>
    </row>
    <row r="5020">
      <c r="A5020" s="33"/>
      <c r="B5020" s="33"/>
      <c r="C5020" s="33"/>
      <c r="D5020" s="33"/>
      <c r="E5020" s="33"/>
      <c r="F5020" s="33"/>
      <c r="G5020" s="33"/>
      <c r="H5020" s="33"/>
      <c r="I5020" s="33"/>
      <c r="J5020" s="33"/>
      <c r="K5020" s="33"/>
      <c r="L5020" s="33"/>
      <c r="M5020" s="33"/>
      <c r="N5020" s="33"/>
      <c r="O5020" s="33"/>
      <c r="P5020" s="33"/>
      <c r="Q5020" s="33"/>
      <c r="R5020" s="33"/>
      <c r="S5020" s="33"/>
      <c r="T5020" s="33"/>
      <c r="U5020" s="33"/>
      <c r="V5020" s="33"/>
      <c r="W5020" s="33"/>
      <c r="X5020" s="33"/>
      <c r="Y5020" s="33"/>
      <c r="Z5020" s="33"/>
      <c r="AA5020" s="33"/>
      <c r="AB5020" s="33"/>
      <c r="AC5020" s="33"/>
      <c r="AD5020" s="33"/>
      <c r="AE5020" s="33"/>
      <c r="AF5020" s="33"/>
      <c r="AG5020" s="33"/>
      <c r="AH5020" s="33"/>
      <c r="AI5020" s="33"/>
      <c r="AJ5020" s="33"/>
      <c r="AK5020" s="33"/>
    </row>
    <row r="5021">
      <c r="A5021" s="33"/>
      <c r="B5021" s="33"/>
      <c r="C5021" s="33"/>
      <c r="D5021" s="33"/>
      <c r="E5021" s="33"/>
      <c r="F5021" s="33"/>
      <c r="G5021" s="33"/>
      <c r="H5021" s="33"/>
      <c r="I5021" s="33"/>
      <c r="J5021" s="33"/>
      <c r="K5021" s="33"/>
      <c r="L5021" s="33"/>
      <c r="M5021" s="33"/>
      <c r="N5021" s="33"/>
      <c r="O5021" s="33"/>
      <c r="P5021" s="33"/>
      <c r="Q5021" s="33"/>
      <c r="R5021" s="33"/>
      <c r="S5021" s="33"/>
      <c r="T5021" s="33"/>
      <c r="U5021" s="33"/>
      <c r="V5021" s="33"/>
      <c r="W5021" s="33"/>
      <c r="X5021" s="33"/>
      <c r="Y5021" s="33"/>
      <c r="Z5021" s="33"/>
      <c r="AA5021" s="33"/>
      <c r="AB5021" s="33"/>
      <c r="AC5021" s="33"/>
      <c r="AD5021" s="33"/>
      <c r="AE5021" s="33"/>
      <c r="AF5021" s="33"/>
      <c r="AG5021" s="33"/>
      <c r="AH5021" s="33"/>
      <c r="AI5021" s="33"/>
      <c r="AJ5021" s="33"/>
      <c r="AK5021" s="33"/>
    </row>
    <row r="5022">
      <c r="A5022" s="33"/>
      <c r="B5022" s="33"/>
      <c r="C5022" s="33"/>
      <c r="D5022" s="33"/>
      <c r="E5022" s="33"/>
      <c r="F5022" s="33"/>
      <c r="G5022" s="33"/>
      <c r="H5022" s="33"/>
      <c r="I5022" s="33"/>
      <c r="J5022" s="33"/>
      <c r="K5022" s="33"/>
      <c r="L5022" s="33"/>
      <c r="M5022" s="33"/>
      <c r="N5022" s="33"/>
      <c r="O5022" s="33"/>
      <c r="P5022" s="33"/>
      <c r="Q5022" s="33"/>
      <c r="R5022" s="33"/>
      <c r="S5022" s="33"/>
      <c r="T5022" s="33"/>
      <c r="U5022" s="33"/>
      <c r="V5022" s="33"/>
      <c r="W5022" s="33"/>
      <c r="X5022" s="33"/>
      <c r="Y5022" s="33"/>
      <c r="Z5022" s="33"/>
      <c r="AA5022" s="33"/>
      <c r="AB5022" s="33"/>
      <c r="AC5022" s="33"/>
      <c r="AD5022" s="33"/>
      <c r="AE5022" s="33"/>
      <c r="AF5022" s="33"/>
      <c r="AG5022" s="33"/>
      <c r="AH5022" s="33"/>
      <c r="AI5022" s="33"/>
      <c r="AJ5022" s="33"/>
      <c r="AK5022" s="33"/>
    </row>
    <row r="5023">
      <c r="A5023" s="33"/>
      <c r="B5023" s="33"/>
      <c r="C5023" s="33"/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  <c r="Q5023" s="33"/>
      <c r="R5023" s="33"/>
      <c r="S5023" s="33"/>
      <c r="T5023" s="33"/>
      <c r="U5023" s="33"/>
      <c r="V5023" s="33"/>
      <c r="W5023" s="33"/>
      <c r="X5023" s="33"/>
      <c r="Y5023" s="33"/>
      <c r="Z5023" s="33"/>
      <c r="AA5023" s="33"/>
      <c r="AB5023" s="33"/>
      <c r="AC5023" s="33"/>
      <c r="AD5023" s="33"/>
      <c r="AE5023" s="33"/>
      <c r="AF5023" s="33"/>
      <c r="AG5023" s="33"/>
      <c r="AH5023" s="33"/>
      <c r="AI5023" s="33"/>
      <c r="AJ5023" s="33"/>
      <c r="AK5023" s="33"/>
    </row>
    <row r="5024">
      <c r="A5024" s="33"/>
      <c r="B5024" s="33"/>
      <c r="C5024" s="33"/>
      <c r="D5024" s="33"/>
      <c r="E5024" s="33"/>
      <c r="F5024" s="33"/>
      <c r="G5024" s="33"/>
      <c r="H5024" s="33"/>
      <c r="I5024" s="33"/>
      <c r="J5024" s="33"/>
      <c r="K5024" s="33"/>
      <c r="L5024" s="33"/>
      <c r="M5024" s="33"/>
      <c r="N5024" s="33"/>
      <c r="O5024" s="33"/>
      <c r="P5024" s="33"/>
      <c r="Q5024" s="33"/>
      <c r="R5024" s="33"/>
      <c r="S5024" s="33"/>
      <c r="T5024" s="33"/>
      <c r="U5024" s="33"/>
      <c r="V5024" s="33"/>
      <c r="W5024" s="33"/>
      <c r="X5024" s="33"/>
      <c r="Y5024" s="33"/>
      <c r="Z5024" s="33"/>
      <c r="AA5024" s="33"/>
      <c r="AB5024" s="33"/>
      <c r="AC5024" s="33"/>
      <c r="AD5024" s="33"/>
      <c r="AE5024" s="33"/>
      <c r="AF5024" s="33"/>
      <c r="AG5024" s="33"/>
      <c r="AH5024" s="33"/>
      <c r="AI5024" s="33"/>
      <c r="AJ5024" s="33"/>
      <c r="AK5024" s="33"/>
    </row>
    <row r="5025">
      <c r="A5025" s="33"/>
      <c r="B5025" s="33"/>
      <c r="C5025" s="33"/>
      <c r="D5025" s="33"/>
      <c r="E5025" s="33"/>
      <c r="F5025" s="33"/>
      <c r="G5025" s="33"/>
      <c r="H5025" s="33"/>
      <c r="I5025" s="33"/>
      <c r="J5025" s="33"/>
      <c r="K5025" s="33"/>
      <c r="L5025" s="33"/>
      <c r="M5025" s="33"/>
      <c r="N5025" s="33"/>
      <c r="O5025" s="33"/>
      <c r="P5025" s="33"/>
      <c r="Q5025" s="33"/>
      <c r="R5025" s="33"/>
      <c r="S5025" s="33"/>
      <c r="T5025" s="33"/>
      <c r="U5025" s="33"/>
      <c r="V5025" s="33"/>
      <c r="W5025" s="33"/>
      <c r="X5025" s="33"/>
      <c r="Y5025" s="33"/>
      <c r="Z5025" s="33"/>
      <c r="AA5025" s="33"/>
      <c r="AB5025" s="33"/>
      <c r="AC5025" s="33"/>
      <c r="AD5025" s="33"/>
      <c r="AE5025" s="33"/>
      <c r="AF5025" s="33"/>
      <c r="AG5025" s="33"/>
      <c r="AH5025" s="33"/>
      <c r="AI5025" s="33"/>
      <c r="AJ5025" s="33"/>
      <c r="AK5025" s="33"/>
    </row>
    <row r="5026">
      <c r="A5026" s="33"/>
      <c r="B5026" s="33"/>
      <c r="C5026" s="33"/>
      <c r="D5026" s="33"/>
      <c r="E5026" s="33"/>
      <c r="F5026" s="33"/>
      <c r="G5026" s="33"/>
      <c r="H5026" s="33"/>
      <c r="I5026" s="33"/>
      <c r="J5026" s="33"/>
      <c r="K5026" s="33"/>
      <c r="L5026" s="33"/>
      <c r="M5026" s="33"/>
      <c r="N5026" s="33"/>
      <c r="O5026" s="33"/>
      <c r="P5026" s="33"/>
      <c r="Q5026" s="33"/>
      <c r="R5026" s="33"/>
      <c r="S5026" s="33"/>
      <c r="T5026" s="33"/>
      <c r="U5026" s="33"/>
      <c r="V5026" s="33"/>
      <c r="W5026" s="33"/>
      <c r="X5026" s="33"/>
      <c r="Y5026" s="33"/>
      <c r="Z5026" s="33"/>
      <c r="AA5026" s="33"/>
      <c r="AB5026" s="33"/>
      <c r="AC5026" s="33"/>
      <c r="AD5026" s="33"/>
      <c r="AE5026" s="33"/>
      <c r="AF5026" s="33"/>
      <c r="AG5026" s="33"/>
      <c r="AH5026" s="33"/>
      <c r="AI5026" s="33"/>
      <c r="AJ5026" s="33"/>
      <c r="AK5026" s="33"/>
    </row>
    <row r="5027">
      <c r="A5027" s="33"/>
      <c r="B5027" s="33"/>
      <c r="C5027" s="33"/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  <c r="Q5027" s="33"/>
      <c r="R5027" s="33"/>
      <c r="S5027" s="33"/>
      <c r="T5027" s="33"/>
      <c r="U5027" s="33"/>
      <c r="V5027" s="33"/>
      <c r="W5027" s="33"/>
      <c r="X5027" s="33"/>
      <c r="Y5027" s="33"/>
      <c r="Z5027" s="33"/>
      <c r="AA5027" s="33"/>
      <c r="AB5027" s="33"/>
      <c r="AC5027" s="33"/>
      <c r="AD5027" s="33"/>
      <c r="AE5027" s="33"/>
      <c r="AF5027" s="33"/>
      <c r="AG5027" s="33"/>
      <c r="AH5027" s="33"/>
      <c r="AI5027" s="33"/>
      <c r="AJ5027" s="33"/>
      <c r="AK5027" s="33"/>
    </row>
    <row r="5028">
      <c r="A5028" s="33"/>
      <c r="B5028" s="33"/>
      <c r="C5028" s="33"/>
      <c r="D5028" s="33"/>
      <c r="E5028" s="33"/>
      <c r="F5028" s="33"/>
      <c r="G5028" s="33"/>
      <c r="H5028" s="33"/>
      <c r="I5028" s="33"/>
      <c r="J5028" s="33"/>
      <c r="K5028" s="33"/>
      <c r="L5028" s="33"/>
      <c r="M5028" s="33"/>
      <c r="N5028" s="33"/>
      <c r="O5028" s="33"/>
      <c r="P5028" s="33"/>
      <c r="Q5028" s="33"/>
      <c r="R5028" s="33"/>
      <c r="S5028" s="33"/>
      <c r="T5028" s="33"/>
      <c r="U5028" s="33"/>
      <c r="V5028" s="33"/>
      <c r="W5028" s="33"/>
      <c r="X5028" s="33"/>
      <c r="Y5028" s="33"/>
      <c r="Z5028" s="33"/>
      <c r="AA5028" s="33"/>
      <c r="AB5028" s="33"/>
      <c r="AC5028" s="33"/>
      <c r="AD5028" s="33"/>
      <c r="AE5028" s="33"/>
      <c r="AF5028" s="33"/>
      <c r="AG5028" s="33"/>
      <c r="AH5028" s="33"/>
      <c r="AI5028" s="33"/>
      <c r="AJ5028" s="33"/>
      <c r="AK5028" s="33"/>
    </row>
    <row r="5029">
      <c r="A5029" s="33"/>
      <c r="B5029" s="33"/>
      <c r="C5029" s="33"/>
      <c r="D5029" s="33"/>
      <c r="E5029" s="33"/>
      <c r="F5029" s="33"/>
      <c r="G5029" s="33"/>
      <c r="H5029" s="33"/>
      <c r="I5029" s="33"/>
      <c r="J5029" s="33"/>
      <c r="K5029" s="33"/>
      <c r="L5029" s="33"/>
      <c r="M5029" s="33"/>
      <c r="N5029" s="33"/>
      <c r="O5029" s="33"/>
      <c r="P5029" s="33"/>
      <c r="Q5029" s="33"/>
      <c r="R5029" s="33"/>
      <c r="S5029" s="33"/>
      <c r="T5029" s="33"/>
      <c r="U5029" s="33"/>
      <c r="V5029" s="33"/>
      <c r="W5029" s="33"/>
      <c r="X5029" s="33"/>
      <c r="Y5029" s="33"/>
      <c r="Z5029" s="33"/>
      <c r="AA5029" s="33"/>
      <c r="AB5029" s="33"/>
      <c r="AC5029" s="33"/>
      <c r="AD5029" s="33"/>
      <c r="AE5029" s="33"/>
      <c r="AF5029" s="33"/>
      <c r="AG5029" s="33"/>
      <c r="AH5029" s="33"/>
      <c r="AI5029" s="33"/>
      <c r="AJ5029" s="33"/>
      <c r="AK5029" s="33"/>
    </row>
    <row r="5030">
      <c r="A5030" s="33"/>
      <c r="B5030" s="33"/>
      <c r="C5030" s="33"/>
      <c r="D5030" s="33"/>
      <c r="E5030" s="33"/>
      <c r="F5030" s="33"/>
      <c r="G5030" s="33"/>
      <c r="H5030" s="33"/>
      <c r="I5030" s="33"/>
      <c r="J5030" s="33"/>
      <c r="K5030" s="33"/>
      <c r="L5030" s="33"/>
      <c r="M5030" s="33"/>
      <c r="N5030" s="33"/>
      <c r="O5030" s="33"/>
      <c r="P5030" s="33"/>
      <c r="Q5030" s="33"/>
      <c r="R5030" s="33"/>
      <c r="S5030" s="33"/>
      <c r="T5030" s="33"/>
      <c r="U5030" s="33"/>
      <c r="V5030" s="33"/>
      <c r="W5030" s="33"/>
      <c r="X5030" s="33"/>
      <c r="Y5030" s="33"/>
      <c r="Z5030" s="33"/>
      <c r="AA5030" s="33"/>
      <c r="AB5030" s="33"/>
      <c r="AC5030" s="33"/>
      <c r="AD5030" s="33"/>
      <c r="AE5030" s="33"/>
      <c r="AF5030" s="33"/>
      <c r="AG5030" s="33"/>
      <c r="AH5030" s="33"/>
      <c r="AI5030" s="33"/>
      <c r="AJ5030" s="33"/>
      <c r="AK5030" s="33"/>
    </row>
    <row r="5031">
      <c r="A5031" s="33"/>
      <c r="B5031" s="33"/>
      <c r="C5031" s="33"/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  <c r="Q5031" s="33"/>
      <c r="R5031" s="33"/>
      <c r="S5031" s="33"/>
      <c r="T5031" s="33"/>
      <c r="U5031" s="33"/>
      <c r="V5031" s="33"/>
      <c r="W5031" s="33"/>
      <c r="X5031" s="33"/>
      <c r="Y5031" s="33"/>
      <c r="Z5031" s="33"/>
      <c r="AA5031" s="33"/>
      <c r="AB5031" s="33"/>
      <c r="AC5031" s="33"/>
      <c r="AD5031" s="33"/>
      <c r="AE5031" s="33"/>
      <c r="AF5031" s="33"/>
      <c r="AG5031" s="33"/>
      <c r="AH5031" s="33"/>
      <c r="AI5031" s="33"/>
      <c r="AJ5031" s="33"/>
      <c r="AK5031" s="33"/>
    </row>
    <row r="5032">
      <c r="A5032" s="33"/>
      <c r="B5032" s="33"/>
      <c r="C5032" s="33"/>
      <c r="D5032" s="33"/>
      <c r="E5032" s="33"/>
      <c r="F5032" s="33"/>
      <c r="G5032" s="33"/>
      <c r="H5032" s="33"/>
      <c r="I5032" s="33"/>
      <c r="J5032" s="33"/>
      <c r="K5032" s="33"/>
      <c r="L5032" s="33"/>
      <c r="M5032" s="33"/>
      <c r="N5032" s="33"/>
      <c r="O5032" s="33"/>
      <c r="P5032" s="33"/>
      <c r="Q5032" s="33"/>
      <c r="R5032" s="33"/>
      <c r="S5032" s="33"/>
      <c r="T5032" s="33"/>
      <c r="U5032" s="33"/>
      <c r="V5032" s="33"/>
      <c r="W5032" s="33"/>
      <c r="X5032" s="33"/>
      <c r="Y5032" s="33"/>
      <c r="Z5032" s="33"/>
      <c r="AA5032" s="33"/>
      <c r="AB5032" s="33"/>
      <c r="AC5032" s="33"/>
      <c r="AD5032" s="33"/>
      <c r="AE5032" s="33"/>
      <c r="AF5032" s="33"/>
      <c r="AG5032" s="33"/>
      <c r="AH5032" s="33"/>
      <c r="AI5032" s="33"/>
      <c r="AJ5032" s="33"/>
      <c r="AK5032" s="33"/>
    </row>
    <row r="5033">
      <c r="A5033" s="33"/>
      <c r="B5033" s="33"/>
      <c r="C5033" s="33"/>
      <c r="D5033" s="33"/>
      <c r="E5033" s="33"/>
      <c r="F5033" s="33"/>
      <c r="G5033" s="33"/>
      <c r="H5033" s="33"/>
      <c r="I5033" s="33"/>
      <c r="J5033" s="33"/>
      <c r="K5033" s="33"/>
      <c r="L5033" s="33"/>
      <c r="M5033" s="33"/>
      <c r="N5033" s="33"/>
      <c r="O5033" s="33"/>
      <c r="P5033" s="33"/>
      <c r="Q5033" s="33"/>
      <c r="R5033" s="33"/>
      <c r="S5033" s="33"/>
      <c r="T5033" s="33"/>
      <c r="U5033" s="33"/>
      <c r="V5033" s="33"/>
      <c r="W5033" s="33"/>
      <c r="X5033" s="33"/>
      <c r="Y5033" s="33"/>
      <c r="Z5033" s="33"/>
      <c r="AA5033" s="33"/>
      <c r="AB5033" s="33"/>
      <c r="AC5033" s="33"/>
      <c r="AD5033" s="33"/>
      <c r="AE5033" s="33"/>
      <c r="AF5033" s="33"/>
      <c r="AG5033" s="33"/>
      <c r="AH5033" s="33"/>
      <c r="AI5033" s="33"/>
      <c r="AJ5033" s="33"/>
      <c r="AK5033" s="33"/>
    </row>
    <row r="5034">
      <c r="A5034" s="33"/>
      <c r="B5034" s="33"/>
      <c r="C5034" s="33"/>
      <c r="D5034" s="33"/>
      <c r="E5034" s="33"/>
      <c r="F5034" s="33"/>
      <c r="G5034" s="33"/>
      <c r="H5034" s="33"/>
      <c r="I5034" s="33"/>
      <c r="J5034" s="33"/>
      <c r="K5034" s="33"/>
      <c r="L5034" s="33"/>
      <c r="M5034" s="33"/>
      <c r="N5034" s="33"/>
      <c r="O5034" s="33"/>
      <c r="P5034" s="33"/>
      <c r="Q5034" s="33"/>
      <c r="R5034" s="33"/>
      <c r="S5034" s="33"/>
      <c r="T5034" s="33"/>
      <c r="U5034" s="33"/>
      <c r="V5034" s="33"/>
      <c r="W5034" s="33"/>
      <c r="X5034" s="33"/>
      <c r="Y5034" s="33"/>
      <c r="Z5034" s="33"/>
      <c r="AA5034" s="33"/>
      <c r="AB5034" s="33"/>
      <c r="AC5034" s="33"/>
      <c r="AD5034" s="33"/>
      <c r="AE5034" s="33"/>
      <c r="AF5034" s="33"/>
      <c r="AG5034" s="33"/>
      <c r="AH5034" s="33"/>
      <c r="AI5034" s="33"/>
      <c r="AJ5034" s="33"/>
      <c r="AK5034" s="33"/>
    </row>
    <row r="5035">
      <c r="A5035" s="33"/>
      <c r="B5035" s="33"/>
      <c r="C5035" s="33"/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  <c r="Q5035" s="33"/>
      <c r="R5035" s="33"/>
      <c r="S5035" s="33"/>
      <c r="T5035" s="33"/>
      <c r="U5035" s="33"/>
      <c r="V5035" s="33"/>
      <c r="W5035" s="33"/>
      <c r="X5035" s="33"/>
      <c r="Y5035" s="33"/>
      <c r="Z5035" s="33"/>
      <c r="AA5035" s="33"/>
      <c r="AB5035" s="33"/>
      <c r="AC5035" s="33"/>
      <c r="AD5035" s="33"/>
      <c r="AE5035" s="33"/>
      <c r="AF5035" s="33"/>
      <c r="AG5035" s="33"/>
      <c r="AH5035" s="33"/>
      <c r="AI5035" s="33"/>
      <c r="AJ5035" s="33"/>
      <c r="AK5035" s="33"/>
    </row>
    <row r="5036">
      <c r="A5036" s="33"/>
      <c r="B5036" s="33"/>
      <c r="C5036" s="33"/>
      <c r="D5036" s="33"/>
      <c r="E5036" s="33"/>
      <c r="F5036" s="33"/>
      <c r="G5036" s="33"/>
      <c r="H5036" s="33"/>
      <c r="I5036" s="33"/>
      <c r="J5036" s="33"/>
      <c r="K5036" s="33"/>
      <c r="L5036" s="33"/>
      <c r="M5036" s="33"/>
      <c r="N5036" s="33"/>
      <c r="O5036" s="33"/>
      <c r="P5036" s="33"/>
      <c r="Q5036" s="33"/>
      <c r="R5036" s="33"/>
      <c r="S5036" s="33"/>
      <c r="T5036" s="33"/>
      <c r="U5036" s="33"/>
      <c r="V5036" s="33"/>
      <c r="W5036" s="33"/>
      <c r="X5036" s="33"/>
      <c r="Y5036" s="33"/>
      <c r="Z5036" s="33"/>
      <c r="AA5036" s="33"/>
      <c r="AB5036" s="33"/>
      <c r="AC5036" s="33"/>
      <c r="AD5036" s="33"/>
      <c r="AE5036" s="33"/>
      <c r="AF5036" s="33"/>
      <c r="AG5036" s="33"/>
      <c r="AH5036" s="33"/>
      <c r="AI5036" s="33"/>
      <c r="AJ5036" s="33"/>
      <c r="AK5036" s="33"/>
    </row>
    <row r="5037">
      <c r="A5037" s="33"/>
      <c r="B5037" s="33"/>
      <c r="C5037" s="33"/>
      <c r="D5037" s="33"/>
      <c r="E5037" s="33"/>
      <c r="F5037" s="33"/>
      <c r="G5037" s="33"/>
      <c r="H5037" s="33"/>
      <c r="I5037" s="33"/>
      <c r="J5037" s="33"/>
      <c r="K5037" s="33"/>
      <c r="L5037" s="33"/>
      <c r="M5037" s="33"/>
      <c r="N5037" s="33"/>
      <c r="O5037" s="33"/>
      <c r="P5037" s="33"/>
      <c r="Q5037" s="33"/>
      <c r="R5037" s="33"/>
      <c r="S5037" s="33"/>
      <c r="T5037" s="33"/>
      <c r="U5037" s="33"/>
      <c r="V5037" s="33"/>
      <c r="W5037" s="33"/>
      <c r="X5037" s="33"/>
      <c r="Y5037" s="33"/>
      <c r="Z5037" s="33"/>
      <c r="AA5037" s="33"/>
      <c r="AB5037" s="33"/>
      <c r="AC5037" s="33"/>
      <c r="AD5037" s="33"/>
      <c r="AE5037" s="33"/>
      <c r="AF5037" s="33"/>
      <c r="AG5037" s="33"/>
      <c r="AH5037" s="33"/>
      <c r="AI5037" s="33"/>
      <c r="AJ5037" s="33"/>
      <c r="AK5037" s="33"/>
    </row>
    <row r="5038">
      <c r="A5038" s="33"/>
      <c r="B5038" s="33"/>
      <c r="C5038" s="33"/>
      <c r="D5038" s="33"/>
      <c r="E5038" s="33"/>
      <c r="F5038" s="33"/>
      <c r="G5038" s="33"/>
      <c r="H5038" s="33"/>
      <c r="I5038" s="33"/>
      <c r="J5038" s="33"/>
      <c r="K5038" s="33"/>
      <c r="L5038" s="33"/>
      <c r="M5038" s="33"/>
      <c r="N5038" s="33"/>
      <c r="O5038" s="33"/>
      <c r="P5038" s="33"/>
      <c r="Q5038" s="33"/>
      <c r="R5038" s="33"/>
      <c r="S5038" s="33"/>
      <c r="T5038" s="33"/>
      <c r="U5038" s="33"/>
      <c r="V5038" s="33"/>
      <c r="W5038" s="33"/>
      <c r="X5038" s="33"/>
      <c r="Y5038" s="33"/>
      <c r="Z5038" s="33"/>
      <c r="AA5038" s="33"/>
      <c r="AB5038" s="33"/>
      <c r="AC5038" s="33"/>
      <c r="AD5038" s="33"/>
      <c r="AE5038" s="33"/>
      <c r="AF5038" s="33"/>
      <c r="AG5038" s="33"/>
      <c r="AH5038" s="33"/>
      <c r="AI5038" s="33"/>
      <c r="AJ5038" s="33"/>
      <c r="AK5038" s="33"/>
    </row>
    <row r="5039">
      <c r="A5039" s="33"/>
      <c r="B5039" s="33"/>
      <c r="C5039" s="33"/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  <c r="R5039" s="33"/>
      <c r="S5039" s="33"/>
      <c r="T5039" s="33"/>
      <c r="U5039" s="33"/>
      <c r="V5039" s="33"/>
      <c r="W5039" s="33"/>
      <c r="X5039" s="33"/>
      <c r="Y5039" s="33"/>
      <c r="Z5039" s="33"/>
      <c r="AA5039" s="33"/>
      <c r="AB5039" s="33"/>
      <c r="AC5039" s="33"/>
      <c r="AD5039" s="33"/>
      <c r="AE5039" s="33"/>
      <c r="AF5039" s="33"/>
      <c r="AG5039" s="33"/>
      <c r="AH5039" s="33"/>
      <c r="AI5039" s="33"/>
      <c r="AJ5039" s="33"/>
      <c r="AK5039" s="33"/>
    </row>
    <row r="5040">
      <c r="A5040" s="33"/>
      <c r="B5040" s="33"/>
      <c r="C5040" s="33"/>
      <c r="D5040" s="33"/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3"/>
      <c r="P5040" s="33"/>
      <c r="Q5040" s="33"/>
      <c r="R5040" s="33"/>
      <c r="S5040" s="33"/>
      <c r="T5040" s="33"/>
      <c r="U5040" s="33"/>
      <c r="V5040" s="33"/>
      <c r="W5040" s="33"/>
      <c r="X5040" s="33"/>
      <c r="Y5040" s="33"/>
      <c r="Z5040" s="33"/>
      <c r="AA5040" s="33"/>
      <c r="AB5040" s="33"/>
      <c r="AC5040" s="33"/>
      <c r="AD5040" s="33"/>
      <c r="AE5040" s="33"/>
      <c r="AF5040" s="33"/>
      <c r="AG5040" s="33"/>
      <c r="AH5040" s="33"/>
      <c r="AI5040" s="33"/>
      <c r="AJ5040" s="33"/>
      <c r="AK5040" s="33"/>
    </row>
    <row r="5041">
      <c r="A5041" s="33"/>
      <c r="B5041" s="33"/>
      <c r="C5041" s="33"/>
      <c r="D5041" s="33"/>
      <c r="E5041" s="33"/>
      <c r="F5041" s="33"/>
      <c r="G5041" s="33"/>
      <c r="H5041" s="33"/>
      <c r="I5041" s="33"/>
      <c r="J5041" s="33"/>
      <c r="K5041" s="33"/>
      <c r="L5041" s="33"/>
      <c r="M5041" s="33"/>
      <c r="N5041" s="33"/>
      <c r="O5041" s="33"/>
      <c r="P5041" s="33"/>
      <c r="Q5041" s="33"/>
      <c r="R5041" s="33"/>
      <c r="S5041" s="33"/>
      <c r="T5041" s="33"/>
      <c r="U5041" s="33"/>
      <c r="V5041" s="33"/>
      <c r="W5041" s="33"/>
      <c r="X5041" s="33"/>
      <c r="Y5041" s="33"/>
      <c r="Z5041" s="33"/>
      <c r="AA5041" s="33"/>
      <c r="AB5041" s="33"/>
      <c r="AC5041" s="33"/>
      <c r="AD5041" s="33"/>
      <c r="AE5041" s="33"/>
      <c r="AF5041" s="33"/>
      <c r="AG5041" s="33"/>
      <c r="AH5041" s="33"/>
      <c r="AI5041" s="33"/>
      <c r="AJ5041" s="33"/>
      <c r="AK5041" s="33"/>
    </row>
    <row r="5042">
      <c r="A5042" s="33"/>
      <c r="B5042" s="33"/>
      <c r="C5042" s="33"/>
      <c r="D5042" s="33"/>
      <c r="E5042" s="33"/>
      <c r="F5042" s="33"/>
      <c r="G5042" s="33"/>
      <c r="H5042" s="33"/>
      <c r="I5042" s="33"/>
      <c r="J5042" s="33"/>
      <c r="K5042" s="33"/>
      <c r="L5042" s="33"/>
      <c r="M5042" s="33"/>
      <c r="N5042" s="33"/>
      <c r="O5042" s="33"/>
      <c r="P5042" s="33"/>
      <c r="Q5042" s="33"/>
      <c r="R5042" s="33"/>
      <c r="S5042" s="33"/>
      <c r="T5042" s="33"/>
      <c r="U5042" s="33"/>
      <c r="V5042" s="33"/>
      <c r="W5042" s="33"/>
      <c r="X5042" s="33"/>
      <c r="Y5042" s="33"/>
      <c r="Z5042" s="33"/>
      <c r="AA5042" s="33"/>
      <c r="AB5042" s="33"/>
      <c r="AC5042" s="33"/>
      <c r="AD5042" s="33"/>
      <c r="AE5042" s="33"/>
      <c r="AF5042" s="33"/>
      <c r="AG5042" s="33"/>
      <c r="AH5042" s="33"/>
      <c r="AI5042" s="33"/>
      <c r="AJ5042" s="33"/>
      <c r="AK5042" s="33"/>
    </row>
    <row r="5043">
      <c r="A5043" s="33"/>
      <c r="B5043" s="33"/>
      <c r="C5043" s="33"/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  <c r="Q5043" s="33"/>
      <c r="R5043" s="33"/>
      <c r="S5043" s="33"/>
      <c r="T5043" s="33"/>
      <c r="U5043" s="33"/>
      <c r="V5043" s="33"/>
      <c r="W5043" s="33"/>
      <c r="X5043" s="33"/>
      <c r="Y5043" s="33"/>
      <c r="Z5043" s="33"/>
      <c r="AA5043" s="33"/>
      <c r="AB5043" s="33"/>
      <c r="AC5043" s="33"/>
      <c r="AD5043" s="33"/>
      <c r="AE5043" s="33"/>
      <c r="AF5043" s="33"/>
      <c r="AG5043" s="33"/>
      <c r="AH5043" s="33"/>
      <c r="AI5043" s="33"/>
      <c r="AJ5043" s="33"/>
      <c r="AK5043" s="33"/>
    </row>
    <row r="5044">
      <c r="A5044" s="33"/>
      <c r="B5044" s="33"/>
      <c r="C5044" s="33"/>
      <c r="D5044" s="33"/>
      <c r="E5044" s="33"/>
      <c r="F5044" s="33"/>
      <c r="G5044" s="33"/>
      <c r="H5044" s="33"/>
      <c r="I5044" s="33"/>
      <c r="J5044" s="33"/>
      <c r="K5044" s="33"/>
      <c r="L5044" s="33"/>
      <c r="M5044" s="33"/>
      <c r="N5044" s="33"/>
      <c r="O5044" s="33"/>
      <c r="P5044" s="33"/>
      <c r="Q5044" s="33"/>
      <c r="R5044" s="33"/>
      <c r="S5044" s="33"/>
      <c r="T5044" s="33"/>
      <c r="U5044" s="33"/>
      <c r="V5044" s="33"/>
      <c r="W5044" s="33"/>
      <c r="X5044" s="33"/>
      <c r="Y5044" s="33"/>
      <c r="Z5044" s="33"/>
      <c r="AA5044" s="33"/>
      <c r="AB5044" s="33"/>
      <c r="AC5044" s="33"/>
      <c r="AD5044" s="33"/>
      <c r="AE5044" s="33"/>
      <c r="AF5044" s="33"/>
      <c r="AG5044" s="33"/>
      <c r="AH5044" s="33"/>
      <c r="AI5044" s="33"/>
      <c r="AJ5044" s="33"/>
      <c r="AK5044" s="33"/>
    </row>
    <row r="5045">
      <c r="A5045" s="33"/>
      <c r="B5045" s="33"/>
      <c r="C5045" s="33"/>
      <c r="D5045" s="33"/>
      <c r="E5045" s="33"/>
      <c r="F5045" s="33"/>
      <c r="G5045" s="33"/>
      <c r="H5045" s="33"/>
      <c r="I5045" s="33"/>
      <c r="J5045" s="33"/>
      <c r="K5045" s="33"/>
      <c r="L5045" s="33"/>
      <c r="M5045" s="33"/>
      <c r="N5045" s="33"/>
      <c r="O5045" s="33"/>
      <c r="P5045" s="33"/>
      <c r="Q5045" s="33"/>
      <c r="R5045" s="33"/>
      <c r="S5045" s="33"/>
      <c r="T5045" s="33"/>
      <c r="U5045" s="33"/>
      <c r="V5045" s="33"/>
      <c r="W5045" s="33"/>
      <c r="X5045" s="33"/>
      <c r="Y5045" s="33"/>
      <c r="Z5045" s="33"/>
      <c r="AA5045" s="33"/>
      <c r="AB5045" s="33"/>
      <c r="AC5045" s="33"/>
      <c r="AD5045" s="33"/>
      <c r="AE5045" s="33"/>
      <c r="AF5045" s="33"/>
      <c r="AG5045" s="33"/>
      <c r="AH5045" s="33"/>
      <c r="AI5045" s="33"/>
      <c r="AJ5045" s="33"/>
      <c r="AK5045" s="33"/>
    </row>
    <row r="5046">
      <c r="A5046" s="33"/>
      <c r="B5046" s="33"/>
      <c r="C5046" s="33"/>
      <c r="D5046" s="33"/>
      <c r="E5046" s="33"/>
      <c r="F5046" s="33"/>
      <c r="G5046" s="33"/>
      <c r="H5046" s="33"/>
      <c r="I5046" s="33"/>
      <c r="J5046" s="33"/>
      <c r="K5046" s="33"/>
      <c r="L5046" s="33"/>
      <c r="M5046" s="33"/>
      <c r="N5046" s="33"/>
      <c r="O5046" s="33"/>
      <c r="P5046" s="33"/>
      <c r="Q5046" s="33"/>
      <c r="R5046" s="33"/>
      <c r="S5046" s="33"/>
      <c r="T5046" s="33"/>
      <c r="U5046" s="33"/>
      <c r="V5046" s="33"/>
      <c r="W5046" s="33"/>
      <c r="X5046" s="33"/>
      <c r="Y5046" s="33"/>
      <c r="Z5046" s="33"/>
      <c r="AA5046" s="33"/>
      <c r="AB5046" s="33"/>
      <c r="AC5046" s="33"/>
      <c r="AD5046" s="33"/>
      <c r="AE5046" s="33"/>
      <c r="AF5046" s="33"/>
      <c r="AG5046" s="33"/>
      <c r="AH5046" s="33"/>
      <c r="AI5046" s="33"/>
      <c r="AJ5046" s="33"/>
      <c r="AK5046" s="33"/>
    </row>
    <row r="5047">
      <c r="A5047" s="33"/>
      <c r="B5047" s="33"/>
      <c r="C5047" s="33"/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  <c r="Q5047" s="33"/>
      <c r="R5047" s="33"/>
      <c r="S5047" s="33"/>
      <c r="T5047" s="33"/>
      <c r="U5047" s="33"/>
      <c r="V5047" s="33"/>
      <c r="W5047" s="33"/>
      <c r="X5047" s="33"/>
      <c r="Y5047" s="33"/>
      <c r="Z5047" s="33"/>
      <c r="AA5047" s="33"/>
      <c r="AB5047" s="33"/>
      <c r="AC5047" s="33"/>
      <c r="AD5047" s="33"/>
      <c r="AE5047" s="33"/>
      <c r="AF5047" s="33"/>
      <c r="AG5047" s="33"/>
      <c r="AH5047" s="33"/>
      <c r="AI5047" s="33"/>
      <c r="AJ5047" s="33"/>
      <c r="AK5047" s="33"/>
    </row>
    <row r="5048">
      <c r="A5048" s="33"/>
      <c r="B5048" s="33"/>
      <c r="C5048" s="33"/>
      <c r="D5048" s="33"/>
      <c r="E5048" s="33"/>
      <c r="F5048" s="33"/>
      <c r="G5048" s="33"/>
      <c r="H5048" s="33"/>
      <c r="I5048" s="33"/>
      <c r="J5048" s="33"/>
      <c r="K5048" s="33"/>
      <c r="L5048" s="33"/>
      <c r="M5048" s="33"/>
      <c r="N5048" s="33"/>
      <c r="O5048" s="33"/>
      <c r="P5048" s="33"/>
      <c r="Q5048" s="33"/>
      <c r="R5048" s="33"/>
      <c r="S5048" s="33"/>
      <c r="T5048" s="33"/>
      <c r="U5048" s="33"/>
      <c r="V5048" s="33"/>
      <c r="W5048" s="33"/>
      <c r="X5048" s="33"/>
      <c r="Y5048" s="33"/>
      <c r="Z5048" s="33"/>
      <c r="AA5048" s="33"/>
      <c r="AB5048" s="33"/>
      <c r="AC5048" s="33"/>
      <c r="AD5048" s="33"/>
      <c r="AE5048" s="33"/>
      <c r="AF5048" s="33"/>
      <c r="AG5048" s="33"/>
      <c r="AH5048" s="33"/>
      <c r="AI5048" s="33"/>
      <c r="AJ5048" s="33"/>
      <c r="AK5048" s="33"/>
    </row>
    <row r="5049">
      <c r="A5049" s="33"/>
      <c r="B5049" s="33"/>
      <c r="C5049" s="33"/>
      <c r="D5049" s="33"/>
      <c r="E5049" s="33"/>
      <c r="F5049" s="33"/>
      <c r="G5049" s="33"/>
      <c r="H5049" s="33"/>
      <c r="I5049" s="33"/>
      <c r="J5049" s="33"/>
      <c r="K5049" s="33"/>
      <c r="L5049" s="33"/>
      <c r="M5049" s="33"/>
      <c r="N5049" s="33"/>
      <c r="O5049" s="33"/>
      <c r="P5049" s="33"/>
      <c r="Q5049" s="33"/>
      <c r="R5049" s="33"/>
      <c r="S5049" s="33"/>
      <c r="T5049" s="33"/>
      <c r="U5049" s="33"/>
      <c r="V5049" s="33"/>
      <c r="W5049" s="33"/>
      <c r="X5049" s="33"/>
      <c r="Y5049" s="33"/>
      <c r="Z5049" s="33"/>
      <c r="AA5049" s="33"/>
      <c r="AB5049" s="33"/>
      <c r="AC5049" s="33"/>
      <c r="AD5049" s="33"/>
      <c r="AE5049" s="33"/>
      <c r="AF5049" s="33"/>
      <c r="AG5049" s="33"/>
      <c r="AH5049" s="33"/>
      <c r="AI5049" s="33"/>
      <c r="AJ5049" s="33"/>
      <c r="AK5049" s="33"/>
    </row>
    <row r="5050">
      <c r="A5050" s="33"/>
      <c r="B5050" s="33"/>
      <c r="C5050" s="33"/>
      <c r="D5050" s="33"/>
      <c r="E5050" s="33"/>
      <c r="F5050" s="33"/>
      <c r="G5050" s="33"/>
      <c r="H5050" s="33"/>
      <c r="I5050" s="33"/>
      <c r="J5050" s="33"/>
      <c r="K5050" s="33"/>
      <c r="L5050" s="33"/>
      <c r="M5050" s="33"/>
      <c r="N5050" s="33"/>
      <c r="O5050" s="33"/>
      <c r="P5050" s="33"/>
      <c r="Q5050" s="33"/>
      <c r="R5050" s="33"/>
      <c r="S5050" s="33"/>
      <c r="T5050" s="33"/>
      <c r="U5050" s="33"/>
      <c r="V5050" s="33"/>
      <c r="W5050" s="33"/>
      <c r="X5050" s="33"/>
      <c r="Y5050" s="33"/>
      <c r="Z5050" s="33"/>
      <c r="AA5050" s="33"/>
      <c r="AB5050" s="33"/>
      <c r="AC5050" s="33"/>
      <c r="AD5050" s="33"/>
      <c r="AE5050" s="33"/>
      <c r="AF5050" s="33"/>
      <c r="AG5050" s="33"/>
      <c r="AH5050" s="33"/>
      <c r="AI5050" s="33"/>
      <c r="AJ5050" s="33"/>
      <c r="AK5050" s="33"/>
    </row>
    <row r="5051">
      <c r="A5051" s="33"/>
      <c r="B5051" s="33"/>
      <c r="C5051" s="33"/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  <c r="Q5051" s="33"/>
      <c r="R5051" s="33"/>
      <c r="S5051" s="33"/>
      <c r="T5051" s="33"/>
      <c r="U5051" s="33"/>
      <c r="V5051" s="33"/>
      <c r="W5051" s="33"/>
      <c r="X5051" s="33"/>
      <c r="Y5051" s="33"/>
      <c r="Z5051" s="33"/>
      <c r="AA5051" s="33"/>
      <c r="AB5051" s="33"/>
      <c r="AC5051" s="33"/>
      <c r="AD5051" s="33"/>
      <c r="AE5051" s="33"/>
      <c r="AF5051" s="33"/>
      <c r="AG5051" s="33"/>
      <c r="AH5051" s="33"/>
      <c r="AI5051" s="33"/>
      <c r="AJ5051" s="33"/>
      <c r="AK5051" s="33"/>
    </row>
    <row r="5052">
      <c r="A5052" s="33"/>
      <c r="B5052" s="33"/>
      <c r="C5052" s="33"/>
      <c r="D5052" s="33"/>
      <c r="E5052" s="33"/>
      <c r="F5052" s="33"/>
      <c r="G5052" s="33"/>
      <c r="H5052" s="33"/>
      <c r="I5052" s="33"/>
      <c r="J5052" s="33"/>
      <c r="K5052" s="33"/>
      <c r="L5052" s="33"/>
      <c r="M5052" s="33"/>
      <c r="N5052" s="33"/>
      <c r="O5052" s="33"/>
      <c r="P5052" s="33"/>
      <c r="Q5052" s="33"/>
      <c r="R5052" s="33"/>
      <c r="S5052" s="33"/>
      <c r="T5052" s="33"/>
      <c r="U5052" s="33"/>
      <c r="V5052" s="33"/>
      <c r="W5052" s="33"/>
      <c r="X5052" s="33"/>
      <c r="Y5052" s="33"/>
      <c r="Z5052" s="33"/>
      <c r="AA5052" s="33"/>
      <c r="AB5052" s="33"/>
      <c r="AC5052" s="33"/>
      <c r="AD5052" s="33"/>
      <c r="AE5052" s="33"/>
      <c r="AF5052" s="33"/>
      <c r="AG5052" s="33"/>
      <c r="AH5052" s="33"/>
      <c r="AI5052" s="33"/>
      <c r="AJ5052" s="33"/>
      <c r="AK5052" s="33"/>
    </row>
    <row r="5053">
      <c r="A5053" s="33"/>
      <c r="B5053" s="33"/>
      <c r="C5053" s="33"/>
      <c r="D5053" s="33"/>
      <c r="E5053" s="33"/>
      <c r="F5053" s="33"/>
      <c r="G5053" s="33"/>
      <c r="H5053" s="33"/>
      <c r="I5053" s="33"/>
      <c r="J5053" s="33"/>
      <c r="K5053" s="33"/>
      <c r="L5053" s="33"/>
      <c r="M5053" s="33"/>
      <c r="N5053" s="33"/>
      <c r="O5053" s="33"/>
      <c r="P5053" s="33"/>
      <c r="Q5053" s="33"/>
      <c r="R5053" s="33"/>
      <c r="S5053" s="33"/>
      <c r="T5053" s="33"/>
      <c r="U5053" s="33"/>
      <c r="V5053" s="33"/>
      <c r="W5053" s="33"/>
      <c r="X5053" s="33"/>
      <c r="Y5053" s="33"/>
      <c r="Z5053" s="33"/>
      <c r="AA5053" s="33"/>
      <c r="AB5053" s="33"/>
      <c r="AC5053" s="33"/>
      <c r="AD5053" s="33"/>
      <c r="AE5053" s="33"/>
      <c r="AF5053" s="33"/>
      <c r="AG5053" s="33"/>
      <c r="AH5053" s="33"/>
      <c r="AI5053" s="33"/>
      <c r="AJ5053" s="33"/>
      <c r="AK5053" s="33"/>
    </row>
    <row r="5054">
      <c r="A5054" s="33"/>
      <c r="B5054" s="33"/>
      <c r="C5054" s="33"/>
      <c r="D5054" s="33"/>
      <c r="E5054" s="33"/>
      <c r="F5054" s="33"/>
      <c r="G5054" s="33"/>
      <c r="H5054" s="33"/>
      <c r="I5054" s="33"/>
      <c r="J5054" s="33"/>
      <c r="K5054" s="33"/>
      <c r="L5054" s="33"/>
      <c r="M5054" s="33"/>
      <c r="N5054" s="33"/>
      <c r="O5054" s="33"/>
      <c r="P5054" s="33"/>
      <c r="Q5054" s="33"/>
      <c r="R5054" s="33"/>
      <c r="S5054" s="33"/>
      <c r="T5054" s="33"/>
      <c r="U5054" s="33"/>
      <c r="V5054" s="33"/>
      <c r="W5054" s="33"/>
      <c r="X5054" s="33"/>
      <c r="Y5054" s="33"/>
      <c r="Z5054" s="33"/>
      <c r="AA5054" s="33"/>
      <c r="AB5054" s="33"/>
      <c r="AC5054" s="33"/>
      <c r="AD5054" s="33"/>
      <c r="AE5054" s="33"/>
      <c r="AF5054" s="33"/>
      <c r="AG5054" s="33"/>
      <c r="AH5054" s="33"/>
      <c r="AI5054" s="33"/>
      <c r="AJ5054" s="33"/>
      <c r="AK5054" s="33"/>
    </row>
    <row r="5055">
      <c r="A5055" s="33"/>
      <c r="B5055" s="33"/>
      <c r="C5055" s="33"/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  <c r="Q5055" s="33"/>
      <c r="R5055" s="33"/>
      <c r="S5055" s="33"/>
      <c r="T5055" s="33"/>
      <c r="U5055" s="33"/>
      <c r="V5055" s="33"/>
      <c r="W5055" s="33"/>
      <c r="X5055" s="33"/>
      <c r="Y5055" s="33"/>
      <c r="Z5055" s="33"/>
      <c r="AA5055" s="33"/>
      <c r="AB5055" s="33"/>
      <c r="AC5055" s="33"/>
      <c r="AD5055" s="33"/>
      <c r="AE5055" s="33"/>
      <c r="AF5055" s="33"/>
      <c r="AG5055" s="33"/>
      <c r="AH5055" s="33"/>
      <c r="AI5055" s="33"/>
      <c r="AJ5055" s="33"/>
      <c r="AK5055" s="33"/>
    </row>
    <row r="5056">
      <c r="A5056" s="33"/>
      <c r="B5056" s="33"/>
      <c r="C5056" s="33"/>
      <c r="D5056" s="33"/>
      <c r="E5056" s="33"/>
      <c r="F5056" s="33"/>
      <c r="G5056" s="33"/>
      <c r="H5056" s="33"/>
      <c r="I5056" s="33"/>
      <c r="J5056" s="33"/>
      <c r="K5056" s="33"/>
      <c r="L5056" s="33"/>
      <c r="M5056" s="33"/>
      <c r="N5056" s="33"/>
      <c r="O5056" s="33"/>
      <c r="P5056" s="33"/>
      <c r="Q5056" s="33"/>
      <c r="R5056" s="33"/>
      <c r="S5056" s="33"/>
      <c r="T5056" s="33"/>
      <c r="U5056" s="33"/>
      <c r="V5056" s="33"/>
      <c r="W5056" s="33"/>
      <c r="X5056" s="33"/>
      <c r="Y5056" s="33"/>
      <c r="Z5056" s="33"/>
      <c r="AA5056" s="33"/>
      <c r="AB5056" s="33"/>
      <c r="AC5056" s="33"/>
      <c r="AD5056" s="33"/>
      <c r="AE5056" s="33"/>
      <c r="AF5056" s="33"/>
      <c r="AG5056" s="33"/>
      <c r="AH5056" s="33"/>
      <c r="AI5056" s="33"/>
      <c r="AJ5056" s="33"/>
      <c r="AK5056" s="33"/>
    </row>
    <row r="5057">
      <c r="A5057" s="33"/>
      <c r="B5057" s="33"/>
      <c r="C5057" s="33"/>
      <c r="D5057" s="33"/>
      <c r="E5057" s="33"/>
      <c r="F5057" s="33"/>
      <c r="G5057" s="33"/>
      <c r="H5057" s="33"/>
      <c r="I5057" s="33"/>
      <c r="J5057" s="33"/>
      <c r="K5057" s="33"/>
      <c r="L5057" s="33"/>
      <c r="M5057" s="33"/>
      <c r="N5057" s="33"/>
      <c r="O5057" s="33"/>
      <c r="P5057" s="33"/>
      <c r="Q5057" s="33"/>
      <c r="R5057" s="33"/>
      <c r="S5057" s="33"/>
      <c r="T5057" s="33"/>
      <c r="U5057" s="33"/>
      <c r="V5057" s="33"/>
      <c r="W5057" s="33"/>
      <c r="X5057" s="33"/>
      <c r="Y5057" s="33"/>
      <c r="Z5057" s="33"/>
      <c r="AA5057" s="33"/>
      <c r="AB5057" s="33"/>
      <c r="AC5057" s="33"/>
      <c r="AD5057" s="33"/>
      <c r="AE5057" s="33"/>
      <c r="AF5057" s="33"/>
      <c r="AG5057" s="33"/>
      <c r="AH5057" s="33"/>
      <c r="AI5057" s="33"/>
      <c r="AJ5057" s="33"/>
      <c r="AK5057" s="33"/>
    </row>
    <row r="5058">
      <c r="A5058" s="33"/>
      <c r="B5058" s="33"/>
      <c r="C5058" s="33"/>
      <c r="D5058" s="33"/>
      <c r="E5058" s="33"/>
      <c r="F5058" s="33"/>
      <c r="G5058" s="33"/>
      <c r="H5058" s="33"/>
      <c r="I5058" s="33"/>
      <c r="J5058" s="33"/>
      <c r="K5058" s="33"/>
      <c r="L5058" s="33"/>
      <c r="M5058" s="33"/>
      <c r="N5058" s="33"/>
      <c r="O5058" s="33"/>
      <c r="P5058" s="33"/>
      <c r="Q5058" s="33"/>
      <c r="R5058" s="33"/>
      <c r="S5058" s="33"/>
      <c r="T5058" s="33"/>
      <c r="U5058" s="33"/>
      <c r="V5058" s="33"/>
      <c r="W5058" s="33"/>
      <c r="X5058" s="33"/>
      <c r="Y5058" s="33"/>
      <c r="Z5058" s="33"/>
      <c r="AA5058" s="33"/>
      <c r="AB5058" s="33"/>
      <c r="AC5058" s="33"/>
      <c r="AD5058" s="33"/>
      <c r="AE5058" s="33"/>
      <c r="AF5058" s="33"/>
      <c r="AG5058" s="33"/>
      <c r="AH5058" s="33"/>
      <c r="AI5058" s="33"/>
      <c r="AJ5058" s="33"/>
      <c r="AK5058" s="33"/>
    </row>
    <row r="5059">
      <c r="A5059" s="33"/>
      <c r="B5059" s="33"/>
      <c r="C5059" s="33"/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  <c r="Q5059" s="33"/>
      <c r="R5059" s="33"/>
      <c r="S5059" s="33"/>
      <c r="T5059" s="33"/>
      <c r="U5059" s="33"/>
      <c r="V5059" s="33"/>
      <c r="W5059" s="33"/>
      <c r="X5059" s="33"/>
      <c r="Y5059" s="33"/>
      <c r="Z5059" s="33"/>
      <c r="AA5059" s="33"/>
      <c r="AB5059" s="33"/>
      <c r="AC5059" s="33"/>
      <c r="AD5059" s="33"/>
      <c r="AE5059" s="33"/>
      <c r="AF5059" s="33"/>
      <c r="AG5059" s="33"/>
      <c r="AH5059" s="33"/>
      <c r="AI5059" s="33"/>
      <c r="AJ5059" s="33"/>
      <c r="AK5059" s="33"/>
    </row>
    <row r="5060">
      <c r="A5060" s="33"/>
      <c r="B5060" s="33"/>
      <c r="C5060" s="33"/>
      <c r="D5060" s="33"/>
      <c r="E5060" s="33"/>
      <c r="F5060" s="33"/>
      <c r="G5060" s="33"/>
      <c r="H5060" s="33"/>
      <c r="I5060" s="33"/>
      <c r="J5060" s="33"/>
      <c r="K5060" s="33"/>
      <c r="L5060" s="33"/>
      <c r="M5060" s="33"/>
      <c r="N5060" s="33"/>
      <c r="O5060" s="33"/>
      <c r="P5060" s="33"/>
      <c r="Q5060" s="33"/>
      <c r="R5060" s="33"/>
      <c r="S5060" s="33"/>
      <c r="T5060" s="33"/>
      <c r="U5060" s="33"/>
      <c r="V5060" s="33"/>
      <c r="W5060" s="33"/>
      <c r="X5060" s="33"/>
      <c r="Y5060" s="33"/>
      <c r="Z5060" s="33"/>
      <c r="AA5060" s="33"/>
      <c r="AB5060" s="33"/>
      <c r="AC5060" s="33"/>
      <c r="AD5060" s="33"/>
      <c r="AE5060" s="33"/>
      <c r="AF5060" s="33"/>
      <c r="AG5060" s="33"/>
      <c r="AH5060" s="33"/>
      <c r="AI5060" s="33"/>
      <c r="AJ5060" s="33"/>
      <c r="AK5060" s="33"/>
    </row>
    <row r="5061">
      <c r="A5061" s="33"/>
      <c r="B5061" s="33"/>
      <c r="C5061" s="33"/>
      <c r="D5061" s="33"/>
      <c r="E5061" s="33"/>
      <c r="F5061" s="33"/>
      <c r="G5061" s="33"/>
      <c r="H5061" s="33"/>
      <c r="I5061" s="33"/>
      <c r="J5061" s="33"/>
      <c r="K5061" s="33"/>
      <c r="L5061" s="33"/>
      <c r="M5061" s="33"/>
      <c r="N5061" s="33"/>
      <c r="O5061" s="33"/>
      <c r="P5061" s="33"/>
      <c r="Q5061" s="33"/>
      <c r="R5061" s="33"/>
      <c r="S5061" s="33"/>
      <c r="T5061" s="33"/>
      <c r="U5061" s="33"/>
      <c r="V5061" s="33"/>
      <c r="W5061" s="33"/>
      <c r="X5061" s="33"/>
      <c r="Y5061" s="33"/>
      <c r="Z5061" s="33"/>
      <c r="AA5061" s="33"/>
      <c r="AB5061" s="33"/>
      <c r="AC5061" s="33"/>
      <c r="AD5061" s="33"/>
      <c r="AE5061" s="33"/>
      <c r="AF5061" s="33"/>
      <c r="AG5061" s="33"/>
      <c r="AH5061" s="33"/>
      <c r="AI5061" s="33"/>
      <c r="AJ5061" s="33"/>
      <c r="AK5061" s="33"/>
    </row>
    <row r="5062">
      <c r="A5062" s="33"/>
      <c r="B5062" s="33"/>
      <c r="C5062" s="33"/>
      <c r="D5062" s="33"/>
      <c r="E5062" s="33"/>
      <c r="F5062" s="33"/>
      <c r="G5062" s="33"/>
      <c r="H5062" s="33"/>
      <c r="I5062" s="33"/>
      <c r="J5062" s="33"/>
      <c r="K5062" s="33"/>
      <c r="L5062" s="33"/>
      <c r="M5062" s="33"/>
      <c r="N5062" s="33"/>
      <c r="O5062" s="33"/>
      <c r="P5062" s="33"/>
      <c r="Q5062" s="33"/>
      <c r="R5062" s="33"/>
      <c r="S5062" s="33"/>
      <c r="T5062" s="33"/>
      <c r="U5062" s="33"/>
      <c r="V5062" s="33"/>
      <c r="W5062" s="33"/>
      <c r="X5062" s="33"/>
      <c r="Y5062" s="33"/>
      <c r="Z5062" s="33"/>
      <c r="AA5062" s="33"/>
      <c r="AB5062" s="33"/>
      <c r="AC5062" s="33"/>
      <c r="AD5062" s="33"/>
      <c r="AE5062" s="33"/>
      <c r="AF5062" s="33"/>
      <c r="AG5062" s="33"/>
      <c r="AH5062" s="33"/>
      <c r="AI5062" s="33"/>
      <c r="AJ5062" s="33"/>
      <c r="AK5062" s="33"/>
    </row>
    <row r="5063">
      <c r="A5063" s="33"/>
      <c r="B5063" s="33"/>
      <c r="C5063" s="33"/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  <c r="Q5063" s="33"/>
      <c r="R5063" s="33"/>
      <c r="S5063" s="33"/>
      <c r="T5063" s="33"/>
      <c r="U5063" s="33"/>
      <c r="V5063" s="33"/>
      <c r="W5063" s="33"/>
      <c r="X5063" s="33"/>
      <c r="Y5063" s="33"/>
      <c r="Z5063" s="33"/>
      <c r="AA5063" s="33"/>
      <c r="AB5063" s="33"/>
      <c r="AC5063" s="33"/>
      <c r="AD5063" s="33"/>
      <c r="AE5063" s="33"/>
      <c r="AF5063" s="33"/>
      <c r="AG5063" s="33"/>
      <c r="AH5063" s="33"/>
      <c r="AI5063" s="33"/>
      <c r="AJ5063" s="33"/>
      <c r="AK5063" s="33"/>
    </row>
    <row r="5064">
      <c r="A5064" s="33"/>
      <c r="B5064" s="33"/>
      <c r="C5064" s="33"/>
      <c r="D5064" s="33"/>
      <c r="E5064" s="33"/>
      <c r="F5064" s="33"/>
      <c r="G5064" s="33"/>
      <c r="H5064" s="33"/>
      <c r="I5064" s="33"/>
      <c r="J5064" s="33"/>
      <c r="K5064" s="33"/>
      <c r="L5064" s="33"/>
      <c r="M5064" s="33"/>
      <c r="N5064" s="33"/>
      <c r="O5064" s="33"/>
      <c r="P5064" s="33"/>
      <c r="Q5064" s="33"/>
      <c r="R5064" s="33"/>
      <c r="S5064" s="33"/>
      <c r="T5064" s="33"/>
      <c r="U5064" s="33"/>
      <c r="V5064" s="33"/>
      <c r="W5064" s="33"/>
      <c r="X5064" s="33"/>
      <c r="Y5064" s="33"/>
      <c r="Z5064" s="33"/>
      <c r="AA5064" s="33"/>
      <c r="AB5064" s="33"/>
      <c r="AC5064" s="33"/>
      <c r="AD5064" s="33"/>
      <c r="AE5064" s="33"/>
      <c r="AF5064" s="33"/>
      <c r="AG5064" s="33"/>
      <c r="AH5064" s="33"/>
      <c r="AI5064" s="33"/>
      <c r="AJ5064" s="33"/>
      <c r="AK5064" s="33"/>
    </row>
    <row r="5065">
      <c r="A5065" s="33"/>
      <c r="B5065" s="33"/>
      <c r="C5065" s="33"/>
      <c r="D5065" s="33"/>
      <c r="E5065" s="33"/>
      <c r="F5065" s="33"/>
      <c r="G5065" s="33"/>
      <c r="H5065" s="33"/>
      <c r="I5065" s="33"/>
      <c r="J5065" s="33"/>
      <c r="K5065" s="33"/>
      <c r="L5065" s="33"/>
      <c r="M5065" s="33"/>
      <c r="N5065" s="33"/>
      <c r="O5065" s="33"/>
      <c r="P5065" s="33"/>
      <c r="Q5065" s="33"/>
      <c r="R5065" s="33"/>
      <c r="S5065" s="33"/>
      <c r="T5065" s="33"/>
      <c r="U5065" s="33"/>
      <c r="V5065" s="33"/>
      <c r="W5065" s="33"/>
      <c r="X5065" s="33"/>
      <c r="Y5065" s="33"/>
      <c r="Z5065" s="33"/>
      <c r="AA5065" s="33"/>
      <c r="AB5065" s="33"/>
      <c r="AC5065" s="33"/>
      <c r="AD5065" s="33"/>
      <c r="AE5065" s="33"/>
      <c r="AF5065" s="33"/>
      <c r="AG5065" s="33"/>
      <c r="AH5065" s="33"/>
      <c r="AI5065" s="33"/>
      <c r="AJ5065" s="33"/>
      <c r="AK5065" s="33"/>
    </row>
    <row r="5066">
      <c r="A5066" s="33"/>
      <c r="B5066" s="33"/>
      <c r="C5066" s="33"/>
      <c r="D5066" s="33"/>
      <c r="E5066" s="33"/>
      <c r="F5066" s="33"/>
      <c r="G5066" s="33"/>
      <c r="H5066" s="33"/>
      <c r="I5066" s="33"/>
      <c r="J5066" s="33"/>
      <c r="K5066" s="33"/>
      <c r="L5066" s="33"/>
      <c r="M5066" s="33"/>
      <c r="N5066" s="33"/>
      <c r="O5066" s="33"/>
      <c r="P5066" s="33"/>
      <c r="Q5066" s="33"/>
      <c r="R5066" s="33"/>
      <c r="S5066" s="33"/>
      <c r="T5066" s="33"/>
      <c r="U5066" s="33"/>
      <c r="V5066" s="33"/>
      <c r="W5066" s="33"/>
      <c r="X5066" s="33"/>
      <c r="Y5066" s="33"/>
      <c r="Z5066" s="33"/>
      <c r="AA5066" s="33"/>
      <c r="AB5066" s="33"/>
      <c r="AC5066" s="33"/>
      <c r="AD5066" s="33"/>
      <c r="AE5066" s="33"/>
      <c r="AF5066" s="33"/>
      <c r="AG5066" s="33"/>
      <c r="AH5066" s="33"/>
      <c r="AI5066" s="33"/>
      <c r="AJ5066" s="33"/>
      <c r="AK5066" s="33"/>
    </row>
    <row r="5067">
      <c r="A5067" s="33"/>
      <c r="B5067" s="33"/>
      <c r="C5067" s="33"/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  <c r="Q5067" s="33"/>
      <c r="R5067" s="33"/>
      <c r="S5067" s="33"/>
      <c r="T5067" s="33"/>
      <c r="U5067" s="33"/>
      <c r="V5067" s="33"/>
      <c r="W5067" s="33"/>
      <c r="X5067" s="33"/>
      <c r="Y5067" s="33"/>
      <c r="Z5067" s="33"/>
      <c r="AA5067" s="33"/>
      <c r="AB5067" s="33"/>
      <c r="AC5067" s="33"/>
      <c r="AD5067" s="33"/>
      <c r="AE5067" s="33"/>
      <c r="AF5067" s="33"/>
      <c r="AG5067" s="33"/>
      <c r="AH5067" s="33"/>
      <c r="AI5067" s="33"/>
      <c r="AJ5067" s="33"/>
      <c r="AK5067" s="33"/>
    </row>
    <row r="5068">
      <c r="A5068" s="33"/>
      <c r="B5068" s="33"/>
      <c r="C5068" s="33"/>
      <c r="D5068" s="33"/>
      <c r="E5068" s="33"/>
      <c r="F5068" s="33"/>
      <c r="G5068" s="33"/>
      <c r="H5068" s="33"/>
      <c r="I5068" s="33"/>
      <c r="J5068" s="33"/>
      <c r="K5068" s="33"/>
      <c r="L5068" s="33"/>
      <c r="M5068" s="33"/>
      <c r="N5068" s="33"/>
      <c r="O5068" s="33"/>
      <c r="P5068" s="33"/>
      <c r="Q5068" s="33"/>
      <c r="R5068" s="33"/>
      <c r="S5068" s="33"/>
      <c r="T5068" s="33"/>
      <c r="U5068" s="33"/>
      <c r="V5068" s="33"/>
      <c r="W5068" s="33"/>
      <c r="X5068" s="33"/>
      <c r="Y5068" s="33"/>
      <c r="Z5068" s="33"/>
      <c r="AA5068" s="33"/>
      <c r="AB5068" s="33"/>
      <c r="AC5068" s="33"/>
      <c r="AD5068" s="33"/>
      <c r="AE5068" s="33"/>
      <c r="AF5068" s="33"/>
      <c r="AG5068" s="33"/>
      <c r="AH5068" s="33"/>
      <c r="AI5068" s="33"/>
      <c r="AJ5068" s="33"/>
      <c r="AK5068" s="33"/>
    </row>
    <row r="5069">
      <c r="A5069" s="33"/>
      <c r="B5069" s="33"/>
      <c r="C5069" s="33"/>
      <c r="D5069" s="33"/>
      <c r="E5069" s="33"/>
      <c r="F5069" s="33"/>
      <c r="G5069" s="33"/>
      <c r="H5069" s="33"/>
      <c r="I5069" s="33"/>
      <c r="J5069" s="33"/>
      <c r="K5069" s="33"/>
      <c r="L5069" s="33"/>
      <c r="M5069" s="33"/>
      <c r="N5069" s="33"/>
      <c r="O5069" s="33"/>
      <c r="P5069" s="33"/>
      <c r="Q5069" s="33"/>
      <c r="R5069" s="33"/>
      <c r="S5069" s="33"/>
      <c r="T5069" s="33"/>
      <c r="U5069" s="33"/>
      <c r="V5069" s="33"/>
      <c r="W5069" s="33"/>
      <c r="X5069" s="33"/>
      <c r="Y5069" s="33"/>
      <c r="Z5069" s="33"/>
      <c r="AA5069" s="33"/>
      <c r="AB5069" s="33"/>
      <c r="AC5069" s="33"/>
      <c r="AD5069" s="33"/>
      <c r="AE5069" s="33"/>
      <c r="AF5069" s="33"/>
      <c r="AG5069" s="33"/>
      <c r="AH5069" s="33"/>
      <c r="AI5069" s="33"/>
      <c r="AJ5069" s="33"/>
      <c r="AK5069" s="33"/>
    </row>
    <row r="5070">
      <c r="A5070" s="33"/>
      <c r="B5070" s="33"/>
      <c r="C5070" s="33"/>
      <c r="D5070" s="33"/>
      <c r="E5070" s="33"/>
      <c r="F5070" s="33"/>
      <c r="G5070" s="33"/>
      <c r="H5070" s="33"/>
      <c r="I5070" s="33"/>
      <c r="J5070" s="33"/>
      <c r="K5070" s="33"/>
      <c r="L5070" s="33"/>
      <c r="M5070" s="33"/>
      <c r="N5070" s="33"/>
      <c r="O5070" s="33"/>
      <c r="P5070" s="33"/>
      <c r="Q5070" s="33"/>
      <c r="R5070" s="33"/>
      <c r="S5070" s="33"/>
      <c r="T5070" s="33"/>
      <c r="U5070" s="33"/>
      <c r="V5070" s="33"/>
      <c r="W5070" s="33"/>
      <c r="X5070" s="33"/>
      <c r="Y5070" s="33"/>
      <c r="Z5070" s="33"/>
      <c r="AA5070" s="33"/>
      <c r="AB5070" s="33"/>
      <c r="AC5070" s="33"/>
      <c r="AD5070" s="33"/>
      <c r="AE5070" s="33"/>
      <c r="AF5070" s="33"/>
      <c r="AG5070" s="33"/>
      <c r="AH5070" s="33"/>
      <c r="AI5070" s="33"/>
      <c r="AJ5070" s="33"/>
      <c r="AK5070" s="33"/>
    </row>
    <row r="5071">
      <c r="A5071" s="33"/>
      <c r="B5071" s="33"/>
      <c r="C5071" s="33"/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  <c r="Q5071" s="33"/>
      <c r="R5071" s="33"/>
      <c r="S5071" s="33"/>
      <c r="T5071" s="33"/>
      <c r="U5071" s="33"/>
      <c r="V5071" s="33"/>
      <c r="W5071" s="33"/>
      <c r="X5071" s="33"/>
      <c r="Y5071" s="33"/>
      <c r="Z5071" s="33"/>
      <c r="AA5071" s="33"/>
      <c r="AB5071" s="33"/>
      <c r="AC5071" s="33"/>
      <c r="AD5071" s="33"/>
      <c r="AE5071" s="33"/>
      <c r="AF5071" s="33"/>
      <c r="AG5071" s="33"/>
      <c r="AH5071" s="33"/>
      <c r="AI5071" s="33"/>
      <c r="AJ5071" s="33"/>
      <c r="AK5071" s="33"/>
    </row>
    <row r="5072">
      <c r="A5072" s="33"/>
      <c r="B5072" s="33"/>
      <c r="C5072" s="33"/>
      <c r="D5072" s="33"/>
      <c r="E5072" s="33"/>
      <c r="F5072" s="33"/>
      <c r="G5072" s="33"/>
      <c r="H5072" s="33"/>
      <c r="I5072" s="33"/>
      <c r="J5072" s="33"/>
      <c r="K5072" s="33"/>
      <c r="L5072" s="33"/>
      <c r="M5072" s="33"/>
      <c r="N5072" s="33"/>
      <c r="O5072" s="33"/>
      <c r="P5072" s="33"/>
      <c r="Q5072" s="33"/>
      <c r="R5072" s="33"/>
      <c r="S5072" s="33"/>
      <c r="T5072" s="33"/>
      <c r="U5072" s="33"/>
      <c r="V5072" s="33"/>
      <c r="W5072" s="33"/>
      <c r="X5072" s="33"/>
      <c r="Y5072" s="33"/>
      <c r="Z5072" s="33"/>
      <c r="AA5072" s="33"/>
      <c r="AB5072" s="33"/>
      <c r="AC5072" s="33"/>
      <c r="AD5072" s="33"/>
      <c r="AE5072" s="33"/>
      <c r="AF5072" s="33"/>
      <c r="AG5072" s="33"/>
      <c r="AH5072" s="33"/>
      <c r="AI5072" s="33"/>
      <c r="AJ5072" s="33"/>
      <c r="AK5072" s="33"/>
    </row>
    <row r="5073">
      <c r="A5073" s="33"/>
      <c r="B5073" s="33"/>
      <c r="C5073" s="33"/>
      <c r="D5073" s="33"/>
      <c r="E5073" s="33"/>
      <c r="F5073" s="33"/>
      <c r="G5073" s="33"/>
      <c r="H5073" s="33"/>
      <c r="I5073" s="33"/>
      <c r="J5073" s="33"/>
      <c r="K5073" s="33"/>
      <c r="L5073" s="33"/>
      <c r="M5073" s="33"/>
      <c r="N5073" s="33"/>
      <c r="O5073" s="33"/>
      <c r="P5073" s="33"/>
      <c r="Q5073" s="33"/>
      <c r="R5073" s="33"/>
      <c r="S5073" s="33"/>
      <c r="T5073" s="33"/>
      <c r="U5073" s="33"/>
      <c r="V5073" s="33"/>
      <c r="W5073" s="33"/>
      <c r="X5073" s="33"/>
      <c r="Y5073" s="33"/>
      <c r="Z5073" s="33"/>
      <c r="AA5073" s="33"/>
      <c r="AB5073" s="33"/>
      <c r="AC5073" s="33"/>
      <c r="AD5073" s="33"/>
      <c r="AE5073" s="33"/>
      <c r="AF5073" s="33"/>
      <c r="AG5073" s="33"/>
      <c r="AH5073" s="33"/>
      <c r="AI5073" s="33"/>
      <c r="AJ5073" s="33"/>
      <c r="AK5073" s="33"/>
    </row>
    <row r="5074">
      <c r="A5074" s="33"/>
      <c r="B5074" s="33"/>
      <c r="C5074" s="33"/>
      <c r="D5074" s="33"/>
      <c r="E5074" s="33"/>
      <c r="F5074" s="33"/>
      <c r="G5074" s="33"/>
      <c r="H5074" s="33"/>
      <c r="I5074" s="33"/>
      <c r="J5074" s="33"/>
      <c r="K5074" s="33"/>
      <c r="L5074" s="33"/>
      <c r="M5074" s="33"/>
      <c r="N5074" s="33"/>
      <c r="O5074" s="33"/>
      <c r="P5074" s="33"/>
      <c r="Q5074" s="33"/>
      <c r="R5074" s="33"/>
      <c r="S5074" s="33"/>
      <c r="T5074" s="33"/>
      <c r="U5074" s="33"/>
      <c r="V5074" s="33"/>
      <c r="W5074" s="33"/>
      <c r="X5074" s="33"/>
      <c r="Y5074" s="33"/>
      <c r="Z5074" s="33"/>
      <c r="AA5074" s="33"/>
      <c r="AB5074" s="33"/>
      <c r="AC5074" s="33"/>
      <c r="AD5074" s="33"/>
      <c r="AE5074" s="33"/>
      <c r="AF5074" s="33"/>
      <c r="AG5074" s="33"/>
      <c r="AH5074" s="33"/>
      <c r="AI5074" s="33"/>
      <c r="AJ5074" s="33"/>
      <c r="AK5074" s="33"/>
    </row>
    <row r="5075">
      <c r="A5075" s="33"/>
      <c r="B5075" s="33"/>
      <c r="C5075" s="33"/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  <c r="R5075" s="33"/>
      <c r="S5075" s="33"/>
      <c r="T5075" s="33"/>
      <c r="U5075" s="33"/>
      <c r="V5075" s="33"/>
      <c r="W5075" s="33"/>
      <c r="X5075" s="33"/>
      <c r="Y5075" s="33"/>
      <c r="Z5075" s="33"/>
      <c r="AA5075" s="33"/>
      <c r="AB5075" s="33"/>
      <c r="AC5075" s="33"/>
      <c r="AD5075" s="33"/>
      <c r="AE5075" s="33"/>
      <c r="AF5075" s="33"/>
      <c r="AG5075" s="33"/>
      <c r="AH5075" s="33"/>
      <c r="AI5075" s="33"/>
      <c r="AJ5075" s="33"/>
      <c r="AK5075" s="33"/>
    </row>
    <row r="5076">
      <c r="A5076" s="33"/>
      <c r="B5076" s="33"/>
      <c r="C5076" s="33"/>
      <c r="D5076" s="33"/>
      <c r="E5076" s="33"/>
      <c r="F5076" s="33"/>
      <c r="G5076" s="33"/>
      <c r="H5076" s="33"/>
      <c r="I5076" s="33"/>
      <c r="J5076" s="33"/>
      <c r="K5076" s="33"/>
      <c r="L5076" s="33"/>
      <c r="M5076" s="33"/>
      <c r="N5076" s="33"/>
      <c r="O5076" s="33"/>
      <c r="P5076" s="33"/>
      <c r="Q5076" s="33"/>
      <c r="R5076" s="33"/>
      <c r="S5076" s="33"/>
      <c r="T5076" s="33"/>
      <c r="U5076" s="33"/>
      <c r="V5076" s="33"/>
      <c r="W5076" s="33"/>
      <c r="X5076" s="33"/>
      <c r="Y5076" s="33"/>
      <c r="Z5076" s="33"/>
      <c r="AA5076" s="33"/>
      <c r="AB5076" s="33"/>
      <c r="AC5076" s="33"/>
      <c r="AD5076" s="33"/>
      <c r="AE5076" s="33"/>
      <c r="AF5076" s="33"/>
      <c r="AG5076" s="33"/>
      <c r="AH5076" s="33"/>
      <c r="AI5076" s="33"/>
      <c r="AJ5076" s="33"/>
      <c r="AK5076" s="33"/>
    </row>
    <row r="5077">
      <c r="A5077" s="33"/>
      <c r="B5077" s="33"/>
      <c r="C5077" s="33"/>
      <c r="D5077" s="33"/>
      <c r="E5077" s="33"/>
      <c r="F5077" s="33"/>
      <c r="G5077" s="33"/>
      <c r="H5077" s="33"/>
      <c r="I5077" s="33"/>
      <c r="J5077" s="33"/>
      <c r="K5077" s="33"/>
      <c r="L5077" s="33"/>
      <c r="M5077" s="33"/>
      <c r="N5077" s="33"/>
      <c r="O5077" s="33"/>
      <c r="P5077" s="33"/>
      <c r="Q5077" s="33"/>
      <c r="R5077" s="33"/>
      <c r="S5077" s="33"/>
      <c r="T5077" s="33"/>
      <c r="U5077" s="33"/>
      <c r="V5077" s="33"/>
      <c r="W5077" s="33"/>
      <c r="X5077" s="33"/>
      <c r="Y5077" s="33"/>
      <c r="Z5077" s="33"/>
      <c r="AA5077" s="33"/>
      <c r="AB5077" s="33"/>
      <c r="AC5077" s="33"/>
      <c r="AD5077" s="33"/>
      <c r="AE5077" s="33"/>
      <c r="AF5077" s="33"/>
      <c r="AG5077" s="33"/>
      <c r="AH5077" s="33"/>
      <c r="AI5077" s="33"/>
      <c r="AJ5077" s="33"/>
      <c r="AK5077" s="33"/>
    </row>
    <row r="5078">
      <c r="A5078" s="33"/>
      <c r="B5078" s="33"/>
      <c r="C5078" s="33"/>
      <c r="D5078" s="33"/>
      <c r="E5078" s="33"/>
      <c r="F5078" s="33"/>
      <c r="G5078" s="33"/>
      <c r="H5078" s="33"/>
      <c r="I5078" s="33"/>
      <c r="J5078" s="33"/>
      <c r="K5078" s="33"/>
      <c r="L5078" s="33"/>
      <c r="M5078" s="33"/>
      <c r="N5078" s="33"/>
      <c r="O5078" s="33"/>
      <c r="P5078" s="33"/>
      <c r="Q5078" s="33"/>
      <c r="R5078" s="33"/>
      <c r="S5078" s="33"/>
      <c r="T5078" s="33"/>
      <c r="U5078" s="33"/>
      <c r="V5078" s="33"/>
      <c r="W5078" s="33"/>
      <c r="X5078" s="33"/>
      <c r="Y5078" s="33"/>
      <c r="Z5078" s="33"/>
      <c r="AA5078" s="33"/>
      <c r="AB5078" s="33"/>
      <c r="AC5078" s="33"/>
      <c r="AD5078" s="33"/>
      <c r="AE5078" s="33"/>
      <c r="AF5078" s="33"/>
      <c r="AG5078" s="33"/>
      <c r="AH5078" s="33"/>
      <c r="AI5078" s="33"/>
      <c r="AJ5078" s="33"/>
      <c r="AK5078" s="33"/>
    </row>
    <row r="5079">
      <c r="A5079" s="33"/>
      <c r="B5079" s="33"/>
      <c r="C5079" s="33"/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  <c r="Q5079" s="33"/>
      <c r="R5079" s="33"/>
      <c r="S5079" s="33"/>
      <c r="T5079" s="33"/>
      <c r="U5079" s="33"/>
      <c r="V5079" s="33"/>
      <c r="W5079" s="33"/>
      <c r="X5079" s="33"/>
      <c r="Y5079" s="33"/>
      <c r="Z5079" s="33"/>
      <c r="AA5079" s="33"/>
      <c r="AB5079" s="33"/>
      <c r="AC5079" s="33"/>
      <c r="AD5079" s="33"/>
      <c r="AE5079" s="33"/>
      <c r="AF5079" s="33"/>
      <c r="AG5079" s="33"/>
      <c r="AH5079" s="33"/>
      <c r="AI5079" s="33"/>
      <c r="AJ5079" s="33"/>
      <c r="AK5079" s="33"/>
    </row>
    <row r="5080">
      <c r="A5080" s="33"/>
      <c r="B5080" s="33"/>
      <c r="C5080" s="33"/>
      <c r="D5080" s="33"/>
      <c r="E5080" s="33"/>
      <c r="F5080" s="33"/>
      <c r="G5080" s="33"/>
      <c r="H5080" s="33"/>
      <c r="I5080" s="33"/>
      <c r="J5080" s="33"/>
      <c r="K5080" s="33"/>
      <c r="L5080" s="33"/>
      <c r="M5080" s="33"/>
      <c r="N5080" s="33"/>
      <c r="O5080" s="33"/>
      <c r="P5080" s="33"/>
      <c r="Q5080" s="33"/>
      <c r="R5080" s="33"/>
      <c r="S5080" s="33"/>
      <c r="T5080" s="33"/>
      <c r="U5080" s="33"/>
      <c r="V5080" s="33"/>
      <c r="W5080" s="33"/>
      <c r="X5080" s="33"/>
      <c r="Y5080" s="33"/>
      <c r="Z5080" s="33"/>
      <c r="AA5080" s="33"/>
      <c r="AB5080" s="33"/>
      <c r="AC5080" s="33"/>
      <c r="AD5080" s="33"/>
      <c r="AE5080" s="33"/>
      <c r="AF5080" s="33"/>
      <c r="AG5080" s="33"/>
      <c r="AH5080" s="33"/>
      <c r="AI5080" s="33"/>
      <c r="AJ5080" s="33"/>
      <c r="AK5080" s="33"/>
    </row>
    <row r="5081">
      <c r="A5081" s="33"/>
      <c r="B5081" s="33"/>
      <c r="C5081" s="33"/>
      <c r="D5081" s="33"/>
      <c r="E5081" s="33"/>
      <c r="F5081" s="33"/>
      <c r="G5081" s="33"/>
      <c r="H5081" s="33"/>
      <c r="I5081" s="33"/>
      <c r="J5081" s="33"/>
      <c r="K5081" s="33"/>
      <c r="L5081" s="33"/>
      <c r="M5081" s="33"/>
      <c r="N5081" s="33"/>
      <c r="O5081" s="33"/>
      <c r="P5081" s="33"/>
      <c r="Q5081" s="33"/>
      <c r="R5081" s="33"/>
      <c r="S5081" s="33"/>
      <c r="T5081" s="33"/>
      <c r="U5081" s="33"/>
      <c r="V5081" s="33"/>
      <c r="W5081" s="33"/>
      <c r="X5081" s="33"/>
      <c r="Y5081" s="33"/>
      <c r="Z5081" s="33"/>
      <c r="AA5081" s="33"/>
      <c r="AB5081" s="33"/>
      <c r="AC5081" s="33"/>
      <c r="AD5081" s="33"/>
      <c r="AE5081" s="33"/>
      <c r="AF5081" s="33"/>
      <c r="AG5081" s="33"/>
      <c r="AH5081" s="33"/>
      <c r="AI5081" s="33"/>
      <c r="AJ5081" s="33"/>
      <c r="AK5081" s="33"/>
    </row>
    <row r="5082">
      <c r="A5082" s="33"/>
      <c r="B5082" s="33"/>
      <c r="C5082" s="33"/>
      <c r="D5082" s="33"/>
      <c r="E5082" s="33"/>
      <c r="F5082" s="33"/>
      <c r="G5082" s="33"/>
      <c r="H5082" s="33"/>
      <c r="I5082" s="33"/>
      <c r="J5082" s="33"/>
      <c r="K5082" s="33"/>
      <c r="L5082" s="33"/>
      <c r="M5082" s="33"/>
      <c r="N5082" s="33"/>
      <c r="O5082" s="33"/>
      <c r="P5082" s="33"/>
      <c r="Q5082" s="33"/>
      <c r="R5082" s="33"/>
      <c r="S5082" s="33"/>
      <c r="T5082" s="33"/>
      <c r="U5082" s="33"/>
      <c r="V5082" s="33"/>
      <c r="W5082" s="33"/>
      <c r="X5082" s="33"/>
      <c r="Y5082" s="33"/>
      <c r="Z5082" s="33"/>
      <c r="AA5082" s="33"/>
      <c r="AB5082" s="33"/>
      <c r="AC5082" s="33"/>
      <c r="AD5082" s="33"/>
      <c r="AE5082" s="33"/>
      <c r="AF5082" s="33"/>
      <c r="AG5082" s="33"/>
      <c r="AH5082" s="33"/>
      <c r="AI5082" s="33"/>
      <c r="AJ5082" s="33"/>
      <c r="AK5082" s="33"/>
    </row>
    <row r="5083">
      <c r="A5083" s="33"/>
      <c r="B5083" s="33"/>
      <c r="C5083" s="33"/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  <c r="Q5083" s="33"/>
      <c r="R5083" s="33"/>
      <c r="S5083" s="33"/>
      <c r="T5083" s="33"/>
      <c r="U5083" s="33"/>
      <c r="V5083" s="33"/>
      <c r="W5083" s="33"/>
      <c r="X5083" s="33"/>
      <c r="Y5083" s="33"/>
      <c r="Z5083" s="33"/>
      <c r="AA5083" s="33"/>
      <c r="AB5083" s="33"/>
      <c r="AC5083" s="33"/>
      <c r="AD5083" s="33"/>
      <c r="AE5083" s="33"/>
      <c r="AF5083" s="33"/>
      <c r="AG5083" s="33"/>
      <c r="AH5083" s="33"/>
      <c r="AI5083" s="33"/>
      <c r="AJ5083" s="33"/>
      <c r="AK5083" s="33"/>
    </row>
    <row r="5084">
      <c r="A5084" s="33"/>
      <c r="B5084" s="33"/>
      <c r="C5084" s="33"/>
      <c r="D5084" s="33"/>
      <c r="E5084" s="33"/>
      <c r="F5084" s="33"/>
      <c r="G5084" s="33"/>
      <c r="H5084" s="33"/>
      <c r="I5084" s="33"/>
      <c r="J5084" s="33"/>
      <c r="K5084" s="33"/>
      <c r="L5084" s="33"/>
      <c r="M5084" s="33"/>
      <c r="N5084" s="33"/>
      <c r="O5084" s="33"/>
      <c r="P5084" s="33"/>
      <c r="Q5084" s="33"/>
      <c r="R5084" s="33"/>
      <c r="S5084" s="33"/>
      <c r="T5084" s="33"/>
      <c r="U5084" s="33"/>
      <c r="V5084" s="33"/>
      <c r="W5084" s="33"/>
      <c r="X5084" s="33"/>
      <c r="Y5084" s="33"/>
      <c r="Z5084" s="33"/>
      <c r="AA5084" s="33"/>
      <c r="AB5084" s="33"/>
      <c r="AC5084" s="33"/>
      <c r="AD5084" s="33"/>
      <c r="AE5084" s="33"/>
      <c r="AF5084" s="33"/>
      <c r="AG5084" s="33"/>
      <c r="AH5084" s="33"/>
      <c r="AI5084" s="33"/>
      <c r="AJ5084" s="33"/>
      <c r="AK5084" s="33"/>
    </row>
    <row r="5085">
      <c r="A5085" s="33"/>
      <c r="B5085" s="33"/>
      <c r="C5085" s="33"/>
      <c r="D5085" s="33"/>
      <c r="E5085" s="33"/>
      <c r="F5085" s="33"/>
      <c r="G5085" s="33"/>
      <c r="H5085" s="33"/>
      <c r="I5085" s="33"/>
      <c r="J5085" s="33"/>
      <c r="K5085" s="33"/>
      <c r="L5085" s="33"/>
      <c r="M5085" s="33"/>
      <c r="N5085" s="33"/>
      <c r="O5085" s="33"/>
      <c r="P5085" s="33"/>
      <c r="Q5085" s="33"/>
      <c r="R5085" s="33"/>
      <c r="S5085" s="33"/>
      <c r="T5085" s="33"/>
      <c r="U5085" s="33"/>
      <c r="V5085" s="33"/>
      <c r="W5085" s="33"/>
      <c r="X5085" s="33"/>
      <c r="Y5085" s="33"/>
      <c r="Z5085" s="33"/>
      <c r="AA5085" s="33"/>
      <c r="AB5085" s="33"/>
      <c r="AC5085" s="33"/>
      <c r="AD5085" s="33"/>
      <c r="AE5085" s="33"/>
      <c r="AF5085" s="33"/>
      <c r="AG5085" s="33"/>
      <c r="AH5085" s="33"/>
      <c r="AI5085" s="33"/>
      <c r="AJ5085" s="33"/>
      <c r="AK5085" s="33"/>
    </row>
    <row r="5086">
      <c r="A5086" s="33"/>
      <c r="B5086" s="33"/>
      <c r="C5086" s="33"/>
      <c r="D5086" s="33"/>
      <c r="E5086" s="33"/>
      <c r="F5086" s="33"/>
      <c r="G5086" s="33"/>
      <c r="H5086" s="33"/>
      <c r="I5086" s="33"/>
      <c r="J5086" s="33"/>
      <c r="K5086" s="33"/>
      <c r="L5086" s="33"/>
      <c r="M5086" s="33"/>
      <c r="N5086" s="33"/>
      <c r="O5086" s="33"/>
      <c r="P5086" s="33"/>
      <c r="Q5086" s="33"/>
      <c r="R5086" s="33"/>
      <c r="S5086" s="33"/>
      <c r="T5086" s="33"/>
      <c r="U5086" s="33"/>
      <c r="V5086" s="33"/>
      <c r="W5086" s="33"/>
      <c r="X5086" s="33"/>
      <c r="Y5086" s="33"/>
      <c r="Z5086" s="33"/>
      <c r="AA5086" s="33"/>
      <c r="AB5086" s="33"/>
      <c r="AC5086" s="33"/>
      <c r="AD5086" s="33"/>
      <c r="AE5086" s="33"/>
      <c r="AF5086" s="33"/>
      <c r="AG5086" s="33"/>
      <c r="AH5086" s="33"/>
      <c r="AI5086" s="33"/>
      <c r="AJ5086" s="33"/>
      <c r="AK5086" s="33"/>
    </row>
    <row r="5087">
      <c r="A5087" s="33"/>
      <c r="B5087" s="33"/>
      <c r="C5087" s="33"/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  <c r="Q5087" s="33"/>
      <c r="R5087" s="33"/>
      <c r="S5087" s="33"/>
      <c r="T5087" s="33"/>
      <c r="U5087" s="33"/>
      <c r="V5087" s="33"/>
      <c r="W5087" s="33"/>
      <c r="X5087" s="33"/>
      <c r="Y5087" s="33"/>
      <c r="Z5087" s="33"/>
      <c r="AA5087" s="33"/>
      <c r="AB5087" s="33"/>
      <c r="AC5087" s="33"/>
      <c r="AD5087" s="33"/>
      <c r="AE5087" s="33"/>
      <c r="AF5087" s="33"/>
      <c r="AG5087" s="33"/>
      <c r="AH5087" s="33"/>
      <c r="AI5087" s="33"/>
      <c r="AJ5087" s="33"/>
      <c r="AK5087" s="33"/>
    </row>
    <row r="5088">
      <c r="A5088" s="33"/>
      <c r="B5088" s="33"/>
      <c r="C5088" s="33"/>
      <c r="D5088" s="33"/>
      <c r="E5088" s="33"/>
      <c r="F5088" s="33"/>
      <c r="G5088" s="33"/>
      <c r="H5088" s="33"/>
      <c r="I5088" s="33"/>
      <c r="J5088" s="33"/>
      <c r="K5088" s="33"/>
      <c r="L5088" s="33"/>
      <c r="M5088" s="33"/>
      <c r="N5088" s="33"/>
      <c r="O5088" s="33"/>
      <c r="P5088" s="33"/>
      <c r="Q5088" s="33"/>
      <c r="R5088" s="33"/>
      <c r="S5088" s="33"/>
      <c r="T5088" s="33"/>
      <c r="U5088" s="33"/>
      <c r="V5088" s="33"/>
      <c r="W5088" s="33"/>
      <c r="X5088" s="33"/>
      <c r="Y5088" s="33"/>
      <c r="Z5088" s="33"/>
      <c r="AA5088" s="33"/>
      <c r="AB5088" s="33"/>
      <c r="AC5088" s="33"/>
      <c r="AD5088" s="33"/>
      <c r="AE5088" s="33"/>
      <c r="AF5088" s="33"/>
      <c r="AG5088" s="33"/>
      <c r="AH5088" s="33"/>
      <c r="AI5088" s="33"/>
      <c r="AJ5088" s="33"/>
      <c r="AK5088" s="33"/>
    </row>
    <row r="5089">
      <c r="A5089" s="33"/>
      <c r="B5089" s="33"/>
      <c r="C5089" s="33"/>
      <c r="D5089" s="33"/>
      <c r="E5089" s="33"/>
      <c r="F5089" s="33"/>
      <c r="G5089" s="33"/>
      <c r="H5089" s="33"/>
      <c r="I5089" s="33"/>
      <c r="J5089" s="33"/>
      <c r="K5089" s="33"/>
      <c r="L5089" s="33"/>
      <c r="M5089" s="33"/>
      <c r="N5089" s="33"/>
      <c r="O5089" s="33"/>
      <c r="P5089" s="33"/>
      <c r="Q5089" s="33"/>
      <c r="R5089" s="33"/>
      <c r="S5089" s="33"/>
      <c r="T5089" s="33"/>
      <c r="U5089" s="33"/>
      <c r="V5089" s="33"/>
      <c r="W5089" s="33"/>
      <c r="X5089" s="33"/>
      <c r="Y5089" s="33"/>
      <c r="Z5089" s="33"/>
      <c r="AA5089" s="33"/>
      <c r="AB5089" s="33"/>
      <c r="AC5089" s="33"/>
      <c r="AD5089" s="33"/>
      <c r="AE5089" s="33"/>
      <c r="AF5089" s="33"/>
      <c r="AG5089" s="33"/>
      <c r="AH5089" s="33"/>
      <c r="AI5089" s="33"/>
      <c r="AJ5089" s="33"/>
      <c r="AK5089" s="33"/>
    </row>
    <row r="5090">
      <c r="A5090" s="33"/>
      <c r="B5090" s="33"/>
      <c r="C5090" s="33"/>
      <c r="D5090" s="33"/>
      <c r="E5090" s="33"/>
      <c r="F5090" s="33"/>
      <c r="G5090" s="33"/>
      <c r="H5090" s="33"/>
      <c r="I5090" s="33"/>
      <c r="J5090" s="33"/>
      <c r="K5090" s="33"/>
      <c r="L5090" s="33"/>
      <c r="M5090" s="33"/>
      <c r="N5090" s="33"/>
      <c r="O5090" s="33"/>
      <c r="P5090" s="33"/>
      <c r="Q5090" s="33"/>
      <c r="R5090" s="33"/>
      <c r="S5090" s="33"/>
      <c r="T5090" s="33"/>
      <c r="U5090" s="33"/>
      <c r="V5090" s="33"/>
      <c r="W5090" s="33"/>
      <c r="X5090" s="33"/>
      <c r="Y5090" s="33"/>
      <c r="Z5090" s="33"/>
      <c r="AA5090" s="33"/>
      <c r="AB5090" s="33"/>
      <c r="AC5090" s="33"/>
      <c r="AD5090" s="33"/>
      <c r="AE5090" s="33"/>
      <c r="AF5090" s="33"/>
      <c r="AG5090" s="33"/>
      <c r="AH5090" s="33"/>
      <c r="AI5090" s="33"/>
      <c r="AJ5090" s="33"/>
      <c r="AK5090" s="33"/>
    </row>
    <row r="5091">
      <c r="A5091" s="33"/>
      <c r="B5091" s="33"/>
      <c r="C5091" s="33"/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  <c r="Q5091" s="33"/>
      <c r="R5091" s="33"/>
      <c r="S5091" s="33"/>
      <c r="T5091" s="33"/>
      <c r="U5091" s="33"/>
      <c r="V5091" s="33"/>
      <c r="W5091" s="33"/>
      <c r="X5091" s="33"/>
      <c r="Y5091" s="33"/>
      <c r="Z5091" s="33"/>
      <c r="AA5091" s="33"/>
      <c r="AB5091" s="33"/>
      <c r="AC5091" s="33"/>
      <c r="AD5091" s="33"/>
      <c r="AE5091" s="33"/>
      <c r="AF5091" s="33"/>
      <c r="AG5091" s="33"/>
      <c r="AH5091" s="33"/>
      <c r="AI5091" s="33"/>
      <c r="AJ5091" s="33"/>
      <c r="AK5091" s="33"/>
    </row>
    <row r="5092">
      <c r="A5092" s="33"/>
      <c r="B5092" s="33"/>
      <c r="C5092" s="33"/>
      <c r="D5092" s="33"/>
      <c r="E5092" s="33"/>
      <c r="F5092" s="33"/>
      <c r="G5092" s="33"/>
      <c r="H5092" s="33"/>
      <c r="I5092" s="33"/>
      <c r="J5092" s="33"/>
      <c r="K5092" s="33"/>
      <c r="L5092" s="33"/>
      <c r="M5092" s="33"/>
      <c r="N5092" s="33"/>
      <c r="O5092" s="33"/>
      <c r="P5092" s="33"/>
      <c r="Q5092" s="33"/>
      <c r="R5092" s="33"/>
      <c r="S5092" s="33"/>
      <c r="T5092" s="33"/>
      <c r="U5092" s="33"/>
      <c r="V5092" s="33"/>
      <c r="W5092" s="33"/>
      <c r="X5092" s="33"/>
      <c r="Y5092" s="33"/>
      <c r="Z5092" s="33"/>
      <c r="AA5092" s="33"/>
      <c r="AB5092" s="33"/>
      <c r="AC5092" s="33"/>
      <c r="AD5092" s="33"/>
      <c r="AE5092" s="33"/>
      <c r="AF5092" s="33"/>
      <c r="AG5092" s="33"/>
      <c r="AH5092" s="33"/>
      <c r="AI5092" s="33"/>
      <c r="AJ5092" s="33"/>
      <c r="AK5092" s="33"/>
    </row>
    <row r="5093">
      <c r="A5093" s="33"/>
      <c r="B5093" s="33"/>
      <c r="C5093" s="33"/>
      <c r="D5093" s="33"/>
      <c r="E5093" s="33"/>
      <c r="F5093" s="33"/>
      <c r="G5093" s="33"/>
      <c r="H5093" s="33"/>
      <c r="I5093" s="33"/>
      <c r="J5093" s="33"/>
      <c r="K5093" s="33"/>
      <c r="L5093" s="33"/>
      <c r="M5093" s="33"/>
      <c r="N5093" s="33"/>
      <c r="O5093" s="33"/>
      <c r="P5093" s="33"/>
      <c r="Q5093" s="33"/>
      <c r="R5093" s="33"/>
      <c r="S5093" s="33"/>
      <c r="T5093" s="33"/>
      <c r="U5093" s="33"/>
      <c r="V5093" s="33"/>
      <c r="W5093" s="33"/>
      <c r="X5093" s="33"/>
      <c r="Y5093" s="33"/>
      <c r="Z5093" s="33"/>
      <c r="AA5093" s="33"/>
      <c r="AB5093" s="33"/>
      <c r="AC5093" s="33"/>
      <c r="AD5093" s="33"/>
      <c r="AE5093" s="33"/>
      <c r="AF5093" s="33"/>
      <c r="AG5093" s="33"/>
      <c r="AH5093" s="33"/>
      <c r="AI5093" s="33"/>
      <c r="AJ5093" s="33"/>
      <c r="AK5093" s="33"/>
    </row>
    <row r="5094">
      <c r="A5094" s="33"/>
      <c r="B5094" s="33"/>
      <c r="C5094" s="33"/>
      <c r="D5094" s="33"/>
      <c r="E5094" s="33"/>
      <c r="F5094" s="33"/>
      <c r="G5094" s="33"/>
      <c r="H5094" s="33"/>
      <c r="I5094" s="33"/>
      <c r="J5094" s="33"/>
      <c r="K5094" s="33"/>
      <c r="L5094" s="33"/>
      <c r="M5094" s="33"/>
      <c r="N5094" s="33"/>
      <c r="O5094" s="33"/>
      <c r="P5094" s="33"/>
      <c r="Q5094" s="33"/>
      <c r="R5094" s="33"/>
      <c r="S5094" s="33"/>
      <c r="T5094" s="33"/>
      <c r="U5094" s="33"/>
      <c r="V5094" s="33"/>
      <c r="W5094" s="33"/>
      <c r="X5094" s="33"/>
      <c r="Y5094" s="33"/>
      <c r="Z5094" s="33"/>
      <c r="AA5094" s="33"/>
      <c r="AB5094" s="33"/>
      <c r="AC5094" s="33"/>
      <c r="AD5094" s="33"/>
      <c r="AE5094" s="33"/>
      <c r="AF5094" s="33"/>
      <c r="AG5094" s="33"/>
      <c r="AH5094" s="33"/>
      <c r="AI5094" s="33"/>
      <c r="AJ5094" s="33"/>
      <c r="AK5094" s="33"/>
    </row>
    <row r="5095">
      <c r="A5095" s="33"/>
      <c r="B5095" s="33"/>
      <c r="C5095" s="33"/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  <c r="Q5095" s="33"/>
      <c r="R5095" s="33"/>
      <c r="S5095" s="33"/>
      <c r="T5095" s="33"/>
      <c r="U5095" s="33"/>
      <c r="V5095" s="33"/>
      <c r="W5095" s="33"/>
      <c r="X5095" s="33"/>
      <c r="Y5095" s="33"/>
      <c r="Z5095" s="33"/>
      <c r="AA5095" s="33"/>
      <c r="AB5095" s="33"/>
      <c r="AC5095" s="33"/>
      <c r="AD5095" s="33"/>
      <c r="AE5095" s="33"/>
      <c r="AF5095" s="33"/>
      <c r="AG5095" s="33"/>
      <c r="AH5095" s="33"/>
      <c r="AI5095" s="33"/>
      <c r="AJ5095" s="33"/>
      <c r="AK5095" s="33"/>
    </row>
    <row r="5096">
      <c r="A5096" s="33"/>
      <c r="B5096" s="33"/>
      <c r="C5096" s="33"/>
      <c r="D5096" s="33"/>
      <c r="E5096" s="33"/>
      <c r="F5096" s="33"/>
      <c r="G5096" s="33"/>
      <c r="H5096" s="33"/>
      <c r="I5096" s="33"/>
      <c r="J5096" s="33"/>
      <c r="K5096" s="33"/>
      <c r="L5096" s="33"/>
      <c r="M5096" s="33"/>
      <c r="N5096" s="33"/>
      <c r="O5096" s="33"/>
      <c r="P5096" s="33"/>
      <c r="Q5096" s="33"/>
      <c r="R5096" s="33"/>
      <c r="S5096" s="33"/>
      <c r="T5096" s="33"/>
      <c r="U5096" s="33"/>
      <c r="V5096" s="33"/>
      <c r="W5096" s="33"/>
      <c r="X5096" s="33"/>
      <c r="Y5096" s="33"/>
      <c r="Z5096" s="33"/>
      <c r="AA5096" s="33"/>
      <c r="AB5096" s="33"/>
      <c r="AC5096" s="33"/>
      <c r="AD5096" s="33"/>
      <c r="AE5096" s="33"/>
      <c r="AF5096" s="33"/>
      <c r="AG5096" s="33"/>
      <c r="AH5096" s="33"/>
      <c r="AI5096" s="33"/>
      <c r="AJ5096" s="33"/>
      <c r="AK5096" s="33"/>
    </row>
    <row r="5097">
      <c r="A5097" s="33"/>
      <c r="B5097" s="33"/>
      <c r="C5097" s="33"/>
      <c r="D5097" s="33"/>
      <c r="E5097" s="33"/>
      <c r="F5097" s="33"/>
      <c r="G5097" s="33"/>
      <c r="H5097" s="33"/>
      <c r="I5097" s="33"/>
      <c r="J5097" s="33"/>
      <c r="K5097" s="33"/>
      <c r="L5097" s="33"/>
      <c r="M5097" s="33"/>
      <c r="N5097" s="33"/>
      <c r="O5097" s="33"/>
      <c r="P5097" s="33"/>
      <c r="Q5097" s="33"/>
      <c r="R5097" s="33"/>
      <c r="S5097" s="33"/>
      <c r="T5097" s="33"/>
      <c r="U5097" s="33"/>
      <c r="V5097" s="33"/>
      <c r="W5097" s="33"/>
      <c r="X5097" s="33"/>
      <c r="Y5097" s="33"/>
      <c r="Z5097" s="33"/>
      <c r="AA5097" s="33"/>
      <c r="AB5097" s="33"/>
      <c r="AC5097" s="33"/>
      <c r="AD5097" s="33"/>
      <c r="AE5097" s="33"/>
      <c r="AF5097" s="33"/>
      <c r="AG5097" s="33"/>
      <c r="AH5097" s="33"/>
      <c r="AI5097" s="33"/>
      <c r="AJ5097" s="33"/>
      <c r="AK5097" s="33"/>
    </row>
    <row r="5098">
      <c r="A5098" s="33"/>
      <c r="B5098" s="33"/>
      <c r="C5098" s="33"/>
      <c r="D5098" s="33"/>
      <c r="E5098" s="33"/>
      <c r="F5098" s="33"/>
      <c r="G5098" s="33"/>
      <c r="H5098" s="33"/>
      <c r="I5098" s="33"/>
      <c r="J5098" s="33"/>
      <c r="K5098" s="33"/>
      <c r="L5098" s="33"/>
      <c r="M5098" s="33"/>
      <c r="N5098" s="33"/>
      <c r="O5098" s="33"/>
      <c r="P5098" s="33"/>
      <c r="Q5098" s="33"/>
      <c r="R5098" s="33"/>
      <c r="S5098" s="33"/>
      <c r="T5098" s="33"/>
      <c r="U5098" s="33"/>
      <c r="V5098" s="33"/>
      <c r="W5098" s="33"/>
      <c r="X5098" s="33"/>
      <c r="Y5098" s="33"/>
      <c r="Z5098" s="33"/>
      <c r="AA5098" s="33"/>
      <c r="AB5098" s="33"/>
      <c r="AC5098" s="33"/>
      <c r="AD5098" s="33"/>
      <c r="AE5098" s="33"/>
      <c r="AF5098" s="33"/>
      <c r="AG5098" s="33"/>
      <c r="AH5098" s="33"/>
      <c r="AI5098" s="33"/>
      <c r="AJ5098" s="33"/>
      <c r="AK5098" s="33"/>
    </row>
    <row r="5099">
      <c r="A5099" s="33"/>
      <c r="B5099" s="33"/>
      <c r="C5099" s="33"/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  <c r="Q5099" s="33"/>
      <c r="R5099" s="33"/>
      <c r="S5099" s="33"/>
      <c r="T5099" s="33"/>
      <c r="U5099" s="33"/>
      <c r="V5099" s="33"/>
      <c r="W5099" s="33"/>
      <c r="X5099" s="33"/>
      <c r="Y5099" s="33"/>
      <c r="Z5099" s="33"/>
      <c r="AA5099" s="33"/>
      <c r="AB5099" s="33"/>
      <c r="AC5099" s="33"/>
      <c r="AD5099" s="33"/>
      <c r="AE5099" s="33"/>
      <c r="AF5099" s="33"/>
      <c r="AG5099" s="33"/>
      <c r="AH5099" s="33"/>
      <c r="AI5099" s="33"/>
      <c r="AJ5099" s="33"/>
      <c r="AK5099" s="33"/>
    </row>
    <row r="5100">
      <c r="A5100" s="33"/>
      <c r="B5100" s="33"/>
      <c r="C5100" s="33"/>
      <c r="D5100" s="33"/>
      <c r="E5100" s="33"/>
      <c r="F5100" s="33"/>
      <c r="G5100" s="33"/>
      <c r="H5100" s="33"/>
      <c r="I5100" s="33"/>
      <c r="J5100" s="33"/>
      <c r="K5100" s="33"/>
      <c r="L5100" s="33"/>
      <c r="M5100" s="33"/>
      <c r="N5100" s="33"/>
      <c r="O5100" s="33"/>
      <c r="P5100" s="33"/>
      <c r="Q5100" s="33"/>
      <c r="R5100" s="33"/>
      <c r="S5100" s="33"/>
      <c r="T5100" s="33"/>
      <c r="U5100" s="33"/>
      <c r="V5100" s="33"/>
      <c r="W5100" s="33"/>
      <c r="X5100" s="33"/>
      <c r="Y5100" s="33"/>
      <c r="Z5100" s="33"/>
      <c r="AA5100" s="33"/>
      <c r="AB5100" s="33"/>
      <c r="AC5100" s="33"/>
      <c r="AD5100" s="33"/>
      <c r="AE5100" s="33"/>
      <c r="AF5100" s="33"/>
      <c r="AG5100" s="33"/>
      <c r="AH5100" s="33"/>
      <c r="AI5100" s="33"/>
      <c r="AJ5100" s="33"/>
      <c r="AK5100" s="33"/>
    </row>
    <row r="5101">
      <c r="A5101" s="33"/>
      <c r="B5101" s="33"/>
      <c r="C5101" s="33"/>
      <c r="D5101" s="33"/>
      <c r="E5101" s="33"/>
      <c r="F5101" s="33"/>
      <c r="G5101" s="33"/>
      <c r="H5101" s="33"/>
      <c r="I5101" s="33"/>
      <c r="J5101" s="33"/>
      <c r="K5101" s="33"/>
      <c r="L5101" s="33"/>
      <c r="M5101" s="33"/>
      <c r="N5101" s="33"/>
      <c r="O5101" s="33"/>
      <c r="P5101" s="33"/>
      <c r="Q5101" s="33"/>
      <c r="R5101" s="33"/>
      <c r="S5101" s="33"/>
      <c r="T5101" s="33"/>
      <c r="U5101" s="33"/>
      <c r="V5101" s="33"/>
      <c r="W5101" s="33"/>
      <c r="X5101" s="33"/>
      <c r="Y5101" s="33"/>
      <c r="Z5101" s="33"/>
      <c r="AA5101" s="33"/>
      <c r="AB5101" s="33"/>
      <c r="AC5101" s="33"/>
      <c r="AD5101" s="33"/>
      <c r="AE5101" s="33"/>
      <c r="AF5101" s="33"/>
      <c r="AG5101" s="33"/>
      <c r="AH5101" s="33"/>
      <c r="AI5101" s="33"/>
      <c r="AJ5101" s="33"/>
      <c r="AK5101" s="33"/>
    </row>
    <row r="5102">
      <c r="A5102" s="33"/>
      <c r="B5102" s="33"/>
      <c r="C5102" s="33"/>
      <c r="D5102" s="33"/>
      <c r="E5102" s="33"/>
      <c r="F5102" s="33"/>
      <c r="G5102" s="33"/>
      <c r="H5102" s="33"/>
      <c r="I5102" s="33"/>
      <c r="J5102" s="33"/>
      <c r="K5102" s="33"/>
      <c r="L5102" s="33"/>
      <c r="M5102" s="33"/>
      <c r="N5102" s="33"/>
      <c r="O5102" s="33"/>
      <c r="P5102" s="33"/>
      <c r="Q5102" s="33"/>
      <c r="R5102" s="33"/>
      <c r="S5102" s="33"/>
      <c r="T5102" s="33"/>
      <c r="U5102" s="33"/>
      <c r="V5102" s="33"/>
      <c r="W5102" s="33"/>
      <c r="X5102" s="33"/>
      <c r="Y5102" s="33"/>
      <c r="Z5102" s="33"/>
      <c r="AA5102" s="33"/>
      <c r="AB5102" s="33"/>
      <c r="AC5102" s="33"/>
      <c r="AD5102" s="33"/>
      <c r="AE5102" s="33"/>
      <c r="AF5102" s="33"/>
      <c r="AG5102" s="33"/>
      <c r="AH5102" s="33"/>
      <c r="AI5102" s="33"/>
      <c r="AJ5102" s="33"/>
      <c r="AK5102" s="33"/>
    </row>
    <row r="5103">
      <c r="A5103" s="33"/>
      <c r="B5103" s="33"/>
      <c r="C5103" s="33"/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  <c r="Q5103" s="33"/>
      <c r="R5103" s="33"/>
      <c r="S5103" s="33"/>
      <c r="T5103" s="33"/>
      <c r="U5103" s="33"/>
      <c r="V5103" s="33"/>
      <c r="W5103" s="33"/>
      <c r="X5103" s="33"/>
      <c r="Y5103" s="33"/>
      <c r="Z5103" s="33"/>
      <c r="AA5103" s="33"/>
      <c r="AB5103" s="33"/>
      <c r="AC5103" s="33"/>
      <c r="AD5103" s="33"/>
      <c r="AE5103" s="33"/>
      <c r="AF5103" s="33"/>
      <c r="AG5103" s="33"/>
      <c r="AH5103" s="33"/>
      <c r="AI5103" s="33"/>
      <c r="AJ5103" s="33"/>
      <c r="AK5103" s="33"/>
    </row>
    <row r="5104">
      <c r="A5104" s="33"/>
      <c r="B5104" s="33"/>
      <c r="C5104" s="33"/>
      <c r="D5104" s="33"/>
      <c r="E5104" s="33"/>
      <c r="F5104" s="33"/>
      <c r="G5104" s="33"/>
      <c r="H5104" s="33"/>
      <c r="I5104" s="33"/>
      <c r="J5104" s="33"/>
      <c r="K5104" s="33"/>
      <c r="L5104" s="33"/>
      <c r="M5104" s="33"/>
      <c r="N5104" s="33"/>
      <c r="O5104" s="33"/>
      <c r="P5104" s="33"/>
      <c r="Q5104" s="33"/>
      <c r="R5104" s="33"/>
      <c r="S5104" s="33"/>
      <c r="T5104" s="33"/>
      <c r="U5104" s="33"/>
      <c r="V5104" s="33"/>
      <c r="W5104" s="33"/>
      <c r="X5104" s="33"/>
      <c r="Y5104" s="33"/>
      <c r="Z5104" s="33"/>
      <c r="AA5104" s="33"/>
      <c r="AB5104" s="33"/>
      <c r="AC5104" s="33"/>
      <c r="AD5104" s="33"/>
      <c r="AE5104" s="33"/>
      <c r="AF5104" s="33"/>
      <c r="AG5104" s="33"/>
      <c r="AH5104" s="33"/>
      <c r="AI5104" s="33"/>
      <c r="AJ5104" s="33"/>
      <c r="AK5104" s="33"/>
    </row>
    <row r="5105">
      <c r="A5105" s="33"/>
      <c r="B5105" s="33"/>
      <c r="C5105" s="33"/>
      <c r="D5105" s="33"/>
      <c r="E5105" s="33"/>
      <c r="F5105" s="33"/>
      <c r="G5105" s="33"/>
      <c r="H5105" s="33"/>
      <c r="I5105" s="33"/>
      <c r="J5105" s="33"/>
      <c r="K5105" s="33"/>
      <c r="L5105" s="33"/>
      <c r="M5105" s="33"/>
      <c r="N5105" s="33"/>
      <c r="O5105" s="33"/>
      <c r="P5105" s="33"/>
      <c r="Q5105" s="33"/>
      <c r="R5105" s="33"/>
      <c r="S5105" s="33"/>
      <c r="T5105" s="33"/>
      <c r="U5105" s="33"/>
      <c r="V5105" s="33"/>
      <c r="W5105" s="33"/>
      <c r="X5105" s="33"/>
      <c r="Y5105" s="33"/>
      <c r="Z5105" s="33"/>
      <c r="AA5105" s="33"/>
      <c r="AB5105" s="33"/>
      <c r="AC5105" s="33"/>
      <c r="AD5105" s="33"/>
      <c r="AE5105" s="33"/>
      <c r="AF5105" s="33"/>
      <c r="AG5105" s="33"/>
      <c r="AH5105" s="33"/>
      <c r="AI5105" s="33"/>
      <c r="AJ5105" s="33"/>
      <c r="AK5105" s="33"/>
    </row>
    <row r="5106">
      <c r="A5106" s="33"/>
      <c r="B5106" s="33"/>
      <c r="C5106" s="33"/>
      <c r="D5106" s="33"/>
      <c r="E5106" s="33"/>
      <c r="F5106" s="33"/>
      <c r="G5106" s="33"/>
      <c r="H5106" s="33"/>
      <c r="I5106" s="33"/>
      <c r="J5106" s="33"/>
      <c r="K5106" s="33"/>
      <c r="L5106" s="33"/>
      <c r="M5106" s="33"/>
      <c r="N5106" s="33"/>
      <c r="O5106" s="33"/>
      <c r="P5106" s="33"/>
      <c r="Q5106" s="33"/>
      <c r="R5106" s="33"/>
      <c r="S5106" s="33"/>
      <c r="T5106" s="33"/>
      <c r="U5106" s="33"/>
      <c r="V5106" s="33"/>
      <c r="W5106" s="33"/>
      <c r="X5106" s="33"/>
      <c r="Y5106" s="33"/>
      <c r="Z5106" s="33"/>
      <c r="AA5106" s="33"/>
      <c r="AB5106" s="33"/>
      <c r="AC5106" s="33"/>
      <c r="AD5106" s="33"/>
      <c r="AE5106" s="33"/>
      <c r="AF5106" s="33"/>
      <c r="AG5106" s="33"/>
      <c r="AH5106" s="33"/>
      <c r="AI5106" s="33"/>
      <c r="AJ5106" s="33"/>
      <c r="AK5106" s="33"/>
    </row>
    <row r="5107">
      <c r="A5107" s="33"/>
      <c r="B5107" s="33"/>
      <c r="C5107" s="33"/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  <c r="Q5107" s="33"/>
      <c r="R5107" s="33"/>
      <c r="S5107" s="33"/>
      <c r="T5107" s="33"/>
      <c r="U5107" s="33"/>
      <c r="V5107" s="33"/>
      <c r="W5107" s="33"/>
      <c r="X5107" s="33"/>
      <c r="Y5107" s="33"/>
      <c r="Z5107" s="33"/>
      <c r="AA5107" s="33"/>
      <c r="AB5107" s="33"/>
      <c r="AC5107" s="33"/>
      <c r="AD5107" s="33"/>
      <c r="AE5107" s="33"/>
      <c r="AF5107" s="33"/>
      <c r="AG5107" s="33"/>
      <c r="AH5107" s="33"/>
      <c r="AI5107" s="33"/>
      <c r="AJ5107" s="33"/>
      <c r="AK5107" s="33"/>
    </row>
    <row r="5108">
      <c r="A5108" s="33"/>
      <c r="B5108" s="33"/>
      <c r="C5108" s="33"/>
      <c r="D5108" s="33"/>
      <c r="E5108" s="33"/>
      <c r="F5108" s="33"/>
      <c r="G5108" s="33"/>
      <c r="H5108" s="33"/>
      <c r="I5108" s="33"/>
      <c r="J5108" s="33"/>
      <c r="K5108" s="33"/>
      <c r="L5108" s="33"/>
      <c r="M5108" s="33"/>
      <c r="N5108" s="33"/>
      <c r="O5108" s="33"/>
      <c r="P5108" s="33"/>
      <c r="Q5108" s="33"/>
      <c r="R5108" s="33"/>
      <c r="S5108" s="33"/>
      <c r="T5108" s="33"/>
      <c r="U5108" s="33"/>
      <c r="V5108" s="33"/>
      <c r="W5108" s="33"/>
      <c r="X5108" s="33"/>
      <c r="Y5108" s="33"/>
      <c r="Z5108" s="33"/>
      <c r="AA5108" s="33"/>
      <c r="AB5108" s="33"/>
      <c r="AC5108" s="33"/>
      <c r="AD5108" s="33"/>
      <c r="AE5108" s="33"/>
      <c r="AF5108" s="33"/>
      <c r="AG5108" s="33"/>
      <c r="AH5108" s="33"/>
      <c r="AI5108" s="33"/>
      <c r="AJ5108" s="33"/>
      <c r="AK5108" s="33"/>
    </row>
    <row r="5109">
      <c r="A5109" s="33"/>
      <c r="B5109" s="33"/>
      <c r="C5109" s="33"/>
      <c r="D5109" s="33"/>
      <c r="E5109" s="33"/>
      <c r="F5109" s="33"/>
      <c r="G5109" s="33"/>
      <c r="H5109" s="33"/>
      <c r="I5109" s="33"/>
      <c r="J5109" s="33"/>
      <c r="K5109" s="33"/>
      <c r="L5109" s="33"/>
      <c r="M5109" s="33"/>
      <c r="N5109" s="33"/>
      <c r="O5109" s="33"/>
      <c r="P5109" s="33"/>
      <c r="Q5109" s="33"/>
      <c r="R5109" s="33"/>
      <c r="S5109" s="33"/>
      <c r="T5109" s="33"/>
      <c r="U5109" s="33"/>
      <c r="V5109" s="33"/>
      <c r="W5109" s="33"/>
      <c r="X5109" s="33"/>
      <c r="Y5109" s="33"/>
      <c r="Z5109" s="33"/>
      <c r="AA5109" s="33"/>
      <c r="AB5109" s="33"/>
      <c r="AC5109" s="33"/>
      <c r="AD5109" s="33"/>
      <c r="AE5109" s="33"/>
      <c r="AF5109" s="33"/>
      <c r="AG5109" s="33"/>
      <c r="AH5109" s="33"/>
      <c r="AI5109" s="33"/>
      <c r="AJ5109" s="33"/>
      <c r="AK5109" s="33"/>
    </row>
    <row r="5110">
      <c r="A5110" s="33"/>
      <c r="B5110" s="33"/>
      <c r="C5110" s="33"/>
      <c r="D5110" s="33"/>
      <c r="E5110" s="33"/>
      <c r="F5110" s="33"/>
      <c r="G5110" s="33"/>
      <c r="H5110" s="33"/>
      <c r="I5110" s="33"/>
      <c r="J5110" s="33"/>
      <c r="K5110" s="33"/>
      <c r="L5110" s="33"/>
      <c r="M5110" s="33"/>
      <c r="N5110" s="33"/>
      <c r="O5110" s="33"/>
      <c r="P5110" s="33"/>
      <c r="Q5110" s="33"/>
      <c r="R5110" s="33"/>
      <c r="S5110" s="33"/>
      <c r="T5110" s="33"/>
      <c r="U5110" s="33"/>
      <c r="V5110" s="33"/>
      <c r="W5110" s="33"/>
      <c r="X5110" s="33"/>
      <c r="Y5110" s="33"/>
      <c r="Z5110" s="33"/>
      <c r="AA5110" s="33"/>
      <c r="AB5110" s="33"/>
      <c r="AC5110" s="33"/>
      <c r="AD5110" s="33"/>
      <c r="AE5110" s="33"/>
      <c r="AF5110" s="33"/>
      <c r="AG5110" s="33"/>
      <c r="AH5110" s="33"/>
      <c r="AI5110" s="33"/>
      <c r="AJ5110" s="33"/>
      <c r="AK5110" s="33"/>
    </row>
    <row r="5111">
      <c r="A5111" s="33"/>
      <c r="B5111" s="33"/>
      <c r="C5111" s="33"/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  <c r="Q5111" s="33"/>
      <c r="R5111" s="33"/>
      <c r="S5111" s="33"/>
      <c r="T5111" s="33"/>
      <c r="U5111" s="33"/>
      <c r="V5111" s="33"/>
      <c r="W5111" s="33"/>
      <c r="X5111" s="33"/>
      <c r="Y5111" s="33"/>
      <c r="Z5111" s="33"/>
      <c r="AA5111" s="33"/>
      <c r="AB5111" s="33"/>
      <c r="AC5111" s="33"/>
      <c r="AD5111" s="33"/>
      <c r="AE5111" s="33"/>
      <c r="AF5111" s="33"/>
      <c r="AG5111" s="33"/>
      <c r="AH5111" s="33"/>
      <c r="AI5111" s="33"/>
      <c r="AJ5111" s="33"/>
      <c r="AK5111" s="33"/>
    </row>
    <row r="5112">
      <c r="A5112" s="33"/>
      <c r="B5112" s="33"/>
      <c r="C5112" s="33"/>
      <c r="D5112" s="33"/>
      <c r="E5112" s="33"/>
      <c r="F5112" s="33"/>
      <c r="G5112" s="33"/>
      <c r="H5112" s="33"/>
      <c r="I5112" s="33"/>
      <c r="J5112" s="33"/>
      <c r="K5112" s="33"/>
      <c r="L5112" s="33"/>
      <c r="M5112" s="33"/>
      <c r="N5112" s="33"/>
      <c r="O5112" s="33"/>
      <c r="P5112" s="33"/>
      <c r="Q5112" s="33"/>
      <c r="R5112" s="33"/>
      <c r="S5112" s="33"/>
      <c r="T5112" s="33"/>
      <c r="U5112" s="33"/>
      <c r="V5112" s="33"/>
      <c r="W5112" s="33"/>
      <c r="X5112" s="33"/>
      <c r="Y5112" s="33"/>
      <c r="Z5112" s="33"/>
      <c r="AA5112" s="33"/>
      <c r="AB5112" s="33"/>
      <c r="AC5112" s="33"/>
      <c r="AD5112" s="33"/>
      <c r="AE5112" s="33"/>
      <c r="AF5112" s="33"/>
      <c r="AG5112" s="33"/>
      <c r="AH5112" s="33"/>
      <c r="AI5112" s="33"/>
      <c r="AJ5112" s="33"/>
      <c r="AK5112" s="33"/>
    </row>
    <row r="5113">
      <c r="A5113" s="33"/>
      <c r="B5113" s="33"/>
      <c r="C5113" s="33"/>
      <c r="D5113" s="33"/>
      <c r="E5113" s="33"/>
      <c r="F5113" s="33"/>
      <c r="G5113" s="33"/>
      <c r="H5113" s="33"/>
      <c r="I5113" s="33"/>
      <c r="J5113" s="33"/>
      <c r="K5113" s="33"/>
      <c r="L5113" s="33"/>
      <c r="M5113" s="33"/>
      <c r="N5113" s="33"/>
      <c r="O5113" s="33"/>
      <c r="P5113" s="33"/>
      <c r="Q5113" s="33"/>
      <c r="R5113" s="33"/>
      <c r="S5113" s="33"/>
      <c r="T5113" s="33"/>
      <c r="U5113" s="33"/>
      <c r="V5113" s="33"/>
      <c r="W5113" s="33"/>
      <c r="X5113" s="33"/>
      <c r="Y5113" s="33"/>
      <c r="Z5113" s="33"/>
      <c r="AA5113" s="33"/>
      <c r="AB5113" s="33"/>
      <c r="AC5113" s="33"/>
      <c r="AD5113" s="33"/>
      <c r="AE5113" s="33"/>
      <c r="AF5113" s="33"/>
      <c r="AG5113" s="33"/>
      <c r="AH5113" s="33"/>
      <c r="AI5113" s="33"/>
      <c r="AJ5113" s="33"/>
      <c r="AK5113" s="33"/>
    </row>
    <row r="5114">
      <c r="A5114" s="33"/>
      <c r="B5114" s="33"/>
      <c r="C5114" s="33"/>
      <c r="D5114" s="33"/>
      <c r="E5114" s="33"/>
      <c r="F5114" s="33"/>
      <c r="G5114" s="33"/>
      <c r="H5114" s="33"/>
      <c r="I5114" s="33"/>
      <c r="J5114" s="33"/>
      <c r="K5114" s="33"/>
      <c r="L5114" s="33"/>
      <c r="M5114" s="33"/>
      <c r="N5114" s="33"/>
      <c r="O5114" s="33"/>
      <c r="P5114" s="33"/>
      <c r="Q5114" s="33"/>
      <c r="R5114" s="33"/>
      <c r="S5114" s="33"/>
      <c r="T5114" s="33"/>
      <c r="U5114" s="33"/>
      <c r="V5114" s="33"/>
      <c r="W5114" s="33"/>
      <c r="X5114" s="33"/>
      <c r="Y5114" s="33"/>
      <c r="Z5114" s="33"/>
      <c r="AA5114" s="33"/>
      <c r="AB5114" s="33"/>
      <c r="AC5114" s="33"/>
      <c r="AD5114" s="33"/>
      <c r="AE5114" s="33"/>
      <c r="AF5114" s="33"/>
      <c r="AG5114" s="33"/>
      <c r="AH5114" s="33"/>
      <c r="AI5114" s="33"/>
      <c r="AJ5114" s="33"/>
      <c r="AK5114" s="33"/>
    </row>
    <row r="5115">
      <c r="A5115" s="33"/>
      <c r="B5115" s="33"/>
      <c r="C5115" s="33"/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33"/>
      <c r="Q5115" s="33"/>
      <c r="R5115" s="33"/>
      <c r="S5115" s="33"/>
      <c r="T5115" s="33"/>
      <c r="U5115" s="33"/>
      <c r="V5115" s="33"/>
      <c r="W5115" s="33"/>
      <c r="X5115" s="33"/>
      <c r="Y5115" s="33"/>
      <c r="Z5115" s="33"/>
      <c r="AA5115" s="33"/>
      <c r="AB5115" s="33"/>
      <c r="AC5115" s="33"/>
      <c r="AD5115" s="33"/>
      <c r="AE5115" s="33"/>
      <c r="AF5115" s="33"/>
      <c r="AG5115" s="33"/>
      <c r="AH5115" s="33"/>
      <c r="AI5115" s="33"/>
      <c r="AJ5115" s="33"/>
      <c r="AK5115" s="33"/>
    </row>
    <row r="5116">
      <c r="A5116" s="33"/>
      <c r="B5116" s="33"/>
      <c r="C5116" s="33"/>
      <c r="D5116" s="33"/>
      <c r="E5116" s="33"/>
      <c r="F5116" s="33"/>
      <c r="G5116" s="33"/>
      <c r="H5116" s="33"/>
      <c r="I5116" s="33"/>
      <c r="J5116" s="33"/>
      <c r="K5116" s="33"/>
      <c r="L5116" s="33"/>
      <c r="M5116" s="33"/>
      <c r="N5116" s="33"/>
      <c r="O5116" s="33"/>
      <c r="P5116" s="33"/>
      <c r="Q5116" s="33"/>
      <c r="R5116" s="33"/>
      <c r="S5116" s="33"/>
      <c r="T5116" s="33"/>
      <c r="U5116" s="33"/>
      <c r="V5116" s="33"/>
      <c r="W5116" s="33"/>
      <c r="X5116" s="33"/>
      <c r="Y5116" s="33"/>
      <c r="Z5116" s="33"/>
      <c r="AA5116" s="33"/>
      <c r="AB5116" s="33"/>
      <c r="AC5116" s="33"/>
      <c r="AD5116" s="33"/>
      <c r="AE5116" s="33"/>
      <c r="AF5116" s="33"/>
      <c r="AG5116" s="33"/>
      <c r="AH5116" s="33"/>
      <c r="AI5116" s="33"/>
      <c r="AJ5116" s="33"/>
      <c r="AK5116" s="33"/>
    </row>
    <row r="5117">
      <c r="A5117" s="33"/>
      <c r="B5117" s="33"/>
      <c r="C5117" s="33"/>
      <c r="D5117" s="33"/>
      <c r="E5117" s="33"/>
      <c r="F5117" s="33"/>
      <c r="G5117" s="33"/>
      <c r="H5117" s="33"/>
      <c r="I5117" s="33"/>
      <c r="J5117" s="33"/>
      <c r="K5117" s="33"/>
      <c r="L5117" s="33"/>
      <c r="M5117" s="33"/>
      <c r="N5117" s="33"/>
      <c r="O5117" s="33"/>
      <c r="P5117" s="33"/>
      <c r="Q5117" s="33"/>
      <c r="R5117" s="33"/>
      <c r="S5117" s="33"/>
      <c r="T5117" s="33"/>
      <c r="U5117" s="33"/>
      <c r="V5117" s="33"/>
      <c r="W5117" s="33"/>
      <c r="X5117" s="33"/>
      <c r="Y5117" s="33"/>
      <c r="Z5117" s="33"/>
      <c r="AA5117" s="33"/>
      <c r="AB5117" s="33"/>
      <c r="AC5117" s="33"/>
      <c r="AD5117" s="33"/>
      <c r="AE5117" s="33"/>
      <c r="AF5117" s="33"/>
      <c r="AG5117" s="33"/>
      <c r="AH5117" s="33"/>
      <c r="AI5117" s="33"/>
      <c r="AJ5117" s="33"/>
      <c r="AK5117" s="33"/>
    </row>
    <row r="5118">
      <c r="A5118" s="33"/>
      <c r="B5118" s="33"/>
      <c r="C5118" s="33"/>
      <c r="D5118" s="33"/>
      <c r="E5118" s="33"/>
      <c r="F5118" s="33"/>
      <c r="G5118" s="33"/>
      <c r="H5118" s="33"/>
      <c r="I5118" s="33"/>
      <c r="J5118" s="33"/>
      <c r="K5118" s="33"/>
      <c r="L5118" s="33"/>
      <c r="M5118" s="33"/>
      <c r="N5118" s="33"/>
      <c r="O5118" s="33"/>
      <c r="P5118" s="33"/>
      <c r="Q5118" s="33"/>
      <c r="R5118" s="33"/>
      <c r="S5118" s="33"/>
      <c r="T5118" s="33"/>
      <c r="U5118" s="33"/>
      <c r="V5118" s="33"/>
      <c r="W5118" s="33"/>
      <c r="X5118" s="33"/>
      <c r="Y5118" s="33"/>
      <c r="Z5118" s="33"/>
      <c r="AA5118" s="33"/>
      <c r="AB5118" s="33"/>
      <c r="AC5118" s="33"/>
      <c r="AD5118" s="33"/>
      <c r="AE5118" s="33"/>
      <c r="AF5118" s="33"/>
      <c r="AG5118" s="33"/>
      <c r="AH5118" s="33"/>
      <c r="AI5118" s="33"/>
      <c r="AJ5118" s="33"/>
      <c r="AK5118" s="33"/>
    </row>
    <row r="5119">
      <c r="A5119" s="33"/>
      <c r="B5119" s="33"/>
      <c r="C5119" s="33"/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  <c r="Q5119" s="33"/>
      <c r="R5119" s="33"/>
      <c r="S5119" s="33"/>
      <c r="T5119" s="33"/>
      <c r="U5119" s="33"/>
      <c r="V5119" s="33"/>
      <c r="W5119" s="33"/>
      <c r="X5119" s="33"/>
      <c r="Y5119" s="33"/>
      <c r="Z5119" s="33"/>
      <c r="AA5119" s="33"/>
      <c r="AB5119" s="33"/>
      <c r="AC5119" s="33"/>
      <c r="AD5119" s="33"/>
      <c r="AE5119" s="33"/>
      <c r="AF5119" s="33"/>
      <c r="AG5119" s="33"/>
      <c r="AH5119" s="33"/>
      <c r="AI5119" s="33"/>
      <c r="AJ5119" s="33"/>
      <c r="AK5119" s="33"/>
    </row>
    <row r="5120">
      <c r="A5120" s="33"/>
      <c r="B5120" s="33"/>
      <c r="C5120" s="33"/>
      <c r="D5120" s="33"/>
      <c r="E5120" s="33"/>
      <c r="F5120" s="33"/>
      <c r="G5120" s="33"/>
      <c r="H5120" s="33"/>
      <c r="I5120" s="33"/>
      <c r="J5120" s="33"/>
      <c r="K5120" s="33"/>
      <c r="L5120" s="33"/>
      <c r="M5120" s="33"/>
      <c r="N5120" s="33"/>
      <c r="O5120" s="33"/>
      <c r="P5120" s="33"/>
      <c r="Q5120" s="33"/>
      <c r="R5120" s="33"/>
      <c r="S5120" s="33"/>
      <c r="T5120" s="33"/>
      <c r="U5120" s="33"/>
      <c r="V5120" s="33"/>
      <c r="W5120" s="33"/>
      <c r="X5120" s="33"/>
      <c r="Y5120" s="33"/>
      <c r="Z5120" s="33"/>
      <c r="AA5120" s="33"/>
      <c r="AB5120" s="33"/>
      <c r="AC5120" s="33"/>
      <c r="AD5120" s="33"/>
      <c r="AE5120" s="33"/>
      <c r="AF5120" s="33"/>
      <c r="AG5120" s="33"/>
      <c r="AH5120" s="33"/>
      <c r="AI5120" s="33"/>
      <c r="AJ5120" s="33"/>
      <c r="AK5120" s="33"/>
    </row>
    <row r="5121">
      <c r="A5121" s="33"/>
      <c r="B5121" s="33"/>
      <c r="C5121" s="33"/>
      <c r="D5121" s="33"/>
      <c r="E5121" s="33"/>
      <c r="F5121" s="33"/>
      <c r="G5121" s="33"/>
      <c r="H5121" s="33"/>
      <c r="I5121" s="33"/>
      <c r="J5121" s="33"/>
      <c r="K5121" s="33"/>
      <c r="L5121" s="33"/>
      <c r="M5121" s="33"/>
      <c r="N5121" s="33"/>
      <c r="O5121" s="33"/>
      <c r="P5121" s="33"/>
      <c r="Q5121" s="33"/>
      <c r="R5121" s="33"/>
      <c r="S5121" s="33"/>
      <c r="T5121" s="33"/>
      <c r="U5121" s="33"/>
      <c r="V5121" s="33"/>
      <c r="W5121" s="33"/>
      <c r="X5121" s="33"/>
      <c r="Y5121" s="33"/>
      <c r="Z5121" s="33"/>
      <c r="AA5121" s="33"/>
      <c r="AB5121" s="33"/>
      <c r="AC5121" s="33"/>
      <c r="AD5121" s="33"/>
      <c r="AE5121" s="33"/>
      <c r="AF5121" s="33"/>
      <c r="AG5121" s="33"/>
      <c r="AH5121" s="33"/>
      <c r="AI5121" s="33"/>
      <c r="AJ5121" s="33"/>
      <c r="AK5121" s="33"/>
    </row>
    <row r="5122">
      <c r="A5122" s="33"/>
      <c r="B5122" s="33"/>
      <c r="C5122" s="33"/>
      <c r="D5122" s="33"/>
      <c r="E5122" s="33"/>
      <c r="F5122" s="33"/>
      <c r="G5122" s="33"/>
      <c r="H5122" s="33"/>
      <c r="I5122" s="33"/>
      <c r="J5122" s="33"/>
      <c r="K5122" s="33"/>
      <c r="L5122" s="33"/>
      <c r="M5122" s="33"/>
      <c r="N5122" s="33"/>
      <c r="O5122" s="33"/>
      <c r="P5122" s="33"/>
      <c r="Q5122" s="33"/>
      <c r="R5122" s="33"/>
      <c r="S5122" s="33"/>
      <c r="T5122" s="33"/>
      <c r="U5122" s="33"/>
      <c r="V5122" s="33"/>
      <c r="W5122" s="33"/>
      <c r="X5122" s="33"/>
      <c r="Y5122" s="33"/>
      <c r="Z5122" s="33"/>
      <c r="AA5122" s="33"/>
      <c r="AB5122" s="33"/>
      <c r="AC5122" s="33"/>
      <c r="AD5122" s="33"/>
      <c r="AE5122" s="33"/>
      <c r="AF5122" s="33"/>
      <c r="AG5122" s="33"/>
      <c r="AH5122" s="33"/>
      <c r="AI5122" s="33"/>
      <c r="AJ5122" s="33"/>
      <c r="AK5122" s="33"/>
    </row>
    <row r="5123">
      <c r="A5123" s="33"/>
      <c r="B5123" s="33"/>
      <c r="C5123" s="33"/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  <c r="Q5123" s="33"/>
      <c r="R5123" s="33"/>
      <c r="S5123" s="33"/>
      <c r="T5123" s="33"/>
      <c r="U5123" s="33"/>
      <c r="V5123" s="33"/>
      <c r="W5123" s="33"/>
      <c r="X5123" s="33"/>
      <c r="Y5123" s="33"/>
      <c r="Z5123" s="33"/>
      <c r="AA5123" s="33"/>
      <c r="AB5123" s="33"/>
      <c r="AC5123" s="33"/>
      <c r="AD5123" s="33"/>
      <c r="AE5123" s="33"/>
      <c r="AF5123" s="33"/>
      <c r="AG5123" s="33"/>
      <c r="AH5123" s="33"/>
      <c r="AI5123" s="33"/>
      <c r="AJ5123" s="33"/>
      <c r="AK5123" s="33"/>
    </row>
    <row r="5124">
      <c r="A5124" s="33"/>
      <c r="B5124" s="33"/>
      <c r="C5124" s="33"/>
      <c r="D5124" s="33"/>
      <c r="E5124" s="33"/>
      <c r="F5124" s="33"/>
      <c r="G5124" s="33"/>
      <c r="H5124" s="33"/>
      <c r="I5124" s="33"/>
      <c r="J5124" s="33"/>
      <c r="K5124" s="33"/>
      <c r="L5124" s="33"/>
      <c r="M5124" s="33"/>
      <c r="N5124" s="33"/>
      <c r="O5124" s="33"/>
      <c r="P5124" s="33"/>
      <c r="Q5124" s="33"/>
      <c r="R5124" s="33"/>
      <c r="S5124" s="33"/>
      <c r="T5124" s="33"/>
      <c r="U5124" s="33"/>
      <c r="V5124" s="33"/>
      <c r="W5124" s="33"/>
      <c r="X5124" s="33"/>
      <c r="Y5124" s="33"/>
      <c r="Z5124" s="33"/>
      <c r="AA5124" s="33"/>
      <c r="AB5124" s="33"/>
      <c r="AC5124" s="33"/>
      <c r="AD5124" s="33"/>
      <c r="AE5124" s="33"/>
      <c r="AF5124" s="33"/>
      <c r="AG5124" s="33"/>
      <c r="AH5124" s="33"/>
      <c r="AI5124" s="33"/>
      <c r="AJ5124" s="33"/>
      <c r="AK5124" s="33"/>
    </row>
    <row r="5125">
      <c r="A5125" s="33"/>
      <c r="B5125" s="33"/>
      <c r="C5125" s="33"/>
      <c r="D5125" s="33"/>
      <c r="E5125" s="33"/>
      <c r="F5125" s="33"/>
      <c r="G5125" s="33"/>
      <c r="H5125" s="33"/>
      <c r="I5125" s="33"/>
      <c r="J5125" s="33"/>
      <c r="K5125" s="33"/>
      <c r="L5125" s="33"/>
      <c r="M5125" s="33"/>
      <c r="N5125" s="33"/>
      <c r="O5125" s="33"/>
      <c r="P5125" s="33"/>
      <c r="Q5125" s="33"/>
      <c r="R5125" s="33"/>
      <c r="S5125" s="33"/>
      <c r="T5125" s="33"/>
      <c r="U5125" s="33"/>
      <c r="V5125" s="33"/>
      <c r="W5125" s="33"/>
      <c r="X5125" s="33"/>
      <c r="Y5125" s="33"/>
      <c r="Z5125" s="33"/>
      <c r="AA5125" s="33"/>
      <c r="AB5125" s="33"/>
      <c r="AC5125" s="33"/>
      <c r="AD5125" s="33"/>
      <c r="AE5125" s="33"/>
      <c r="AF5125" s="33"/>
      <c r="AG5125" s="33"/>
      <c r="AH5125" s="33"/>
      <c r="AI5125" s="33"/>
      <c r="AJ5125" s="33"/>
      <c r="AK5125" s="33"/>
    </row>
    <row r="5126">
      <c r="A5126" s="33"/>
      <c r="B5126" s="33"/>
      <c r="C5126" s="33"/>
      <c r="D5126" s="33"/>
      <c r="E5126" s="33"/>
      <c r="F5126" s="33"/>
      <c r="G5126" s="33"/>
      <c r="H5126" s="33"/>
      <c r="I5126" s="33"/>
      <c r="J5126" s="33"/>
      <c r="K5126" s="33"/>
      <c r="L5126" s="33"/>
      <c r="M5126" s="33"/>
      <c r="N5126" s="33"/>
      <c r="O5126" s="33"/>
      <c r="P5126" s="33"/>
      <c r="Q5126" s="33"/>
      <c r="R5126" s="33"/>
      <c r="S5126" s="33"/>
      <c r="T5126" s="33"/>
      <c r="U5126" s="33"/>
      <c r="V5126" s="33"/>
      <c r="W5126" s="33"/>
      <c r="X5126" s="33"/>
      <c r="Y5126" s="33"/>
      <c r="Z5126" s="33"/>
      <c r="AA5126" s="33"/>
      <c r="AB5126" s="33"/>
      <c r="AC5126" s="33"/>
      <c r="AD5126" s="33"/>
      <c r="AE5126" s="33"/>
      <c r="AF5126" s="33"/>
      <c r="AG5126" s="33"/>
      <c r="AH5126" s="33"/>
      <c r="AI5126" s="33"/>
      <c r="AJ5126" s="33"/>
      <c r="AK5126" s="33"/>
    </row>
    <row r="5127">
      <c r="A5127" s="33"/>
      <c r="B5127" s="33"/>
      <c r="C5127" s="33"/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33"/>
      <c r="V5127" s="33"/>
      <c r="W5127" s="33"/>
      <c r="X5127" s="33"/>
      <c r="Y5127" s="33"/>
      <c r="Z5127" s="33"/>
      <c r="AA5127" s="33"/>
      <c r="AB5127" s="33"/>
      <c r="AC5127" s="33"/>
      <c r="AD5127" s="33"/>
      <c r="AE5127" s="33"/>
      <c r="AF5127" s="33"/>
      <c r="AG5127" s="33"/>
      <c r="AH5127" s="33"/>
      <c r="AI5127" s="33"/>
      <c r="AJ5127" s="33"/>
      <c r="AK5127" s="33"/>
    </row>
    <row r="5128">
      <c r="A5128" s="33"/>
      <c r="B5128" s="33"/>
      <c r="C5128" s="33"/>
      <c r="D5128" s="33"/>
      <c r="E5128" s="33"/>
      <c r="F5128" s="33"/>
      <c r="G5128" s="33"/>
      <c r="H5128" s="33"/>
      <c r="I5128" s="33"/>
      <c r="J5128" s="33"/>
      <c r="K5128" s="33"/>
      <c r="L5128" s="33"/>
      <c r="M5128" s="33"/>
      <c r="N5128" s="33"/>
      <c r="O5128" s="33"/>
      <c r="P5128" s="33"/>
      <c r="Q5128" s="33"/>
      <c r="R5128" s="33"/>
      <c r="S5128" s="33"/>
      <c r="T5128" s="33"/>
      <c r="U5128" s="33"/>
      <c r="V5128" s="33"/>
      <c r="W5128" s="33"/>
      <c r="X5128" s="33"/>
      <c r="Y5128" s="33"/>
      <c r="Z5128" s="33"/>
      <c r="AA5128" s="33"/>
      <c r="AB5128" s="33"/>
      <c r="AC5128" s="33"/>
      <c r="AD5128" s="33"/>
      <c r="AE5128" s="33"/>
      <c r="AF5128" s="33"/>
      <c r="AG5128" s="33"/>
      <c r="AH5128" s="33"/>
      <c r="AI5128" s="33"/>
      <c r="AJ5128" s="33"/>
      <c r="AK5128" s="33"/>
    </row>
    <row r="5129">
      <c r="A5129" s="33"/>
      <c r="B5129" s="33"/>
      <c r="C5129" s="33"/>
      <c r="D5129" s="33"/>
      <c r="E5129" s="33"/>
      <c r="F5129" s="33"/>
      <c r="G5129" s="33"/>
      <c r="H5129" s="33"/>
      <c r="I5129" s="33"/>
      <c r="J5129" s="33"/>
      <c r="K5129" s="33"/>
      <c r="L5129" s="33"/>
      <c r="M5129" s="33"/>
      <c r="N5129" s="33"/>
      <c r="O5129" s="33"/>
      <c r="P5129" s="33"/>
      <c r="Q5129" s="33"/>
      <c r="R5129" s="33"/>
      <c r="S5129" s="33"/>
      <c r="T5129" s="33"/>
      <c r="U5129" s="33"/>
      <c r="V5129" s="33"/>
      <c r="W5129" s="33"/>
      <c r="X5129" s="33"/>
      <c r="Y5129" s="33"/>
      <c r="Z5129" s="33"/>
      <c r="AA5129" s="33"/>
      <c r="AB5129" s="33"/>
      <c r="AC5129" s="33"/>
      <c r="AD5129" s="33"/>
      <c r="AE5129" s="33"/>
      <c r="AF5129" s="33"/>
      <c r="AG5129" s="33"/>
      <c r="AH5129" s="33"/>
      <c r="AI5129" s="33"/>
      <c r="AJ5129" s="33"/>
      <c r="AK5129" s="33"/>
    </row>
    <row r="5130">
      <c r="A5130" s="33"/>
      <c r="B5130" s="33"/>
      <c r="C5130" s="33"/>
      <c r="D5130" s="33"/>
      <c r="E5130" s="33"/>
      <c r="F5130" s="33"/>
      <c r="G5130" s="33"/>
      <c r="H5130" s="33"/>
      <c r="I5130" s="33"/>
      <c r="J5130" s="33"/>
      <c r="K5130" s="33"/>
      <c r="L5130" s="33"/>
      <c r="M5130" s="33"/>
      <c r="N5130" s="33"/>
      <c r="O5130" s="33"/>
      <c r="P5130" s="33"/>
      <c r="Q5130" s="33"/>
      <c r="R5130" s="33"/>
      <c r="S5130" s="33"/>
      <c r="T5130" s="33"/>
      <c r="U5130" s="33"/>
      <c r="V5130" s="33"/>
      <c r="W5130" s="33"/>
      <c r="X5130" s="33"/>
      <c r="Y5130" s="33"/>
      <c r="Z5130" s="33"/>
      <c r="AA5130" s="33"/>
      <c r="AB5130" s="33"/>
      <c r="AC5130" s="33"/>
      <c r="AD5130" s="33"/>
      <c r="AE5130" s="33"/>
      <c r="AF5130" s="33"/>
      <c r="AG5130" s="33"/>
      <c r="AH5130" s="33"/>
      <c r="AI5130" s="33"/>
      <c r="AJ5130" s="33"/>
      <c r="AK5130" s="33"/>
    </row>
    <row r="5131">
      <c r="A5131" s="33"/>
      <c r="B5131" s="33"/>
      <c r="C5131" s="33"/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  <c r="Q5131" s="33"/>
      <c r="R5131" s="33"/>
      <c r="S5131" s="33"/>
      <c r="T5131" s="33"/>
      <c r="U5131" s="33"/>
      <c r="V5131" s="33"/>
      <c r="W5131" s="33"/>
      <c r="X5131" s="33"/>
      <c r="Y5131" s="33"/>
      <c r="Z5131" s="33"/>
      <c r="AA5131" s="33"/>
      <c r="AB5131" s="33"/>
      <c r="AC5131" s="33"/>
      <c r="AD5131" s="33"/>
      <c r="AE5131" s="33"/>
      <c r="AF5131" s="33"/>
      <c r="AG5131" s="33"/>
      <c r="AH5131" s="33"/>
      <c r="AI5131" s="33"/>
      <c r="AJ5131" s="33"/>
      <c r="AK5131" s="33"/>
    </row>
    <row r="5132">
      <c r="A5132" s="33"/>
      <c r="B5132" s="33"/>
      <c r="C5132" s="33"/>
      <c r="D5132" s="33"/>
      <c r="E5132" s="33"/>
      <c r="F5132" s="33"/>
      <c r="G5132" s="33"/>
      <c r="H5132" s="33"/>
      <c r="I5132" s="33"/>
      <c r="J5132" s="33"/>
      <c r="K5132" s="33"/>
      <c r="L5132" s="33"/>
      <c r="M5132" s="33"/>
      <c r="N5132" s="33"/>
      <c r="O5132" s="33"/>
      <c r="P5132" s="33"/>
      <c r="Q5132" s="33"/>
      <c r="R5132" s="33"/>
      <c r="S5132" s="33"/>
      <c r="T5132" s="33"/>
      <c r="U5132" s="33"/>
      <c r="V5132" s="33"/>
      <c r="W5132" s="33"/>
      <c r="X5132" s="33"/>
      <c r="Y5132" s="33"/>
      <c r="Z5132" s="33"/>
      <c r="AA5132" s="33"/>
      <c r="AB5132" s="33"/>
      <c r="AC5132" s="33"/>
      <c r="AD5132" s="33"/>
      <c r="AE5132" s="33"/>
      <c r="AF5132" s="33"/>
      <c r="AG5132" s="33"/>
      <c r="AH5132" s="33"/>
      <c r="AI5132" s="33"/>
      <c r="AJ5132" s="33"/>
      <c r="AK5132" s="33"/>
    </row>
    <row r="5133">
      <c r="A5133" s="33"/>
      <c r="B5133" s="33"/>
      <c r="C5133" s="33"/>
      <c r="D5133" s="33"/>
      <c r="E5133" s="33"/>
      <c r="F5133" s="33"/>
      <c r="G5133" s="33"/>
      <c r="H5133" s="33"/>
      <c r="I5133" s="33"/>
      <c r="J5133" s="33"/>
      <c r="K5133" s="33"/>
      <c r="L5133" s="33"/>
      <c r="M5133" s="33"/>
      <c r="N5133" s="33"/>
      <c r="O5133" s="33"/>
      <c r="P5133" s="33"/>
      <c r="Q5133" s="33"/>
      <c r="R5133" s="33"/>
      <c r="S5133" s="33"/>
      <c r="T5133" s="33"/>
      <c r="U5133" s="33"/>
      <c r="V5133" s="33"/>
      <c r="W5133" s="33"/>
      <c r="X5133" s="33"/>
      <c r="Y5133" s="33"/>
      <c r="Z5133" s="33"/>
      <c r="AA5133" s="33"/>
      <c r="AB5133" s="33"/>
      <c r="AC5133" s="33"/>
      <c r="AD5133" s="33"/>
      <c r="AE5133" s="33"/>
      <c r="AF5133" s="33"/>
      <c r="AG5133" s="33"/>
      <c r="AH5133" s="33"/>
      <c r="AI5133" s="33"/>
      <c r="AJ5133" s="33"/>
      <c r="AK5133" s="33"/>
    </row>
    <row r="5134">
      <c r="A5134" s="33"/>
      <c r="B5134" s="33"/>
      <c r="C5134" s="33"/>
      <c r="D5134" s="33"/>
      <c r="E5134" s="33"/>
      <c r="F5134" s="33"/>
      <c r="G5134" s="33"/>
      <c r="H5134" s="33"/>
      <c r="I5134" s="33"/>
      <c r="J5134" s="33"/>
      <c r="K5134" s="33"/>
      <c r="L5134" s="33"/>
      <c r="M5134" s="33"/>
      <c r="N5134" s="33"/>
      <c r="O5134" s="33"/>
      <c r="P5134" s="33"/>
      <c r="Q5134" s="33"/>
      <c r="R5134" s="33"/>
      <c r="S5134" s="33"/>
      <c r="T5134" s="33"/>
      <c r="U5134" s="33"/>
      <c r="V5134" s="33"/>
      <c r="W5134" s="33"/>
      <c r="X5134" s="33"/>
      <c r="Y5134" s="33"/>
      <c r="Z5134" s="33"/>
      <c r="AA5134" s="33"/>
      <c r="AB5134" s="33"/>
      <c r="AC5134" s="33"/>
      <c r="AD5134" s="33"/>
      <c r="AE5134" s="33"/>
      <c r="AF5134" s="33"/>
      <c r="AG5134" s="33"/>
      <c r="AH5134" s="33"/>
      <c r="AI5134" s="33"/>
      <c r="AJ5134" s="33"/>
      <c r="AK5134" s="33"/>
    </row>
    <row r="5135">
      <c r="A5135" s="33"/>
      <c r="B5135" s="33"/>
      <c r="C5135" s="33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  <c r="R5135" s="33"/>
      <c r="S5135" s="33"/>
      <c r="T5135" s="33"/>
      <c r="U5135" s="33"/>
      <c r="V5135" s="33"/>
      <c r="W5135" s="33"/>
      <c r="X5135" s="33"/>
      <c r="Y5135" s="33"/>
      <c r="Z5135" s="33"/>
      <c r="AA5135" s="33"/>
      <c r="AB5135" s="33"/>
      <c r="AC5135" s="33"/>
      <c r="AD5135" s="33"/>
      <c r="AE5135" s="33"/>
      <c r="AF5135" s="33"/>
      <c r="AG5135" s="33"/>
      <c r="AH5135" s="33"/>
      <c r="AI5135" s="33"/>
      <c r="AJ5135" s="33"/>
      <c r="AK5135" s="33"/>
    </row>
    <row r="5136">
      <c r="A5136" s="33"/>
      <c r="B5136" s="33"/>
      <c r="C5136" s="33"/>
      <c r="D5136" s="33"/>
      <c r="E5136" s="33"/>
      <c r="F5136" s="33"/>
      <c r="G5136" s="33"/>
      <c r="H5136" s="33"/>
      <c r="I5136" s="33"/>
      <c r="J5136" s="33"/>
      <c r="K5136" s="33"/>
      <c r="L5136" s="33"/>
      <c r="M5136" s="33"/>
      <c r="N5136" s="33"/>
      <c r="O5136" s="33"/>
      <c r="P5136" s="33"/>
      <c r="Q5136" s="33"/>
      <c r="R5136" s="33"/>
      <c r="S5136" s="33"/>
      <c r="T5136" s="33"/>
      <c r="U5136" s="33"/>
      <c r="V5136" s="33"/>
      <c r="W5136" s="33"/>
      <c r="X5136" s="33"/>
      <c r="Y5136" s="33"/>
      <c r="Z5136" s="33"/>
      <c r="AA5136" s="33"/>
      <c r="AB5136" s="33"/>
      <c r="AC5136" s="33"/>
      <c r="AD5136" s="33"/>
      <c r="AE5136" s="33"/>
      <c r="AF5136" s="33"/>
      <c r="AG5136" s="33"/>
      <c r="AH5136" s="33"/>
      <c r="AI5136" s="33"/>
      <c r="AJ5136" s="33"/>
      <c r="AK5136" s="33"/>
    </row>
    <row r="5137">
      <c r="A5137" s="33"/>
      <c r="B5137" s="33"/>
      <c r="C5137" s="33"/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  <c r="Q5137" s="33"/>
      <c r="R5137" s="33"/>
      <c r="S5137" s="33"/>
      <c r="T5137" s="33"/>
      <c r="U5137" s="33"/>
      <c r="V5137" s="33"/>
      <c r="W5137" s="33"/>
      <c r="X5137" s="33"/>
      <c r="Y5137" s="33"/>
      <c r="Z5137" s="33"/>
      <c r="AA5137" s="33"/>
      <c r="AB5137" s="33"/>
      <c r="AC5137" s="33"/>
      <c r="AD5137" s="33"/>
      <c r="AE5137" s="33"/>
      <c r="AF5137" s="33"/>
      <c r="AG5137" s="33"/>
      <c r="AH5137" s="33"/>
      <c r="AI5137" s="33"/>
      <c r="AJ5137" s="33"/>
      <c r="AK5137" s="33"/>
    </row>
    <row r="5138">
      <c r="A5138" s="33"/>
      <c r="B5138" s="33"/>
      <c r="C5138" s="33"/>
      <c r="D5138" s="33"/>
      <c r="E5138" s="33"/>
      <c r="F5138" s="33"/>
      <c r="G5138" s="33"/>
      <c r="H5138" s="33"/>
      <c r="I5138" s="33"/>
      <c r="J5138" s="33"/>
      <c r="K5138" s="33"/>
      <c r="L5138" s="33"/>
      <c r="M5138" s="33"/>
      <c r="N5138" s="33"/>
      <c r="O5138" s="33"/>
      <c r="P5138" s="33"/>
      <c r="Q5138" s="33"/>
      <c r="R5138" s="33"/>
      <c r="S5138" s="33"/>
      <c r="T5138" s="33"/>
      <c r="U5138" s="33"/>
      <c r="V5138" s="33"/>
      <c r="W5138" s="33"/>
      <c r="X5138" s="33"/>
      <c r="Y5138" s="33"/>
      <c r="Z5138" s="33"/>
      <c r="AA5138" s="33"/>
      <c r="AB5138" s="33"/>
      <c r="AC5138" s="33"/>
      <c r="AD5138" s="33"/>
      <c r="AE5138" s="33"/>
      <c r="AF5138" s="33"/>
      <c r="AG5138" s="33"/>
      <c r="AH5138" s="33"/>
      <c r="AI5138" s="33"/>
      <c r="AJ5138" s="33"/>
      <c r="AK5138" s="33"/>
    </row>
    <row r="5139">
      <c r="A5139" s="33"/>
      <c r="B5139" s="33"/>
      <c r="C5139" s="33"/>
      <c r="D5139" s="33"/>
      <c r="E5139" s="33"/>
      <c r="F5139" s="33"/>
      <c r="G5139" s="33"/>
      <c r="H5139" s="33"/>
      <c r="I5139" s="33"/>
      <c r="J5139" s="33"/>
      <c r="K5139" s="33"/>
      <c r="L5139" s="33"/>
      <c r="M5139" s="33"/>
      <c r="N5139" s="33"/>
      <c r="O5139" s="33"/>
      <c r="P5139" s="33"/>
      <c r="Q5139" s="33"/>
      <c r="R5139" s="33"/>
      <c r="S5139" s="33"/>
      <c r="T5139" s="33"/>
      <c r="U5139" s="33"/>
      <c r="V5139" s="33"/>
      <c r="W5139" s="33"/>
      <c r="X5139" s="33"/>
      <c r="Y5139" s="33"/>
      <c r="Z5139" s="33"/>
      <c r="AA5139" s="33"/>
      <c r="AB5139" s="33"/>
      <c r="AC5139" s="33"/>
      <c r="AD5139" s="33"/>
      <c r="AE5139" s="33"/>
      <c r="AF5139" s="33"/>
      <c r="AG5139" s="33"/>
      <c r="AH5139" s="33"/>
      <c r="AI5139" s="33"/>
      <c r="AJ5139" s="33"/>
      <c r="AK5139" s="33"/>
    </row>
    <row r="5140">
      <c r="A5140" s="33"/>
      <c r="B5140" s="33"/>
      <c r="C5140" s="33"/>
      <c r="D5140" s="33"/>
      <c r="E5140" s="33"/>
      <c r="F5140" s="33"/>
      <c r="G5140" s="33"/>
      <c r="H5140" s="33"/>
      <c r="I5140" s="33"/>
      <c r="J5140" s="33"/>
      <c r="K5140" s="33"/>
      <c r="L5140" s="33"/>
      <c r="M5140" s="33"/>
      <c r="N5140" s="33"/>
      <c r="O5140" s="33"/>
      <c r="P5140" s="33"/>
      <c r="Q5140" s="33"/>
      <c r="R5140" s="33"/>
      <c r="S5140" s="33"/>
      <c r="T5140" s="33"/>
      <c r="U5140" s="33"/>
      <c r="V5140" s="33"/>
      <c r="W5140" s="33"/>
      <c r="X5140" s="33"/>
      <c r="Y5140" s="33"/>
      <c r="Z5140" s="33"/>
      <c r="AA5140" s="33"/>
      <c r="AB5140" s="33"/>
      <c r="AC5140" s="33"/>
      <c r="AD5140" s="33"/>
      <c r="AE5140" s="33"/>
      <c r="AF5140" s="33"/>
      <c r="AG5140" s="33"/>
      <c r="AH5140" s="33"/>
      <c r="AI5140" s="33"/>
      <c r="AJ5140" s="33"/>
      <c r="AK5140" s="33"/>
    </row>
    <row r="5141">
      <c r="A5141" s="33"/>
      <c r="B5141" s="33"/>
      <c r="C5141" s="33"/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  <c r="Q5141" s="33"/>
      <c r="R5141" s="33"/>
      <c r="S5141" s="33"/>
      <c r="T5141" s="33"/>
      <c r="U5141" s="33"/>
      <c r="V5141" s="33"/>
      <c r="W5141" s="33"/>
      <c r="X5141" s="33"/>
      <c r="Y5141" s="33"/>
      <c r="Z5141" s="33"/>
      <c r="AA5141" s="33"/>
      <c r="AB5141" s="33"/>
      <c r="AC5141" s="33"/>
      <c r="AD5141" s="33"/>
      <c r="AE5141" s="33"/>
      <c r="AF5141" s="33"/>
      <c r="AG5141" s="33"/>
      <c r="AH5141" s="33"/>
      <c r="AI5141" s="33"/>
      <c r="AJ5141" s="33"/>
      <c r="AK5141" s="33"/>
    </row>
    <row r="5142">
      <c r="A5142" s="33"/>
      <c r="B5142" s="33"/>
      <c r="C5142" s="33"/>
      <c r="D5142" s="33"/>
      <c r="E5142" s="33"/>
      <c r="F5142" s="33"/>
      <c r="G5142" s="33"/>
      <c r="H5142" s="33"/>
      <c r="I5142" s="33"/>
      <c r="J5142" s="33"/>
      <c r="K5142" s="33"/>
      <c r="L5142" s="33"/>
      <c r="M5142" s="33"/>
      <c r="N5142" s="33"/>
      <c r="O5142" s="33"/>
      <c r="P5142" s="33"/>
      <c r="Q5142" s="33"/>
      <c r="R5142" s="33"/>
      <c r="S5142" s="33"/>
      <c r="T5142" s="33"/>
      <c r="U5142" s="33"/>
      <c r="V5142" s="33"/>
      <c r="W5142" s="33"/>
      <c r="X5142" s="33"/>
      <c r="Y5142" s="33"/>
      <c r="Z5142" s="33"/>
      <c r="AA5142" s="33"/>
      <c r="AB5142" s="33"/>
      <c r="AC5142" s="33"/>
      <c r="AD5142" s="33"/>
      <c r="AE5142" s="33"/>
      <c r="AF5142" s="33"/>
      <c r="AG5142" s="33"/>
      <c r="AH5142" s="33"/>
      <c r="AI5142" s="33"/>
      <c r="AJ5142" s="33"/>
      <c r="AK5142" s="33"/>
    </row>
    <row r="5143">
      <c r="A5143" s="33"/>
      <c r="B5143" s="33"/>
      <c r="C5143" s="33"/>
      <c r="D5143" s="33"/>
      <c r="E5143" s="33"/>
      <c r="F5143" s="33"/>
      <c r="G5143" s="33"/>
      <c r="H5143" s="33"/>
      <c r="I5143" s="33"/>
      <c r="J5143" s="33"/>
      <c r="K5143" s="33"/>
      <c r="L5143" s="33"/>
      <c r="M5143" s="33"/>
      <c r="N5143" s="33"/>
      <c r="O5143" s="33"/>
      <c r="P5143" s="33"/>
      <c r="Q5143" s="33"/>
      <c r="R5143" s="33"/>
      <c r="S5143" s="33"/>
      <c r="T5143" s="33"/>
      <c r="U5143" s="33"/>
      <c r="V5143" s="33"/>
      <c r="W5143" s="33"/>
      <c r="X5143" s="33"/>
      <c r="Y5143" s="33"/>
      <c r="Z5143" s="33"/>
      <c r="AA5143" s="33"/>
      <c r="AB5143" s="33"/>
      <c r="AC5143" s="33"/>
      <c r="AD5143" s="33"/>
      <c r="AE5143" s="33"/>
      <c r="AF5143" s="33"/>
      <c r="AG5143" s="33"/>
      <c r="AH5143" s="33"/>
      <c r="AI5143" s="33"/>
      <c r="AJ5143" s="33"/>
      <c r="AK5143" s="33"/>
    </row>
    <row r="5144">
      <c r="A5144" s="33"/>
      <c r="B5144" s="33"/>
      <c r="C5144" s="33"/>
      <c r="D5144" s="33"/>
      <c r="E5144" s="33"/>
      <c r="F5144" s="33"/>
      <c r="G5144" s="33"/>
      <c r="H5144" s="33"/>
      <c r="I5144" s="33"/>
      <c r="J5144" s="33"/>
      <c r="K5144" s="33"/>
      <c r="L5144" s="33"/>
      <c r="M5144" s="33"/>
      <c r="N5144" s="33"/>
      <c r="O5144" s="33"/>
      <c r="P5144" s="33"/>
      <c r="Q5144" s="33"/>
      <c r="R5144" s="33"/>
      <c r="S5144" s="33"/>
      <c r="T5144" s="33"/>
      <c r="U5144" s="33"/>
      <c r="V5144" s="33"/>
      <c r="W5144" s="33"/>
      <c r="X5144" s="33"/>
      <c r="Y5144" s="33"/>
      <c r="Z5144" s="33"/>
      <c r="AA5144" s="33"/>
      <c r="AB5144" s="33"/>
      <c r="AC5144" s="33"/>
      <c r="AD5144" s="33"/>
      <c r="AE5144" s="33"/>
      <c r="AF5144" s="33"/>
      <c r="AG5144" s="33"/>
      <c r="AH5144" s="33"/>
      <c r="AI5144" s="33"/>
      <c r="AJ5144" s="33"/>
      <c r="AK5144" s="33"/>
    </row>
    <row r="5145">
      <c r="A5145" s="33"/>
      <c r="B5145" s="33"/>
      <c r="C5145" s="33"/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  <c r="Q5145" s="33"/>
      <c r="R5145" s="33"/>
      <c r="S5145" s="33"/>
      <c r="T5145" s="33"/>
      <c r="U5145" s="33"/>
      <c r="V5145" s="33"/>
      <c r="W5145" s="33"/>
      <c r="X5145" s="33"/>
      <c r="Y5145" s="33"/>
      <c r="Z5145" s="33"/>
      <c r="AA5145" s="33"/>
      <c r="AB5145" s="33"/>
      <c r="AC5145" s="33"/>
      <c r="AD5145" s="33"/>
      <c r="AE5145" s="33"/>
      <c r="AF5145" s="33"/>
      <c r="AG5145" s="33"/>
      <c r="AH5145" s="33"/>
      <c r="AI5145" s="33"/>
      <c r="AJ5145" s="33"/>
      <c r="AK5145" s="33"/>
    </row>
    <row r="5146">
      <c r="A5146" s="33"/>
      <c r="B5146" s="33"/>
      <c r="C5146" s="33"/>
      <c r="D5146" s="33"/>
      <c r="E5146" s="33"/>
      <c r="F5146" s="33"/>
      <c r="G5146" s="33"/>
      <c r="H5146" s="33"/>
      <c r="I5146" s="33"/>
      <c r="J5146" s="33"/>
      <c r="K5146" s="33"/>
      <c r="L5146" s="33"/>
      <c r="M5146" s="33"/>
      <c r="N5146" s="33"/>
      <c r="O5146" s="33"/>
      <c r="P5146" s="33"/>
      <c r="Q5146" s="33"/>
      <c r="R5146" s="33"/>
      <c r="S5146" s="33"/>
      <c r="T5146" s="33"/>
      <c r="U5146" s="33"/>
      <c r="V5146" s="33"/>
      <c r="W5146" s="33"/>
      <c r="X5146" s="33"/>
      <c r="Y5146" s="33"/>
      <c r="Z5146" s="33"/>
      <c r="AA5146" s="33"/>
      <c r="AB5146" s="33"/>
      <c r="AC5146" s="33"/>
      <c r="AD5146" s="33"/>
      <c r="AE5146" s="33"/>
      <c r="AF5146" s="33"/>
      <c r="AG5146" s="33"/>
      <c r="AH5146" s="33"/>
      <c r="AI5146" s="33"/>
      <c r="AJ5146" s="33"/>
      <c r="AK5146" s="33"/>
    </row>
    <row r="5147">
      <c r="A5147" s="33"/>
      <c r="B5147" s="33"/>
      <c r="C5147" s="33"/>
      <c r="D5147" s="33"/>
      <c r="E5147" s="33"/>
      <c r="F5147" s="33"/>
      <c r="G5147" s="33"/>
      <c r="H5147" s="33"/>
      <c r="I5147" s="33"/>
      <c r="J5147" s="33"/>
      <c r="K5147" s="33"/>
      <c r="L5147" s="33"/>
      <c r="M5147" s="33"/>
      <c r="N5147" s="33"/>
      <c r="O5147" s="33"/>
      <c r="P5147" s="33"/>
      <c r="Q5147" s="33"/>
      <c r="R5147" s="33"/>
      <c r="S5147" s="33"/>
      <c r="T5147" s="33"/>
      <c r="U5147" s="33"/>
      <c r="V5147" s="33"/>
      <c r="W5147" s="33"/>
      <c r="X5147" s="33"/>
      <c r="Y5147" s="33"/>
      <c r="Z5147" s="33"/>
      <c r="AA5147" s="33"/>
      <c r="AB5147" s="33"/>
      <c r="AC5147" s="33"/>
      <c r="AD5147" s="33"/>
      <c r="AE5147" s="33"/>
      <c r="AF5147" s="33"/>
      <c r="AG5147" s="33"/>
      <c r="AH5147" s="33"/>
      <c r="AI5147" s="33"/>
      <c r="AJ5147" s="33"/>
      <c r="AK5147" s="33"/>
    </row>
    <row r="5148">
      <c r="A5148" s="33"/>
      <c r="B5148" s="33"/>
      <c r="C5148" s="33"/>
      <c r="D5148" s="33"/>
      <c r="E5148" s="33"/>
      <c r="F5148" s="33"/>
      <c r="G5148" s="33"/>
      <c r="H5148" s="33"/>
      <c r="I5148" s="33"/>
      <c r="J5148" s="33"/>
      <c r="K5148" s="33"/>
      <c r="L5148" s="33"/>
      <c r="M5148" s="33"/>
      <c r="N5148" s="33"/>
      <c r="O5148" s="33"/>
      <c r="P5148" s="33"/>
      <c r="Q5148" s="33"/>
      <c r="R5148" s="33"/>
      <c r="S5148" s="33"/>
      <c r="T5148" s="33"/>
      <c r="U5148" s="33"/>
      <c r="V5148" s="33"/>
      <c r="W5148" s="33"/>
      <c r="X5148" s="33"/>
      <c r="Y5148" s="33"/>
      <c r="Z5148" s="33"/>
      <c r="AA5148" s="33"/>
      <c r="AB5148" s="33"/>
      <c r="AC5148" s="33"/>
      <c r="AD5148" s="33"/>
      <c r="AE5148" s="33"/>
      <c r="AF5148" s="33"/>
      <c r="AG5148" s="33"/>
      <c r="AH5148" s="33"/>
      <c r="AI5148" s="33"/>
      <c r="AJ5148" s="33"/>
      <c r="AK5148" s="33"/>
    </row>
    <row r="5149">
      <c r="A5149" s="33"/>
      <c r="B5149" s="33"/>
      <c r="C5149" s="33"/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  <c r="Q5149" s="33"/>
      <c r="R5149" s="33"/>
      <c r="S5149" s="33"/>
      <c r="T5149" s="33"/>
      <c r="U5149" s="33"/>
      <c r="V5149" s="33"/>
      <c r="W5149" s="33"/>
      <c r="X5149" s="33"/>
      <c r="Y5149" s="33"/>
      <c r="Z5149" s="33"/>
      <c r="AA5149" s="33"/>
      <c r="AB5149" s="33"/>
      <c r="AC5149" s="33"/>
      <c r="AD5149" s="33"/>
      <c r="AE5149" s="33"/>
      <c r="AF5149" s="33"/>
      <c r="AG5149" s="33"/>
      <c r="AH5149" s="33"/>
      <c r="AI5149" s="33"/>
      <c r="AJ5149" s="33"/>
      <c r="AK5149" s="33"/>
    </row>
    <row r="5150">
      <c r="A5150" s="33"/>
      <c r="B5150" s="33"/>
      <c r="C5150" s="33"/>
      <c r="D5150" s="33"/>
      <c r="E5150" s="33"/>
      <c r="F5150" s="33"/>
      <c r="G5150" s="33"/>
      <c r="H5150" s="33"/>
      <c r="I5150" s="33"/>
      <c r="J5150" s="33"/>
      <c r="K5150" s="33"/>
      <c r="L5150" s="33"/>
      <c r="M5150" s="33"/>
      <c r="N5150" s="33"/>
      <c r="O5150" s="33"/>
      <c r="P5150" s="33"/>
      <c r="Q5150" s="33"/>
      <c r="R5150" s="33"/>
      <c r="S5150" s="33"/>
      <c r="T5150" s="33"/>
      <c r="U5150" s="33"/>
      <c r="V5150" s="33"/>
      <c r="W5150" s="33"/>
      <c r="X5150" s="33"/>
      <c r="Y5150" s="33"/>
      <c r="Z5150" s="33"/>
      <c r="AA5150" s="33"/>
      <c r="AB5150" s="33"/>
      <c r="AC5150" s="33"/>
      <c r="AD5150" s="33"/>
      <c r="AE5150" s="33"/>
      <c r="AF5150" s="33"/>
      <c r="AG5150" s="33"/>
      <c r="AH5150" s="33"/>
      <c r="AI5150" s="33"/>
      <c r="AJ5150" s="33"/>
      <c r="AK5150" s="33"/>
    </row>
    <row r="5151">
      <c r="A5151" s="33"/>
      <c r="B5151" s="33"/>
      <c r="C5151" s="33"/>
      <c r="D5151" s="33"/>
      <c r="E5151" s="33"/>
      <c r="F5151" s="33"/>
      <c r="G5151" s="33"/>
      <c r="H5151" s="33"/>
      <c r="I5151" s="33"/>
      <c r="J5151" s="33"/>
      <c r="K5151" s="33"/>
      <c r="L5151" s="33"/>
      <c r="M5151" s="33"/>
      <c r="N5151" s="33"/>
      <c r="O5151" s="33"/>
      <c r="P5151" s="33"/>
      <c r="Q5151" s="33"/>
      <c r="R5151" s="33"/>
      <c r="S5151" s="33"/>
      <c r="T5151" s="33"/>
      <c r="U5151" s="33"/>
      <c r="V5151" s="33"/>
      <c r="W5151" s="33"/>
      <c r="X5151" s="33"/>
      <c r="Y5151" s="33"/>
      <c r="Z5151" s="33"/>
      <c r="AA5151" s="33"/>
      <c r="AB5151" s="33"/>
      <c r="AC5151" s="33"/>
      <c r="AD5151" s="33"/>
      <c r="AE5151" s="33"/>
      <c r="AF5151" s="33"/>
      <c r="AG5151" s="33"/>
      <c r="AH5151" s="33"/>
      <c r="AI5151" s="33"/>
      <c r="AJ5151" s="33"/>
      <c r="AK5151" s="33"/>
    </row>
    <row r="5152">
      <c r="A5152" s="33"/>
      <c r="B5152" s="33"/>
      <c r="C5152" s="33"/>
      <c r="D5152" s="33"/>
      <c r="E5152" s="33"/>
      <c r="F5152" s="33"/>
      <c r="G5152" s="33"/>
      <c r="H5152" s="33"/>
      <c r="I5152" s="33"/>
      <c r="J5152" s="33"/>
      <c r="K5152" s="33"/>
      <c r="L5152" s="33"/>
      <c r="M5152" s="33"/>
      <c r="N5152" s="33"/>
      <c r="O5152" s="33"/>
      <c r="P5152" s="33"/>
      <c r="Q5152" s="33"/>
      <c r="R5152" s="33"/>
      <c r="S5152" s="33"/>
      <c r="T5152" s="33"/>
      <c r="U5152" s="33"/>
      <c r="V5152" s="33"/>
      <c r="W5152" s="33"/>
      <c r="X5152" s="33"/>
      <c r="Y5152" s="33"/>
      <c r="Z5152" s="33"/>
      <c r="AA5152" s="33"/>
      <c r="AB5152" s="33"/>
      <c r="AC5152" s="33"/>
      <c r="AD5152" s="33"/>
      <c r="AE5152" s="33"/>
      <c r="AF5152" s="33"/>
      <c r="AG5152" s="33"/>
      <c r="AH5152" s="33"/>
      <c r="AI5152" s="33"/>
      <c r="AJ5152" s="33"/>
      <c r="AK5152" s="33"/>
    </row>
    <row r="5153">
      <c r="A5153" s="33"/>
      <c r="B5153" s="33"/>
      <c r="C5153" s="33"/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  <c r="Q5153" s="33"/>
      <c r="R5153" s="33"/>
      <c r="S5153" s="33"/>
      <c r="T5153" s="33"/>
      <c r="U5153" s="33"/>
      <c r="V5153" s="33"/>
      <c r="W5153" s="33"/>
      <c r="X5153" s="33"/>
      <c r="Y5153" s="33"/>
      <c r="Z5153" s="33"/>
      <c r="AA5153" s="33"/>
      <c r="AB5153" s="33"/>
      <c r="AC5153" s="33"/>
      <c r="AD5153" s="33"/>
      <c r="AE5153" s="33"/>
      <c r="AF5153" s="33"/>
      <c r="AG5153" s="33"/>
      <c r="AH5153" s="33"/>
      <c r="AI5153" s="33"/>
      <c r="AJ5153" s="33"/>
      <c r="AK5153" s="33"/>
    </row>
    <row r="5154">
      <c r="A5154" s="33"/>
      <c r="B5154" s="33"/>
      <c r="C5154" s="33"/>
      <c r="D5154" s="33"/>
      <c r="E5154" s="33"/>
      <c r="F5154" s="33"/>
      <c r="G5154" s="33"/>
      <c r="H5154" s="33"/>
      <c r="I5154" s="33"/>
      <c r="J5154" s="33"/>
      <c r="K5154" s="33"/>
      <c r="L5154" s="33"/>
      <c r="M5154" s="33"/>
      <c r="N5154" s="33"/>
      <c r="O5154" s="33"/>
      <c r="P5154" s="33"/>
      <c r="Q5154" s="33"/>
      <c r="R5154" s="33"/>
      <c r="S5154" s="33"/>
      <c r="T5154" s="33"/>
      <c r="U5154" s="33"/>
      <c r="V5154" s="33"/>
      <c r="W5154" s="33"/>
      <c r="X5154" s="33"/>
      <c r="Y5154" s="33"/>
      <c r="Z5154" s="33"/>
      <c r="AA5154" s="33"/>
      <c r="AB5154" s="33"/>
      <c r="AC5154" s="33"/>
      <c r="AD5154" s="33"/>
      <c r="AE5154" s="33"/>
      <c r="AF5154" s="33"/>
      <c r="AG5154" s="33"/>
      <c r="AH5154" s="33"/>
      <c r="AI5154" s="33"/>
      <c r="AJ5154" s="33"/>
      <c r="AK5154" s="33"/>
    </row>
    <row r="5155">
      <c r="A5155" s="33"/>
      <c r="B5155" s="33"/>
      <c r="C5155" s="33"/>
      <c r="D5155" s="33"/>
      <c r="E5155" s="33"/>
      <c r="F5155" s="33"/>
      <c r="G5155" s="33"/>
      <c r="H5155" s="33"/>
      <c r="I5155" s="33"/>
      <c r="J5155" s="33"/>
      <c r="K5155" s="33"/>
      <c r="L5155" s="33"/>
      <c r="M5155" s="33"/>
      <c r="N5155" s="33"/>
      <c r="O5155" s="33"/>
      <c r="P5155" s="33"/>
      <c r="Q5155" s="33"/>
      <c r="R5155" s="33"/>
      <c r="S5155" s="33"/>
      <c r="T5155" s="33"/>
      <c r="U5155" s="33"/>
      <c r="V5155" s="33"/>
      <c r="W5155" s="33"/>
      <c r="X5155" s="33"/>
      <c r="Y5155" s="33"/>
      <c r="Z5155" s="33"/>
      <c r="AA5155" s="33"/>
      <c r="AB5155" s="33"/>
      <c r="AC5155" s="33"/>
      <c r="AD5155" s="33"/>
      <c r="AE5155" s="33"/>
      <c r="AF5155" s="33"/>
      <c r="AG5155" s="33"/>
      <c r="AH5155" s="33"/>
      <c r="AI5155" s="33"/>
      <c r="AJ5155" s="33"/>
      <c r="AK5155" s="33"/>
    </row>
    <row r="5156">
      <c r="A5156" s="33"/>
      <c r="B5156" s="33"/>
      <c r="C5156" s="33"/>
      <c r="D5156" s="33"/>
      <c r="E5156" s="33"/>
      <c r="F5156" s="33"/>
      <c r="G5156" s="33"/>
      <c r="H5156" s="33"/>
      <c r="I5156" s="33"/>
      <c r="J5156" s="33"/>
      <c r="K5156" s="33"/>
      <c r="L5156" s="33"/>
      <c r="M5156" s="33"/>
      <c r="N5156" s="33"/>
      <c r="O5156" s="33"/>
      <c r="P5156" s="33"/>
      <c r="Q5156" s="33"/>
      <c r="R5156" s="33"/>
      <c r="S5156" s="33"/>
      <c r="T5156" s="33"/>
      <c r="U5156" s="33"/>
      <c r="V5156" s="33"/>
      <c r="W5156" s="33"/>
      <c r="X5156" s="33"/>
      <c r="Y5156" s="33"/>
      <c r="Z5156" s="33"/>
      <c r="AA5156" s="33"/>
      <c r="AB5156" s="33"/>
      <c r="AC5156" s="33"/>
      <c r="AD5156" s="33"/>
      <c r="AE5156" s="33"/>
      <c r="AF5156" s="33"/>
      <c r="AG5156" s="33"/>
      <c r="AH5156" s="33"/>
      <c r="AI5156" s="33"/>
      <c r="AJ5156" s="33"/>
      <c r="AK5156" s="33"/>
    </row>
    <row r="5157">
      <c r="A5157" s="33"/>
      <c r="B5157" s="33"/>
      <c r="C5157" s="33"/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  <c r="Q5157" s="33"/>
      <c r="R5157" s="33"/>
      <c r="S5157" s="33"/>
      <c r="T5157" s="33"/>
      <c r="U5157" s="33"/>
      <c r="V5157" s="33"/>
      <c r="W5157" s="33"/>
      <c r="X5157" s="33"/>
      <c r="Y5157" s="33"/>
      <c r="Z5157" s="33"/>
      <c r="AA5157" s="33"/>
      <c r="AB5157" s="33"/>
      <c r="AC5157" s="33"/>
      <c r="AD5157" s="33"/>
      <c r="AE5157" s="33"/>
      <c r="AF5157" s="33"/>
      <c r="AG5157" s="33"/>
      <c r="AH5157" s="33"/>
      <c r="AI5157" s="33"/>
      <c r="AJ5157" s="33"/>
      <c r="AK5157" s="33"/>
    </row>
    <row r="5158">
      <c r="A5158" s="33"/>
      <c r="B5158" s="33"/>
      <c r="C5158" s="33"/>
      <c r="D5158" s="33"/>
      <c r="E5158" s="33"/>
      <c r="F5158" s="33"/>
      <c r="G5158" s="33"/>
      <c r="H5158" s="33"/>
      <c r="I5158" s="33"/>
      <c r="J5158" s="33"/>
      <c r="K5158" s="33"/>
      <c r="L5158" s="33"/>
      <c r="M5158" s="33"/>
      <c r="N5158" s="33"/>
      <c r="O5158" s="33"/>
      <c r="P5158" s="33"/>
      <c r="Q5158" s="33"/>
      <c r="R5158" s="33"/>
      <c r="S5158" s="33"/>
      <c r="T5158" s="33"/>
      <c r="U5158" s="33"/>
      <c r="V5158" s="33"/>
      <c r="W5158" s="33"/>
      <c r="X5158" s="33"/>
      <c r="Y5158" s="33"/>
      <c r="Z5158" s="33"/>
      <c r="AA5158" s="33"/>
      <c r="AB5158" s="33"/>
      <c r="AC5158" s="33"/>
      <c r="AD5158" s="33"/>
      <c r="AE5158" s="33"/>
      <c r="AF5158" s="33"/>
      <c r="AG5158" s="33"/>
      <c r="AH5158" s="33"/>
      <c r="AI5158" s="33"/>
      <c r="AJ5158" s="33"/>
      <c r="AK5158" s="33"/>
    </row>
    <row r="5159">
      <c r="A5159" s="33"/>
      <c r="B5159" s="33"/>
      <c r="C5159" s="33"/>
      <c r="D5159" s="33"/>
      <c r="E5159" s="33"/>
      <c r="F5159" s="33"/>
      <c r="G5159" s="33"/>
      <c r="H5159" s="33"/>
      <c r="I5159" s="33"/>
      <c r="J5159" s="33"/>
      <c r="K5159" s="33"/>
      <c r="L5159" s="33"/>
      <c r="M5159" s="33"/>
      <c r="N5159" s="33"/>
      <c r="O5159" s="33"/>
      <c r="P5159" s="33"/>
      <c r="Q5159" s="33"/>
      <c r="R5159" s="33"/>
      <c r="S5159" s="33"/>
      <c r="T5159" s="33"/>
      <c r="U5159" s="33"/>
      <c r="V5159" s="33"/>
      <c r="W5159" s="33"/>
      <c r="X5159" s="33"/>
      <c r="Y5159" s="33"/>
      <c r="Z5159" s="33"/>
      <c r="AA5159" s="33"/>
      <c r="AB5159" s="33"/>
      <c r="AC5159" s="33"/>
      <c r="AD5159" s="33"/>
      <c r="AE5159" s="33"/>
      <c r="AF5159" s="33"/>
      <c r="AG5159" s="33"/>
      <c r="AH5159" s="33"/>
      <c r="AI5159" s="33"/>
      <c r="AJ5159" s="33"/>
      <c r="AK5159" s="33"/>
    </row>
    <row r="5160">
      <c r="A5160" s="33"/>
      <c r="B5160" s="33"/>
      <c r="C5160" s="33"/>
      <c r="D5160" s="33"/>
      <c r="E5160" s="33"/>
      <c r="F5160" s="33"/>
      <c r="G5160" s="33"/>
      <c r="H5160" s="33"/>
      <c r="I5160" s="33"/>
      <c r="J5160" s="33"/>
      <c r="K5160" s="33"/>
      <c r="L5160" s="33"/>
      <c r="M5160" s="33"/>
      <c r="N5160" s="33"/>
      <c r="O5160" s="33"/>
      <c r="P5160" s="33"/>
      <c r="Q5160" s="33"/>
      <c r="R5160" s="33"/>
      <c r="S5160" s="33"/>
      <c r="T5160" s="33"/>
      <c r="U5160" s="33"/>
      <c r="V5160" s="33"/>
      <c r="W5160" s="33"/>
      <c r="X5160" s="33"/>
      <c r="Y5160" s="33"/>
      <c r="Z5160" s="33"/>
      <c r="AA5160" s="33"/>
      <c r="AB5160" s="33"/>
      <c r="AC5160" s="33"/>
      <c r="AD5160" s="33"/>
      <c r="AE5160" s="33"/>
      <c r="AF5160" s="33"/>
      <c r="AG5160" s="33"/>
      <c r="AH5160" s="33"/>
      <c r="AI5160" s="33"/>
      <c r="AJ5160" s="33"/>
      <c r="AK5160" s="33"/>
    </row>
    <row r="5161">
      <c r="A5161" s="33"/>
      <c r="B5161" s="33"/>
      <c r="C5161" s="33"/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  <c r="Q5161" s="33"/>
      <c r="R5161" s="33"/>
      <c r="S5161" s="33"/>
      <c r="T5161" s="33"/>
      <c r="U5161" s="33"/>
      <c r="V5161" s="33"/>
      <c r="W5161" s="33"/>
      <c r="X5161" s="33"/>
      <c r="Y5161" s="33"/>
      <c r="Z5161" s="33"/>
      <c r="AA5161" s="33"/>
      <c r="AB5161" s="33"/>
      <c r="AC5161" s="33"/>
      <c r="AD5161" s="33"/>
      <c r="AE5161" s="33"/>
      <c r="AF5161" s="33"/>
      <c r="AG5161" s="33"/>
      <c r="AH5161" s="33"/>
      <c r="AI5161" s="33"/>
      <c r="AJ5161" s="33"/>
      <c r="AK5161" s="33"/>
    </row>
    <row r="5162">
      <c r="A5162" s="33"/>
      <c r="B5162" s="33"/>
      <c r="C5162" s="33"/>
      <c r="D5162" s="33"/>
      <c r="E5162" s="33"/>
      <c r="F5162" s="33"/>
      <c r="G5162" s="33"/>
      <c r="H5162" s="33"/>
      <c r="I5162" s="33"/>
      <c r="J5162" s="33"/>
      <c r="K5162" s="33"/>
      <c r="L5162" s="33"/>
      <c r="M5162" s="33"/>
      <c r="N5162" s="33"/>
      <c r="O5162" s="33"/>
      <c r="P5162" s="33"/>
      <c r="Q5162" s="33"/>
      <c r="R5162" s="33"/>
      <c r="S5162" s="33"/>
      <c r="T5162" s="33"/>
      <c r="U5162" s="33"/>
      <c r="V5162" s="33"/>
      <c r="W5162" s="33"/>
      <c r="X5162" s="33"/>
      <c r="Y5162" s="33"/>
      <c r="Z5162" s="33"/>
      <c r="AA5162" s="33"/>
      <c r="AB5162" s="33"/>
      <c r="AC5162" s="33"/>
      <c r="AD5162" s="33"/>
      <c r="AE5162" s="33"/>
      <c r="AF5162" s="33"/>
      <c r="AG5162" s="33"/>
      <c r="AH5162" s="33"/>
      <c r="AI5162" s="33"/>
      <c r="AJ5162" s="33"/>
      <c r="AK5162" s="33"/>
    </row>
    <row r="5163">
      <c r="A5163" s="33"/>
      <c r="B5163" s="33"/>
      <c r="C5163" s="33"/>
      <c r="D5163" s="33"/>
      <c r="E5163" s="33"/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33"/>
      <c r="Q5163" s="33"/>
      <c r="R5163" s="33"/>
      <c r="S5163" s="33"/>
      <c r="T5163" s="33"/>
      <c r="U5163" s="33"/>
      <c r="V5163" s="33"/>
      <c r="W5163" s="33"/>
      <c r="X5163" s="33"/>
      <c r="Y5163" s="33"/>
      <c r="Z5163" s="33"/>
      <c r="AA5163" s="33"/>
      <c r="AB5163" s="33"/>
      <c r="AC5163" s="33"/>
      <c r="AD5163" s="33"/>
      <c r="AE5163" s="33"/>
      <c r="AF5163" s="33"/>
      <c r="AG5163" s="33"/>
      <c r="AH5163" s="33"/>
      <c r="AI5163" s="33"/>
      <c r="AJ5163" s="33"/>
      <c r="AK5163" s="33"/>
    </row>
    <row r="5164">
      <c r="A5164" s="33"/>
      <c r="B5164" s="33"/>
      <c r="C5164" s="33"/>
      <c r="D5164" s="33"/>
      <c r="E5164" s="33"/>
      <c r="F5164" s="33"/>
      <c r="G5164" s="33"/>
      <c r="H5164" s="33"/>
      <c r="I5164" s="33"/>
      <c r="J5164" s="33"/>
      <c r="K5164" s="33"/>
      <c r="L5164" s="33"/>
      <c r="M5164" s="33"/>
      <c r="N5164" s="33"/>
      <c r="O5164" s="33"/>
      <c r="P5164" s="33"/>
      <c r="Q5164" s="33"/>
      <c r="R5164" s="33"/>
      <c r="S5164" s="33"/>
      <c r="T5164" s="33"/>
      <c r="U5164" s="33"/>
      <c r="V5164" s="33"/>
      <c r="W5164" s="33"/>
      <c r="X5164" s="33"/>
      <c r="Y5164" s="33"/>
      <c r="Z5164" s="33"/>
      <c r="AA5164" s="33"/>
      <c r="AB5164" s="33"/>
      <c r="AC5164" s="33"/>
      <c r="AD5164" s="33"/>
      <c r="AE5164" s="33"/>
      <c r="AF5164" s="33"/>
      <c r="AG5164" s="33"/>
      <c r="AH5164" s="33"/>
      <c r="AI5164" s="33"/>
      <c r="AJ5164" s="33"/>
      <c r="AK5164" s="33"/>
    </row>
    <row r="5165">
      <c r="A5165" s="33"/>
      <c r="B5165" s="33"/>
      <c r="C5165" s="33"/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  <c r="Q5165" s="33"/>
      <c r="R5165" s="33"/>
      <c r="S5165" s="33"/>
      <c r="T5165" s="33"/>
      <c r="U5165" s="33"/>
      <c r="V5165" s="33"/>
      <c r="W5165" s="33"/>
      <c r="X5165" s="33"/>
      <c r="Y5165" s="33"/>
      <c r="Z5165" s="33"/>
      <c r="AA5165" s="33"/>
      <c r="AB5165" s="33"/>
      <c r="AC5165" s="33"/>
      <c r="AD5165" s="33"/>
      <c r="AE5165" s="33"/>
      <c r="AF5165" s="33"/>
      <c r="AG5165" s="33"/>
      <c r="AH5165" s="33"/>
      <c r="AI5165" s="33"/>
      <c r="AJ5165" s="33"/>
      <c r="AK5165" s="33"/>
    </row>
    <row r="5166">
      <c r="A5166" s="33"/>
      <c r="B5166" s="33"/>
      <c r="C5166" s="33"/>
      <c r="D5166" s="33"/>
      <c r="E5166" s="33"/>
      <c r="F5166" s="33"/>
      <c r="G5166" s="33"/>
      <c r="H5166" s="33"/>
      <c r="I5166" s="33"/>
      <c r="J5166" s="33"/>
      <c r="K5166" s="33"/>
      <c r="L5166" s="33"/>
      <c r="M5166" s="33"/>
      <c r="N5166" s="33"/>
      <c r="O5166" s="33"/>
      <c r="P5166" s="33"/>
      <c r="Q5166" s="33"/>
      <c r="R5166" s="33"/>
      <c r="S5166" s="33"/>
      <c r="T5166" s="33"/>
      <c r="U5166" s="33"/>
      <c r="V5166" s="33"/>
      <c r="W5166" s="33"/>
      <c r="X5166" s="33"/>
      <c r="Y5166" s="33"/>
      <c r="Z5166" s="33"/>
      <c r="AA5166" s="33"/>
      <c r="AB5166" s="33"/>
      <c r="AC5166" s="33"/>
      <c r="AD5166" s="33"/>
      <c r="AE5166" s="33"/>
      <c r="AF5166" s="33"/>
      <c r="AG5166" s="33"/>
      <c r="AH5166" s="33"/>
      <c r="AI5166" s="33"/>
      <c r="AJ5166" s="33"/>
      <c r="AK5166" s="33"/>
    </row>
    <row r="5167">
      <c r="A5167" s="33"/>
      <c r="B5167" s="33"/>
      <c r="C5167" s="33"/>
      <c r="D5167" s="33"/>
      <c r="E5167" s="33"/>
      <c r="F5167" s="33"/>
      <c r="G5167" s="33"/>
      <c r="H5167" s="33"/>
      <c r="I5167" s="33"/>
      <c r="J5167" s="33"/>
      <c r="K5167" s="33"/>
      <c r="L5167" s="33"/>
      <c r="M5167" s="33"/>
      <c r="N5167" s="33"/>
      <c r="O5167" s="33"/>
      <c r="P5167" s="33"/>
      <c r="Q5167" s="33"/>
      <c r="R5167" s="33"/>
      <c r="S5167" s="33"/>
      <c r="T5167" s="33"/>
      <c r="U5167" s="33"/>
      <c r="V5167" s="33"/>
      <c r="W5167" s="33"/>
      <c r="X5167" s="33"/>
      <c r="Y5167" s="33"/>
      <c r="Z5167" s="33"/>
      <c r="AA5167" s="33"/>
      <c r="AB5167" s="33"/>
      <c r="AC5167" s="33"/>
      <c r="AD5167" s="33"/>
      <c r="AE5167" s="33"/>
      <c r="AF5167" s="33"/>
      <c r="AG5167" s="33"/>
      <c r="AH5167" s="33"/>
      <c r="AI5167" s="33"/>
      <c r="AJ5167" s="33"/>
      <c r="AK5167" s="33"/>
    </row>
    <row r="5168">
      <c r="A5168" s="33"/>
      <c r="B5168" s="33"/>
      <c r="C5168" s="33"/>
      <c r="D5168" s="33"/>
      <c r="E5168" s="33"/>
      <c r="F5168" s="33"/>
      <c r="G5168" s="33"/>
      <c r="H5168" s="33"/>
      <c r="I5168" s="33"/>
      <c r="J5168" s="33"/>
      <c r="K5168" s="33"/>
      <c r="L5168" s="33"/>
      <c r="M5168" s="33"/>
      <c r="N5168" s="33"/>
      <c r="O5168" s="33"/>
      <c r="P5168" s="33"/>
      <c r="Q5168" s="33"/>
      <c r="R5168" s="33"/>
      <c r="S5168" s="33"/>
      <c r="T5168" s="33"/>
      <c r="U5168" s="33"/>
      <c r="V5168" s="33"/>
      <c r="W5168" s="33"/>
      <c r="X5168" s="33"/>
      <c r="Y5168" s="33"/>
      <c r="Z5168" s="33"/>
      <c r="AA5168" s="33"/>
      <c r="AB5168" s="33"/>
      <c r="AC5168" s="33"/>
      <c r="AD5168" s="33"/>
      <c r="AE5168" s="33"/>
      <c r="AF5168" s="33"/>
      <c r="AG5168" s="33"/>
      <c r="AH5168" s="33"/>
      <c r="AI5168" s="33"/>
      <c r="AJ5168" s="33"/>
      <c r="AK5168" s="33"/>
    </row>
    <row r="5169">
      <c r="A5169" s="33"/>
      <c r="B5169" s="33"/>
      <c r="C5169" s="33"/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  <c r="Q5169" s="33"/>
      <c r="R5169" s="33"/>
      <c r="S5169" s="33"/>
      <c r="T5169" s="33"/>
      <c r="U5169" s="33"/>
      <c r="V5169" s="33"/>
      <c r="W5169" s="33"/>
      <c r="X5169" s="33"/>
      <c r="Y5169" s="33"/>
      <c r="Z5169" s="33"/>
      <c r="AA5169" s="33"/>
      <c r="AB5169" s="33"/>
      <c r="AC5169" s="33"/>
      <c r="AD5169" s="33"/>
      <c r="AE5169" s="33"/>
      <c r="AF5169" s="33"/>
      <c r="AG5169" s="33"/>
      <c r="AH5169" s="33"/>
      <c r="AI5169" s="33"/>
      <c r="AJ5169" s="33"/>
      <c r="AK5169" s="33"/>
    </row>
    <row r="5170">
      <c r="A5170" s="33"/>
      <c r="B5170" s="33"/>
      <c r="C5170" s="33"/>
      <c r="D5170" s="33"/>
      <c r="E5170" s="33"/>
      <c r="F5170" s="33"/>
      <c r="G5170" s="33"/>
      <c r="H5170" s="33"/>
      <c r="I5170" s="33"/>
      <c r="J5170" s="33"/>
      <c r="K5170" s="33"/>
      <c r="L5170" s="33"/>
      <c r="M5170" s="33"/>
      <c r="N5170" s="33"/>
      <c r="O5170" s="33"/>
      <c r="P5170" s="33"/>
      <c r="Q5170" s="33"/>
      <c r="R5170" s="33"/>
      <c r="S5170" s="33"/>
      <c r="T5170" s="33"/>
      <c r="U5170" s="33"/>
      <c r="V5170" s="33"/>
      <c r="W5170" s="33"/>
      <c r="X5170" s="33"/>
      <c r="Y5170" s="33"/>
      <c r="Z5170" s="33"/>
      <c r="AA5170" s="33"/>
      <c r="AB5170" s="33"/>
      <c r="AC5170" s="33"/>
      <c r="AD5170" s="33"/>
      <c r="AE5170" s="33"/>
      <c r="AF5170" s="33"/>
      <c r="AG5170" s="33"/>
      <c r="AH5170" s="33"/>
      <c r="AI5170" s="33"/>
      <c r="AJ5170" s="33"/>
      <c r="AK5170" s="33"/>
    </row>
    <row r="5171">
      <c r="A5171" s="33"/>
      <c r="B5171" s="33"/>
      <c r="C5171" s="33"/>
      <c r="D5171" s="33"/>
      <c r="E5171" s="33"/>
      <c r="F5171" s="33"/>
      <c r="G5171" s="33"/>
      <c r="H5171" s="33"/>
      <c r="I5171" s="33"/>
      <c r="J5171" s="33"/>
      <c r="K5171" s="33"/>
      <c r="L5171" s="33"/>
      <c r="M5171" s="33"/>
      <c r="N5171" s="33"/>
      <c r="O5171" s="33"/>
      <c r="P5171" s="33"/>
      <c r="Q5171" s="33"/>
      <c r="R5171" s="33"/>
      <c r="S5171" s="33"/>
      <c r="T5171" s="33"/>
      <c r="U5171" s="33"/>
      <c r="V5171" s="33"/>
      <c r="W5171" s="33"/>
      <c r="X5171" s="33"/>
      <c r="Y5171" s="33"/>
      <c r="Z5171" s="33"/>
      <c r="AA5171" s="33"/>
      <c r="AB5171" s="33"/>
      <c r="AC5171" s="33"/>
      <c r="AD5171" s="33"/>
      <c r="AE5171" s="33"/>
      <c r="AF5171" s="33"/>
      <c r="AG5171" s="33"/>
      <c r="AH5171" s="33"/>
      <c r="AI5171" s="33"/>
      <c r="AJ5171" s="33"/>
      <c r="AK5171" s="33"/>
    </row>
    <row r="5172">
      <c r="A5172" s="33"/>
      <c r="B5172" s="33"/>
      <c r="C5172" s="33"/>
      <c r="D5172" s="33"/>
      <c r="E5172" s="33"/>
      <c r="F5172" s="33"/>
      <c r="G5172" s="33"/>
      <c r="H5172" s="33"/>
      <c r="I5172" s="33"/>
      <c r="J5172" s="33"/>
      <c r="K5172" s="33"/>
      <c r="L5172" s="33"/>
      <c r="M5172" s="33"/>
      <c r="N5172" s="33"/>
      <c r="O5172" s="33"/>
      <c r="P5172" s="33"/>
      <c r="Q5172" s="33"/>
      <c r="R5172" s="33"/>
      <c r="S5172" s="33"/>
      <c r="T5172" s="33"/>
      <c r="U5172" s="33"/>
      <c r="V5172" s="33"/>
      <c r="W5172" s="33"/>
      <c r="X5172" s="33"/>
      <c r="Y5172" s="33"/>
      <c r="Z5172" s="33"/>
      <c r="AA5172" s="33"/>
      <c r="AB5172" s="33"/>
      <c r="AC5172" s="33"/>
      <c r="AD5172" s="33"/>
      <c r="AE5172" s="33"/>
      <c r="AF5172" s="33"/>
      <c r="AG5172" s="33"/>
      <c r="AH5172" s="33"/>
      <c r="AI5172" s="33"/>
      <c r="AJ5172" s="33"/>
      <c r="AK5172" s="33"/>
    </row>
    <row r="5173">
      <c r="A5173" s="33"/>
      <c r="B5173" s="33"/>
      <c r="C5173" s="33"/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  <c r="Q5173" s="33"/>
      <c r="R5173" s="33"/>
      <c r="S5173" s="33"/>
      <c r="T5173" s="33"/>
      <c r="U5173" s="33"/>
      <c r="V5173" s="33"/>
      <c r="W5173" s="33"/>
      <c r="X5173" s="33"/>
      <c r="Y5173" s="33"/>
      <c r="Z5173" s="33"/>
      <c r="AA5173" s="33"/>
      <c r="AB5173" s="33"/>
      <c r="AC5173" s="33"/>
      <c r="AD5173" s="33"/>
      <c r="AE5173" s="33"/>
      <c r="AF5173" s="33"/>
      <c r="AG5173" s="33"/>
      <c r="AH5173" s="33"/>
      <c r="AI5173" s="33"/>
      <c r="AJ5173" s="33"/>
      <c r="AK5173" s="33"/>
    </row>
    <row r="5174">
      <c r="A5174" s="33"/>
      <c r="B5174" s="33"/>
      <c r="C5174" s="33"/>
      <c r="D5174" s="33"/>
      <c r="E5174" s="33"/>
      <c r="F5174" s="33"/>
      <c r="G5174" s="33"/>
      <c r="H5174" s="33"/>
      <c r="I5174" s="33"/>
      <c r="J5174" s="33"/>
      <c r="K5174" s="33"/>
      <c r="L5174" s="33"/>
      <c r="M5174" s="33"/>
      <c r="N5174" s="33"/>
      <c r="O5174" s="33"/>
      <c r="P5174" s="33"/>
      <c r="Q5174" s="33"/>
      <c r="R5174" s="33"/>
      <c r="S5174" s="33"/>
      <c r="T5174" s="33"/>
      <c r="U5174" s="33"/>
      <c r="V5174" s="33"/>
      <c r="W5174" s="33"/>
      <c r="X5174" s="33"/>
      <c r="Y5174" s="33"/>
      <c r="Z5174" s="33"/>
      <c r="AA5174" s="33"/>
      <c r="AB5174" s="33"/>
      <c r="AC5174" s="33"/>
      <c r="AD5174" s="33"/>
      <c r="AE5174" s="33"/>
      <c r="AF5174" s="33"/>
      <c r="AG5174" s="33"/>
      <c r="AH5174" s="33"/>
      <c r="AI5174" s="33"/>
      <c r="AJ5174" s="33"/>
      <c r="AK5174" s="33"/>
    </row>
    <row r="5175">
      <c r="A5175" s="33"/>
      <c r="B5175" s="33"/>
      <c r="C5175" s="33"/>
      <c r="D5175" s="33"/>
      <c r="E5175" s="33"/>
      <c r="F5175" s="33"/>
      <c r="G5175" s="33"/>
      <c r="H5175" s="33"/>
      <c r="I5175" s="33"/>
      <c r="J5175" s="33"/>
      <c r="K5175" s="33"/>
      <c r="L5175" s="33"/>
      <c r="M5175" s="33"/>
      <c r="N5175" s="33"/>
      <c r="O5175" s="33"/>
      <c r="P5175" s="33"/>
      <c r="Q5175" s="33"/>
      <c r="R5175" s="33"/>
      <c r="S5175" s="33"/>
      <c r="T5175" s="33"/>
      <c r="U5175" s="33"/>
      <c r="V5175" s="33"/>
      <c r="W5175" s="33"/>
      <c r="X5175" s="33"/>
      <c r="Y5175" s="33"/>
      <c r="Z5175" s="33"/>
      <c r="AA5175" s="33"/>
      <c r="AB5175" s="33"/>
      <c r="AC5175" s="33"/>
      <c r="AD5175" s="33"/>
      <c r="AE5175" s="33"/>
      <c r="AF5175" s="33"/>
      <c r="AG5175" s="33"/>
      <c r="AH5175" s="33"/>
      <c r="AI5175" s="33"/>
      <c r="AJ5175" s="33"/>
      <c r="AK5175" s="33"/>
    </row>
    <row r="5176">
      <c r="A5176" s="33"/>
      <c r="B5176" s="33"/>
      <c r="C5176" s="33"/>
      <c r="D5176" s="33"/>
      <c r="E5176" s="33"/>
      <c r="F5176" s="33"/>
      <c r="G5176" s="33"/>
      <c r="H5176" s="33"/>
      <c r="I5176" s="33"/>
      <c r="J5176" s="33"/>
      <c r="K5176" s="33"/>
      <c r="L5176" s="33"/>
      <c r="M5176" s="33"/>
      <c r="N5176" s="33"/>
      <c r="O5176" s="33"/>
      <c r="P5176" s="33"/>
      <c r="Q5176" s="33"/>
      <c r="R5176" s="33"/>
      <c r="S5176" s="33"/>
      <c r="T5176" s="33"/>
      <c r="U5176" s="33"/>
      <c r="V5176" s="33"/>
      <c r="W5176" s="33"/>
      <c r="X5176" s="33"/>
      <c r="Y5176" s="33"/>
      <c r="Z5176" s="33"/>
      <c r="AA5176" s="33"/>
      <c r="AB5176" s="33"/>
      <c r="AC5176" s="33"/>
      <c r="AD5176" s="33"/>
      <c r="AE5176" s="33"/>
      <c r="AF5176" s="33"/>
      <c r="AG5176" s="33"/>
      <c r="AH5176" s="33"/>
      <c r="AI5176" s="33"/>
      <c r="AJ5176" s="33"/>
      <c r="AK5176" s="33"/>
    </row>
    <row r="5177">
      <c r="A5177" s="33"/>
      <c r="B5177" s="33"/>
      <c r="C5177" s="33"/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  <c r="Q5177" s="33"/>
      <c r="R5177" s="33"/>
      <c r="S5177" s="33"/>
      <c r="T5177" s="33"/>
      <c r="U5177" s="33"/>
      <c r="V5177" s="33"/>
      <c r="W5177" s="33"/>
      <c r="X5177" s="33"/>
      <c r="Y5177" s="33"/>
      <c r="Z5177" s="33"/>
      <c r="AA5177" s="33"/>
      <c r="AB5177" s="33"/>
      <c r="AC5177" s="33"/>
      <c r="AD5177" s="33"/>
      <c r="AE5177" s="33"/>
      <c r="AF5177" s="33"/>
      <c r="AG5177" s="33"/>
      <c r="AH5177" s="33"/>
      <c r="AI5177" s="33"/>
      <c r="AJ5177" s="33"/>
      <c r="AK5177" s="33"/>
    </row>
    <row r="5178">
      <c r="A5178" s="33"/>
      <c r="B5178" s="33"/>
      <c r="C5178" s="33"/>
      <c r="D5178" s="33"/>
      <c r="E5178" s="33"/>
      <c r="F5178" s="33"/>
      <c r="G5178" s="33"/>
      <c r="H5178" s="33"/>
      <c r="I5178" s="33"/>
      <c r="J5178" s="33"/>
      <c r="K5178" s="33"/>
      <c r="L5178" s="33"/>
      <c r="M5178" s="33"/>
      <c r="N5178" s="33"/>
      <c r="O5178" s="33"/>
      <c r="P5178" s="33"/>
      <c r="Q5178" s="33"/>
      <c r="R5178" s="33"/>
      <c r="S5178" s="33"/>
      <c r="T5178" s="33"/>
      <c r="U5178" s="33"/>
      <c r="V5178" s="33"/>
      <c r="W5178" s="33"/>
      <c r="X5178" s="33"/>
      <c r="Y5178" s="33"/>
      <c r="Z5178" s="33"/>
      <c r="AA5178" s="33"/>
      <c r="AB5178" s="33"/>
      <c r="AC5178" s="33"/>
      <c r="AD5178" s="33"/>
      <c r="AE5178" s="33"/>
      <c r="AF5178" s="33"/>
      <c r="AG5178" s="33"/>
      <c r="AH5178" s="33"/>
      <c r="AI5178" s="33"/>
      <c r="AJ5178" s="33"/>
      <c r="AK5178" s="33"/>
    </row>
    <row r="5179">
      <c r="A5179" s="33"/>
      <c r="B5179" s="33"/>
      <c r="C5179" s="33"/>
      <c r="D5179" s="33"/>
      <c r="E5179" s="33"/>
      <c r="F5179" s="33"/>
      <c r="G5179" s="33"/>
      <c r="H5179" s="33"/>
      <c r="I5179" s="33"/>
      <c r="J5179" s="33"/>
      <c r="K5179" s="33"/>
      <c r="L5179" s="33"/>
      <c r="M5179" s="33"/>
      <c r="N5179" s="33"/>
      <c r="O5179" s="33"/>
      <c r="P5179" s="33"/>
      <c r="Q5179" s="33"/>
      <c r="R5179" s="33"/>
      <c r="S5179" s="33"/>
      <c r="T5179" s="33"/>
      <c r="U5179" s="33"/>
      <c r="V5179" s="33"/>
      <c r="W5179" s="33"/>
      <c r="X5179" s="33"/>
      <c r="Y5179" s="33"/>
      <c r="Z5179" s="33"/>
      <c r="AA5179" s="33"/>
      <c r="AB5179" s="33"/>
      <c r="AC5179" s="33"/>
      <c r="AD5179" s="33"/>
      <c r="AE5179" s="33"/>
      <c r="AF5179" s="33"/>
      <c r="AG5179" s="33"/>
      <c r="AH5179" s="33"/>
      <c r="AI5179" s="33"/>
      <c r="AJ5179" s="33"/>
      <c r="AK5179" s="33"/>
    </row>
    <row r="5180">
      <c r="A5180" s="33"/>
      <c r="B5180" s="33"/>
      <c r="C5180" s="33"/>
      <c r="D5180" s="33"/>
      <c r="E5180" s="33"/>
      <c r="F5180" s="33"/>
      <c r="G5180" s="33"/>
      <c r="H5180" s="33"/>
      <c r="I5180" s="33"/>
      <c r="J5180" s="33"/>
      <c r="K5180" s="33"/>
      <c r="L5180" s="33"/>
      <c r="M5180" s="33"/>
      <c r="N5180" s="33"/>
      <c r="O5180" s="33"/>
      <c r="P5180" s="33"/>
      <c r="Q5180" s="33"/>
      <c r="R5180" s="33"/>
      <c r="S5180" s="33"/>
      <c r="T5180" s="33"/>
      <c r="U5180" s="33"/>
      <c r="V5180" s="33"/>
      <c r="W5180" s="33"/>
      <c r="X5180" s="33"/>
      <c r="Y5180" s="33"/>
      <c r="Z5180" s="33"/>
      <c r="AA5180" s="33"/>
      <c r="AB5180" s="33"/>
      <c r="AC5180" s="33"/>
      <c r="AD5180" s="33"/>
      <c r="AE5180" s="33"/>
      <c r="AF5180" s="33"/>
      <c r="AG5180" s="33"/>
      <c r="AH5180" s="33"/>
      <c r="AI5180" s="33"/>
      <c r="AJ5180" s="33"/>
      <c r="AK5180" s="33"/>
    </row>
    <row r="5181">
      <c r="A5181" s="33"/>
      <c r="B5181" s="33"/>
      <c r="C5181" s="33"/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  <c r="Q5181" s="33"/>
      <c r="R5181" s="33"/>
      <c r="S5181" s="33"/>
      <c r="T5181" s="33"/>
      <c r="U5181" s="33"/>
      <c r="V5181" s="33"/>
      <c r="W5181" s="33"/>
      <c r="X5181" s="33"/>
      <c r="Y5181" s="33"/>
      <c r="Z5181" s="33"/>
      <c r="AA5181" s="33"/>
      <c r="AB5181" s="33"/>
      <c r="AC5181" s="33"/>
      <c r="AD5181" s="33"/>
      <c r="AE5181" s="33"/>
      <c r="AF5181" s="33"/>
      <c r="AG5181" s="33"/>
      <c r="AH5181" s="33"/>
      <c r="AI5181" s="33"/>
      <c r="AJ5181" s="33"/>
      <c r="AK5181" s="33"/>
    </row>
    <row r="5182">
      <c r="A5182" s="33"/>
      <c r="B5182" s="33"/>
      <c r="C5182" s="33"/>
      <c r="D5182" s="33"/>
      <c r="E5182" s="33"/>
      <c r="F5182" s="33"/>
      <c r="G5182" s="33"/>
      <c r="H5182" s="33"/>
      <c r="I5182" s="33"/>
      <c r="J5182" s="33"/>
      <c r="K5182" s="33"/>
      <c r="L5182" s="33"/>
      <c r="M5182" s="33"/>
      <c r="N5182" s="33"/>
      <c r="O5182" s="33"/>
      <c r="P5182" s="33"/>
      <c r="Q5182" s="33"/>
      <c r="R5182" s="33"/>
      <c r="S5182" s="33"/>
      <c r="T5182" s="33"/>
      <c r="U5182" s="33"/>
      <c r="V5182" s="33"/>
      <c r="W5182" s="33"/>
      <c r="X5182" s="33"/>
      <c r="Y5182" s="33"/>
      <c r="Z5182" s="33"/>
      <c r="AA5182" s="33"/>
      <c r="AB5182" s="33"/>
      <c r="AC5182" s="33"/>
      <c r="AD5182" s="33"/>
      <c r="AE5182" s="33"/>
      <c r="AF5182" s="33"/>
      <c r="AG5182" s="33"/>
      <c r="AH5182" s="33"/>
      <c r="AI5182" s="33"/>
      <c r="AJ5182" s="33"/>
      <c r="AK5182" s="33"/>
    </row>
    <row r="5183">
      <c r="A5183" s="33"/>
      <c r="B5183" s="33"/>
      <c r="C5183" s="33"/>
      <c r="D5183" s="33"/>
      <c r="E5183" s="33"/>
      <c r="F5183" s="33"/>
      <c r="G5183" s="33"/>
      <c r="H5183" s="33"/>
      <c r="I5183" s="33"/>
      <c r="J5183" s="33"/>
      <c r="K5183" s="33"/>
      <c r="L5183" s="33"/>
      <c r="M5183" s="33"/>
      <c r="N5183" s="33"/>
      <c r="O5183" s="33"/>
      <c r="P5183" s="33"/>
      <c r="Q5183" s="33"/>
      <c r="R5183" s="33"/>
      <c r="S5183" s="33"/>
      <c r="T5183" s="33"/>
      <c r="U5183" s="33"/>
      <c r="V5183" s="33"/>
      <c r="W5183" s="33"/>
      <c r="X5183" s="33"/>
      <c r="Y5183" s="33"/>
      <c r="Z5183" s="33"/>
      <c r="AA5183" s="33"/>
      <c r="AB5183" s="33"/>
      <c r="AC5183" s="33"/>
      <c r="AD5183" s="33"/>
      <c r="AE5183" s="33"/>
      <c r="AF5183" s="33"/>
      <c r="AG5183" s="33"/>
      <c r="AH5183" s="33"/>
      <c r="AI5183" s="33"/>
      <c r="AJ5183" s="33"/>
      <c r="AK5183" s="33"/>
    </row>
    <row r="5184">
      <c r="A5184" s="33"/>
      <c r="B5184" s="33"/>
      <c r="C5184" s="33"/>
      <c r="D5184" s="33"/>
      <c r="E5184" s="33"/>
      <c r="F5184" s="33"/>
      <c r="G5184" s="33"/>
      <c r="H5184" s="33"/>
      <c r="I5184" s="33"/>
      <c r="J5184" s="33"/>
      <c r="K5184" s="33"/>
      <c r="L5184" s="33"/>
      <c r="M5184" s="33"/>
      <c r="N5184" s="33"/>
      <c r="O5184" s="33"/>
      <c r="P5184" s="33"/>
      <c r="Q5184" s="33"/>
      <c r="R5184" s="33"/>
      <c r="S5184" s="33"/>
      <c r="T5184" s="33"/>
      <c r="U5184" s="33"/>
      <c r="V5184" s="33"/>
      <c r="W5184" s="33"/>
      <c r="X5184" s="33"/>
      <c r="Y5184" s="33"/>
      <c r="Z5184" s="33"/>
      <c r="AA5184" s="33"/>
      <c r="AB5184" s="33"/>
      <c r="AC5184" s="33"/>
      <c r="AD5184" s="33"/>
      <c r="AE5184" s="33"/>
      <c r="AF5184" s="33"/>
      <c r="AG5184" s="33"/>
      <c r="AH5184" s="33"/>
      <c r="AI5184" s="33"/>
      <c r="AJ5184" s="33"/>
      <c r="AK5184" s="33"/>
    </row>
    <row r="5185">
      <c r="A5185" s="33"/>
      <c r="B5185" s="33"/>
      <c r="C5185" s="33"/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  <c r="Q5185" s="33"/>
      <c r="R5185" s="33"/>
      <c r="S5185" s="33"/>
      <c r="T5185" s="33"/>
      <c r="U5185" s="33"/>
      <c r="V5185" s="33"/>
      <c r="W5185" s="33"/>
      <c r="X5185" s="33"/>
      <c r="Y5185" s="33"/>
      <c r="Z5185" s="33"/>
      <c r="AA5185" s="33"/>
      <c r="AB5185" s="33"/>
      <c r="AC5185" s="33"/>
      <c r="AD5185" s="33"/>
      <c r="AE5185" s="33"/>
      <c r="AF5185" s="33"/>
      <c r="AG5185" s="33"/>
      <c r="AH5185" s="33"/>
      <c r="AI5185" s="33"/>
      <c r="AJ5185" s="33"/>
      <c r="AK5185" s="33"/>
    </row>
    <row r="5186">
      <c r="A5186" s="33"/>
      <c r="B5186" s="33"/>
      <c r="C5186" s="33"/>
      <c r="D5186" s="33"/>
      <c r="E5186" s="33"/>
      <c r="F5186" s="33"/>
      <c r="G5186" s="33"/>
      <c r="H5186" s="33"/>
      <c r="I5186" s="33"/>
      <c r="J5186" s="33"/>
      <c r="K5186" s="33"/>
      <c r="L5186" s="33"/>
      <c r="M5186" s="33"/>
      <c r="N5186" s="33"/>
      <c r="O5186" s="33"/>
      <c r="P5186" s="33"/>
      <c r="Q5186" s="33"/>
      <c r="R5186" s="33"/>
      <c r="S5186" s="33"/>
      <c r="T5186" s="33"/>
      <c r="U5186" s="33"/>
      <c r="V5186" s="33"/>
      <c r="W5186" s="33"/>
      <c r="X5186" s="33"/>
      <c r="Y5186" s="33"/>
      <c r="Z5186" s="33"/>
      <c r="AA5186" s="33"/>
      <c r="AB5186" s="33"/>
      <c r="AC5186" s="33"/>
      <c r="AD5186" s="33"/>
      <c r="AE5186" s="33"/>
      <c r="AF5186" s="33"/>
      <c r="AG5186" s="33"/>
      <c r="AH5186" s="33"/>
      <c r="AI5186" s="33"/>
      <c r="AJ5186" s="33"/>
      <c r="AK5186" s="33"/>
    </row>
    <row r="5187">
      <c r="A5187" s="33"/>
      <c r="B5187" s="33"/>
      <c r="C5187" s="33"/>
      <c r="D5187" s="33"/>
      <c r="E5187" s="33"/>
      <c r="F5187" s="33"/>
      <c r="G5187" s="33"/>
      <c r="H5187" s="33"/>
      <c r="I5187" s="33"/>
      <c r="J5187" s="33"/>
      <c r="K5187" s="33"/>
      <c r="L5187" s="33"/>
      <c r="M5187" s="33"/>
      <c r="N5187" s="33"/>
      <c r="O5187" s="33"/>
      <c r="P5187" s="33"/>
      <c r="Q5187" s="33"/>
      <c r="R5187" s="33"/>
      <c r="S5187" s="33"/>
      <c r="T5187" s="33"/>
      <c r="U5187" s="33"/>
      <c r="V5187" s="33"/>
      <c r="W5187" s="33"/>
      <c r="X5187" s="33"/>
      <c r="Y5187" s="33"/>
      <c r="Z5187" s="33"/>
      <c r="AA5187" s="33"/>
      <c r="AB5187" s="33"/>
      <c r="AC5187" s="33"/>
      <c r="AD5187" s="33"/>
      <c r="AE5187" s="33"/>
      <c r="AF5187" s="33"/>
      <c r="AG5187" s="33"/>
      <c r="AH5187" s="33"/>
      <c r="AI5187" s="33"/>
      <c r="AJ5187" s="33"/>
      <c r="AK5187" s="33"/>
    </row>
    <row r="5188">
      <c r="A5188" s="33"/>
      <c r="B5188" s="33"/>
      <c r="C5188" s="33"/>
      <c r="D5188" s="33"/>
      <c r="E5188" s="33"/>
      <c r="F5188" s="33"/>
      <c r="G5188" s="33"/>
      <c r="H5188" s="33"/>
      <c r="I5188" s="33"/>
      <c r="J5188" s="33"/>
      <c r="K5188" s="33"/>
      <c r="L5188" s="33"/>
      <c r="M5188" s="33"/>
      <c r="N5188" s="33"/>
      <c r="O5188" s="33"/>
      <c r="P5188" s="33"/>
      <c r="Q5188" s="33"/>
      <c r="R5188" s="33"/>
      <c r="S5188" s="33"/>
      <c r="T5188" s="33"/>
      <c r="U5188" s="33"/>
      <c r="V5188" s="33"/>
      <c r="W5188" s="33"/>
      <c r="X5188" s="33"/>
      <c r="Y5188" s="33"/>
      <c r="Z5188" s="33"/>
      <c r="AA5188" s="33"/>
      <c r="AB5188" s="33"/>
      <c r="AC5188" s="33"/>
      <c r="AD5188" s="33"/>
      <c r="AE5188" s="33"/>
      <c r="AF5188" s="33"/>
      <c r="AG5188" s="33"/>
      <c r="AH5188" s="33"/>
      <c r="AI5188" s="33"/>
      <c r="AJ5188" s="33"/>
      <c r="AK5188" s="33"/>
    </row>
    <row r="5189">
      <c r="A5189" s="33"/>
      <c r="B5189" s="33"/>
      <c r="C5189" s="33"/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  <c r="Q5189" s="33"/>
      <c r="R5189" s="33"/>
      <c r="S5189" s="33"/>
      <c r="T5189" s="33"/>
      <c r="U5189" s="33"/>
      <c r="V5189" s="33"/>
      <c r="W5189" s="33"/>
      <c r="X5189" s="33"/>
      <c r="Y5189" s="33"/>
      <c r="Z5189" s="33"/>
      <c r="AA5189" s="33"/>
      <c r="AB5189" s="33"/>
      <c r="AC5189" s="33"/>
      <c r="AD5189" s="33"/>
      <c r="AE5189" s="33"/>
      <c r="AF5189" s="33"/>
      <c r="AG5189" s="33"/>
      <c r="AH5189" s="33"/>
      <c r="AI5189" s="33"/>
      <c r="AJ5189" s="33"/>
      <c r="AK5189" s="33"/>
    </row>
    <row r="5190">
      <c r="A5190" s="33"/>
      <c r="B5190" s="33"/>
      <c r="C5190" s="33"/>
      <c r="D5190" s="33"/>
      <c r="E5190" s="33"/>
      <c r="F5190" s="33"/>
      <c r="G5190" s="33"/>
      <c r="H5190" s="33"/>
      <c r="I5190" s="33"/>
      <c r="J5190" s="33"/>
      <c r="K5190" s="33"/>
      <c r="L5190" s="33"/>
      <c r="M5190" s="33"/>
      <c r="N5190" s="33"/>
      <c r="O5190" s="33"/>
      <c r="P5190" s="33"/>
      <c r="Q5190" s="33"/>
      <c r="R5190" s="33"/>
      <c r="S5190" s="33"/>
      <c r="T5190" s="33"/>
      <c r="U5190" s="33"/>
      <c r="V5190" s="33"/>
      <c r="W5190" s="33"/>
      <c r="X5190" s="33"/>
      <c r="Y5190" s="33"/>
      <c r="Z5190" s="33"/>
      <c r="AA5190" s="33"/>
      <c r="AB5190" s="33"/>
      <c r="AC5190" s="33"/>
      <c r="AD5190" s="33"/>
      <c r="AE5190" s="33"/>
      <c r="AF5190" s="33"/>
      <c r="AG5190" s="33"/>
      <c r="AH5190" s="33"/>
      <c r="AI5190" s="33"/>
      <c r="AJ5190" s="33"/>
      <c r="AK5190" s="33"/>
    </row>
    <row r="5191">
      <c r="A5191" s="33"/>
      <c r="B5191" s="33"/>
      <c r="C5191" s="33"/>
      <c r="D5191" s="33"/>
      <c r="E5191" s="33"/>
      <c r="F5191" s="33"/>
      <c r="G5191" s="33"/>
      <c r="H5191" s="33"/>
      <c r="I5191" s="33"/>
      <c r="J5191" s="33"/>
      <c r="K5191" s="33"/>
      <c r="L5191" s="33"/>
      <c r="M5191" s="33"/>
      <c r="N5191" s="33"/>
      <c r="O5191" s="33"/>
      <c r="P5191" s="33"/>
      <c r="Q5191" s="33"/>
      <c r="R5191" s="33"/>
      <c r="S5191" s="33"/>
      <c r="T5191" s="33"/>
      <c r="U5191" s="33"/>
      <c r="V5191" s="33"/>
      <c r="W5191" s="33"/>
      <c r="X5191" s="33"/>
      <c r="Y5191" s="33"/>
      <c r="Z5191" s="33"/>
      <c r="AA5191" s="33"/>
      <c r="AB5191" s="33"/>
      <c r="AC5191" s="33"/>
      <c r="AD5191" s="33"/>
      <c r="AE5191" s="33"/>
      <c r="AF5191" s="33"/>
      <c r="AG5191" s="33"/>
      <c r="AH5191" s="33"/>
      <c r="AI5191" s="33"/>
      <c r="AJ5191" s="33"/>
      <c r="AK5191" s="33"/>
    </row>
    <row r="5192">
      <c r="A5192" s="33"/>
      <c r="B5192" s="33"/>
      <c r="C5192" s="33"/>
      <c r="D5192" s="33"/>
      <c r="E5192" s="33"/>
      <c r="F5192" s="33"/>
      <c r="G5192" s="33"/>
      <c r="H5192" s="33"/>
      <c r="I5192" s="33"/>
      <c r="J5192" s="33"/>
      <c r="K5192" s="33"/>
      <c r="L5192" s="33"/>
      <c r="M5192" s="33"/>
      <c r="N5192" s="33"/>
      <c r="O5192" s="33"/>
      <c r="P5192" s="33"/>
      <c r="Q5192" s="33"/>
      <c r="R5192" s="33"/>
      <c r="S5192" s="33"/>
      <c r="T5192" s="33"/>
      <c r="U5192" s="33"/>
      <c r="V5192" s="33"/>
      <c r="W5192" s="33"/>
      <c r="X5192" s="33"/>
      <c r="Y5192" s="33"/>
      <c r="Z5192" s="33"/>
      <c r="AA5192" s="33"/>
      <c r="AB5192" s="33"/>
      <c r="AC5192" s="33"/>
      <c r="AD5192" s="33"/>
      <c r="AE5192" s="33"/>
      <c r="AF5192" s="33"/>
      <c r="AG5192" s="33"/>
      <c r="AH5192" s="33"/>
      <c r="AI5192" s="33"/>
      <c r="AJ5192" s="33"/>
      <c r="AK5192" s="33"/>
    </row>
    <row r="5193">
      <c r="A5193" s="33"/>
      <c r="B5193" s="33"/>
      <c r="C5193" s="33"/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  <c r="R5193" s="33"/>
      <c r="S5193" s="33"/>
      <c r="T5193" s="33"/>
      <c r="U5193" s="33"/>
      <c r="V5193" s="33"/>
      <c r="W5193" s="33"/>
      <c r="X5193" s="33"/>
      <c r="Y5193" s="33"/>
      <c r="Z5193" s="33"/>
      <c r="AA5193" s="33"/>
      <c r="AB5193" s="33"/>
      <c r="AC5193" s="33"/>
      <c r="AD5193" s="33"/>
      <c r="AE5193" s="33"/>
      <c r="AF5193" s="33"/>
      <c r="AG5193" s="33"/>
      <c r="AH5193" s="33"/>
      <c r="AI5193" s="33"/>
      <c r="AJ5193" s="33"/>
      <c r="AK5193" s="33"/>
    </row>
    <row r="5194">
      <c r="A5194" s="33"/>
      <c r="B5194" s="33"/>
      <c r="C5194" s="33"/>
      <c r="D5194" s="33"/>
      <c r="E5194" s="33"/>
      <c r="F5194" s="33"/>
      <c r="G5194" s="33"/>
      <c r="H5194" s="33"/>
      <c r="I5194" s="33"/>
      <c r="J5194" s="33"/>
      <c r="K5194" s="33"/>
      <c r="L5194" s="33"/>
      <c r="M5194" s="33"/>
      <c r="N5194" s="33"/>
      <c r="O5194" s="33"/>
      <c r="P5194" s="33"/>
      <c r="Q5194" s="33"/>
      <c r="R5194" s="33"/>
      <c r="S5194" s="33"/>
      <c r="T5194" s="33"/>
      <c r="U5194" s="33"/>
      <c r="V5194" s="33"/>
      <c r="W5194" s="33"/>
      <c r="X5194" s="33"/>
      <c r="Y5194" s="33"/>
      <c r="Z5194" s="33"/>
      <c r="AA5194" s="33"/>
      <c r="AB5194" s="33"/>
      <c r="AC5194" s="33"/>
      <c r="AD5194" s="33"/>
      <c r="AE5194" s="33"/>
      <c r="AF5194" s="33"/>
      <c r="AG5194" s="33"/>
      <c r="AH5194" s="33"/>
      <c r="AI5194" s="33"/>
      <c r="AJ5194" s="33"/>
      <c r="AK5194" s="33"/>
    </row>
    <row r="5195">
      <c r="A5195" s="33"/>
      <c r="B5195" s="33"/>
      <c r="C5195" s="33"/>
      <c r="D5195" s="33"/>
      <c r="E5195" s="33"/>
      <c r="F5195" s="33"/>
      <c r="G5195" s="33"/>
      <c r="H5195" s="33"/>
      <c r="I5195" s="33"/>
      <c r="J5195" s="33"/>
      <c r="K5195" s="33"/>
      <c r="L5195" s="33"/>
      <c r="M5195" s="33"/>
      <c r="N5195" s="33"/>
      <c r="O5195" s="33"/>
      <c r="P5195" s="33"/>
      <c r="Q5195" s="33"/>
      <c r="R5195" s="33"/>
      <c r="S5195" s="33"/>
      <c r="T5195" s="33"/>
      <c r="U5195" s="33"/>
      <c r="V5195" s="33"/>
      <c r="W5195" s="33"/>
      <c r="X5195" s="33"/>
      <c r="Y5195" s="33"/>
      <c r="Z5195" s="33"/>
      <c r="AA5195" s="33"/>
      <c r="AB5195" s="33"/>
      <c r="AC5195" s="33"/>
      <c r="AD5195" s="33"/>
      <c r="AE5195" s="33"/>
      <c r="AF5195" s="33"/>
      <c r="AG5195" s="33"/>
      <c r="AH5195" s="33"/>
      <c r="AI5195" s="33"/>
      <c r="AJ5195" s="33"/>
      <c r="AK5195" s="33"/>
    </row>
    <row r="5196">
      <c r="A5196" s="33"/>
      <c r="B5196" s="33"/>
      <c r="C5196" s="33"/>
      <c r="D5196" s="33"/>
      <c r="E5196" s="33"/>
      <c r="F5196" s="33"/>
      <c r="G5196" s="33"/>
      <c r="H5196" s="33"/>
      <c r="I5196" s="33"/>
      <c r="J5196" s="33"/>
      <c r="K5196" s="33"/>
      <c r="L5196" s="33"/>
      <c r="M5196" s="33"/>
      <c r="N5196" s="33"/>
      <c r="O5196" s="33"/>
      <c r="P5196" s="33"/>
      <c r="Q5196" s="33"/>
      <c r="R5196" s="33"/>
      <c r="S5196" s="33"/>
      <c r="T5196" s="33"/>
      <c r="U5196" s="33"/>
      <c r="V5196" s="33"/>
      <c r="W5196" s="33"/>
      <c r="X5196" s="33"/>
      <c r="Y5196" s="33"/>
      <c r="Z5196" s="33"/>
      <c r="AA5196" s="33"/>
      <c r="AB5196" s="33"/>
      <c r="AC5196" s="33"/>
      <c r="AD5196" s="33"/>
      <c r="AE5196" s="33"/>
      <c r="AF5196" s="33"/>
      <c r="AG5196" s="33"/>
      <c r="AH5196" s="33"/>
      <c r="AI5196" s="33"/>
      <c r="AJ5196" s="33"/>
      <c r="AK5196" s="33"/>
    </row>
    <row r="5197">
      <c r="A5197" s="33"/>
      <c r="B5197" s="33"/>
      <c r="C5197" s="33"/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  <c r="Q5197" s="33"/>
      <c r="R5197" s="33"/>
      <c r="S5197" s="33"/>
      <c r="T5197" s="33"/>
      <c r="U5197" s="33"/>
      <c r="V5197" s="33"/>
      <c r="W5197" s="33"/>
      <c r="X5197" s="33"/>
      <c r="Y5197" s="33"/>
      <c r="Z5197" s="33"/>
      <c r="AA5197" s="33"/>
      <c r="AB5197" s="33"/>
      <c r="AC5197" s="33"/>
      <c r="AD5197" s="33"/>
      <c r="AE5197" s="33"/>
      <c r="AF5197" s="33"/>
      <c r="AG5197" s="33"/>
      <c r="AH5197" s="33"/>
      <c r="AI5197" s="33"/>
      <c r="AJ5197" s="33"/>
      <c r="AK5197" s="33"/>
    </row>
    <row r="5198">
      <c r="A5198" s="33"/>
      <c r="B5198" s="33"/>
      <c r="C5198" s="33"/>
      <c r="D5198" s="33"/>
      <c r="E5198" s="33"/>
      <c r="F5198" s="33"/>
      <c r="G5198" s="33"/>
      <c r="H5198" s="33"/>
      <c r="I5198" s="33"/>
      <c r="J5198" s="33"/>
      <c r="K5198" s="33"/>
      <c r="L5198" s="33"/>
      <c r="M5198" s="33"/>
      <c r="N5198" s="33"/>
      <c r="O5198" s="33"/>
      <c r="P5198" s="33"/>
      <c r="Q5198" s="33"/>
      <c r="R5198" s="33"/>
      <c r="S5198" s="33"/>
      <c r="T5198" s="33"/>
      <c r="U5198" s="33"/>
      <c r="V5198" s="33"/>
      <c r="W5198" s="33"/>
      <c r="X5198" s="33"/>
      <c r="Y5198" s="33"/>
      <c r="Z5198" s="33"/>
      <c r="AA5198" s="33"/>
      <c r="AB5198" s="33"/>
      <c r="AC5198" s="33"/>
      <c r="AD5198" s="33"/>
      <c r="AE5198" s="33"/>
      <c r="AF5198" s="33"/>
      <c r="AG5198" s="33"/>
      <c r="AH5198" s="33"/>
      <c r="AI5198" s="33"/>
      <c r="AJ5198" s="33"/>
      <c r="AK5198" s="33"/>
    </row>
    <row r="5199">
      <c r="A5199" s="33"/>
      <c r="B5199" s="33"/>
      <c r="C5199" s="33"/>
      <c r="D5199" s="33"/>
      <c r="E5199" s="33"/>
      <c r="F5199" s="33"/>
      <c r="G5199" s="33"/>
      <c r="H5199" s="33"/>
      <c r="I5199" s="33"/>
      <c r="J5199" s="33"/>
      <c r="K5199" s="33"/>
      <c r="L5199" s="33"/>
      <c r="M5199" s="33"/>
      <c r="N5199" s="33"/>
      <c r="O5199" s="33"/>
      <c r="P5199" s="33"/>
      <c r="Q5199" s="33"/>
      <c r="R5199" s="33"/>
      <c r="S5199" s="33"/>
      <c r="T5199" s="33"/>
      <c r="U5199" s="33"/>
      <c r="V5199" s="33"/>
      <c r="W5199" s="33"/>
      <c r="X5199" s="33"/>
      <c r="Y5199" s="33"/>
      <c r="Z5199" s="33"/>
      <c r="AA5199" s="33"/>
      <c r="AB5199" s="33"/>
      <c r="AC5199" s="33"/>
      <c r="AD5199" s="33"/>
      <c r="AE5199" s="33"/>
      <c r="AF5199" s="33"/>
      <c r="AG5199" s="33"/>
      <c r="AH5199" s="33"/>
      <c r="AI5199" s="33"/>
      <c r="AJ5199" s="33"/>
      <c r="AK5199" s="33"/>
    </row>
    <row r="5200">
      <c r="A5200" s="33"/>
      <c r="B5200" s="33"/>
      <c r="C5200" s="33"/>
      <c r="D5200" s="33"/>
      <c r="E5200" s="33"/>
      <c r="F5200" s="33"/>
      <c r="G5200" s="33"/>
      <c r="H5200" s="33"/>
      <c r="I5200" s="33"/>
      <c r="J5200" s="33"/>
      <c r="K5200" s="33"/>
      <c r="L5200" s="33"/>
      <c r="M5200" s="33"/>
      <c r="N5200" s="33"/>
      <c r="O5200" s="33"/>
      <c r="P5200" s="33"/>
      <c r="Q5200" s="33"/>
      <c r="R5200" s="33"/>
      <c r="S5200" s="33"/>
      <c r="T5200" s="33"/>
      <c r="U5200" s="33"/>
      <c r="V5200" s="33"/>
      <c r="W5200" s="33"/>
      <c r="X5200" s="33"/>
      <c r="Y5200" s="33"/>
      <c r="Z5200" s="33"/>
      <c r="AA5200" s="33"/>
      <c r="AB5200" s="33"/>
      <c r="AC5200" s="33"/>
      <c r="AD5200" s="33"/>
      <c r="AE5200" s="33"/>
      <c r="AF5200" s="33"/>
      <c r="AG5200" s="33"/>
      <c r="AH5200" s="33"/>
      <c r="AI5200" s="33"/>
      <c r="AJ5200" s="33"/>
      <c r="AK5200" s="33"/>
    </row>
    <row r="5201">
      <c r="A5201" s="33"/>
      <c r="B5201" s="33"/>
      <c r="C5201" s="33"/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  <c r="Q5201" s="33"/>
      <c r="R5201" s="33"/>
      <c r="S5201" s="33"/>
      <c r="T5201" s="33"/>
      <c r="U5201" s="33"/>
      <c r="V5201" s="33"/>
      <c r="W5201" s="33"/>
      <c r="X5201" s="33"/>
      <c r="Y5201" s="33"/>
      <c r="Z5201" s="33"/>
      <c r="AA5201" s="33"/>
      <c r="AB5201" s="33"/>
      <c r="AC5201" s="33"/>
      <c r="AD5201" s="33"/>
      <c r="AE5201" s="33"/>
      <c r="AF5201" s="33"/>
      <c r="AG5201" s="33"/>
      <c r="AH5201" s="33"/>
      <c r="AI5201" s="33"/>
      <c r="AJ5201" s="33"/>
      <c r="AK5201" s="33"/>
    </row>
    <row r="5202">
      <c r="A5202" s="33"/>
      <c r="B5202" s="33"/>
      <c r="C5202" s="33"/>
      <c r="D5202" s="33"/>
      <c r="E5202" s="33"/>
      <c r="F5202" s="33"/>
      <c r="G5202" s="33"/>
      <c r="H5202" s="33"/>
      <c r="I5202" s="33"/>
      <c r="J5202" s="33"/>
      <c r="K5202" s="33"/>
      <c r="L5202" s="33"/>
      <c r="M5202" s="33"/>
      <c r="N5202" s="33"/>
      <c r="O5202" s="33"/>
      <c r="P5202" s="33"/>
      <c r="Q5202" s="33"/>
      <c r="R5202" s="33"/>
      <c r="S5202" s="33"/>
      <c r="T5202" s="33"/>
      <c r="U5202" s="33"/>
      <c r="V5202" s="33"/>
      <c r="W5202" s="33"/>
      <c r="X5202" s="33"/>
      <c r="Y5202" s="33"/>
      <c r="Z5202" s="33"/>
      <c r="AA5202" s="33"/>
      <c r="AB5202" s="33"/>
      <c r="AC5202" s="33"/>
      <c r="AD5202" s="33"/>
      <c r="AE5202" s="33"/>
      <c r="AF5202" s="33"/>
      <c r="AG5202" s="33"/>
      <c r="AH5202" s="33"/>
      <c r="AI5202" s="33"/>
      <c r="AJ5202" s="33"/>
      <c r="AK5202" s="33"/>
    </row>
    <row r="5203">
      <c r="A5203" s="33"/>
      <c r="B5203" s="33"/>
      <c r="C5203" s="33"/>
      <c r="D5203" s="33"/>
      <c r="E5203" s="33"/>
      <c r="F5203" s="33"/>
      <c r="G5203" s="33"/>
      <c r="H5203" s="33"/>
      <c r="I5203" s="33"/>
      <c r="J5203" s="33"/>
      <c r="K5203" s="33"/>
      <c r="L5203" s="33"/>
      <c r="M5203" s="33"/>
      <c r="N5203" s="33"/>
      <c r="O5203" s="33"/>
      <c r="P5203" s="33"/>
      <c r="Q5203" s="33"/>
      <c r="R5203" s="33"/>
      <c r="S5203" s="33"/>
      <c r="T5203" s="33"/>
      <c r="U5203" s="33"/>
      <c r="V5203" s="33"/>
      <c r="W5203" s="33"/>
      <c r="X5203" s="33"/>
      <c r="Y5203" s="33"/>
      <c r="Z5203" s="33"/>
      <c r="AA5203" s="33"/>
      <c r="AB5203" s="33"/>
      <c r="AC5203" s="33"/>
      <c r="AD5203" s="33"/>
      <c r="AE5203" s="33"/>
      <c r="AF5203" s="33"/>
      <c r="AG5203" s="33"/>
      <c r="AH5203" s="33"/>
      <c r="AI5203" s="33"/>
      <c r="AJ5203" s="33"/>
      <c r="AK5203" s="33"/>
    </row>
    <row r="5204">
      <c r="A5204" s="33"/>
      <c r="B5204" s="33"/>
      <c r="C5204" s="33"/>
      <c r="D5204" s="33"/>
      <c r="E5204" s="33"/>
      <c r="F5204" s="33"/>
      <c r="G5204" s="33"/>
      <c r="H5204" s="33"/>
      <c r="I5204" s="33"/>
      <c r="J5204" s="33"/>
      <c r="K5204" s="33"/>
      <c r="L5204" s="33"/>
      <c r="M5204" s="33"/>
      <c r="N5204" s="33"/>
      <c r="O5204" s="33"/>
      <c r="P5204" s="33"/>
      <c r="Q5204" s="33"/>
      <c r="R5204" s="33"/>
      <c r="S5204" s="33"/>
      <c r="T5204" s="33"/>
      <c r="U5204" s="33"/>
      <c r="V5204" s="33"/>
      <c r="W5204" s="33"/>
      <c r="X5204" s="33"/>
      <c r="Y5204" s="33"/>
      <c r="Z5204" s="33"/>
      <c r="AA5204" s="33"/>
      <c r="AB5204" s="33"/>
      <c r="AC5204" s="33"/>
      <c r="AD5204" s="33"/>
      <c r="AE5204" s="33"/>
      <c r="AF5204" s="33"/>
      <c r="AG5204" s="33"/>
      <c r="AH5204" s="33"/>
      <c r="AI5204" s="33"/>
      <c r="AJ5204" s="33"/>
      <c r="AK5204" s="33"/>
    </row>
    <row r="5205">
      <c r="A5205" s="33"/>
      <c r="B5205" s="33"/>
      <c r="C5205" s="33"/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  <c r="Q5205" s="33"/>
      <c r="R5205" s="33"/>
      <c r="S5205" s="33"/>
      <c r="T5205" s="33"/>
      <c r="U5205" s="33"/>
      <c r="V5205" s="33"/>
      <c r="W5205" s="33"/>
      <c r="X5205" s="33"/>
      <c r="Y5205" s="33"/>
      <c r="Z5205" s="33"/>
      <c r="AA5205" s="33"/>
      <c r="AB5205" s="33"/>
      <c r="AC5205" s="33"/>
      <c r="AD5205" s="33"/>
      <c r="AE5205" s="33"/>
      <c r="AF5205" s="33"/>
      <c r="AG5205" s="33"/>
      <c r="AH5205" s="33"/>
      <c r="AI5205" s="33"/>
      <c r="AJ5205" s="33"/>
      <c r="AK5205" s="33"/>
    </row>
    <row r="5206">
      <c r="A5206" s="33"/>
      <c r="B5206" s="33"/>
      <c r="C5206" s="33"/>
      <c r="D5206" s="33"/>
      <c r="E5206" s="33"/>
      <c r="F5206" s="33"/>
      <c r="G5206" s="33"/>
      <c r="H5206" s="33"/>
      <c r="I5206" s="33"/>
      <c r="J5206" s="33"/>
      <c r="K5206" s="33"/>
      <c r="L5206" s="33"/>
      <c r="M5206" s="33"/>
      <c r="N5206" s="33"/>
      <c r="O5206" s="33"/>
      <c r="P5206" s="33"/>
      <c r="Q5206" s="33"/>
      <c r="R5206" s="33"/>
      <c r="S5206" s="33"/>
      <c r="T5206" s="33"/>
      <c r="U5206" s="33"/>
      <c r="V5206" s="33"/>
      <c r="W5206" s="33"/>
      <c r="X5206" s="33"/>
      <c r="Y5206" s="33"/>
      <c r="Z5206" s="33"/>
      <c r="AA5206" s="33"/>
      <c r="AB5206" s="33"/>
      <c r="AC5206" s="33"/>
      <c r="AD5206" s="33"/>
      <c r="AE5206" s="33"/>
      <c r="AF5206" s="33"/>
      <c r="AG5206" s="33"/>
      <c r="AH5206" s="33"/>
      <c r="AI5206" s="33"/>
      <c r="AJ5206" s="33"/>
      <c r="AK5206" s="33"/>
    </row>
    <row r="5207">
      <c r="A5207" s="33"/>
      <c r="B5207" s="33"/>
      <c r="C5207" s="33"/>
      <c r="D5207" s="33"/>
      <c r="E5207" s="33"/>
      <c r="F5207" s="33"/>
      <c r="G5207" s="33"/>
      <c r="H5207" s="33"/>
      <c r="I5207" s="33"/>
      <c r="J5207" s="33"/>
      <c r="K5207" s="33"/>
      <c r="L5207" s="33"/>
      <c r="M5207" s="33"/>
      <c r="N5207" s="33"/>
      <c r="O5207" s="33"/>
      <c r="P5207" s="33"/>
      <c r="Q5207" s="33"/>
      <c r="R5207" s="33"/>
      <c r="S5207" s="33"/>
      <c r="T5207" s="33"/>
      <c r="U5207" s="33"/>
      <c r="V5207" s="33"/>
      <c r="W5207" s="33"/>
      <c r="X5207" s="33"/>
      <c r="Y5207" s="33"/>
      <c r="Z5207" s="33"/>
      <c r="AA5207" s="33"/>
      <c r="AB5207" s="33"/>
      <c r="AC5207" s="33"/>
      <c r="AD5207" s="33"/>
      <c r="AE5207" s="33"/>
      <c r="AF5207" s="33"/>
      <c r="AG5207" s="33"/>
      <c r="AH5207" s="33"/>
      <c r="AI5207" s="33"/>
      <c r="AJ5207" s="33"/>
      <c r="AK5207" s="33"/>
    </row>
    <row r="5208">
      <c r="A5208" s="33"/>
      <c r="B5208" s="33"/>
      <c r="C5208" s="33"/>
      <c r="D5208" s="33"/>
      <c r="E5208" s="33"/>
      <c r="F5208" s="33"/>
      <c r="G5208" s="33"/>
      <c r="H5208" s="33"/>
      <c r="I5208" s="33"/>
      <c r="J5208" s="33"/>
      <c r="K5208" s="33"/>
      <c r="L5208" s="33"/>
      <c r="M5208" s="33"/>
      <c r="N5208" s="33"/>
      <c r="O5208" s="33"/>
      <c r="P5208" s="33"/>
      <c r="Q5208" s="33"/>
      <c r="R5208" s="33"/>
      <c r="S5208" s="33"/>
      <c r="T5208" s="33"/>
      <c r="U5208" s="33"/>
      <c r="V5208" s="33"/>
      <c r="W5208" s="33"/>
      <c r="X5208" s="33"/>
      <c r="Y5208" s="33"/>
      <c r="Z5208" s="33"/>
      <c r="AA5208" s="33"/>
      <c r="AB5208" s="33"/>
      <c r="AC5208" s="33"/>
      <c r="AD5208" s="33"/>
      <c r="AE5208" s="33"/>
      <c r="AF5208" s="33"/>
      <c r="AG5208" s="33"/>
      <c r="AH5208" s="33"/>
      <c r="AI5208" s="33"/>
      <c r="AJ5208" s="33"/>
      <c r="AK5208" s="33"/>
    </row>
    <row r="5209">
      <c r="A5209" s="33"/>
      <c r="B5209" s="33"/>
      <c r="C5209" s="33"/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  <c r="Q5209" s="33"/>
      <c r="R5209" s="33"/>
      <c r="S5209" s="33"/>
      <c r="T5209" s="33"/>
      <c r="U5209" s="33"/>
      <c r="V5209" s="33"/>
      <c r="W5209" s="33"/>
      <c r="X5209" s="33"/>
      <c r="Y5209" s="33"/>
      <c r="Z5209" s="33"/>
      <c r="AA5209" s="33"/>
      <c r="AB5209" s="33"/>
      <c r="AC5209" s="33"/>
      <c r="AD5209" s="33"/>
      <c r="AE5209" s="33"/>
      <c r="AF5209" s="33"/>
      <c r="AG5209" s="33"/>
      <c r="AH5209" s="33"/>
      <c r="AI5209" s="33"/>
      <c r="AJ5209" s="33"/>
      <c r="AK5209" s="33"/>
    </row>
    <row r="5210">
      <c r="A5210" s="33"/>
      <c r="B5210" s="33"/>
      <c r="C5210" s="33"/>
      <c r="D5210" s="33"/>
      <c r="E5210" s="33"/>
      <c r="F5210" s="33"/>
      <c r="G5210" s="33"/>
      <c r="H5210" s="33"/>
      <c r="I5210" s="33"/>
      <c r="J5210" s="33"/>
      <c r="K5210" s="33"/>
      <c r="L5210" s="33"/>
      <c r="M5210" s="33"/>
      <c r="N5210" s="33"/>
      <c r="O5210" s="33"/>
      <c r="P5210" s="33"/>
      <c r="Q5210" s="33"/>
      <c r="R5210" s="33"/>
      <c r="S5210" s="33"/>
      <c r="T5210" s="33"/>
      <c r="U5210" s="33"/>
      <c r="V5210" s="33"/>
      <c r="W5210" s="33"/>
      <c r="X5210" s="33"/>
      <c r="Y5210" s="33"/>
      <c r="Z5210" s="33"/>
      <c r="AA5210" s="33"/>
      <c r="AB5210" s="33"/>
      <c r="AC5210" s="33"/>
      <c r="AD5210" s="33"/>
      <c r="AE5210" s="33"/>
      <c r="AF5210" s="33"/>
      <c r="AG5210" s="33"/>
      <c r="AH5210" s="33"/>
      <c r="AI5210" s="33"/>
      <c r="AJ5210" s="33"/>
      <c r="AK5210" s="33"/>
    </row>
    <row r="5211">
      <c r="A5211" s="33"/>
      <c r="B5211" s="33"/>
      <c r="C5211" s="33"/>
      <c r="D5211" s="33"/>
      <c r="E5211" s="33"/>
      <c r="F5211" s="33"/>
      <c r="G5211" s="33"/>
      <c r="H5211" s="33"/>
      <c r="I5211" s="33"/>
      <c r="J5211" s="33"/>
      <c r="K5211" s="33"/>
      <c r="L5211" s="33"/>
      <c r="M5211" s="33"/>
      <c r="N5211" s="33"/>
      <c r="O5211" s="33"/>
      <c r="P5211" s="33"/>
      <c r="Q5211" s="33"/>
      <c r="R5211" s="33"/>
      <c r="S5211" s="33"/>
      <c r="T5211" s="33"/>
      <c r="U5211" s="33"/>
      <c r="V5211" s="33"/>
      <c r="W5211" s="33"/>
      <c r="X5211" s="33"/>
      <c r="Y5211" s="33"/>
      <c r="Z5211" s="33"/>
      <c r="AA5211" s="33"/>
      <c r="AB5211" s="33"/>
      <c r="AC5211" s="33"/>
      <c r="AD5211" s="33"/>
      <c r="AE5211" s="33"/>
      <c r="AF5211" s="33"/>
      <c r="AG5211" s="33"/>
      <c r="AH5211" s="33"/>
      <c r="AI5211" s="33"/>
      <c r="AJ5211" s="33"/>
      <c r="AK5211" s="33"/>
    </row>
    <row r="5212">
      <c r="A5212" s="33"/>
      <c r="B5212" s="33"/>
      <c r="C5212" s="33"/>
      <c r="D5212" s="33"/>
      <c r="E5212" s="33"/>
      <c r="F5212" s="33"/>
      <c r="G5212" s="33"/>
      <c r="H5212" s="33"/>
      <c r="I5212" s="33"/>
      <c r="J5212" s="33"/>
      <c r="K5212" s="33"/>
      <c r="L5212" s="33"/>
      <c r="M5212" s="33"/>
      <c r="N5212" s="33"/>
      <c r="O5212" s="33"/>
      <c r="P5212" s="33"/>
      <c r="Q5212" s="33"/>
      <c r="R5212" s="33"/>
      <c r="S5212" s="33"/>
      <c r="T5212" s="33"/>
      <c r="U5212" s="33"/>
      <c r="V5212" s="33"/>
      <c r="W5212" s="33"/>
      <c r="X5212" s="33"/>
      <c r="Y5212" s="33"/>
      <c r="Z5212" s="33"/>
      <c r="AA5212" s="33"/>
      <c r="AB5212" s="33"/>
      <c r="AC5212" s="33"/>
      <c r="AD5212" s="33"/>
      <c r="AE5212" s="33"/>
      <c r="AF5212" s="33"/>
      <c r="AG5212" s="33"/>
      <c r="AH5212" s="33"/>
      <c r="AI5212" s="33"/>
      <c r="AJ5212" s="33"/>
      <c r="AK5212" s="33"/>
    </row>
    <row r="5213">
      <c r="A5213" s="33"/>
      <c r="B5213" s="33"/>
      <c r="C5213" s="33"/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  <c r="Q5213" s="33"/>
      <c r="R5213" s="33"/>
      <c r="S5213" s="33"/>
      <c r="T5213" s="33"/>
      <c r="U5213" s="33"/>
      <c r="V5213" s="33"/>
      <c r="W5213" s="33"/>
      <c r="X5213" s="33"/>
      <c r="Y5213" s="33"/>
      <c r="Z5213" s="33"/>
      <c r="AA5213" s="33"/>
      <c r="AB5213" s="33"/>
      <c r="AC5213" s="33"/>
      <c r="AD5213" s="33"/>
      <c r="AE5213" s="33"/>
      <c r="AF5213" s="33"/>
      <c r="AG5213" s="33"/>
      <c r="AH5213" s="33"/>
      <c r="AI5213" s="33"/>
      <c r="AJ5213" s="33"/>
      <c r="AK5213" s="33"/>
    </row>
    <row r="5214">
      <c r="A5214" s="33"/>
      <c r="B5214" s="33"/>
      <c r="C5214" s="33"/>
      <c r="D5214" s="33"/>
      <c r="E5214" s="33"/>
      <c r="F5214" s="33"/>
      <c r="G5214" s="33"/>
      <c r="H5214" s="33"/>
      <c r="I5214" s="33"/>
      <c r="J5214" s="33"/>
      <c r="K5214" s="33"/>
      <c r="L5214" s="33"/>
      <c r="M5214" s="33"/>
      <c r="N5214" s="33"/>
      <c r="O5214" s="33"/>
      <c r="P5214" s="33"/>
      <c r="Q5214" s="33"/>
      <c r="R5214" s="33"/>
      <c r="S5214" s="33"/>
      <c r="T5214" s="33"/>
      <c r="U5214" s="33"/>
      <c r="V5214" s="33"/>
      <c r="W5214" s="33"/>
      <c r="X5214" s="33"/>
      <c r="Y5214" s="33"/>
      <c r="Z5214" s="33"/>
      <c r="AA5214" s="33"/>
      <c r="AB5214" s="33"/>
      <c r="AC5214" s="33"/>
      <c r="AD5214" s="33"/>
      <c r="AE5214" s="33"/>
      <c r="AF5214" s="33"/>
      <c r="AG5214" s="33"/>
      <c r="AH5214" s="33"/>
      <c r="AI5214" s="33"/>
      <c r="AJ5214" s="33"/>
      <c r="AK5214" s="33"/>
    </row>
    <row r="5215">
      <c r="A5215" s="33"/>
      <c r="B5215" s="33"/>
      <c r="C5215" s="33"/>
      <c r="D5215" s="33"/>
      <c r="E5215" s="33"/>
      <c r="F5215" s="33"/>
      <c r="G5215" s="33"/>
      <c r="H5215" s="33"/>
      <c r="I5215" s="33"/>
      <c r="J5215" s="33"/>
      <c r="K5215" s="33"/>
      <c r="L5215" s="33"/>
      <c r="M5215" s="33"/>
      <c r="N5215" s="33"/>
      <c r="O5215" s="33"/>
      <c r="P5215" s="33"/>
      <c r="Q5215" s="33"/>
      <c r="R5215" s="33"/>
      <c r="S5215" s="33"/>
      <c r="T5215" s="33"/>
      <c r="U5215" s="33"/>
      <c r="V5215" s="33"/>
      <c r="W5215" s="33"/>
      <c r="X5215" s="33"/>
      <c r="Y5215" s="33"/>
      <c r="Z5215" s="33"/>
      <c r="AA5215" s="33"/>
      <c r="AB5215" s="33"/>
      <c r="AC5215" s="33"/>
      <c r="AD5215" s="33"/>
      <c r="AE5215" s="33"/>
      <c r="AF5215" s="33"/>
      <c r="AG5215" s="33"/>
      <c r="AH5215" s="33"/>
      <c r="AI5215" s="33"/>
      <c r="AJ5215" s="33"/>
      <c r="AK5215" s="33"/>
    </row>
    <row r="5216">
      <c r="A5216" s="33"/>
      <c r="B5216" s="33"/>
      <c r="C5216" s="33"/>
      <c r="D5216" s="33"/>
      <c r="E5216" s="33"/>
      <c r="F5216" s="33"/>
      <c r="G5216" s="33"/>
      <c r="H5216" s="33"/>
      <c r="I5216" s="33"/>
      <c r="J5216" s="33"/>
      <c r="K5216" s="33"/>
      <c r="L5216" s="33"/>
      <c r="M5216" s="33"/>
      <c r="N5216" s="33"/>
      <c r="O5216" s="33"/>
      <c r="P5216" s="33"/>
      <c r="Q5216" s="33"/>
      <c r="R5216" s="33"/>
      <c r="S5216" s="33"/>
      <c r="T5216" s="33"/>
      <c r="U5216" s="33"/>
      <c r="V5216" s="33"/>
      <c r="W5216" s="33"/>
      <c r="X5216" s="33"/>
      <c r="Y5216" s="33"/>
      <c r="Z5216" s="33"/>
      <c r="AA5216" s="33"/>
      <c r="AB5216" s="33"/>
      <c r="AC5216" s="33"/>
      <c r="AD5216" s="33"/>
      <c r="AE5216" s="33"/>
      <c r="AF5216" s="33"/>
      <c r="AG5216" s="33"/>
      <c r="AH5216" s="33"/>
      <c r="AI5216" s="33"/>
      <c r="AJ5216" s="33"/>
      <c r="AK5216" s="33"/>
    </row>
    <row r="5217">
      <c r="A5217" s="33"/>
      <c r="B5217" s="33"/>
      <c r="C5217" s="33"/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  <c r="Q5217" s="33"/>
      <c r="R5217" s="33"/>
      <c r="S5217" s="33"/>
      <c r="T5217" s="33"/>
      <c r="U5217" s="33"/>
      <c r="V5217" s="33"/>
      <c r="W5217" s="33"/>
      <c r="X5217" s="33"/>
      <c r="Y5217" s="33"/>
      <c r="Z5217" s="33"/>
      <c r="AA5217" s="33"/>
      <c r="AB5217" s="33"/>
      <c r="AC5217" s="33"/>
      <c r="AD5217" s="33"/>
      <c r="AE5217" s="33"/>
      <c r="AF5217" s="33"/>
      <c r="AG5217" s="33"/>
      <c r="AH5217" s="33"/>
      <c r="AI5217" s="33"/>
      <c r="AJ5217" s="33"/>
      <c r="AK5217" s="33"/>
    </row>
    <row r="5218">
      <c r="A5218" s="33"/>
      <c r="B5218" s="33"/>
      <c r="C5218" s="33"/>
      <c r="D5218" s="33"/>
      <c r="E5218" s="33"/>
      <c r="F5218" s="33"/>
      <c r="G5218" s="33"/>
      <c r="H5218" s="33"/>
      <c r="I5218" s="33"/>
      <c r="J5218" s="33"/>
      <c r="K5218" s="33"/>
      <c r="L5218" s="33"/>
      <c r="M5218" s="33"/>
      <c r="N5218" s="33"/>
      <c r="O5218" s="33"/>
      <c r="P5218" s="33"/>
      <c r="Q5218" s="33"/>
      <c r="R5218" s="33"/>
      <c r="S5218" s="33"/>
      <c r="T5218" s="33"/>
      <c r="U5218" s="33"/>
      <c r="V5218" s="33"/>
      <c r="W5218" s="33"/>
      <c r="X5218" s="33"/>
      <c r="Y5218" s="33"/>
      <c r="Z5218" s="33"/>
      <c r="AA5218" s="33"/>
      <c r="AB5218" s="33"/>
      <c r="AC5218" s="33"/>
      <c r="AD5218" s="33"/>
      <c r="AE5218" s="33"/>
      <c r="AF5218" s="33"/>
      <c r="AG5218" s="33"/>
      <c r="AH5218" s="33"/>
      <c r="AI5218" s="33"/>
      <c r="AJ5218" s="33"/>
      <c r="AK5218" s="33"/>
    </row>
    <row r="5219">
      <c r="A5219" s="33"/>
      <c r="B5219" s="33"/>
      <c r="C5219" s="33"/>
      <c r="D5219" s="33"/>
      <c r="E5219" s="33"/>
      <c r="F5219" s="33"/>
      <c r="G5219" s="33"/>
      <c r="H5219" s="33"/>
      <c r="I5219" s="33"/>
      <c r="J5219" s="33"/>
      <c r="K5219" s="33"/>
      <c r="L5219" s="33"/>
      <c r="M5219" s="33"/>
      <c r="N5219" s="33"/>
      <c r="O5219" s="33"/>
      <c r="P5219" s="33"/>
      <c r="Q5219" s="33"/>
      <c r="R5219" s="33"/>
      <c r="S5219" s="33"/>
      <c r="T5219" s="33"/>
      <c r="U5219" s="33"/>
      <c r="V5219" s="33"/>
      <c r="W5219" s="33"/>
      <c r="X5219" s="33"/>
      <c r="Y5219" s="33"/>
      <c r="Z5219" s="33"/>
      <c r="AA5219" s="33"/>
      <c r="AB5219" s="33"/>
      <c r="AC5219" s="33"/>
      <c r="AD5219" s="33"/>
      <c r="AE5219" s="33"/>
      <c r="AF5219" s="33"/>
      <c r="AG5219" s="33"/>
      <c r="AH5219" s="33"/>
      <c r="AI5219" s="33"/>
      <c r="AJ5219" s="33"/>
      <c r="AK5219" s="33"/>
    </row>
    <row r="5220">
      <c r="A5220" s="33"/>
      <c r="B5220" s="33"/>
      <c r="C5220" s="33"/>
      <c r="D5220" s="33"/>
      <c r="E5220" s="33"/>
      <c r="F5220" s="33"/>
      <c r="G5220" s="33"/>
      <c r="H5220" s="33"/>
      <c r="I5220" s="33"/>
      <c r="J5220" s="33"/>
      <c r="K5220" s="33"/>
      <c r="L5220" s="33"/>
      <c r="M5220" s="33"/>
      <c r="N5220" s="33"/>
      <c r="O5220" s="33"/>
      <c r="P5220" s="33"/>
      <c r="Q5220" s="33"/>
      <c r="R5220" s="33"/>
      <c r="S5220" s="33"/>
      <c r="T5220" s="33"/>
      <c r="U5220" s="33"/>
      <c r="V5220" s="33"/>
      <c r="W5220" s="33"/>
      <c r="X5220" s="33"/>
      <c r="Y5220" s="33"/>
      <c r="Z5220" s="33"/>
      <c r="AA5220" s="33"/>
      <c r="AB5220" s="33"/>
      <c r="AC5220" s="33"/>
      <c r="AD5220" s="33"/>
      <c r="AE5220" s="33"/>
      <c r="AF5220" s="33"/>
      <c r="AG5220" s="33"/>
      <c r="AH5220" s="33"/>
      <c r="AI5220" s="33"/>
      <c r="AJ5220" s="33"/>
      <c r="AK5220" s="33"/>
    </row>
    <row r="5221">
      <c r="A5221" s="33"/>
      <c r="B5221" s="33"/>
      <c r="C5221" s="33"/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  <c r="R5221" s="33"/>
      <c r="S5221" s="33"/>
      <c r="T5221" s="33"/>
      <c r="U5221" s="33"/>
      <c r="V5221" s="33"/>
      <c r="W5221" s="33"/>
      <c r="X5221" s="33"/>
      <c r="Y5221" s="33"/>
      <c r="Z5221" s="33"/>
      <c r="AA5221" s="33"/>
      <c r="AB5221" s="33"/>
      <c r="AC5221" s="33"/>
      <c r="AD5221" s="33"/>
      <c r="AE5221" s="33"/>
      <c r="AF5221" s="33"/>
      <c r="AG5221" s="33"/>
      <c r="AH5221" s="33"/>
      <c r="AI5221" s="33"/>
      <c r="AJ5221" s="33"/>
      <c r="AK5221" s="33"/>
    </row>
    <row r="5222">
      <c r="A5222" s="33"/>
      <c r="B5222" s="33"/>
      <c r="C5222" s="33"/>
      <c r="D5222" s="33"/>
      <c r="E5222" s="33"/>
      <c r="F5222" s="33"/>
      <c r="G5222" s="33"/>
      <c r="H5222" s="33"/>
      <c r="I5222" s="33"/>
      <c r="J5222" s="33"/>
      <c r="K5222" s="33"/>
      <c r="L5222" s="33"/>
      <c r="M5222" s="33"/>
      <c r="N5222" s="33"/>
      <c r="O5222" s="33"/>
      <c r="P5222" s="33"/>
      <c r="Q5222" s="33"/>
      <c r="R5222" s="33"/>
      <c r="S5222" s="33"/>
      <c r="T5222" s="33"/>
      <c r="U5222" s="33"/>
      <c r="V5222" s="33"/>
      <c r="W5222" s="33"/>
      <c r="X5222" s="33"/>
      <c r="Y5222" s="33"/>
      <c r="Z5222" s="33"/>
      <c r="AA5222" s="33"/>
      <c r="AB5222" s="33"/>
      <c r="AC5222" s="33"/>
      <c r="AD5222" s="33"/>
      <c r="AE5222" s="33"/>
      <c r="AF5222" s="33"/>
      <c r="AG5222" s="33"/>
      <c r="AH5222" s="33"/>
      <c r="AI5222" s="33"/>
      <c r="AJ5222" s="33"/>
      <c r="AK5222" s="33"/>
    </row>
    <row r="5223">
      <c r="A5223" s="33"/>
      <c r="B5223" s="33"/>
      <c r="C5223" s="33"/>
      <c r="D5223" s="33"/>
      <c r="E5223" s="33"/>
      <c r="F5223" s="33"/>
      <c r="G5223" s="33"/>
      <c r="H5223" s="33"/>
      <c r="I5223" s="33"/>
      <c r="J5223" s="33"/>
      <c r="K5223" s="33"/>
      <c r="L5223" s="33"/>
      <c r="M5223" s="33"/>
      <c r="N5223" s="33"/>
      <c r="O5223" s="33"/>
      <c r="P5223" s="33"/>
      <c r="Q5223" s="33"/>
      <c r="R5223" s="33"/>
      <c r="S5223" s="33"/>
      <c r="T5223" s="33"/>
      <c r="U5223" s="33"/>
      <c r="V5223" s="33"/>
      <c r="W5223" s="33"/>
      <c r="X5223" s="33"/>
      <c r="Y5223" s="33"/>
      <c r="Z5223" s="33"/>
      <c r="AA5223" s="33"/>
      <c r="AB5223" s="33"/>
      <c r="AC5223" s="33"/>
      <c r="AD5223" s="33"/>
      <c r="AE5223" s="33"/>
      <c r="AF5223" s="33"/>
      <c r="AG5223" s="33"/>
      <c r="AH5223" s="33"/>
      <c r="AI5223" s="33"/>
      <c r="AJ5223" s="33"/>
      <c r="AK5223" s="33"/>
    </row>
    <row r="5224">
      <c r="A5224" s="33"/>
      <c r="B5224" s="33"/>
      <c r="C5224" s="33"/>
      <c r="D5224" s="33"/>
      <c r="E5224" s="33"/>
      <c r="F5224" s="33"/>
      <c r="G5224" s="33"/>
      <c r="H5224" s="33"/>
      <c r="I5224" s="33"/>
      <c r="J5224" s="33"/>
      <c r="K5224" s="33"/>
      <c r="L5224" s="33"/>
      <c r="M5224" s="33"/>
      <c r="N5224" s="33"/>
      <c r="O5224" s="33"/>
      <c r="P5224" s="33"/>
      <c r="Q5224" s="33"/>
      <c r="R5224" s="33"/>
      <c r="S5224" s="33"/>
      <c r="T5224" s="33"/>
      <c r="U5224" s="33"/>
      <c r="V5224" s="33"/>
      <c r="W5224" s="33"/>
      <c r="X5224" s="33"/>
      <c r="Y5224" s="33"/>
      <c r="Z5224" s="33"/>
      <c r="AA5224" s="33"/>
      <c r="AB5224" s="33"/>
      <c r="AC5224" s="33"/>
      <c r="AD5224" s="33"/>
      <c r="AE5224" s="33"/>
      <c r="AF5224" s="33"/>
      <c r="AG5224" s="33"/>
      <c r="AH5224" s="33"/>
      <c r="AI5224" s="33"/>
      <c r="AJ5224" s="33"/>
      <c r="AK5224" s="33"/>
    </row>
    <row r="5225">
      <c r="A5225" s="33"/>
      <c r="B5225" s="33"/>
      <c r="C5225" s="33"/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3"/>
      <c r="S5225" s="33"/>
      <c r="T5225" s="33"/>
      <c r="U5225" s="33"/>
      <c r="V5225" s="33"/>
      <c r="W5225" s="33"/>
      <c r="X5225" s="33"/>
      <c r="Y5225" s="33"/>
      <c r="Z5225" s="33"/>
      <c r="AA5225" s="33"/>
      <c r="AB5225" s="33"/>
      <c r="AC5225" s="33"/>
      <c r="AD5225" s="33"/>
      <c r="AE5225" s="33"/>
      <c r="AF5225" s="33"/>
      <c r="AG5225" s="33"/>
      <c r="AH5225" s="33"/>
      <c r="AI5225" s="33"/>
      <c r="AJ5225" s="33"/>
      <c r="AK5225" s="33"/>
    </row>
    <row r="5226">
      <c r="A5226" s="33"/>
      <c r="B5226" s="33"/>
      <c r="C5226" s="33"/>
      <c r="D5226" s="33"/>
      <c r="E5226" s="33"/>
      <c r="F5226" s="33"/>
      <c r="G5226" s="33"/>
      <c r="H5226" s="33"/>
      <c r="I5226" s="33"/>
      <c r="J5226" s="33"/>
      <c r="K5226" s="33"/>
      <c r="L5226" s="33"/>
      <c r="M5226" s="33"/>
      <c r="N5226" s="33"/>
      <c r="O5226" s="33"/>
      <c r="P5226" s="33"/>
      <c r="Q5226" s="33"/>
      <c r="R5226" s="33"/>
      <c r="S5226" s="33"/>
      <c r="T5226" s="33"/>
      <c r="U5226" s="33"/>
      <c r="V5226" s="33"/>
      <c r="W5226" s="33"/>
      <c r="X5226" s="33"/>
      <c r="Y5226" s="33"/>
      <c r="Z5226" s="33"/>
      <c r="AA5226" s="33"/>
      <c r="AB5226" s="33"/>
      <c r="AC5226" s="33"/>
      <c r="AD5226" s="33"/>
      <c r="AE5226" s="33"/>
      <c r="AF5226" s="33"/>
      <c r="AG5226" s="33"/>
      <c r="AH5226" s="33"/>
      <c r="AI5226" s="33"/>
      <c r="AJ5226" s="33"/>
      <c r="AK5226" s="33"/>
    </row>
    <row r="5227">
      <c r="A5227" s="33"/>
      <c r="B5227" s="33"/>
      <c r="C5227" s="33"/>
      <c r="D5227" s="33"/>
      <c r="E5227" s="33"/>
      <c r="F5227" s="33"/>
      <c r="G5227" s="33"/>
      <c r="H5227" s="33"/>
      <c r="I5227" s="33"/>
      <c r="J5227" s="33"/>
      <c r="K5227" s="33"/>
      <c r="L5227" s="33"/>
      <c r="M5227" s="33"/>
      <c r="N5227" s="33"/>
      <c r="O5227" s="33"/>
      <c r="P5227" s="33"/>
      <c r="Q5227" s="33"/>
      <c r="R5227" s="33"/>
      <c r="S5227" s="33"/>
      <c r="T5227" s="33"/>
      <c r="U5227" s="33"/>
      <c r="V5227" s="33"/>
      <c r="W5227" s="33"/>
      <c r="X5227" s="33"/>
      <c r="Y5227" s="33"/>
      <c r="Z5227" s="33"/>
      <c r="AA5227" s="33"/>
      <c r="AB5227" s="33"/>
      <c r="AC5227" s="33"/>
      <c r="AD5227" s="33"/>
      <c r="AE5227" s="33"/>
      <c r="AF5227" s="33"/>
      <c r="AG5227" s="33"/>
      <c r="AH5227" s="33"/>
      <c r="AI5227" s="33"/>
      <c r="AJ5227" s="33"/>
      <c r="AK5227" s="33"/>
    </row>
    <row r="5228">
      <c r="A5228" s="33"/>
      <c r="B5228" s="33"/>
      <c r="C5228" s="33"/>
      <c r="D5228" s="33"/>
      <c r="E5228" s="33"/>
      <c r="F5228" s="33"/>
      <c r="G5228" s="33"/>
      <c r="H5228" s="33"/>
      <c r="I5228" s="33"/>
      <c r="J5228" s="33"/>
      <c r="K5228" s="33"/>
      <c r="L5228" s="33"/>
      <c r="M5228" s="33"/>
      <c r="N5228" s="33"/>
      <c r="O5228" s="33"/>
      <c r="P5228" s="33"/>
      <c r="Q5228" s="33"/>
      <c r="R5228" s="33"/>
      <c r="S5228" s="33"/>
      <c r="T5228" s="33"/>
      <c r="U5228" s="33"/>
      <c r="V5228" s="33"/>
      <c r="W5228" s="33"/>
      <c r="X5228" s="33"/>
      <c r="Y5228" s="33"/>
      <c r="Z5228" s="33"/>
      <c r="AA5228" s="33"/>
      <c r="AB5228" s="33"/>
      <c r="AC5228" s="33"/>
      <c r="AD5228" s="33"/>
      <c r="AE5228" s="33"/>
      <c r="AF5228" s="33"/>
      <c r="AG5228" s="33"/>
      <c r="AH5228" s="33"/>
      <c r="AI5228" s="33"/>
      <c r="AJ5228" s="33"/>
      <c r="AK5228" s="33"/>
    </row>
    <row r="5229">
      <c r="A5229" s="33"/>
      <c r="B5229" s="33"/>
      <c r="C5229" s="33"/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  <c r="Q5229" s="33"/>
      <c r="R5229" s="33"/>
      <c r="S5229" s="33"/>
      <c r="T5229" s="33"/>
      <c r="U5229" s="33"/>
      <c r="V5229" s="33"/>
      <c r="W5229" s="33"/>
      <c r="X5229" s="33"/>
      <c r="Y5229" s="33"/>
      <c r="Z5229" s="33"/>
      <c r="AA5229" s="33"/>
      <c r="AB5229" s="33"/>
      <c r="AC5229" s="33"/>
      <c r="AD5229" s="33"/>
      <c r="AE5229" s="33"/>
      <c r="AF5229" s="33"/>
      <c r="AG5229" s="33"/>
      <c r="AH5229" s="33"/>
      <c r="AI5229" s="33"/>
      <c r="AJ5229" s="33"/>
      <c r="AK5229" s="33"/>
    </row>
    <row r="5230">
      <c r="A5230" s="33"/>
      <c r="B5230" s="33"/>
      <c r="C5230" s="33"/>
      <c r="D5230" s="33"/>
      <c r="E5230" s="33"/>
      <c r="F5230" s="33"/>
      <c r="G5230" s="33"/>
      <c r="H5230" s="33"/>
      <c r="I5230" s="33"/>
      <c r="J5230" s="33"/>
      <c r="K5230" s="33"/>
      <c r="L5230" s="33"/>
      <c r="M5230" s="33"/>
      <c r="N5230" s="33"/>
      <c r="O5230" s="33"/>
      <c r="P5230" s="33"/>
      <c r="Q5230" s="33"/>
      <c r="R5230" s="33"/>
      <c r="S5230" s="33"/>
      <c r="T5230" s="33"/>
      <c r="U5230" s="33"/>
      <c r="V5230" s="33"/>
      <c r="W5230" s="33"/>
      <c r="X5230" s="33"/>
      <c r="Y5230" s="33"/>
      <c r="Z5230" s="33"/>
      <c r="AA5230" s="33"/>
      <c r="AB5230" s="33"/>
      <c r="AC5230" s="33"/>
      <c r="AD5230" s="33"/>
      <c r="AE5230" s="33"/>
      <c r="AF5230" s="33"/>
      <c r="AG5230" s="33"/>
      <c r="AH5230" s="33"/>
      <c r="AI5230" s="33"/>
      <c r="AJ5230" s="33"/>
      <c r="AK5230" s="33"/>
    </row>
    <row r="5231">
      <c r="A5231" s="33"/>
      <c r="B5231" s="33"/>
      <c r="C5231" s="33"/>
      <c r="D5231" s="33"/>
      <c r="E5231" s="33"/>
      <c r="F5231" s="33"/>
      <c r="G5231" s="33"/>
      <c r="H5231" s="33"/>
      <c r="I5231" s="33"/>
      <c r="J5231" s="33"/>
      <c r="K5231" s="33"/>
      <c r="L5231" s="33"/>
      <c r="M5231" s="33"/>
      <c r="N5231" s="33"/>
      <c r="O5231" s="33"/>
      <c r="P5231" s="33"/>
      <c r="Q5231" s="33"/>
      <c r="R5231" s="33"/>
      <c r="S5231" s="33"/>
      <c r="T5231" s="33"/>
      <c r="U5231" s="33"/>
      <c r="V5231" s="33"/>
      <c r="W5231" s="33"/>
      <c r="X5231" s="33"/>
      <c r="Y5231" s="33"/>
      <c r="Z5231" s="33"/>
      <c r="AA5231" s="33"/>
      <c r="AB5231" s="33"/>
      <c r="AC5231" s="33"/>
      <c r="AD5231" s="33"/>
      <c r="AE5231" s="33"/>
      <c r="AF5231" s="33"/>
      <c r="AG5231" s="33"/>
      <c r="AH5231" s="33"/>
      <c r="AI5231" s="33"/>
      <c r="AJ5231" s="33"/>
      <c r="AK5231" s="33"/>
    </row>
    <row r="5232">
      <c r="A5232" s="33"/>
      <c r="B5232" s="33"/>
      <c r="C5232" s="33"/>
      <c r="D5232" s="33"/>
      <c r="E5232" s="33"/>
      <c r="F5232" s="33"/>
      <c r="G5232" s="33"/>
      <c r="H5232" s="33"/>
      <c r="I5232" s="33"/>
      <c r="J5232" s="33"/>
      <c r="K5232" s="33"/>
      <c r="L5232" s="33"/>
      <c r="M5232" s="33"/>
      <c r="N5232" s="33"/>
      <c r="O5232" s="33"/>
      <c r="P5232" s="33"/>
      <c r="Q5232" s="33"/>
      <c r="R5232" s="33"/>
      <c r="S5232" s="33"/>
      <c r="T5232" s="33"/>
      <c r="U5232" s="33"/>
      <c r="V5232" s="33"/>
      <c r="W5232" s="33"/>
      <c r="X5232" s="33"/>
      <c r="Y5232" s="33"/>
      <c r="Z5232" s="33"/>
      <c r="AA5232" s="33"/>
      <c r="AB5232" s="33"/>
      <c r="AC5232" s="33"/>
      <c r="AD5232" s="33"/>
      <c r="AE5232" s="33"/>
      <c r="AF5232" s="33"/>
      <c r="AG5232" s="33"/>
      <c r="AH5232" s="33"/>
      <c r="AI5232" s="33"/>
      <c r="AJ5232" s="33"/>
      <c r="AK5232" s="33"/>
    </row>
    <row r="5233">
      <c r="A5233" s="33"/>
      <c r="B5233" s="33"/>
      <c r="C5233" s="33"/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  <c r="Q5233" s="33"/>
      <c r="R5233" s="33"/>
      <c r="S5233" s="33"/>
      <c r="T5233" s="33"/>
      <c r="U5233" s="33"/>
      <c r="V5233" s="33"/>
      <c r="W5233" s="33"/>
      <c r="X5233" s="33"/>
      <c r="Y5233" s="33"/>
      <c r="Z5233" s="33"/>
      <c r="AA5233" s="33"/>
      <c r="AB5233" s="33"/>
      <c r="AC5233" s="33"/>
      <c r="AD5233" s="33"/>
      <c r="AE5233" s="33"/>
      <c r="AF5233" s="33"/>
      <c r="AG5233" s="33"/>
      <c r="AH5233" s="33"/>
      <c r="AI5233" s="33"/>
      <c r="AJ5233" s="33"/>
      <c r="AK5233" s="33"/>
    </row>
    <row r="5234">
      <c r="A5234" s="33"/>
      <c r="B5234" s="33"/>
      <c r="C5234" s="33"/>
      <c r="D5234" s="33"/>
      <c r="E5234" s="33"/>
      <c r="F5234" s="33"/>
      <c r="G5234" s="33"/>
      <c r="H5234" s="33"/>
      <c r="I5234" s="33"/>
      <c r="J5234" s="33"/>
      <c r="K5234" s="33"/>
      <c r="L5234" s="33"/>
      <c r="M5234" s="33"/>
      <c r="N5234" s="33"/>
      <c r="O5234" s="33"/>
      <c r="P5234" s="33"/>
      <c r="Q5234" s="33"/>
      <c r="R5234" s="33"/>
      <c r="S5234" s="33"/>
      <c r="T5234" s="33"/>
      <c r="U5234" s="33"/>
      <c r="V5234" s="33"/>
      <c r="W5234" s="33"/>
      <c r="X5234" s="33"/>
      <c r="Y5234" s="33"/>
      <c r="Z5234" s="33"/>
      <c r="AA5234" s="33"/>
      <c r="AB5234" s="33"/>
      <c r="AC5234" s="33"/>
      <c r="AD5234" s="33"/>
      <c r="AE5234" s="33"/>
      <c r="AF5234" s="33"/>
      <c r="AG5234" s="33"/>
      <c r="AH5234" s="33"/>
      <c r="AI5234" s="33"/>
      <c r="AJ5234" s="33"/>
      <c r="AK5234" s="33"/>
    </row>
    <row r="5235">
      <c r="A5235" s="33"/>
      <c r="B5235" s="33"/>
      <c r="C5235" s="33"/>
      <c r="D5235" s="33"/>
      <c r="E5235" s="33"/>
      <c r="F5235" s="33"/>
      <c r="G5235" s="33"/>
      <c r="H5235" s="33"/>
      <c r="I5235" s="33"/>
      <c r="J5235" s="33"/>
      <c r="K5235" s="33"/>
      <c r="L5235" s="33"/>
      <c r="M5235" s="33"/>
      <c r="N5235" s="33"/>
      <c r="O5235" s="33"/>
      <c r="P5235" s="33"/>
      <c r="Q5235" s="33"/>
      <c r="R5235" s="33"/>
      <c r="S5235" s="33"/>
      <c r="T5235" s="33"/>
      <c r="U5235" s="33"/>
      <c r="V5235" s="33"/>
      <c r="W5235" s="33"/>
      <c r="X5235" s="33"/>
      <c r="Y5235" s="33"/>
      <c r="Z5235" s="33"/>
      <c r="AA5235" s="33"/>
      <c r="AB5235" s="33"/>
      <c r="AC5235" s="33"/>
      <c r="AD5235" s="33"/>
      <c r="AE5235" s="33"/>
      <c r="AF5235" s="33"/>
      <c r="AG5235" s="33"/>
      <c r="AH5235" s="33"/>
      <c r="AI5235" s="33"/>
      <c r="AJ5235" s="33"/>
      <c r="AK5235" s="33"/>
    </row>
    <row r="5236">
      <c r="A5236" s="33"/>
      <c r="B5236" s="33"/>
      <c r="C5236" s="33"/>
      <c r="D5236" s="33"/>
      <c r="E5236" s="33"/>
      <c r="F5236" s="33"/>
      <c r="G5236" s="33"/>
      <c r="H5236" s="33"/>
      <c r="I5236" s="33"/>
      <c r="J5236" s="33"/>
      <c r="K5236" s="33"/>
      <c r="L5236" s="33"/>
      <c r="M5236" s="33"/>
      <c r="N5236" s="33"/>
      <c r="O5236" s="33"/>
      <c r="P5236" s="33"/>
      <c r="Q5236" s="33"/>
      <c r="R5236" s="33"/>
      <c r="S5236" s="33"/>
      <c r="T5236" s="33"/>
      <c r="U5236" s="33"/>
      <c r="V5236" s="33"/>
      <c r="W5236" s="33"/>
      <c r="X5236" s="33"/>
      <c r="Y5236" s="33"/>
      <c r="Z5236" s="33"/>
      <c r="AA5236" s="33"/>
      <c r="AB5236" s="33"/>
      <c r="AC5236" s="33"/>
      <c r="AD5236" s="33"/>
      <c r="AE5236" s="33"/>
      <c r="AF5236" s="33"/>
      <c r="AG5236" s="33"/>
      <c r="AH5236" s="33"/>
      <c r="AI5236" s="33"/>
      <c r="AJ5236" s="33"/>
      <c r="AK5236" s="33"/>
    </row>
    <row r="5237">
      <c r="A5237" s="33"/>
      <c r="B5237" s="33"/>
      <c r="C5237" s="33"/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  <c r="Q5237" s="33"/>
      <c r="R5237" s="33"/>
      <c r="S5237" s="33"/>
      <c r="T5237" s="33"/>
      <c r="U5237" s="33"/>
      <c r="V5237" s="33"/>
      <c r="W5237" s="33"/>
      <c r="X5237" s="33"/>
      <c r="Y5237" s="33"/>
      <c r="Z5237" s="33"/>
      <c r="AA5237" s="33"/>
      <c r="AB5237" s="33"/>
      <c r="AC5237" s="33"/>
      <c r="AD5237" s="33"/>
      <c r="AE5237" s="33"/>
      <c r="AF5237" s="33"/>
      <c r="AG5237" s="33"/>
      <c r="AH5237" s="33"/>
      <c r="AI5237" s="33"/>
      <c r="AJ5237" s="33"/>
      <c r="AK5237" s="33"/>
    </row>
    <row r="5238">
      <c r="A5238" s="33"/>
      <c r="B5238" s="33"/>
      <c r="C5238" s="33"/>
      <c r="D5238" s="33"/>
      <c r="E5238" s="33"/>
      <c r="F5238" s="33"/>
      <c r="G5238" s="33"/>
      <c r="H5238" s="33"/>
      <c r="I5238" s="33"/>
      <c r="J5238" s="33"/>
      <c r="K5238" s="33"/>
      <c r="L5238" s="33"/>
      <c r="M5238" s="33"/>
      <c r="N5238" s="33"/>
      <c r="O5238" s="33"/>
      <c r="P5238" s="33"/>
      <c r="Q5238" s="33"/>
      <c r="R5238" s="33"/>
      <c r="S5238" s="33"/>
      <c r="T5238" s="33"/>
      <c r="U5238" s="33"/>
      <c r="V5238" s="33"/>
      <c r="W5238" s="33"/>
      <c r="X5238" s="33"/>
      <c r="Y5238" s="33"/>
      <c r="Z5238" s="33"/>
      <c r="AA5238" s="33"/>
      <c r="AB5238" s="33"/>
      <c r="AC5238" s="33"/>
      <c r="AD5238" s="33"/>
      <c r="AE5238" s="33"/>
      <c r="AF5238" s="33"/>
      <c r="AG5238" s="33"/>
      <c r="AH5238" s="33"/>
      <c r="AI5238" s="33"/>
      <c r="AJ5238" s="33"/>
      <c r="AK5238" s="33"/>
    </row>
    <row r="5239">
      <c r="A5239" s="33"/>
      <c r="B5239" s="33"/>
      <c r="C5239" s="33"/>
      <c r="D5239" s="33"/>
      <c r="E5239" s="33"/>
      <c r="F5239" s="33"/>
      <c r="G5239" s="33"/>
      <c r="H5239" s="33"/>
      <c r="I5239" s="33"/>
      <c r="J5239" s="33"/>
      <c r="K5239" s="33"/>
      <c r="L5239" s="33"/>
      <c r="M5239" s="33"/>
      <c r="N5239" s="33"/>
      <c r="O5239" s="33"/>
      <c r="P5239" s="33"/>
      <c r="Q5239" s="33"/>
      <c r="R5239" s="33"/>
      <c r="S5239" s="33"/>
      <c r="T5239" s="33"/>
      <c r="U5239" s="33"/>
      <c r="V5239" s="33"/>
      <c r="W5239" s="33"/>
      <c r="X5239" s="33"/>
      <c r="Y5239" s="33"/>
      <c r="Z5239" s="33"/>
      <c r="AA5239" s="33"/>
      <c r="AB5239" s="33"/>
      <c r="AC5239" s="33"/>
      <c r="AD5239" s="33"/>
      <c r="AE5239" s="33"/>
      <c r="AF5239" s="33"/>
      <c r="AG5239" s="33"/>
      <c r="AH5239" s="33"/>
      <c r="AI5239" s="33"/>
      <c r="AJ5239" s="33"/>
      <c r="AK5239" s="33"/>
    </row>
    <row r="5240">
      <c r="A5240" s="33"/>
      <c r="B5240" s="33"/>
      <c r="C5240" s="33"/>
      <c r="D5240" s="33"/>
      <c r="E5240" s="33"/>
      <c r="F5240" s="33"/>
      <c r="G5240" s="33"/>
      <c r="H5240" s="33"/>
      <c r="I5240" s="33"/>
      <c r="J5240" s="33"/>
      <c r="K5240" s="33"/>
      <c r="L5240" s="33"/>
      <c r="M5240" s="33"/>
      <c r="N5240" s="33"/>
      <c r="O5240" s="33"/>
      <c r="P5240" s="33"/>
      <c r="Q5240" s="33"/>
      <c r="R5240" s="33"/>
      <c r="S5240" s="33"/>
      <c r="T5240" s="33"/>
      <c r="U5240" s="33"/>
      <c r="V5240" s="33"/>
      <c r="W5240" s="33"/>
      <c r="X5240" s="33"/>
      <c r="Y5240" s="33"/>
      <c r="Z5240" s="33"/>
      <c r="AA5240" s="33"/>
      <c r="AB5240" s="33"/>
      <c r="AC5240" s="33"/>
      <c r="AD5240" s="33"/>
      <c r="AE5240" s="33"/>
      <c r="AF5240" s="33"/>
      <c r="AG5240" s="33"/>
      <c r="AH5240" s="33"/>
      <c r="AI5240" s="33"/>
      <c r="AJ5240" s="33"/>
      <c r="AK5240" s="33"/>
    </row>
    <row r="5241">
      <c r="A5241" s="33"/>
      <c r="B5241" s="33"/>
      <c r="C5241" s="33"/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  <c r="Q5241" s="33"/>
      <c r="R5241" s="33"/>
      <c r="S5241" s="33"/>
      <c r="T5241" s="33"/>
      <c r="U5241" s="33"/>
      <c r="V5241" s="33"/>
      <c r="W5241" s="33"/>
      <c r="X5241" s="33"/>
      <c r="Y5241" s="33"/>
      <c r="Z5241" s="33"/>
      <c r="AA5241" s="33"/>
      <c r="AB5241" s="33"/>
      <c r="AC5241" s="33"/>
      <c r="AD5241" s="33"/>
      <c r="AE5241" s="33"/>
      <c r="AF5241" s="33"/>
      <c r="AG5241" s="33"/>
      <c r="AH5241" s="33"/>
      <c r="AI5241" s="33"/>
      <c r="AJ5241" s="33"/>
      <c r="AK5241" s="33"/>
    </row>
    <row r="5242">
      <c r="A5242" s="33"/>
      <c r="B5242" s="33"/>
      <c r="C5242" s="33"/>
      <c r="D5242" s="33"/>
      <c r="E5242" s="33"/>
      <c r="F5242" s="33"/>
      <c r="G5242" s="33"/>
      <c r="H5242" s="33"/>
      <c r="I5242" s="33"/>
      <c r="J5242" s="33"/>
      <c r="K5242" s="33"/>
      <c r="L5242" s="33"/>
      <c r="M5242" s="33"/>
      <c r="N5242" s="33"/>
      <c r="O5242" s="33"/>
      <c r="P5242" s="33"/>
      <c r="Q5242" s="33"/>
      <c r="R5242" s="33"/>
      <c r="S5242" s="33"/>
      <c r="T5242" s="33"/>
      <c r="U5242" s="33"/>
      <c r="V5242" s="33"/>
      <c r="W5242" s="33"/>
      <c r="X5242" s="33"/>
      <c r="Y5242" s="33"/>
      <c r="Z5242" s="33"/>
      <c r="AA5242" s="33"/>
      <c r="AB5242" s="33"/>
      <c r="AC5242" s="33"/>
      <c r="AD5242" s="33"/>
      <c r="AE5242" s="33"/>
      <c r="AF5242" s="33"/>
      <c r="AG5242" s="33"/>
      <c r="AH5242" s="33"/>
      <c r="AI5242" s="33"/>
      <c r="AJ5242" s="33"/>
      <c r="AK5242" s="33"/>
    </row>
    <row r="5243">
      <c r="A5243" s="33"/>
      <c r="B5243" s="33"/>
      <c r="C5243" s="33"/>
      <c r="D5243" s="33"/>
      <c r="E5243" s="33"/>
      <c r="F5243" s="33"/>
      <c r="G5243" s="33"/>
      <c r="H5243" s="33"/>
      <c r="I5243" s="33"/>
      <c r="J5243" s="33"/>
      <c r="K5243" s="33"/>
      <c r="L5243" s="33"/>
      <c r="M5243" s="33"/>
      <c r="N5243" s="33"/>
      <c r="O5243" s="33"/>
      <c r="P5243" s="33"/>
      <c r="Q5243" s="33"/>
      <c r="R5243" s="33"/>
      <c r="S5243" s="33"/>
      <c r="T5243" s="33"/>
      <c r="U5243" s="33"/>
      <c r="V5243" s="33"/>
      <c r="W5243" s="33"/>
      <c r="X5243" s="33"/>
      <c r="Y5243" s="33"/>
      <c r="Z5243" s="33"/>
      <c r="AA5243" s="33"/>
      <c r="AB5243" s="33"/>
      <c r="AC5243" s="33"/>
      <c r="AD5243" s="33"/>
      <c r="AE5243" s="33"/>
      <c r="AF5243" s="33"/>
      <c r="AG5243" s="33"/>
      <c r="AH5243" s="33"/>
      <c r="AI5243" s="33"/>
      <c r="AJ5243" s="33"/>
      <c r="AK5243" s="33"/>
    </row>
    <row r="5244">
      <c r="A5244" s="33"/>
      <c r="B5244" s="33"/>
      <c r="C5244" s="33"/>
      <c r="D5244" s="33"/>
      <c r="E5244" s="33"/>
      <c r="F5244" s="33"/>
      <c r="G5244" s="33"/>
      <c r="H5244" s="33"/>
      <c r="I5244" s="33"/>
      <c r="J5244" s="33"/>
      <c r="K5244" s="33"/>
      <c r="L5244" s="33"/>
      <c r="M5244" s="33"/>
      <c r="N5244" s="33"/>
      <c r="O5244" s="33"/>
      <c r="P5244" s="33"/>
      <c r="Q5244" s="33"/>
      <c r="R5244" s="33"/>
      <c r="S5244" s="33"/>
      <c r="T5244" s="33"/>
      <c r="U5244" s="33"/>
      <c r="V5244" s="33"/>
      <c r="W5244" s="33"/>
      <c r="X5244" s="33"/>
      <c r="Y5244" s="33"/>
      <c r="Z5244" s="33"/>
      <c r="AA5244" s="33"/>
      <c r="AB5244" s="33"/>
      <c r="AC5244" s="33"/>
      <c r="AD5244" s="33"/>
      <c r="AE5244" s="33"/>
      <c r="AF5244" s="33"/>
      <c r="AG5244" s="33"/>
      <c r="AH5244" s="33"/>
      <c r="AI5244" s="33"/>
      <c r="AJ5244" s="33"/>
      <c r="AK5244" s="33"/>
    </row>
    <row r="5245">
      <c r="A5245" s="33"/>
      <c r="B5245" s="33"/>
      <c r="C5245" s="33"/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  <c r="Q5245" s="33"/>
      <c r="R5245" s="33"/>
      <c r="S5245" s="33"/>
      <c r="T5245" s="33"/>
      <c r="U5245" s="33"/>
      <c r="V5245" s="33"/>
      <c r="W5245" s="33"/>
      <c r="X5245" s="33"/>
      <c r="Y5245" s="33"/>
      <c r="Z5245" s="33"/>
      <c r="AA5245" s="33"/>
      <c r="AB5245" s="33"/>
      <c r="AC5245" s="33"/>
      <c r="AD5245" s="33"/>
      <c r="AE5245" s="33"/>
      <c r="AF5245" s="33"/>
      <c r="AG5245" s="33"/>
      <c r="AH5245" s="33"/>
      <c r="AI5245" s="33"/>
      <c r="AJ5245" s="33"/>
      <c r="AK5245" s="33"/>
    </row>
    <row r="5246">
      <c r="A5246" s="33"/>
      <c r="B5246" s="33"/>
      <c r="C5246" s="33"/>
      <c r="D5246" s="33"/>
      <c r="E5246" s="33"/>
      <c r="F5246" s="33"/>
      <c r="G5246" s="33"/>
      <c r="H5246" s="33"/>
      <c r="I5246" s="33"/>
      <c r="J5246" s="33"/>
      <c r="K5246" s="33"/>
      <c r="L5246" s="33"/>
      <c r="M5246" s="33"/>
      <c r="N5246" s="33"/>
      <c r="O5246" s="33"/>
      <c r="P5246" s="33"/>
      <c r="Q5246" s="33"/>
      <c r="R5246" s="33"/>
      <c r="S5246" s="33"/>
      <c r="T5246" s="33"/>
      <c r="U5246" s="33"/>
      <c r="V5246" s="33"/>
      <c r="W5246" s="33"/>
      <c r="X5246" s="33"/>
      <c r="Y5246" s="33"/>
      <c r="Z5246" s="33"/>
      <c r="AA5246" s="33"/>
      <c r="AB5246" s="33"/>
      <c r="AC5246" s="33"/>
      <c r="AD5246" s="33"/>
      <c r="AE5246" s="33"/>
      <c r="AF5246" s="33"/>
      <c r="AG5246" s="33"/>
      <c r="AH5246" s="33"/>
      <c r="AI5246" s="33"/>
      <c r="AJ5246" s="33"/>
      <c r="AK5246" s="33"/>
    </row>
    <row r="5247">
      <c r="A5247" s="33"/>
      <c r="B5247" s="33"/>
      <c r="C5247" s="33"/>
      <c r="D5247" s="33"/>
      <c r="E5247" s="33"/>
      <c r="F5247" s="33"/>
      <c r="G5247" s="33"/>
      <c r="H5247" s="33"/>
      <c r="I5247" s="33"/>
      <c r="J5247" s="33"/>
      <c r="K5247" s="33"/>
      <c r="L5247" s="33"/>
      <c r="M5247" s="33"/>
      <c r="N5247" s="33"/>
      <c r="O5247" s="33"/>
      <c r="P5247" s="33"/>
      <c r="Q5247" s="33"/>
      <c r="R5247" s="33"/>
      <c r="S5247" s="33"/>
      <c r="T5247" s="33"/>
      <c r="U5247" s="33"/>
      <c r="V5247" s="33"/>
      <c r="W5247" s="33"/>
      <c r="X5247" s="33"/>
      <c r="Y5247" s="33"/>
      <c r="Z5247" s="33"/>
      <c r="AA5247" s="33"/>
      <c r="AB5247" s="33"/>
      <c r="AC5247" s="33"/>
      <c r="AD5247" s="33"/>
      <c r="AE5247" s="33"/>
      <c r="AF5247" s="33"/>
      <c r="AG5247" s="33"/>
      <c r="AH5247" s="33"/>
      <c r="AI5247" s="33"/>
      <c r="AJ5247" s="33"/>
      <c r="AK5247" s="33"/>
    </row>
    <row r="5248">
      <c r="A5248" s="33"/>
      <c r="B5248" s="33"/>
      <c r="C5248" s="33"/>
      <c r="D5248" s="33"/>
      <c r="E5248" s="33"/>
      <c r="F5248" s="33"/>
      <c r="G5248" s="33"/>
      <c r="H5248" s="33"/>
      <c r="I5248" s="33"/>
      <c r="J5248" s="33"/>
      <c r="K5248" s="33"/>
      <c r="L5248" s="33"/>
      <c r="M5248" s="33"/>
      <c r="N5248" s="33"/>
      <c r="O5248" s="33"/>
      <c r="P5248" s="33"/>
      <c r="Q5248" s="33"/>
      <c r="R5248" s="33"/>
      <c r="S5248" s="33"/>
      <c r="T5248" s="33"/>
      <c r="U5248" s="33"/>
      <c r="V5248" s="33"/>
      <c r="W5248" s="33"/>
      <c r="X5248" s="33"/>
      <c r="Y5248" s="33"/>
      <c r="Z5248" s="33"/>
      <c r="AA5248" s="33"/>
      <c r="AB5248" s="33"/>
      <c r="AC5248" s="33"/>
      <c r="AD5248" s="33"/>
      <c r="AE5248" s="33"/>
      <c r="AF5248" s="33"/>
      <c r="AG5248" s="33"/>
      <c r="AH5248" s="33"/>
      <c r="AI5248" s="33"/>
      <c r="AJ5248" s="33"/>
      <c r="AK5248" s="33"/>
    </row>
    <row r="5249">
      <c r="A5249" s="33"/>
      <c r="B5249" s="33"/>
      <c r="C5249" s="33"/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  <c r="Q5249" s="33"/>
      <c r="R5249" s="33"/>
      <c r="S5249" s="33"/>
      <c r="T5249" s="33"/>
      <c r="U5249" s="33"/>
      <c r="V5249" s="33"/>
      <c r="W5249" s="33"/>
      <c r="X5249" s="33"/>
      <c r="Y5249" s="33"/>
      <c r="Z5249" s="33"/>
      <c r="AA5249" s="33"/>
      <c r="AB5249" s="33"/>
      <c r="AC5249" s="33"/>
      <c r="AD5249" s="33"/>
      <c r="AE5249" s="33"/>
      <c r="AF5249" s="33"/>
      <c r="AG5249" s="33"/>
      <c r="AH5249" s="33"/>
      <c r="AI5249" s="33"/>
      <c r="AJ5249" s="33"/>
      <c r="AK5249" s="33"/>
    </row>
    <row r="5250">
      <c r="A5250" s="33"/>
      <c r="B5250" s="33"/>
      <c r="C5250" s="33"/>
      <c r="D5250" s="33"/>
      <c r="E5250" s="33"/>
      <c r="F5250" s="33"/>
      <c r="G5250" s="33"/>
      <c r="H5250" s="33"/>
      <c r="I5250" s="33"/>
      <c r="J5250" s="33"/>
      <c r="K5250" s="33"/>
      <c r="L5250" s="33"/>
      <c r="M5250" s="33"/>
      <c r="N5250" s="33"/>
      <c r="O5250" s="33"/>
      <c r="P5250" s="33"/>
      <c r="Q5250" s="33"/>
      <c r="R5250" s="33"/>
      <c r="S5250" s="33"/>
      <c r="T5250" s="33"/>
      <c r="U5250" s="33"/>
      <c r="V5250" s="33"/>
      <c r="W5250" s="33"/>
      <c r="X5250" s="33"/>
      <c r="Y5250" s="33"/>
      <c r="Z5250" s="33"/>
      <c r="AA5250" s="33"/>
      <c r="AB5250" s="33"/>
      <c r="AC5250" s="33"/>
      <c r="AD5250" s="33"/>
      <c r="AE5250" s="33"/>
      <c r="AF5250" s="33"/>
      <c r="AG5250" s="33"/>
      <c r="AH5250" s="33"/>
      <c r="AI5250" s="33"/>
      <c r="AJ5250" s="33"/>
      <c r="AK5250" s="33"/>
    </row>
    <row r="5251">
      <c r="A5251" s="33"/>
      <c r="B5251" s="33"/>
      <c r="C5251" s="33"/>
      <c r="D5251" s="33"/>
      <c r="E5251" s="33"/>
      <c r="F5251" s="33"/>
      <c r="G5251" s="33"/>
      <c r="H5251" s="33"/>
      <c r="I5251" s="33"/>
      <c r="J5251" s="33"/>
      <c r="K5251" s="33"/>
      <c r="L5251" s="33"/>
      <c r="M5251" s="33"/>
      <c r="N5251" s="33"/>
      <c r="O5251" s="33"/>
      <c r="P5251" s="33"/>
      <c r="Q5251" s="33"/>
      <c r="R5251" s="33"/>
      <c r="S5251" s="33"/>
      <c r="T5251" s="33"/>
      <c r="U5251" s="33"/>
      <c r="V5251" s="33"/>
      <c r="W5251" s="33"/>
      <c r="X5251" s="33"/>
      <c r="Y5251" s="33"/>
      <c r="Z5251" s="33"/>
      <c r="AA5251" s="33"/>
      <c r="AB5251" s="33"/>
      <c r="AC5251" s="33"/>
      <c r="AD5251" s="33"/>
      <c r="AE5251" s="33"/>
      <c r="AF5251" s="33"/>
      <c r="AG5251" s="33"/>
      <c r="AH5251" s="33"/>
      <c r="AI5251" s="33"/>
      <c r="AJ5251" s="33"/>
      <c r="AK5251" s="33"/>
    </row>
    <row r="5252">
      <c r="A5252" s="33"/>
      <c r="B5252" s="33"/>
      <c r="C5252" s="33"/>
      <c r="D5252" s="33"/>
      <c r="E5252" s="33"/>
      <c r="F5252" s="33"/>
      <c r="G5252" s="33"/>
      <c r="H5252" s="33"/>
      <c r="I5252" s="33"/>
      <c r="J5252" s="33"/>
      <c r="K5252" s="33"/>
      <c r="L5252" s="33"/>
      <c r="M5252" s="33"/>
      <c r="N5252" s="33"/>
      <c r="O5252" s="33"/>
      <c r="P5252" s="33"/>
      <c r="Q5252" s="33"/>
      <c r="R5252" s="33"/>
      <c r="S5252" s="33"/>
      <c r="T5252" s="33"/>
      <c r="U5252" s="33"/>
      <c r="V5252" s="33"/>
      <c r="W5252" s="33"/>
      <c r="X5252" s="33"/>
      <c r="Y5252" s="33"/>
      <c r="Z5252" s="33"/>
      <c r="AA5252" s="33"/>
      <c r="AB5252" s="33"/>
      <c r="AC5252" s="33"/>
      <c r="AD5252" s="33"/>
      <c r="AE5252" s="33"/>
      <c r="AF5252" s="33"/>
      <c r="AG5252" s="33"/>
      <c r="AH5252" s="33"/>
      <c r="AI5252" s="33"/>
      <c r="AJ5252" s="33"/>
      <c r="AK5252" s="33"/>
    </row>
    <row r="5253">
      <c r="A5253" s="33"/>
      <c r="B5253" s="33"/>
      <c r="C5253" s="33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  <c r="Q5253" s="33"/>
      <c r="R5253" s="33"/>
      <c r="S5253" s="33"/>
      <c r="T5253" s="33"/>
      <c r="U5253" s="33"/>
      <c r="V5253" s="33"/>
      <c r="W5253" s="33"/>
      <c r="X5253" s="33"/>
      <c r="Y5253" s="33"/>
      <c r="Z5253" s="33"/>
      <c r="AA5253" s="33"/>
      <c r="AB5253" s="33"/>
      <c r="AC5253" s="33"/>
      <c r="AD5253" s="33"/>
      <c r="AE5253" s="33"/>
      <c r="AF5253" s="33"/>
      <c r="AG5253" s="33"/>
      <c r="AH5253" s="33"/>
      <c r="AI5253" s="33"/>
      <c r="AJ5253" s="33"/>
      <c r="AK5253" s="33"/>
    </row>
    <row r="5254">
      <c r="A5254" s="33"/>
      <c r="B5254" s="33"/>
      <c r="C5254" s="33"/>
      <c r="D5254" s="33"/>
      <c r="E5254" s="33"/>
      <c r="F5254" s="33"/>
      <c r="G5254" s="33"/>
      <c r="H5254" s="33"/>
      <c r="I5254" s="33"/>
      <c r="J5254" s="33"/>
      <c r="K5254" s="33"/>
      <c r="L5254" s="33"/>
      <c r="M5254" s="33"/>
      <c r="N5254" s="33"/>
      <c r="O5254" s="33"/>
      <c r="P5254" s="33"/>
      <c r="Q5254" s="33"/>
      <c r="R5254" s="33"/>
      <c r="S5254" s="33"/>
      <c r="T5254" s="33"/>
      <c r="U5254" s="33"/>
      <c r="V5254" s="33"/>
      <c r="W5254" s="33"/>
      <c r="X5254" s="33"/>
      <c r="Y5254" s="33"/>
      <c r="Z5254" s="33"/>
      <c r="AA5254" s="33"/>
      <c r="AB5254" s="33"/>
      <c r="AC5254" s="33"/>
      <c r="AD5254" s="33"/>
      <c r="AE5254" s="33"/>
      <c r="AF5254" s="33"/>
      <c r="AG5254" s="33"/>
      <c r="AH5254" s="33"/>
      <c r="AI5254" s="33"/>
      <c r="AJ5254" s="33"/>
      <c r="AK5254" s="33"/>
    </row>
    <row r="5255">
      <c r="A5255" s="33"/>
      <c r="B5255" s="33"/>
      <c r="C5255" s="33"/>
      <c r="D5255" s="33"/>
      <c r="E5255" s="33"/>
      <c r="F5255" s="33"/>
      <c r="G5255" s="33"/>
      <c r="H5255" s="33"/>
      <c r="I5255" s="33"/>
      <c r="J5255" s="33"/>
      <c r="K5255" s="33"/>
      <c r="L5255" s="33"/>
      <c r="M5255" s="33"/>
      <c r="N5255" s="33"/>
      <c r="O5255" s="33"/>
      <c r="P5255" s="33"/>
      <c r="Q5255" s="33"/>
      <c r="R5255" s="33"/>
      <c r="S5255" s="33"/>
      <c r="T5255" s="33"/>
      <c r="U5255" s="33"/>
      <c r="V5255" s="33"/>
      <c r="W5255" s="33"/>
      <c r="X5255" s="33"/>
      <c r="Y5255" s="33"/>
      <c r="Z5255" s="33"/>
      <c r="AA5255" s="33"/>
      <c r="AB5255" s="33"/>
      <c r="AC5255" s="33"/>
      <c r="AD5255" s="33"/>
      <c r="AE5255" s="33"/>
      <c r="AF5255" s="33"/>
      <c r="AG5255" s="33"/>
      <c r="AH5255" s="33"/>
      <c r="AI5255" s="33"/>
      <c r="AJ5255" s="33"/>
      <c r="AK5255" s="33"/>
    </row>
    <row r="5256">
      <c r="A5256" s="33"/>
      <c r="B5256" s="33"/>
      <c r="C5256" s="33"/>
      <c r="D5256" s="33"/>
      <c r="E5256" s="33"/>
      <c r="F5256" s="33"/>
      <c r="G5256" s="33"/>
      <c r="H5256" s="33"/>
      <c r="I5256" s="33"/>
      <c r="J5256" s="33"/>
      <c r="K5256" s="33"/>
      <c r="L5256" s="33"/>
      <c r="M5256" s="33"/>
      <c r="N5256" s="33"/>
      <c r="O5256" s="33"/>
      <c r="P5256" s="33"/>
      <c r="Q5256" s="33"/>
      <c r="R5256" s="33"/>
      <c r="S5256" s="33"/>
      <c r="T5256" s="33"/>
      <c r="U5256" s="33"/>
      <c r="V5256" s="33"/>
      <c r="W5256" s="33"/>
      <c r="X5256" s="33"/>
      <c r="Y5256" s="33"/>
      <c r="Z5256" s="33"/>
      <c r="AA5256" s="33"/>
      <c r="AB5256" s="33"/>
      <c r="AC5256" s="33"/>
      <c r="AD5256" s="33"/>
      <c r="AE5256" s="33"/>
      <c r="AF5256" s="33"/>
      <c r="AG5256" s="33"/>
      <c r="AH5256" s="33"/>
      <c r="AI5256" s="33"/>
      <c r="AJ5256" s="33"/>
      <c r="AK5256" s="33"/>
    </row>
    <row r="5257">
      <c r="A5257" s="33"/>
      <c r="B5257" s="33"/>
      <c r="C5257" s="33"/>
      <c r="D5257" s="33"/>
      <c r="E5257" s="33"/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33"/>
      <c r="Q5257" s="33"/>
      <c r="R5257" s="33"/>
      <c r="S5257" s="33"/>
      <c r="T5257" s="33"/>
      <c r="U5257" s="33"/>
      <c r="V5257" s="33"/>
      <c r="W5257" s="33"/>
      <c r="X5257" s="33"/>
      <c r="Y5257" s="33"/>
      <c r="Z5257" s="33"/>
      <c r="AA5257" s="33"/>
      <c r="AB5257" s="33"/>
      <c r="AC5257" s="33"/>
      <c r="AD5257" s="33"/>
      <c r="AE5257" s="33"/>
      <c r="AF5257" s="33"/>
      <c r="AG5257" s="33"/>
      <c r="AH5257" s="33"/>
      <c r="AI5257" s="33"/>
      <c r="AJ5257" s="33"/>
      <c r="AK5257" s="33"/>
    </row>
    <row r="5258">
      <c r="A5258" s="33"/>
      <c r="B5258" s="33"/>
      <c r="C5258" s="33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33"/>
      <c r="Q5258" s="33"/>
      <c r="R5258" s="33"/>
      <c r="S5258" s="33"/>
      <c r="T5258" s="33"/>
      <c r="U5258" s="33"/>
      <c r="V5258" s="33"/>
      <c r="W5258" s="33"/>
      <c r="X5258" s="33"/>
      <c r="Y5258" s="33"/>
      <c r="Z5258" s="33"/>
      <c r="AA5258" s="33"/>
      <c r="AB5258" s="33"/>
      <c r="AC5258" s="33"/>
      <c r="AD5258" s="33"/>
      <c r="AE5258" s="33"/>
      <c r="AF5258" s="33"/>
      <c r="AG5258" s="33"/>
      <c r="AH5258" s="33"/>
      <c r="AI5258" s="33"/>
      <c r="AJ5258" s="33"/>
      <c r="AK5258" s="33"/>
    </row>
    <row r="5259">
      <c r="A5259" s="33"/>
      <c r="B5259" s="33"/>
      <c r="C5259" s="33"/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  <c r="Q5259" s="33"/>
      <c r="R5259" s="33"/>
      <c r="S5259" s="33"/>
      <c r="T5259" s="33"/>
      <c r="U5259" s="33"/>
      <c r="V5259" s="33"/>
      <c r="W5259" s="33"/>
      <c r="X5259" s="33"/>
      <c r="Y5259" s="33"/>
      <c r="Z5259" s="33"/>
      <c r="AA5259" s="33"/>
      <c r="AB5259" s="33"/>
      <c r="AC5259" s="33"/>
      <c r="AD5259" s="33"/>
      <c r="AE5259" s="33"/>
      <c r="AF5259" s="33"/>
      <c r="AG5259" s="33"/>
      <c r="AH5259" s="33"/>
      <c r="AI5259" s="33"/>
      <c r="AJ5259" s="33"/>
      <c r="AK5259" s="33"/>
    </row>
    <row r="5260">
      <c r="A5260" s="33"/>
      <c r="B5260" s="33"/>
      <c r="C5260" s="33"/>
      <c r="D5260" s="33"/>
      <c r="E5260" s="33"/>
      <c r="F5260" s="33"/>
      <c r="G5260" s="33"/>
      <c r="H5260" s="33"/>
      <c r="I5260" s="33"/>
      <c r="J5260" s="33"/>
      <c r="K5260" s="33"/>
      <c r="L5260" s="33"/>
      <c r="M5260" s="33"/>
      <c r="N5260" s="33"/>
      <c r="O5260" s="33"/>
      <c r="P5260" s="33"/>
      <c r="Q5260" s="33"/>
      <c r="R5260" s="33"/>
      <c r="S5260" s="33"/>
      <c r="T5260" s="33"/>
      <c r="U5260" s="33"/>
      <c r="V5260" s="33"/>
      <c r="W5260" s="33"/>
      <c r="X5260" s="33"/>
      <c r="Y5260" s="33"/>
      <c r="Z5260" s="33"/>
      <c r="AA5260" s="33"/>
      <c r="AB5260" s="33"/>
      <c r="AC5260" s="33"/>
      <c r="AD5260" s="33"/>
      <c r="AE5260" s="33"/>
      <c r="AF5260" s="33"/>
      <c r="AG5260" s="33"/>
      <c r="AH5260" s="33"/>
      <c r="AI5260" s="33"/>
      <c r="AJ5260" s="33"/>
      <c r="AK5260" s="33"/>
    </row>
    <row r="5261">
      <c r="A5261" s="33"/>
      <c r="B5261" s="33"/>
      <c r="C5261" s="33"/>
      <c r="D5261" s="33"/>
      <c r="E5261" s="33"/>
      <c r="F5261" s="33"/>
      <c r="G5261" s="33"/>
      <c r="H5261" s="33"/>
      <c r="I5261" s="33"/>
      <c r="J5261" s="33"/>
      <c r="K5261" s="33"/>
      <c r="L5261" s="33"/>
      <c r="M5261" s="33"/>
      <c r="N5261" s="33"/>
      <c r="O5261" s="33"/>
      <c r="P5261" s="33"/>
      <c r="Q5261" s="33"/>
      <c r="R5261" s="33"/>
      <c r="S5261" s="33"/>
      <c r="T5261" s="33"/>
      <c r="U5261" s="33"/>
      <c r="V5261" s="33"/>
      <c r="W5261" s="33"/>
      <c r="X5261" s="33"/>
      <c r="Y5261" s="33"/>
      <c r="Z5261" s="33"/>
      <c r="AA5261" s="33"/>
      <c r="AB5261" s="33"/>
      <c r="AC5261" s="33"/>
      <c r="AD5261" s="33"/>
      <c r="AE5261" s="33"/>
      <c r="AF5261" s="33"/>
      <c r="AG5261" s="33"/>
      <c r="AH5261" s="33"/>
      <c r="AI5261" s="33"/>
      <c r="AJ5261" s="33"/>
      <c r="AK5261" s="33"/>
    </row>
    <row r="5262">
      <c r="A5262" s="33"/>
      <c r="B5262" s="33"/>
      <c r="C5262" s="33"/>
      <c r="D5262" s="33"/>
      <c r="E5262" s="33"/>
      <c r="F5262" s="33"/>
      <c r="G5262" s="33"/>
      <c r="H5262" s="33"/>
      <c r="I5262" s="33"/>
      <c r="J5262" s="33"/>
      <c r="K5262" s="33"/>
      <c r="L5262" s="33"/>
      <c r="M5262" s="33"/>
      <c r="N5262" s="33"/>
      <c r="O5262" s="33"/>
      <c r="P5262" s="33"/>
      <c r="Q5262" s="33"/>
      <c r="R5262" s="33"/>
      <c r="S5262" s="33"/>
      <c r="T5262" s="33"/>
      <c r="U5262" s="33"/>
      <c r="V5262" s="33"/>
      <c r="W5262" s="33"/>
      <c r="X5262" s="33"/>
      <c r="Y5262" s="33"/>
      <c r="Z5262" s="33"/>
      <c r="AA5262" s="33"/>
      <c r="AB5262" s="33"/>
      <c r="AC5262" s="33"/>
      <c r="AD5262" s="33"/>
      <c r="AE5262" s="33"/>
      <c r="AF5262" s="33"/>
      <c r="AG5262" s="33"/>
      <c r="AH5262" s="33"/>
      <c r="AI5262" s="33"/>
      <c r="AJ5262" s="33"/>
      <c r="AK5262" s="33"/>
    </row>
    <row r="5263">
      <c r="A5263" s="33"/>
      <c r="B5263" s="33"/>
      <c r="C5263" s="33"/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  <c r="Q5263" s="33"/>
      <c r="R5263" s="33"/>
      <c r="S5263" s="33"/>
      <c r="T5263" s="33"/>
      <c r="U5263" s="33"/>
      <c r="V5263" s="33"/>
      <c r="W5263" s="33"/>
      <c r="X5263" s="33"/>
      <c r="Y5263" s="33"/>
      <c r="Z5263" s="33"/>
      <c r="AA5263" s="33"/>
      <c r="AB5263" s="33"/>
      <c r="AC5263" s="33"/>
      <c r="AD5263" s="33"/>
      <c r="AE5263" s="33"/>
      <c r="AF5263" s="33"/>
      <c r="AG5263" s="33"/>
      <c r="AH5263" s="33"/>
      <c r="AI5263" s="33"/>
      <c r="AJ5263" s="33"/>
      <c r="AK5263" s="33"/>
    </row>
    <row r="5264">
      <c r="A5264" s="33"/>
      <c r="B5264" s="33"/>
      <c r="C5264" s="33"/>
      <c r="D5264" s="33"/>
      <c r="E5264" s="33"/>
      <c r="F5264" s="33"/>
      <c r="G5264" s="33"/>
      <c r="H5264" s="33"/>
      <c r="I5264" s="33"/>
      <c r="J5264" s="33"/>
      <c r="K5264" s="33"/>
      <c r="L5264" s="33"/>
      <c r="M5264" s="33"/>
      <c r="N5264" s="33"/>
      <c r="O5264" s="33"/>
      <c r="P5264" s="33"/>
      <c r="Q5264" s="33"/>
      <c r="R5264" s="33"/>
      <c r="S5264" s="33"/>
      <c r="T5264" s="33"/>
      <c r="U5264" s="33"/>
      <c r="V5264" s="33"/>
      <c r="W5264" s="33"/>
      <c r="X5264" s="33"/>
      <c r="Y5264" s="33"/>
      <c r="Z5264" s="33"/>
      <c r="AA5264" s="33"/>
      <c r="AB5264" s="33"/>
      <c r="AC5264" s="33"/>
      <c r="AD5264" s="33"/>
      <c r="AE5264" s="33"/>
      <c r="AF5264" s="33"/>
      <c r="AG5264" s="33"/>
      <c r="AH5264" s="33"/>
      <c r="AI5264" s="33"/>
      <c r="AJ5264" s="33"/>
      <c r="AK5264" s="33"/>
    </row>
    <row r="5265">
      <c r="A5265" s="33"/>
      <c r="B5265" s="33"/>
      <c r="C5265" s="33"/>
      <c r="D5265" s="33"/>
      <c r="E5265" s="33"/>
      <c r="F5265" s="33"/>
      <c r="G5265" s="33"/>
      <c r="H5265" s="33"/>
      <c r="I5265" s="33"/>
      <c r="J5265" s="33"/>
      <c r="K5265" s="33"/>
      <c r="L5265" s="33"/>
      <c r="M5265" s="33"/>
      <c r="N5265" s="33"/>
      <c r="O5265" s="33"/>
      <c r="P5265" s="33"/>
      <c r="Q5265" s="33"/>
      <c r="R5265" s="33"/>
      <c r="S5265" s="33"/>
      <c r="T5265" s="33"/>
      <c r="U5265" s="33"/>
      <c r="V5265" s="33"/>
      <c r="W5265" s="33"/>
      <c r="X5265" s="33"/>
      <c r="Y5265" s="33"/>
      <c r="Z5265" s="33"/>
      <c r="AA5265" s="33"/>
      <c r="AB5265" s="33"/>
      <c r="AC5265" s="33"/>
      <c r="AD5265" s="33"/>
      <c r="AE5265" s="33"/>
      <c r="AF5265" s="33"/>
      <c r="AG5265" s="33"/>
      <c r="AH5265" s="33"/>
      <c r="AI5265" s="33"/>
      <c r="AJ5265" s="33"/>
      <c r="AK5265" s="33"/>
    </row>
    <row r="5266">
      <c r="A5266" s="33"/>
      <c r="B5266" s="33"/>
      <c r="C5266" s="33"/>
      <c r="D5266" s="33"/>
      <c r="E5266" s="33"/>
      <c r="F5266" s="33"/>
      <c r="G5266" s="33"/>
      <c r="H5266" s="33"/>
      <c r="I5266" s="33"/>
      <c r="J5266" s="33"/>
      <c r="K5266" s="33"/>
      <c r="L5266" s="33"/>
      <c r="M5266" s="33"/>
      <c r="N5266" s="33"/>
      <c r="O5266" s="33"/>
      <c r="P5266" s="33"/>
      <c r="Q5266" s="33"/>
      <c r="R5266" s="33"/>
      <c r="S5266" s="33"/>
      <c r="T5266" s="33"/>
      <c r="U5266" s="33"/>
      <c r="V5266" s="33"/>
      <c r="W5266" s="33"/>
      <c r="X5266" s="33"/>
      <c r="Y5266" s="33"/>
      <c r="Z5266" s="33"/>
      <c r="AA5266" s="33"/>
      <c r="AB5266" s="33"/>
      <c r="AC5266" s="33"/>
      <c r="AD5266" s="33"/>
      <c r="AE5266" s="33"/>
      <c r="AF5266" s="33"/>
      <c r="AG5266" s="33"/>
      <c r="AH5266" s="33"/>
      <c r="AI5266" s="33"/>
      <c r="AJ5266" s="33"/>
      <c r="AK5266" s="33"/>
    </row>
    <row r="5267">
      <c r="A5267" s="33"/>
      <c r="B5267" s="33"/>
      <c r="C5267" s="33"/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  <c r="Q5267" s="33"/>
      <c r="R5267" s="33"/>
      <c r="S5267" s="33"/>
      <c r="T5267" s="33"/>
      <c r="U5267" s="33"/>
      <c r="V5267" s="33"/>
      <c r="W5267" s="33"/>
      <c r="X5267" s="33"/>
      <c r="Y5267" s="33"/>
      <c r="Z5267" s="33"/>
      <c r="AA5267" s="33"/>
      <c r="AB5267" s="33"/>
      <c r="AC5267" s="33"/>
      <c r="AD5267" s="33"/>
      <c r="AE5267" s="33"/>
      <c r="AF5267" s="33"/>
      <c r="AG5267" s="33"/>
      <c r="AH5267" s="33"/>
      <c r="AI5267" s="33"/>
      <c r="AJ5267" s="33"/>
      <c r="AK5267" s="33"/>
    </row>
    <row r="5268">
      <c r="A5268" s="33"/>
      <c r="B5268" s="33"/>
      <c r="C5268" s="33"/>
      <c r="D5268" s="33"/>
      <c r="E5268" s="33"/>
      <c r="F5268" s="33"/>
      <c r="G5268" s="33"/>
      <c r="H5268" s="33"/>
      <c r="I5268" s="33"/>
      <c r="J5268" s="33"/>
      <c r="K5268" s="33"/>
      <c r="L5268" s="33"/>
      <c r="M5268" s="33"/>
      <c r="N5268" s="33"/>
      <c r="O5268" s="33"/>
      <c r="P5268" s="33"/>
      <c r="Q5268" s="33"/>
      <c r="R5268" s="33"/>
      <c r="S5268" s="33"/>
      <c r="T5268" s="33"/>
      <c r="U5268" s="33"/>
      <c r="V5268" s="33"/>
      <c r="W5268" s="33"/>
      <c r="X5268" s="33"/>
      <c r="Y5268" s="33"/>
      <c r="Z5268" s="33"/>
      <c r="AA5268" s="33"/>
      <c r="AB5268" s="33"/>
      <c r="AC5268" s="33"/>
      <c r="AD5268" s="33"/>
      <c r="AE5268" s="33"/>
      <c r="AF5268" s="33"/>
      <c r="AG5268" s="33"/>
      <c r="AH5268" s="33"/>
      <c r="AI5268" s="33"/>
      <c r="AJ5268" s="33"/>
      <c r="AK5268" s="33"/>
    </row>
    <row r="5269">
      <c r="A5269" s="33"/>
      <c r="B5269" s="33"/>
      <c r="C5269" s="33"/>
      <c r="D5269" s="33"/>
      <c r="E5269" s="33"/>
      <c r="F5269" s="33"/>
      <c r="G5269" s="33"/>
      <c r="H5269" s="33"/>
      <c r="I5269" s="33"/>
      <c r="J5269" s="33"/>
      <c r="K5269" s="33"/>
      <c r="L5269" s="33"/>
      <c r="M5269" s="33"/>
      <c r="N5269" s="33"/>
      <c r="O5269" s="33"/>
      <c r="P5269" s="33"/>
      <c r="Q5269" s="33"/>
      <c r="R5269" s="33"/>
      <c r="S5269" s="33"/>
      <c r="T5269" s="33"/>
      <c r="U5269" s="33"/>
      <c r="V5269" s="33"/>
      <c r="W5269" s="33"/>
      <c r="X5269" s="33"/>
      <c r="Y5269" s="33"/>
      <c r="Z5269" s="33"/>
      <c r="AA5269" s="33"/>
      <c r="AB5269" s="33"/>
      <c r="AC5269" s="33"/>
      <c r="AD5269" s="33"/>
      <c r="AE5269" s="33"/>
      <c r="AF5269" s="33"/>
      <c r="AG5269" s="33"/>
      <c r="AH5269" s="33"/>
      <c r="AI5269" s="33"/>
      <c r="AJ5269" s="33"/>
      <c r="AK5269" s="33"/>
    </row>
    <row r="5270">
      <c r="A5270" s="33"/>
      <c r="B5270" s="33"/>
      <c r="C5270" s="33"/>
      <c r="D5270" s="33"/>
      <c r="E5270" s="33"/>
      <c r="F5270" s="33"/>
      <c r="G5270" s="33"/>
      <c r="H5270" s="33"/>
      <c r="I5270" s="33"/>
      <c r="J5270" s="33"/>
      <c r="K5270" s="33"/>
      <c r="L5270" s="33"/>
      <c r="M5270" s="33"/>
      <c r="N5270" s="33"/>
      <c r="O5270" s="33"/>
      <c r="P5270" s="33"/>
      <c r="Q5270" s="33"/>
      <c r="R5270" s="33"/>
      <c r="S5270" s="33"/>
      <c r="T5270" s="33"/>
      <c r="U5270" s="33"/>
      <c r="V5270" s="33"/>
      <c r="W5270" s="33"/>
      <c r="X5270" s="33"/>
      <c r="Y5270" s="33"/>
      <c r="Z5270" s="33"/>
      <c r="AA5270" s="33"/>
      <c r="AB5270" s="33"/>
      <c r="AC5270" s="33"/>
      <c r="AD5270" s="33"/>
      <c r="AE5270" s="33"/>
      <c r="AF5270" s="33"/>
      <c r="AG5270" s="33"/>
      <c r="AH5270" s="33"/>
      <c r="AI5270" s="33"/>
      <c r="AJ5270" s="33"/>
      <c r="AK5270" s="33"/>
    </row>
    <row r="5271">
      <c r="A5271" s="33"/>
      <c r="B5271" s="33"/>
      <c r="C5271" s="33"/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  <c r="Q5271" s="33"/>
      <c r="R5271" s="33"/>
      <c r="S5271" s="33"/>
      <c r="T5271" s="33"/>
      <c r="U5271" s="33"/>
      <c r="V5271" s="33"/>
      <c r="W5271" s="33"/>
      <c r="X5271" s="33"/>
      <c r="Y5271" s="33"/>
      <c r="Z5271" s="33"/>
      <c r="AA5271" s="33"/>
      <c r="AB5271" s="33"/>
      <c r="AC5271" s="33"/>
      <c r="AD5271" s="33"/>
      <c r="AE5271" s="33"/>
      <c r="AF5271" s="33"/>
      <c r="AG5271" s="33"/>
      <c r="AH5271" s="33"/>
      <c r="AI5271" s="33"/>
      <c r="AJ5271" s="33"/>
      <c r="AK5271" s="33"/>
    </row>
    <row r="5272">
      <c r="A5272" s="33"/>
      <c r="B5272" s="33"/>
      <c r="C5272" s="33"/>
      <c r="D5272" s="33"/>
      <c r="E5272" s="33"/>
      <c r="F5272" s="33"/>
      <c r="G5272" s="33"/>
      <c r="H5272" s="33"/>
      <c r="I5272" s="33"/>
      <c r="J5272" s="33"/>
      <c r="K5272" s="33"/>
      <c r="L5272" s="33"/>
      <c r="M5272" s="33"/>
      <c r="N5272" s="33"/>
      <c r="O5272" s="33"/>
      <c r="P5272" s="33"/>
      <c r="Q5272" s="33"/>
      <c r="R5272" s="33"/>
      <c r="S5272" s="33"/>
      <c r="T5272" s="33"/>
      <c r="U5272" s="33"/>
      <c r="V5272" s="33"/>
      <c r="W5272" s="33"/>
      <c r="X5272" s="33"/>
      <c r="Y5272" s="33"/>
      <c r="Z5272" s="33"/>
      <c r="AA5272" s="33"/>
      <c r="AB5272" s="33"/>
      <c r="AC5272" s="33"/>
      <c r="AD5272" s="33"/>
      <c r="AE5272" s="33"/>
      <c r="AF5272" s="33"/>
      <c r="AG5272" s="33"/>
      <c r="AH5272" s="33"/>
      <c r="AI5272" s="33"/>
      <c r="AJ5272" s="33"/>
      <c r="AK5272" s="33"/>
    </row>
    <row r="5273">
      <c r="A5273" s="33"/>
      <c r="B5273" s="33"/>
      <c r="C5273" s="33"/>
      <c r="D5273" s="33"/>
      <c r="E5273" s="33"/>
      <c r="F5273" s="33"/>
      <c r="G5273" s="33"/>
      <c r="H5273" s="33"/>
      <c r="I5273" s="33"/>
      <c r="J5273" s="33"/>
      <c r="K5273" s="33"/>
      <c r="L5273" s="33"/>
      <c r="M5273" s="33"/>
      <c r="N5273" s="33"/>
      <c r="O5273" s="33"/>
      <c r="P5273" s="33"/>
      <c r="Q5273" s="33"/>
      <c r="R5273" s="33"/>
      <c r="S5273" s="33"/>
      <c r="T5273" s="33"/>
      <c r="U5273" s="33"/>
      <c r="V5273" s="33"/>
      <c r="W5273" s="33"/>
      <c r="X5273" s="33"/>
      <c r="Y5273" s="33"/>
      <c r="Z5273" s="33"/>
      <c r="AA5273" s="33"/>
      <c r="AB5273" s="33"/>
      <c r="AC5273" s="33"/>
      <c r="AD5273" s="33"/>
      <c r="AE5273" s="33"/>
      <c r="AF5273" s="33"/>
      <c r="AG5273" s="33"/>
      <c r="AH5273" s="33"/>
      <c r="AI5273" s="33"/>
      <c r="AJ5273" s="33"/>
      <c r="AK5273" s="33"/>
    </row>
    <row r="5274">
      <c r="A5274" s="33"/>
      <c r="B5274" s="33"/>
      <c r="C5274" s="33"/>
      <c r="D5274" s="33"/>
      <c r="E5274" s="33"/>
      <c r="F5274" s="33"/>
      <c r="G5274" s="33"/>
      <c r="H5274" s="33"/>
      <c r="I5274" s="33"/>
      <c r="J5274" s="33"/>
      <c r="K5274" s="33"/>
      <c r="L5274" s="33"/>
      <c r="M5274" s="33"/>
      <c r="N5274" s="33"/>
      <c r="O5274" s="33"/>
      <c r="P5274" s="33"/>
      <c r="Q5274" s="33"/>
      <c r="R5274" s="33"/>
      <c r="S5274" s="33"/>
      <c r="T5274" s="33"/>
      <c r="U5274" s="33"/>
      <c r="V5274" s="33"/>
      <c r="W5274" s="33"/>
      <c r="X5274" s="33"/>
      <c r="Y5274" s="33"/>
      <c r="Z5274" s="33"/>
      <c r="AA5274" s="33"/>
      <c r="AB5274" s="33"/>
      <c r="AC5274" s="33"/>
      <c r="AD5274" s="33"/>
      <c r="AE5274" s="33"/>
      <c r="AF5274" s="33"/>
      <c r="AG5274" s="33"/>
      <c r="AH5274" s="33"/>
      <c r="AI5274" s="33"/>
      <c r="AJ5274" s="33"/>
      <c r="AK5274" s="33"/>
    </row>
    <row r="5275">
      <c r="A5275" s="33"/>
      <c r="B5275" s="33"/>
      <c r="C5275" s="33"/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  <c r="Q5275" s="33"/>
      <c r="R5275" s="33"/>
      <c r="S5275" s="33"/>
      <c r="T5275" s="33"/>
      <c r="U5275" s="33"/>
      <c r="V5275" s="33"/>
      <c r="W5275" s="33"/>
      <c r="X5275" s="33"/>
      <c r="Y5275" s="33"/>
      <c r="Z5275" s="33"/>
      <c r="AA5275" s="33"/>
      <c r="AB5275" s="33"/>
      <c r="AC5275" s="33"/>
      <c r="AD5275" s="33"/>
      <c r="AE5275" s="33"/>
      <c r="AF5275" s="33"/>
      <c r="AG5275" s="33"/>
      <c r="AH5275" s="33"/>
      <c r="AI5275" s="33"/>
      <c r="AJ5275" s="33"/>
      <c r="AK5275" s="33"/>
    </row>
    <row r="5276">
      <c r="A5276" s="33"/>
      <c r="B5276" s="33"/>
      <c r="C5276" s="33"/>
      <c r="D5276" s="33"/>
      <c r="E5276" s="33"/>
      <c r="F5276" s="33"/>
      <c r="G5276" s="33"/>
      <c r="H5276" s="33"/>
      <c r="I5276" s="33"/>
      <c r="J5276" s="33"/>
      <c r="K5276" s="33"/>
      <c r="L5276" s="33"/>
      <c r="M5276" s="33"/>
      <c r="N5276" s="33"/>
      <c r="O5276" s="33"/>
      <c r="P5276" s="33"/>
      <c r="Q5276" s="33"/>
      <c r="R5276" s="33"/>
      <c r="S5276" s="33"/>
      <c r="T5276" s="33"/>
      <c r="U5276" s="33"/>
      <c r="V5276" s="33"/>
      <c r="W5276" s="33"/>
      <c r="X5276" s="33"/>
      <c r="Y5276" s="33"/>
      <c r="Z5276" s="33"/>
      <c r="AA5276" s="33"/>
      <c r="AB5276" s="33"/>
      <c r="AC5276" s="33"/>
      <c r="AD5276" s="33"/>
      <c r="AE5276" s="33"/>
      <c r="AF5276" s="33"/>
      <c r="AG5276" s="33"/>
      <c r="AH5276" s="33"/>
      <c r="AI5276" s="33"/>
      <c r="AJ5276" s="33"/>
      <c r="AK5276" s="33"/>
    </row>
    <row r="5277">
      <c r="A5277" s="33"/>
      <c r="B5277" s="33"/>
      <c r="C5277" s="33"/>
      <c r="D5277" s="33"/>
      <c r="E5277" s="33"/>
      <c r="F5277" s="33"/>
      <c r="G5277" s="33"/>
      <c r="H5277" s="33"/>
      <c r="I5277" s="33"/>
      <c r="J5277" s="33"/>
      <c r="K5277" s="33"/>
      <c r="L5277" s="33"/>
      <c r="M5277" s="33"/>
      <c r="N5277" s="33"/>
      <c r="O5277" s="33"/>
      <c r="P5277" s="33"/>
      <c r="Q5277" s="33"/>
      <c r="R5277" s="33"/>
      <c r="S5277" s="33"/>
      <c r="T5277" s="33"/>
      <c r="U5277" s="33"/>
      <c r="V5277" s="33"/>
      <c r="W5277" s="33"/>
      <c r="X5277" s="33"/>
      <c r="Y5277" s="33"/>
      <c r="Z5277" s="33"/>
      <c r="AA5277" s="33"/>
      <c r="AB5277" s="33"/>
      <c r="AC5277" s="33"/>
      <c r="AD5277" s="33"/>
      <c r="AE5277" s="33"/>
      <c r="AF5277" s="33"/>
      <c r="AG5277" s="33"/>
      <c r="AH5277" s="33"/>
      <c r="AI5277" s="33"/>
      <c r="AJ5277" s="33"/>
      <c r="AK5277" s="33"/>
    </row>
    <row r="5278">
      <c r="A5278" s="33"/>
      <c r="B5278" s="33"/>
      <c r="C5278" s="33"/>
      <c r="D5278" s="33"/>
      <c r="E5278" s="33"/>
      <c r="F5278" s="33"/>
      <c r="G5278" s="33"/>
      <c r="H5278" s="33"/>
      <c r="I5278" s="33"/>
      <c r="J5278" s="33"/>
      <c r="K5278" s="33"/>
      <c r="L5278" s="33"/>
      <c r="M5278" s="33"/>
      <c r="N5278" s="33"/>
      <c r="O5278" s="33"/>
      <c r="P5278" s="33"/>
      <c r="Q5278" s="33"/>
      <c r="R5278" s="33"/>
      <c r="S5278" s="33"/>
      <c r="T5278" s="33"/>
      <c r="U5278" s="33"/>
      <c r="V5278" s="33"/>
      <c r="W5278" s="33"/>
      <c r="X5278" s="33"/>
      <c r="Y5278" s="33"/>
      <c r="Z5278" s="33"/>
      <c r="AA5278" s="33"/>
      <c r="AB5278" s="33"/>
      <c r="AC5278" s="33"/>
      <c r="AD5278" s="33"/>
      <c r="AE5278" s="33"/>
      <c r="AF5278" s="33"/>
      <c r="AG5278" s="33"/>
      <c r="AH5278" s="33"/>
      <c r="AI5278" s="33"/>
      <c r="AJ5278" s="33"/>
      <c r="AK5278" s="33"/>
    </row>
    <row r="5279">
      <c r="A5279" s="33"/>
      <c r="B5279" s="33"/>
      <c r="C5279" s="33"/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  <c r="Q5279" s="33"/>
      <c r="R5279" s="33"/>
      <c r="S5279" s="33"/>
      <c r="T5279" s="33"/>
      <c r="U5279" s="33"/>
      <c r="V5279" s="33"/>
      <c r="W5279" s="33"/>
      <c r="X5279" s="33"/>
      <c r="Y5279" s="33"/>
      <c r="Z5279" s="33"/>
      <c r="AA5279" s="33"/>
      <c r="AB5279" s="33"/>
      <c r="AC5279" s="33"/>
      <c r="AD5279" s="33"/>
      <c r="AE5279" s="33"/>
      <c r="AF5279" s="33"/>
      <c r="AG5279" s="33"/>
      <c r="AH5279" s="33"/>
      <c r="AI5279" s="33"/>
      <c r="AJ5279" s="33"/>
      <c r="AK5279" s="33"/>
    </row>
    <row r="5280">
      <c r="A5280" s="33"/>
      <c r="B5280" s="33"/>
      <c r="C5280" s="33"/>
      <c r="D5280" s="33"/>
      <c r="E5280" s="33"/>
      <c r="F5280" s="33"/>
      <c r="G5280" s="33"/>
      <c r="H5280" s="33"/>
      <c r="I5280" s="33"/>
      <c r="J5280" s="33"/>
      <c r="K5280" s="33"/>
      <c r="L5280" s="33"/>
      <c r="M5280" s="33"/>
      <c r="N5280" s="33"/>
      <c r="O5280" s="33"/>
      <c r="P5280" s="33"/>
      <c r="Q5280" s="33"/>
      <c r="R5280" s="33"/>
      <c r="S5280" s="33"/>
      <c r="T5280" s="33"/>
      <c r="U5280" s="33"/>
      <c r="V5280" s="33"/>
      <c r="W5280" s="33"/>
      <c r="X5280" s="33"/>
      <c r="Y5280" s="33"/>
      <c r="Z5280" s="33"/>
      <c r="AA5280" s="33"/>
      <c r="AB5280" s="33"/>
      <c r="AC5280" s="33"/>
      <c r="AD5280" s="33"/>
      <c r="AE5280" s="33"/>
      <c r="AF5280" s="33"/>
      <c r="AG5280" s="33"/>
      <c r="AH5280" s="33"/>
      <c r="AI5280" s="33"/>
      <c r="AJ5280" s="33"/>
      <c r="AK5280" s="33"/>
    </row>
    <row r="5281">
      <c r="A5281" s="33"/>
      <c r="B5281" s="33"/>
      <c r="C5281" s="33"/>
      <c r="D5281" s="33"/>
      <c r="E5281" s="33"/>
      <c r="F5281" s="33"/>
      <c r="G5281" s="33"/>
      <c r="H5281" s="33"/>
      <c r="I5281" s="33"/>
      <c r="J5281" s="33"/>
      <c r="K5281" s="33"/>
      <c r="L5281" s="33"/>
      <c r="M5281" s="33"/>
      <c r="N5281" s="33"/>
      <c r="O5281" s="33"/>
      <c r="P5281" s="33"/>
      <c r="Q5281" s="33"/>
      <c r="R5281" s="33"/>
      <c r="S5281" s="33"/>
      <c r="T5281" s="33"/>
      <c r="U5281" s="33"/>
      <c r="V5281" s="33"/>
      <c r="W5281" s="33"/>
      <c r="X5281" s="33"/>
      <c r="Y5281" s="33"/>
      <c r="Z5281" s="33"/>
      <c r="AA5281" s="33"/>
      <c r="AB5281" s="33"/>
      <c r="AC5281" s="33"/>
      <c r="AD5281" s="33"/>
      <c r="AE5281" s="33"/>
      <c r="AF5281" s="33"/>
      <c r="AG5281" s="33"/>
      <c r="AH5281" s="33"/>
      <c r="AI5281" s="33"/>
      <c r="AJ5281" s="33"/>
      <c r="AK5281" s="33"/>
    </row>
    <row r="5282">
      <c r="A5282" s="33"/>
      <c r="B5282" s="33"/>
      <c r="C5282" s="33"/>
      <c r="D5282" s="33"/>
      <c r="E5282" s="33"/>
      <c r="F5282" s="33"/>
      <c r="G5282" s="33"/>
      <c r="H5282" s="33"/>
      <c r="I5282" s="33"/>
      <c r="J5282" s="33"/>
      <c r="K5282" s="33"/>
      <c r="L5282" s="33"/>
      <c r="M5282" s="33"/>
      <c r="N5282" s="33"/>
      <c r="O5282" s="33"/>
      <c r="P5282" s="33"/>
      <c r="Q5282" s="33"/>
      <c r="R5282" s="33"/>
      <c r="S5282" s="33"/>
      <c r="T5282" s="33"/>
      <c r="U5282" s="33"/>
      <c r="V5282" s="33"/>
      <c r="W5282" s="33"/>
      <c r="X5282" s="33"/>
      <c r="Y5282" s="33"/>
      <c r="Z5282" s="33"/>
      <c r="AA5282" s="33"/>
      <c r="AB5282" s="33"/>
      <c r="AC5282" s="33"/>
      <c r="AD5282" s="33"/>
      <c r="AE5282" s="33"/>
      <c r="AF5282" s="33"/>
      <c r="AG5282" s="33"/>
      <c r="AH5282" s="33"/>
      <c r="AI5282" s="33"/>
      <c r="AJ5282" s="33"/>
      <c r="AK5282" s="33"/>
    </row>
    <row r="5283">
      <c r="A5283" s="33"/>
      <c r="B5283" s="33"/>
      <c r="C5283" s="33"/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  <c r="Q5283" s="33"/>
      <c r="R5283" s="33"/>
      <c r="S5283" s="33"/>
      <c r="T5283" s="33"/>
      <c r="U5283" s="33"/>
      <c r="V5283" s="33"/>
      <c r="W5283" s="33"/>
      <c r="X5283" s="33"/>
      <c r="Y5283" s="33"/>
      <c r="Z5283" s="33"/>
      <c r="AA5283" s="33"/>
      <c r="AB5283" s="33"/>
      <c r="AC5283" s="33"/>
      <c r="AD5283" s="33"/>
      <c r="AE5283" s="33"/>
      <c r="AF5283" s="33"/>
      <c r="AG5283" s="33"/>
      <c r="AH5283" s="33"/>
      <c r="AI5283" s="33"/>
      <c r="AJ5283" s="33"/>
      <c r="AK5283" s="33"/>
    </row>
    <row r="5284">
      <c r="A5284" s="33"/>
      <c r="B5284" s="33"/>
      <c r="C5284" s="33"/>
      <c r="D5284" s="33"/>
      <c r="E5284" s="33"/>
      <c r="F5284" s="33"/>
      <c r="G5284" s="33"/>
      <c r="H5284" s="33"/>
      <c r="I5284" s="33"/>
      <c r="J5284" s="33"/>
      <c r="K5284" s="33"/>
      <c r="L5284" s="33"/>
      <c r="M5284" s="33"/>
      <c r="N5284" s="33"/>
      <c r="O5284" s="33"/>
      <c r="P5284" s="33"/>
      <c r="Q5284" s="33"/>
      <c r="R5284" s="33"/>
      <c r="S5284" s="33"/>
      <c r="T5284" s="33"/>
      <c r="U5284" s="33"/>
      <c r="V5284" s="33"/>
      <c r="W5284" s="33"/>
      <c r="X5284" s="33"/>
      <c r="Y5284" s="33"/>
      <c r="Z5284" s="33"/>
      <c r="AA5284" s="33"/>
      <c r="AB5284" s="33"/>
      <c r="AC5284" s="33"/>
      <c r="AD5284" s="33"/>
      <c r="AE5284" s="33"/>
      <c r="AF5284" s="33"/>
      <c r="AG5284" s="33"/>
      <c r="AH5284" s="33"/>
      <c r="AI5284" s="33"/>
      <c r="AJ5284" s="33"/>
      <c r="AK5284" s="33"/>
    </row>
    <row r="5285">
      <c r="A5285" s="33"/>
      <c r="B5285" s="33"/>
      <c r="C5285" s="33"/>
      <c r="D5285" s="33"/>
      <c r="E5285" s="33"/>
      <c r="F5285" s="33"/>
      <c r="G5285" s="33"/>
      <c r="H5285" s="33"/>
      <c r="I5285" s="33"/>
      <c r="J5285" s="33"/>
      <c r="K5285" s="33"/>
      <c r="L5285" s="33"/>
      <c r="M5285" s="33"/>
      <c r="N5285" s="33"/>
      <c r="O5285" s="33"/>
      <c r="P5285" s="33"/>
      <c r="Q5285" s="33"/>
      <c r="R5285" s="33"/>
      <c r="S5285" s="33"/>
      <c r="T5285" s="33"/>
      <c r="U5285" s="33"/>
      <c r="V5285" s="33"/>
      <c r="W5285" s="33"/>
      <c r="X5285" s="33"/>
      <c r="Y5285" s="33"/>
      <c r="Z5285" s="33"/>
      <c r="AA5285" s="33"/>
      <c r="AB5285" s="33"/>
      <c r="AC5285" s="33"/>
      <c r="AD5285" s="33"/>
      <c r="AE5285" s="33"/>
      <c r="AF5285" s="33"/>
      <c r="AG5285" s="33"/>
      <c r="AH5285" s="33"/>
      <c r="AI5285" s="33"/>
      <c r="AJ5285" s="33"/>
      <c r="AK5285" s="33"/>
    </row>
    <row r="5286">
      <c r="A5286" s="33"/>
      <c r="B5286" s="33"/>
      <c r="C5286" s="33"/>
      <c r="D5286" s="33"/>
      <c r="E5286" s="33"/>
      <c r="F5286" s="33"/>
      <c r="G5286" s="33"/>
      <c r="H5286" s="33"/>
      <c r="I5286" s="33"/>
      <c r="J5286" s="33"/>
      <c r="K5286" s="33"/>
      <c r="L5286" s="33"/>
      <c r="M5286" s="33"/>
      <c r="N5286" s="33"/>
      <c r="O5286" s="33"/>
      <c r="P5286" s="33"/>
      <c r="Q5286" s="33"/>
      <c r="R5286" s="33"/>
      <c r="S5286" s="33"/>
      <c r="T5286" s="33"/>
      <c r="U5286" s="33"/>
      <c r="V5286" s="33"/>
      <c r="W5286" s="33"/>
      <c r="X5286" s="33"/>
      <c r="Y5286" s="33"/>
      <c r="Z5286" s="33"/>
      <c r="AA5286" s="33"/>
      <c r="AB5286" s="33"/>
      <c r="AC5286" s="33"/>
      <c r="AD5286" s="33"/>
      <c r="AE5286" s="33"/>
      <c r="AF5286" s="33"/>
      <c r="AG5286" s="33"/>
      <c r="AH5286" s="33"/>
      <c r="AI5286" s="33"/>
      <c r="AJ5286" s="33"/>
      <c r="AK5286" s="33"/>
    </row>
    <row r="5287">
      <c r="A5287" s="33"/>
      <c r="B5287" s="33"/>
      <c r="C5287" s="33"/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  <c r="R5287" s="33"/>
      <c r="S5287" s="33"/>
      <c r="T5287" s="33"/>
      <c r="U5287" s="33"/>
      <c r="V5287" s="33"/>
      <c r="W5287" s="33"/>
      <c r="X5287" s="33"/>
      <c r="Y5287" s="33"/>
      <c r="Z5287" s="33"/>
      <c r="AA5287" s="33"/>
      <c r="AB5287" s="33"/>
      <c r="AC5287" s="33"/>
      <c r="AD5287" s="33"/>
      <c r="AE5287" s="33"/>
      <c r="AF5287" s="33"/>
      <c r="AG5287" s="33"/>
      <c r="AH5287" s="33"/>
      <c r="AI5287" s="33"/>
      <c r="AJ5287" s="33"/>
      <c r="AK5287" s="33"/>
    </row>
    <row r="5288">
      <c r="A5288" s="33"/>
      <c r="B5288" s="33"/>
      <c r="C5288" s="33"/>
      <c r="D5288" s="33"/>
      <c r="E5288" s="33"/>
      <c r="F5288" s="33"/>
      <c r="G5288" s="33"/>
      <c r="H5288" s="33"/>
      <c r="I5288" s="33"/>
      <c r="J5288" s="33"/>
      <c r="K5288" s="33"/>
      <c r="L5288" s="33"/>
      <c r="M5288" s="33"/>
      <c r="N5288" s="33"/>
      <c r="O5288" s="33"/>
      <c r="P5288" s="33"/>
      <c r="Q5288" s="33"/>
      <c r="R5288" s="33"/>
      <c r="S5288" s="33"/>
      <c r="T5288" s="33"/>
      <c r="U5288" s="33"/>
      <c r="V5288" s="33"/>
      <c r="W5288" s="33"/>
      <c r="X5288" s="33"/>
      <c r="Y5288" s="33"/>
      <c r="Z5288" s="33"/>
      <c r="AA5288" s="33"/>
      <c r="AB5288" s="33"/>
      <c r="AC5288" s="33"/>
      <c r="AD5288" s="33"/>
      <c r="AE5288" s="33"/>
      <c r="AF5288" s="33"/>
      <c r="AG5288" s="33"/>
      <c r="AH5288" s="33"/>
      <c r="AI5288" s="33"/>
      <c r="AJ5288" s="33"/>
      <c r="AK5288" s="33"/>
    </row>
    <row r="5289">
      <c r="A5289" s="33"/>
      <c r="B5289" s="33"/>
      <c r="C5289" s="33"/>
      <c r="D5289" s="33"/>
      <c r="E5289" s="33"/>
      <c r="F5289" s="33"/>
      <c r="G5289" s="33"/>
      <c r="H5289" s="33"/>
      <c r="I5289" s="33"/>
      <c r="J5289" s="33"/>
      <c r="K5289" s="33"/>
      <c r="L5289" s="33"/>
      <c r="M5289" s="33"/>
      <c r="N5289" s="33"/>
      <c r="O5289" s="33"/>
      <c r="P5289" s="33"/>
      <c r="Q5289" s="33"/>
      <c r="R5289" s="33"/>
      <c r="S5289" s="33"/>
      <c r="T5289" s="33"/>
      <c r="U5289" s="33"/>
      <c r="V5289" s="33"/>
      <c r="W5289" s="33"/>
      <c r="X5289" s="33"/>
      <c r="Y5289" s="33"/>
      <c r="Z5289" s="33"/>
      <c r="AA5289" s="33"/>
      <c r="AB5289" s="33"/>
      <c r="AC5289" s="33"/>
      <c r="AD5289" s="33"/>
      <c r="AE5289" s="33"/>
      <c r="AF5289" s="33"/>
      <c r="AG5289" s="33"/>
      <c r="AH5289" s="33"/>
      <c r="AI5289" s="33"/>
      <c r="AJ5289" s="33"/>
      <c r="AK5289" s="33"/>
    </row>
    <row r="5290">
      <c r="A5290" s="33"/>
      <c r="B5290" s="33"/>
      <c r="C5290" s="33"/>
      <c r="D5290" s="33"/>
      <c r="E5290" s="33"/>
      <c r="F5290" s="33"/>
      <c r="G5290" s="33"/>
      <c r="H5290" s="33"/>
      <c r="I5290" s="33"/>
      <c r="J5290" s="33"/>
      <c r="K5290" s="33"/>
      <c r="L5290" s="33"/>
      <c r="M5290" s="33"/>
      <c r="N5290" s="33"/>
      <c r="O5290" s="33"/>
      <c r="P5290" s="33"/>
      <c r="Q5290" s="33"/>
      <c r="R5290" s="33"/>
      <c r="S5290" s="33"/>
      <c r="T5290" s="33"/>
      <c r="U5290" s="33"/>
      <c r="V5290" s="33"/>
      <c r="W5290" s="33"/>
      <c r="X5290" s="33"/>
      <c r="Y5290" s="33"/>
      <c r="Z5290" s="33"/>
      <c r="AA5290" s="33"/>
      <c r="AB5290" s="33"/>
      <c r="AC5290" s="33"/>
      <c r="AD5290" s="33"/>
      <c r="AE5290" s="33"/>
      <c r="AF5290" s="33"/>
      <c r="AG5290" s="33"/>
      <c r="AH5290" s="33"/>
      <c r="AI5290" s="33"/>
      <c r="AJ5290" s="33"/>
      <c r="AK5290" s="33"/>
    </row>
    <row r="5291">
      <c r="A5291" s="33"/>
      <c r="B5291" s="33"/>
      <c r="C5291" s="33"/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3"/>
      <c r="S5291" s="33"/>
      <c r="T5291" s="33"/>
      <c r="U5291" s="33"/>
      <c r="V5291" s="33"/>
      <c r="W5291" s="33"/>
      <c r="X5291" s="33"/>
      <c r="Y5291" s="33"/>
      <c r="Z5291" s="33"/>
      <c r="AA5291" s="33"/>
      <c r="AB5291" s="33"/>
      <c r="AC5291" s="33"/>
      <c r="AD5291" s="33"/>
      <c r="AE5291" s="33"/>
      <c r="AF5291" s="33"/>
      <c r="AG5291" s="33"/>
      <c r="AH5291" s="33"/>
      <c r="AI5291" s="33"/>
      <c r="AJ5291" s="33"/>
      <c r="AK5291" s="33"/>
    </row>
    <row r="5292">
      <c r="A5292" s="33"/>
      <c r="B5292" s="33"/>
      <c r="C5292" s="33"/>
      <c r="D5292" s="33"/>
      <c r="E5292" s="33"/>
      <c r="F5292" s="33"/>
      <c r="G5292" s="33"/>
      <c r="H5292" s="33"/>
      <c r="I5292" s="33"/>
      <c r="J5292" s="33"/>
      <c r="K5292" s="33"/>
      <c r="L5292" s="33"/>
      <c r="M5292" s="33"/>
      <c r="N5292" s="33"/>
      <c r="O5292" s="33"/>
      <c r="P5292" s="33"/>
      <c r="Q5292" s="33"/>
      <c r="R5292" s="33"/>
      <c r="S5292" s="33"/>
      <c r="T5292" s="33"/>
      <c r="U5292" s="33"/>
      <c r="V5292" s="33"/>
      <c r="W5292" s="33"/>
      <c r="X5292" s="33"/>
      <c r="Y5292" s="33"/>
      <c r="Z5292" s="33"/>
      <c r="AA5292" s="33"/>
      <c r="AB5292" s="33"/>
      <c r="AC5292" s="33"/>
      <c r="AD5292" s="33"/>
      <c r="AE5292" s="33"/>
      <c r="AF5292" s="33"/>
      <c r="AG5292" s="33"/>
      <c r="AH5292" s="33"/>
      <c r="AI5292" s="33"/>
      <c r="AJ5292" s="33"/>
      <c r="AK5292" s="33"/>
    </row>
    <row r="5293">
      <c r="A5293" s="33"/>
      <c r="B5293" s="33"/>
      <c r="C5293" s="33"/>
      <c r="D5293" s="33"/>
      <c r="E5293" s="33"/>
      <c r="F5293" s="33"/>
      <c r="G5293" s="33"/>
      <c r="H5293" s="33"/>
      <c r="I5293" s="33"/>
      <c r="J5293" s="33"/>
      <c r="K5293" s="33"/>
      <c r="L5293" s="33"/>
      <c r="M5293" s="33"/>
      <c r="N5293" s="33"/>
      <c r="O5293" s="33"/>
      <c r="P5293" s="33"/>
      <c r="Q5293" s="33"/>
      <c r="R5293" s="33"/>
      <c r="S5293" s="33"/>
      <c r="T5293" s="33"/>
      <c r="U5293" s="33"/>
      <c r="V5293" s="33"/>
      <c r="W5293" s="33"/>
      <c r="X5293" s="33"/>
      <c r="Y5293" s="33"/>
      <c r="Z5293" s="33"/>
      <c r="AA5293" s="33"/>
      <c r="AB5293" s="33"/>
      <c r="AC5293" s="33"/>
      <c r="AD5293" s="33"/>
      <c r="AE5293" s="33"/>
      <c r="AF5293" s="33"/>
      <c r="AG5293" s="33"/>
      <c r="AH5293" s="33"/>
      <c r="AI5293" s="33"/>
      <c r="AJ5293" s="33"/>
      <c r="AK5293" s="33"/>
    </row>
    <row r="5294">
      <c r="A5294" s="33"/>
      <c r="B5294" s="33"/>
      <c r="C5294" s="33"/>
      <c r="D5294" s="33"/>
      <c r="E5294" s="33"/>
      <c r="F5294" s="33"/>
      <c r="G5294" s="33"/>
      <c r="H5294" s="33"/>
      <c r="I5294" s="33"/>
      <c r="J5294" s="33"/>
      <c r="K5294" s="33"/>
      <c r="L5294" s="33"/>
      <c r="M5294" s="33"/>
      <c r="N5294" s="33"/>
      <c r="O5294" s="33"/>
      <c r="P5294" s="33"/>
      <c r="Q5294" s="33"/>
      <c r="R5294" s="33"/>
      <c r="S5294" s="33"/>
      <c r="T5294" s="33"/>
      <c r="U5294" s="33"/>
      <c r="V5294" s="33"/>
      <c r="W5294" s="33"/>
      <c r="X5294" s="33"/>
      <c r="Y5294" s="33"/>
      <c r="Z5294" s="33"/>
      <c r="AA5294" s="33"/>
      <c r="AB5294" s="33"/>
      <c r="AC5294" s="33"/>
      <c r="AD5294" s="33"/>
      <c r="AE5294" s="33"/>
      <c r="AF5294" s="33"/>
      <c r="AG5294" s="33"/>
      <c r="AH5294" s="33"/>
      <c r="AI5294" s="33"/>
      <c r="AJ5294" s="33"/>
      <c r="AK5294" s="33"/>
    </row>
    <row r="5295">
      <c r="A5295" s="33"/>
      <c r="B5295" s="33"/>
      <c r="C5295" s="33"/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  <c r="Q5295" s="33"/>
      <c r="R5295" s="33"/>
      <c r="S5295" s="33"/>
      <c r="T5295" s="33"/>
      <c r="U5295" s="33"/>
      <c r="V5295" s="33"/>
      <c r="W5295" s="33"/>
      <c r="X5295" s="33"/>
      <c r="Y5295" s="33"/>
      <c r="Z5295" s="33"/>
      <c r="AA5295" s="33"/>
      <c r="AB5295" s="33"/>
      <c r="AC5295" s="33"/>
      <c r="AD5295" s="33"/>
      <c r="AE5295" s="33"/>
      <c r="AF5295" s="33"/>
      <c r="AG5295" s="33"/>
      <c r="AH5295" s="33"/>
      <c r="AI5295" s="33"/>
      <c r="AJ5295" s="33"/>
      <c r="AK5295" s="33"/>
    </row>
    <row r="5296">
      <c r="A5296" s="33"/>
      <c r="B5296" s="33"/>
      <c r="C5296" s="33"/>
      <c r="D5296" s="33"/>
      <c r="E5296" s="33"/>
      <c r="F5296" s="33"/>
      <c r="G5296" s="33"/>
      <c r="H5296" s="33"/>
      <c r="I5296" s="33"/>
      <c r="J5296" s="33"/>
      <c r="K5296" s="33"/>
      <c r="L5296" s="33"/>
      <c r="M5296" s="33"/>
      <c r="N5296" s="33"/>
      <c r="O5296" s="33"/>
      <c r="P5296" s="33"/>
      <c r="Q5296" s="33"/>
      <c r="R5296" s="33"/>
      <c r="S5296" s="33"/>
      <c r="T5296" s="33"/>
      <c r="U5296" s="33"/>
      <c r="V5296" s="33"/>
      <c r="W5296" s="33"/>
      <c r="X5296" s="33"/>
      <c r="Y5296" s="33"/>
      <c r="Z5296" s="33"/>
      <c r="AA5296" s="33"/>
      <c r="AB5296" s="33"/>
      <c r="AC5296" s="33"/>
      <c r="AD5296" s="33"/>
      <c r="AE5296" s="33"/>
      <c r="AF5296" s="33"/>
      <c r="AG5296" s="33"/>
      <c r="AH5296" s="33"/>
      <c r="AI5296" s="33"/>
      <c r="AJ5296" s="33"/>
      <c r="AK5296" s="33"/>
    </row>
    <row r="5297">
      <c r="A5297" s="33"/>
      <c r="B5297" s="33"/>
      <c r="C5297" s="33"/>
      <c r="D5297" s="33"/>
      <c r="E5297" s="33"/>
      <c r="F5297" s="33"/>
      <c r="G5297" s="33"/>
      <c r="H5297" s="33"/>
      <c r="I5297" s="33"/>
      <c r="J5297" s="33"/>
      <c r="K5297" s="33"/>
      <c r="L5297" s="33"/>
      <c r="M5297" s="33"/>
      <c r="N5297" s="33"/>
      <c r="O5297" s="33"/>
      <c r="P5297" s="33"/>
      <c r="Q5297" s="33"/>
      <c r="R5297" s="33"/>
      <c r="S5297" s="33"/>
      <c r="T5297" s="33"/>
      <c r="U5297" s="33"/>
      <c r="V5297" s="33"/>
      <c r="W5297" s="33"/>
      <c r="X5297" s="33"/>
      <c r="Y5297" s="33"/>
      <c r="Z5297" s="33"/>
      <c r="AA5297" s="33"/>
      <c r="AB5297" s="33"/>
      <c r="AC5297" s="33"/>
      <c r="AD5297" s="33"/>
      <c r="AE5297" s="33"/>
      <c r="AF5297" s="33"/>
      <c r="AG5297" s="33"/>
      <c r="AH5297" s="33"/>
      <c r="AI5297" s="33"/>
      <c r="AJ5297" s="33"/>
      <c r="AK5297" s="33"/>
    </row>
    <row r="5298">
      <c r="A5298" s="33"/>
      <c r="B5298" s="33"/>
      <c r="C5298" s="33"/>
      <c r="D5298" s="33"/>
      <c r="E5298" s="33"/>
      <c r="F5298" s="33"/>
      <c r="G5298" s="33"/>
      <c r="H5298" s="33"/>
      <c r="I5298" s="33"/>
      <c r="J5298" s="33"/>
      <c r="K5298" s="33"/>
      <c r="L5298" s="33"/>
      <c r="M5298" s="33"/>
      <c r="N5298" s="33"/>
      <c r="O5298" s="33"/>
      <c r="P5298" s="33"/>
      <c r="Q5298" s="33"/>
      <c r="R5298" s="33"/>
      <c r="S5298" s="33"/>
      <c r="T5298" s="33"/>
      <c r="U5298" s="33"/>
      <c r="V5298" s="33"/>
      <c r="W5298" s="33"/>
      <c r="X5298" s="33"/>
      <c r="Y5298" s="33"/>
      <c r="Z5298" s="33"/>
      <c r="AA5298" s="33"/>
      <c r="AB5298" s="33"/>
      <c r="AC5298" s="33"/>
      <c r="AD5298" s="33"/>
      <c r="AE5298" s="33"/>
      <c r="AF5298" s="33"/>
      <c r="AG5298" s="33"/>
      <c r="AH5298" s="33"/>
      <c r="AI5298" s="33"/>
      <c r="AJ5298" s="33"/>
      <c r="AK5298" s="33"/>
    </row>
    <row r="5299">
      <c r="A5299" s="33"/>
      <c r="B5299" s="33"/>
      <c r="C5299" s="33"/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  <c r="Q5299" s="33"/>
      <c r="R5299" s="33"/>
      <c r="S5299" s="33"/>
      <c r="T5299" s="33"/>
      <c r="U5299" s="33"/>
      <c r="V5299" s="33"/>
      <c r="W5299" s="33"/>
      <c r="X5299" s="33"/>
      <c r="Y5299" s="33"/>
      <c r="Z5299" s="33"/>
      <c r="AA5299" s="33"/>
      <c r="AB5299" s="33"/>
      <c r="AC5299" s="33"/>
      <c r="AD5299" s="33"/>
      <c r="AE5299" s="33"/>
      <c r="AF5299" s="33"/>
      <c r="AG5299" s="33"/>
      <c r="AH5299" s="33"/>
      <c r="AI5299" s="33"/>
      <c r="AJ5299" s="33"/>
      <c r="AK5299" s="33"/>
    </row>
    <row r="5300">
      <c r="A5300" s="33"/>
      <c r="B5300" s="33"/>
      <c r="C5300" s="33"/>
      <c r="D5300" s="33"/>
      <c r="E5300" s="33"/>
      <c r="F5300" s="33"/>
      <c r="G5300" s="33"/>
      <c r="H5300" s="33"/>
      <c r="I5300" s="33"/>
      <c r="J5300" s="33"/>
      <c r="K5300" s="33"/>
      <c r="L5300" s="33"/>
      <c r="M5300" s="33"/>
      <c r="N5300" s="33"/>
      <c r="O5300" s="33"/>
      <c r="P5300" s="33"/>
      <c r="Q5300" s="33"/>
      <c r="R5300" s="33"/>
      <c r="S5300" s="33"/>
      <c r="T5300" s="33"/>
      <c r="U5300" s="33"/>
      <c r="V5300" s="33"/>
      <c r="W5300" s="33"/>
      <c r="X5300" s="33"/>
      <c r="Y5300" s="33"/>
      <c r="Z5300" s="33"/>
      <c r="AA5300" s="33"/>
      <c r="AB5300" s="33"/>
      <c r="AC5300" s="33"/>
      <c r="AD5300" s="33"/>
      <c r="AE5300" s="33"/>
      <c r="AF5300" s="33"/>
      <c r="AG5300" s="33"/>
      <c r="AH5300" s="33"/>
      <c r="AI5300" s="33"/>
      <c r="AJ5300" s="33"/>
      <c r="AK5300" s="33"/>
    </row>
    <row r="5301">
      <c r="A5301" s="33"/>
      <c r="B5301" s="33"/>
      <c r="C5301" s="33"/>
      <c r="D5301" s="33"/>
      <c r="E5301" s="33"/>
      <c r="F5301" s="33"/>
      <c r="G5301" s="33"/>
      <c r="H5301" s="33"/>
      <c r="I5301" s="33"/>
      <c r="J5301" s="33"/>
      <c r="K5301" s="33"/>
      <c r="L5301" s="33"/>
      <c r="M5301" s="33"/>
      <c r="N5301" s="33"/>
      <c r="O5301" s="33"/>
      <c r="P5301" s="33"/>
      <c r="Q5301" s="33"/>
      <c r="R5301" s="33"/>
      <c r="S5301" s="33"/>
      <c r="T5301" s="33"/>
      <c r="U5301" s="33"/>
      <c r="V5301" s="33"/>
      <c r="W5301" s="33"/>
      <c r="X5301" s="33"/>
      <c r="Y5301" s="33"/>
      <c r="Z5301" s="33"/>
      <c r="AA5301" s="33"/>
      <c r="AB5301" s="33"/>
      <c r="AC5301" s="33"/>
      <c r="AD5301" s="33"/>
      <c r="AE5301" s="33"/>
      <c r="AF5301" s="33"/>
      <c r="AG5301" s="33"/>
      <c r="AH5301" s="33"/>
      <c r="AI5301" s="33"/>
      <c r="AJ5301" s="33"/>
      <c r="AK5301" s="33"/>
    </row>
    <row r="5302">
      <c r="A5302" s="33"/>
      <c r="B5302" s="33"/>
      <c r="C5302" s="33"/>
      <c r="D5302" s="33"/>
      <c r="E5302" s="33"/>
      <c r="F5302" s="33"/>
      <c r="G5302" s="33"/>
      <c r="H5302" s="33"/>
      <c r="I5302" s="33"/>
      <c r="J5302" s="33"/>
      <c r="K5302" s="33"/>
      <c r="L5302" s="33"/>
      <c r="M5302" s="33"/>
      <c r="N5302" s="33"/>
      <c r="O5302" s="33"/>
      <c r="P5302" s="33"/>
      <c r="Q5302" s="33"/>
      <c r="R5302" s="33"/>
      <c r="S5302" s="33"/>
      <c r="T5302" s="33"/>
      <c r="U5302" s="33"/>
      <c r="V5302" s="33"/>
      <c r="W5302" s="33"/>
      <c r="X5302" s="33"/>
      <c r="Y5302" s="33"/>
      <c r="Z5302" s="33"/>
      <c r="AA5302" s="33"/>
      <c r="AB5302" s="33"/>
      <c r="AC5302" s="33"/>
      <c r="AD5302" s="33"/>
      <c r="AE5302" s="33"/>
      <c r="AF5302" s="33"/>
      <c r="AG5302" s="33"/>
      <c r="AH5302" s="33"/>
      <c r="AI5302" s="33"/>
      <c r="AJ5302" s="33"/>
      <c r="AK5302" s="33"/>
    </row>
    <row r="5303">
      <c r="A5303" s="33"/>
      <c r="B5303" s="33"/>
      <c r="C5303" s="33"/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  <c r="Q5303" s="33"/>
      <c r="R5303" s="33"/>
      <c r="S5303" s="33"/>
      <c r="T5303" s="33"/>
      <c r="U5303" s="33"/>
      <c r="V5303" s="33"/>
      <c r="W5303" s="33"/>
      <c r="X5303" s="33"/>
      <c r="Y5303" s="33"/>
      <c r="Z5303" s="33"/>
      <c r="AA5303" s="33"/>
      <c r="AB5303" s="33"/>
      <c r="AC5303" s="33"/>
      <c r="AD5303" s="33"/>
      <c r="AE5303" s="33"/>
      <c r="AF5303" s="33"/>
      <c r="AG5303" s="33"/>
      <c r="AH5303" s="33"/>
      <c r="AI5303" s="33"/>
      <c r="AJ5303" s="33"/>
      <c r="AK5303" s="33"/>
    </row>
    <row r="5304">
      <c r="A5304" s="33"/>
      <c r="B5304" s="33"/>
      <c r="C5304" s="33"/>
      <c r="D5304" s="33"/>
      <c r="E5304" s="33"/>
      <c r="F5304" s="33"/>
      <c r="G5304" s="33"/>
      <c r="H5304" s="33"/>
      <c r="I5304" s="33"/>
      <c r="J5304" s="33"/>
      <c r="K5304" s="33"/>
      <c r="L5304" s="33"/>
      <c r="M5304" s="33"/>
      <c r="N5304" s="33"/>
      <c r="O5304" s="33"/>
      <c r="P5304" s="33"/>
      <c r="Q5304" s="33"/>
      <c r="R5304" s="33"/>
      <c r="S5304" s="33"/>
      <c r="T5304" s="33"/>
      <c r="U5304" s="33"/>
      <c r="V5304" s="33"/>
      <c r="W5304" s="33"/>
      <c r="X5304" s="33"/>
      <c r="Y5304" s="33"/>
      <c r="Z5304" s="33"/>
      <c r="AA5304" s="33"/>
      <c r="AB5304" s="33"/>
      <c r="AC5304" s="33"/>
      <c r="AD5304" s="33"/>
      <c r="AE5304" s="33"/>
      <c r="AF5304" s="33"/>
      <c r="AG5304" s="33"/>
      <c r="AH5304" s="33"/>
      <c r="AI5304" s="33"/>
      <c r="AJ5304" s="33"/>
      <c r="AK5304" s="33"/>
    </row>
    <row r="5305">
      <c r="A5305" s="33"/>
      <c r="B5305" s="33"/>
      <c r="C5305" s="33"/>
      <c r="D5305" s="33"/>
      <c r="E5305" s="33"/>
      <c r="F5305" s="33"/>
      <c r="G5305" s="33"/>
      <c r="H5305" s="33"/>
      <c r="I5305" s="33"/>
      <c r="J5305" s="33"/>
      <c r="K5305" s="33"/>
      <c r="L5305" s="33"/>
      <c r="M5305" s="33"/>
      <c r="N5305" s="33"/>
      <c r="O5305" s="33"/>
      <c r="P5305" s="33"/>
      <c r="Q5305" s="33"/>
      <c r="R5305" s="33"/>
      <c r="S5305" s="33"/>
      <c r="T5305" s="33"/>
      <c r="U5305" s="33"/>
      <c r="V5305" s="33"/>
      <c r="W5305" s="33"/>
      <c r="X5305" s="33"/>
      <c r="Y5305" s="33"/>
      <c r="Z5305" s="33"/>
      <c r="AA5305" s="33"/>
      <c r="AB5305" s="33"/>
      <c r="AC5305" s="33"/>
      <c r="AD5305" s="33"/>
      <c r="AE5305" s="33"/>
      <c r="AF5305" s="33"/>
      <c r="AG5305" s="33"/>
      <c r="AH5305" s="33"/>
      <c r="AI5305" s="33"/>
      <c r="AJ5305" s="33"/>
      <c r="AK5305" s="33"/>
    </row>
    <row r="5306">
      <c r="A5306" s="33"/>
      <c r="B5306" s="33"/>
      <c r="C5306" s="33"/>
      <c r="D5306" s="33"/>
      <c r="E5306" s="33"/>
      <c r="F5306" s="33"/>
      <c r="G5306" s="33"/>
      <c r="H5306" s="33"/>
      <c r="I5306" s="33"/>
      <c r="J5306" s="33"/>
      <c r="K5306" s="33"/>
      <c r="L5306" s="33"/>
      <c r="M5306" s="33"/>
      <c r="N5306" s="33"/>
      <c r="O5306" s="33"/>
      <c r="P5306" s="33"/>
      <c r="Q5306" s="33"/>
      <c r="R5306" s="33"/>
      <c r="S5306" s="33"/>
      <c r="T5306" s="33"/>
      <c r="U5306" s="33"/>
      <c r="V5306" s="33"/>
      <c r="W5306" s="33"/>
      <c r="X5306" s="33"/>
      <c r="Y5306" s="33"/>
      <c r="Z5306" s="33"/>
      <c r="AA5306" s="33"/>
      <c r="AB5306" s="33"/>
      <c r="AC5306" s="33"/>
      <c r="AD5306" s="33"/>
      <c r="AE5306" s="33"/>
      <c r="AF5306" s="33"/>
      <c r="AG5306" s="33"/>
      <c r="AH5306" s="33"/>
      <c r="AI5306" s="33"/>
      <c r="AJ5306" s="33"/>
      <c r="AK5306" s="33"/>
    </row>
    <row r="5307">
      <c r="A5307" s="33"/>
      <c r="B5307" s="33"/>
      <c r="C5307" s="33"/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  <c r="Q5307" s="33"/>
      <c r="R5307" s="33"/>
      <c r="S5307" s="33"/>
      <c r="T5307" s="33"/>
      <c r="U5307" s="33"/>
      <c r="V5307" s="33"/>
      <c r="W5307" s="33"/>
      <c r="X5307" s="33"/>
      <c r="Y5307" s="33"/>
      <c r="Z5307" s="33"/>
      <c r="AA5307" s="33"/>
      <c r="AB5307" s="33"/>
      <c r="AC5307" s="33"/>
      <c r="AD5307" s="33"/>
      <c r="AE5307" s="33"/>
      <c r="AF5307" s="33"/>
      <c r="AG5307" s="33"/>
      <c r="AH5307" s="33"/>
      <c r="AI5307" s="33"/>
      <c r="AJ5307" s="33"/>
      <c r="AK5307" s="33"/>
    </row>
    <row r="5308">
      <c r="A5308" s="33"/>
      <c r="B5308" s="33"/>
      <c r="C5308" s="33"/>
      <c r="D5308" s="33"/>
      <c r="E5308" s="33"/>
      <c r="F5308" s="33"/>
      <c r="G5308" s="33"/>
      <c r="H5308" s="33"/>
      <c r="I5308" s="33"/>
      <c r="J5308" s="33"/>
      <c r="K5308" s="33"/>
      <c r="L5308" s="33"/>
      <c r="M5308" s="33"/>
      <c r="N5308" s="33"/>
      <c r="O5308" s="33"/>
      <c r="P5308" s="33"/>
      <c r="Q5308" s="33"/>
      <c r="R5308" s="33"/>
      <c r="S5308" s="33"/>
      <c r="T5308" s="33"/>
      <c r="U5308" s="33"/>
      <c r="V5308" s="33"/>
      <c r="W5308" s="33"/>
      <c r="X5308" s="33"/>
      <c r="Y5308" s="33"/>
      <c r="Z5308" s="33"/>
      <c r="AA5308" s="33"/>
      <c r="AB5308" s="33"/>
      <c r="AC5308" s="33"/>
      <c r="AD5308" s="33"/>
      <c r="AE5308" s="33"/>
      <c r="AF5308" s="33"/>
      <c r="AG5308" s="33"/>
      <c r="AH5308" s="33"/>
      <c r="AI5308" s="33"/>
      <c r="AJ5308" s="33"/>
      <c r="AK5308" s="33"/>
    </row>
    <row r="5309">
      <c r="A5309" s="33"/>
      <c r="B5309" s="33"/>
      <c r="C5309" s="33"/>
      <c r="D5309" s="33"/>
      <c r="E5309" s="33"/>
      <c r="F5309" s="33"/>
      <c r="G5309" s="33"/>
      <c r="H5309" s="33"/>
      <c r="I5309" s="33"/>
      <c r="J5309" s="33"/>
      <c r="K5309" s="33"/>
      <c r="L5309" s="33"/>
      <c r="M5309" s="33"/>
      <c r="N5309" s="33"/>
      <c r="O5309" s="33"/>
      <c r="P5309" s="33"/>
      <c r="Q5309" s="33"/>
      <c r="R5309" s="33"/>
      <c r="S5309" s="33"/>
      <c r="T5309" s="33"/>
      <c r="U5309" s="33"/>
      <c r="V5309" s="33"/>
      <c r="W5309" s="33"/>
      <c r="X5309" s="33"/>
      <c r="Y5309" s="33"/>
      <c r="Z5309" s="33"/>
      <c r="AA5309" s="33"/>
      <c r="AB5309" s="33"/>
      <c r="AC5309" s="33"/>
      <c r="AD5309" s="33"/>
      <c r="AE5309" s="33"/>
      <c r="AF5309" s="33"/>
      <c r="AG5309" s="33"/>
      <c r="AH5309" s="33"/>
      <c r="AI5309" s="33"/>
      <c r="AJ5309" s="33"/>
      <c r="AK5309" s="33"/>
    </row>
    <row r="5310">
      <c r="A5310" s="33"/>
      <c r="B5310" s="33"/>
      <c r="C5310" s="33"/>
      <c r="D5310" s="33"/>
      <c r="E5310" s="33"/>
      <c r="F5310" s="33"/>
      <c r="G5310" s="33"/>
      <c r="H5310" s="33"/>
      <c r="I5310" s="33"/>
      <c r="J5310" s="33"/>
      <c r="K5310" s="33"/>
      <c r="L5310" s="33"/>
      <c r="M5310" s="33"/>
      <c r="N5310" s="33"/>
      <c r="O5310" s="33"/>
      <c r="P5310" s="33"/>
      <c r="Q5310" s="33"/>
      <c r="R5310" s="33"/>
      <c r="S5310" s="33"/>
      <c r="T5310" s="33"/>
      <c r="U5310" s="33"/>
      <c r="V5310" s="33"/>
      <c r="W5310" s="33"/>
      <c r="X5310" s="33"/>
      <c r="Y5310" s="33"/>
      <c r="Z5310" s="33"/>
      <c r="AA5310" s="33"/>
      <c r="AB5310" s="33"/>
      <c r="AC5310" s="33"/>
      <c r="AD5310" s="33"/>
      <c r="AE5310" s="33"/>
      <c r="AF5310" s="33"/>
      <c r="AG5310" s="33"/>
      <c r="AH5310" s="33"/>
      <c r="AI5310" s="33"/>
      <c r="AJ5310" s="33"/>
      <c r="AK5310" s="33"/>
    </row>
    <row r="5311">
      <c r="A5311" s="33"/>
      <c r="B5311" s="33"/>
      <c r="C5311" s="33"/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  <c r="Q5311" s="33"/>
      <c r="R5311" s="33"/>
      <c r="S5311" s="33"/>
      <c r="T5311" s="33"/>
      <c r="U5311" s="33"/>
      <c r="V5311" s="33"/>
      <c r="W5311" s="33"/>
      <c r="X5311" s="33"/>
      <c r="Y5311" s="33"/>
      <c r="Z5311" s="33"/>
      <c r="AA5311" s="33"/>
      <c r="AB5311" s="33"/>
      <c r="AC5311" s="33"/>
      <c r="AD5311" s="33"/>
      <c r="AE5311" s="33"/>
      <c r="AF5311" s="33"/>
      <c r="AG5311" s="33"/>
      <c r="AH5311" s="33"/>
      <c r="AI5311" s="33"/>
      <c r="AJ5311" s="33"/>
      <c r="AK5311" s="33"/>
    </row>
    <row r="5312">
      <c r="A5312" s="33"/>
      <c r="B5312" s="33"/>
      <c r="C5312" s="33"/>
      <c r="D5312" s="33"/>
      <c r="E5312" s="33"/>
      <c r="F5312" s="33"/>
      <c r="G5312" s="33"/>
      <c r="H5312" s="33"/>
      <c r="I5312" s="33"/>
      <c r="J5312" s="33"/>
      <c r="K5312" s="33"/>
      <c r="L5312" s="33"/>
      <c r="M5312" s="33"/>
      <c r="N5312" s="33"/>
      <c r="O5312" s="33"/>
      <c r="P5312" s="33"/>
      <c r="Q5312" s="33"/>
      <c r="R5312" s="33"/>
      <c r="S5312" s="33"/>
      <c r="T5312" s="33"/>
      <c r="U5312" s="33"/>
      <c r="V5312" s="33"/>
      <c r="W5312" s="33"/>
      <c r="X5312" s="33"/>
      <c r="Y5312" s="33"/>
      <c r="Z5312" s="33"/>
      <c r="AA5312" s="33"/>
      <c r="AB5312" s="33"/>
      <c r="AC5312" s="33"/>
      <c r="AD5312" s="33"/>
      <c r="AE5312" s="33"/>
      <c r="AF5312" s="33"/>
      <c r="AG5312" s="33"/>
      <c r="AH5312" s="33"/>
      <c r="AI5312" s="33"/>
      <c r="AJ5312" s="33"/>
      <c r="AK5312" s="33"/>
    </row>
    <row r="5313">
      <c r="A5313" s="33"/>
      <c r="B5313" s="33"/>
      <c r="C5313" s="33"/>
      <c r="D5313" s="33"/>
      <c r="E5313" s="33"/>
      <c r="F5313" s="33"/>
      <c r="G5313" s="33"/>
      <c r="H5313" s="33"/>
      <c r="I5313" s="33"/>
      <c r="J5313" s="33"/>
      <c r="K5313" s="33"/>
      <c r="L5313" s="33"/>
      <c r="M5313" s="33"/>
      <c r="N5313" s="33"/>
      <c r="O5313" s="33"/>
      <c r="P5313" s="33"/>
      <c r="Q5313" s="33"/>
      <c r="R5313" s="33"/>
      <c r="S5313" s="33"/>
      <c r="T5313" s="33"/>
      <c r="U5313" s="33"/>
      <c r="V5313" s="33"/>
      <c r="W5313" s="33"/>
      <c r="X5313" s="33"/>
      <c r="Y5313" s="33"/>
      <c r="Z5313" s="33"/>
      <c r="AA5313" s="33"/>
      <c r="AB5313" s="33"/>
      <c r="AC5313" s="33"/>
      <c r="AD5313" s="33"/>
      <c r="AE5313" s="33"/>
      <c r="AF5313" s="33"/>
      <c r="AG5313" s="33"/>
      <c r="AH5313" s="33"/>
      <c r="AI5313" s="33"/>
      <c r="AJ5313" s="33"/>
      <c r="AK5313" s="33"/>
    </row>
    <row r="5314">
      <c r="A5314" s="33"/>
      <c r="B5314" s="33"/>
      <c r="C5314" s="33"/>
      <c r="D5314" s="33"/>
      <c r="E5314" s="33"/>
      <c r="F5314" s="33"/>
      <c r="G5314" s="33"/>
      <c r="H5314" s="33"/>
      <c r="I5314" s="33"/>
      <c r="J5314" s="33"/>
      <c r="K5314" s="33"/>
      <c r="L5314" s="33"/>
      <c r="M5314" s="33"/>
      <c r="N5314" s="33"/>
      <c r="O5314" s="33"/>
      <c r="P5314" s="33"/>
      <c r="Q5314" s="33"/>
      <c r="R5314" s="33"/>
      <c r="S5314" s="33"/>
      <c r="T5314" s="33"/>
      <c r="U5314" s="33"/>
      <c r="V5314" s="33"/>
      <c r="W5314" s="33"/>
      <c r="X5314" s="33"/>
      <c r="Y5314" s="33"/>
      <c r="Z5314" s="33"/>
      <c r="AA5314" s="33"/>
      <c r="AB5314" s="33"/>
      <c r="AC5314" s="33"/>
      <c r="AD5314" s="33"/>
      <c r="AE5314" s="33"/>
      <c r="AF5314" s="33"/>
      <c r="AG5314" s="33"/>
      <c r="AH5314" s="33"/>
      <c r="AI5314" s="33"/>
      <c r="AJ5314" s="33"/>
      <c r="AK5314" s="33"/>
    </row>
    <row r="5315">
      <c r="A5315" s="33"/>
      <c r="B5315" s="33"/>
      <c r="C5315" s="33"/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  <c r="R5315" s="33"/>
      <c r="S5315" s="33"/>
      <c r="T5315" s="33"/>
      <c r="U5315" s="33"/>
      <c r="V5315" s="33"/>
      <c r="W5315" s="33"/>
      <c r="X5315" s="33"/>
      <c r="Y5315" s="33"/>
      <c r="Z5315" s="33"/>
      <c r="AA5315" s="33"/>
      <c r="AB5315" s="33"/>
      <c r="AC5315" s="33"/>
      <c r="AD5315" s="33"/>
      <c r="AE5315" s="33"/>
      <c r="AF5315" s="33"/>
      <c r="AG5315" s="33"/>
      <c r="AH5315" s="33"/>
      <c r="AI5315" s="33"/>
      <c r="AJ5315" s="33"/>
      <c r="AK5315" s="33"/>
    </row>
    <row r="5316">
      <c r="A5316" s="33"/>
      <c r="B5316" s="33"/>
      <c r="C5316" s="33"/>
      <c r="D5316" s="33"/>
      <c r="E5316" s="33"/>
      <c r="F5316" s="33"/>
      <c r="G5316" s="33"/>
      <c r="H5316" s="33"/>
      <c r="I5316" s="33"/>
      <c r="J5316" s="33"/>
      <c r="K5316" s="33"/>
      <c r="L5316" s="33"/>
      <c r="M5316" s="33"/>
      <c r="N5316" s="33"/>
      <c r="O5316" s="33"/>
      <c r="P5316" s="33"/>
      <c r="Q5316" s="33"/>
      <c r="R5316" s="33"/>
      <c r="S5316" s="33"/>
      <c r="T5316" s="33"/>
      <c r="U5316" s="33"/>
      <c r="V5316" s="33"/>
      <c r="W5316" s="33"/>
      <c r="X5316" s="33"/>
      <c r="Y5316" s="33"/>
      <c r="Z5316" s="33"/>
      <c r="AA5316" s="33"/>
      <c r="AB5316" s="33"/>
      <c r="AC5316" s="33"/>
      <c r="AD5316" s="33"/>
      <c r="AE5316" s="33"/>
      <c r="AF5316" s="33"/>
      <c r="AG5316" s="33"/>
      <c r="AH5316" s="33"/>
      <c r="AI5316" s="33"/>
      <c r="AJ5316" s="33"/>
      <c r="AK5316" s="33"/>
    </row>
    <row r="5317">
      <c r="A5317" s="33"/>
      <c r="B5317" s="33"/>
      <c r="C5317" s="33"/>
      <c r="D5317" s="33"/>
      <c r="E5317" s="33"/>
      <c r="F5317" s="33"/>
      <c r="G5317" s="33"/>
      <c r="H5317" s="33"/>
      <c r="I5317" s="33"/>
      <c r="J5317" s="33"/>
      <c r="K5317" s="33"/>
      <c r="L5317" s="33"/>
      <c r="M5317" s="33"/>
      <c r="N5317" s="33"/>
      <c r="O5317" s="33"/>
      <c r="P5317" s="33"/>
      <c r="Q5317" s="33"/>
      <c r="R5317" s="33"/>
      <c r="S5317" s="33"/>
      <c r="T5317" s="33"/>
      <c r="U5317" s="33"/>
      <c r="V5317" s="33"/>
      <c r="W5317" s="33"/>
      <c r="X5317" s="33"/>
      <c r="Y5317" s="33"/>
      <c r="Z5317" s="33"/>
      <c r="AA5317" s="33"/>
      <c r="AB5317" s="33"/>
      <c r="AC5317" s="33"/>
      <c r="AD5317" s="33"/>
      <c r="AE5317" s="33"/>
      <c r="AF5317" s="33"/>
      <c r="AG5317" s="33"/>
      <c r="AH5317" s="33"/>
      <c r="AI5317" s="33"/>
      <c r="AJ5317" s="33"/>
      <c r="AK5317" s="33"/>
    </row>
    <row r="5318">
      <c r="A5318" s="33"/>
      <c r="B5318" s="33"/>
      <c r="C5318" s="33"/>
      <c r="D5318" s="33"/>
      <c r="E5318" s="33"/>
      <c r="F5318" s="33"/>
      <c r="G5318" s="33"/>
      <c r="H5318" s="33"/>
      <c r="I5318" s="33"/>
      <c r="J5318" s="33"/>
      <c r="K5318" s="33"/>
      <c r="L5318" s="33"/>
      <c r="M5318" s="33"/>
      <c r="N5318" s="33"/>
      <c r="O5318" s="33"/>
      <c r="P5318" s="33"/>
      <c r="Q5318" s="33"/>
      <c r="R5318" s="33"/>
      <c r="S5318" s="33"/>
      <c r="T5318" s="33"/>
      <c r="U5318" s="33"/>
      <c r="V5318" s="33"/>
      <c r="W5318" s="33"/>
      <c r="X5318" s="33"/>
      <c r="Y5318" s="33"/>
      <c r="Z5318" s="33"/>
      <c r="AA5318" s="33"/>
      <c r="AB5318" s="33"/>
      <c r="AC5318" s="33"/>
      <c r="AD5318" s="33"/>
      <c r="AE5318" s="33"/>
      <c r="AF5318" s="33"/>
      <c r="AG5318" s="33"/>
      <c r="AH5318" s="33"/>
      <c r="AI5318" s="33"/>
      <c r="AJ5318" s="33"/>
      <c r="AK5318" s="33"/>
    </row>
    <row r="5319">
      <c r="A5319" s="33"/>
      <c r="B5319" s="33"/>
      <c r="C5319" s="33"/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  <c r="Q5319" s="33"/>
      <c r="R5319" s="33"/>
      <c r="S5319" s="33"/>
      <c r="T5319" s="33"/>
      <c r="U5319" s="33"/>
      <c r="V5319" s="33"/>
      <c r="W5319" s="33"/>
      <c r="X5319" s="33"/>
      <c r="Y5319" s="33"/>
      <c r="Z5319" s="33"/>
      <c r="AA5319" s="33"/>
      <c r="AB5319" s="33"/>
      <c r="AC5319" s="33"/>
      <c r="AD5319" s="33"/>
      <c r="AE5319" s="33"/>
      <c r="AF5319" s="33"/>
      <c r="AG5319" s="33"/>
      <c r="AH5319" s="33"/>
      <c r="AI5319" s="33"/>
      <c r="AJ5319" s="33"/>
      <c r="AK5319" s="33"/>
    </row>
    <row r="5320">
      <c r="A5320" s="33"/>
      <c r="B5320" s="33"/>
      <c r="C5320" s="33"/>
      <c r="D5320" s="33"/>
      <c r="E5320" s="33"/>
      <c r="F5320" s="33"/>
      <c r="G5320" s="33"/>
      <c r="H5320" s="33"/>
      <c r="I5320" s="33"/>
      <c r="J5320" s="33"/>
      <c r="K5320" s="33"/>
      <c r="L5320" s="33"/>
      <c r="M5320" s="33"/>
      <c r="N5320" s="33"/>
      <c r="O5320" s="33"/>
      <c r="P5320" s="33"/>
      <c r="Q5320" s="33"/>
      <c r="R5320" s="33"/>
      <c r="S5320" s="33"/>
      <c r="T5320" s="33"/>
      <c r="U5320" s="33"/>
      <c r="V5320" s="33"/>
      <c r="W5320" s="33"/>
      <c r="X5320" s="33"/>
      <c r="Y5320" s="33"/>
      <c r="Z5320" s="33"/>
      <c r="AA5320" s="33"/>
      <c r="AB5320" s="33"/>
      <c r="AC5320" s="33"/>
      <c r="AD5320" s="33"/>
      <c r="AE5320" s="33"/>
      <c r="AF5320" s="33"/>
      <c r="AG5320" s="33"/>
      <c r="AH5320" s="33"/>
      <c r="AI5320" s="33"/>
      <c r="AJ5320" s="33"/>
      <c r="AK5320" s="33"/>
    </row>
    <row r="5321">
      <c r="A5321" s="33"/>
      <c r="B5321" s="33"/>
      <c r="C5321" s="33"/>
      <c r="D5321" s="33"/>
      <c r="E5321" s="33"/>
      <c r="F5321" s="33"/>
      <c r="G5321" s="33"/>
      <c r="H5321" s="33"/>
      <c r="I5321" s="33"/>
      <c r="J5321" s="33"/>
      <c r="K5321" s="33"/>
      <c r="L5321" s="33"/>
      <c r="M5321" s="33"/>
      <c r="N5321" s="33"/>
      <c r="O5321" s="33"/>
      <c r="P5321" s="33"/>
      <c r="Q5321" s="33"/>
      <c r="R5321" s="33"/>
      <c r="S5321" s="33"/>
      <c r="T5321" s="33"/>
      <c r="U5321" s="33"/>
      <c r="V5321" s="33"/>
      <c r="W5321" s="33"/>
      <c r="X5321" s="33"/>
      <c r="Y5321" s="33"/>
      <c r="Z5321" s="33"/>
      <c r="AA5321" s="33"/>
      <c r="AB5321" s="33"/>
      <c r="AC5321" s="33"/>
      <c r="AD5321" s="33"/>
      <c r="AE5321" s="33"/>
      <c r="AF5321" s="33"/>
      <c r="AG5321" s="33"/>
      <c r="AH5321" s="33"/>
      <c r="AI5321" s="33"/>
      <c r="AJ5321" s="33"/>
      <c r="AK5321" s="33"/>
    </row>
    <row r="5322">
      <c r="A5322" s="33"/>
      <c r="B5322" s="33"/>
      <c r="C5322" s="33"/>
      <c r="D5322" s="33"/>
      <c r="E5322" s="33"/>
      <c r="F5322" s="33"/>
      <c r="G5322" s="33"/>
      <c r="H5322" s="33"/>
      <c r="I5322" s="33"/>
      <c r="J5322" s="33"/>
      <c r="K5322" s="33"/>
      <c r="L5322" s="33"/>
      <c r="M5322" s="33"/>
      <c r="N5322" s="33"/>
      <c r="O5322" s="33"/>
      <c r="P5322" s="33"/>
      <c r="Q5322" s="33"/>
      <c r="R5322" s="33"/>
      <c r="S5322" s="33"/>
      <c r="T5322" s="33"/>
      <c r="U5322" s="33"/>
      <c r="V5322" s="33"/>
      <c r="W5322" s="33"/>
      <c r="X5322" s="33"/>
      <c r="Y5322" s="33"/>
      <c r="Z5322" s="33"/>
      <c r="AA5322" s="33"/>
      <c r="AB5322" s="33"/>
      <c r="AC5322" s="33"/>
      <c r="AD5322" s="33"/>
      <c r="AE5322" s="33"/>
      <c r="AF5322" s="33"/>
      <c r="AG5322" s="33"/>
      <c r="AH5322" s="33"/>
      <c r="AI5322" s="33"/>
      <c r="AJ5322" s="33"/>
      <c r="AK5322" s="33"/>
    </row>
    <row r="5323">
      <c r="A5323" s="33"/>
      <c r="B5323" s="33"/>
      <c r="C5323" s="33"/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  <c r="Q5323" s="33"/>
      <c r="R5323" s="33"/>
      <c r="S5323" s="33"/>
      <c r="T5323" s="33"/>
      <c r="U5323" s="33"/>
      <c r="V5323" s="33"/>
      <c r="W5323" s="33"/>
      <c r="X5323" s="33"/>
      <c r="Y5323" s="33"/>
      <c r="Z5323" s="33"/>
      <c r="AA5323" s="33"/>
      <c r="AB5323" s="33"/>
      <c r="AC5323" s="33"/>
      <c r="AD5323" s="33"/>
      <c r="AE5323" s="33"/>
      <c r="AF5323" s="33"/>
      <c r="AG5323" s="33"/>
      <c r="AH5323" s="33"/>
      <c r="AI5323" s="33"/>
      <c r="AJ5323" s="33"/>
      <c r="AK5323" s="33"/>
    </row>
    <row r="5324">
      <c r="A5324" s="33"/>
      <c r="B5324" s="33"/>
      <c r="C5324" s="33"/>
      <c r="D5324" s="33"/>
      <c r="E5324" s="33"/>
      <c r="F5324" s="33"/>
      <c r="G5324" s="33"/>
      <c r="H5324" s="33"/>
      <c r="I5324" s="33"/>
      <c r="J5324" s="33"/>
      <c r="K5324" s="33"/>
      <c r="L5324" s="33"/>
      <c r="M5324" s="33"/>
      <c r="N5324" s="33"/>
      <c r="O5324" s="33"/>
      <c r="P5324" s="33"/>
      <c r="Q5324" s="33"/>
      <c r="R5324" s="33"/>
      <c r="S5324" s="33"/>
      <c r="T5324" s="33"/>
      <c r="U5324" s="33"/>
      <c r="V5324" s="33"/>
      <c r="W5324" s="33"/>
      <c r="X5324" s="33"/>
      <c r="Y5324" s="33"/>
      <c r="Z5324" s="33"/>
      <c r="AA5324" s="33"/>
      <c r="AB5324" s="33"/>
      <c r="AC5324" s="33"/>
      <c r="AD5324" s="33"/>
      <c r="AE5324" s="33"/>
      <c r="AF5324" s="33"/>
      <c r="AG5324" s="33"/>
      <c r="AH5324" s="33"/>
      <c r="AI5324" s="33"/>
      <c r="AJ5324" s="33"/>
      <c r="AK5324" s="33"/>
    </row>
    <row r="5325">
      <c r="A5325" s="33"/>
      <c r="B5325" s="33"/>
      <c r="C5325" s="33"/>
      <c r="D5325" s="33"/>
      <c r="E5325" s="33"/>
      <c r="F5325" s="33"/>
      <c r="G5325" s="33"/>
      <c r="H5325" s="33"/>
      <c r="I5325" s="33"/>
      <c r="J5325" s="33"/>
      <c r="K5325" s="33"/>
      <c r="L5325" s="33"/>
      <c r="M5325" s="33"/>
      <c r="N5325" s="33"/>
      <c r="O5325" s="33"/>
      <c r="P5325" s="33"/>
      <c r="Q5325" s="33"/>
      <c r="R5325" s="33"/>
      <c r="S5325" s="33"/>
      <c r="T5325" s="33"/>
      <c r="U5325" s="33"/>
      <c r="V5325" s="33"/>
      <c r="W5325" s="33"/>
      <c r="X5325" s="33"/>
      <c r="Y5325" s="33"/>
      <c r="Z5325" s="33"/>
      <c r="AA5325" s="33"/>
      <c r="AB5325" s="33"/>
      <c r="AC5325" s="33"/>
      <c r="AD5325" s="33"/>
      <c r="AE5325" s="33"/>
      <c r="AF5325" s="33"/>
      <c r="AG5325" s="33"/>
      <c r="AH5325" s="33"/>
      <c r="AI5325" s="33"/>
      <c r="AJ5325" s="33"/>
      <c r="AK5325" s="33"/>
    </row>
    <row r="5326">
      <c r="A5326" s="33"/>
      <c r="B5326" s="33"/>
      <c r="C5326" s="33"/>
      <c r="D5326" s="33"/>
      <c r="E5326" s="33"/>
      <c r="F5326" s="33"/>
      <c r="G5326" s="33"/>
      <c r="H5326" s="33"/>
      <c r="I5326" s="33"/>
      <c r="J5326" s="33"/>
      <c r="K5326" s="33"/>
      <c r="L5326" s="33"/>
      <c r="M5326" s="33"/>
      <c r="N5326" s="33"/>
      <c r="O5326" s="33"/>
      <c r="P5326" s="33"/>
      <c r="Q5326" s="33"/>
      <c r="R5326" s="33"/>
      <c r="S5326" s="33"/>
      <c r="T5326" s="33"/>
      <c r="U5326" s="33"/>
      <c r="V5326" s="33"/>
      <c r="W5326" s="33"/>
      <c r="X5326" s="33"/>
      <c r="Y5326" s="33"/>
      <c r="Z5326" s="33"/>
      <c r="AA5326" s="33"/>
      <c r="AB5326" s="33"/>
      <c r="AC5326" s="33"/>
      <c r="AD5326" s="33"/>
      <c r="AE5326" s="33"/>
      <c r="AF5326" s="33"/>
      <c r="AG5326" s="33"/>
      <c r="AH5326" s="33"/>
      <c r="AI5326" s="33"/>
      <c r="AJ5326" s="33"/>
      <c r="AK5326" s="33"/>
    </row>
    <row r="5327">
      <c r="A5327" s="33"/>
      <c r="B5327" s="33"/>
      <c r="C5327" s="33"/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  <c r="Q5327" s="33"/>
      <c r="R5327" s="33"/>
      <c r="S5327" s="33"/>
      <c r="T5327" s="33"/>
      <c r="U5327" s="33"/>
      <c r="V5327" s="33"/>
      <c r="W5327" s="33"/>
      <c r="X5327" s="33"/>
      <c r="Y5327" s="33"/>
      <c r="Z5327" s="33"/>
      <c r="AA5327" s="33"/>
      <c r="AB5327" s="33"/>
      <c r="AC5327" s="33"/>
      <c r="AD5327" s="33"/>
      <c r="AE5327" s="33"/>
      <c r="AF5327" s="33"/>
      <c r="AG5327" s="33"/>
      <c r="AH5327" s="33"/>
      <c r="AI5327" s="33"/>
      <c r="AJ5327" s="33"/>
      <c r="AK5327" s="33"/>
    </row>
    <row r="5328">
      <c r="A5328" s="33"/>
      <c r="B5328" s="33"/>
      <c r="C5328" s="33"/>
      <c r="D5328" s="33"/>
      <c r="E5328" s="33"/>
      <c r="F5328" s="33"/>
      <c r="G5328" s="33"/>
      <c r="H5328" s="33"/>
      <c r="I5328" s="33"/>
      <c r="J5328" s="33"/>
      <c r="K5328" s="33"/>
      <c r="L5328" s="33"/>
      <c r="M5328" s="33"/>
      <c r="N5328" s="33"/>
      <c r="O5328" s="33"/>
      <c r="P5328" s="33"/>
      <c r="Q5328" s="33"/>
      <c r="R5328" s="33"/>
      <c r="S5328" s="33"/>
      <c r="T5328" s="33"/>
      <c r="U5328" s="33"/>
      <c r="V5328" s="33"/>
      <c r="W5328" s="33"/>
      <c r="X5328" s="33"/>
      <c r="Y5328" s="33"/>
      <c r="Z5328" s="33"/>
      <c r="AA5328" s="33"/>
      <c r="AB5328" s="33"/>
      <c r="AC5328" s="33"/>
      <c r="AD5328" s="33"/>
      <c r="AE5328" s="33"/>
      <c r="AF5328" s="33"/>
      <c r="AG5328" s="33"/>
      <c r="AH5328" s="33"/>
      <c r="AI5328" s="33"/>
      <c r="AJ5328" s="33"/>
      <c r="AK5328" s="33"/>
    </row>
    <row r="5329">
      <c r="A5329" s="33"/>
      <c r="B5329" s="33"/>
      <c r="C5329" s="33"/>
      <c r="D5329" s="33"/>
      <c r="E5329" s="33"/>
      <c r="F5329" s="33"/>
      <c r="G5329" s="33"/>
      <c r="H5329" s="33"/>
      <c r="I5329" s="33"/>
      <c r="J5329" s="33"/>
      <c r="K5329" s="33"/>
      <c r="L5329" s="33"/>
      <c r="M5329" s="33"/>
      <c r="N5329" s="33"/>
      <c r="O5329" s="33"/>
      <c r="P5329" s="33"/>
      <c r="Q5329" s="33"/>
      <c r="R5329" s="33"/>
      <c r="S5329" s="33"/>
      <c r="T5329" s="33"/>
      <c r="U5329" s="33"/>
      <c r="V5329" s="33"/>
      <c r="W5329" s="33"/>
      <c r="X5329" s="33"/>
      <c r="Y5329" s="33"/>
      <c r="Z5329" s="33"/>
      <c r="AA5329" s="33"/>
      <c r="AB5329" s="33"/>
      <c r="AC5329" s="33"/>
      <c r="AD5329" s="33"/>
      <c r="AE5329" s="33"/>
      <c r="AF5329" s="33"/>
      <c r="AG5329" s="33"/>
      <c r="AH5329" s="33"/>
      <c r="AI5329" s="33"/>
      <c r="AJ5329" s="33"/>
      <c r="AK5329" s="33"/>
    </row>
    <row r="5330">
      <c r="A5330" s="33"/>
      <c r="B5330" s="33"/>
      <c r="C5330" s="33"/>
      <c r="D5330" s="33"/>
      <c r="E5330" s="33"/>
      <c r="F5330" s="33"/>
      <c r="G5330" s="33"/>
      <c r="H5330" s="33"/>
      <c r="I5330" s="33"/>
      <c r="J5330" s="33"/>
      <c r="K5330" s="33"/>
      <c r="L5330" s="33"/>
      <c r="M5330" s="33"/>
      <c r="N5330" s="33"/>
      <c r="O5330" s="33"/>
      <c r="P5330" s="33"/>
      <c r="Q5330" s="33"/>
      <c r="R5330" s="33"/>
      <c r="S5330" s="33"/>
      <c r="T5330" s="33"/>
      <c r="U5330" s="33"/>
      <c r="V5330" s="33"/>
      <c r="W5330" s="33"/>
      <c r="X5330" s="33"/>
      <c r="Y5330" s="33"/>
      <c r="Z5330" s="33"/>
      <c r="AA5330" s="33"/>
      <c r="AB5330" s="33"/>
      <c r="AC5330" s="33"/>
      <c r="AD5330" s="33"/>
      <c r="AE5330" s="33"/>
      <c r="AF5330" s="33"/>
      <c r="AG5330" s="33"/>
      <c r="AH5330" s="33"/>
      <c r="AI5330" s="33"/>
      <c r="AJ5330" s="33"/>
      <c r="AK5330" s="33"/>
    </row>
    <row r="5331">
      <c r="A5331" s="33"/>
      <c r="B5331" s="33"/>
      <c r="C5331" s="33"/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  <c r="Q5331" s="33"/>
      <c r="R5331" s="33"/>
      <c r="S5331" s="33"/>
      <c r="T5331" s="33"/>
      <c r="U5331" s="33"/>
      <c r="V5331" s="33"/>
      <c r="W5331" s="33"/>
      <c r="X5331" s="33"/>
      <c r="Y5331" s="33"/>
      <c r="Z5331" s="33"/>
      <c r="AA5331" s="33"/>
      <c r="AB5331" s="33"/>
      <c r="AC5331" s="33"/>
      <c r="AD5331" s="33"/>
      <c r="AE5331" s="33"/>
      <c r="AF5331" s="33"/>
      <c r="AG5331" s="33"/>
      <c r="AH5331" s="33"/>
      <c r="AI5331" s="33"/>
      <c r="AJ5331" s="33"/>
      <c r="AK5331" s="33"/>
    </row>
    <row r="5332">
      <c r="A5332" s="33"/>
      <c r="B5332" s="33"/>
      <c r="C5332" s="33"/>
      <c r="D5332" s="33"/>
      <c r="E5332" s="33"/>
      <c r="F5332" s="33"/>
      <c r="G5332" s="33"/>
      <c r="H5332" s="33"/>
      <c r="I5332" s="33"/>
      <c r="J5332" s="33"/>
      <c r="K5332" s="33"/>
      <c r="L5332" s="33"/>
      <c r="M5332" s="33"/>
      <c r="N5332" s="33"/>
      <c r="O5332" s="33"/>
      <c r="P5332" s="33"/>
      <c r="Q5332" s="33"/>
      <c r="R5332" s="33"/>
      <c r="S5332" s="33"/>
      <c r="T5332" s="33"/>
      <c r="U5332" s="33"/>
      <c r="V5332" s="33"/>
      <c r="W5332" s="33"/>
      <c r="X5332" s="33"/>
      <c r="Y5332" s="33"/>
      <c r="Z5332" s="33"/>
      <c r="AA5332" s="33"/>
      <c r="AB5332" s="33"/>
      <c r="AC5332" s="33"/>
      <c r="AD5332" s="33"/>
      <c r="AE5332" s="33"/>
      <c r="AF5332" s="33"/>
      <c r="AG5332" s="33"/>
      <c r="AH5332" s="33"/>
      <c r="AI5332" s="33"/>
      <c r="AJ5332" s="33"/>
      <c r="AK5332" s="33"/>
    </row>
    <row r="5333">
      <c r="A5333" s="33"/>
      <c r="B5333" s="33"/>
      <c r="C5333" s="33"/>
      <c r="D5333" s="33"/>
      <c r="E5333" s="33"/>
      <c r="F5333" s="33"/>
      <c r="G5333" s="33"/>
      <c r="H5333" s="33"/>
      <c r="I5333" s="33"/>
      <c r="J5333" s="33"/>
      <c r="K5333" s="33"/>
      <c r="L5333" s="33"/>
      <c r="M5333" s="33"/>
      <c r="N5333" s="33"/>
      <c r="O5333" s="33"/>
      <c r="P5333" s="33"/>
      <c r="Q5333" s="33"/>
      <c r="R5333" s="33"/>
      <c r="S5333" s="33"/>
      <c r="T5333" s="33"/>
      <c r="U5333" s="33"/>
      <c r="V5333" s="33"/>
      <c r="W5333" s="33"/>
      <c r="X5333" s="33"/>
      <c r="Y5333" s="33"/>
      <c r="Z5333" s="33"/>
      <c r="AA5333" s="33"/>
      <c r="AB5333" s="33"/>
      <c r="AC5333" s="33"/>
      <c r="AD5333" s="33"/>
      <c r="AE5333" s="33"/>
      <c r="AF5333" s="33"/>
      <c r="AG5333" s="33"/>
      <c r="AH5333" s="33"/>
      <c r="AI5333" s="33"/>
      <c r="AJ5333" s="33"/>
      <c r="AK5333" s="33"/>
    </row>
    <row r="5334">
      <c r="A5334" s="33"/>
      <c r="B5334" s="33"/>
      <c r="C5334" s="33"/>
      <c r="D5334" s="33"/>
      <c r="E5334" s="33"/>
      <c r="F5334" s="33"/>
      <c r="G5334" s="33"/>
      <c r="H5334" s="33"/>
      <c r="I5334" s="33"/>
      <c r="J5334" s="33"/>
      <c r="K5334" s="33"/>
      <c r="L5334" s="33"/>
      <c r="M5334" s="33"/>
      <c r="N5334" s="33"/>
      <c r="O5334" s="33"/>
      <c r="P5334" s="33"/>
      <c r="Q5334" s="33"/>
      <c r="R5334" s="33"/>
      <c r="S5334" s="33"/>
      <c r="T5334" s="33"/>
      <c r="U5334" s="33"/>
      <c r="V5334" s="33"/>
      <c r="W5334" s="33"/>
      <c r="X5334" s="33"/>
      <c r="Y5334" s="33"/>
      <c r="Z5334" s="33"/>
      <c r="AA5334" s="33"/>
      <c r="AB5334" s="33"/>
      <c r="AC5334" s="33"/>
      <c r="AD5334" s="33"/>
      <c r="AE5334" s="33"/>
      <c r="AF5334" s="33"/>
      <c r="AG5334" s="33"/>
      <c r="AH5334" s="33"/>
      <c r="AI5334" s="33"/>
      <c r="AJ5334" s="33"/>
      <c r="AK5334" s="33"/>
    </row>
    <row r="5335">
      <c r="A5335" s="33"/>
      <c r="B5335" s="33"/>
      <c r="C5335" s="33"/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  <c r="Q5335" s="33"/>
      <c r="R5335" s="33"/>
      <c r="S5335" s="33"/>
      <c r="T5335" s="33"/>
      <c r="U5335" s="33"/>
      <c r="V5335" s="33"/>
      <c r="W5335" s="33"/>
      <c r="X5335" s="33"/>
      <c r="Y5335" s="33"/>
      <c r="Z5335" s="33"/>
      <c r="AA5335" s="33"/>
      <c r="AB5335" s="33"/>
      <c r="AC5335" s="33"/>
      <c r="AD5335" s="33"/>
      <c r="AE5335" s="33"/>
      <c r="AF5335" s="33"/>
      <c r="AG5335" s="33"/>
      <c r="AH5335" s="33"/>
      <c r="AI5335" s="33"/>
      <c r="AJ5335" s="33"/>
      <c r="AK5335" s="33"/>
    </row>
    <row r="5336">
      <c r="A5336" s="33"/>
      <c r="B5336" s="33"/>
      <c r="C5336" s="33"/>
      <c r="D5336" s="33"/>
      <c r="E5336" s="33"/>
      <c r="F5336" s="33"/>
      <c r="G5336" s="33"/>
      <c r="H5336" s="33"/>
      <c r="I5336" s="33"/>
      <c r="J5336" s="33"/>
      <c r="K5336" s="33"/>
      <c r="L5336" s="33"/>
      <c r="M5336" s="33"/>
      <c r="N5336" s="33"/>
      <c r="O5336" s="33"/>
      <c r="P5336" s="33"/>
      <c r="Q5336" s="33"/>
      <c r="R5336" s="33"/>
      <c r="S5336" s="33"/>
      <c r="T5336" s="33"/>
      <c r="U5336" s="33"/>
      <c r="V5336" s="33"/>
      <c r="W5336" s="33"/>
      <c r="X5336" s="33"/>
      <c r="Y5336" s="33"/>
      <c r="Z5336" s="33"/>
      <c r="AA5336" s="33"/>
      <c r="AB5336" s="33"/>
      <c r="AC5336" s="33"/>
      <c r="AD5336" s="33"/>
      <c r="AE5336" s="33"/>
      <c r="AF5336" s="33"/>
      <c r="AG5336" s="33"/>
      <c r="AH5336" s="33"/>
      <c r="AI5336" s="33"/>
      <c r="AJ5336" s="33"/>
      <c r="AK5336" s="33"/>
    </row>
    <row r="5337">
      <c r="A5337" s="33"/>
      <c r="B5337" s="33"/>
      <c r="C5337" s="33"/>
      <c r="D5337" s="33"/>
      <c r="E5337" s="33"/>
      <c r="F5337" s="33"/>
      <c r="G5337" s="33"/>
      <c r="H5337" s="33"/>
      <c r="I5337" s="33"/>
      <c r="J5337" s="33"/>
      <c r="K5337" s="33"/>
      <c r="L5337" s="33"/>
      <c r="M5337" s="33"/>
      <c r="N5337" s="33"/>
      <c r="O5337" s="33"/>
      <c r="P5337" s="33"/>
      <c r="Q5337" s="33"/>
      <c r="R5337" s="33"/>
      <c r="S5337" s="33"/>
      <c r="T5337" s="33"/>
      <c r="U5337" s="33"/>
      <c r="V5337" s="33"/>
      <c r="W5337" s="33"/>
      <c r="X5337" s="33"/>
      <c r="Y5337" s="33"/>
      <c r="Z5337" s="33"/>
      <c r="AA5337" s="33"/>
      <c r="AB5337" s="33"/>
      <c r="AC5337" s="33"/>
      <c r="AD5337" s="33"/>
      <c r="AE5337" s="33"/>
      <c r="AF5337" s="33"/>
      <c r="AG5337" s="33"/>
      <c r="AH5337" s="33"/>
      <c r="AI5337" s="33"/>
      <c r="AJ5337" s="33"/>
      <c r="AK5337" s="33"/>
    </row>
    <row r="5338">
      <c r="A5338" s="33"/>
      <c r="B5338" s="33"/>
      <c r="C5338" s="33"/>
      <c r="D5338" s="33"/>
      <c r="E5338" s="33"/>
      <c r="F5338" s="33"/>
      <c r="G5338" s="33"/>
      <c r="H5338" s="33"/>
      <c r="I5338" s="33"/>
      <c r="J5338" s="33"/>
      <c r="K5338" s="33"/>
      <c r="L5338" s="33"/>
      <c r="M5338" s="33"/>
      <c r="N5338" s="33"/>
      <c r="O5338" s="33"/>
      <c r="P5338" s="33"/>
      <c r="Q5338" s="33"/>
      <c r="R5338" s="33"/>
      <c r="S5338" s="33"/>
      <c r="T5338" s="33"/>
      <c r="U5338" s="33"/>
      <c r="V5338" s="33"/>
      <c r="W5338" s="33"/>
      <c r="X5338" s="33"/>
      <c r="Y5338" s="33"/>
      <c r="Z5338" s="33"/>
      <c r="AA5338" s="33"/>
      <c r="AB5338" s="33"/>
      <c r="AC5338" s="33"/>
      <c r="AD5338" s="33"/>
      <c r="AE5338" s="33"/>
      <c r="AF5338" s="33"/>
      <c r="AG5338" s="33"/>
      <c r="AH5338" s="33"/>
      <c r="AI5338" s="33"/>
      <c r="AJ5338" s="33"/>
      <c r="AK5338" s="33"/>
    </row>
    <row r="5339">
      <c r="A5339" s="33"/>
      <c r="B5339" s="33"/>
      <c r="C5339" s="33"/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  <c r="Q5339" s="33"/>
      <c r="R5339" s="33"/>
      <c r="S5339" s="33"/>
      <c r="T5339" s="33"/>
      <c r="U5339" s="33"/>
      <c r="V5339" s="33"/>
      <c r="W5339" s="33"/>
      <c r="X5339" s="33"/>
      <c r="Y5339" s="33"/>
      <c r="Z5339" s="33"/>
      <c r="AA5339" s="33"/>
      <c r="AB5339" s="33"/>
      <c r="AC5339" s="33"/>
      <c r="AD5339" s="33"/>
      <c r="AE5339" s="33"/>
      <c r="AF5339" s="33"/>
      <c r="AG5339" s="33"/>
      <c r="AH5339" s="33"/>
      <c r="AI5339" s="33"/>
      <c r="AJ5339" s="33"/>
      <c r="AK5339" s="33"/>
    </row>
    <row r="5340">
      <c r="A5340" s="33"/>
      <c r="B5340" s="33"/>
      <c r="C5340" s="33"/>
      <c r="D5340" s="33"/>
      <c r="E5340" s="33"/>
      <c r="F5340" s="33"/>
      <c r="G5340" s="33"/>
      <c r="H5340" s="33"/>
      <c r="I5340" s="33"/>
      <c r="J5340" s="33"/>
      <c r="K5340" s="33"/>
      <c r="L5340" s="33"/>
      <c r="M5340" s="33"/>
      <c r="N5340" s="33"/>
      <c r="O5340" s="33"/>
      <c r="P5340" s="33"/>
      <c r="Q5340" s="33"/>
      <c r="R5340" s="33"/>
      <c r="S5340" s="33"/>
      <c r="T5340" s="33"/>
      <c r="U5340" s="33"/>
      <c r="V5340" s="33"/>
      <c r="W5340" s="33"/>
      <c r="X5340" s="33"/>
      <c r="Y5340" s="33"/>
      <c r="Z5340" s="33"/>
      <c r="AA5340" s="33"/>
      <c r="AB5340" s="33"/>
      <c r="AC5340" s="33"/>
      <c r="AD5340" s="33"/>
      <c r="AE5340" s="33"/>
      <c r="AF5340" s="33"/>
      <c r="AG5340" s="33"/>
      <c r="AH5340" s="33"/>
      <c r="AI5340" s="33"/>
      <c r="AJ5340" s="33"/>
      <c r="AK5340" s="33"/>
    </row>
    <row r="5341">
      <c r="A5341" s="33"/>
      <c r="B5341" s="33"/>
      <c r="C5341" s="33"/>
      <c r="D5341" s="33"/>
      <c r="E5341" s="33"/>
      <c r="F5341" s="33"/>
      <c r="G5341" s="33"/>
      <c r="H5341" s="33"/>
      <c r="I5341" s="33"/>
      <c r="J5341" s="33"/>
      <c r="K5341" s="33"/>
      <c r="L5341" s="33"/>
      <c r="M5341" s="33"/>
      <c r="N5341" s="33"/>
      <c r="O5341" s="33"/>
      <c r="P5341" s="33"/>
      <c r="Q5341" s="33"/>
      <c r="R5341" s="33"/>
      <c r="S5341" s="33"/>
      <c r="T5341" s="33"/>
      <c r="U5341" s="33"/>
      <c r="V5341" s="33"/>
      <c r="W5341" s="33"/>
      <c r="X5341" s="33"/>
      <c r="Y5341" s="33"/>
      <c r="Z5341" s="33"/>
      <c r="AA5341" s="33"/>
      <c r="AB5341" s="33"/>
      <c r="AC5341" s="33"/>
      <c r="AD5341" s="33"/>
      <c r="AE5341" s="33"/>
      <c r="AF5341" s="33"/>
      <c r="AG5341" s="33"/>
      <c r="AH5341" s="33"/>
      <c r="AI5341" s="33"/>
      <c r="AJ5341" s="33"/>
      <c r="AK5341" s="33"/>
    </row>
    <row r="5342">
      <c r="A5342" s="33"/>
      <c r="B5342" s="33"/>
      <c r="C5342" s="33"/>
      <c r="D5342" s="33"/>
      <c r="E5342" s="33"/>
      <c r="F5342" s="33"/>
      <c r="G5342" s="33"/>
      <c r="H5342" s="33"/>
      <c r="I5342" s="33"/>
      <c r="J5342" s="33"/>
      <c r="K5342" s="33"/>
      <c r="L5342" s="33"/>
      <c r="M5342" s="33"/>
      <c r="N5342" s="33"/>
      <c r="O5342" s="33"/>
      <c r="P5342" s="33"/>
      <c r="Q5342" s="33"/>
      <c r="R5342" s="33"/>
      <c r="S5342" s="33"/>
      <c r="T5342" s="33"/>
      <c r="U5342" s="33"/>
      <c r="V5342" s="33"/>
      <c r="W5342" s="33"/>
      <c r="X5342" s="33"/>
      <c r="Y5342" s="33"/>
      <c r="Z5342" s="33"/>
      <c r="AA5342" s="33"/>
      <c r="AB5342" s="33"/>
      <c r="AC5342" s="33"/>
      <c r="AD5342" s="33"/>
      <c r="AE5342" s="33"/>
      <c r="AF5342" s="33"/>
      <c r="AG5342" s="33"/>
      <c r="AH5342" s="33"/>
      <c r="AI5342" s="33"/>
      <c r="AJ5342" s="33"/>
      <c r="AK5342" s="33"/>
    </row>
    <row r="5343">
      <c r="A5343" s="33"/>
      <c r="B5343" s="33"/>
      <c r="C5343" s="33"/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  <c r="Q5343" s="33"/>
      <c r="R5343" s="33"/>
      <c r="S5343" s="33"/>
      <c r="T5343" s="33"/>
      <c r="U5343" s="33"/>
      <c r="V5343" s="33"/>
      <c r="W5343" s="33"/>
      <c r="X5343" s="33"/>
      <c r="Y5343" s="33"/>
      <c r="Z5343" s="33"/>
      <c r="AA5343" s="33"/>
      <c r="AB5343" s="33"/>
      <c r="AC5343" s="33"/>
      <c r="AD5343" s="33"/>
      <c r="AE5343" s="33"/>
      <c r="AF5343" s="33"/>
      <c r="AG5343" s="33"/>
      <c r="AH5343" s="33"/>
      <c r="AI5343" s="33"/>
      <c r="AJ5343" s="33"/>
      <c r="AK5343" s="33"/>
    </row>
    <row r="5344">
      <c r="A5344" s="33"/>
      <c r="B5344" s="33"/>
      <c r="C5344" s="33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33"/>
      <c r="Q5344" s="33"/>
      <c r="R5344" s="33"/>
      <c r="S5344" s="33"/>
      <c r="T5344" s="33"/>
      <c r="U5344" s="33"/>
      <c r="V5344" s="33"/>
      <c r="W5344" s="33"/>
      <c r="X5344" s="33"/>
      <c r="Y5344" s="33"/>
      <c r="Z5344" s="33"/>
      <c r="AA5344" s="33"/>
      <c r="AB5344" s="33"/>
      <c r="AC5344" s="33"/>
      <c r="AD5344" s="33"/>
      <c r="AE5344" s="33"/>
      <c r="AF5344" s="33"/>
      <c r="AG5344" s="33"/>
      <c r="AH5344" s="33"/>
      <c r="AI5344" s="33"/>
      <c r="AJ5344" s="33"/>
      <c r="AK5344" s="33"/>
    </row>
    <row r="5345">
      <c r="A5345" s="33"/>
      <c r="B5345" s="33"/>
      <c r="C5345" s="33"/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33"/>
      <c r="Q5345" s="33"/>
      <c r="R5345" s="33"/>
      <c r="S5345" s="33"/>
      <c r="T5345" s="33"/>
      <c r="U5345" s="33"/>
      <c r="V5345" s="33"/>
      <c r="W5345" s="33"/>
      <c r="X5345" s="33"/>
      <c r="Y5345" s="33"/>
      <c r="Z5345" s="33"/>
      <c r="AA5345" s="33"/>
      <c r="AB5345" s="33"/>
      <c r="AC5345" s="33"/>
      <c r="AD5345" s="33"/>
      <c r="AE5345" s="33"/>
      <c r="AF5345" s="33"/>
      <c r="AG5345" s="33"/>
      <c r="AH5345" s="33"/>
      <c r="AI5345" s="33"/>
      <c r="AJ5345" s="33"/>
      <c r="AK5345" s="33"/>
    </row>
    <row r="5346">
      <c r="A5346" s="33"/>
      <c r="B5346" s="33"/>
      <c r="C5346" s="33"/>
      <c r="D5346" s="33"/>
      <c r="E5346" s="33"/>
      <c r="F5346" s="33"/>
      <c r="G5346" s="33"/>
      <c r="H5346" s="33"/>
      <c r="I5346" s="33"/>
      <c r="J5346" s="33"/>
      <c r="K5346" s="33"/>
      <c r="L5346" s="33"/>
      <c r="M5346" s="33"/>
      <c r="N5346" s="33"/>
      <c r="O5346" s="33"/>
      <c r="P5346" s="33"/>
      <c r="Q5346" s="33"/>
      <c r="R5346" s="33"/>
      <c r="S5346" s="33"/>
      <c r="T5346" s="33"/>
      <c r="U5346" s="33"/>
      <c r="V5346" s="33"/>
      <c r="W5346" s="33"/>
      <c r="X5346" s="33"/>
      <c r="Y5346" s="33"/>
      <c r="Z5346" s="33"/>
      <c r="AA5346" s="33"/>
      <c r="AB5346" s="33"/>
      <c r="AC5346" s="33"/>
      <c r="AD5346" s="33"/>
      <c r="AE5346" s="33"/>
      <c r="AF5346" s="33"/>
      <c r="AG5346" s="33"/>
      <c r="AH5346" s="33"/>
      <c r="AI5346" s="33"/>
      <c r="AJ5346" s="33"/>
      <c r="AK5346" s="33"/>
    </row>
    <row r="5347">
      <c r="A5347" s="33"/>
      <c r="B5347" s="33"/>
      <c r="C5347" s="33"/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  <c r="Q5347" s="33"/>
      <c r="R5347" s="33"/>
      <c r="S5347" s="33"/>
      <c r="T5347" s="33"/>
      <c r="U5347" s="33"/>
      <c r="V5347" s="33"/>
      <c r="W5347" s="33"/>
      <c r="X5347" s="33"/>
      <c r="Y5347" s="33"/>
      <c r="Z5347" s="33"/>
      <c r="AA5347" s="33"/>
      <c r="AB5347" s="33"/>
      <c r="AC5347" s="33"/>
      <c r="AD5347" s="33"/>
      <c r="AE5347" s="33"/>
      <c r="AF5347" s="33"/>
      <c r="AG5347" s="33"/>
      <c r="AH5347" s="33"/>
      <c r="AI5347" s="33"/>
      <c r="AJ5347" s="33"/>
      <c r="AK5347" s="33"/>
    </row>
    <row r="5348">
      <c r="A5348" s="33"/>
      <c r="B5348" s="33"/>
      <c r="C5348" s="33"/>
      <c r="D5348" s="33"/>
      <c r="E5348" s="33"/>
      <c r="F5348" s="33"/>
      <c r="G5348" s="33"/>
      <c r="H5348" s="33"/>
      <c r="I5348" s="33"/>
      <c r="J5348" s="33"/>
      <c r="K5348" s="33"/>
      <c r="L5348" s="33"/>
      <c r="M5348" s="33"/>
      <c r="N5348" s="33"/>
      <c r="O5348" s="33"/>
      <c r="P5348" s="33"/>
      <c r="Q5348" s="33"/>
      <c r="R5348" s="33"/>
      <c r="S5348" s="33"/>
      <c r="T5348" s="33"/>
      <c r="U5348" s="33"/>
      <c r="V5348" s="33"/>
      <c r="W5348" s="33"/>
      <c r="X5348" s="33"/>
      <c r="Y5348" s="33"/>
      <c r="Z5348" s="33"/>
      <c r="AA5348" s="33"/>
      <c r="AB5348" s="33"/>
      <c r="AC5348" s="33"/>
      <c r="AD5348" s="33"/>
      <c r="AE5348" s="33"/>
      <c r="AF5348" s="33"/>
      <c r="AG5348" s="33"/>
      <c r="AH5348" s="33"/>
      <c r="AI5348" s="33"/>
      <c r="AJ5348" s="33"/>
      <c r="AK5348" s="33"/>
    </row>
    <row r="5349">
      <c r="A5349" s="33"/>
      <c r="B5349" s="33"/>
      <c r="C5349" s="33"/>
      <c r="D5349" s="33"/>
      <c r="E5349" s="33"/>
      <c r="F5349" s="33"/>
      <c r="G5349" s="33"/>
      <c r="H5349" s="33"/>
      <c r="I5349" s="33"/>
      <c r="J5349" s="33"/>
      <c r="K5349" s="33"/>
      <c r="L5349" s="33"/>
      <c r="M5349" s="33"/>
      <c r="N5349" s="33"/>
      <c r="O5349" s="33"/>
      <c r="P5349" s="33"/>
      <c r="Q5349" s="33"/>
      <c r="R5349" s="33"/>
      <c r="S5349" s="33"/>
      <c r="T5349" s="33"/>
      <c r="U5349" s="33"/>
      <c r="V5349" s="33"/>
      <c r="W5349" s="33"/>
      <c r="X5349" s="33"/>
      <c r="Y5349" s="33"/>
      <c r="Z5349" s="33"/>
      <c r="AA5349" s="33"/>
      <c r="AB5349" s="33"/>
      <c r="AC5349" s="33"/>
      <c r="AD5349" s="33"/>
      <c r="AE5349" s="33"/>
      <c r="AF5349" s="33"/>
      <c r="AG5349" s="33"/>
      <c r="AH5349" s="33"/>
      <c r="AI5349" s="33"/>
      <c r="AJ5349" s="33"/>
      <c r="AK5349" s="33"/>
    </row>
    <row r="5350">
      <c r="A5350" s="33"/>
      <c r="B5350" s="33"/>
      <c r="C5350" s="33"/>
      <c r="D5350" s="33"/>
      <c r="E5350" s="33"/>
      <c r="F5350" s="33"/>
      <c r="G5350" s="33"/>
      <c r="H5350" s="33"/>
      <c r="I5350" s="33"/>
      <c r="J5350" s="33"/>
      <c r="K5350" s="33"/>
      <c r="L5350" s="33"/>
      <c r="M5350" s="33"/>
      <c r="N5350" s="33"/>
      <c r="O5350" s="33"/>
      <c r="P5350" s="33"/>
      <c r="Q5350" s="33"/>
      <c r="R5350" s="33"/>
      <c r="S5350" s="33"/>
      <c r="T5350" s="33"/>
      <c r="U5350" s="33"/>
      <c r="V5350" s="33"/>
      <c r="W5350" s="33"/>
      <c r="X5350" s="33"/>
      <c r="Y5350" s="33"/>
      <c r="Z5350" s="33"/>
      <c r="AA5350" s="33"/>
      <c r="AB5350" s="33"/>
      <c r="AC5350" s="33"/>
      <c r="AD5350" s="33"/>
      <c r="AE5350" s="33"/>
      <c r="AF5350" s="33"/>
      <c r="AG5350" s="33"/>
      <c r="AH5350" s="33"/>
      <c r="AI5350" s="33"/>
      <c r="AJ5350" s="33"/>
      <c r="AK5350" s="33"/>
    </row>
    <row r="5351">
      <c r="A5351" s="33"/>
      <c r="B5351" s="33"/>
      <c r="C5351" s="33"/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  <c r="Q5351" s="33"/>
      <c r="R5351" s="33"/>
      <c r="S5351" s="33"/>
      <c r="T5351" s="33"/>
      <c r="U5351" s="33"/>
      <c r="V5351" s="33"/>
      <c r="W5351" s="33"/>
      <c r="X5351" s="33"/>
      <c r="Y5351" s="33"/>
      <c r="Z5351" s="33"/>
      <c r="AA5351" s="33"/>
      <c r="AB5351" s="33"/>
      <c r="AC5351" s="33"/>
      <c r="AD5351" s="33"/>
      <c r="AE5351" s="33"/>
      <c r="AF5351" s="33"/>
      <c r="AG5351" s="33"/>
      <c r="AH5351" s="33"/>
      <c r="AI5351" s="33"/>
      <c r="AJ5351" s="33"/>
      <c r="AK5351" s="33"/>
    </row>
    <row r="5352">
      <c r="A5352" s="33"/>
      <c r="B5352" s="33"/>
      <c r="C5352" s="33"/>
      <c r="D5352" s="33"/>
      <c r="E5352" s="33"/>
      <c r="F5352" s="33"/>
      <c r="G5352" s="33"/>
      <c r="H5352" s="33"/>
      <c r="I5352" s="33"/>
      <c r="J5352" s="33"/>
      <c r="K5352" s="33"/>
      <c r="L5352" s="33"/>
      <c r="M5352" s="33"/>
      <c r="N5352" s="33"/>
      <c r="O5352" s="33"/>
      <c r="P5352" s="33"/>
      <c r="Q5352" s="33"/>
      <c r="R5352" s="33"/>
      <c r="S5352" s="33"/>
      <c r="T5352" s="33"/>
      <c r="U5352" s="33"/>
      <c r="V5352" s="33"/>
      <c r="W5352" s="33"/>
      <c r="X5352" s="33"/>
      <c r="Y5352" s="33"/>
      <c r="Z5352" s="33"/>
      <c r="AA5352" s="33"/>
      <c r="AB5352" s="33"/>
      <c r="AC5352" s="33"/>
      <c r="AD5352" s="33"/>
      <c r="AE5352" s="33"/>
      <c r="AF5352" s="33"/>
      <c r="AG5352" s="33"/>
      <c r="AH5352" s="33"/>
      <c r="AI5352" s="33"/>
      <c r="AJ5352" s="33"/>
      <c r="AK5352" s="33"/>
    </row>
    <row r="5353">
      <c r="A5353" s="33"/>
      <c r="B5353" s="33"/>
      <c r="C5353" s="33"/>
      <c r="D5353" s="33"/>
      <c r="E5353" s="33"/>
      <c r="F5353" s="33"/>
      <c r="G5353" s="33"/>
      <c r="H5353" s="33"/>
      <c r="I5353" s="33"/>
      <c r="J5353" s="33"/>
      <c r="K5353" s="33"/>
      <c r="L5353" s="33"/>
      <c r="M5353" s="33"/>
      <c r="N5353" s="33"/>
      <c r="O5353" s="33"/>
      <c r="P5353" s="33"/>
      <c r="Q5353" s="33"/>
      <c r="R5353" s="33"/>
      <c r="S5353" s="33"/>
      <c r="T5353" s="33"/>
      <c r="U5353" s="33"/>
      <c r="V5353" s="33"/>
      <c r="W5353" s="33"/>
      <c r="X5353" s="33"/>
      <c r="Y5353" s="33"/>
      <c r="Z5353" s="33"/>
      <c r="AA5353" s="33"/>
      <c r="AB5353" s="33"/>
      <c r="AC5353" s="33"/>
      <c r="AD5353" s="33"/>
      <c r="AE5353" s="33"/>
      <c r="AF5353" s="33"/>
      <c r="AG5353" s="33"/>
      <c r="AH5353" s="33"/>
      <c r="AI5353" s="33"/>
      <c r="AJ5353" s="33"/>
      <c r="AK5353" s="33"/>
    </row>
    <row r="5354">
      <c r="A5354" s="33"/>
      <c r="B5354" s="33"/>
      <c r="C5354" s="33"/>
      <c r="D5354" s="33"/>
      <c r="E5354" s="33"/>
      <c r="F5354" s="33"/>
      <c r="G5354" s="33"/>
      <c r="H5354" s="33"/>
      <c r="I5354" s="33"/>
      <c r="J5354" s="33"/>
      <c r="K5354" s="33"/>
      <c r="L5354" s="33"/>
      <c r="M5354" s="33"/>
      <c r="N5354" s="33"/>
      <c r="O5354" s="33"/>
      <c r="P5354" s="33"/>
      <c r="Q5354" s="33"/>
      <c r="R5354" s="33"/>
      <c r="S5354" s="33"/>
      <c r="T5354" s="33"/>
      <c r="U5354" s="33"/>
      <c r="V5354" s="33"/>
      <c r="W5354" s="33"/>
      <c r="X5354" s="33"/>
      <c r="Y5354" s="33"/>
      <c r="Z5354" s="33"/>
      <c r="AA5354" s="33"/>
      <c r="AB5354" s="33"/>
      <c r="AC5354" s="33"/>
      <c r="AD5354" s="33"/>
      <c r="AE5354" s="33"/>
      <c r="AF5354" s="33"/>
      <c r="AG5354" s="33"/>
      <c r="AH5354" s="33"/>
      <c r="AI5354" s="33"/>
      <c r="AJ5354" s="33"/>
      <c r="AK5354" s="33"/>
    </row>
    <row r="5355">
      <c r="A5355" s="33"/>
      <c r="B5355" s="33"/>
      <c r="C5355" s="33"/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  <c r="Q5355" s="33"/>
      <c r="R5355" s="33"/>
      <c r="S5355" s="33"/>
      <c r="T5355" s="33"/>
      <c r="U5355" s="33"/>
      <c r="V5355" s="33"/>
      <c r="W5355" s="33"/>
      <c r="X5355" s="33"/>
      <c r="Y5355" s="33"/>
      <c r="Z5355" s="33"/>
      <c r="AA5355" s="33"/>
      <c r="AB5355" s="33"/>
      <c r="AC5355" s="33"/>
      <c r="AD5355" s="33"/>
      <c r="AE5355" s="33"/>
      <c r="AF5355" s="33"/>
      <c r="AG5355" s="33"/>
      <c r="AH5355" s="33"/>
      <c r="AI5355" s="33"/>
      <c r="AJ5355" s="33"/>
      <c r="AK5355" s="33"/>
    </row>
    <row r="5356">
      <c r="A5356" s="33"/>
      <c r="B5356" s="33"/>
      <c r="C5356" s="33"/>
      <c r="D5356" s="33"/>
      <c r="E5356" s="33"/>
      <c r="F5356" s="33"/>
      <c r="G5356" s="33"/>
      <c r="H5356" s="33"/>
      <c r="I5356" s="33"/>
      <c r="J5356" s="33"/>
      <c r="K5356" s="33"/>
      <c r="L5356" s="33"/>
      <c r="M5356" s="33"/>
      <c r="N5356" s="33"/>
      <c r="O5356" s="33"/>
      <c r="P5356" s="33"/>
      <c r="Q5356" s="33"/>
      <c r="R5356" s="33"/>
      <c r="S5356" s="33"/>
      <c r="T5356" s="33"/>
      <c r="U5356" s="33"/>
      <c r="V5356" s="33"/>
      <c r="W5356" s="33"/>
      <c r="X5356" s="33"/>
      <c r="Y5356" s="33"/>
      <c r="Z5356" s="33"/>
      <c r="AA5356" s="33"/>
      <c r="AB5356" s="33"/>
      <c r="AC5356" s="33"/>
      <c r="AD5356" s="33"/>
      <c r="AE5356" s="33"/>
      <c r="AF5356" s="33"/>
      <c r="AG5356" s="33"/>
      <c r="AH5356" s="33"/>
      <c r="AI5356" s="33"/>
      <c r="AJ5356" s="33"/>
      <c r="AK5356" s="33"/>
    </row>
    <row r="5357">
      <c r="A5357" s="33"/>
      <c r="B5357" s="33"/>
      <c r="C5357" s="33"/>
      <c r="D5357" s="33"/>
      <c r="E5357" s="33"/>
      <c r="F5357" s="33"/>
      <c r="G5357" s="33"/>
      <c r="H5357" s="33"/>
      <c r="I5357" s="33"/>
      <c r="J5357" s="33"/>
      <c r="K5357" s="33"/>
      <c r="L5357" s="33"/>
      <c r="M5357" s="33"/>
      <c r="N5357" s="33"/>
      <c r="O5357" s="33"/>
      <c r="P5357" s="33"/>
      <c r="Q5357" s="33"/>
      <c r="R5357" s="33"/>
      <c r="S5357" s="33"/>
      <c r="T5357" s="33"/>
      <c r="U5357" s="33"/>
      <c r="V5357" s="33"/>
      <c r="W5357" s="33"/>
      <c r="X5357" s="33"/>
      <c r="Y5357" s="33"/>
      <c r="Z5357" s="33"/>
      <c r="AA5357" s="33"/>
      <c r="AB5357" s="33"/>
      <c r="AC5357" s="33"/>
      <c r="AD5357" s="33"/>
      <c r="AE5357" s="33"/>
      <c r="AF5357" s="33"/>
      <c r="AG5357" s="33"/>
      <c r="AH5357" s="33"/>
      <c r="AI5357" s="33"/>
      <c r="AJ5357" s="33"/>
      <c r="AK5357" s="33"/>
    </row>
    <row r="5358">
      <c r="A5358" s="33"/>
      <c r="B5358" s="33"/>
      <c r="C5358" s="33"/>
      <c r="D5358" s="33"/>
      <c r="E5358" s="33"/>
      <c r="F5358" s="33"/>
      <c r="G5358" s="33"/>
      <c r="H5358" s="33"/>
      <c r="I5358" s="33"/>
      <c r="J5358" s="33"/>
      <c r="K5358" s="33"/>
      <c r="L5358" s="33"/>
      <c r="M5358" s="33"/>
      <c r="N5358" s="33"/>
      <c r="O5358" s="33"/>
      <c r="P5358" s="33"/>
      <c r="Q5358" s="33"/>
      <c r="R5358" s="33"/>
      <c r="S5358" s="33"/>
      <c r="T5358" s="33"/>
      <c r="U5358" s="33"/>
      <c r="V5358" s="33"/>
      <c r="W5358" s="33"/>
      <c r="X5358" s="33"/>
      <c r="Y5358" s="33"/>
      <c r="Z5358" s="33"/>
      <c r="AA5358" s="33"/>
      <c r="AB5358" s="33"/>
      <c r="AC5358" s="33"/>
      <c r="AD5358" s="33"/>
      <c r="AE5358" s="33"/>
      <c r="AF5358" s="33"/>
      <c r="AG5358" s="33"/>
      <c r="AH5358" s="33"/>
      <c r="AI5358" s="33"/>
      <c r="AJ5358" s="33"/>
      <c r="AK5358" s="33"/>
    </row>
    <row r="5359">
      <c r="A5359" s="33"/>
      <c r="B5359" s="33"/>
      <c r="C5359" s="33"/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  <c r="Q5359" s="33"/>
      <c r="R5359" s="33"/>
      <c r="S5359" s="33"/>
      <c r="T5359" s="33"/>
      <c r="U5359" s="33"/>
      <c r="V5359" s="33"/>
      <c r="W5359" s="33"/>
      <c r="X5359" s="33"/>
      <c r="Y5359" s="33"/>
      <c r="Z5359" s="33"/>
      <c r="AA5359" s="33"/>
      <c r="AB5359" s="33"/>
      <c r="AC5359" s="33"/>
      <c r="AD5359" s="33"/>
      <c r="AE5359" s="33"/>
      <c r="AF5359" s="33"/>
      <c r="AG5359" s="33"/>
      <c r="AH5359" s="33"/>
      <c r="AI5359" s="33"/>
      <c r="AJ5359" s="33"/>
      <c r="AK5359" s="33"/>
    </row>
    <row r="5360">
      <c r="A5360" s="33"/>
      <c r="B5360" s="33"/>
      <c r="C5360" s="33"/>
      <c r="D5360" s="33"/>
      <c r="E5360" s="33"/>
      <c r="F5360" s="33"/>
      <c r="G5360" s="33"/>
      <c r="H5360" s="33"/>
      <c r="I5360" s="33"/>
      <c r="J5360" s="33"/>
      <c r="K5360" s="33"/>
      <c r="L5360" s="33"/>
      <c r="M5360" s="33"/>
      <c r="N5360" s="33"/>
      <c r="O5360" s="33"/>
      <c r="P5360" s="33"/>
      <c r="Q5360" s="33"/>
      <c r="R5360" s="33"/>
      <c r="S5360" s="33"/>
      <c r="T5360" s="33"/>
      <c r="U5360" s="33"/>
      <c r="V5360" s="33"/>
      <c r="W5360" s="33"/>
      <c r="X5360" s="33"/>
      <c r="Y5360" s="33"/>
      <c r="Z5360" s="33"/>
      <c r="AA5360" s="33"/>
      <c r="AB5360" s="33"/>
      <c r="AC5360" s="33"/>
      <c r="AD5360" s="33"/>
      <c r="AE5360" s="33"/>
      <c r="AF5360" s="33"/>
      <c r="AG5360" s="33"/>
      <c r="AH5360" s="33"/>
      <c r="AI5360" s="33"/>
      <c r="AJ5360" s="33"/>
      <c r="AK5360" s="33"/>
    </row>
    <row r="5361">
      <c r="A5361" s="33"/>
      <c r="B5361" s="33"/>
      <c r="C5361" s="33"/>
      <c r="D5361" s="33"/>
      <c r="E5361" s="33"/>
      <c r="F5361" s="33"/>
      <c r="G5361" s="33"/>
      <c r="H5361" s="33"/>
      <c r="I5361" s="33"/>
      <c r="J5361" s="33"/>
      <c r="K5361" s="33"/>
      <c r="L5361" s="33"/>
      <c r="M5361" s="33"/>
      <c r="N5361" s="33"/>
      <c r="O5361" s="33"/>
      <c r="P5361" s="33"/>
      <c r="Q5361" s="33"/>
      <c r="R5361" s="33"/>
      <c r="S5361" s="33"/>
      <c r="T5361" s="33"/>
      <c r="U5361" s="33"/>
      <c r="V5361" s="33"/>
      <c r="W5361" s="33"/>
      <c r="X5361" s="33"/>
      <c r="Y5361" s="33"/>
      <c r="Z5361" s="33"/>
      <c r="AA5361" s="33"/>
      <c r="AB5361" s="33"/>
      <c r="AC5361" s="33"/>
      <c r="AD5361" s="33"/>
      <c r="AE5361" s="33"/>
      <c r="AF5361" s="33"/>
      <c r="AG5361" s="33"/>
      <c r="AH5361" s="33"/>
      <c r="AI5361" s="33"/>
      <c r="AJ5361" s="33"/>
      <c r="AK5361" s="33"/>
    </row>
    <row r="5362">
      <c r="A5362" s="33"/>
      <c r="B5362" s="33"/>
      <c r="C5362" s="33"/>
      <c r="D5362" s="33"/>
      <c r="E5362" s="33"/>
      <c r="F5362" s="33"/>
      <c r="G5362" s="33"/>
      <c r="H5362" s="33"/>
      <c r="I5362" s="33"/>
      <c r="J5362" s="33"/>
      <c r="K5362" s="33"/>
      <c r="L5362" s="33"/>
      <c r="M5362" s="33"/>
      <c r="N5362" s="33"/>
      <c r="O5362" s="33"/>
      <c r="P5362" s="33"/>
      <c r="Q5362" s="33"/>
      <c r="R5362" s="33"/>
      <c r="S5362" s="33"/>
      <c r="T5362" s="33"/>
      <c r="U5362" s="33"/>
      <c r="V5362" s="33"/>
      <c r="W5362" s="33"/>
      <c r="X5362" s="33"/>
      <c r="Y5362" s="33"/>
      <c r="Z5362" s="33"/>
      <c r="AA5362" s="33"/>
      <c r="AB5362" s="33"/>
      <c r="AC5362" s="33"/>
      <c r="AD5362" s="33"/>
      <c r="AE5362" s="33"/>
      <c r="AF5362" s="33"/>
      <c r="AG5362" s="33"/>
      <c r="AH5362" s="33"/>
      <c r="AI5362" s="33"/>
      <c r="AJ5362" s="33"/>
      <c r="AK5362" s="33"/>
    </row>
    <row r="5363">
      <c r="A5363" s="33"/>
      <c r="B5363" s="33"/>
      <c r="C5363" s="33"/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33"/>
      <c r="V5363" s="33"/>
      <c r="W5363" s="33"/>
      <c r="X5363" s="33"/>
      <c r="Y5363" s="33"/>
      <c r="Z5363" s="33"/>
      <c r="AA5363" s="33"/>
      <c r="AB5363" s="33"/>
      <c r="AC5363" s="33"/>
      <c r="AD5363" s="33"/>
      <c r="AE5363" s="33"/>
      <c r="AF5363" s="33"/>
      <c r="AG5363" s="33"/>
      <c r="AH5363" s="33"/>
      <c r="AI5363" s="33"/>
      <c r="AJ5363" s="33"/>
      <c r="AK5363" s="33"/>
    </row>
    <row r="5364">
      <c r="A5364" s="33"/>
      <c r="B5364" s="33"/>
      <c r="C5364" s="33"/>
      <c r="D5364" s="33"/>
      <c r="E5364" s="33"/>
      <c r="F5364" s="33"/>
      <c r="G5364" s="33"/>
      <c r="H5364" s="33"/>
      <c r="I5364" s="33"/>
      <c r="J5364" s="33"/>
      <c r="K5364" s="33"/>
      <c r="L5364" s="33"/>
      <c r="M5364" s="33"/>
      <c r="N5364" s="33"/>
      <c r="O5364" s="33"/>
      <c r="P5364" s="33"/>
      <c r="Q5364" s="33"/>
      <c r="R5364" s="33"/>
      <c r="S5364" s="33"/>
      <c r="T5364" s="33"/>
      <c r="U5364" s="33"/>
      <c r="V5364" s="33"/>
      <c r="W5364" s="33"/>
      <c r="X5364" s="33"/>
      <c r="Y5364" s="33"/>
      <c r="Z5364" s="33"/>
      <c r="AA5364" s="33"/>
      <c r="AB5364" s="33"/>
      <c r="AC5364" s="33"/>
      <c r="AD5364" s="33"/>
      <c r="AE5364" s="33"/>
      <c r="AF5364" s="33"/>
      <c r="AG5364" s="33"/>
      <c r="AH5364" s="33"/>
      <c r="AI5364" s="33"/>
      <c r="AJ5364" s="33"/>
      <c r="AK5364" s="33"/>
    </row>
    <row r="5365">
      <c r="A5365" s="33"/>
      <c r="B5365" s="33"/>
      <c r="C5365" s="33"/>
      <c r="D5365" s="33"/>
      <c r="E5365" s="33"/>
      <c r="F5365" s="33"/>
      <c r="G5365" s="33"/>
      <c r="H5365" s="33"/>
      <c r="I5365" s="33"/>
      <c r="J5365" s="33"/>
      <c r="K5365" s="33"/>
      <c r="L5365" s="33"/>
      <c r="M5365" s="33"/>
      <c r="N5365" s="33"/>
      <c r="O5365" s="33"/>
      <c r="P5365" s="33"/>
      <c r="Q5365" s="33"/>
      <c r="R5365" s="33"/>
      <c r="S5365" s="33"/>
      <c r="T5365" s="33"/>
      <c r="U5365" s="33"/>
      <c r="V5365" s="33"/>
      <c r="W5365" s="33"/>
      <c r="X5365" s="33"/>
      <c r="Y5365" s="33"/>
      <c r="Z5365" s="33"/>
      <c r="AA5365" s="33"/>
      <c r="AB5365" s="33"/>
      <c r="AC5365" s="33"/>
      <c r="AD5365" s="33"/>
      <c r="AE5365" s="33"/>
      <c r="AF5365" s="33"/>
      <c r="AG5365" s="33"/>
      <c r="AH5365" s="33"/>
      <c r="AI5365" s="33"/>
      <c r="AJ5365" s="33"/>
      <c r="AK5365" s="33"/>
    </row>
    <row r="5366">
      <c r="A5366" s="33"/>
      <c r="B5366" s="33"/>
      <c r="C5366" s="33"/>
      <c r="D5366" s="33"/>
      <c r="E5366" s="33"/>
      <c r="F5366" s="33"/>
      <c r="G5366" s="33"/>
      <c r="H5366" s="33"/>
      <c r="I5366" s="33"/>
      <c r="J5366" s="33"/>
      <c r="K5366" s="33"/>
      <c r="L5366" s="33"/>
      <c r="M5366" s="33"/>
      <c r="N5366" s="33"/>
      <c r="O5366" s="33"/>
      <c r="P5366" s="33"/>
      <c r="Q5366" s="33"/>
      <c r="R5366" s="33"/>
      <c r="S5366" s="33"/>
      <c r="T5366" s="33"/>
      <c r="U5366" s="33"/>
      <c r="V5366" s="33"/>
      <c r="W5366" s="33"/>
      <c r="X5366" s="33"/>
      <c r="Y5366" s="33"/>
      <c r="Z5366" s="33"/>
      <c r="AA5366" s="33"/>
      <c r="AB5366" s="33"/>
      <c r="AC5366" s="33"/>
      <c r="AD5366" s="33"/>
      <c r="AE5366" s="33"/>
      <c r="AF5366" s="33"/>
      <c r="AG5366" s="33"/>
      <c r="AH5366" s="33"/>
      <c r="AI5366" s="33"/>
      <c r="AJ5366" s="33"/>
      <c r="AK5366" s="33"/>
    </row>
    <row r="5367">
      <c r="A5367" s="33"/>
      <c r="B5367" s="33"/>
      <c r="C5367" s="33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  <c r="Q5367" s="33"/>
      <c r="R5367" s="33"/>
      <c r="S5367" s="33"/>
      <c r="T5367" s="33"/>
      <c r="U5367" s="33"/>
      <c r="V5367" s="33"/>
      <c r="W5367" s="33"/>
      <c r="X5367" s="33"/>
      <c r="Y5367" s="33"/>
      <c r="Z5367" s="33"/>
      <c r="AA5367" s="33"/>
      <c r="AB5367" s="33"/>
      <c r="AC5367" s="33"/>
      <c r="AD5367" s="33"/>
      <c r="AE5367" s="33"/>
      <c r="AF5367" s="33"/>
      <c r="AG5367" s="33"/>
      <c r="AH5367" s="33"/>
      <c r="AI5367" s="33"/>
      <c r="AJ5367" s="33"/>
      <c r="AK5367" s="33"/>
    </row>
    <row r="5368">
      <c r="A5368" s="33"/>
      <c r="B5368" s="33"/>
      <c r="C5368" s="33"/>
      <c r="D5368" s="33"/>
      <c r="E5368" s="33"/>
      <c r="F5368" s="33"/>
      <c r="G5368" s="33"/>
      <c r="H5368" s="33"/>
      <c r="I5368" s="33"/>
      <c r="J5368" s="33"/>
      <c r="K5368" s="33"/>
      <c r="L5368" s="33"/>
      <c r="M5368" s="33"/>
      <c r="N5368" s="33"/>
      <c r="O5368" s="33"/>
      <c r="P5368" s="33"/>
      <c r="Q5368" s="33"/>
      <c r="R5368" s="33"/>
      <c r="S5368" s="33"/>
      <c r="T5368" s="33"/>
      <c r="U5368" s="33"/>
      <c r="V5368" s="33"/>
      <c r="W5368" s="33"/>
      <c r="X5368" s="33"/>
      <c r="Y5368" s="33"/>
      <c r="Z5368" s="33"/>
      <c r="AA5368" s="33"/>
      <c r="AB5368" s="33"/>
      <c r="AC5368" s="33"/>
      <c r="AD5368" s="33"/>
      <c r="AE5368" s="33"/>
      <c r="AF5368" s="33"/>
      <c r="AG5368" s="33"/>
      <c r="AH5368" s="33"/>
      <c r="AI5368" s="33"/>
      <c r="AJ5368" s="33"/>
      <c r="AK5368" s="33"/>
    </row>
    <row r="5369">
      <c r="A5369" s="33"/>
      <c r="B5369" s="33"/>
      <c r="C5369" s="33"/>
      <c r="D5369" s="33"/>
      <c r="E5369" s="33"/>
      <c r="F5369" s="33"/>
      <c r="G5369" s="33"/>
      <c r="H5369" s="33"/>
      <c r="I5369" s="33"/>
      <c r="J5369" s="33"/>
      <c r="K5369" s="33"/>
      <c r="L5369" s="33"/>
      <c r="M5369" s="33"/>
      <c r="N5369" s="33"/>
      <c r="O5369" s="33"/>
      <c r="P5369" s="33"/>
      <c r="Q5369" s="33"/>
      <c r="R5369" s="33"/>
      <c r="S5369" s="33"/>
      <c r="T5369" s="33"/>
      <c r="U5369" s="33"/>
      <c r="V5369" s="33"/>
      <c r="W5369" s="33"/>
      <c r="X5369" s="33"/>
      <c r="Y5369" s="33"/>
      <c r="Z5369" s="33"/>
      <c r="AA5369" s="33"/>
      <c r="AB5369" s="33"/>
      <c r="AC5369" s="33"/>
      <c r="AD5369" s="33"/>
      <c r="AE5369" s="33"/>
      <c r="AF5369" s="33"/>
      <c r="AG5369" s="33"/>
      <c r="AH5369" s="33"/>
      <c r="AI5369" s="33"/>
      <c r="AJ5369" s="33"/>
      <c r="AK5369" s="33"/>
    </row>
    <row r="5370">
      <c r="A5370" s="33"/>
      <c r="B5370" s="33"/>
      <c r="C5370" s="33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33"/>
      <c r="Q5370" s="33"/>
      <c r="R5370" s="33"/>
      <c r="S5370" s="33"/>
      <c r="T5370" s="33"/>
      <c r="U5370" s="33"/>
      <c r="V5370" s="33"/>
      <c r="W5370" s="33"/>
      <c r="X5370" s="33"/>
      <c r="Y5370" s="33"/>
      <c r="Z5370" s="33"/>
      <c r="AA5370" s="33"/>
      <c r="AB5370" s="33"/>
      <c r="AC5370" s="33"/>
      <c r="AD5370" s="33"/>
      <c r="AE5370" s="33"/>
      <c r="AF5370" s="33"/>
      <c r="AG5370" s="33"/>
      <c r="AH5370" s="33"/>
      <c r="AI5370" s="33"/>
      <c r="AJ5370" s="33"/>
      <c r="AK5370" s="33"/>
    </row>
    <row r="5371">
      <c r="A5371" s="33"/>
      <c r="B5371" s="33"/>
      <c r="C5371" s="33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  <c r="Q5371" s="33"/>
      <c r="R5371" s="33"/>
      <c r="S5371" s="33"/>
      <c r="T5371" s="33"/>
      <c r="U5371" s="33"/>
      <c r="V5371" s="33"/>
      <c r="W5371" s="33"/>
      <c r="X5371" s="33"/>
      <c r="Y5371" s="33"/>
      <c r="Z5371" s="33"/>
      <c r="AA5371" s="33"/>
      <c r="AB5371" s="33"/>
      <c r="AC5371" s="33"/>
      <c r="AD5371" s="33"/>
      <c r="AE5371" s="33"/>
      <c r="AF5371" s="33"/>
      <c r="AG5371" s="33"/>
      <c r="AH5371" s="33"/>
      <c r="AI5371" s="33"/>
      <c r="AJ5371" s="33"/>
      <c r="AK5371" s="33"/>
    </row>
    <row r="5372">
      <c r="A5372" s="33"/>
      <c r="B5372" s="33"/>
      <c r="C5372" s="33"/>
      <c r="D5372" s="33"/>
      <c r="E5372" s="33"/>
      <c r="F5372" s="33"/>
      <c r="G5372" s="33"/>
      <c r="H5372" s="33"/>
      <c r="I5372" s="33"/>
      <c r="J5372" s="33"/>
      <c r="K5372" s="33"/>
      <c r="L5372" s="33"/>
      <c r="M5372" s="33"/>
      <c r="N5372" s="33"/>
      <c r="O5372" s="33"/>
      <c r="P5372" s="33"/>
      <c r="Q5372" s="33"/>
      <c r="R5372" s="33"/>
      <c r="S5372" s="33"/>
      <c r="T5372" s="33"/>
      <c r="U5372" s="33"/>
      <c r="V5372" s="33"/>
      <c r="W5372" s="33"/>
      <c r="X5372" s="33"/>
      <c r="Y5372" s="33"/>
      <c r="Z5372" s="33"/>
      <c r="AA5372" s="33"/>
      <c r="AB5372" s="33"/>
      <c r="AC5372" s="33"/>
      <c r="AD5372" s="33"/>
      <c r="AE5372" s="33"/>
      <c r="AF5372" s="33"/>
      <c r="AG5372" s="33"/>
      <c r="AH5372" s="33"/>
      <c r="AI5372" s="33"/>
      <c r="AJ5372" s="33"/>
      <c r="AK5372" s="33"/>
    </row>
    <row r="5373">
      <c r="A5373" s="33"/>
      <c r="B5373" s="33"/>
      <c r="C5373" s="33"/>
      <c r="D5373" s="33"/>
      <c r="E5373" s="33"/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33"/>
      <c r="Q5373" s="33"/>
      <c r="R5373" s="33"/>
      <c r="S5373" s="33"/>
      <c r="T5373" s="33"/>
      <c r="U5373" s="33"/>
      <c r="V5373" s="33"/>
      <c r="W5373" s="33"/>
      <c r="X5373" s="33"/>
      <c r="Y5373" s="33"/>
      <c r="Z5373" s="33"/>
      <c r="AA5373" s="33"/>
      <c r="AB5373" s="33"/>
      <c r="AC5373" s="33"/>
      <c r="AD5373" s="33"/>
      <c r="AE5373" s="33"/>
      <c r="AF5373" s="33"/>
      <c r="AG5373" s="33"/>
      <c r="AH5373" s="33"/>
      <c r="AI5373" s="33"/>
      <c r="AJ5373" s="33"/>
      <c r="AK5373" s="33"/>
    </row>
    <row r="5374">
      <c r="A5374" s="33"/>
      <c r="B5374" s="33"/>
      <c r="C5374" s="33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  <c r="R5374" s="33"/>
      <c r="S5374" s="33"/>
      <c r="T5374" s="33"/>
      <c r="U5374" s="33"/>
      <c r="V5374" s="33"/>
      <c r="W5374" s="33"/>
      <c r="X5374" s="33"/>
      <c r="Y5374" s="33"/>
      <c r="Z5374" s="33"/>
      <c r="AA5374" s="33"/>
      <c r="AB5374" s="33"/>
      <c r="AC5374" s="33"/>
      <c r="AD5374" s="33"/>
      <c r="AE5374" s="33"/>
      <c r="AF5374" s="33"/>
      <c r="AG5374" s="33"/>
      <c r="AH5374" s="33"/>
      <c r="AI5374" s="33"/>
      <c r="AJ5374" s="33"/>
      <c r="AK5374" s="33"/>
    </row>
    <row r="5375">
      <c r="A5375" s="33"/>
      <c r="B5375" s="33"/>
      <c r="C5375" s="33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  <c r="Q5375" s="33"/>
      <c r="R5375" s="33"/>
      <c r="S5375" s="33"/>
      <c r="T5375" s="33"/>
      <c r="U5375" s="33"/>
      <c r="V5375" s="33"/>
      <c r="W5375" s="33"/>
      <c r="X5375" s="33"/>
      <c r="Y5375" s="33"/>
      <c r="Z5375" s="33"/>
      <c r="AA5375" s="33"/>
      <c r="AB5375" s="33"/>
      <c r="AC5375" s="33"/>
      <c r="AD5375" s="33"/>
      <c r="AE5375" s="33"/>
      <c r="AF5375" s="33"/>
      <c r="AG5375" s="33"/>
      <c r="AH5375" s="33"/>
      <c r="AI5375" s="33"/>
      <c r="AJ5375" s="33"/>
      <c r="AK5375" s="33"/>
    </row>
    <row r="5376">
      <c r="A5376" s="33"/>
      <c r="B5376" s="33"/>
      <c r="C5376" s="33"/>
      <c r="D5376" s="33"/>
      <c r="E5376" s="33"/>
      <c r="F5376" s="33"/>
      <c r="G5376" s="33"/>
      <c r="H5376" s="33"/>
      <c r="I5376" s="33"/>
      <c r="J5376" s="33"/>
      <c r="K5376" s="33"/>
      <c r="L5376" s="33"/>
      <c r="M5376" s="33"/>
      <c r="N5376" s="33"/>
      <c r="O5376" s="33"/>
      <c r="P5376" s="33"/>
      <c r="Q5376" s="33"/>
      <c r="R5376" s="33"/>
      <c r="S5376" s="33"/>
      <c r="T5376" s="33"/>
      <c r="U5376" s="33"/>
      <c r="V5376" s="33"/>
      <c r="W5376" s="33"/>
      <c r="X5376" s="33"/>
      <c r="Y5376" s="33"/>
      <c r="Z5376" s="33"/>
      <c r="AA5376" s="33"/>
      <c r="AB5376" s="33"/>
      <c r="AC5376" s="33"/>
      <c r="AD5376" s="33"/>
      <c r="AE5376" s="33"/>
      <c r="AF5376" s="33"/>
      <c r="AG5376" s="33"/>
      <c r="AH5376" s="33"/>
      <c r="AI5376" s="33"/>
      <c r="AJ5376" s="33"/>
      <c r="AK5376" s="33"/>
    </row>
    <row r="5377">
      <c r="A5377" s="33"/>
      <c r="B5377" s="33"/>
      <c r="C5377" s="33"/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  <c r="Q5377" s="33"/>
      <c r="R5377" s="33"/>
      <c r="S5377" s="33"/>
      <c r="T5377" s="33"/>
      <c r="U5377" s="33"/>
      <c r="V5377" s="33"/>
      <c r="W5377" s="33"/>
      <c r="X5377" s="33"/>
      <c r="Y5377" s="33"/>
      <c r="Z5377" s="33"/>
      <c r="AA5377" s="33"/>
      <c r="AB5377" s="33"/>
      <c r="AC5377" s="33"/>
      <c r="AD5377" s="33"/>
      <c r="AE5377" s="33"/>
      <c r="AF5377" s="33"/>
      <c r="AG5377" s="33"/>
      <c r="AH5377" s="33"/>
      <c r="AI5377" s="33"/>
      <c r="AJ5377" s="33"/>
      <c r="AK5377" s="33"/>
    </row>
    <row r="5378">
      <c r="A5378" s="33"/>
      <c r="B5378" s="33"/>
      <c r="C5378" s="33"/>
      <c r="D5378" s="33"/>
      <c r="E5378" s="33"/>
      <c r="F5378" s="33"/>
      <c r="G5378" s="33"/>
      <c r="H5378" s="33"/>
      <c r="I5378" s="33"/>
      <c r="J5378" s="33"/>
      <c r="K5378" s="33"/>
      <c r="L5378" s="33"/>
      <c r="M5378" s="33"/>
      <c r="N5378" s="33"/>
      <c r="O5378" s="33"/>
      <c r="P5378" s="33"/>
      <c r="Q5378" s="33"/>
      <c r="R5378" s="33"/>
      <c r="S5378" s="33"/>
      <c r="T5378" s="33"/>
      <c r="U5378" s="33"/>
      <c r="V5378" s="33"/>
      <c r="W5378" s="33"/>
      <c r="X5378" s="33"/>
      <c r="Y5378" s="33"/>
      <c r="Z5378" s="33"/>
      <c r="AA5378" s="33"/>
      <c r="AB5378" s="33"/>
      <c r="AC5378" s="33"/>
      <c r="AD5378" s="33"/>
      <c r="AE5378" s="33"/>
      <c r="AF5378" s="33"/>
      <c r="AG5378" s="33"/>
      <c r="AH5378" s="33"/>
      <c r="AI5378" s="33"/>
      <c r="AJ5378" s="33"/>
      <c r="AK5378" s="33"/>
    </row>
    <row r="5379">
      <c r="A5379" s="33"/>
      <c r="B5379" s="33"/>
      <c r="C5379" s="33"/>
      <c r="D5379" s="33"/>
      <c r="E5379" s="33"/>
      <c r="F5379" s="33"/>
      <c r="G5379" s="33"/>
      <c r="H5379" s="33"/>
      <c r="I5379" s="33"/>
      <c r="J5379" s="33"/>
      <c r="K5379" s="33"/>
      <c r="L5379" s="33"/>
      <c r="M5379" s="33"/>
      <c r="N5379" s="33"/>
      <c r="O5379" s="33"/>
      <c r="P5379" s="33"/>
      <c r="Q5379" s="33"/>
      <c r="R5379" s="33"/>
      <c r="S5379" s="33"/>
      <c r="T5379" s="33"/>
      <c r="U5379" s="33"/>
      <c r="V5379" s="33"/>
      <c r="W5379" s="33"/>
      <c r="X5379" s="33"/>
      <c r="Y5379" s="33"/>
      <c r="Z5379" s="33"/>
      <c r="AA5379" s="33"/>
      <c r="AB5379" s="33"/>
      <c r="AC5379" s="33"/>
      <c r="AD5379" s="33"/>
      <c r="AE5379" s="33"/>
      <c r="AF5379" s="33"/>
      <c r="AG5379" s="33"/>
      <c r="AH5379" s="33"/>
      <c r="AI5379" s="33"/>
      <c r="AJ5379" s="33"/>
      <c r="AK5379" s="33"/>
    </row>
    <row r="5380">
      <c r="A5380" s="33"/>
      <c r="B5380" s="33"/>
      <c r="C5380" s="33"/>
      <c r="D5380" s="33"/>
      <c r="E5380" s="33"/>
      <c r="F5380" s="33"/>
      <c r="G5380" s="33"/>
      <c r="H5380" s="33"/>
      <c r="I5380" s="33"/>
      <c r="J5380" s="33"/>
      <c r="K5380" s="33"/>
      <c r="L5380" s="33"/>
      <c r="M5380" s="33"/>
      <c r="N5380" s="33"/>
      <c r="O5380" s="33"/>
      <c r="P5380" s="33"/>
      <c r="Q5380" s="33"/>
      <c r="R5380" s="33"/>
      <c r="S5380" s="33"/>
      <c r="T5380" s="33"/>
      <c r="U5380" s="33"/>
      <c r="V5380" s="33"/>
      <c r="W5380" s="33"/>
      <c r="X5380" s="33"/>
      <c r="Y5380" s="33"/>
      <c r="Z5380" s="33"/>
      <c r="AA5380" s="33"/>
      <c r="AB5380" s="33"/>
      <c r="AC5380" s="33"/>
      <c r="AD5380" s="33"/>
      <c r="AE5380" s="33"/>
      <c r="AF5380" s="33"/>
      <c r="AG5380" s="33"/>
      <c r="AH5380" s="33"/>
      <c r="AI5380" s="33"/>
      <c r="AJ5380" s="33"/>
      <c r="AK5380" s="33"/>
    </row>
    <row r="5381">
      <c r="A5381" s="33"/>
      <c r="B5381" s="33"/>
      <c r="C5381" s="33"/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  <c r="Q5381" s="33"/>
      <c r="R5381" s="33"/>
      <c r="S5381" s="33"/>
      <c r="T5381" s="33"/>
      <c r="U5381" s="33"/>
      <c r="V5381" s="33"/>
      <c r="W5381" s="33"/>
      <c r="X5381" s="33"/>
      <c r="Y5381" s="33"/>
      <c r="Z5381" s="33"/>
      <c r="AA5381" s="33"/>
      <c r="AB5381" s="33"/>
      <c r="AC5381" s="33"/>
      <c r="AD5381" s="33"/>
      <c r="AE5381" s="33"/>
      <c r="AF5381" s="33"/>
      <c r="AG5381" s="33"/>
      <c r="AH5381" s="33"/>
      <c r="AI5381" s="33"/>
      <c r="AJ5381" s="33"/>
      <c r="AK5381" s="33"/>
    </row>
    <row r="5382">
      <c r="A5382" s="33"/>
      <c r="B5382" s="33"/>
      <c r="C5382" s="33"/>
      <c r="D5382" s="33"/>
      <c r="E5382" s="33"/>
      <c r="F5382" s="33"/>
      <c r="G5382" s="33"/>
      <c r="H5382" s="33"/>
      <c r="I5382" s="33"/>
      <c r="J5382" s="33"/>
      <c r="K5382" s="33"/>
      <c r="L5382" s="33"/>
      <c r="M5382" s="33"/>
      <c r="N5382" s="33"/>
      <c r="O5382" s="33"/>
      <c r="P5382" s="33"/>
      <c r="Q5382" s="33"/>
      <c r="R5382" s="33"/>
      <c r="S5382" s="33"/>
      <c r="T5382" s="33"/>
      <c r="U5382" s="33"/>
      <c r="V5382" s="33"/>
      <c r="W5382" s="33"/>
      <c r="X5382" s="33"/>
      <c r="Y5382" s="33"/>
      <c r="Z5382" s="33"/>
      <c r="AA5382" s="33"/>
      <c r="AB5382" s="33"/>
      <c r="AC5382" s="33"/>
      <c r="AD5382" s="33"/>
      <c r="AE5382" s="33"/>
      <c r="AF5382" s="33"/>
      <c r="AG5382" s="33"/>
      <c r="AH5382" s="33"/>
      <c r="AI5382" s="33"/>
      <c r="AJ5382" s="33"/>
      <c r="AK5382" s="33"/>
    </row>
    <row r="5383">
      <c r="A5383" s="33"/>
      <c r="B5383" s="33"/>
      <c r="C5383" s="33"/>
      <c r="D5383" s="33"/>
      <c r="E5383" s="33"/>
      <c r="F5383" s="33"/>
      <c r="G5383" s="33"/>
      <c r="H5383" s="33"/>
      <c r="I5383" s="33"/>
      <c r="J5383" s="33"/>
      <c r="K5383" s="33"/>
      <c r="L5383" s="33"/>
      <c r="M5383" s="33"/>
      <c r="N5383" s="33"/>
      <c r="O5383" s="33"/>
      <c r="P5383" s="33"/>
      <c r="Q5383" s="33"/>
      <c r="R5383" s="33"/>
      <c r="S5383" s="33"/>
      <c r="T5383" s="33"/>
      <c r="U5383" s="33"/>
      <c r="V5383" s="33"/>
      <c r="W5383" s="33"/>
      <c r="X5383" s="33"/>
      <c r="Y5383" s="33"/>
      <c r="Z5383" s="33"/>
      <c r="AA5383" s="33"/>
      <c r="AB5383" s="33"/>
      <c r="AC5383" s="33"/>
      <c r="AD5383" s="33"/>
      <c r="AE5383" s="33"/>
      <c r="AF5383" s="33"/>
      <c r="AG5383" s="33"/>
      <c r="AH5383" s="33"/>
      <c r="AI5383" s="33"/>
      <c r="AJ5383" s="33"/>
      <c r="AK5383" s="33"/>
    </row>
    <row r="5384">
      <c r="A5384" s="33"/>
      <c r="B5384" s="33"/>
      <c r="C5384" s="33"/>
      <c r="D5384" s="33"/>
      <c r="E5384" s="33"/>
      <c r="F5384" s="33"/>
      <c r="G5384" s="33"/>
      <c r="H5384" s="33"/>
      <c r="I5384" s="33"/>
      <c r="J5384" s="33"/>
      <c r="K5384" s="33"/>
      <c r="L5384" s="33"/>
      <c r="M5384" s="33"/>
      <c r="N5384" s="33"/>
      <c r="O5384" s="33"/>
      <c r="P5384" s="33"/>
      <c r="Q5384" s="33"/>
      <c r="R5384" s="33"/>
      <c r="S5384" s="33"/>
      <c r="T5384" s="33"/>
      <c r="U5384" s="33"/>
      <c r="V5384" s="33"/>
      <c r="W5384" s="33"/>
      <c r="X5384" s="33"/>
      <c r="Y5384" s="33"/>
      <c r="Z5384" s="33"/>
      <c r="AA5384" s="33"/>
      <c r="AB5384" s="33"/>
      <c r="AC5384" s="33"/>
      <c r="AD5384" s="33"/>
      <c r="AE5384" s="33"/>
      <c r="AF5384" s="33"/>
      <c r="AG5384" s="33"/>
      <c r="AH5384" s="33"/>
      <c r="AI5384" s="33"/>
      <c r="AJ5384" s="33"/>
      <c r="AK5384" s="33"/>
    </row>
    <row r="5385">
      <c r="A5385" s="33"/>
      <c r="B5385" s="33"/>
      <c r="C5385" s="33"/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33"/>
      <c r="V5385" s="33"/>
      <c r="W5385" s="33"/>
      <c r="X5385" s="33"/>
      <c r="Y5385" s="33"/>
      <c r="Z5385" s="33"/>
      <c r="AA5385" s="33"/>
      <c r="AB5385" s="33"/>
      <c r="AC5385" s="33"/>
      <c r="AD5385" s="33"/>
      <c r="AE5385" s="33"/>
      <c r="AF5385" s="33"/>
      <c r="AG5385" s="33"/>
      <c r="AH5385" s="33"/>
      <c r="AI5385" s="33"/>
      <c r="AJ5385" s="33"/>
      <c r="AK5385" s="33"/>
    </row>
    <row r="5386">
      <c r="A5386" s="33"/>
      <c r="B5386" s="33"/>
      <c r="C5386" s="33"/>
      <c r="D5386" s="33"/>
      <c r="E5386" s="33"/>
      <c r="F5386" s="33"/>
      <c r="G5386" s="33"/>
      <c r="H5386" s="33"/>
      <c r="I5386" s="33"/>
      <c r="J5386" s="33"/>
      <c r="K5386" s="33"/>
      <c r="L5386" s="33"/>
      <c r="M5386" s="33"/>
      <c r="N5386" s="33"/>
      <c r="O5386" s="33"/>
      <c r="P5386" s="33"/>
      <c r="Q5386" s="33"/>
      <c r="R5386" s="33"/>
      <c r="S5386" s="33"/>
      <c r="T5386" s="33"/>
      <c r="U5386" s="33"/>
      <c r="V5386" s="33"/>
      <c r="W5386" s="33"/>
      <c r="X5386" s="33"/>
      <c r="Y5386" s="33"/>
      <c r="Z5386" s="33"/>
      <c r="AA5386" s="33"/>
      <c r="AB5386" s="33"/>
      <c r="AC5386" s="33"/>
      <c r="AD5386" s="33"/>
      <c r="AE5386" s="33"/>
      <c r="AF5386" s="33"/>
      <c r="AG5386" s="33"/>
      <c r="AH5386" s="33"/>
      <c r="AI5386" s="33"/>
      <c r="AJ5386" s="33"/>
      <c r="AK5386" s="33"/>
    </row>
    <row r="5387">
      <c r="A5387" s="33"/>
      <c r="B5387" s="33"/>
      <c r="C5387" s="33"/>
      <c r="D5387" s="33"/>
      <c r="E5387" s="33"/>
      <c r="F5387" s="33"/>
      <c r="G5387" s="33"/>
      <c r="H5387" s="33"/>
      <c r="I5387" s="33"/>
      <c r="J5387" s="33"/>
      <c r="K5387" s="33"/>
      <c r="L5387" s="33"/>
      <c r="M5387" s="33"/>
      <c r="N5387" s="33"/>
      <c r="O5387" s="33"/>
      <c r="P5387" s="33"/>
      <c r="Q5387" s="33"/>
      <c r="R5387" s="33"/>
      <c r="S5387" s="33"/>
      <c r="T5387" s="33"/>
      <c r="U5387" s="33"/>
      <c r="V5387" s="33"/>
      <c r="W5387" s="33"/>
      <c r="X5387" s="33"/>
      <c r="Y5387" s="33"/>
      <c r="Z5387" s="33"/>
      <c r="AA5387" s="33"/>
      <c r="AB5387" s="33"/>
      <c r="AC5387" s="33"/>
      <c r="AD5387" s="33"/>
      <c r="AE5387" s="33"/>
      <c r="AF5387" s="33"/>
      <c r="AG5387" s="33"/>
      <c r="AH5387" s="33"/>
      <c r="AI5387" s="33"/>
      <c r="AJ5387" s="33"/>
      <c r="AK5387" s="33"/>
    </row>
    <row r="5388">
      <c r="A5388" s="33"/>
      <c r="B5388" s="33"/>
      <c r="C5388" s="33"/>
      <c r="D5388" s="33"/>
      <c r="E5388" s="33"/>
      <c r="F5388" s="33"/>
      <c r="G5388" s="33"/>
      <c r="H5388" s="33"/>
      <c r="I5388" s="33"/>
      <c r="J5388" s="33"/>
      <c r="K5388" s="33"/>
      <c r="L5388" s="33"/>
      <c r="M5388" s="33"/>
      <c r="N5388" s="33"/>
      <c r="O5388" s="33"/>
      <c r="P5388" s="33"/>
      <c r="Q5388" s="33"/>
      <c r="R5388" s="33"/>
      <c r="S5388" s="33"/>
      <c r="T5388" s="33"/>
      <c r="U5388" s="33"/>
      <c r="V5388" s="33"/>
      <c r="W5388" s="33"/>
      <c r="X5388" s="33"/>
      <c r="Y5388" s="33"/>
      <c r="Z5388" s="33"/>
      <c r="AA5388" s="33"/>
      <c r="AB5388" s="33"/>
      <c r="AC5388" s="33"/>
      <c r="AD5388" s="33"/>
      <c r="AE5388" s="33"/>
      <c r="AF5388" s="33"/>
      <c r="AG5388" s="33"/>
      <c r="AH5388" s="33"/>
      <c r="AI5388" s="33"/>
      <c r="AJ5388" s="33"/>
      <c r="AK5388" s="33"/>
    </row>
    <row r="5389">
      <c r="A5389" s="33"/>
      <c r="B5389" s="33"/>
      <c r="C5389" s="33"/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  <c r="Q5389" s="33"/>
      <c r="R5389" s="33"/>
      <c r="S5389" s="33"/>
      <c r="T5389" s="33"/>
      <c r="U5389" s="33"/>
      <c r="V5389" s="33"/>
      <c r="W5389" s="33"/>
      <c r="X5389" s="33"/>
      <c r="Y5389" s="33"/>
      <c r="Z5389" s="33"/>
      <c r="AA5389" s="33"/>
      <c r="AB5389" s="33"/>
      <c r="AC5389" s="33"/>
      <c r="AD5389" s="33"/>
      <c r="AE5389" s="33"/>
      <c r="AF5389" s="33"/>
      <c r="AG5389" s="33"/>
      <c r="AH5389" s="33"/>
      <c r="AI5389" s="33"/>
      <c r="AJ5389" s="33"/>
      <c r="AK5389" s="33"/>
    </row>
    <row r="5390">
      <c r="A5390" s="33"/>
      <c r="B5390" s="33"/>
      <c r="C5390" s="33"/>
      <c r="D5390" s="33"/>
      <c r="E5390" s="33"/>
      <c r="F5390" s="33"/>
      <c r="G5390" s="33"/>
      <c r="H5390" s="33"/>
      <c r="I5390" s="33"/>
      <c r="J5390" s="33"/>
      <c r="K5390" s="33"/>
      <c r="L5390" s="33"/>
      <c r="M5390" s="33"/>
      <c r="N5390" s="33"/>
      <c r="O5390" s="33"/>
      <c r="P5390" s="33"/>
      <c r="Q5390" s="33"/>
      <c r="R5390" s="33"/>
      <c r="S5390" s="33"/>
      <c r="T5390" s="33"/>
      <c r="U5390" s="33"/>
      <c r="V5390" s="33"/>
      <c r="W5390" s="33"/>
      <c r="X5390" s="33"/>
      <c r="Y5390" s="33"/>
      <c r="Z5390" s="33"/>
      <c r="AA5390" s="33"/>
      <c r="AB5390" s="33"/>
      <c r="AC5390" s="33"/>
      <c r="AD5390" s="33"/>
      <c r="AE5390" s="33"/>
      <c r="AF5390" s="33"/>
      <c r="AG5390" s="33"/>
      <c r="AH5390" s="33"/>
      <c r="AI5390" s="33"/>
      <c r="AJ5390" s="33"/>
      <c r="AK5390" s="33"/>
    </row>
    <row r="5391">
      <c r="A5391" s="33"/>
      <c r="B5391" s="33"/>
      <c r="C5391" s="33"/>
      <c r="D5391" s="33"/>
      <c r="E5391" s="33"/>
      <c r="F5391" s="33"/>
      <c r="G5391" s="33"/>
      <c r="H5391" s="33"/>
      <c r="I5391" s="33"/>
      <c r="J5391" s="33"/>
      <c r="K5391" s="33"/>
      <c r="L5391" s="33"/>
      <c r="M5391" s="33"/>
      <c r="N5391" s="33"/>
      <c r="O5391" s="33"/>
      <c r="P5391" s="33"/>
      <c r="Q5391" s="33"/>
      <c r="R5391" s="33"/>
      <c r="S5391" s="33"/>
      <c r="T5391" s="33"/>
      <c r="U5391" s="33"/>
      <c r="V5391" s="33"/>
      <c r="W5391" s="33"/>
      <c r="X5391" s="33"/>
      <c r="Y5391" s="33"/>
      <c r="Z5391" s="33"/>
      <c r="AA5391" s="33"/>
      <c r="AB5391" s="33"/>
      <c r="AC5391" s="33"/>
      <c r="AD5391" s="33"/>
      <c r="AE5391" s="33"/>
      <c r="AF5391" s="33"/>
      <c r="AG5391" s="33"/>
      <c r="AH5391" s="33"/>
      <c r="AI5391" s="33"/>
      <c r="AJ5391" s="33"/>
      <c r="AK5391" s="33"/>
    </row>
    <row r="5392">
      <c r="A5392" s="33"/>
      <c r="B5392" s="33"/>
      <c r="C5392" s="33"/>
      <c r="D5392" s="33"/>
      <c r="E5392" s="33"/>
      <c r="F5392" s="33"/>
      <c r="G5392" s="33"/>
      <c r="H5392" s="33"/>
      <c r="I5392" s="33"/>
      <c r="J5392" s="33"/>
      <c r="K5392" s="33"/>
      <c r="L5392" s="33"/>
      <c r="M5392" s="33"/>
      <c r="N5392" s="33"/>
      <c r="O5392" s="33"/>
      <c r="P5392" s="33"/>
      <c r="Q5392" s="33"/>
      <c r="R5392" s="33"/>
      <c r="S5392" s="33"/>
      <c r="T5392" s="33"/>
      <c r="U5392" s="33"/>
      <c r="V5392" s="33"/>
      <c r="W5392" s="33"/>
      <c r="X5392" s="33"/>
      <c r="Y5392" s="33"/>
      <c r="Z5392" s="33"/>
      <c r="AA5392" s="33"/>
      <c r="AB5392" s="33"/>
      <c r="AC5392" s="33"/>
      <c r="AD5392" s="33"/>
      <c r="AE5392" s="33"/>
      <c r="AF5392" s="33"/>
      <c r="AG5392" s="33"/>
      <c r="AH5392" s="33"/>
      <c r="AI5392" s="33"/>
      <c r="AJ5392" s="33"/>
      <c r="AK5392" s="33"/>
    </row>
    <row r="5393">
      <c r="A5393" s="33"/>
      <c r="B5393" s="33"/>
      <c r="C5393" s="33"/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  <c r="Q5393" s="33"/>
      <c r="R5393" s="33"/>
      <c r="S5393" s="33"/>
      <c r="T5393" s="33"/>
      <c r="U5393" s="33"/>
      <c r="V5393" s="33"/>
      <c r="W5393" s="33"/>
      <c r="X5393" s="33"/>
      <c r="Y5393" s="33"/>
      <c r="Z5393" s="33"/>
      <c r="AA5393" s="33"/>
      <c r="AB5393" s="33"/>
      <c r="AC5393" s="33"/>
      <c r="AD5393" s="33"/>
      <c r="AE5393" s="33"/>
      <c r="AF5393" s="33"/>
      <c r="AG5393" s="33"/>
      <c r="AH5393" s="33"/>
      <c r="AI5393" s="33"/>
      <c r="AJ5393" s="33"/>
      <c r="AK5393" s="33"/>
    </row>
    <row r="5394">
      <c r="A5394" s="33"/>
      <c r="B5394" s="33"/>
      <c r="C5394" s="33"/>
      <c r="D5394" s="33"/>
      <c r="E5394" s="33"/>
      <c r="F5394" s="33"/>
      <c r="G5394" s="33"/>
      <c r="H5394" s="33"/>
      <c r="I5394" s="33"/>
      <c r="J5394" s="33"/>
      <c r="K5394" s="33"/>
      <c r="L5394" s="33"/>
      <c r="M5394" s="33"/>
      <c r="N5394" s="33"/>
      <c r="O5394" s="33"/>
      <c r="P5394" s="33"/>
      <c r="Q5394" s="33"/>
      <c r="R5394" s="33"/>
      <c r="S5394" s="33"/>
      <c r="T5394" s="33"/>
      <c r="U5394" s="33"/>
      <c r="V5394" s="33"/>
      <c r="W5394" s="33"/>
      <c r="X5394" s="33"/>
      <c r="Y5394" s="33"/>
      <c r="Z5394" s="33"/>
      <c r="AA5394" s="33"/>
      <c r="AB5394" s="33"/>
      <c r="AC5394" s="33"/>
      <c r="AD5394" s="33"/>
      <c r="AE5394" s="33"/>
      <c r="AF5394" s="33"/>
      <c r="AG5394" s="33"/>
      <c r="AH5394" s="33"/>
      <c r="AI5394" s="33"/>
      <c r="AJ5394" s="33"/>
      <c r="AK5394" s="33"/>
    </row>
    <row r="5395">
      <c r="A5395" s="33"/>
      <c r="B5395" s="33"/>
      <c r="C5395" s="33"/>
      <c r="D5395" s="33"/>
      <c r="E5395" s="33"/>
      <c r="F5395" s="33"/>
      <c r="G5395" s="33"/>
      <c r="H5395" s="33"/>
      <c r="I5395" s="33"/>
      <c r="J5395" s="33"/>
      <c r="K5395" s="33"/>
      <c r="L5395" s="33"/>
      <c r="M5395" s="33"/>
      <c r="N5395" s="33"/>
      <c r="O5395" s="33"/>
      <c r="P5395" s="33"/>
      <c r="Q5395" s="33"/>
      <c r="R5395" s="33"/>
      <c r="S5395" s="33"/>
      <c r="T5395" s="33"/>
      <c r="U5395" s="33"/>
      <c r="V5395" s="33"/>
      <c r="W5395" s="33"/>
      <c r="X5395" s="33"/>
      <c r="Y5395" s="33"/>
      <c r="Z5395" s="33"/>
      <c r="AA5395" s="33"/>
      <c r="AB5395" s="33"/>
      <c r="AC5395" s="33"/>
      <c r="AD5395" s="33"/>
      <c r="AE5395" s="33"/>
      <c r="AF5395" s="33"/>
      <c r="AG5395" s="33"/>
      <c r="AH5395" s="33"/>
      <c r="AI5395" s="33"/>
      <c r="AJ5395" s="33"/>
      <c r="AK5395" s="33"/>
    </row>
    <row r="5396">
      <c r="A5396" s="33"/>
      <c r="B5396" s="33"/>
      <c r="C5396" s="33"/>
      <c r="D5396" s="33"/>
      <c r="E5396" s="33"/>
      <c r="F5396" s="33"/>
      <c r="G5396" s="33"/>
      <c r="H5396" s="33"/>
      <c r="I5396" s="33"/>
      <c r="J5396" s="33"/>
      <c r="K5396" s="33"/>
      <c r="L5396" s="33"/>
      <c r="M5396" s="33"/>
      <c r="N5396" s="33"/>
      <c r="O5396" s="33"/>
      <c r="P5396" s="33"/>
      <c r="Q5396" s="33"/>
      <c r="R5396" s="33"/>
      <c r="S5396" s="33"/>
      <c r="T5396" s="33"/>
      <c r="U5396" s="33"/>
      <c r="V5396" s="33"/>
      <c r="W5396" s="33"/>
      <c r="X5396" s="33"/>
      <c r="Y5396" s="33"/>
      <c r="Z5396" s="33"/>
      <c r="AA5396" s="33"/>
      <c r="AB5396" s="33"/>
      <c r="AC5396" s="33"/>
      <c r="AD5396" s="33"/>
      <c r="AE5396" s="33"/>
      <c r="AF5396" s="33"/>
      <c r="AG5396" s="33"/>
      <c r="AH5396" s="33"/>
      <c r="AI5396" s="33"/>
      <c r="AJ5396" s="33"/>
      <c r="AK5396" s="33"/>
    </row>
    <row r="5397">
      <c r="A5397" s="33"/>
      <c r="B5397" s="33"/>
      <c r="C5397" s="33"/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  <c r="Q5397" s="33"/>
      <c r="R5397" s="33"/>
      <c r="S5397" s="33"/>
      <c r="T5397" s="33"/>
      <c r="U5397" s="33"/>
      <c r="V5397" s="33"/>
      <c r="W5397" s="33"/>
      <c r="X5397" s="33"/>
      <c r="Y5397" s="33"/>
      <c r="Z5397" s="33"/>
      <c r="AA5397" s="33"/>
      <c r="AB5397" s="33"/>
      <c r="AC5397" s="33"/>
      <c r="AD5397" s="33"/>
      <c r="AE5397" s="33"/>
      <c r="AF5397" s="33"/>
      <c r="AG5397" s="33"/>
      <c r="AH5397" s="33"/>
      <c r="AI5397" s="33"/>
      <c r="AJ5397" s="33"/>
      <c r="AK5397" s="33"/>
    </row>
    <row r="5398">
      <c r="A5398" s="33"/>
      <c r="B5398" s="33"/>
      <c r="C5398" s="33"/>
      <c r="D5398" s="33"/>
      <c r="E5398" s="33"/>
      <c r="F5398" s="33"/>
      <c r="G5398" s="33"/>
      <c r="H5398" s="33"/>
      <c r="I5398" s="33"/>
      <c r="J5398" s="33"/>
      <c r="K5398" s="33"/>
      <c r="L5398" s="33"/>
      <c r="M5398" s="33"/>
      <c r="N5398" s="33"/>
      <c r="O5398" s="33"/>
      <c r="P5398" s="33"/>
      <c r="Q5398" s="33"/>
      <c r="R5398" s="33"/>
      <c r="S5398" s="33"/>
      <c r="T5398" s="33"/>
      <c r="U5398" s="33"/>
      <c r="V5398" s="33"/>
      <c r="W5398" s="33"/>
      <c r="X5398" s="33"/>
      <c r="Y5398" s="33"/>
      <c r="Z5398" s="33"/>
      <c r="AA5398" s="33"/>
      <c r="AB5398" s="33"/>
      <c r="AC5398" s="33"/>
      <c r="AD5398" s="33"/>
      <c r="AE5398" s="33"/>
      <c r="AF5398" s="33"/>
      <c r="AG5398" s="33"/>
      <c r="AH5398" s="33"/>
      <c r="AI5398" s="33"/>
      <c r="AJ5398" s="33"/>
      <c r="AK5398" s="33"/>
    </row>
    <row r="5399">
      <c r="A5399" s="33"/>
      <c r="B5399" s="33"/>
      <c r="C5399" s="33"/>
      <c r="D5399" s="33"/>
      <c r="E5399" s="33"/>
      <c r="F5399" s="33"/>
      <c r="G5399" s="33"/>
      <c r="H5399" s="33"/>
      <c r="I5399" s="33"/>
      <c r="J5399" s="33"/>
      <c r="K5399" s="33"/>
      <c r="L5399" s="33"/>
      <c r="M5399" s="33"/>
      <c r="N5399" s="33"/>
      <c r="O5399" s="33"/>
      <c r="P5399" s="33"/>
      <c r="Q5399" s="33"/>
      <c r="R5399" s="33"/>
      <c r="S5399" s="33"/>
      <c r="T5399" s="33"/>
      <c r="U5399" s="33"/>
      <c r="V5399" s="33"/>
      <c r="W5399" s="33"/>
      <c r="X5399" s="33"/>
      <c r="Y5399" s="33"/>
      <c r="Z5399" s="33"/>
      <c r="AA5399" s="33"/>
      <c r="AB5399" s="33"/>
      <c r="AC5399" s="33"/>
      <c r="AD5399" s="33"/>
      <c r="AE5399" s="33"/>
      <c r="AF5399" s="33"/>
      <c r="AG5399" s="33"/>
      <c r="AH5399" s="33"/>
      <c r="AI5399" s="33"/>
      <c r="AJ5399" s="33"/>
      <c r="AK5399" s="33"/>
    </row>
    <row r="5400">
      <c r="A5400" s="33"/>
      <c r="B5400" s="33"/>
      <c r="C5400" s="33"/>
      <c r="D5400" s="33"/>
      <c r="E5400" s="33"/>
      <c r="F5400" s="33"/>
      <c r="G5400" s="33"/>
      <c r="H5400" s="33"/>
      <c r="I5400" s="33"/>
      <c r="J5400" s="33"/>
      <c r="K5400" s="33"/>
      <c r="L5400" s="33"/>
      <c r="M5400" s="33"/>
      <c r="N5400" s="33"/>
      <c r="O5400" s="33"/>
      <c r="P5400" s="33"/>
      <c r="Q5400" s="33"/>
      <c r="R5400" s="33"/>
      <c r="S5400" s="33"/>
      <c r="T5400" s="33"/>
      <c r="U5400" s="33"/>
      <c r="V5400" s="33"/>
      <c r="W5400" s="33"/>
      <c r="X5400" s="33"/>
      <c r="Y5400" s="33"/>
      <c r="Z5400" s="33"/>
      <c r="AA5400" s="33"/>
      <c r="AB5400" s="33"/>
      <c r="AC5400" s="33"/>
      <c r="AD5400" s="33"/>
      <c r="AE5400" s="33"/>
      <c r="AF5400" s="33"/>
      <c r="AG5400" s="33"/>
      <c r="AH5400" s="33"/>
      <c r="AI5400" s="33"/>
      <c r="AJ5400" s="33"/>
      <c r="AK5400" s="33"/>
    </row>
    <row r="5401">
      <c r="A5401" s="33"/>
      <c r="B5401" s="33"/>
      <c r="C5401" s="33"/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  <c r="Q5401" s="33"/>
      <c r="R5401" s="33"/>
      <c r="S5401" s="33"/>
      <c r="T5401" s="33"/>
      <c r="U5401" s="33"/>
      <c r="V5401" s="33"/>
      <c r="W5401" s="33"/>
      <c r="X5401" s="33"/>
      <c r="Y5401" s="33"/>
      <c r="Z5401" s="33"/>
      <c r="AA5401" s="33"/>
      <c r="AB5401" s="33"/>
      <c r="AC5401" s="33"/>
      <c r="AD5401" s="33"/>
      <c r="AE5401" s="33"/>
      <c r="AF5401" s="33"/>
      <c r="AG5401" s="33"/>
      <c r="AH5401" s="33"/>
      <c r="AI5401" s="33"/>
      <c r="AJ5401" s="33"/>
      <c r="AK5401" s="33"/>
    </row>
    <row r="5402">
      <c r="A5402" s="33"/>
      <c r="B5402" s="33"/>
      <c r="C5402" s="33"/>
      <c r="D5402" s="33"/>
      <c r="E5402" s="33"/>
      <c r="F5402" s="33"/>
      <c r="G5402" s="33"/>
      <c r="H5402" s="33"/>
      <c r="I5402" s="33"/>
      <c r="J5402" s="33"/>
      <c r="K5402" s="33"/>
      <c r="L5402" s="33"/>
      <c r="M5402" s="33"/>
      <c r="N5402" s="33"/>
      <c r="O5402" s="33"/>
      <c r="P5402" s="33"/>
      <c r="Q5402" s="33"/>
      <c r="R5402" s="33"/>
      <c r="S5402" s="33"/>
      <c r="T5402" s="33"/>
      <c r="U5402" s="33"/>
      <c r="V5402" s="33"/>
      <c r="W5402" s="33"/>
      <c r="X5402" s="33"/>
      <c r="Y5402" s="33"/>
      <c r="Z5402" s="33"/>
      <c r="AA5402" s="33"/>
      <c r="AB5402" s="33"/>
      <c r="AC5402" s="33"/>
      <c r="AD5402" s="33"/>
      <c r="AE5402" s="33"/>
      <c r="AF5402" s="33"/>
      <c r="AG5402" s="33"/>
      <c r="AH5402" s="33"/>
      <c r="AI5402" s="33"/>
      <c r="AJ5402" s="33"/>
      <c r="AK5402" s="33"/>
    </row>
    <row r="5403">
      <c r="A5403" s="33"/>
      <c r="B5403" s="33"/>
      <c r="C5403" s="33"/>
      <c r="D5403" s="33"/>
      <c r="E5403" s="33"/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33"/>
      <c r="Q5403" s="33"/>
      <c r="R5403" s="33"/>
      <c r="S5403" s="33"/>
      <c r="T5403" s="33"/>
      <c r="U5403" s="33"/>
      <c r="V5403" s="33"/>
      <c r="W5403" s="33"/>
      <c r="X5403" s="33"/>
      <c r="Y5403" s="33"/>
      <c r="Z5403" s="33"/>
      <c r="AA5403" s="33"/>
      <c r="AB5403" s="33"/>
      <c r="AC5403" s="33"/>
      <c r="AD5403" s="33"/>
      <c r="AE5403" s="33"/>
      <c r="AF5403" s="33"/>
      <c r="AG5403" s="33"/>
      <c r="AH5403" s="33"/>
      <c r="AI5403" s="33"/>
      <c r="AJ5403" s="33"/>
      <c r="AK5403" s="33"/>
    </row>
    <row r="5404">
      <c r="A5404" s="33"/>
      <c r="B5404" s="33"/>
      <c r="C5404" s="33"/>
      <c r="D5404" s="33"/>
      <c r="E5404" s="33"/>
      <c r="F5404" s="33"/>
      <c r="G5404" s="33"/>
      <c r="H5404" s="33"/>
      <c r="I5404" s="33"/>
      <c r="J5404" s="33"/>
      <c r="K5404" s="33"/>
      <c r="L5404" s="33"/>
      <c r="M5404" s="33"/>
      <c r="N5404" s="33"/>
      <c r="O5404" s="33"/>
      <c r="P5404" s="33"/>
      <c r="Q5404" s="33"/>
      <c r="R5404" s="33"/>
      <c r="S5404" s="33"/>
      <c r="T5404" s="33"/>
      <c r="U5404" s="33"/>
      <c r="V5404" s="33"/>
      <c r="W5404" s="33"/>
      <c r="X5404" s="33"/>
      <c r="Y5404" s="33"/>
      <c r="Z5404" s="33"/>
      <c r="AA5404" s="33"/>
      <c r="AB5404" s="33"/>
      <c r="AC5404" s="33"/>
      <c r="AD5404" s="33"/>
      <c r="AE5404" s="33"/>
      <c r="AF5404" s="33"/>
      <c r="AG5404" s="33"/>
      <c r="AH5404" s="33"/>
      <c r="AI5404" s="33"/>
      <c r="AJ5404" s="33"/>
      <c r="AK5404" s="33"/>
    </row>
    <row r="5405">
      <c r="A5405" s="33"/>
      <c r="B5405" s="33"/>
      <c r="C5405" s="33"/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3"/>
      <c r="S5405" s="33"/>
      <c r="T5405" s="33"/>
      <c r="U5405" s="33"/>
      <c r="V5405" s="33"/>
      <c r="W5405" s="33"/>
      <c r="X5405" s="33"/>
      <c r="Y5405" s="33"/>
      <c r="Z5405" s="33"/>
      <c r="AA5405" s="33"/>
      <c r="AB5405" s="33"/>
      <c r="AC5405" s="33"/>
      <c r="AD5405" s="33"/>
      <c r="AE5405" s="33"/>
      <c r="AF5405" s="33"/>
      <c r="AG5405" s="33"/>
      <c r="AH5405" s="33"/>
      <c r="AI5405" s="33"/>
      <c r="AJ5405" s="33"/>
      <c r="AK5405" s="33"/>
    </row>
    <row r="5406">
      <c r="A5406" s="33"/>
      <c r="B5406" s="33"/>
      <c r="C5406" s="33"/>
      <c r="D5406" s="33"/>
      <c r="E5406" s="33"/>
      <c r="F5406" s="33"/>
      <c r="G5406" s="33"/>
      <c r="H5406" s="33"/>
      <c r="I5406" s="33"/>
      <c r="J5406" s="33"/>
      <c r="K5406" s="33"/>
      <c r="L5406" s="33"/>
      <c r="M5406" s="33"/>
      <c r="N5406" s="33"/>
      <c r="O5406" s="33"/>
      <c r="P5406" s="33"/>
      <c r="Q5406" s="33"/>
      <c r="R5406" s="33"/>
      <c r="S5406" s="33"/>
      <c r="T5406" s="33"/>
      <c r="U5406" s="33"/>
      <c r="V5406" s="33"/>
      <c r="W5406" s="33"/>
      <c r="X5406" s="33"/>
      <c r="Y5406" s="33"/>
      <c r="Z5406" s="33"/>
      <c r="AA5406" s="33"/>
      <c r="AB5406" s="33"/>
      <c r="AC5406" s="33"/>
      <c r="AD5406" s="33"/>
      <c r="AE5406" s="33"/>
      <c r="AF5406" s="33"/>
      <c r="AG5406" s="33"/>
      <c r="AH5406" s="33"/>
      <c r="AI5406" s="33"/>
      <c r="AJ5406" s="33"/>
      <c r="AK5406" s="33"/>
    </row>
    <row r="5407">
      <c r="A5407" s="33"/>
      <c r="B5407" s="33"/>
      <c r="C5407" s="33"/>
      <c r="D5407" s="33"/>
      <c r="E5407" s="33"/>
      <c r="F5407" s="33"/>
      <c r="G5407" s="33"/>
      <c r="H5407" s="33"/>
      <c r="I5407" s="33"/>
      <c r="J5407" s="33"/>
      <c r="K5407" s="33"/>
      <c r="L5407" s="33"/>
      <c r="M5407" s="33"/>
      <c r="N5407" s="33"/>
      <c r="O5407" s="33"/>
      <c r="P5407" s="33"/>
      <c r="Q5407" s="33"/>
      <c r="R5407" s="33"/>
      <c r="S5407" s="33"/>
      <c r="T5407" s="33"/>
      <c r="U5407" s="33"/>
      <c r="V5407" s="33"/>
      <c r="W5407" s="33"/>
      <c r="X5407" s="33"/>
      <c r="Y5407" s="33"/>
      <c r="Z5407" s="33"/>
      <c r="AA5407" s="33"/>
      <c r="AB5407" s="33"/>
      <c r="AC5407" s="33"/>
      <c r="AD5407" s="33"/>
      <c r="AE5407" s="33"/>
      <c r="AF5407" s="33"/>
      <c r="AG5407" s="33"/>
      <c r="AH5407" s="33"/>
      <c r="AI5407" s="33"/>
      <c r="AJ5407" s="33"/>
      <c r="AK5407" s="33"/>
    </row>
    <row r="5408">
      <c r="A5408" s="33"/>
      <c r="B5408" s="33"/>
      <c r="C5408" s="33"/>
      <c r="D5408" s="33"/>
      <c r="E5408" s="33"/>
      <c r="F5408" s="33"/>
      <c r="G5408" s="33"/>
      <c r="H5408" s="33"/>
      <c r="I5408" s="33"/>
      <c r="J5408" s="33"/>
      <c r="K5408" s="33"/>
      <c r="L5408" s="33"/>
      <c r="M5408" s="33"/>
      <c r="N5408" s="33"/>
      <c r="O5408" s="33"/>
      <c r="P5408" s="33"/>
      <c r="Q5408" s="33"/>
      <c r="R5408" s="33"/>
      <c r="S5408" s="33"/>
      <c r="T5408" s="33"/>
      <c r="U5408" s="33"/>
      <c r="V5408" s="33"/>
      <c r="W5408" s="33"/>
      <c r="X5408" s="33"/>
      <c r="Y5408" s="33"/>
      <c r="Z5408" s="33"/>
      <c r="AA5408" s="33"/>
      <c r="AB5408" s="33"/>
      <c r="AC5408" s="33"/>
      <c r="AD5408" s="33"/>
      <c r="AE5408" s="33"/>
      <c r="AF5408" s="33"/>
      <c r="AG5408" s="33"/>
      <c r="AH5408" s="33"/>
      <c r="AI5408" s="33"/>
      <c r="AJ5408" s="33"/>
      <c r="AK5408" s="33"/>
    </row>
    <row r="5409">
      <c r="A5409" s="33"/>
      <c r="B5409" s="33"/>
      <c r="C5409" s="33"/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  <c r="Q5409" s="33"/>
      <c r="R5409" s="33"/>
      <c r="S5409" s="33"/>
      <c r="T5409" s="33"/>
      <c r="U5409" s="33"/>
      <c r="V5409" s="33"/>
      <c r="W5409" s="33"/>
      <c r="X5409" s="33"/>
      <c r="Y5409" s="33"/>
      <c r="Z5409" s="33"/>
      <c r="AA5409" s="33"/>
      <c r="AB5409" s="33"/>
      <c r="AC5409" s="33"/>
      <c r="AD5409" s="33"/>
      <c r="AE5409" s="33"/>
      <c r="AF5409" s="33"/>
      <c r="AG5409" s="33"/>
      <c r="AH5409" s="33"/>
      <c r="AI5409" s="33"/>
      <c r="AJ5409" s="33"/>
      <c r="AK5409" s="33"/>
    </row>
    <row r="5410">
      <c r="A5410" s="33"/>
      <c r="B5410" s="33"/>
      <c r="C5410" s="33"/>
      <c r="D5410" s="33"/>
      <c r="E5410" s="33"/>
      <c r="F5410" s="33"/>
      <c r="G5410" s="33"/>
      <c r="H5410" s="33"/>
      <c r="I5410" s="33"/>
      <c r="J5410" s="33"/>
      <c r="K5410" s="33"/>
      <c r="L5410" s="33"/>
      <c r="M5410" s="33"/>
      <c r="N5410" s="33"/>
      <c r="O5410" s="33"/>
      <c r="P5410" s="33"/>
      <c r="Q5410" s="33"/>
      <c r="R5410" s="33"/>
      <c r="S5410" s="33"/>
      <c r="T5410" s="33"/>
      <c r="U5410" s="33"/>
      <c r="V5410" s="33"/>
      <c r="W5410" s="33"/>
      <c r="X5410" s="33"/>
      <c r="Y5410" s="33"/>
      <c r="Z5410" s="33"/>
      <c r="AA5410" s="33"/>
      <c r="AB5410" s="33"/>
      <c r="AC5410" s="33"/>
      <c r="AD5410" s="33"/>
      <c r="AE5410" s="33"/>
      <c r="AF5410" s="33"/>
      <c r="AG5410" s="33"/>
      <c r="AH5410" s="33"/>
      <c r="AI5410" s="33"/>
      <c r="AJ5410" s="33"/>
      <c r="AK5410" s="33"/>
    </row>
    <row r="5411">
      <c r="A5411" s="33"/>
      <c r="B5411" s="33"/>
      <c r="C5411" s="33"/>
      <c r="D5411" s="33"/>
      <c r="E5411" s="33"/>
      <c r="F5411" s="33"/>
      <c r="G5411" s="33"/>
      <c r="H5411" s="33"/>
      <c r="I5411" s="33"/>
      <c r="J5411" s="33"/>
      <c r="K5411" s="33"/>
      <c r="L5411" s="33"/>
      <c r="M5411" s="33"/>
      <c r="N5411" s="33"/>
      <c r="O5411" s="33"/>
      <c r="P5411" s="33"/>
      <c r="Q5411" s="33"/>
      <c r="R5411" s="33"/>
      <c r="S5411" s="33"/>
      <c r="T5411" s="33"/>
      <c r="U5411" s="33"/>
      <c r="V5411" s="33"/>
      <c r="W5411" s="33"/>
      <c r="X5411" s="33"/>
      <c r="Y5411" s="33"/>
      <c r="Z5411" s="33"/>
      <c r="AA5411" s="33"/>
      <c r="AB5411" s="33"/>
      <c r="AC5411" s="33"/>
      <c r="AD5411" s="33"/>
      <c r="AE5411" s="33"/>
      <c r="AF5411" s="33"/>
      <c r="AG5411" s="33"/>
      <c r="AH5411" s="33"/>
      <c r="AI5411" s="33"/>
      <c r="AJ5411" s="33"/>
      <c r="AK5411" s="33"/>
    </row>
    <row r="5412">
      <c r="A5412" s="33"/>
      <c r="B5412" s="33"/>
      <c r="C5412" s="33"/>
      <c r="D5412" s="33"/>
      <c r="E5412" s="33"/>
      <c r="F5412" s="33"/>
      <c r="G5412" s="33"/>
      <c r="H5412" s="33"/>
      <c r="I5412" s="33"/>
      <c r="J5412" s="33"/>
      <c r="K5412" s="33"/>
      <c r="L5412" s="33"/>
      <c r="M5412" s="33"/>
      <c r="N5412" s="33"/>
      <c r="O5412" s="33"/>
      <c r="P5412" s="33"/>
      <c r="Q5412" s="33"/>
      <c r="R5412" s="33"/>
      <c r="S5412" s="33"/>
      <c r="T5412" s="33"/>
      <c r="U5412" s="33"/>
      <c r="V5412" s="33"/>
      <c r="W5412" s="33"/>
      <c r="X5412" s="33"/>
      <c r="Y5412" s="33"/>
      <c r="Z5412" s="33"/>
      <c r="AA5412" s="33"/>
      <c r="AB5412" s="33"/>
      <c r="AC5412" s="33"/>
      <c r="AD5412" s="33"/>
      <c r="AE5412" s="33"/>
      <c r="AF5412" s="33"/>
      <c r="AG5412" s="33"/>
      <c r="AH5412" s="33"/>
      <c r="AI5412" s="33"/>
      <c r="AJ5412" s="33"/>
      <c r="AK5412" s="33"/>
    </row>
    <row r="5413">
      <c r="A5413" s="33"/>
      <c r="B5413" s="33"/>
      <c r="C5413" s="33"/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  <c r="Q5413" s="33"/>
      <c r="R5413" s="33"/>
      <c r="S5413" s="33"/>
      <c r="T5413" s="33"/>
      <c r="U5413" s="33"/>
      <c r="V5413" s="33"/>
      <c r="W5413" s="33"/>
      <c r="X5413" s="33"/>
      <c r="Y5413" s="33"/>
      <c r="Z5413" s="33"/>
      <c r="AA5413" s="33"/>
      <c r="AB5413" s="33"/>
      <c r="AC5413" s="33"/>
      <c r="AD5413" s="33"/>
      <c r="AE5413" s="33"/>
      <c r="AF5413" s="33"/>
      <c r="AG5413" s="33"/>
      <c r="AH5413" s="33"/>
      <c r="AI5413" s="33"/>
      <c r="AJ5413" s="33"/>
      <c r="AK5413" s="33"/>
    </row>
    <row r="5414">
      <c r="A5414" s="33"/>
      <c r="B5414" s="33"/>
      <c r="C5414" s="33"/>
      <c r="D5414" s="33"/>
      <c r="E5414" s="33"/>
      <c r="F5414" s="33"/>
      <c r="G5414" s="33"/>
      <c r="H5414" s="33"/>
      <c r="I5414" s="33"/>
      <c r="J5414" s="33"/>
      <c r="K5414" s="33"/>
      <c r="L5414" s="33"/>
      <c r="M5414" s="33"/>
      <c r="N5414" s="33"/>
      <c r="O5414" s="33"/>
      <c r="P5414" s="33"/>
      <c r="Q5414" s="33"/>
      <c r="R5414" s="33"/>
      <c r="S5414" s="33"/>
      <c r="T5414" s="33"/>
      <c r="U5414" s="33"/>
      <c r="V5414" s="33"/>
      <c r="W5414" s="33"/>
      <c r="X5414" s="33"/>
      <c r="Y5414" s="33"/>
      <c r="Z5414" s="33"/>
      <c r="AA5414" s="33"/>
      <c r="AB5414" s="33"/>
      <c r="AC5414" s="33"/>
      <c r="AD5414" s="33"/>
      <c r="AE5414" s="33"/>
      <c r="AF5414" s="33"/>
      <c r="AG5414" s="33"/>
      <c r="AH5414" s="33"/>
      <c r="AI5414" s="33"/>
      <c r="AJ5414" s="33"/>
      <c r="AK5414" s="33"/>
    </row>
    <row r="5415">
      <c r="A5415" s="33"/>
      <c r="B5415" s="33"/>
      <c r="C5415" s="33"/>
      <c r="D5415" s="33"/>
      <c r="E5415" s="33"/>
      <c r="F5415" s="33"/>
      <c r="G5415" s="33"/>
      <c r="H5415" s="33"/>
      <c r="I5415" s="33"/>
      <c r="J5415" s="33"/>
      <c r="K5415" s="33"/>
      <c r="L5415" s="33"/>
      <c r="M5415" s="33"/>
      <c r="N5415" s="33"/>
      <c r="O5415" s="33"/>
      <c r="P5415" s="33"/>
      <c r="Q5415" s="33"/>
      <c r="R5415" s="33"/>
      <c r="S5415" s="33"/>
      <c r="T5415" s="33"/>
      <c r="U5415" s="33"/>
      <c r="V5415" s="33"/>
      <c r="W5415" s="33"/>
      <c r="X5415" s="33"/>
      <c r="Y5415" s="33"/>
      <c r="Z5415" s="33"/>
      <c r="AA5415" s="33"/>
      <c r="AB5415" s="33"/>
      <c r="AC5415" s="33"/>
      <c r="AD5415" s="33"/>
      <c r="AE5415" s="33"/>
      <c r="AF5415" s="33"/>
      <c r="AG5415" s="33"/>
      <c r="AH5415" s="33"/>
      <c r="AI5415" s="33"/>
      <c r="AJ5415" s="33"/>
      <c r="AK5415" s="33"/>
    </row>
    <row r="5416">
      <c r="A5416" s="33"/>
      <c r="B5416" s="33"/>
      <c r="C5416" s="33"/>
      <c r="D5416" s="33"/>
      <c r="E5416" s="33"/>
      <c r="F5416" s="33"/>
      <c r="G5416" s="33"/>
      <c r="H5416" s="33"/>
      <c r="I5416" s="33"/>
      <c r="J5416" s="33"/>
      <c r="K5416" s="33"/>
      <c r="L5416" s="33"/>
      <c r="M5416" s="33"/>
      <c r="N5416" s="33"/>
      <c r="O5416" s="33"/>
      <c r="P5416" s="33"/>
      <c r="Q5416" s="33"/>
      <c r="R5416" s="33"/>
      <c r="S5416" s="33"/>
      <c r="T5416" s="33"/>
      <c r="U5416" s="33"/>
      <c r="V5416" s="33"/>
      <c r="W5416" s="33"/>
      <c r="X5416" s="33"/>
      <c r="Y5416" s="33"/>
      <c r="Z5416" s="33"/>
      <c r="AA5416" s="33"/>
      <c r="AB5416" s="33"/>
      <c r="AC5416" s="33"/>
      <c r="AD5416" s="33"/>
      <c r="AE5416" s="33"/>
      <c r="AF5416" s="33"/>
      <c r="AG5416" s="33"/>
      <c r="AH5416" s="33"/>
      <c r="AI5416" s="33"/>
      <c r="AJ5416" s="33"/>
      <c r="AK5416" s="33"/>
    </row>
    <row r="5417">
      <c r="A5417" s="33"/>
      <c r="B5417" s="33"/>
      <c r="C5417" s="33"/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  <c r="Q5417" s="33"/>
      <c r="R5417" s="33"/>
      <c r="S5417" s="33"/>
      <c r="T5417" s="33"/>
      <c r="U5417" s="33"/>
      <c r="V5417" s="33"/>
      <c r="W5417" s="33"/>
      <c r="X5417" s="33"/>
      <c r="Y5417" s="33"/>
      <c r="Z5417" s="33"/>
      <c r="AA5417" s="33"/>
      <c r="AB5417" s="33"/>
      <c r="AC5417" s="33"/>
      <c r="AD5417" s="33"/>
      <c r="AE5417" s="33"/>
      <c r="AF5417" s="33"/>
      <c r="AG5417" s="33"/>
      <c r="AH5417" s="33"/>
      <c r="AI5417" s="33"/>
      <c r="AJ5417" s="33"/>
      <c r="AK5417" s="33"/>
    </row>
    <row r="5418">
      <c r="A5418" s="33"/>
      <c r="B5418" s="33"/>
      <c r="C5418" s="33"/>
      <c r="D5418" s="33"/>
      <c r="E5418" s="33"/>
      <c r="F5418" s="33"/>
      <c r="G5418" s="33"/>
      <c r="H5418" s="33"/>
      <c r="I5418" s="33"/>
      <c r="J5418" s="33"/>
      <c r="K5418" s="33"/>
      <c r="L5418" s="33"/>
      <c r="M5418" s="33"/>
      <c r="N5418" s="33"/>
      <c r="O5418" s="33"/>
      <c r="P5418" s="33"/>
      <c r="Q5418" s="33"/>
      <c r="R5418" s="33"/>
      <c r="S5418" s="33"/>
      <c r="T5418" s="33"/>
      <c r="U5418" s="33"/>
      <c r="V5418" s="33"/>
      <c r="W5418" s="33"/>
      <c r="X5418" s="33"/>
      <c r="Y5418" s="33"/>
      <c r="Z5418" s="33"/>
      <c r="AA5418" s="33"/>
      <c r="AB5418" s="33"/>
      <c r="AC5418" s="33"/>
      <c r="AD5418" s="33"/>
      <c r="AE5418" s="33"/>
      <c r="AF5418" s="33"/>
      <c r="AG5418" s="33"/>
      <c r="AH5418" s="33"/>
      <c r="AI5418" s="33"/>
      <c r="AJ5418" s="33"/>
      <c r="AK5418" s="33"/>
    </row>
    <row r="5419">
      <c r="A5419" s="33"/>
      <c r="B5419" s="33"/>
      <c r="C5419" s="33"/>
      <c r="D5419" s="33"/>
      <c r="E5419" s="33"/>
      <c r="F5419" s="33"/>
      <c r="G5419" s="33"/>
      <c r="H5419" s="33"/>
      <c r="I5419" s="33"/>
      <c r="J5419" s="33"/>
      <c r="K5419" s="33"/>
      <c r="L5419" s="33"/>
      <c r="M5419" s="33"/>
      <c r="N5419" s="33"/>
      <c r="O5419" s="33"/>
      <c r="P5419" s="33"/>
      <c r="Q5419" s="33"/>
      <c r="R5419" s="33"/>
      <c r="S5419" s="33"/>
      <c r="T5419" s="33"/>
      <c r="U5419" s="33"/>
      <c r="V5419" s="33"/>
      <c r="W5419" s="33"/>
      <c r="X5419" s="33"/>
      <c r="Y5419" s="33"/>
      <c r="Z5419" s="33"/>
      <c r="AA5419" s="33"/>
      <c r="AB5419" s="33"/>
      <c r="AC5419" s="33"/>
      <c r="AD5419" s="33"/>
      <c r="AE5419" s="33"/>
      <c r="AF5419" s="33"/>
      <c r="AG5419" s="33"/>
      <c r="AH5419" s="33"/>
      <c r="AI5419" s="33"/>
      <c r="AJ5419" s="33"/>
      <c r="AK5419" s="33"/>
    </row>
    <row r="5420">
      <c r="A5420" s="33"/>
      <c r="B5420" s="33"/>
      <c r="C5420" s="33"/>
      <c r="D5420" s="33"/>
      <c r="E5420" s="33"/>
      <c r="F5420" s="33"/>
      <c r="G5420" s="33"/>
      <c r="H5420" s="33"/>
      <c r="I5420" s="33"/>
      <c r="J5420" s="33"/>
      <c r="K5420" s="33"/>
      <c r="L5420" s="33"/>
      <c r="M5420" s="33"/>
      <c r="N5420" s="33"/>
      <c r="O5420" s="33"/>
      <c r="P5420" s="33"/>
      <c r="Q5420" s="33"/>
      <c r="R5420" s="33"/>
      <c r="S5420" s="33"/>
      <c r="T5420" s="33"/>
      <c r="U5420" s="33"/>
      <c r="V5420" s="33"/>
      <c r="W5420" s="33"/>
      <c r="X5420" s="33"/>
      <c r="Y5420" s="33"/>
      <c r="Z5420" s="33"/>
      <c r="AA5420" s="33"/>
      <c r="AB5420" s="33"/>
      <c r="AC5420" s="33"/>
      <c r="AD5420" s="33"/>
      <c r="AE5420" s="33"/>
      <c r="AF5420" s="33"/>
      <c r="AG5420" s="33"/>
      <c r="AH5420" s="33"/>
      <c r="AI5420" s="33"/>
      <c r="AJ5420" s="33"/>
      <c r="AK5420" s="33"/>
    </row>
    <row r="5421">
      <c r="A5421" s="33"/>
      <c r="B5421" s="33"/>
      <c r="C5421" s="33"/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  <c r="Q5421" s="33"/>
      <c r="R5421" s="33"/>
      <c r="S5421" s="33"/>
      <c r="T5421" s="33"/>
      <c r="U5421" s="33"/>
      <c r="V5421" s="33"/>
      <c r="W5421" s="33"/>
      <c r="X5421" s="33"/>
      <c r="Y5421" s="33"/>
      <c r="Z5421" s="33"/>
      <c r="AA5421" s="33"/>
      <c r="AB5421" s="33"/>
      <c r="AC5421" s="33"/>
      <c r="AD5421" s="33"/>
      <c r="AE5421" s="33"/>
      <c r="AF5421" s="33"/>
      <c r="AG5421" s="33"/>
      <c r="AH5421" s="33"/>
      <c r="AI5421" s="33"/>
      <c r="AJ5421" s="33"/>
      <c r="AK5421" s="33"/>
    </row>
    <row r="5422">
      <c r="A5422" s="33"/>
      <c r="B5422" s="33"/>
      <c r="C5422" s="33"/>
      <c r="D5422" s="33"/>
      <c r="E5422" s="33"/>
      <c r="F5422" s="33"/>
      <c r="G5422" s="33"/>
      <c r="H5422" s="33"/>
      <c r="I5422" s="33"/>
      <c r="J5422" s="33"/>
      <c r="K5422" s="33"/>
      <c r="L5422" s="33"/>
      <c r="M5422" s="33"/>
      <c r="N5422" s="33"/>
      <c r="O5422" s="33"/>
      <c r="P5422" s="33"/>
      <c r="Q5422" s="33"/>
      <c r="R5422" s="33"/>
      <c r="S5422" s="33"/>
      <c r="T5422" s="33"/>
      <c r="U5422" s="33"/>
      <c r="V5422" s="33"/>
      <c r="W5422" s="33"/>
      <c r="X5422" s="33"/>
      <c r="Y5422" s="33"/>
      <c r="Z5422" s="33"/>
      <c r="AA5422" s="33"/>
      <c r="AB5422" s="33"/>
      <c r="AC5422" s="33"/>
      <c r="AD5422" s="33"/>
      <c r="AE5422" s="33"/>
      <c r="AF5422" s="33"/>
      <c r="AG5422" s="33"/>
      <c r="AH5422" s="33"/>
      <c r="AI5422" s="33"/>
      <c r="AJ5422" s="33"/>
      <c r="AK5422" s="33"/>
    </row>
    <row r="5423">
      <c r="A5423" s="33"/>
      <c r="B5423" s="33"/>
      <c r="C5423" s="33"/>
      <c r="D5423" s="33"/>
      <c r="E5423" s="33"/>
      <c r="F5423" s="33"/>
      <c r="G5423" s="33"/>
      <c r="H5423" s="33"/>
      <c r="I5423" s="33"/>
      <c r="J5423" s="33"/>
      <c r="K5423" s="33"/>
      <c r="L5423" s="33"/>
      <c r="M5423" s="33"/>
      <c r="N5423" s="33"/>
      <c r="O5423" s="33"/>
      <c r="P5423" s="33"/>
      <c r="Q5423" s="33"/>
      <c r="R5423" s="33"/>
      <c r="S5423" s="33"/>
      <c r="T5423" s="33"/>
      <c r="U5423" s="33"/>
      <c r="V5423" s="33"/>
      <c r="W5423" s="33"/>
      <c r="X5423" s="33"/>
      <c r="Y5423" s="33"/>
      <c r="Z5423" s="33"/>
      <c r="AA5423" s="33"/>
      <c r="AB5423" s="33"/>
      <c r="AC5423" s="33"/>
      <c r="AD5423" s="33"/>
      <c r="AE5423" s="33"/>
      <c r="AF5423" s="33"/>
      <c r="AG5423" s="33"/>
      <c r="AH5423" s="33"/>
      <c r="AI5423" s="33"/>
      <c r="AJ5423" s="33"/>
      <c r="AK5423" s="33"/>
    </row>
    <row r="5424">
      <c r="A5424" s="33"/>
      <c r="B5424" s="33"/>
      <c r="C5424" s="33"/>
      <c r="D5424" s="33"/>
      <c r="E5424" s="33"/>
      <c r="F5424" s="33"/>
      <c r="G5424" s="33"/>
      <c r="H5424" s="33"/>
      <c r="I5424" s="33"/>
      <c r="J5424" s="33"/>
      <c r="K5424" s="33"/>
      <c r="L5424" s="33"/>
      <c r="M5424" s="33"/>
      <c r="N5424" s="33"/>
      <c r="O5424" s="33"/>
      <c r="P5424" s="33"/>
      <c r="Q5424" s="33"/>
      <c r="R5424" s="33"/>
      <c r="S5424" s="33"/>
      <c r="T5424" s="33"/>
      <c r="U5424" s="33"/>
      <c r="V5424" s="33"/>
      <c r="W5424" s="33"/>
      <c r="X5424" s="33"/>
      <c r="Y5424" s="33"/>
      <c r="Z5424" s="33"/>
      <c r="AA5424" s="33"/>
      <c r="AB5424" s="33"/>
      <c r="AC5424" s="33"/>
      <c r="AD5424" s="33"/>
      <c r="AE5424" s="33"/>
      <c r="AF5424" s="33"/>
      <c r="AG5424" s="33"/>
      <c r="AH5424" s="33"/>
      <c r="AI5424" s="33"/>
      <c r="AJ5424" s="33"/>
      <c r="AK5424" s="33"/>
    </row>
    <row r="5425">
      <c r="A5425" s="33"/>
      <c r="B5425" s="33"/>
      <c r="C5425" s="33"/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  <c r="Q5425" s="33"/>
      <c r="R5425" s="33"/>
      <c r="S5425" s="33"/>
      <c r="T5425" s="33"/>
      <c r="U5425" s="33"/>
      <c r="V5425" s="33"/>
      <c r="W5425" s="33"/>
      <c r="X5425" s="33"/>
      <c r="Y5425" s="33"/>
      <c r="Z5425" s="33"/>
      <c r="AA5425" s="33"/>
      <c r="AB5425" s="33"/>
      <c r="AC5425" s="33"/>
      <c r="AD5425" s="33"/>
      <c r="AE5425" s="33"/>
      <c r="AF5425" s="33"/>
      <c r="AG5425" s="33"/>
      <c r="AH5425" s="33"/>
      <c r="AI5425" s="33"/>
      <c r="AJ5425" s="33"/>
      <c r="AK5425" s="33"/>
    </row>
    <row r="5426">
      <c r="A5426" s="33"/>
      <c r="B5426" s="33"/>
      <c r="C5426" s="33"/>
      <c r="D5426" s="33"/>
      <c r="E5426" s="33"/>
      <c r="F5426" s="33"/>
      <c r="G5426" s="33"/>
      <c r="H5426" s="33"/>
      <c r="I5426" s="33"/>
      <c r="J5426" s="33"/>
      <c r="K5426" s="33"/>
      <c r="L5426" s="33"/>
      <c r="M5426" s="33"/>
      <c r="N5426" s="33"/>
      <c r="O5426" s="33"/>
      <c r="P5426" s="33"/>
      <c r="Q5426" s="33"/>
      <c r="R5426" s="33"/>
      <c r="S5426" s="33"/>
      <c r="T5426" s="33"/>
      <c r="U5426" s="33"/>
      <c r="V5426" s="33"/>
      <c r="W5426" s="33"/>
      <c r="X5426" s="33"/>
      <c r="Y5426" s="33"/>
      <c r="Z5426" s="33"/>
      <c r="AA5426" s="33"/>
      <c r="AB5426" s="33"/>
      <c r="AC5426" s="33"/>
      <c r="AD5426" s="33"/>
      <c r="AE5426" s="33"/>
      <c r="AF5426" s="33"/>
      <c r="AG5426" s="33"/>
      <c r="AH5426" s="33"/>
      <c r="AI5426" s="33"/>
      <c r="AJ5426" s="33"/>
      <c r="AK5426" s="33"/>
    </row>
    <row r="5427">
      <c r="A5427" s="33"/>
      <c r="B5427" s="33"/>
      <c r="C5427" s="33"/>
      <c r="D5427" s="33"/>
      <c r="E5427" s="33"/>
      <c r="F5427" s="33"/>
      <c r="G5427" s="33"/>
      <c r="H5427" s="33"/>
      <c r="I5427" s="33"/>
      <c r="J5427" s="33"/>
      <c r="K5427" s="33"/>
      <c r="L5427" s="33"/>
      <c r="M5427" s="33"/>
      <c r="N5427" s="33"/>
      <c r="O5427" s="33"/>
      <c r="P5427" s="33"/>
      <c r="Q5427" s="33"/>
      <c r="R5427" s="33"/>
      <c r="S5427" s="33"/>
      <c r="T5427" s="33"/>
      <c r="U5427" s="33"/>
      <c r="V5427" s="33"/>
      <c r="W5427" s="33"/>
      <c r="X5427" s="33"/>
      <c r="Y5427" s="33"/>
      <c r="Z5427" s="33"/>
      <c r="AA5427" s="33"/>
      <c r="AB5427" s="33"/>
      <c r="AC5427" s="33"/>
      <c r="AD5427" s="33"/>
      <c r="AE5427" s="33"/>
      <c r="AF5427" s="33"/>
      <c r="AG5427" s="33"/>
      <c r="AH5427" s="33"/>
      <c r="AI5427" s="33"/>
      <c r="AJ5427" s="33"/>
      <c r="AK5427" s="33"/>
    </row>
    <row r="5428">
      <c r="A5428" s="33"/>
      <c r="B5428" s="33"/>
      <c r="C5428" s="33"/>
      <c r="D5428" s="33"/>
      <c r="E5428" s="33"/>
      <c r="F5428" s="33"/>
      <c r="G5428" s="33"/>
      <c r="H5428" s="33"/>
      <c r="I5428" s="33"/>
      <c r="J5428" s="33"/>
      <c r="K5428" s="33"/>
      <c r="L5428" s="33"/>
      <c r="M5428" s="33"/>
      <c r="N5428" s="33"/>
      <c r="O5428" s="33"/>
      <c r="P5428" s="33"/>
      <c r="Q5428" s="33"/>
      <c r="R5428" s="33"/>
      <c r="S5428" s="33"/>
      <c r="T5428" s="33"/>
      <c r="U5428" s="33"/>
      <c r="V5428" s="33"/>
      <c r="W5428" s="33"/>
      <c r="X5428" s="33"/>
      <c r="Y5428" s="33"/>
      <c r="Z5428" s="33"/>
      <c r="AA5428" s="33"/>
      <c r="AB5428" s="33"/>
      <c r="AC5428" s="33"/>
      <c r="AD5428" s="33"/>
      <c r="AE5428" s="33"/>
      <c r="AF5428" s="33"/>
      <c r="AG5428" s="33"/>
      <c r="AH5428" s="33"/>
      <c r="AI5428" s="33"/>
      <c r="AJ5428" s="33"/>
      <c r="AK5428" s="33"/>
    </row>
    <row r="5429">
      <c r="A5429" s="33"/>
      <c r="B5429" s="33"/>
      <c r="C5429" s="33"/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  <c r="Q5429" s="33"/>
      <c r="R5429" s="33"/>
      <c r="S5429" s="33"/>
      <c r="T5429" s="33"/>
      <c r="U5429" s="33"/>
      <c r="V5429" s="33"/>
      <c r="W5429" s="33"/>
      <c r="X5429" s="33"/>
      <c r="Y5429" s="33"/>
      <c r="Z5429" s="33"/>
      <c r="AA5429" s="33"/>
      <c r="AB5429" s="33"/>
      <c r="AC5429" s="33"/>
      <c r="AD5429" s="33"/>
      <c r="AE5429" s="33"/>
      <c r="AF5429" s="33"/>
      <c r="AG5429" s="33"/>
      <c r="AH5429" s="33"/>
      <c r="AI5429" s="33"/>
      <c r="AJ5429" s="33"/>
      <c r="AK5429" s="33"/>
    </row>
    <row r="5430">
      <c r="A5430" s="33"/>
      <c r="B5430" s="33"/>
      <c r="C5430" s="33"/>
      <c r="D5430" s="33"/>
      <c r="E5430" s="33"/>
      <c r="F5430" s="33"/>
      <c r="G5430" s="33"/>
      <c r="H5430" s="33"/>
      <c r="I5430" s="33"/>
      <c r="J5430" s="33"/>
      <c r="K5430" s="33"/>
      <c r="L5430" s="33"/>
      <c r="M5430" s="33"/>
      <c r="N5430" s="33"/>
      <c r="O5430" s="33"/>
      <c r="P5430" s="33"/>
      <c r="Q5430" s="33"/>
      <c r="R5430" s="33"/>
      <c r="S5430" s="33"/>
      <c r="T5430" s="33"/>
      <c r="U5430" s="33"/>
      <c r="V5430" s="33"/>
      <c r="W5430" s="33"/>
      <c r="X5430" s="33"/>
      <c r="Y5430" s="33"/>
      <c r="Z5430" s="33"/>
      <c r="AA5430" s="33"/>
      <c r="AB5430" s="33"/>
      <c r="AC5430" s="33"/>
      <c r="AD5430" s="33"/>
      <c r="AE5430" s="33"/>
      <c r="AF5430" s="33"/>
      <c r="AG5430" s="33"/>
      <c r="AH5430" s="33"/>
      <c r="AI5430" s="33"/>
      <c r="AJ5430" s="33"/>
      <c r="AK5430" s="33"/>
    </row>
    <row r="5431">
      <c r="A5431" s="33"/>
      <c r="B5431" s="33"/>
      <c r="C5431" s="33"/>
      <c r="D5431" s="33"/>
      <c r="E5431" s="33"/>
      <c r="F5431" s="33"/>
      <c r="G5431" s="33"/>
      <c r="H5431" s="33"/>
      <c r="I5431" s="33"/>
      <c r="J5431" s="33"/>
      <c r="K5431" s="33"/>
      <c r="L5431" s="33"/>
      <c r="M5431" s="33"/>
      <c r="N5431" s="33"/>
      <c r="O5431" s="33"/>
      <c r="P5431" s="33"/>
      <c r="Q5431" s="33"/>
      <c r="R5431" s="33"/>
      <c r="S5431" s="33"/>
      <c r="T5431" s="33"/>
      <c r="U5431" s="33"/>
      <c r="V5431" s="33"/>
      <c r="W5431" s="33"/>
      <c r="X5431" s="33"/>
      <c r="Y5431" s="33"/>
      <c r="Z5431" s="33"/>
      <c r="AA5431" s="33"/>
      <c r="AB5431" s="33"/>
      <c r="AC5431" s="33"/>
      <c r="AD5431" s="33"/>
      <c r="AE5431" s="33"/>
      <c r="AF5431" s="33"/>
      <c r="AG5431" s="33"/>
      <c r="AH5431" s="33"/>
      <c r="AI5431" s="33"/>
      <c r="AJ5431" s="33"/>
      <c r="AK5431" s="33"/>
    </row>
    <row r="5432">
      <c r="A5432" s="33"/>
      <c r="B5432" s="33"/>
      <c r="C5432" s="33"/>
      <c r="D5432" s="33"/>
      <c r="E5432" s="33"/>
      <c r="F5432" s="33"/>
      <c r="G5432" s="33"/>
      <c r="H5432" s="33"/>
      <c r="I5432" s="33"/>
      <c r="J5432" s="33"/>
      <c r="K5432" s="33"/>
      <c r="L5432" s="33"/>
      <c r="M5432" s="33"/>
      <c r="N5432" s="33"/>
      <c r="O5432" s="33"/>
      <c r="P5432" s="33"/>
      <c r="Q5432" s="33"/>
      <c r="R5432" s="33"/>
      <c r="S5432" s="33"/>
      <c r="T5432" s="33"/>
      <c r="U5432" s="33"/>
      <c r="V5432" s="33"/>
      <c r="W5432" s="33"/>
      <c r="X5432" s="33"/>
      <c r="Y5432" s="33"/>
      <c r="Z5432" s="33"/>
      <c r="AA5432" s="33"/>
      <c r="AB5432" s="33"/>
      <c r="AC5432" s="33"/>
      <c r="AD5432" s="33"/>
      <c r="AE5432" s="33"/>
      <c r="AF5432" s="33"/>
      <c r="AG5432" s="33"/>
      <c r="AH5432" s="33"/>
      <c r="AI5432" s="33"/>
      <c r="AJ5432" s="33"/>
      <c r="AK5432" s="33"/>
    </row>
    <row r="5433">
      <c r="A5433" s="33"/>
      <c r="B5433" s="33"/>
      <c r="C5433" s="33"/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  <c r="Q5433" s="33"/>
      <c r="R5433" s="33"/>
      <c r="S5433" s="33"/>
      <c r="T5433" s="33"/>
      <c r="U5433" s="33"/>
      <c r="V5433" s="33"/>
      <c r="W5433" s="33"/>
      <c r="X5433" s="33"/>
      <c r="Y5433" s="33"/>
      <c r="Z5433" s="33"/>
      <c r="AA5433" s="33"/>
      <c r="AB5433" s="33"/>
      <c r="AC5433" s="33"/>
      <c r="AD5433" s="33"/>
      <c r="AE5433" s="33"/>
      <c r="AF5433" s="33"/>
      <c r="AG5433" s="33"/>
      <c r="AH5433" s="33"/>
      <c r="AI5433" s="33"/>
      <c r="AJ5433" s="33"/>
      <c r="AK5433" s="33"/>
    </row>
    <row r="5434">
      <c r="A5434" s="33"/>
      <c r="B5434" s="33"/>
      <c r="C5434" s="33"/>
      <c r="D5434" s="33"/>
      <c r="E5434" s="33"/>
      <c r="F5434" s="33"/>
      <c r="G5434" s="33"/>
      <c r="H5434" s="33"/>
      <c r="I5434" s="33"/>
      <c r="J5434" s="33"/>
      <c r="K5434" s="33"/>
      <c r="L5434" s="33"/>
      <c r="M5434" s="33"/>
      <c r="N5434" s="33"/>
      <c r="O5434" s="33"/>
      <c r="P5434" s="33"/>
      <c r="Q5434" s="33"/>
      <c r="R5434" s="33"/>
      <c r="S5434" s="33"/>
      <c r="T5434" s="33"/>
      <c r="U5434" s="33"/>
      <c r="V5434" s="33"/>
      <c r="W5434" s="33"/>
      <c r="X5434" s="33"/>
      <c r="Y5434" s="33"/>
      <c r="Z5434" s="33"/>
      <c r="AA5434" s="33"/>
      <c r="AB5434" s="33"/>
      <c r="AC5434" s="33"/>
      <c r="AD5434" s="33"/>
      <c r="AE5434" s="33"/>
      <c r="AF5434" s="33"/>
      <c r="AG5434" s="33"/>
      <c r="AH5434" s="33"/>
      <c r="AI5434" s="33"/>
      <c r="AJ5434" s="33"/>
      <c r="AK5434" s="33"/>
    </row>
    <row r="5435">
      <c r="A5435" s="33"/>
      <c r="B5435" s="33"/>
      <c r="C5435" s="33"/>
      <c r="D5435" s="33"/>
      <c r="E5435" s="33"/>
      <c r="F5435" s="33"/>
      <c r="G5435" s="33"/>
      <c r="H5435" s="33"/>
      <c r="I5435" s="33"/>
      <c r="J5435" s="33"/>
      <c r="K5435" s="33"/>
      <c r="L5435" s="33"/>
      <c r="M5435" s="33"/>
      <c r="N5435" s="33"/>
      <c r="O5435" s="33"/>
      <c r="P5435" s="33"/>
      <c r="Q5435" s="33"/>
      <c r="R5435" s="33"/>
      <c r="S5435" s="33"/>
      <c r="T5435" s="33"/>
      <c r="U5435" s="33"/>
      <c r="V5435" s="33"/>
      <c r="W5435" s="33"/>
      <c r="X5435" s="33"/>
      <c r="Y5435" s="33"/>
      <c r="Z5435" s="33"/>
      <c r="AA5435" s="33"/>
      <c r="AB5435" s="33"/>
      <c r="AC5435" s="33"/>
      <c r="AD5435" s="33"/>
      <c r="AE5435" s="33"/>
      <c r="AF5435" s="33"/>
      <c r="AG5435" s="33"/>
      <c r="AH5435" s="33"/>
      <c r="AI5435" s="33"/>
      <c r="AJ5435" s="33"/>
      <c r="AK5435" s="33"/>
    </row>
    <row r="5436">
      <c r="A5436" s="33"/>
      <c r="B5436" s="33"/>
      <c r="C5436" s="33"/>
      <c r="D5436" s="33"/>
      <c r="E5436" s="33"/>
      <c r="F5436" s="33"/>
      <c r="G5436" s="33"/>
      <c r="H5436" s="33"/>
      <c r="I5436" s="33"/>
      <c r="J5436" s="33"/>
      <c r="K5436" s="33"/>
      <c r="L5436" s="33"/>
      <c r="M5436" s="33"/>
      <c r="N5436" s="33"/>
      <c r="O5436" s="33"/>
      <c r="P5436" s="33"/>
      <c r="Q5436" s="33"/>
      <c r="R5436" s="33"/>
      <c r="S5436" s="33"/>
      <c r="T5436" s="33"/>
      <c r="U5436" s="33"/>
      <c r="V5436" s="33"/>
      <c r="W5436" s="33"/>
      <c r="X5436" s="33"/>
      <c r="Y5436" s="33"/>
      <c r="Z5436" s="33"/>
      <c r="AA5436" s="33"/>
      <c r="AB5436" s="33"/>
      <c r="AC5436" s="33"/>
      <c r="AD5436" s="33"/>
      <c r="AE5436" s="33"/>
      <c r="AF5436" s="33"/>
      <c r="AG5436" s="33"/>
      <c r="AH5436" s="33"/>
      <c r="AI5436" s="33"/>
      <c r="AJ5436" s="33"/>
      <c r="AK5436" s="33"/>
    </row>
    <row r="5437">
      <c r="A5437" s="33"/>
      <c r="B5437" s="33"/>
      <c r="C5437" s="33"/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  <c r="Q5437" s="33"/>
      <c r="R5437" s="33"/>
      <c r="S5437" s="33"/>
      <c r="T5437" s="33"/>
      <c r="U5437" s="33"/>
      <c r="V5437" s="33"/>
      <c r="W5437" s="33"/>
      <c r="X5437" s="33"/>
      <c r="Y5437" s="33"/>
      <c r="Z5437" s="33"/>
      <c r="AA5437" s="33"/>
      <c r="AB5437" s="33"/>
      <c r="AC5437" s="33"/>
      <c r="AD5437" s="33"/>
      <c r="AE5437" s="33"/>
      <c r="AF5437" s="33"/>
      <c r="AG5437" s="33"/>
      <c r="AH5437" s="33"/>
      <c r="AI5437" s="33"/>
      <c r="AJ5437" s="33"/>
      <c r="AK5437" s="33"/>
    </row>
    <row r="5438">
      <c r="A5438" s="33"/>
      <c r="B5438" s="33"/>
      <c r="C5438" s="33"/>
      <c r="D5438" s="33"/>
      <c r="E5438" s="33"/>
      <c r="F5438" s="33"/>
      <c r="G5438" s="33"/>
      <c r="H5438" s="33"/>
      <c r="I5438" s="33"/>
      <c r="J5438" s="33"/>
      <c r="K5438" s="33"/>
      <c r="L5438" s="33"/>
      <c r="M5438" s="33"/>
      <c r="N5438" s="33"/>
      <c r="O5438" s="33"/>
      <c r="P5438" s="33"/>
      <c r="Q5438" s="33"/>
      <c r="R5438" s="33"/>
      <c r="S5438" s="33"/>
      <c r="T5438" s="33"/>
      <c r="U5438" s="33"/>
      <c r="V5438" s="33"/>
      <c r="W5438" s="33"/>
      <c r="X5438" s="33"/>
      <c r="Y5438" s="33"/>
      <c r="Z5438" s="33"/>
      <c r="AA5438" s="33"/>
      <c r="AB5438" s="33"/>
      <c r="AC5438" s="33"/>
      <c r="AD5438" s="33"/>
      <c r="AE5438" s="33"/>
      <c r="AF5438" s="33"/>
      <c r="AG5438" s="33"/>
      <c r="AH5438" s="33"/>
      <c r="AI5438" s="33"/>
      <c r="AJ5438" s="33"/>
      <c r="AK5438" s="33"/>
    </row>
    <row r="5439">
      <c r="A5439" s="33"/>
      <c r="B5439" s="33"/>
      <c r="C5439" s="33"/>
      <c r="D5439" s="33"/>
      <c r="E5439" s="33"/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33"/>
      <c r="Q5439" s="33"/>
      <c r="R5439" s="33"/>
      <c r="S5439" s="33"/>
      <c r="T5439" s="33"/>
      <c r="U5439" s="33"/>
      <c r="V5439" s="33"/>
      <c r="W5439" s="33"/>
      <c r="X5439" s="33"/>
      <c r="Y5439" s="33"/>
      <c r="Z5439" s="33"/>
      <c r="AA5439" s="33"/>
      <c r="AB5439" s="33"/>
      <c r="AC5439" s="33"/>
      <c r="AD5439" s="33"/>
      <c r="AE5439" s="33"/>
      <c r="AF5439" s="33"/>
      <c r="AG5439" s="33"/>
      <c r="AH5439" s="33"/>
      <c r="AI5439" s="33"/>
      <c r="AJ5439" s="33"/>
      <c r="AK5439" s="33"/>
    </row>
    <row r="5440">
      <c r="A5440" s="33"/>
      <c r="B5440" s="33"/>
      <c r="C5440" s="33"/>
      <c r="D5440" s="33"/>
      <c r="E5440" s="33"/>
      <c r="F5440" s="33"/>
      <c r="G5440" s="33"/>
      <c r="H5440" s="33"/>
      <c r="I5440" s="33"/>
      <c r="J5440" s="33"/>
      <c r="K5440" s="33"/>
      <c r="L5440" s="33"/>
      <c r="M5440" s="33"/>
      <c r="N5440" s="33"/>
      <c r="O5440" s="33"/>
      <c r="P5440" s="33"/>
      <c r="Q5440" s="33"/>
      <c r="R5440" s="33"/>
      <c r="S5440" s="33"/>
      <c r="T5440" s="33"/>
      <c r="U5440" s="33"/>
      <c r="V5440" s="33"/>
      <c r="W5440" s="33"/>
      <c r="X5440" s="33"/>
      <c r="Y5440" s="33"/>
      <c r="Z5440" s="33"/>
      <c r="AA5440" s="33"/>
      <c r="AB5440" s="33"/>
      <c r="AC5440" s="33"/>
      <c r="AD5440" s="33"/>
      <c r="AE5440" s="33"/>
      <c r="AF5440" s="33"/>
      <c r="AG5440" s="33"/>
      <c r="AH5440" s="33"/>
      <c r="AI5440" s="33"/>
      <c r="AJ5440" s="33"/>
      <c r="AK5440" s="33"/>
    </row>
    <row r="5441">
      <c r="A5441" s="33"/>
      <c r="B5441" s="33"/>
      <c r="C5441" s="33"/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  <c r="Q5441" s="33"/>
      <c r="R5441" s="33"/>
      <c r="S5441" s="33"/>
      <c r="T5441" s="33"/>
      <c r="U5441" s="33"/>
      <c r="V5441" s="33"/>
      <c r="W5441" s="33"/>
      <c r="X5441" s="33"/>
      <c r="Y5441" s="33"/>
      <c r="Z5441" s="33"/>
      <c r="AA5441" s="33"/>
      <c r="AB5441" s="33"/>
      <c r="AC5441" s="33"/>
      <c r="AD5441" s="33"/>
      <c r="AE5441" s="33"/>
      <c r="AF5441" s="33"/>
      <c r="AG5441" s="33"/>
      <c r="AH5441" s="33"/>
      <c r="AI5441" s="33"/>
      <c r="AJ5441" s="33"/>
      <c r="AK5441" s="33"/>
    </row>
    <row r="5442">
      <c r="A5442" s="33"/>
      <c r="B5442" s="33"/>
      <c r="C5442" s="33"/>
      <c r="D5442" s="33"/>
      <c r="E5442" s="33"/>
      <c r="F5442" s="33"/>
      <c r="G5442" s="33"/>
      <c r="H5442" s="33"/>
      <c r="I5442" s="33"/>
      <c r="J5442" s="33"/>
      <c r="K5442" s="33"/>
      <c r="L5442" s="33"/>
      <c r="M5442" s="33"/>
      <c r="N5442" s="33"/>
      <c r="O5442" s="33"/>
      <c r="P5442" s="33"/>
      <c r="Q5442" s="33"/>
      <c r="R5442" s="33"/>
      <c r="S5442" s="33"/>
      <c r="T5442" s="33"/>
      <c r="U5442" s="33"/>
      <c r="V5442" s="33"/>
      <c r="W5442" s="33"/>
      <c r="X5442" s="33"/>
      <c r="Y5442" s="33"/>
      <c r="Z5442" s="33"/>
      <c r="AA5442" s="33"/>
      <c r="AB5442" s="33"/>
      <c r="AC5442" s="33"/>
      <c r="AD5442" s="33"/>
      <c r="AE5442" s="33"/>
      <c r="AF5442" s="33"/>
      <c r="AG5442" s="33"/>
      <c r="AH5442" s="33"/>
      <c r="AI5442" s="33"/>
      <c r="AJ5442" s="33"/>
      <c r="AK5442" s="33"/>
    </row>
    <row r="5443">
      <c r="A5443" s="33"/>
      <c r="B5443" s="33"/>
      <c r="C5443" s="33"/>
      <c r="D5443" s="33"/>
      <c r="E5443" s="33"/>
      <c r="F5443" s="33"/>
      <c r="G5443" s="33"/>
      <c r="H5443" s="33"/>
      <c r="I5443" s="33"/>
      <c r="J5443" s="33"/>
      <c r="K5443" s="33"/>
      <c r="L5443" s="33"/>
      <c r="M5443" s="33"/>
      <c r="N5443" s="33"/>
      <c r="O5443" s="33"/>
      <c r="P5443" s="33"/>
      <c r="Q5443" s="33"/>
      <c r="R5443" s="33"/>
      <c r="S5443" s="33"/>
      <c r="T5443" s="33"/>
      <c r="U5443" s="33"/>
      <c r="V5443" s="33"/>
      <c r="W5443" s="33"/>
      <c r="X5443" s="33"/>
      <c r="Y5443" s="33"/>
      <c r="Z5443" s="33"/>
      <c r="AA5443" s="33"/>
      <c r="AB5443" s="33"/>
      <c r="AC5443" s="33"/>
      <c r="AD5443" s="33"/>
      <c r="AE5443" s="33"/>
      <c r="AF5443" s="33"/>
      <c r="AG5443" s="33"/>
      <c r="AH5443" s="33"/>
      <c r="AI5443" s="33"/>
      <c r="AJ5443" s="33"/>
      <c r="AK5443" s="33"/>
    </row>
    <row r="5444">
      <c r="A5444" s="33"/>
      <c r="B5444" s="33"/>
      <c r="C5444" s="33"/>
      <c r="D5444" s="33"/>
      <c r="E5444" s="33"/>
      <c r="F5444" s="33"/>
      <c r="G5444" s="33"/>
      <c r="H5444" s="33"/>
      <c r="I5444" s="33"/>
      <c r="J5444" s="33"/>
      <c r="K5444" s="33"/>
      <c r="L5444" s="33"/>
      <c r="M5444" s="33"/>
      <c r="N5444" s="33"/>
      <c r="O5444" s="33"/>
      <c r="P5444" s="33"/>
      <c r="Q5444" s="33"/>
      <c r="R5444" s="33"/>
      <c r="S5444" s="33"/>
      <c r="T5444" s="33"/>
      <c r="U5444" s="33"/>
      <c r="V5444" s="33"/>
      <c r="W5444" s="33"/>
      <c r="X5444" s="33"/>
      <c r="Y5444" s="33"/>
      <c r="Z5444" s="33"/>
      <c r="AA5444" s="33"/>
      <c r="AB5444" s="33"/>
      <c r="AC5444" s="33"/>
      <c r="AD5444" s="33"/>
      <c r="AE5444" s="33"/>
      <c r="AF5444" s="33"/>
      <c r="AG5444" s="33"/>
      <c r="AH5444" s="33"/>
      <c r="AI5444" s="33"/>
      <c r="AJ5444" s="33"/>
      <c r="AK5444" s="33"/>
    </row>
    <row r="5445">
      <c r="A5445" s="33"/>
      <c r="B5445" s="33"/>
      <c r="C5445" s="33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  <c r="Q5445" s="33"/>
      <c r="R5445" s="33"/>
      <c r="S5445" s="33"/>
      <c r="T5445" s="33"/>
      <c r="U5445" s="33"/>
      <c r="V5445" s="33"/>
      <c r="W5445" s="33"/>
      <c r="X5445" s="33"/>
      <c r="Y5445" s="33"/>
      <c r="Z5445" s="33"/>
      <c r="AA5445" s="33"/>
      <c r="AB5445" s="33"/>
      <c r="AC5445" s="33"/>
      <c r="AD5445" s="33"/>
      <c r="AE5445" s="33"/>
      <c r="AF5445" s="33"/>
      <c r="AG5445" s="33"/>
      <c r="AH5445" s="33"/>
      <c r="AI5445" s="33"/>
      <c r="AJ5445" s="33"/>
      <c r="AK5445" s="33"/>
    </row>
    <row r="5446">
      <c r="A5446" s="33"/>
      <c r="B5446" s="33"/>
      <c r="C5446" s="33"/>
      <c r="D5446" s="33"/>
      <c r="E5446" s="33"/>
      <c r="F5446" s="33"/>
      <c r="G5446" s="33"/>
      <c r="H5446" s="33"/>
      <c r="I5446" s="33"/>
      <c r="J5446" s="33"/>
      <c r="K5446" s="33"/>
      <c r="L5446" s="33"/>
      <c r="M5446" s="33"/>
      <c r="N5446" s="33"/>
      <c r="O5446" s="33"/>
      <c r="P5446" s="33"/>
      <c r="Q5446" s="33"/>
      <c r="R5446" s="33"/>
      <c r="S5446" s="33"/>
      <c r="T5446" s="33"/>
      <c r="U5446" s="33"/>
      <c r="V5446" s="33"/>
      <c r="W5446" s="33"/>
      <c r="X5446" s="33"/>
      <c r="Y5446" s="33"/>
      <c r="Z5446" s="33"/>
      <c r="AA5446" s="33"/>
      <c r="AB5446" s="33"/>
      <c r="AC5446" s="33"/>
      <c r="AD5446" s="33"/>
      <c r="AE5446" s="33"/>
      <c r="AF5446" s="33"/>
      <c r="AG5446" s="33"/>
      <c r="AH5446" s="33"/>
      <c r="AI5446" s="33"/>
      <c r="AJ5446" s="33"/>
      <c r="AK5446" s="33"/>
    </row>
    <row r="5447">
      <c r="A5447" s="33"/>
      <c r="B5447" s="33"/>
      <c r="C5447" s="33"/>
      <c r="D5447" s="33"/>
      <c r="E5447" s="33"/>
      <c r="F5447" s="33"/>
      <c r="G5447" s="33"/>
      <c r="H5447" s="33"/>
      <c r="I5447" s="33"/>
      <c r="J5447" s="33"/>
      <c r="K5447" s="33"/>
      <c r="L5447" s="33"/>
      <c r="M5447" s="33"/>
      <c r="N5447" s="33"/>
      <c r="O5447" s="33"/>
      <c r="P5447" s="33"/>
      <c r="Q5447" s="33"/>
      <c r="R5447" s="33"/>
      <c r="S5447" s="33"/>
      <c r="T5447" s="33"/>
      <c r="U5447" s="33"/>
      <c r="V5447" s="33"/>
      <c r="W5447" s="33"/>
      <c r="X5447" s="33"/>
      <c r="Y5447" s="33"/>
      <c r="Z5447" s="33"/>
      <c r="AA5447" s="33"/>
      <c r="AB5447" s="33"/>
      <c r="AC5447" s="33"/>
      <c r="AD5447" s="33"/>
      <c r="AE5447" s="33"/>
      <c r="AF5447" s="33"/>
      <c r="AG5447" s="33"/>
      <c r="AH5447" s="33"/>
      <c r="AI5447" s="33"/>
      <c r="AJ5447" s="33"/>
      <c r="AK5447" s="33"/>
    </row>
    <row r="5448">
      <c r="A5448" s="33"/>
      <c r="B5448" s="33"/>
      <c r="C5448" s="33"/>
      <c r="D5448" s="33"/>
      <c r="E5448" s="33"/>
      <c r="F5448" s="33"/>
      <c r="G5448" s="33"/>
      <c r="H5448" s="33"/>
      <c r="I5448" s="33"/>
      <c r="J5448" s="33"/>
      <c r="K5448" s="33"/>
      <c r="L5448" s="33"/>
      <c r="M5448" s="33"/>
      <c r="N5448" s="33"/>
      <c r="O5448" s="33"/>
      <c r="P5448" s="33"/>
      <c r="Q5448" s="33"/>
      <c r="R5448" s="33"/>
      <c r="S5448" s="33"/>
      <c r="T5448" s="33"/>
      <c r="U5448" s="33"/>
      <c r="V5448" s="33"/>
      <c r="W5448" s="33"/>
      <c r="X5448" s="33"/>
      <c r="Y5448" s="33"/>
      <c r="Z5448" s="33"/>
      <c r="AA5448" s="33"/>
      <c r="AB5448" s="33"/>
      <c r="AC5448" s="33"/>
      <c r="AD5448" s="33"/>
      <c r="AE5448" s="33"/>
      <c r="AF5448" s="33"/>
      <c r="AG5448" s="33"/>
      <c r="AH5448" s="33"/>
      <c r="AI5448" s="33"/>
      <c r="AJ5448" s="33"/>
      <c r="AK5448" s="33"/>
    </row>
    <row r="5449">
      <c r="A5449" s="33"/>
      <c r="B5449" s="33"/>
      <c r="C5449" s="33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  <c r="Q5449" s="33"/>
      <c r="R5449" s="33"/>
      <c r="S5449" s="33"/>
      <c r="T5449" s="33"/>
      <c r="U5449" s="33"/>
      <c r="V5449" s="33"/>
      <c r="W5449" s="33"/>
      <c r="X5449" s="33"/>
      <c r="Y5449" s="33"/>
      <c r="Z5449" s="33"/>
      <c r="AA5449" s="33"/>
      <c r="AB5449" s="33"/>
      <c r="AC5449" s="33"/>
      <c r="AD5449" s="33"/>
      <c r="AE5449" s="33"/>
      <c r="AF5449" s="33"/>
      <c r="AG5449" s="33"/>
      <c r="AH5449" s="33"/>
      <c r="AI5449" s="33"/>
      <c r="AJ5449" s="33"/>
      <c r="AK5449" s="33"/>
    </row>
    <row r="5450">
      <c r="A5450" s="33"/>
      <c r="B5450" s="33"/>
      <c r="C5450" s="33"/>
      <c r="D5450" s="33"/>
      <c r="E5450" s="33"/>
      <c r="F5450" s="33"/>
      <c r="G5450" s="33"/>
      <c r="H5450" s="33"/>
      <c r="I5450" s="33"/>
      <c r="J5450" s="33"/>
      <c r="K5450" s="33"/>
      <c r="L5450" s="33"/>
      <c r="M5450" s="33"/>
      <c r="N5450" s="33"/>
      <c r="O5450" s="33"/>
      <c r="P5450" s="33"/>
      <c r="Q5450" s="33"/>
      <c r="R5450" s="33"/>
      <c r="S5450" s="33"/>
      <c r="T5450" s="33"/>
      <c r="U5450" s="33"/>
      <c r="V5450" s="33"/>
      <c r="W5450" s="33"/>
      <c r="X5450" s="33"/>
      <c r="Y5450" s="33"/>
      <c r="Z5450" s="33"/>
      <c r="AA5450" s="33"/>
      <c r="AB5450" s="33"/>
      <c r="AC5450" s="33"/>
      <c r="AD5450" s="33"/>
      <c r="AE5450" s="33"/>
      <c r="AF5450" s="33"/>
      <c r="AG5450" s="33"/>
      <c r="AH5450" s="33"/>
      <c r="AI5450" s="33"/>
      <c r="AJ5450" s="33"/>
      <c r="AK5450" s="33"/>
    </row>
    <row r="5451">
      <c r="A5451" s="33"/>
      <c r="B5451" s="33"/>
      <c r="C5451" s="33"/>
      <c r="D5451" s="33"/>
      <c r="E5451" s="33"/>
      <c r="F5451" s="33"/>
      <c r="G5451" s="33"/>
      <c r="H5451" s="33"/>
      <c r="I5451" s="33"/>
      <c r="J5451" s="33"/>
      <c r="K5451" s="33"/>
      <c r="L5451" s="33"/>
      <c r="M5451" s="33"/>
      <c r="N5451" s="33"/>
      <c r="O5451" s="33"/>
      <c r="P5451" s="33"/>
      <c r="Q5451" s="33"/>
      <c r="R5451" s="33"/>
      <c r="S5451" s="33"/>
      <c r="T5451" s="33"/>
      <c r="U5451" s="33"/>
      <c r="V5451" s="33"/>
      <c r="W5451" s="33"/>
      <c r="X5451" s="33"/>
      <c r="Y5451" s="33"/>
      <c r="Z5451" s="33"/>
      <c r="AA5451" s="33"/>
      <c r="AB5451" s="33"/>
      <c r="AC5451" s="33"/>
      <c r="AD5451" s="33"/>
      <c r="AE5451" s="33"/>
      <c r="AF5451" s="33"/>
      <c r="AG5451" s="33"/>
      <c r="AH5451" s="33"/>
      <c r="AI5451" s="33"/>
      <c r="AJ5451" s="33"/>
      <c r="AK5451" s="33"/>
    </row>
    <row r="5452">
      <c r="A5452" s="33"/>
      <c r="B5452" s="33"/>
      <c r="C5452" s="33"/>
      <c r="D5452" s="33"/>
      <c r="E5452" s="33"/>
      <c r="F5452" s="33"/>
      <c r="G5452" s="33"/>
      <c r="H5452" s="33"/>
      <c r="I5452" s="33"/>
      <c r="J5452" s="33"/>
      <c r="K5452" s="33"/>
      <c r="L5452" s="33"/>
      <c r="M5452" s="33"/>
      <c r="N5452" s="33"/>
      <c r="O5452" s="33"/>
      <c r="P5452" s="33"/>
      <c r="Q5452" s="33"/>
      <c r="R5452" s="33"/>
      <c r="S5452" s="33"/>
      <c r="T5452" s="33"/>
      <c r="U5452" s="33"/>
      <c r="V5452" s="33"/>
      <c r="W5452" s="33"/>
      <c r="X5452" s="33"/>
      <c r="Y5452" s="33"/>
      <c r="Z5452" s="33"/>
      <c r="AA5452" s="33"/>
      <c r="AB5452" s="33"/>
      <c r="AC5452" s="33"/>
      <c r="AD5452" s="33"/>
      <c r="AE5452" s="33"/>
      <c r="AF5452" s="33"/>
      <c r="AG5452" s="33"/>
      <c r="AH5452" s="33"/>
      <c r="AI5452" s="33"/>
      <c r="AJ5452" s="33"/>
      <c r="AK5452" s="33"/>
    </row>
    <row r="5453">
      <c r="A5453" s="33"/>
      <c r="B5453" s="33"/>
      <c r="C5453" s="33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  <c r="Q5453" s="33"/>
      <c r="R5453" s="33"/>
      <c r="S5453" s="33"/>
      <c r="T5453" s="33"/>
      <c r="U5453" s="33"/>
      <c r="V5453" s="33"/>
      <c r="W5453" s="33"/>
      <c r="X5453" s="33"/>
      <c r="Y5453" s="33"/>
      <c r="Z5453" s="33"/>
      <c r="AA5453" s="33"/>
      <c r="AB5453" s="33"/>
      <c r="AC5453" s="33"/>
      <c r="AD5453" s="33"/>
      <c r="AE5453" s="33"/>
      <c r="AF5453" s="33"/>
      <c r="AG5453" s="33"/>
      <c r="AH5453" s="33"/>
      <c r="AI5453" s="33"/>
      <c r="AJ5453" s="33"/>
      <c r="AK5453" s="33"/>
    </row>
    <row r="5454">
      <c r="A5454" s="33"/>
      <c r="B5454" s="33"/>
      <c r="C5454" s="33"/>
      <c r="D5454" s="33"/>
      <c r="E5454" s="33"/>
      <c r="F5454" s="33"/>
      <c r="G5454" s="33"/>
      <c r="H5454" s="33"/>
      <c r="I5454" s="33"/>
      <c r="J5454" s="33"/>
      <c r="K5454" s="33"/>
      <c r="L5454" s="33"/>
      <c r="M5454" s="33"/>
      <c r="N5454" s="33"/>
      <c r="O5454" s="33"/>
      <c r="P5454" s="33"/>
      <c r="Q5454" s="33"/>
      <c r="R5454" s="33"/>
      <c r="S5454" s="33"/>
      <c r="T5454" s="33"/>
      <c r="U5454" s="33"/>
      <c r="V5454" s="33"/>
      <c r="W5454" s="33"/>
      <c r="X5454" s="33"/>
      <c r="Y5454" s="33"/>
      <c r="Z5454" s="33"/>
      <c r="AA5454" s="33"/>
      <c r="AB5454" s="33"/>
      <c r="AC5454" s="33"/>
      <c r="AD5454" s="33"/>
      <c r="AE5454" s="33"/>
      <c r="AF5454" s="33"/>
      <c r="AG5454" s="33"/>
      <c r="AH5454" s="33"/>
      <c r="AI5454" s="33"/>
      <c r="AJ5454" s="33"/>
      <c r="AK5454" s="33"/>
    </row>
    <row r="5455">
      <c r="A5455" s="33"/>
      <c r="B5455" s="33"/>
      <c r="C5455" s="33"/>
      <c r="D5455" s="33"/>
      <c r="E5455" s="33"/>
      <c r="F5455" s="33"/>
      <c r="G5455" s="33"/>
      <c r="H5455" s="33"/>
      <c r="I5455" s="33"/>
      <c r="J5455" s="33"/>
      <c r="K5455" s="33"/>
      <c r="L5455" s="33"/>
      <c r="M5455" s="33"/>
      <c r="N5455" s="33"/>
      <c r="O5455" s="33"/>
      <c r="P5455" s="33"/>
      <c r="Q5455" s="33"/>
      <c r="R5455" s="33"/>
      <c r="S5455" s="33"/>
      <c r="T5455" s="33"/>
      <c r="U5455" s="33"/>
      <c r="V5455" s="33"/>
      <c r="W5455" s="33"/>
      <c r="X5455" s="33"/>
      <c r="Y5455" s="33"/>
      <c r="Z5455" s="33"/>
      <c r="AA5455" s="33"/>
      <c r="AB5455" s="33"/>
      <c r="AC5455" s="33"/>
      <c r="AD5455" s="33"/>
      <c r="AE5455" s="33"/>
      <c r="AF5455" s="33"/>
      <c r="AG5455" s="33"/>
      <c r="AH5455" s="33"/>
      <c r="AI5455" s="33"/>
      <c r="AJ5455" s="33"/>
      <c r="AK5455" s="33"/>
    </row>
    <row r="5456">
      <c r="A5456" s="33"/>
      <c r="B5456" s="33"/>
      <c r="C5456" s="33"/>
      <c r="D5456" s="33"/>
      <c r="E5456" s="33"/>
      <c r="F5456" s="33"/>
      <c r="G5456" s="33"/>
      <c r="H5456" s="33"/>
      <c r="I5456" s="33"/>
      <c r="J5456" s="33"/>
      <c r="K5456" s="33"/>
      <c r="L5456" s="33"/>
      <c r="M5456" s="33"/>
      <c r="N5456" s="33"/>
      <c r="O5456" s="33"/>
      <c r="P5456" s="33"/>
      <c r="Q5456" s="33"/>
      <c r="R5456" s="33"/>
      <c r="S5456" s="33"/>
      <c r="T5456" s="33"/>
      <c r="U5456" s="33"/>
      <c r="V5456" s="33"/>
      <c r="W5456" s="33"/>
      <c r="X5456" s="33"/>
      <c r="Y5456" s="33"/>
      <c r="Z5456" s="33"/>
      <c r="AA5456" s="33"/>
      <c r="AB5456" s="33"/>
      <c r="AC5456" s="33"/>
      <c r="AD5456" s="33"/>
      <c r="AE5456" s="33"/>
      <c r="AF5456" s="33"/>
      <c r="AG5456" s="33"/>
      <c r="AH5456" s="33"/>
      <c r="AI5456" s="33"/>
      <c r="AJ5456" s="33"/>
      <c r="AK5456" s="33"/>
    </row>
    <row r="5457">
      <c r="A5457" s="33"/>
      <c r="B5457" s="33"/>
      <c r="C5457" s="33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  <c r="Q5457" s="33"/>
      <c r="R5457" s="33"/>
      <c r="S5457" s="33"/>
      <c r="T5457" s="33"/>
      <c r="U5457" s="33"/>
      <c r="V5457" s="33"/>
      <c r="W5457" s="33"/>
      <c r="X5457" s="33"/>
      <c r="Y5457" s="33"/>
      <c r="Z5457" s="33"/>
      <c r="AA5457" s="33"/>
      <c r="AB5457" s="33"/>
      <c r="AC5457" s="33"/>
      <c r="AD5457" s="33"/>
      <c r="AE5457" s="33"/>
      <c r="AF5457" s="33"/>
      <c r="AG5457" s="33"/>
      <c r="AH5457" s="33"/>
      <c r="AI5457" s="33"/>
      <c r="AJ5457" s="33"/>
      <c r="AK5457" s="33"/>
    </row>
    <row r="5458">
      <c r="A5458" s="33"/>
      <c r="B5458" s="33"/>
      <c r="C5458" s="33"/>
      <c r="D5458" s="33"/>
      <c r="E5458" s="33"/>
      <c r="F5458" s="33"/>
      <c r="G5458" s="33"/>
      <c r="H5458" s="33"/>
      <c r="I5458" s="33"/>
      <c r="J5458" s="33"/>
      <c r="K5458" s="33"/>
      <c r="L5458" s="33"/>
      <c r="M5458" s="33"/>
      <c r="N5458" s="33"/>
      <c r="O5458" s="33"/>
      <c r="P5458" s="33"/>
      <c r="Q5458" s="33"/>
      <c r="R5458" s="33"/>
      <c r="S5458" s="33"/>
      <c r="T5458" s="33"/>
      <c r="U5458" s="33"/>
      <c r="V5458" s="33"/>
      <c r="W5458" s="33"/>
      <c r="X5458" s="33"/>
      <c r="Y5458" s="33"/>
      <c r="Z5458" s="33"/>
      <c r="AA5458" s="33"/>
      <c r="AB5458" s="33"/>
      <c r="AC5458" s="33"/>
      <c r="AD5458" s="33"/>
      <c r="AE5458" s="33"/>
      <c r="AF5458" s="33"/>
      <c r="AG5458" s="33"/>
      <c r="AH5458" s="33"/>
      <c r="AI5458" s="33"/>
      <c r="AJ5458" s="33"/>
      <c r="AK5458" s="33"/>
    </row>
    <row r="5459">
      <c r="A5459" s="33"/>
      <c r="B5459" s="33"/>
      <c r="C5459" s="33"/>
      <c r="D5459" s="33"/>
      <c r="E5459" s="33"/>
      <c r="F5459" s="33"/>
      <c r="G5459" s="33"/>
      <c r="H5459" s="33"/>
      <c r="I5459" s="33"/>
      <c r="J5459" s="33"/>
      <c r="K5459" s="33"/>
      <c r="L5459" s="33"/>
      <c r="M5459" s="33"/>
      <c r="N5459" s="33"/>
      <c r="O5459" s="33"/>
      <c r="P5459" s="33"/>
      <c r="Q5459" s="33"/>
      <c r="R5459" s="33"/>
      <c r="S5459" s="33"/>
      <c r="T5459" s="33"/>
      <c r="U5459" s="33"/>
      <c r="V5459" s="33"/>
      <c r="W5459" s="33"/>
      <c r="X5459" s="33"/>
      <c r="Y5459" s="33"/>
      <c r="Z5459" s="33"/>
      <c r="AA5459" s="33"/>
      <c r="AB5459" s="33"/>
      <c r="AC5459" s="33"/>
      <c r="AD5459" s="33"/>
      <c r="AE5459" s="33"/>
      <c r="AF5459" s="33"/>
      <c r="AG5459" s="33"/>
      <c r="AH5459" s="33"/>
      <c r="AI5459" s="33"/>
      <c r="AJ5459" s="33"/>
      <c r="AK5459" s="33"/>
    </row>
    <row r="5460">
      <c r="A5460" s="33"/>
      <c r="B5460" s="33"/>
      <c r="C5460" s="33"/>
      <c r="D5460" s="33"/>
      <c r="E5460" s="33"/>
      <c r="F5460" s="33"/>
      <c r="G5460" s="33"/>
      <c r="H5460" s="33"/>
      <c r="I5460" s="33"/>
      <c r="J5460" s="33"/>
      <c r="K5460" s="33"/>
      <c r="L5460" s="33"/>
      <c r="M5460" s="33"/>
      <c r="N5460" s="33"/>
      <c r="O5460" s="33"/>
      <c r="P5460" s="33"/>
      <c r="Q5460" s="33"/>
      <c r="R5460" s="33"/>
      <c r="S5460" s="33"/>
      <c r="T5460" s="33"/>
      <c r="U5460" s="33"/>
      <c r="V5460" s="33"/>
      <c r="W5460" s="33"/>
      <c r="X5460" s="33"/>
      <c r="Y5460" s="33"/>
      <c r="Z5460" s="33"/>
      <c r="AA5460" s="33"/>
      <c r="AB5460" s="33"/>
      <c r="AC5460" s="33"/>
      <c r="AD5460" s="33"/>
      <c r="AE5460" s="33"/>
      <c r="AF5460" s="33"/>
      <c r="AG5460" s="33"/>
      <c r="AH5460" s="33"/>
      <c r="AI5460" s="33"/>
      <c r="AJ5460" s="33"/>
      <c r="AK5460" s="33"/>
    </row>
    <row r="5461">
      <c r="A5461" s="33"/>
      <c r="B5461" s="33"/>
      <c r="C5461" s="33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33"/>
      <c r="V5461" s="33"/>
      <c r="W5461" s="33"/>
      <c r="X5461" s="33"/>
      <c r="Y5461" s="33"/>
      <c r="Z5461" s="33"/>
      <c r="AA5461" s="33"/>
      <c r="AB5461" s="33"/>
      <c r="AC5461" s="33"/>
      <c r="AD5461" s="33"/>
      <c r="AE5461" s="33"/>
      <c r="AF5461" s="33"/>
      <c r="AG5461" s="33"/>
      <c r="AH5461" s="33"/>
      <c r="AI5461" s="33"/>
      <c r="AJ5461" s="33"/>
      <c r="AK5461" s="33"/>
    </row>
    <row r="5462">
      <c r="A5462" s="33"/>
      <c r="B5462" s="33"/>
      <c r="C5462" s="33"/>
      <c r="D5462" s="33"/>
      <c r="E5462" s="33"/>
      <c r="F5462" s="33"/>
      <c r="G5462" s="33"/>
      <c r="H5462" s="33"/>
      <c r="I5462" s="33"/>
      <c r="J5462" s="33"/>
      <c r="K5462" s="33"/>
      <c r="L5462" s="33"/>
      <c r="M5462" s="33"/>
      <c r="N5462" s="33"/>
      <c r="O5462" s="33"/>
      <c r="P5462" s="33"/>
      <c r="Q5462" s="33"/>
      <c r="R5462" s="33"/>
      <c r="S5462" s="33"/>
      <c r="T5462" s="33"/>
      <c r="U5462" s="33"/>
      <c r="V5462" s="33"/>
      <c r="W5462" s="33"/>
      <c r="X5462" s="33"/>
      <c r="Y5462" s="33"/>
      <c r="Z5462" s="33"/>
      <c r="AA5462" s="33"/>
      <c r="AB5462" s="33"/>
      <c r="AC5462" s="33"/>
      <c r="AD5462" s="33"/>
      <c r="AE5462" s="33"/>
      <c r="AF5462" s="33"/>
      <c r="AG5462" s="33"/>
      <c r="AH5462" s="33"/>
      <c r="AI5462" s="33"/>
      <c r="AJ5462" s="33"/>
      <c r="AK5462" s="33"/>
    </row>
    <row r="5463">
      <c r="A5463" s="33"/>
      <c r="B5463" s="33"/>
      <c r="C5463" s="33"/>
      <c r="D5463" s="33"/>
      <c r="E5463" s="33"/>
      <c r="F5463" s="33"/>
      <c r="G5463" s="33"/>
      <c r="H5463" s="33"/>
      <c r="I5463" s="33"/>
      <c r="J5463" s="33"/>
      <c r="K5463" s="33"/>
      <c r="L5463" s="33"/>
      <c r="M5463" s="33"/>
      <c r="N5463" s="33"/>
      <c r="O5463" s="33"/>
      <c r="P5463" s="33"/>
      <c r="Q5463" s="33"/>
      <c r="R5463" s="33"/>
      <c r="S5463" s="33"/>
      <c r="T5463" s="33"/>
      <c r="U5463" s="33"/>
      <c r="V5463" s="33"/>
      <c r="W5463" s="33"/>
      <c r="X5463" s="33"/>
      <c r="Y5463" s="33"/>
      <c r="Z5463" s="33"/>
      <c r="AA5463" s="33"/>
      <c r="AB5463" s="33"/>
      <c r="AC5463" s="33"/>
      <c r="AD5463" s="33"/>
      <c r="AE5463" s="33"/>
      <c r="AF5463" s="33"/>
      <c r="AG5463" s="33"/>
      <c r="AH5463" s="33"/>
      <c r="AI5463" s="33"/>
      <c r="AJ5463" s="33"/>
      <c r="AK5463" s="33"/>
    </row>
    <row r="5464">
      <c r="A5464" s="33"/>
      <c r="B5464" s="33"/>
      <c r="C5464" s="33"/>
      <c r="D5464" s="33"/>
      <c r="E5464" s="33"/>
      <c r="F5464" s="33"/>
      <c r="G5464" s="33"/>
      <c r="H5464" s="33"/>
      <c r="I5464" s="33"/>
      <c r="J5464" s="33"/>
      <c r="K5464" s="33"/>
      <c r="L5464" s="33"/>
      <c r="M5464" s="33"/>
      <c r="N5464" s="33"/>
      <c r="O5464" s="33"/>
      <c r="P5464" s="33"/>
      <c r="Q5464" s="33"/>
      <c r="R5464" s="33"/>
      <c r="S5464" s="33"/>
      <c r="T5464" s="33"/>
      <c r="U5464" s="33"/>
      <c r="V5464" s="33"/>
      <c r="W5464" s="33"/>
      <c r="X5464" s="33"/>
      <c r="Y5464" s="33"/>
      <c r="Z5464" s="33"/>
      <c r="AA5464" s="33"/>
      <c r="AB5464" s="33"/>
      <c r="AC5464" s="33"/>
      <c r="AD5464" s="33"/>
      <c r="AE5464" s="33"/>
      <c r="AF5464" s="33"/>
      <c r="AG5464" s="33"/>
      <c r="AH5464" s="33"/>
      <c r="AI5464" s="33"/>
      <c r="AJ5464" s="33"/>
      <c r="AK5464" s="33"/>
    </row>
    <row r="5465">
      <c r="A5465" s="33"/>
      <c r="B5465" s="33"/>
      <c r="C5465" s="33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  <c r="Q5465" s="33"/>
      <c r="R5465" s="33"/>
      <c r="S5465" s="33"/>
      <c r="T5465" s="33"/>
      <c r="U5465" s="33"/>
      <c r="V5465" s="33"/>
      <c r="W5465" s="33"/>
      <c r="X5465" s="33"/>
      <c r="Y5465" s="33"/>
      <c r="Z5465" s="33"/>
      <c r="AA5465" s="33"/>
      <c r="AB5465" s="33"/>
      <c r="AC5465" s="33"/>
      <c r="AD5465" s="33"/>
      <c r="AE5465" s="33"/>
      <c r="AF5465" s="33"/>
      <c r="AG5465" s="33"/>
      <c r="AH5465" s="33"/>
      <c r="AI5465" s="33"/>
      <c r="AJ5465" s="33"/>
      <c r="AK5465" s="33"/>
    </row>
    <row r="5466">
      <c r="A5466" s="33"/>
      <c r="B5466" s="33"/>
      <c r="C5466" s="33"/>
      <c r="D5466" s="33"/>
      <c r="E5466" s="33"/>
      <c r="F5466" s="33"/>
      <c r="G5466" s="33"/>
      <c r="H5466" s="33"/>
      <c r="I5466" s="33"/>
      <c r="J5466" s="33"/>
      <c r="K5466" s="33"/>
      <c r="L5466" s="33"/>
      <c r="M5466" s="33"/>
      <c r="N5466" s="33"/>
      <c r="O5466" s="33"/>
      <c r="P5466" s="33"/>
      <c r="Q5466" s="33"/>
      <c r="R5466" s="33"/>
      <c r="S5466" s="33"/>
      <c r="T5466" s="33"/>
      <c r="U5466" s="33"/>
      <c r="V5466" s="33"/>
      <c r="W5466" s="33"/>
      <c r="X5466" s="33"/>
      <c r="Y5466" s="33"/>
      <c r="Z5466" s="33"/>
      <c r="AA5466" s="33"/>
      <c r="AB5466" s="33"/>
      <c r="AC5466" s="33"/>
      <c r="AD5466" s="33"/>
      <c r="AE5466" s="33"/>
      <c r="AF5466" s="33"/>
      <c r="AG5466" s="33"/>
      <c r="AH5466" s="33"/>
      <c r="AI5466" s="33"/>
      <c r="AJ5466" s="33"/>
      <c r="AK5466" s="33"/>
    </row>
    <row r="5467">
      <c r="A5467" s="33"/>
      <c r="B5467" s="33"/>
      <c r="C5467" s="33"/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  <c r="R5467" s="33"/>
      <c r="S5467" s="33"/>
      <c r="T5467" s="33"/>
      <c r="U5467" s="33"/>
      <c r="V5467" s="33"/>
      <c r="W5467" s="33"/>
      <c r="X5467" s="33"/>
      <c r="Y5467" s="33"/>
      <c r="Z5467" s="33"/>
      <c r="AA5467" s="33"/>
      <c r="AB5467" s="33"/>
      <c r="AC5467" s="33"/>
      <c r="AD5467" s="33"/>
      <c r="AE5467" s="33"/>
      <c r="AF5467" s="33"/>
      <c r="AG5467" s="33"/>
      <c r="AH5467" s="33"/>
      <c r="AI5467" s="33"/>
      <c r="AJ5467" s="33"/>
      <c r="AK5467" s="33"/>
    </row>
    <row r="5468">
      <c r="A5468" s="33"/>
      <c r="B5468" s="33"/>
      <c r="C5468" s="33"/>
      <c r="D5468" s="33"/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3"/>
      <c r="P5468" s="33"/>
      <c r="Q5468" s="33"/>
      <c r="R5468" s="33"/>
      <c r="S5468" s="33"/>
      <c r="T5468" s="33"/>
      <c r="U5468" s="33"/>
      <c r="V5468" s="33"/>
      <c r="W5468" s="33"/>
      <c r="X5468" s="33"/>
      <c r="Y5468" s="33"/>
      <c r="Z5468" s="33"/>
      <c r="AA5468" s="33"/>
      <c r="AB5468" s="33"/>
      <c r="AC5468" s="33"/>
      <c r="AD5468" s="33"/>
      <c r="AE5468" s="33"/>
      <c r="AF5468" s="33"/>
      <c r="AG5468" s="33"/>
      <c r="AH5468" s="33"/>
      <c r="AI5468" s="33"/>
      <c r="AJ5468" s="33"/>
      <c r="AK5468" s="33"/>
    </row>
    <row r="5469">
      <c r="A5469" s="33"/>
      <c r="B5469" s="33"/>
      <c r="C5469" s="33"/>
      <c r="D5469" s="33"/>
      <c r="E5469" s="33"/>
      <c r="F5469" s="33"/>
      <c r="G5469" s="33"/>
      <c r="H5469" s="33"/>
      <c r="I5469" s="33"/>
      <c r="J5469" s="33"/>
      <c r="K5469" s="33"/>
      <c r="L5469" s="33"/>
      <c r="M5469" s="33"/>
      <c r="N5469" s="33"/>
      <c r="O5469" s="33"/>
      <c r="P5469" s="33"/>
      <c r="Q5469" s="33"/>
      <c r="R5469" s="33"/>
      <c r="S5469" s="33"/>
      <c r="T5469" s="33"/>
      <c r="U5469" s="33"/>
      <c r="V5469" s="33"/>
      <c r="W5469" s="33"/>
      <c r="X5469" s="33"/>
      <c r="Y5469" s="33"/>
      <c r="Z5469" s="33"/>
      <c r="AA5469" s="33"/>
      <c r="AB5469" s="33"/>
      <c r="AC5469" s="33"/>
      <c r="AD5469" s="33"/>
      <c r="AE5469" s="33"/>
      <c r="AF5469" s="33"/>
      <c r="AG5469" s="33"/>
      <c r="AH5469" s="33"/>
      <c r="AI5469" s="33"/>
      <c r="AJ5469" s="33"/>
      <c r="AK5469" s="33"/>
    </row>
    <row r="5470">
      <c r="A5470" s="33"/>
      <c r="B5470" s="33"/>
      <c r="C5470" s="33"/>
      <c r="D5470" s="33"/>
      <c r="E5470" s="33"/>
      <c r="F5470" s="33"/>
      <c r="G5470" s="33"/>
      <c r="H5470" s="33"/>
      <c r="I5470" s="33"/>
      <c r="J5470" s="33"/>
      <c r="K5470" s="33"/>
      <c r="L5470" s="33"/>
      <c r="M5470" s="33"/>
      <c r="N5470" s="33"/>
      <c r="O5470" s="33"/>
      <c r="P5470" s="33"/>
      <c r="Q5470" s="33"/>
      <c r="R5470" s="33"/>
      <c r="S5470" s="33"/>
      <c r="T5470" s="33"/>
      <c r="U5470" s="33"/>
      <c r="V5470" s="33"/>
      <c r="W5470" s="33"/>
      <c r="X5470" s="33"/>
      <c r="Y5470" s="33"/>
      <c r="Z5470" s="33"/>
      <c r="AA5470" s="33"/>
      <c r="AB5470" s="33"/>
      <c r="AC5470" s="33"/>
      <c r="AD5470" s="33"/>
      <c r="AE5470" s="33"/>
      <c r="AF5470" s="33"/>
      <c r="AG5470" s="33"/>
      <c r="AH5470" s="33"/>
      <c r="AI5470" s="33"/>
      <c r="AJ5470" s="33"/>
      <c r="AK5470" s="33"/>
    </row>
    <row r="5471">
      <c r="A5471" s="33"/>
      <c r="B5471" s="33"/>
      <c r="C5471" s="33"/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33"/>
      <c r="Q5471" s="33"/>
      <c r="R5471" s="33"/>
      <c r="S5471" s="33"/>
      <c r="T5471" s="33"/>
      <c r="U5471" s="33"/>
      <c r="V5471" s="33"/>
      <c r="W5471" s="33"/>
      <c r="X5471" s="33"/>
      <c r="Y5471" s="33"/>
      <c r="Z5471" s="33"/>
      <c r="AA5471" s="33"/>
      <c r="AB5471" s="33"/>
      <c r="AC5471" s="33"/>
      <c r="AD5471" s="33"/>
      <c r="AE5471" s="33"/>
      <c r="AF5471" s="33"/>
      <c r="AG5471" s="33"/>
      <c r="AH5471" s="33"/>
      <c r="AI5471" s="33"/>
      <c r="AJ5471" s="33"/>
      <c r="AK5471" s="33"/>
    </row>
    <row r="5472">
      <c r="A5472" s="33"/>
      <c r="B5472" s="33"/>
      <c r="C5472" s="33"/>
      <c r="D5472" s="33"/>
      <c r="E5472" s="33"/>
      <c r="F5472" s="33"/>
      <c r="G5472" s="33"/>
      <c r="H5472" s="33"/>
      <c r="I5472" s="33"/>
      <c r="J5472" s="33"/>
      <c r="K5472" s="33"/>
      <c r="L5472" s="33"/>
      <c r="M5472" s="33"/>
      <c r="N5472" s="33"/>
      <c r="O5472" s="33"/>
      <c r="P5472" s="33"/>
      <c r="Q5472" s="33"/>
      <c r="R5472" s="33"/>
      <c r="S5472" s="33"/>
      <c r="T5472" s="33"/>
      <c r="U5472" s="33"/>
      <c r="V5472" s="33"/>
      <c r="W5472" s="33"/>
      <c r="X5472" s="33"/>
      <c r="Y5472" s="33"/>
      <c r="Z5472" s="33"/>
      <c r="AA5472" s="33"/>
      <c r="AB5472" s="33"/>
      <c r="AC5472" s="33"/>
      <c r="AD5472" s="33"/>
      <c r="AE5472" s="33"/>
      <c r="AF5472" s="33"/>
      <c r="AG5472" s="33"/>
      <c r="AH5472" s="33"/>
      <c r="AI5472" s="33"/>
      <c r="AJ5472" s="33"/>
      <c r="AK5472" s="33"/>
    </row>
    <row r="5473">
      <c r="A5473" s="33"/>
      <c r="B5473" s="33"/>
      <c r="C5473" s="33"/>
      <c r="D5473" s="33"/>
      <c r="E5473" s="33"/>
      <c r="F5473" s="33"/>
      <c r="G5473" s="33"/>
      <c r="H5473" s="33"/>
      <c r="I5473" s="33"/>
      <c r="J5473" s="33"/>
      <c r="K5473" s="33"/>
      <c r="L5473" s="33"/>
      <c r="M5473" s="33"/>
      <c r="N5473" s="33"/>
      <c r="O5473" s="33"/>
      <c r="P5473" s="33"/>
      <c r="Q5473" s="33"/>
      <c r="R5473" s="33"/>
      <c r="S5473" s="33"/>
      <c r="T5473" s="33"/>
      <c r="U5473" s="33"/>
      <c r="V5473" s="33"/>
      <c r="W5473" s="33"/>
      <c r="X5473" s="33"/>
      <c r="Y5473" s="33"/>
      <c r="Z5473" s="33"/>
      <c r="AA5473" s="33"/>
      <c r="AB5473" s="33"/>
      <c r="AC5473" s="33"/>
      <c r="AD5473" s="33"/>
      <c r="AE5473" s="33"/>
      <c r="AF5473" s="33"/>
      <c r="AG5473" s="33"/>
      <c r="AH5473" s="33"/>
      <c r="AI5473" s="33"/>
      <c r="AJ5473" s="33"/>
      <c r="AK5473" s="33"/>
    </row>
    <row r="5474">
      <c r="A5474" s="33"/>
      <c r="B5474" s="33"/>
      <c r="C5474" s="33"/>
      <c r="D5474" s="33"/>
      <c r="E5474" s="33"/>
      <c r="F5474" s="33"/>
      <c r="G5474" s="33"/>
      <c r="H5474" s="33"/>
      <c r="I5474" s="33"/>
      <c r="J5474" s="33"/>
      <c r="K5474" s="33"/>
      <c r="L5474" s="33"/>
      <c r="M5474" s="33"/>
      <c r="N5474" s="33"/>
      <c r="O5474" s="33"/>
      <c r="P5474" s="33"/>
      <c r="Q5474" s="33"/>
      <c r="R5474" s="33"/>
      <c r="S5474" s="33"/>
      <c r="T5474" s="33"/>
      <c r="U5474" s="33"/>
      <c r="V5474" s="33"/>
      <c r="W5474" s="33"/>
      <c r="X5474" s="33"/>
      <c r="Y5474" s="33"/>
      <c r="Z5474" s="33"/>
      <c r="AA5474" s="33"/>
      <c r="AB5474" s="33"/>
      <c r="AC5474" s="33"/>
      <c r="AD5474" s="33"/>
      <c r="AE5474" s="33"/>
      <c r="AF5474" s="33"/>
      <c r="AG5474" s="33"/>
      <c r="AH5474" s="33"/>
      <c r="AI5474" s="33"/>
      <c r="AJ5474" s="33"/>
      <c r="AK5474" s="33"/>
    </row>
    <row r="5475">
      <c r="A5475" s="33"/>
      <c r="B5475" s="33"/>
      <c r="C5475" s="33"/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  <c r="Q5475" s="33"/>
      <c r="R5475" s="33"/>
      <c r="S5475" s="33"/>
      <c r="T5475" s="33"/>
      <c r="U5475" s="33"/>
      <c r="V5475" s="33"/>
      <c r="W5475" s="33"/>
      <c r="X5475" s="33"/>
      <c r="Y5475" s="33"/>
      <c r="Z5475" s="33"/>
      <c r="AA5475" s="33"/>
      <c r="AB5475" s="33"/>
      <c r="AC5475" s="33"/>
      <c r="AD5475" s="33"/>
      <c r="AE5475" s="33"/>
      <c r="AF5475" s="33"/>
      <c r="AG5475" s="33"/>
      <c r="AH5475" s="33"/>
      <c r="AI5475" s="33"/>
      <c r="AJ5475" s="33"/>
      <c r="AK5475" s="33"/>
    </row>
    <row r="5476">
      <c r="A5476" s="33"/>
      <c r="B5476" s="33"/>
      <c r="C5476" s="33"/>
      <c r="D5476" s="33"/>
      <c r="E5476" s="33"/>
      <c r="F5476" s="33"/>
      <c r="G5476" s="33"/>
      <c r="H5476" s="33"/>
      <c r="I5476" s="33"/>
      <c r="J5476" s="33"/>
      <c r="K5476" s="33"/>
      <c r="L5476" s="33"/>
      <c r="M5476" s="33"/>
      <c r="N5476" s="33"/>
      <c r="O5476" s="33"/>
      <c r="P5476" s="33"/>
      <c r="Q5476" s="33"/>
      <c r="R5476" s="33"/>
      <c r="S5476" s="33"/>
      <c r="T5476" s="33"/>
      <c r="U5476" s="33"/>
      <c r="V5476" s="33"/>
      <c r="W5476" s="33"/>
      <c r="X5476" s="33"/>
      <c r="Y5476" s="33"/>
      <c r="Z5476" s="33"/>
      <c r="AA5476" s="33"/>
      <c r="AB5476" s="33"/>
      <c r="AC5476" s="33"/>
      <c r="AD5476" s="33"/>
      <c r="AE5476" s="33"/>
      <c r="AF5476" s="33"/>
      <c r="AG5476" s="33"/>
      <c r="AH5476" s="33"/>
      <c r="AI5476" s="33"/>
      <c r="AJ5476" s="33"/>
      <c r="AK5476" s="33"/>
    </row>
    <row r="5477">
      <c r="A5477" s="33"/>
      <c r="B5477" s="33"/>
      <c r="C5477" s="33"/>
      <c r="D5477" s="33"/>
      <c r="E5477" s="33"/>
      <c r="F5477" s="33"/>
      <c r="G5477" s="33"/>
      <c r="H5477" s="33"/>
      <c r="I5477" s="33"/>
      <c r="J5477" s="33"/>
      <c r="K5477" s="33"/>
      <c r="L5477" s="33"/>
      <c r="M5477" s="33"/>
      <c r="N5477" s="33"/>
      <c r="O5477" s="33"/>
      <c r="P5477" s="33"/>
      <c r="Q5477" s="33"/>
      <c r="R5477" s="33"/>
      <c r="S5477" s="33"/>
      <c r="T5477" s="33"/>
      <c r="U5477" s="33"/>
      <c r="V5477" s="33"/>
      <c r="W5477" s="33"/>
      <c r="X5477" s="33"/>
      <c r="Y5477" s="33"/>
      <c r="Z5477" s="33"/>
      <c r="AA5477" s="33"/>
      <c r="AB5477" s="33"/>
      <c r="AC5477" s="33"/>
      <c r="AD5477" s="33"/>
      <c r="AE5477" s="33"/>
      <c r="AF5477" s="33"/>
      <c r="AG5477" s="33"/>
      <c r="AH5477" s="33"/>
      <c r="AI5477" s="33"/>
      <c r="AJ5477" s="33"/>
      <c r="AK5477" s="33"/>
    </row>
    <row r="5478">
      <c r="A5478" s="33"/>
      <c r="B5478" s="33"/>
      <c r="C5478" s="33"/>
      <c r="D5478" s="33"/>
      <c r="E5478" s="33"/>
      <c r="F5478" s="33"/>
      <c r="G5478" s="33"/>
      <c r="H5478" s="33"/>
      <c r="I5478" s="33"/>
      <c r="J5478" s="33"/>
      <c r="K5478" s="33"/>
      <c r="L5478" s="33"/>
      <c r="M5478" s="33"/>
      <c r="N5478" s="33"/>
      <c r="O5478" s="33"/>
      <c r="P5478" s="33"/>
      <c r="Q5478" s="33"/>
      <c r="R5478" s="33"/>
      <c r="S5478" s="33"/>
      <c r="T5478" s="33"/>
      <c r="U5478" s="33"/>
      <c r="V5478" s="33"/>
      <c r="W5478" s="33"/>
      <c r="X5478" s="33"/>
      <c r="Y5478" s="33"/>
      <c r="Z5478" s="33"/>
      <c r="AA5478" s="33"/>
      <c r="AB5478" s="33"/>
      <c r="AC5478" s="33"/>
      <c r="AD5478" s="33"/>
      <c r="AE5478" s="33"/>
      <c r="AF5478" s="33"/>
      <c r="AG5478" s="33"/>
      <c r="AH5478" s="33"/>
      <c r="AI5478" s="33"/>
      <c r="AJ5478" s="33"/>
      <c r="AK5478" s="33"/>
    </row>
    <row r="5479">
      <c r="A5479" s="33"/>
      <c r="B5479" s="33"/>
      <c r="C5479" s="33"/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  <c r="Q5479" s="33"/>
      <c r="R5479" s="33"/>
      <c r="S5479" s="33"/>
      <c r="T5479" s="33"/>
      <c r="U5479" s="33"/>
      <c r="V5479" s="33"/>
      <c r="W5479" s="33"/>
      <c r="X5479" s="33"/>
      <c r="Y5479" s="33"/>
      <c r="Z5479" s="33"/>
      <c r="AA5479" s="33"/>
      <c r="AB5479" s="33"/>
      <c r="AC5479" s="33"/>
      <c r="AD5479" s="33"/>
      <c r="AE5479" s="33"/>
      <c r="AF5479" s="33"/>
      <c r="AG5479" s="33"/>
      <c r="AH5479" s="33"/>
      <c r="AI5479" s="33"/>
      <c r="AJ5479" s="33"/>
      <c r="AK5479" s="33"/>
    </row>
    <row r="5480">
      <c r="A5480" s="33"/>
      <c r="B5480" s="33"/>
      <c r="C5480" s="33"/>
      <c r="D5480" s="33"/>
      <c r="E5480" s="33"/>
      <c r="F5480" s="33"/>
      <c r="G5480" s="33"/>
      <c r="H5480" s="33"/>
      <c r="I5480" s="33"/>
      <c r="J5480" s="33"/>
      <c r="K5480" s="33"/>
      <c r="L5480" s="33"/>
      <c r="M5480" s="33"/>
      <c r="N5480" s="33"/>
      <c r="O5480" s="33"/>
      <c r="P5480" s="33"/>
      <c r="Q5480" s="33"/>
      <c r="R5480" s="33"/>
      <c r="S5480" s="33"/>
      <c r="T5480" s="33"/>
      <c r="U5480" s="33"/>
      <c r="V5480" s="33"/>
      <c r="W5480" s="33"/>
      <c r="X5480" s="33"/>
      <c r="Y5480" s="33"/>
      <c r="Z5480" s="33"/>
      <c r="AA5480" s="33"/>
      <c r="AB5480" s="33"/>
      <c r="AC5480" s="33"/>
      <c r="AD5480" s="33"/>
      <c r="AE5480" s="33"/>
      <c r="AF5480" s="33"/>
      <c r="AG5480" s="33"/>
      <c r="AH5480" s="33"/>
      <c r="AI5480" s="33"/>
      <c r="AJ5480" s="33"/>
      <c r="AK5480" s="33"/>
    </row>
    <row r="5481">
      <c r="A5481" s="33"/>
      <c r="B5481" s="33"/>
      <c r="C5481" s="33"/>
      <c r="D5481" s="33"/>
      <c r="E5481" s="33"/>
      <c r="F5481" s="33"/>
      <c r="G5481" s="33"/>
      <c r="H5481" s="33"/>
      <c r="I5481" s="33"/>
      <c r="J5481" s="33"/>
      <c r="K5481" s="33"/>
      <c r="L5481" s="33"/>
      <c r="M5481" s="33"/>
      <c r="N5481" s="33"/>
      <c r="O5481" s="33"/>
      <c r="P5481" s="33"/>
      <c r="Q5481" s="33"/>
      <c r="R5481" s="33"/>
      <c r="S5481" s="33"/>
      <c r="T5481" s="33"/>
      <c r="U5481" s="33"/>
      <c r="V5481" s="33"/>
      <c r="W5481" s="33"/>
      <c r="X5481" s="33"/>
      <c r="Y5481" s="33"/>
      <c r="Z5481" s="33"/>
      <c r="AA5481" s="33"/>
      <c r="AB5481" s="33"/>
      <c r="AC5481" s="33"/>
      <c r="AD5481" s="33"/>
      <c r="AE5481" s="33"/>
      <c r="AF5481" s="33"/>
      <c r="AG5481" s="33"/>
      <c r="AH5481" s="33"/>
      <c r="AI5481" s="33"/>
      <c r="AJ5481" s="33"/>
      <c r="AK5481" s="33"/>
    </row>
    <row r="5482">
      <c r="A5482" s="33"/>
      <c r="B5482" s="33"/>
      <c r="C5482" s="33"/>
      <c r="D5482" s="33"/>
      <c r="E5482" s="33"/>
      <c r="F5482" s="33"/>
      <c r="G5482" s="33"/>
      <c r="H5482" s="33"/>
      <c r="I5482" s="33"/>
      <c r="J5482" s="33"/>
      <c r="K5482" s="33"/>
      <c r="L5482" s="33"/>
      <c r="M5482" s="33"/>
      <c r="N5482" s="33"/>
      <c r="O5482" s="33"/>
      <c r="P5482" s="33"/>
      <c r="Q5482" s="33"/>
      <c r="R5482" s="33"/>
      <c r="S5482" s="33"/>
      <c r="T5482" s="33"/>
      <c r="U5482" s="33"/>
      <c r="V5482" s="33"/>
      <c r="W5482" s="33"/>
      <c r="X5482" s="33"/>
      <c r="Y5482" s="33"/>
      <c r="Z5482" s="33"/>
      <c r="AA5482" s="33"/>
      <c r="AB5482" s="33"/>
      <c r="AC5482" s="33"/>
      <c r="AD5482" s="33"/>
      <c r="AE5482" s="33"/>
      <c r="AF5482" s="33"/>
      <c r="AG5482" s="33"/>
      <c r="AH5482" s="33"/>
      <c r="AI5482" s="33"/>
      <c r="AJ5482" s="33"/>
      <c r="AK5482" s="33"/>
    </row>
    <row r="5483">
      <c r="A5483" s="33"/>
      <c r="B5483" s="33"/>
      <c r="C5483" s="33"/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  <c r="Q5483" s="33"/>
      <c r="R5483" s="33"/>
      <c r="S5483" s="33"/>
      <c r="T5483" s="33"/>
      <c r="U5483" s="33"/>
      <c r="V5483" s="33"/>
      <c r="W5483" s="33"/>
      <c r="X5483" s="33"/>
      <c r="Y5483" s="33"/>
      <c r="Z5483" s="33"/>
      <c r="AA5483" s="33"/>
      <c r="AB5483" s="33"/>
      <c r="AC5483" s="33"/>
      <c r="AD5483" s="33"/>
      <c r="AE5483" s="33"/>
      <c r="AF5483" s="33"/>
      <c r="AG5483" s="33"/>
      <c r="AH5483" s="33"/>
      <c r="AI5483" s="33"/>
      <c r="AJ5483" s="33"/>
      <c r="AK5483" s="33"/>
    </row>
    <row r="5484">
      <c r="A5484" s="33"/>
      <c r="B5484" s="33"/>
      <c r="C5484" s="33"/>
      <c r="D5484" s="33"/>
      <c r="E5484" s="33"/>
      <c r="F5484" s="33"/>
      <c r="G5484" s="33"/>
      <c r="H5484" s="33"/>
      <c r="I5484" s="33"/>
      <c r="J5484" s="33"/>
      <c r="K5484" s="33"/>
      <c r="L5484" s="33"/>
      <c r="M5484" s="33"/>
      <c r="N5484" s="33"/>
      <c r="O5484" s="33"/>
      <c r="P5484" s="33"/>
      <c r="Q5484" s="33"/>
      <c r="R5484" s="33"/>
      <c r="S5484" s="33"/>
      <c r="T5484" s="33"/>
      <c r="U5484" s="33"/>
      <c r="V5484" s="33"/>
      <c r="W5484" s="33"/>
      <c r="X5484" s="33"/>
      <c r="Y5484" s="33"/>
      <c r="Z5484" s="33"/>
      <c r="AA5484" s="33"/>
      <c r="AB5484" s="33"/>
      <c r="AC5484" s="33"/>
      <c r="AD5484" s="33"/>
      <c r="AE5484" s="33"/>
      <c r="AF5484" s="33"/>
      <c r="AG5484" s="33"/>
      <c r="AH5484" s="33"/>
      <c r="AI5484" s="33"/>
      <c r="AJ5484" s="33"/>
      <c r="AK5484" s="33"/>
    </row>
    <row r="5485">
      <c r="A5485" s="33"/>
      <c r="B5485" s="33"/>
      <c r="C5485" s="33"/>
      <c r="D5485" s="33"/>
      <c r="E5485" s="33"/>
      <c r="F5485" s="33"/>
      <c r="G5485" s="33"/>
      <c r="H5485" s="33"/>
      <c r="I5485" s="33"/>
      <c r="J5485" s="33"/>
      <c r="K5485" s="33"/>
      <c r="L5485" s="33"/>
      <c r="M5485" s="33"/>
      <c r="N5485" s="33"/>
      <c r="O5485" s="33"/>
      <c r="P5485" s="33"/>
      <c r="Q5485" s="33"/>
      <c r="R5485" s="33"/>
      <c r="S5485" s="33"/>
      <c r="T5485" s="33"/>
      <c r="U5485" s="33"/>
      <c r="V5485" s="33"/>
      <c r="W5485" s="33"/>
      <c r="X5485" s="33"/>
      <c r="Y5485" s="33"/>
      <c r="Z5485" s="33"/>
      <c r="AA5485" s="33"/>
      <c r="AB5485" s="33"/>
      <c r="AC5485" s="33"/>
      <c r="AD5485" s="33"/>
      <c r="AE5485" s="33"/>
      <c r="AF5485" s="33"/>
      <c r="AG5485" s="33"/>
      <c r="AH5485" s="33"/>
      <c r="AI5485" s="33"/>
      <c r="AJ5485" s="33"/>
      <c r="AK5485" s="33"/>
    </row>
    <row r="5486">
      <c r="A5486" s="33"/>
      <c r="B5486" s="33"/>
      <c r="C5486" s="33"/>
      <c r="D5486" s="33"/>
      <c r="E5486" s="33"/>
      <c r="F5486" s="33"/>
      <c r="G5486" s="33"/>
      <c r="H5486" s="33"/>
      <c r="I5486" s="33"/>
      <c r="J5486" s="33"/>
      <c r="K5486" s="33"/>
      <c r="L5486" s="33"/>
      <c r="M5486" s="33"/>
      <c r="N5486" s="33"/>
      <c r="O5486" s="33"/>
      <c r="P5486" s="33"/>
      <c r="Q5486" s="33"/>
      <c r="R5486" s="33"/>
      <c r="S5486" s="33"/>
      <c r="T5486" s="33"/>
      <c r="U5486" s="33"/>
      <c r="V5486" s="33"/>
      <c r="W5486" s="33"/>
      <c r="X5486" s="33"/>
      <c r="Y5486" s="33"/>
      <c r="Z5486" s="33"/>
      <c r="AA5486" s="33"/>
      <c r="AB5486" s="33"/>
      <c r="AC5486" s="33"/>
      <c r="AD5486" s="33"/>
      <c r="AE5486" s="33"/>
      <c r="AF5486" s="33"/>
      <c r="AG5486" s="33"/>
      <c r="AH5486" s="33"/>
      <c r="AI5486" s="33"/>
      <c r="AJ5486" s="33"/>
      <c r="AK5486" s="33"/>
    </row>
    <row r="5487">
      <c r="A5487" s="33"/>
      <c r="B5487" s="33"/>
      <c r="C5487" s="33"/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  <c r="Q5487" s="33"/>
      <c r="R5487" s="33"/>
      <c r="S5487" s="33"/>
      <c r="T5487" s="33"/>
      <c r="U5487" s="33"/>
      <c r="V5487" s="33"/>
      <c r="W5487" s="33"/>
      <c r="X5487" s="33"/>
      <c r="Y5487" s="33"/>
      <c r="Z5487" s="33"/>
      <c r="AA5487" s="33"/>
      <c r="AB5487" s="33"/>
      <c r="AC5487" s="33"/>
      <c r="AD5487" s="33"/>
      <c r="AE5487" s="33"/>
      <c r="AF5487" s="33"/>
      <c r="AG5487" s="33"/>
      <c r="AH5487" s="33"/>
      <c r="AI5487" s="33"/>
      <c r="AJ5487" s="33"/>
      <c r="AK5487" s="33"/>
    </row>
    <row r="5488">
      <c r="A5488" s="33"/>
      <c r="B5488" s="33"/>
      <c r="C5488" s="33"/>
      <c r="D5488" s="33"/>
      <c r="E5488" s="33"/>
      <c r="F5488" s="33"/>
      <c r="G5488" s="33"/>
      <c r="H5488" s="33"/>
      <c r="I5488" s="33"/>
      <c r="J5488" s="33"/>
      <c r="K5488" s="33"/>
      <c r="L5488" s="33"/>
      <c r="M5488" s="33"/>
      <c r="N5488" s="33"/>
      <c r="O5488" s="33"/>
      <c r="P5488" s="33"/>
      <c r="Q5488" s="33"/>
      <c r="R5488" s="33"/>
      <c r="S5488" s="33"/>
      <c r="T5488" s="33"/>
      <c r="U5488" s="33"/>
      <c r="V5488" s="33"/>
      <c r="W5488" s="33"/>
      <c r="X5488" s="33"/>
      <c r="Y5488" s="33"/>
      <c r="Z5488" s="33"/>
      <c r="AA5488" s="33"/>
      <c r="AB5488" s="33"/>
      <c r="AC5488" s="33"/>
      <c r="AD5488" s="33"/>
      <c r="AE5488" s="33"/>
      <c r="AF5488" s="33"/>
      <c r="AG5488" s="33"/>
      <c r="AH5488" s="33"/>
      <c r="AI5488" s="33"/>
      <c r="AJ5488" s="33"/>
      <c r="AK5488" s="33"/>
    </row>
    <row r="5489">
      <c r="A5489" s="33"/>
      <c r="B5489" s="33"/>
      <c r="C5489" s="33"/>
      <c r="D5489" s="33"/>
      <c r="E5489" s="33"/>
      <c r="F5489" s="33"/>
      <c r="G5489" s="33"/>
      <c r="H5489" s="33"/>
      <c r="I5489" s="33"/>
      <c r="J5489" s="33"/>
      <c r="K5489" s="33"/>
      <c r="L5489" s="33"/>
      <c r="M5489" s="33"/>
      <c r="N5489" s="33"/>
      <c r="O5489" s="33"/>
      <c r="P5489" s="33"/>
      <c r="Q5489" s="33"/>
      <c r="R5489" s="33"/>
      <c r="S5489" s="33"/>
      <c r="T5489" s="33"/>
      <c r="U5489" s="33"/>
      <c r="V5489" s="33"/>
      <c r="W5489" s="33"/>
      <c r="X5489" s="33"/>
      <c r="Y5489" s="33"/>
      <c r="Z5489" s="33"/>
      <c r="AA5489" s="33"/>
      <c r="AB5489" s="33"/>
      <c r="AC5489" s="33"/>
      <c r="AD5489" s="33"/>
      <c r="AE5489" s="33"/>
      <c r="AF5489" s="33"/>
      <c r="AG5489" s="33"/>
      <c r="AH5489" s="33"/>
      <c r="AI5489" s="33"/>
      <c r="AJ5489" s="33"/>
      <c r="AK5489" s="33"/>
    </row>
    <row r="5490">
      <c r="A5490" s="33"/>
      <c r="B5490" s="33"/>
      <c r="C5490" s="33"/>
      <c r="D5490" s="33"/>
      <c r="E5490" s="33"/>
      <c r="F5490" s="33"/>
      <c r="G5490" s="33"/>
      <c r="H5490" s="33"/>
      <c r="I5490" s="33"/>
      <c r="J5490" s="33"/>
      <c r="K5490" s="33"/>
      <c r="L5490" s="33"/>
      <c r="M5490" s="33"/>
      <c r="N5490" s="33"/>
      <c r="O5490" s="33"/>
      <c r="P5490" s="33"/>
      <c r="Q5490" s="33"/>
      <c r="R5490" s="33"/>
      <c r="S5490" s="33"/>
      <c r="T5490" s="33"/>
      <c r="U5490" s="33"/>
      <c r="V5490" s="33"/>
      <c r="W5490" s="33"/>
      <c r="X5490" s="33"/>
      <c r="Y5490" s="33"/>
      <c r="Z5490" s="33"/>
      <c r="AA5490" s="33"/>
      <c r="AB5490" s="33"/>
      <c r="AC5490" s="33"/>
      <c r="AD5490" s="33"/>
      <c r="AE5490" s="33"/>
      <c r="AF5490" s="33"/>
      <c r="AG5490" s="33"/>
      <c r="AH5490" s="33"/>
      <c r="AI5490" s="33"/>
      <c r="AJ5490" s="33"/>
      <c r="AK5490" s="33"/>
    </row>
    <row r="5491">
      <c r="A5491" s="33"/>
      <c r="B5491" s="33"/>
      <c r="C5491" s="33"/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  <c r="Q5491" s="33"/>
      <c r="R5491" s="33"/>
      <c r="S5491" s="33"/>
      <c r="T5491" s="33"/>
      <c r="U5491" s="33"/>
      <c r="V5491" s="33"/>
      <c r="W5491" s="33"/>
      <c r="X5491" s="33"/>
      <c r="Y5491" s="33"/>
      <c r="Z5491" s="33"/>
      <c r="AA5491" s="33"/>
      <c r="AB5491" s="33"/>
      <c r="AC5491" s="33"/>
      <c r="AD5491" s="33"/>
      <c r="AE5491" s="33"/>
      <c r="AF5491" s="33"/>
      <c r="AG5491" s="33"/>
      <c r="AH5491" s="33"/>
      <c r="AI5491" s="33"/>
      <c r="AJ5491" s="33"/>
      <c r="AK5491" s="33"/>
    </row>
    <row r="5492">
      <c r="A5492" s="33"/>
      <c r="B5492" s="33"/>
      <c r="C5492" s="33"/>
      <c r="D5492" s="33"/>
      <c r="E5492" s="33"/>
      <c r="F5492" s="33"/>
      <c r="G5492" s="33"/>
      <c r="H5492" s="33"/>
      <c r="I5492" s="33"/>
      <c r="J5492" s="33"/>
      <c r="K5492" s="33"/>
      <c r="L5492" s="33"/>
      <c r="M5492" s="33"/>
      <c r="N5492" s="33"/>
      <c r="O5492" s="33"/>
      <c r="P5492" s="33"/>
      <c r="Q5492" s="33"/>
      <c r="R5492" s="33"/>
      <c r="S5492" s="33"/>
      <c r="T5492" s="33"/>
      <c r="U5492" s="33"/>
      <c r="V5492" s="33"/>
      <c r="W5492" s="33"/>
      <c r="X5492" s="33"/>
      <c r="Y5492" s="33"/>
      <c r="Z5492" s="33"/>
      <c r="AA5492" s="33"/>
      <c r="AB5492" s="33"/>
      <c r="AC5492" s="33"/>
      <c r="AD5492" s="33"/>
      <c r="AE5492" s="33"/>
      <c r="AF5492" s="33"/>
      <c r="AG5492" s="33"/>
      <c r="AH5492" s="33"/>
      <c r="AI5492" s="33"/>
      <c r="AJ5492" s="33"/>
      <c r="AK5492" s="33"/>
    </row>
    <row r="5493">
      <c r="A5493" s="33"/>
      <c r="B5493" s="33"/>
      <c r="C5493" s="33"/>
      <c r="D5493" s="33"/>
      <c r="E5493" s="33"/>
      <c r="F5493" s="33"/>
      <c r="G5493" s="33"/>
      <c r="H5493" s="33"/>
      <c r="I5493" s="33"/>
      <c r="J5493" s="33"/>
      <c r="K5493" s="33"/>
      <c r="L5493" s="33"/>
      <c r="M5493" s="33"/>
      <c r="N5493" s="33"/>
      <c r="O5493" s="33"/>
      <c r="P5493" s="33"/>
      <c r="Q5493" s="33"/>
      <c r="R5493" s="33"/>
      <c r="S5493" s="33"/>
      <c r="T5493" s="33"/>
      <c r="U5493" s="33"/>
      <c r="V5493" s="33"/>
      <c r="W5493" s="33"/>
      <c r="X5493" s="33"/>
      <c r="Y5493" s="33"/>
      <c r="Z5493" s="33"/>
      <c r="AA5493" s="33"/>
      <c r="AB5493" s="33"/>
      <c r="AC5493" s="33"/>
      <c r="AD5493" s="33"/>
      <c r="AE5493" s="33"/>
      <c r="AF5493" s="33"/>
      <c r="AG5493" s="33"/>
      <c r="AH5493" s="33"/>
      <c r="AI5493" s="33"/>
      <c r="AJ5493" s="33"/>
      <c r="AK5493" s="33"/>
    </row>
    <row r="5494">
      <c r="A5494" s="33"/>
      <c r="B5494" s="33"/>
      <c r="C5494" s="33"/>
      <c r="D5494" s="33"/>
      <c r="E5494" s="33"/>
      <c r="F5494" s="33"/>
      <c r="G5494" s="33"/>
      <c r="H5494" s="33"/>
      <c r="I5494" s="33"/>
      <c r="J5494" s="33"/>
      <c r="K5494" s="33"/>
      <c r="L5494" s="33"/>
      <c r="M5494" s="33"/>
      <c r="N5494" s="33"/>
      <c r="O5494" s="33"/>
      <c r="P5494" s="33"/>
      <c r="Q5494" s="33"/>
      <c r="R5494" s="33"/>
      <c r="S5494" s="33"/>
      <c r="T5494" s="33"/>
      <c r="U5494" s="33"/>
      <c r="V5494" s="33"/>
      <c r="W5494" s="33"/>
      <c r="X5494" s="33"/>
      <c r="Y5494" s="33"/>
      <c r="Z5494" s="33"/>
      <c r="AA5494" s="33"/>
      <c r="AB5494" s="33"/>
      <c r="AC5494" s="33"/>
      <c r="AD5494" s="33"/>
      <c r="AE5494" s="33"/>
      <c r="AF5494" s="33"/>
      <c r="AG5494" s="33"/>
      <c r="AH5494" s="33"/>
      <c r="AI5494" s="33"/>
      <c r="AJ5494" s="33"/>
      <c r="AK5494" s="33"/>
    </row>
    <row r="5495">
      <c r="A5495" s="33"/>
      <c r="B5495" s="33"/>
      <c r="C5495" s="33"/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  <c r="Q5495" s="33"/>
      <c r="R5495" s="33"/>
      <c r="S5495" s="33"/>
      <c r="T5495" s="33"/>
      <c r="U5495" s="33"/>
      <c r="V5495" s="33"/>
      <c r="W5495" s="33"/>
      <c r="X5495" s="33"/>
      <c r="Y5495" s="33"/>
      <c r="Z5495" s="33"/>
      <c r="AA5495" s="33"/>
      <c r="AB5495" s="33"/>
      <c r="AC5495" s="33"/>
      <c r="AD5495" s="33"/>
      <c r="AE5495" s="33"/>
      <c r="AF5495" s="33"/>
      <c r="AG5495" s="33"/>
      <c r="AH5495" s="33"/>
      <c r="AI5495" s="33"/>
      <c r="AJ5495" s="33"/>
      <c r="AK5495" s="33"/>
    </row>
    <row r="5496">
      <c r="A5496" s="33"/>
      <c r="B5496" s="33"/>
      <c r="C5496" s="33"/>
      <c r="D5496" s="33"/>
      <c r="E5496" s="33"/>
      <c r="F5496" s="33"/>
      <c r="G5496" s="33"/>
      <c r="H5496" s="33"/>
      <c r="I5496" s="33"/>
      <c r="J5496" s="33"/>
      <c r="K5496" s="33"/>
      <c r="L5496" s="33"/>
      <c r="M5496" s="33"/>
      <c r="N5496" s="33"/>
      <c r="O5496" s="33"/>
      <c r="P5496" s="33"/>
      <c r="Q5496" s="33"/>
      <c r="R5496" s="33"/>
      <c r="S5496" s="33"/>
      <c r="T5496" s="33"/>
      <c r="U5496" s="33"/>
      <c r="V5496" s="33"/>
      <c r="W5496" s="33"/>
      <c r="X5496" s="33"/>
      <c r="Y5496" s="33"/>
      <c r="Z5496" s="33"/>
      <c r="AA5496" s="33"/>
      <c r="AB5496" s="33"/>
      <c r="AC5496" s="33"/>
      <c r="AD5496" s="33"/>
      <c r="AE5496" s="33"/>
      <c r="AF5496" s="33"/>
      <c r="AG5496" s="33"/>
      <c r="AH5496" s="33"/>
      <c r="AI5496" s="33"/>
      <c r="AJ5496" s="33"/>
      <c r="AK5496" s="33"/>
    </row>
    <row r="5497">
      <c r="A5497" s="33"/>
      <c r="B5497" s="33"/>
      <c r="C5497" s="33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33"/>
      <c r="Q5497" s="33"/>
      <c r="R5497" s="33"/>
      <c r="S5497" s="33"/>
      <c r="T5497" s="33"/>
      <c r="U5497" s="33"/>
      <c r="V5497" s="33"/>
      <c r="W5497" s="33"/>
      <c r="X5497" s="33"/>
      <c r="Y5497" s="33"/>
      <c r="Z5497" s="33"/>
      <c r="AA5497" s="33"/>
      <c r="AB5497" s="33"/>
      <c r="AC5497" s="33"/>
      <c r="AD5497" s="33"/>
      <c r="AE5497" s="33"/>
      <c r="AF5497" s="33"/>
      <c r="AG5497" s="33"/>
      <c r="AH5497" s="33"/>
      <c r="AI5497" s="33"/>
      <c r="AJ5497" s="33"/>
      <c r="AK5497" s="33"/>
    </row>
    <row r="5498">
      <c r="A5498" s="33"/>
      <c r="B5498" s="33"/>
      <c r="C5498" s="33"/>
      <c r="D5498" s="33"/>
      <c r="E5498" s="33"/>
      <c r="F5498" s="33"/>
      <c r="G5498" s="33"/>
      <c r="H5498" s="33"/>
      <c r="I5498" s="33"/>
      <c r="J5498" s="33"/>
      <c r="K5498" s="33"/>
      <c r="L5498" s="33"/>
      <c r="M5498" s="33"/>
      <c r="N5498" s="33"/>
      <c r="O5498" s="33"/>
      <c r="P5498" s="33"/>
      <c r="Q5498" s="33"/>
      <c r="R5498" s="33"/>
      <c r="S5498" s="33"/>
      <c r="T5498" s="33"/>
      <c r="U5498" s="33"/>
      <c r="V5498" s="33"/>
      <c r="W5498" s="33"/>
      <c r="X5498" s="33"/>
      <c r="Y5498" s="33"/>
      <c r="Z5498" s="33"/>
      <c r="AA5498" s="33"/>
      <c r="AB5498" s="33"/>
      <c r="AC5498" s="33"/>
      <c r="AD5498" s="33"/>
      <c r="AE5498" s="33"/>
      <c r="AF5498" s="33"/>
      <c r="AG5498" s="33"/>
      <c r="AH5498" s="33"/>
      <c r="AI5498" s="33"/>
      <c r="AJ5498" s="33"/>
      <c r="AK5498" s="33"/>
    </row>
    <row r="5499">
      <c r="A5499" s="33"/>
      <c r="B5499" s="33"/>
      <c r="C5499" s="33"/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  <c r="Q5499" s="33"/>
      <c r="R5499" s="33"/>
      <c r="S5499" s="33"/>
      <c r="T5499" s="33"/>
      <c r="U5499" s="33"/>
      <c r="V5499" s="33"/>
      <c r="W5499" s="33"/>
      <c r="X5499" s="33"/>
      <c r="Y5499" s="33"/>
      <c r="Z5499" s="33"/>
      <c r="AA5499" s="33"/>
      <c r="AB5499" s="33"/>
      <c r="AC5499" s="33"/>
      <c r="AD5499" s="33"/>
      <c r="AE5499" s="33"/>
      <c r="AF5499" s="33"/>
      <c r="AG5499" s="33"/>
      <c r="AH5499" s="33"/>
      <c r="AI5499" s="33"/>
      <c r="AJ5499" s="33"/>
      <c r="AK5499" s="33"/>
    </row>
    <row r="5500">
      <c r="A5500" s="33"/>
      <c r="B5500" s="33"/>
      <c r="C5500" s="33"/>
      <c r="D5500" s="33"/>
      <c r="E5500" s="33"/>
      <c r="F5500" s="33"/>
      <c r="G5500" s="33"/>
      <c r="H5500" s="33"/>
      <c r="I5500" s="33"/>
      <c r="J5500" s="33"/>
      <c r="K5500" s="33"/>
      <c r="L5500" s="33"/>
      <c r="M5500" s="33"/>
      <c r="N5500" s="33"/>
      <c r="O5500" s="33"/>
      <c r="P5500" s="33"/>
      <c r="Q5500" s="33"/>
      <c r="R5500" s="33"/>
      <c r="S5500" s="33"/>
      <c r="T5500" s="33"/>
      <c r="U5500" s="33"/>
      <c r="V5500" s="33"/>
      <c r="W5500" s="33"/>
      <c r="X5500" s="33"/>
      <c r="Y5500" s="33"/>
      <c r="Z5500" s="33"/>
      <c r="AA5500" s="33"/>
      <c r="AB5500" s="33"/>
      <c r="AC5500" s="33"/>
      <c r="AD5500" s="33"/>
      <c r="AE5500" s="33"/>
      <c r="AF5500" s="33"/>
      <c r="AG5500" s="33"/>
      <c r="AH5500" s="33"/>
      <c r="AI5500" s="33"/>
      <c r="AJ5500" s="33"/>
      <c r="AK5500" s="33"/>
    </row>
    <row r="5501">
      <c r="A5501" s="33"/>
      <c r="B5501" s="33"/>
      <c r="C5501" s="33"/>
      <c r="D5501" s="33"/>
      <c r="E5501" s="33"/>
      <c r="F5501" s="33"/>
      <c r="G5501" s="33"/>
      <c r="H5501" s="33"/>
      <c r="I5501" s="33"/>
      <c r="J5501" s="33"/>
      <c r="K5501" s="33"/>
      <c r="L5501" s="33"/>
      <c r="M5501" s="33"/>
      <c r="N5501" s="33"/>
      <c r="O5501" s="33"/>
      <c r="P5501" s="33"/>
      <c r="Q5501" s="33"/>
      <c r="R5501" s="33"/>
      <c r="S5501" s="33"/>
      <c r="T5501" s="33"/>
      <c r="U5501" s="33"/>
      <c r="V5501" s="33"/>
      <c r="W5501" s="33"/>
      <c r="X5501" s="33"/>
      <c r="Y5501" s="33"/>
      <c r="Z5501" s="33"/>
      <c r="AA5501" s="33"/>
      <c r="AB5501" s="33"/>
      <c r="AC5501" s="33"/>
      <c r="AD5501" s="33"/>
      <c r="AE5501" s="33"/>
      <c r="AF5501" s="33"/>
      <c r="AG5501" s="33"/>
      <c r="AH5501" s="33"/>
      <c r="AI5501" s="33"/>
      <c r="AJ5501" s="33"/>
      <c r="AK5501" s="33"/>
    </row>
    <row r="5502">
      <c r="A5502" s="33"/>
      <c r="B5502" s="33"/>
      <c r="C5502" s="33"/>
      <c r="D5502" s="33"/>
      <c r="E5502" s="33"/>
      <c r="F5502" s="33"/>
      <c r="G5502" s="33"/>
      <c r="H5502" s="33"/>
      <c r="I5502" s="33"/>
      <c r="J5502" s="33"/>
      <c r="K5502" s="33"/>
      <c r="L5502" s="33"/>
      <c r="M5502" s="33"/>
      <c r="N5502" s="33"/>
      <c r="O5502" s="33"/>
      <c r="P5502" s="33"/>
      <c r="Q5502" s="33"/>
      <c r="R5502" s="33"/>
      <c r="S5502" s="33"/>
      <c r="T5502" s="33"/>
      <c r="U5502" s="33"/>
      <c r="V5502" s="33"/>
      <c r="W5502" s="33"/>
      <c r="X5502" s="33"/>
      <c r="Y5502" s="33"/>
      <c r="Z5502" s="33"/>
      <c r="AA5502" s="33"/>
      <c r="AB5502" s="33"/>
      <c r="AC5502" s="33"/>
      <c r="AD5502" s="33"/>
      <c r="AE5502" s="33"/>
      <c r="AF5502" s="33"/>
      <c r="AG5502" s="33"/>
      <c r="AH5502" s="33"/>
      <c r="AI5502" s="33"/>
      <c r="AJ5502" s="33"/>
      <c r="AK5502" s="33"/>
    </row>
    <row r="5503">
      <c r="A5503" s="33"/>
      <c r="B5503" s="33"/>
      <c r="C5503" s="33"/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  <c r="Q5503" s="33"/>
      <c r="R5503" s="33"/>
      <c r="S5503" s="33"/>
      <c r="T5503" s="33"/>
      <c r="U5503" s="33"/>
      <c r="V5503" s="33"/>
      <c r="W5503" s="33"/>
      <c r="X5503" s="33"/>
      <c r="Y5503" s="33"/>
      <c r="Z5503" s="33"/>
      <c r="AA5503" s="33"/>
      <c r="AB5503" s="33"/>
      <c r="AC5503" s="33"/>
      <c r="AD5503" s="33"/>
      <c r="AE5503" s="33"/>
      <c r="AF5503" s="33"/>
      <c r="AG5503" s="33"/>
      <c r="AH5503" s="33"/>
      <c r="AI5503" s="33"/>
      <c r="AJ5503" s="33"/>
      <c r="AK5503" s="33"/>
    </row>
    <row r="5504">
      <c r="A5504" s="33"/>
      <c r="B5504" s="33"/>
      <c r="C5504" s="33"/>
      <c r="D5504" s="33"/>
      <c r="E5504" s="33"/>
      <c r="F5504" s="33"/>
      <c r="G5504" s="33"/>
      <c r="H5504" s="33"/>
      <c r="I5504" s="33"/>
      <c r="J5504" s="33"/>
      <c r="K5504" s="33"/>
      <c r="L5504" s="33"/>
      <c r="M5504" s="33"/>
      <c r="N5504" s="33"/>
      <c r="O5504" s="33"/>
      <c r="P5504" s="33"/>
      <c r="Q5504" s="33"/>
      <c r="R5504" s="33"/>
      <c r="S5504" s="33"/>
      <c r="T5504" s="33"/>
      <c r="U5504" s="33"/>
      <c r="V5504" s="33"/>
      <c r="W5504" s="33"/>
      <c r="X5504" s="33"/>
      <c r="Y5504" s="33"/>
      <c r="Z5504" s="33"/>
      <c r="AA5504" s="33"/>
      <c r="AB5504" s="33"/>
      <c r="AC5504" s="33"/>
      <c r="AD5504" s="33"/>
      <c r="AE5504" s="33"/>
      <c r="AF5504" s="33"/>
      <c r="AG5504" s="33"/>
      <c r="AH5504" s="33"/>
      <c r="AI5504" s="33"/>
      <c r="AJ5504" s="33"/>
      <c r="AK5504" s="33"/>
    </row>
    <row r="5505">
      <c r="A5505" s="33"/>
      <c r="B5505" s="33"/>
      <c r="C5505" s="33"/>
      <c r="D5505" s="33"/>
      <c r="E5505" s="33"/>
      <c r="F5505" s="33"/>
      <c r="G5505" s="33"/>
      <c r="H5505" s="33"/>
      <c r="I5505" s="33"/>
      <c r="J5505" s="33"/>
      <c r="K5505" s="33"/>
      <c r="L5505" s="33"/>
      <c r="M5505" s="33"/>
      <c r="N5505" s="33"/>
      <c r="O5505" s="33"/>
      <c r="P5505" s="33"/>
      <c r="Q5505" s="33"/>
      <c r="R5505" s="33"/>
      <c r="S5505" s="33"/>
      <c r="T5505" s="33"/>
      <c r="U5505" s="33"/>
      <c r="V5505" s="33"/>
      <c r="W5505" s="33"/>
      <c r="X5505" s="33"/>
      <c r="Y5505" s="33"/>
      <c r="Z5505" s="33"/>
      <c r="AA5505" s="33"/>
      <c r="AB5505" s="33"/>
      <c r="AC5505" s="33"/>
      <c r="AD5505" s="33"/>
      <c r="AE5505" s="33"/>
      <c r="AF5505" s="33"/>
      <c r="AG5505" s="33"/>
      <c r="AH5505" s="33"/>
      <c r="AI5505" s="33"/>
      <c r="AJ5505" s="33"/>
      <c r="AK5505" s="33"/>
    </row>
    <row r="5506">
      <c r="A5506" s="33"/>
      <c r="B5506" s="33"/>
      <c r="C5506" s="33"/>
      <c r="D5506" s="33"/>
      <c r="E5506" s="33"/>
      <c r="F5506" s="33"/>
      <c r="G5506" s="33"/>
      <c r="H5506" s="33"/>
      <c r="I5506" s="33"/>
      <c r="J5506" s="33"/>
      <c r="K5506" s="33"/>
      <c r="L5506" s="33"/>
      <c r="M5506" s="33"/>
      <c r="N5506" s="33"/>
      <c r="O5506" s="33"/>
      <c r="P5506" s="33"/>
      <c r="Q5506" s="33"/>
      <c r="R5506" s="33"/>
      <c r="S5506" s="33"/>
      <c r="T5506" s="33"/>
      <c r="U5506" s="33"/>
      <c r="V5506" s="33"/>
      <c r="W5506" s="33"/>
      <c r="X5506" s="33"/>
      <c r="Y5506" s="33"/>
      <c r="Z5506" s="33"/>
      <c r="AA5506" s="33"/>
      <c r="AB5506" s="33"/>
      <c r="AC5506" s="33"/>
      <c r="AD5506" s="33"/>
      <c r="AE5506" s="33"/>
      <c r="AF5506" s="33"/>
      <c r="AG5506" s="33"/>
      <c r="AH5506" s="33"/>
      <c r="AI5506" s="33"/>
      <c r="AJ5506" s="33"/>
      <c r="AK5506" s="33"/>
    </row>
    <row r="5507">
      <c r="A5507" s="33"/>
      <c r="B5507" s="33"/>
      <c r="C5507" s="33"/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  <c r="Q5507" s="33"/>
      <c r="R5507" s="33"/>
      <c r="S5507" s="33"/>
      <c r="T5507" s="33"/>
      <c r="U5507" s="33"/>
      <c r="V5507" s="33"/>
      <c r="W5507" s="33"/>
      <c r="X5507" s="33"/>
      <c r="Y5507" s="33"/>
      <c r="Z5507" s="33"/>
      <c r="AA5507" s="33"/>
      <c r="AB5507" s="33"/>
      <c r="AC5507" s="33"/>
      <c r="AD5507" s="33"/>
      <c r="AE5507" s="33"/>
      <c r="AF5507" s="33"/>
      <c r="AG5507" s="33"/>
      <c r="AH5507" s="33"/>
      <c r="AI5507" s="33"/>
      <c r="AJ5507" s="33"/>
      <c r="AK5507" s="33"/>
    </row>
    <row r="5508">
      <c r="A5508" s="33"/>
      <c r="B5508" s="33"/>
      <c r="C5508" s="33"/>
      <c r="D5508" s="33"/>
      <c r="E5508" s="33"/>
      <c r="F5508" s="33"/>
      <c r="G5508" s="33"/>
      <c r="H5508" s="33"/>
      <c r="I5508" s="33"/>
      <c r="J5508" s="33"/>
      <c r="K5508" s="33"/>
      <c r="L5508" s="33"/>
      <c r="M5508" s="33"/>
      <c r="N5508" s="33"/>
      <c r="O5508" s="33"/>
      <c r="P5508" s="33"/>
      <c r="Q5508" s="33"/>
      <c r="R5508" s="33"/>
      <c r="S5508" s="33"/>
      <c r="T5508" s="33"/>
      <c r="U5508" s="33"/>
      <c r="V5508" s="33"/>
      <c r="W5508" s="33"/>
      <c r="X5508" s="33"/>
      <c r="Y5508" s="33"/>
      <c r="Z5508" s="33"/>
      <c r="AA5508" s="33"/>
      <c r="AB5508" s="33"/>
      <c r="AC5508" s="33"/>
      <c r="AD5508" s="33"/>
      <c r="AE5508" s="33"/>
      <c r="AF5508" s="33"/>
      <c r="AG5508" s="33"/>
      <c r="AH5508" s="33"/>
      <c r="AI5508" s="33"/>
      <c r="AJ5508" s="33"/>
      <c r="AK5508" s="33"/>
    </row>
    <row r="5509">
      <c r="A5509" s="33"/>
      <c r="B5509" s="33"/>
      <c r="C5509" s="33"/>
      <c r="D5509" s="33"/>
      <c r="E5509" s="33"/>
      <c r="F5509" s="33"/>
      <c r="G5509" s="33"/>
      <c r="H5509" s="33"/>
      <c r="I5509" s="33"/>
      <c r="J5509" s="33"/>
      <c r="K5509" s="33"/>
      <c r="L5509" s="33"/>
      <c r="M5509" s="33"/>
      <c r="N5509" s="33"/>
      <c r="O5509" s="33"/>
      <c r="P5509" s="33"/>
      <c r="Q5509" s="33"/>
      <c r="R5509" s="33"/>
      <c r="S5509" s="33"/>
      <c r="T5509" s="33"/>
      <c r="U5509" s="33"/>
      <c r="V5509" s="33"/>
      <c r="W5509" s="33"/>
      <c r="X5509" s="33"/>
      <c r="Y5509" s="33"/>
      <c r="Z5509" s="33"/>
      <c r="AA5509" s="33"/>
      <c r="AB5509" s="33"/>
      <c r="AC5509" s="33"/>
      <c r="AD5509" s="33"/>
      <c r="AE5509" s="33"/>
      <c r="AF5509" s="33"/>
      <c r="AG5509" s="33"/>
      <c r="AH5509" s="33"/>
      <c r="AI5509" s="33"/>
      <c r="AJ5509" s="33"/>
      <c r="AK5509" s="33"/>
    </row>
    <row r="5510">
      <c r="A5510" s="33"/>
      <c r="B5510" s="33"/>
      <c r="C5510" s="33"/>
      <c r="D5510" s="33"/>
      <c r="E5510" s="33"/>
      <c r="F5510" s="33"/>
      <c r="G5510" s="33"/>
      <c r="H5510" s="33"/>
      <c r="I5510" s="33"/>
      <c r="J5510" s="33"/>
      <c r="K5510" s="33"/>
      <c r="L5510" s="33"/>
      <c r="M5510" s="33"/>
      <c r="N5510" s="33"/>
      <c r="O5510" s="33"/>
      <c r="P5510" s="33"/>
      <c r="Q5510" s="33"/>
      <c r="R5510" s="33"/>
      <c r="S5510" s="33"/>
      <c r="T5510" s="33"/>
      <c r="U5510" s="33"/>
      <c r="V5510" s="33"/>
      <c r="W5510" s="33"/>
      <c r="X5510" s="33"/>
      <c r="Y5510" s="33"/>
      <c r="Z5510" s="33"/>
      <c r="AA5510" s="33"/>
      <c r="AB5510" s="33"/>
      <c r="AC5510" s="33"/>
      <c r="AD5510" s="33"/>
      <c r="AE5510" s="33"/>
      <c r="AF5510" s="33"/>
      <c r="AG5510" s="33"/>
      <c r="AH5510" s="33"/>
      <c r="AI5510" s="33"/>
      <c r="AJ5510" s="33"/>
      <c r="AK5510" s="33"/>
    </row>
    <row r="5511">
      <c r="A5511" s="33"/>
      <c r="B5511" s="33"/>
      <c r="C5511" s="33"/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  <c r="Q5511" s="33"/>
      <c r="R5511" s="33"/>
      <c r="S5511" s="33"/>
      <c r="T5511" s="33"/>
      <c r="U5511" s="33"/>
      <c r="V5511" s="33"/>
      <c r="W5511" s="33"/>
      <c r="X5511" s="33"/>
      <c r="Y5511" s="33"/>
      <c r="Z5511" s="33"/>
      <c r="AA5511" s="33"/>
      <c r="AB5511" s="33"/>
      <c r="AC5511" s="33"/>
      <c r="AD5511" s="33"/>
      <c r="AE5511" s="33"/>
      <c r="AF5511" s="33"/>
      <c r="AG5511" s="33"/>
      <c r="AH5511" s="33"/>
      <c r="AI5511" s="33"/>
      <c r="AJ5511" s="33"/>
      <c r="AK5511" s="33"/>
    </row>
    <row r="5512">
      <c r="A5512" s="33"/>
      <c r="B5512" s="33"/>
      <c r="C5512" s="33"/>
      <c r="D5512" s="33"/>
      <c r="E5512" s="33"/>
      <c r="F5512" s="33"/>
      <c r="G5512" s="33"/>
      <c r="H5512" s="33"/>
      <c r="I5512" s="33"/>
      <c r="J5512" s="33"/>
      <c r="K5512" s="33"/>
      <c r="L5512" s="33"/>
      <c r="M5512" s="33"/>
      <c r="N5512" s="33"/>
      <c r="O5512" s="33"/>
      <c r="P5512" s="33"/>
      <c r="Q5512" s="33"/>
      <c r="R5512" s="33"/>
      <c r="S5512" s="33"/>
      <c r="T5512" s="33"/>
      <c r="U5512" s="33"/>
      <c r="V5512" s="33"/>
      <c r="W5512" s="33"/>
      <c r="X5512" s="33"/>
      <c r="Y5512" s="33"/>
      <c r="Z5512" s="33"/>
      <c r="AA5512" s="33"/>
      <c r="AB5512" s="33"/>
      <c r="AC5512" s="33"/>
      <c r="AD5512" s="33"/>
      <c r="AE5512" s="33"/>
      <c r="AF5512" s="33"/>
      <c r="AG5512" s="33"/>
      <c r="AH5512" s="33"/>
      <c r="AI5512" s="33"/>
      <c r="AJ5512" s="33"/>
      <c r="AK5512" s="33"/>
    </row>
    <row r="5513">
      <c r="A5513" s="33"/>
      <c r="B5513" s="33"/>
      <c r="C5513" s="33"/>
      <c r="D5513" s="33"/>
      <c r="E5513" s="33"/>
      <c r="F5513" s="33"/>
      <c r="G5513" s="33"/>
      <c r="H5513" s="33"/>
      <c r="I5513" s="33"/>
      <c r="J5513" s="33"/>
      <c r="K5513" s="33"/>
      <c r="L5513" s="33"/>
      <c r="M5513" s="33"/>
      <c r="N5513" s="33"/>
      <c r="O5513" s="33"/>
      <c r="P5513" s="33"/>
      <c r="Q5513" s="33"/>
      <c r="R5513" s="33"/>
      <c r="S5513" s="33"/>
      <c r="T5513" s="33"/>
      <c r="U5513" s="33"/>
      <c r="V5513" s="33"/>
      <c r="W5513" s="33"/>
      <c r="X5513" s="33"/>
      <c r="Y5513" s="33"/>
      <c r="Z5513" s="33"/>
      <c r="AA5513" s="33"/>
      <c r="AB5513" s="33"/>
      <c r="AC5513" s="33"/>
      <c r="AD5513" s="33"/>
      <c r="AE5513" s="33"/>
      <c r="AF5513" s="33"/>
      <c r="AG5513" s="33"/>
      <c r="AH5513" s="33"/>
      <c r="AI5513" s="33"/>
      <c r="AJ5513" s="33"/>
      <c r="AK5513" s="33"/>
    </row>
    <row r="5514">
      <c r="A5514" s="33"/>
      <c r="B5514" s="33"/>
      <c r="C5514" s="33"/>
      <c r="D5514" s="33"/>
      <c r="E5514" s="33"/>
      <c r="F5514" s="33"/>
      <c r="G5514" s="33"/>
      <c r="H5514" s="33"/>
      <c r="I5514" s="33"/>
      <c r="J5514" s="33"/>
      <c r="K5514" s="33"/>
      <c r="L5514" s="33"/>
      <c r="M5514" s="33"/>
      <c r="N5514" s="33"/>
      <c r="O5514" s="33"/>
      <c r="P5514" s="33"/>
      <c r="Q5514" s="33"/>
      <c r="R5514" s="33"/>
      <c r="S5514" s="33"/>
      <c r="T5514" s="33"/>
      <c r="U5514" s="33"/>
      <c r="V5514" s="33"/>
      <c r="W5514" s="33"/>
      <c r="X5514" s="33"/>
      <c r="Y5514" s="33"/>
      <c r="Z5514" s="33"/>
      <c r="AA5514" s="33"/>
      <c r="AB5514" s="33"/>
      <c r="AC5514" s="33"/>
      <c r="AD5514" s="33"/>
      <c r="AE5514" s="33"/>
      <c r="AF5514" s="33"/>
      <c r="AG5514" s="33"/>
      <c r="AH5514" s="33"/>
      <c r="AI5514" s="33"/>
      <c r="AJ5514" s="33"/>
      <c r="AK5514" s="33"/>
    </row>
    <row r="5515">
      <c r="A5515" s="33"/>
      <c r="B5515" s="33"/>
      <c r="C5515" s="33"/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  <c r="Q5515" s="33"/>
      <c r="R5515" s="33"/>
      <c r="S5515" s="33"/>
      <c r="T5515" s="33"/>
      <c r="U5515" s="33"/>
      <c r="V5515" s="33"/>
      <c r="W5515" s="33"/>
      <c r="X5515" s="33"/>
      <c r="Y5515" s="33"/>
      <c r="Z5515" s="33"/>
      <c r="AA5515" s="33"/>
      <c r="AB5515" s="33"/>
      <c r="AC5515" s="33"/>
      <c r="AD5515" s="33"/>
      <c r="AE5515" s="33"/>
      <c r="AF5515" s="33"/>
      <c r="AG5515" s="33"/>
      <c r="AH5515" s="33"/>
      <c r="AI5515" s="33"/>
      <c r="AJ5515" s="33"/>
      <c r="AK5515" s="33"/>
    </row>
    <row r="5516">
      <c r="A5516" s="33"/>
      <c r="B5516" s="33"/>
      <c r="C5516" s="33"/>
      <c r="D5516" s="33"/>
      <c r="E5516" s="33"/>
      <c r="F5516" s="33"/>
      <c r="G5516" s="33"/>
      <c r="H5516" s="33"/>
      <c r="I5516" s="33"/>
      <c r="J5516" s="33"/>
      <c r="K5516" s="33"/>
      <c r="L5516" s="33"/>
      <c r="M5516" s="33"/>
      <c r="N5516" s="33"/>
      <c r="O5516" s="33"/>
      <c r="P5516" s="33"/>
      <c r="Q5516" s="33"/>
      <c r="R5516" s="33"/>
      <c r="S5516" s="33"/>
      <c r="T5516" s="33"/>
      <c r="U5516" s="33"/>
      <c r="V5516" s="33"/>
      <c r="W5516" s="33"/>
      <c r="X5516" s="33"/>
      <c r="Y5516" s="33"/>
      <c r="Z5516" s="33"/>
      <c r="AA5516" s="33"/>
      <c r="AB5516" s="33"/>
      <c r="AC5516" s="33"/>
      <c r="AD5516" s="33"/>
      <c r="AE5516" s="33"/>
      <c r="AF5516" s="33"/>
      <c r="AG5516" s="33"/>
      <c r="AH5516" s="33"/>
      <c r="AI5516" s="33"/>
      <c r="AJ5516" s="33"/>
      <c r="AK5516" s="33"/>
    </row>
    <row r="5517">
      <c r="A5517" s="33"/>
      <c r="B5517" s="33"/>
      <c r="C5517" s="33"/>
      <c r="D5517" s="33"/>
      <c r="E5517" s="33"/>
      <c r="F5517" s="33"/>
      <c r="G5517" s="33"/>
      <c r="H5517" s="33"/>
      <c r="I5517" s="33"/>
      <c r="J5517" s="33"/>
      <c r="K5517" s="33"/>
      <c r="L5517" s="33"/>
      <c r="M5517" s="33"/>
      <c r="N5517" s="33"/>
      <c r="O5517" s="33"/>
      <c r="P5517" s="33"/>
      <c r="Q5517" s="33"/>
      <c r="R5517" s="33"/>
      <c r="S5517" s="33"/>
      <c r="T5517" s="33"/>
      <c r="U5517" s="33"/>
      <c r="V5517" s="33"/>
      <c r="W5517" s="33"/>
      <c r="X5517" s="33"/>
      <c r="Y5517" s="33"/>
      <c r="Z5517" s="33"/>
      <c r="AA5517" s="33"/>
      <c r="AB5517" s="33"/>
      <c r="AC5517" s="33"/>
      <c r="AD5517" s="33"/>
      <c r="AE5517" s="33"/>
      <c r="AF5517" s="33"/>
      <c r="AG5517" s="33"/>
      <c r="AH5517" s="33"/>
      <c r="AI5517" s="33"/>
      <c r="AJ5517" s="33"/>
      <c r="AK5517" s="33"/>
    </row>
    <row r="5518">
      <c r="A5518" s="33"/>
      <c r="B5518" s="33"/>
      <c r="C5518" s="33"/>
      <c r="D5518" s="33"/>
      <c r="E5518" s="33"/>
      <c r="F5518" s="33"/>
      <c r="G5518" s="33"/>
      <c r="H5518" s="33"/>
      <c r="I5518" s="33"/>
      <c r="J5518" s="33"/>
      <c r="K5518" s="33"/>
      <c r="L5518" s="33"/>
      <c r="M5518" s="33"/>
      <c r="N5518" s="33"/>
      <c r="O5518" s="33"/>
      <c r="P5518" s="33"/>
      <c r="Q5518" s="33"/>
      <c r="R5518" s="33"/>
      <c r="S5518" s="33"/>
      <c r="T5518" s="33"/>
      <c r="U5518" s="33"/>
      <c r="V5518" s="33"/>
      <c r="W5518" s="33"/>
      <c r="X5518" s="33"/>
      <c r="Y5518" s="33"/>
      <c r="Z5518" s="33"/>
      <c r="AA5518" s="33"/>
      <c r="AB5518" s="33"/>
      <c r="AC5518" s="33"/>
      <c r="AD5518" s="33"/>
      <c r="AE5518" s="33"/>
      <c r="AF5518" s="33"/>
      <c r="AG5518" s="33"/>
      <c r="AH5518" s="33"/>
      <c r="AI5518" s="33"/>
      <c r="AJ5518" s="33"/>
      <c r="AK5518" s="33"/>
    </row>
    <row r="5519">
      <c r="A5519" s="33"/>
      <c r="B5519" s="33"/>
      <c r="C5519" s="33"/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3"/>
      <c r="S5519" s="33"/>
      <c r="T5519" s="33"/>
      <c r="U5519" s="33"/>
      <c r="V5519" s="33"/>
      <c r="W5519" s="33"/>
      <c r="X5519" s="33"/>
      <c r="Y5519" s="33"/>
      <c r="Z5519" s="33"/>
      <c r="AA5519" s="33"/>
      <c r="AB5519" s="33"/>
      <c r="AC5519" s="33"/>
      <c r="AD5519" s="33"/>
      <c r="AE5519" s="33"/>
      <c r="AF5519" s="33"/>
      <c r="AG5519" s="33"/>
      <c r="AH5519" s="33"/>
      <c r="AI5519" s="33"/>
      <c r="AJ5519" s="33"/>
      <c r="AK5519" s="33"/>
    </row>
    <row r="5520">
      <c r="A5520" s="33"/>
      <c r="B5520" s="33"/>
      <c r="C5520" s="33"/>
      <c r="D5520" s="33"/>
      <c r="E5520" s="33"/>
      <c r="F5520" s="33"/>
      <c r="G5520" s="33"/>
      <c r="H5520" s="33"/>
      <c r="I5520" s="33"/>
      <c r="J5520" s="33"/>
      <c r="K5520" s="33"/>
      <c r="L5520" s="33"/>
      <c r="M5520" s="33"/>
      <c r="N5520" s="33"/>
      <c r="O5520" s="33"/>
      <c r="P5520" s="33"/>
      <c r="Q5520" s="33"/>
      <c r="R5520" s="33"/>
      <c r="S5520" s="33"/>
      <c r="T5520" s="33"/>
      <c r="U5520" s="33"/>
      <c r="V5520" s="33"/>
      <c r="W5520" s="33"/>
      <c r="X5520" s="33"/>
      <c r="Y5520" s="33"/>
      <c r="Z5520" s="33"/>
      <c r="AA5520" s="33"/>
      <c r="AB5520" s="33"/>
      <c r="AC5520" s="33"/>
      <c r="AD5520" s="33"/>
      <c r="AE5520" s="33"/>
      <c r="AF5520" s="33"/>
      <c r="AG5520" s="33"/>
      <c r="AH5520" s="33"/>
      <c r="AI5520" s="33"/>
      <c r="AJ5520" s="33"/>
      <c r="AK5520" s="33"/>
    </row>
    <row r="5521">
      <c r="A5521" s="33"/>
      <c r="B5521" s="33"/>
      <c r="C5521" s="33"/>
      <c r="D5521" s="33"/>
      <c r="E5521" s="33"/>
      <c r="F5521" s="33"/>
      <c r="G5521" s="33"/>
      <c r="H5521" s="33"/>
      <c r="I5521" s="33"/>
      <c r="J5521" s="33"/>
      <c r="K5521" s="33"/>
      <c r="L5521" s="33"/>
      <c r="M5521" s="33"/>
      <c r="N5521" s="33"/>
      <c r="O5521" s="33"/>
      <c r="P5521" s="33"/>
      <c r="Q5521" s="33"/>
      <c r="R5521" s="33"/>
      <c r="S5521" s="33"/>
      <c r="T5521" s="33"/>
      <c r="U5521" s="33"/>
      <c r="V5521" s="33"/>
      <c r="W5521" s="33"/>
      <c r="X5521" s="33"/>
      <c r="Y5521" s="33"/>
      <c r="Z5521" s="33"/>
      <c r="AA5521" s="33"/>
      <c r="AB5521" s="33"/>
      <c r="AC5521" s="33"/>
      <c r="AD5521" s="33"/>
      <c r="AE5521" s="33"/>
      <c r="AF5521" s="33"/>
      <c r="AG5521" s="33"/>
      <c r="AH5521" s="33"/>
      <c r="AI5521" s="33"/>
      <c r="AJ5521" s="33"/>
      <c r="AK5521" s="33"/>
    </row>
    <row r="5522">
      <c r="A5522" s="33"/>
      <c r="B5522" s="33"/>
      <c r="C5522" s="33"/>
      <c r="D5522" s="33"/>
      <c r="E5522" s="33"/>
      <c r="F5522" s="33"/>
      <c r="G5522" s="33"/>
      <c r="H5522" s="33"/>
      <c r="I5522" s="33"/>
      <c r="J5522" s="33"/>
      <c r="K5522" s="33"/>
      <c r="L5522" s="33"/>
      <c r="M5522" s="33"/>
      <c r="N5522" s="33"/>
      <c r="O5522" s="33"/>
      <c r="P5522" s="33"/>
      <c r="Q5522" s="33"/>
      <c r="R5522" s="33"/>
      <c r="S5522" s="33"/>
      <c r="T5522" s="33"/>
      <c r="U5522" s="33"/>
      <c r="V5522" s="33"/>
      <c r="W5522" s="33"/>
      <c r="X5522" s="33"/>
      <c r="Y5522" s="33"/>
      <c r="Z5522" s="33"/>
      <c r="AA5522" s="33"/>
      <c r="AB5522" s="33"/>
      <c r="AC5522" s="33"/>
      <c r="AD5522" s="33"/>
      <c r="AE5522" s="33"/>
      <c r="AF5522" s="33"/>
      <c r="AG5522" s="33"/>
      <c r="AH5522" s="33"/>
      <c r="AI5522" s="33"/>
      <c r="AJ5522" s="33"/>
      <c r="AK5522" s="33"/>
    </row>
    <row r="5523">
      <c r="A5523" s="33"/>
      <c r="B5523" s="33"/>
      <c r="C5523" s="33"/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  <c r="Q5523" s="33"/>
      <c r="R5523" s="33"/>
      <c r="S5523" s="33"/>
      <c r="T5523" s="33"/>
      <c r="U5523" s="33"/>
      <c r="V5523" s="33"/>
      <c r="W5523" s="33"/>
      <c r="X5523" s="33"/>
      <c r="Y5523" s="33"/>
      <c r="Z5523" s="33"/>
      <c r="AA5523" s="33"/>
      <c r="AB5523" s="33"/>
      <c r="AC5523" s="33"/>
      <c r="AD5523" s="33"/>
      <c r="AE5523" s="33"/>
      <c r="AF5523" s="33"/>
      <c r="AG5523" s="33"/>
      <c r="AH5523" s="33"/>
      <c r="AI5523" s="33"/>
      <c r="AJ5523" s="33"/>
      <c r="AK5523" s="33"/>
    </row>
    <row r="5524">
      <c r="A5524" s="33"/>
      <c r="B5524" s="33"/>
      <c r="C5524" s="33"/>
      <c r="D5524" s="33"/>
      <c r="E5524" s="33"/>
      <c r="F5524" s="33"/>
      <c r="G5524" s="33"/>
      <c r="H5524" s="33"/>
      <c r="I5524" s="33"/>
      <c r="J5524" s="33"/>
      <c r="K5524" s="33"/>
      <c r="L5524" s="33"/>
      <c r="M5524" s="33"/>
      <c r="N5524" s="33"/>
      <c r="O5524" s="33"/>
      <c r="P5524" s="33"/>
      <c r="Q5524" s="33"/>
      <c r="R5524" s="33"/>
      <c r="S5524" s="33"/>
      <c r="T5524" s="33"/>
      <c r="U5524" s="33"/>
      <c r="V5524" s="33"/>
      <c r="W5524" s="33"/>
      <c r="X5524" s="33"/>
      <c r="Y5524" s="33"/>
      <c r="Z5524" s="33"/>
      <c r="AA5524" s="33"/>
      <c r="AB5524" s="33"/>
      <c r="AC5524" s="33"/>
      <c r="AD5524" s="33"/>
      <c r="AE5524" s="33"/>
      <c r="AF5524" s="33"/>
      <c r="AG5524" s="33"/>
      <c r="AH5524" s="33"/>
      <c r="AI5524" s="33"/>
      <c r="AJ5524" s="33"/>
      <c r="AK5524" s="33"/>
    </row>
    <row r="5525">
      <c r="A5525" s="33"/>
      <c r="B5525" s="33"/>
      <c r="C5525" s="33"/>
      <c r="D5525" s="33"/>
      <c r="E5525" s="33"/>
      <c r="F5525" s="33"/>
      <c r="G5525" s="33"/>
      <c r="H5525" s="33"/>
      <c r="I5525" s="33"/>
      <c r="J5525" s="33"/>
      <c r="K5525" s="33"/>
      <c r="L5525" s="33"/>
      <c r="M5525" s="33"/>
      <c r="N5525" s="33"/>
      <c r="O5525" s="33"/>
      <c r="P5525" s="33"/>
      <c r="Q5525" s="33"/>
      <c r="R5525" s="33"/>
      <c r="S5525" s="33"/>
      <c r="T5525" s="33"/>
      <c r="U5525" s="33"/>
      <c r="V5525" s="33"/>
      <c r="W5525" s="33"/>
      <c r="X5525" s="33"/>
      <c r="Y5525" s="33"/>
      <c r="Z5525" s="33"/>
      <c r="AA5525" s="33"/>
      <c r="AB5525" s="33"/>
      <c r="AC5525" s="33"/>
      <c r="AD5525" s="33"/>
      <c r="AE5525" s="33"/>
      <c r="AF5525" s="33"/>
      <c r="AG5525" s="33"/>
      <c r="AH5525" s="33"/>
      <c r="AI5525" s="33"/>
      <c r="AJ5525" s="33"/>
      <c r="AK5525" s="33"/>
    </row>
    <row r="5526">
      <c r="A5526" s="33"/>
      <c r="B5526" s="33"/>
      <c r="C5526" s="33"/>
      <c r="D5526" s="33"/>
      <c r="E5526" s="33"/>
      <c r="F5526" s="33"/>
      <c r="G5526" s="33"/>
      <c r="H5526" s="33"/>
      <c r="I5526" s="33"/>
      <c r="J5526" s="33"/>
      <c r="K5526" s="33"/>
      <c r="L5526" s="33"/>
      <c r="M5526" s="33"/>
      <c r="N5526" s="33"/>
      <c r="O5526" s="33"/>
      <c r="P5526" s="33"/>
      <c r="Q5526" s="33"/>
      <c r="R5526" s="33"/>
      <c r="S5526" s="33"/>
      <c r="T5526" s="33"/>
      <c r="U5526" s="33"/>
      <c r="V5526" s="33"/>
      <c r="W5526" s="33"/>
      <c r="X5526" s="33"/>
      <c r="Y5526" s="33"/>
      <c r="Z5526" s="33"/>
      <c r="AA5526" s="33"/>
      <c r="AB5526" s="33"/>
      <c r="AC5526" s="33"/>
      <c r="AD5526" s="33"/>
      <c r="AE5526" s="33"/>
      <c r="AF5526" s="33"/>
      <c r="AG5526" s="33"/>
      <c r="AH5526" s="33"/>
      <c r="AI5526" s="33"/>
      <c r="AJ5526" s="33"/>
      <c r="AK5526" s="33"/>
    </row>
    <row r="5527">
      <c r="A5527" s="33"/>
      <c r="B5527" s="33"/>
      <c r="C5527" s="33"/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  <c r="R5527" s="33"/>
      <c r="S5527" s="33"/>
      <c r="T5527" s="33"/>
      <c r="U5527" s="33"/>
      <c r="V5527" s="33"/>
      <c r="W5527" s="33"/>
      <c r="X5527" s="33"/>
      <c r="Y5527" s="33"/>
      <c r="Z5527" s="33"/>
      <c r="AA5527" s="33"/>
      <c r="AB5527" s="33"/>
      <c r="AC5527" s="33"/>
      <c r="AD5527" s="33"/>
      <c r="AE5527" s="33"/>
      <c r="AF5527" s="33"/>
      <c r="AG5527" s="33"/>
      <c r="AH5527" s="33"/>
      <c r="AI5527" s="33"/>
      <c r="AJ5527" s="33"/>
      <c r="AK5527" s="33"/>
    </row>
    <row r="5528">
      <c r="A5528" s="33"/>
      <c r="B5528" s="33"/>
      <c r="C5528" s="33"/>
      <c r="D5528" s="33"/>
      <c r="E5528" s="33"/>
      <c r="F5528" s="33"/>
      <c r="G5528" s="33"/>
      <c r="H5528" s="33"/>
      <c r="I5528" s="33"/>
      <c r="J5528" s="33"/>
      <c r="K5528" s="33"/>
      <c r="L5528" s="33"/>
      <c r="M5528" s="33"/>
      <c r="N5528" s="33"/>
      <c r="O5528" s="33"/>
      <c r="P5528" s="33"/>
      <c r="Q5528" s="33"/>
      <c r="R5528" s="33"/>
      <c r="S5528" s="33"/>
      <c r="T5528" s="33"/>
      <c r="U5528" s="33"/>
      <c r="V5528" s="33"/>
      <c r="W5528" s="33"/>
      <c r="X5528" s="33"/>
      <c r="Y5528" s="33"/>
      <c r="Z5528" s="33"/>
      <c r="AA5528" s="33"/>
      <c r="AB5528" s="33"/>
      <c r="AC5528" s="33"/>
      <c r="AD5528" s="33"/>
      <c r="AE5528" s="33"/>
      <c r="AF5528" s="33"/>
      <c r="AG5528" s="33"/>
      <c r="AH5528" s="33"/>
      <c r="AI5528" s="33"/>
      <c r="AJ5528" s="33"/>
      <c r="AK5528" s="33"/>
    </row>
    <row r="5529">
      <c r="A5529" s="33"/>
      <c r="B5529" s="33"/>
      <c r="C5529" s="33"/>
      <c r="D5529" s="33"/>
      <c r="E5529" s="33"/>
      <c r="F5529" s="33"/>
      <c r="G5529" s="33"/>
      <c r="H5529" s="33"/>
      <c r="I5529" s="33"/>
      <c r="J5529" s="33"/>
      <c r="K5529" s="33"/>
      <c r="L5529" s="33"/>
      <c r="M5529" s="33"/>
      <c r="N5529" s="33"/>
      <c r="O5529" s="33"/>
      <c r="P5529" s="33"/>
      <c r="Q5529" s="33"/>
      <c r="R5529" s="33"/>
      <c r="S5529" s="33"/>
      <c r="T5529" s="33"/>
      <c r="U5529" s="33"/>
      <c r="V5529" s="33"/>
      <c r="W5529" s="33"/>
      <c r="X5529" s="33"/>
      <c r="Y5529" s="33"/>
      <c r="Z5529" s="33"/>
      <c r="AA5529" s="33"/>
      <c r="AB5529" s="33"/>
      <c r="AC5529" s="33"/>
      <c r="AD5529" s="33"/>
      <c r="AE5529" s="33"/>
      <c r="AF5529" s="33"/>
      <c r="AG5529" s="33"/>
      <c r="AH5529" s="33"/>
      <c r="AI5529" s="33"/>
      <c r="AJ5529" s="33"/>
      <c r="AK5529" s="33"/>
    </row>
    <row r="5530">
      <c r="A5530" s="33"/>
      <c r="B5530" s="33"/>
      <c r="C5530" s="33"/>
      <c r="D5530" s="33"/>
      <c r="E5530" s="33"/>
      <c r="F5530" s="33"/>
      <c r="G5530" s="33"/>
      <c r="H5530" s="33"/>
      <c r="I5530" s="33"/>
      <c r="J5530" s="33"/>
      <c r="K5530" s="33"/>
      <c r="L5530" s="33"/>
      <c r="M5530" s="33"/>
      <c r="N5530" s="33"/>
      <c r="O5530" s="33"/>
      <c r="P5530" s="33"/>
      <c r="Q5530" s="33"/>
      <c r="R5530" s="33"/>
      <c r="S5530" s="33"/>
      <c r="T5530" s="33"/>
      <c r="U5530" s="33"/>
      <c r="V5530" s="33"/>
      <c r="W5530" s="33"/>
      <c r="X5530" s="33"/>
      <c r="Y5530" s="33"/>
      <c r="Z5530" s="33"/>
      <c r="AA5530" s="33"/>
      <c r="AB5530" s="33"/>
      <c r="AC5530" s="33"/>
      <c r="AD5530" s="33"/>
      <c r="AE5530" s="33"/>
      <c r="AF5530" s="33"/>
      <c r="AG5530" s="33"/>
      <c r="AH5530" s="33"/>
      <c r="AI5530" s="33"/>
      <c r="AJ5530" s="33"/>
      <c r="AK5530" s="33"/>
    </row>
    <row r="5531">
      <c r="A5531" s="33"/>
      <c r="B5531" s="33"/>
      <c r="C5531" s="33"/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  <c r="Q5531" s="33"/>
      <c r="R5531" s="33"/>
      <c r="S5531" s="33"/>
      <c r="T5531" s="33"/>
      <c r="U5531" s="33"/>
      <c r="V5531" s="33"/>
      <c r="W5531" s="33"/>
      <c r="X5531" s="33"/>
      <c r="Y5531" s="33"/>
      <c r="Z5531" s="33"/>
      <c r="AA5531" s="33"/>
      <c r="AB5531" s="33"/>
      <c r="AC5531" s="33"/>
      <c r="AD5531" s="33"/>
      <c r="AE5531" s="33"/>
      <c r="AF5531" s="33"/>
      <c r="AG5531" s="33"/>
      <c r="AH5531" s="33"/>
      <c r="AI5531" s="33"/>
      <c r="AJ5531" s="33"/>
      <c r="AK5531" s="33"/>
    </row>
    <row r="5532">
      <c r="A5532" s="33"/>
      <c r="B5532" s="33"/>
      <c r="C5532" s="33"/>
      <c r="D5532" s="33"/>
      <c r="E5532" s="33"/>
      <c r="F5532" s="33"/>
      <c r="G5532" s="33"/>
      <c r="H5532" s="33"/>
      <c r="I5532" s="33"/>
      <c r="J5532" s="33"/>
      <c r="K5532" s="33"/>
      <c r="L5532" s="33"/>
      <c r="M5532" s="33"/>
      <c r="N5532" s="33"/>
      <c r="O5532" s="33"/>
      <c r="P5532" s="33"/>
      <c r="Q5532" s="33"/>
      <c r="R5532" s="33"/>
      <c r="S5532" s="33"/>
      <c r="T5532" s="33"/>
      <c r="U5532" s="33"/>
      <c r="V5532" s="33"/>
      <c r="W5532" s="33"/>
      <c r="X5532" s="33"/>
      <c r="Y5532" s="33"/>
      <c r="Z5532" s="33"/>
      <c r="AA5532" s="33"/>
      <c r="AB5532" s="33"/>
      <c r="AC5532" s="33"/>
      <c r="AD5532" s="33"/>
      <c r="AE5532" s="33"/>
      <c r="AF5532" s="33"/>
      <c r="AG5532" s="33"/>
      <c r="AH5532" s="33"/>
      <c r="AI5532" s="33"/>
      <c r="AJ5532" s="33"/>
      <c r="AK5532" s="33"/>
    </row>
    <row r="5533">
      <c r="A5533" s="33"/>
      <c r="B5533" s="33"/>
      <c r="C5533" s="33"/>
      <c r="D5533" s="33"/>
      <c r="E5533" s="33"/>
      <c r="F5533" s="33"/>
      <c r="G5533" s="33"/>
      <c r="H5533" s="33"/>
      <c r="I5533" s="33"/>
      <c r="J5533" s="33"/>
      <c r="K5533" s="33"/>
      <c r="L5533" s="33"/>
      <c r="M5533" s="33"/>
      <c r="N5533" s="33"/>
      <c r="O5533" s="33"/>
      <c r="P5533" s="33"/>
      <c r="Q5533" s="33"/>
      <c r="R5533" s="33"/>
      <c r="S5533" s="33"/>
      <c r="T5533" s="33"/>
      <c r="U5533" s="33"/>
      <c r="V5533" s="33"/>
      <c r="W5533" s="33"/>
      <c r="X5533" s="33"/>
      <c r="Y5533" s="33"/>
      <c r="Z5533" s="33"/>
      <c r="AA5533" s="33"/>
      <c r="AB5533" s="33"/>
      <c r="AC5533" s="33"/>
      <c r="AD5533" s="33"/>
      <c r="AE5533" s="33"/>
      <c r="AF5533" s="33"/>
      <c r="AG5533" s="33"/>
      <c r="AH5533" s="33"/>
      <c r="AI5533" s="33"/>
      <c r="AJ5533" s="33"/>
      <c r="AK5533" s="33"/>
    </row>
    <row r="5534">
      <c r="A5534" s="33"/>
      <c r="B5534" s="33"/>
      <c r="C5534" s="33"/>
      <c r="D5534" s="33"/>
      <c r="E5534" s="33"/>
      <c r="F5534" s="33"/>
      <c r="G5534" s="33"/>
      <c r="H5534" s="33"/>
      <c r="I5534" s="33"/>
      <c r="J5534" s="33"/>
      <c r="K5534" s="33"/>
      <c r="L5534" s="33"/>
      <c r="M5534" s="33"/>
      <c r="N5534" s="33"/>
      <c r="O5534" s="33"/>
      <c r="P5534" s="33"/>
      <c r="Q5534" s="33"/>
      <c r="R5534" s="33"/>
      <c r="S5534" s="33"/>
      <c r="T5534" s="33"/>
      <c r="U5534" s="33"/>
      <c r="V5534" s="33"/>
      <c r="W5534" s="33"/>
      <c r="X5534" s="33"/>
      <c r="Y5534" s="33"/>
      <c r="Z5534" s="33"/>
      <c r="AA5534" s="33"/>
      <c r="AB5534" s="33"/>
      <c r="AC5534" s="33"/>
      <c r="AD5534" s="33"/>
      <c r="AE5534" s="33"/>
      <c r="AF5534" s="33"/>
      <c r="AG5534" s="33"/>
      <c r="AH5534" s="33"/>
      <c r="AI5534" s="33"/>
      <c r="AJ5534" s="33"/>
      <c r="AK5534" s="33"/>
    </row>
    <row r="5535">
      <c r="A5535" s="33"/>
      <c r="B5535" s="33"/>
      <c r="C5535" s="33"/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  <c r="Q5535" s="33"/>
      <c r="R5535" s="33"/>
      <c r="S5535" s="33"/>
      <c r="T5535" s="33"/>
      <c r="U5535" s="33"/>
      <c r="V5535" s="33"/>
      <c r="W5535" s="33"/>
      <c r="X5535" s="33"/>
      <c r="Y5535" s="33"/>
      <c r="Z5535" s="33"/>
      <c r="AA5535" s="33"/>
      <c r="AB5535" s="33"/>
      <c r="AC5535" s="33"/>
      <c r="AD5535" s="33"/>
      <c r="AE5535" s="33"/>
      <c r="AF5535" s="33"/>
      <c r="AG5535" s="33"/>
      <c r="AH5535" s="33"/>
      <c r="AI5535" s="33"/>
      <c r="AJ5535" s="33"/>
      <c r="AK5535" s="33"/>
    </row>
    <row r="5536">
      <c r="A5536" s="33"/>
      <c r="B5536" s="33"/>
      <c r="C5536" s="33"/>
      <c r="D5536" s="33"/>
      <c r="E5536" s="33"/>
      <c r="F5536" s="33"/>
      <c r="G5536" s="33"/>
      <c r="H5536" s="33"/>
      <c r="I5536" s="33"/>
      <c r="J5536" s="33"/>
      <c r="K5536" s="33"/>
      <c r="L5536" s="33"/>
      <c r="M5536" s="33"/>
      <c r="N5536" s="33"/>
      <c r="O5536" s="33"/>
      <c r="P5536" s="33"/>
      <c r="Q5536" s="33"/>
      <c r="R5536" s="33"/>
      <c r="S5536" s="33"/>
      <c r="T5536" s="33"/>
      <c r="U5536" s="33"/>
      <c r="V5536" s="33"/>
      <c r="W5536" s="33"/>
      <c r="X5536" s="33"/>
      <c r="Y5536" s="33"/>
      <c r="Z5536" s="33"/>
      <c r="AA5536" s="33"/>
      <c r="AB5536" s="33"/>
      <c r="AC5536" s="33"/>
      <c r="AD5536" s="33"/>
      <c r="AE5536" s="33"/>
      <c r="AF5536" s="33"/>
      <c r="AG5536" s="33"/>
      <c r="AH5536" s="33"/>
      <c r="AI5536" s="33"/>
      <c r="AJ5536" s="33"/>
      <c r="AK5536" s="33"/>
    </row>
    <row r="5537">
      <c r="A5537" s="33"/>
      <c r="B5537" s="33"/>
      <c r="C5537" s="33"/>
      <c r="D5537" s="33"/>
      <c r="E5537" s="33"/>
      <c r="F5537" s="33"/>
      <c r="G5537" s="33"/>
      <c r="H5537" s="33"/>
      <c r="I5537" s="33"/>
      <c r="J5537" s="33"/>
      <c r="K5537" s="33"/>
      <c r="L5537" s="33"/>
      <c r="M5537" s="33"/>
      <c r="N5537" s="33"/>
      <c r="O5537" s="33"/>
      <c r="P5537" s="33"/>
      <c r="Q5537" s="33"/>
      <c r="R5537" s="33"/>
      <c r="S5537" s="33"/>
      <c r="T5537" s="33"/>
      <c r="U5537" s="33"/>
      <c r="V5537" s="33"/>
      <c r="W5537" s="33"/>
      <c r="X5537" s="33"/>
      <c r="Y5537" s="33"/>
      <c r="Z5537" s="33"/>
      <c r="AA5537" s="33"/>
      <c r="AB5537" s="33"/>
      <c r="AC5537" s="33"/>
      <c r="AD5537" s="33"/>
      <c r="AE5537" s="33"/>
      <c r="AF5537" s="33"/>
      <c r="AG5537" s="33"/>
      <c r="AH5537" s="33"/>
      <c r="AI5537" s="33"/>
      <c r="AJ5537" s="33"/>
      <c r="AK5537" s="33"/>
    </row>
    <row r="5538">
      <c r="A5538" s="33"/>
      <c r="B5538" s="33"/>
      <c r="C5538" s="33"/>
      <c r="D5538" s="33"/>
      <c r="E5538" s="33"/>
      <c r="F5538" s="33"/>
      <c r="G5538" s="33"/>
      <c r="H5538" s="33"/>
      <c r="I5538" s="33"/>
      <c r="J5538" s="33"/>
      <c r="K5538" s="33"/>
      <c r="L5538" s="33"/>
      <c r="M5538" s="33"/>
      <c r="N5538" s="33"/>
      <c r="O5538" s="33"/>
      <c r="P5538" s="33"/>
      <c r="Q5538" s="33"/>
      <c r="R5538" s="33"/>
      <c r="S5538" s="33"/>
      <c r="T5538" s="33"/>
      <c r="U5538" s="33"/>
      <c r="V5538" s="33"/>
      <c r="W5538" s="33"/>
      <c r="X5538" s="33"/>
      <c r="Y5538" s="33"/>
      <c r="Z5538" s="33"/>
      <c r="AA5538" s="33"/>
      <c r="AB5538" s="33"/>
      <c r="AC5538" s="33"/>
      <c r="AD5538" s="33"/>
      <c r="AE5538" s="33"/>
      <c r="AF5538" s="33"/>
      <c r="AG5538" s="33"/>
      <c r="AH5538" s="33"/>
      <c r="AI5538" s="33"/>
      <c r="AJ5538" s="33"/>
      <c r="AK5538" s="33"/>
    </row>
    <row r="5539">
      <c r="A5539" s="33"/>
      <c r="B5539" s="33"/>
      <c r="C5539" s="33"/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  <c r="Q5539" s="33"/>
      <c r="R5539" s="33"/>
      <c r="S5539" s="33"/>
      <c r="T5539" s="33"/>
      <c r="U5539" s="33"/>
      <c r="V5539" s="33"/>
      <c r="W5539" s="33"/>
      <c r="X5539" s="33"/>
      <c r="Y5539" s="33"/>
      <c r="Z5539" s="33"/>
      <c r="AA5539" s="33"/>
      <c r="AB5539" s="33"/>
      <c r="AC5539" s="33"/>
      <c r="AD5539" s="33"/>
      <c r="AE5539" s="33"/>
      <c r="AF5539" s="33"/>
      <c r="AG5539" s="33"/>
      <c r="AH5539" s="33"/>
      <c r="AI5539" s="33"/>
      <c r="AJ5539" s="33"/>
      <c r="AK5539" s="33"/>
    </row>
    <row r="5540">
      <c r="A5540" s="33"/>
      <c r="B5540" s="33"/>
      <c r="C5540" s="33"/>
      <c r="D5540" s="33"/>
      <c r="E5540" s="33"/>
      <c r="F5540" s="33"/>
      <c r="G5540" s="33"/>
      <c r="H5540" s="33"/>
      <c r="I5540" s="33"/>
      <c r="J5540" s="33"/>
      <c r="K5540" s="33"/>
      <c r="L5540" s="33"/>
      <c r="M5540" s="33"/>
      <c r="N5540" s="33"/>
      <c r="O5540" s="33"/>
      <c r="P5540" s="33"/>
      <c r="Q5540" s="33"/>
      <c r="R5540" s="33"/>
      <c r="S5540" s="33"/>
      <c r="T5540" s="33"/>
      <c r="U5540" s="33"/>
      <c r="V5540" s="33"/>
      <c r="W5540" s="33"/>
      <c r="X5540" s="33"/>
      <c r="Y5540" s="33"/>
      <c r="Z5540" s="33"/>
      <c r="AA5540" s="33"/>
      <c r="AB5540" s="33"/>
      <c r="AC5540" s="33"/>
      <c r="AD5540" s="33"/>
      <c r="AE5540" s="33"/>
      <c r="AF5540" s="33"/>
      <c r="AG5540" s="33"/>
      <c r="AH5540" s="33"/>
      <c r="AI5540" s="33"/>
      <c r="AJ5540" s="33"/>
      <c r="AK5540" s="33"/>
    </row>
    <row r="5541">
      <c r="A5541" s="33"/>
      <c r="B5541" s="33"/>
      <c r="C5541" s="33"/>
      <c r="D5541" s="33"/>
      <c r="E5541" s="33"/>
      <c r="F5541" s="33"/>
      <c r="G5541" s="33"/>
      <c r="H5541" s="33"/>
      <c r="I5541" s="33"/>
      <c r="J5541" s="33"/>
      <c r="K5541" s="33"/>
      <c r="L5541" s="33"/>
      <c r="M5541" s="33"/>
      <c r="N5541" s="33"/>
      <c r="O5541" s="33"/>
      <c r="P5541" s="33"/>
      <c r="Q5541" s="33"/>
      <c r="R5541" s="33"/>
      <c r="S5541" s="33"/>
      <c r="T5541" s="33"/>
      <c r="U5541" s="33"/>
      <c r="V5541" s="33"/>
      <c r="W5541" s="33"/>
      <c r="X5541" s="33"/>
      <c r="Y5541" s="33"/>
      <c r="Z5541" s="33"/>
      <c r="AA5541" s="33"/>
      <c r="AB5541" s="33"/>
      <c r="AC5541" s="33"/>
      <c r="AD5541" s="33"/>
      <c r="AE5541" s="33"/>
      <c r="AF5541" s="33"/>
      <c r="AG5541" s="33"/>
      <c r="AH5541" s="33"/>
      <c r="AI5541" s="33"/>
      <c r="AJ5541" s="33"/>
      <c r="AK5541" s="33"/>
    </row>
    <row r="5542">
      <c r="A5542" s="33"/>
      <c r="B5542" s="33"/>
      <c r="C5542" s="33"/>
      <c r="D5542" s="33"/>
      <c r="E5542" s="33"/>
      <c r="F5542" s="33"/>
      <c r="G5542" s="33"/>
      <c r="H5542" s="33"/>
      <c r="I5542" s="33"/>
      <c r="J5542" s="33"/>
      <c r="K5542" s="33"/>
      <c r="L5542" s="33"/>
      <c r="M5542" s="33"/>
      <c r="N5542" s="33"/>
      <c r="O5542" s="33"/>
      <c r="P5542" s="33"/>
      <c r="Q5542" s="33"/>
      <c r="R5542" s="33"/>
      <c r="S5542" s="33"/>
      <c r="T5542" s="33"/>
      <c r="U5542" s="33"/>
      <c r="V5542" s="33"/>
      <c r="W5542" s="33"/>
      <c r="X5542" s="33"/>
      <c r="Y5542" s="33"/>
      <c r="Z5542" s="33"/>
      <c r="AA5542" s="33"/>
      <c r="AB5542" s="33"/>
      <c r="AC5542" s="33"/>
      <c r="AD5542" s="33"/>
      <c r="AE5542" s="33"/>
      <c r="AF5542" s="33"/>
      <c r="AG5542" s="33"/>
      <c r="AH5542" s="33"/>
      <c r="AI5542" s="33"/>
      <c r="AJ5542" s="33"/>
      <c r="AK5542" s="33"/>
    </row>
    <row r="5543">
      <c r="A5543" s="33"/>
      <c r="B5543" s="33"/>
      <c r="C5543" s="33"/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  <c r="Q5543" s="33"/>
      <c r="R5543" s="33"/>
      <c r="S5543" s="33"/>
      <c r="T5543" s="33"/>
      <c r="U5543" s="33"/>
      <c r="V5543" s="33"/>
      <c r="W5543" s="33"/>
      <c r="X5543" s="33"/>
      <c r="Y5543" s="33"/>
      <c r="Z5543" s="33"/>
      <c r="AA5543" s="33"/>
      <c r="AB5543" s="33"/>
      <c r="AC5543" s="33"/>
      <c r="AD5543" s="33"/>
      <c r="AE5543" s="33"/>
      <c r="AF5543" s="33"/>
      <c r="AG5543" s="33"/>
      <c r="AH5543" s="33"/>
      <c r="AI5543" s="33"/>
      <c r="AJ5543" s="33"/>
      <c r="AK5543" s="33"/>
    </row>
    <row r="5544">
      <c r="A5544" s="33"/>
      <c r="B5544" s="33"/>
      <c r="C5544" s="33"/>
      <c r="D5544" s="33"/>
      <c r="E5544" s="33"/>
      <c r="F5544" s="33"/>
      <c r="G5544" s="33"/>
      <c r="H5544" s="33"/>
      <c r="I5544" s="33"/>
      <c r="J5544" s="33"/>
      <c r="K5544" s="33"/>
      <c r="L5544" s="33"/>
      <c r="M5544" s="33"/>
      <c r="N5544" s="33"/>
      <c r="O5544" s="33"/>
      <c r="P5544" s="33"/>
      <c r="Q5544" s="33"/>
      <c r="R5544" s="33"/>
      <c r="S5544" s="33"/>
      <c r="T5544" s="33"/>
      <c r="U5544" s="33"/>
      <c r="V5544" s="33"/>
      <c r="W5544" s="33"/>
      <c r="X5544" s="33"/>
      <c r="Y5544" s="33"/>
      <c r="Z5544" s="33"/>
      <c r="AA5544" s="33"/>
      <c r="AB5544" s="33"/>
      <c r="AC5544" s="33"/>
      <c r="AD5544" s="33"/>
      <c r="AE5544" s="33"/>
      <c r="AF5544" s="33"/>
      <c r="AG5544" s="33"/>
      <c r="AH5544" s="33"/>
      <c r="AI5544" s="33"/>
      <c r="AJ5544" s="33"/>
      <c r="AK5544" s="33"/>
    </row>
    <row r="5545">
      <c r="A5545" s="33"/>
      <c r="B5545" s="33"/>
      <c r="C5545" s="33"/>
      <c r="D5545" s="33"/>
      <c r="E5545" s="33"/>
      <c r="F5545" s="33"/>
      <c r="G5545" s="33"/>
      <c r="H5545" s="33"/>
      <c r="I5545" s="33"/>
      <c r="J5545" s="33"/>
      <c r="K5545" s="33"/>
      <c r="L5545" s="33"/>
      <c r="M5545" s="33"/>
      <c r="N5545" s="33"/>
      <c r="O5545" s="33"/>
      <c r="P5545" s="33"/>
      <c r="Q5545" s="33"/>
      <c r="R5545" s="33"/>
      <c r="S5545" s="33"/>
      <c r="T5545" s="33"/>
      <c r="U5545" s="33"/>
      <c r="V5545" s="33"/>
      <c r="W5545" s="33"/>
      <c r="X5545" s="33"/>
      <c r="Y5545" s="33"/>
      <c r="Z5545" s="33"/>
      <c r="AA5545" s="33"/>
      <c r="AB5545" s="33"/>
      <c r="AC5545" s="33"/>
      <c r="AD5545" s="33"/>
      <c r="AE5545" s="33"/>
      <c r="AF5545" s="33"/>
      <c r="AG5545" s="33"/>
      <c r="AH5545" s="33"/>
      <c r="AI5545" s="33"/>
      <c r="AJ5545" s="33"/>
      <c r="AK5545" s="33"/>
    </row>
    <row r="5546">
      <c r="A5546" s="33"/>
      <c r="B5546" s="33"/>
      <c r="C5546" s="33"/>
      <c r="D5546" s="33"/>
      <c r="E5546" s="33"/>
      <c r="F5546" s="33"/>
      <c r="G5546" s="33"/>
      <c r="H5546" s="33"/>
      <c r="I5546" s="33"/>
      <c r="J5546" s="33"/>
      <c r="K5546" s="33"/>
      <c r="L5546" s="33"/>
      <c r="M5546" s="33"/>
      <c r="N5546" s="33"/>
      <c r="O5546" s="33"/>
      <c r="P5546" s="33"/>
      <c r="Q5546" s="33"/>
      <c r="R5546" s="33"/>
      <c r="S5546" s="33"/>
      <c r="T5546" s="33"/>
      <c r="U5546" s="33"/>
      <c r="V5546" s="33"/>
      <c r="W5546" s="33"/>
      <c r="X5546" s="33"/>
      <c r="Y5546" s="33"/>
      <c r="Z5546" s="33"/>
      <c r="AA5546" s="33"/>
      <c r="AB5546" s="33"/>
      <c r="AC5546" s="33"/>
      <c r="AD5546" s="33"/>
      <c r="AE5546" s="33"/>
      <c r="AF5546" s="33"/>
      <c r="AG5546" s="33"/>
      <c r="AH5546" s="33"/>
      <c r="AI5546" s="33"/>
      <c r="AJ5546" s="33"/>
      <c r="AK5546" s="33"/>
    </row>
    <row r="5547">
      <c r="A5547" s="33"/>
      <c r="B5547" s="33"/>
      <c r="C5547" s="33"/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  <c r="Q5547" s="33"/>
      <c r="R5547" s="33"/>
      <c r="S5547" s="33"/>
      <c r="T5547" s="33"/>
      <c r="U5547" s="33"/>
      <c r="V5547" s="33"/>
      <c r="W5547" s="33"/>
      <c r="X5547" s="33"/>
      <c r="Y5547" s="33"/>
      <c r="Z5547" s="33"/>
      <c r="AA5547" s="33"/>
      <c r="AB5547" s="33"/>
      <c r="AC5547" s="33"/>
      <c r="AD5547" s="33"/>
      <c r="AE5547" s="33"/>
      <c r="AF5547" s="33"/>
      <c r="AG5547" s="33"/>
      <c r="AH5547" s="33"/>
      <c r="AI5547" s="33"/>
      <c r="AJ5547" s="33"/>
      <c r="AK5547" s="33"/>
    </row>
    <row r="5548">
      <c r="A5548" s="33"/>
      <c r="B5548" s="33"/>
      <c r="C5548" s="33"/>
      <c r="D5548" s="33"/>
      <c r="E5548" s="33"/>
      <c r="F5548" s="33"/>
      <c r="G5548" s="33"/>
      <c r="H5548" s="33"/>
      <c r="I5548" s="33"/>
      <c r="J5548" s="33"/>
      <c r="K5548" s="33"/>
      <c r="L5548" s="33"/>
      <c r="M5548" s="33"/>
      <c r="N5548" s="33"/>
      <c r="O5548" s="33"/>
      <c r="P5548" s="33"/>
      <c r="Q5548" s="33"/>
      <c r="R5548" s="33"/>
      <c r="S5548" s="33"/>
      <c r="T5548" s="33"/>
      <c r="U5548" s="33"/>
      <c r="V5548" s="33"/>
      <c r="W5548" s="33"/>
      <c r="X5548" s="33"/>
      <c r="Y5548" s="33"/>
      <c r="Z5548" s="33"/>
      <c r="AA5548" s="33"/>
      <c r="AB5548" s="33"/>
      <c r="AC5548" s="33"/>
      <c r="AD5548" s="33"/>
      <c r="AE5548" s="33"/>
      <c r="AF5548" s="33"/>
      <c r="AG5548" s="33"/>
      <c r="AH5548" s="33"/>
      <c r="AI5548" s="33"/>
      <c r="AJ5548" s="33"/>
      <c r="AK5548" s="33"/>
    </row>
    <row r="5549">
      <c r="A5549" s="33"/>
      <c r="B5549" s="33"/>
      <c r="C5549" s="33"/>
      <c r="D5549" s="33"/>
      <c r="E5549" s="33"/>
      <c r="F5549" s="33"/>
      <c r="G5549" s="33"/>
      <c r="H5549" s="33"/>
      <c r="I5549" s="33"/>
      <c r="J5549" s="33"/>
      <c r="K5549" s="33"/>
      <c r="L5549" s="33"/>
      <c r="M5549" s="33"/>
      <c r="N5549" s="33"/>
      <c r="O5549" s="33"/>
      <c r="P5549" s="33"/>
      <c r="Q5549" s="33"/>
      <c r="R5549" s="33"/>
      <c r="S5549" s="33"/>
      <c r="T5549" s="33"/>
      <c r="U5549" s="33"/>
      <c r="V5549" s="33"/>
      <c r="W5549" s="33"/>
      <c r="X5549" s="33"/>
      <c r="Y5549" s="33"/>
      <c r="Z5549" s="33"/>
      <c r="AA5549" s="33"/>
      <c r="AB5549" s="33"/>
      <c r="AC5549" s="33"/>
      <c r="AD5549" s="33"/>
      <c r="AE5549" s="33"/>
      <c r="AF5549" s="33"/>
      <c r="AG5549" s="33"/>
      <c r="AH5549" s="33"/>
      <c r="AI5549" s="33"/>
      <c r="AJ5549" s="33"/>
      <c r="AK5549" s="33"/>
    </row>
    <row r="5550">
      <c r="A5550" s="33"/>
      <c r="B5550" s="33"/>
      <c r="C5550" s="33"/>
      <c r="D5550" s="33"/>
      <c r="E5550" s="33"/>
      <c r="F5550" s="33"/>
      <c r="G5550" s="33"/>
      <c r="H5550" s="33"/>
      <c r="I5550" s="33"/>
      <c r="J5550" s="33"/>
      <c r="K5550" s="33"/>
      <c r="L5550" s="33"/>
      <c r="M5550" s="33"/>
      <c r="N5550" s="33"/>
      <c r="O5550" s="33"/>
      <c r="P5550" s="33"/>
      <c r="Q5550" s="33"/>
      <c r="R5550" s="33"/>
      <c r="S5550" s="33"/>
      <c r="T5550" s="33"/>
      <c r="U5550" s="33"/>
      <c r="V5550" s="33"/>
      <c r="W5550" s="33"/>
      <c r="X5550" s="33"/>
      <c r="Y5550" s="33"/>
      <c r="Z5550" s="33"/>
      <c r="AA5550" s="33"/>
      <c r="AB5550" s="33"/>
      <c r="AC5550" s="33"/>
      <c r="AD5550" s="33"/>
      <c r="AE5550" s="33"/>
      <c r="AF5550" s="33"/>
      <c r="AG5550" s="33"/>
      <c r="AH5550" s="33"/>
      <c r="AI5550" s="33"/>
      <c r="AJ5550" s="33"/>
      <c r="AK5550" s="33"/>
    </row>
    <row r="5551">
      <c r="A5551" s="33"/>
      <c r="B5551" s="33"/>
      <c r="C5551" s="33"/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  <c r="Q5551" s="33"/>
      <c r="R5551" s="33"/>
      <c r="S5551" s="33"/>
      <c r="T5551" s="33"/>
      <c r="U5551" s="33"/>
      <c r="V5551" s="33"/>
      <c r="W5551" s="33"/>
      <c r="X5551" s="33"/>
      <c r="Y5551" s="33"/>
      <c r="Z5551" s="33"/>
      <c r="AA5551" s="33"/>
      <c r="AB5551" s="33"/>
      <c r="AC5551" s="33"/>
      <c r="AD5551" s="33"/>
      <c r="AE5551" s="33"/>
      <c r="AF5551" s="33"/>
      <c r="AG5551" s="33"/>
      <c r="AH5551" s="33"/>
      <c r="AI5551" s="33"/>
      <c r="AJ5551" s="33"/>
      <c r="AK5551" s="33"/>
    </row>
    <row r="5552">
      <c r="A5552" s="33"/>
      <c r="B5552" s="33"/>
      <c r="C5552" s="33"/>
      <c r="D5552" s="33"/>
      <c r="E5552" s="33"/>
      <c r="F5552" s="33"/>
      <c r="G5552" s="33"/>
      <c r="H5552" s="33"/>
      <c r="I5552" s="33"/>
      <c r="J5552" s="33"/>
      <c r="K5552" s="33"/>
      <c r="L5552" s="33"/>
      <c r="M5552" s="33"/>
      <c r="N5552" s="33"/>
      <c r="O5552" s="33"/>
      <c r="P5552" s="33"/>
      <c r="Q5552" s="33"/>
      <c r="R5552" s="33"/>
      <c r="S5552" s="33"/>
      <c r="T5552" s="33"/>
      <c r="U5552" s="33"/>
      <c r="V5552" s="33"/>
      <c r="W5552" s="33"/>
      <c r="X5552" s="33"/>
      <c r="Y5552" s="33"/>
      <c r="Z5552" s="33"/>
      <c r="AA5552" s="33"/>
      <c r="AB5552" s="33"/>
      <c r="AC5552" s="33"/>
      <c r="AD5552" s="33"/>
      <c r="AE5552" s="33"/>
      <c r="AF5552" s="33"/>
      <c r="AG5552" s="33"/>
      <c r="AH5552" s="33"/>
      <c r="AI5552" s="33"/>
      <c r="AJ5552" s="33"/>
      <c r="AK5552" s="33"/>
    </row>
    <row r="5553">
      <c r="A5553" s="33"/>
      <c r="B5553" s="33"/>
      <c r="C5553" s="33"/>
      <c r="D5553" s="33"/>
      <c r="E5553" s="33"/>
      <c r="F5553" s="33"/>
      <c r="G5553" s="33"/>
      <c r="H5553" s="33"/>
      <c r="I5553" s="33"/>
      <c r="J5553" s="33"/>
      <c r="K5553" s="33"/>
      <c r="L5553" s="33"/>
      <c r="M5553" s="33"/>
      <c r="N5553" s="33"/>
      <c r="O5553" s="33"/>
      <c r="P5553" s="33"/>
      <c r="Q5553" s="33"/>
      <c r="R5553" s="33"/>
      <c r="S5553" s="33"/>
      <c r="T5553" s="33"/>
      <c r="U5553" s="33"/>
      <c r="V5553" s="33"/>
      <c r="W5553" s="33"/>
      <c r="X5553" s="33"/>
      <c r="Y5553" s="33"/>
      <c r="Z5553" s="33"/>
      <c r="AA5553" s="33"/>
      <c r="AB5553" s="33"/>
      <c r="AC5553" s="33"/>
      <c r="AD5553" s="33"/>
      <c r="AE5553" s="33"/>
      <c r="AF5553" s="33"/>
      <c r="AG5553" s="33"/>
      <c r="AH5553" s="33"/>
      <c r="AI5553" s="33"/>
      <c r="AJ5553" s="33"/>
      <c r="AK5553" s="33"/>
    </row>
    <row r="5554">
      <c r="A5554" s="33"/>
      <c r="B5554" s="33"/>
      <c r="C5554" s="33"/>
      <c r="D5554" s="33"/>
      <c r="E5554" s="33"/>
      <c r="F5554" s="33"/>
      <c r="G5554" s="33"/>
      <c r="H5554" s="33"/>
      <c r="I5554" s="33"/>
      <c r="J5554" s="33"/>
      <c r="K5554" s="33"/>
      <c r="L5554" s="33"/>
      <c r="M5554" s="33"/>
      <c r="N5554" s="33"/>
      <c r="O5554" s="33"/>
      <c r="P5554" s="33"/>
      <c r="Q5554" s="33"/>
      <c r="R5554" s="33"/>
      <c r="S5554" s="33"/>
      <c r="T5554" s="33"/>
      <c r="U5554" s="33"/>
      <c r="V5554" s="33"/>
      <c r="W5554" s="33"/>
      <c r="X5554" s="33"/>
      <c r="Y5554" s="33"/>
      <c r="Z5554" s="33"/>
      <c r="AA5554" s="33"/>
      <c r="AB5554" s="33"/>
      <c r="AC5554" s="33"/>
      <c r="AD5554" s="33"/>
      <c r="AE5554" s="33"/>
      <c r="AF5554" s="33"/>
      <c r="AG5554" s="33"/>
      <c r="AH5554" s="33"/>
      <c r="AI5554" s="33"/>
      <c r="AJ5554" s="33"/>
      <c r="AK5554" s="33"/>
    </row>
    <row r="5555">
      <c r="A5555" s="33"/>
      <c r="B5555" s="33"/>
      <c r="C5555" s="33"/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  <c r="R5555" s="33"/>
      <c r="S5555" s="33"/>
      <c r="T5555" s="33"/>
      <c r="U5555" s="33"/>
      <c r="V5555" s="33"/>
      <c r="W5555" s="33"/>
      <c r="X5555" s="33"/>
      <c r="Y5555" s="33"/>
      <c r="Z5555" s="33"/>
      <c r="AA5555" s="33"/>
      <c r="AB5555" s="33"/>
      <c r="AC5555" s="33"/>
      <c r="AD5555" s="33"/>
      <c r="AE5555" s="33"/>
      <c r="AF5555" s="33"/>
      <c r="AG5555" s="33"/>
      <c r="AH5555" s="33"/>
      <c r="AI5555" s="33"/>
      <c r="AJ5555" s="33"/>
      <c r="AK5555" s="33"/>
    </row>
    <row r="5556">
      <c r="A5556" s="33"/>
      <c r="B5556" s="33"/>
      <c r="C5556" s="33"/>
      <c r="D5556" s="33"/>
      <c r="E5556" s="33"/>
      <c r="F5556" s="33"/>
      <c r="G5556" s="33"/>
      <c r="H5556" s="33"/>
      <c r="I5556" s="33"/>
      <c r="J5556" s="33"/>
      <c r="K5556" s="33"/>
      <c r="L5556" s="33"/>
      <c r="M5556" s="33"/>
      <c r="N5556" s="33"/>
      <c r="O5556" s="33"/>
      <c r="P5556" s="33"/>
      <c r="Q5556" s="33"/>
      <c r="R5556" s="33"/>
      <c r="S5556" s="33"/>
      <c r="T5556" s="33"/>
      <c r="U5556" s="33"/>
      <c r="V5556" s="33"/>
      <c r="W5556" s="33"/>
      <c r="X5556" s="33"/>
      <c r="Y5556" s="33"/>
      <c r="Z5556" s="33"/>
      <c r="AA5556" s="33"/>
      <c r="AB5556" s="33"/>
      <c r="AC5556" s="33"/>
      <c r="AD5556" s="33"/>
      <c r="AE5556" s="33"/>
      <c r="AF5556" s="33"/>
      <c r="AG5556" s="33"/>
      <c r="AH5556" s="33"/>
      <c r="AI5556" s="33"/>
      <c r="AJ5556" s="33"/>
      <c r="AK5556" s="33"/>
    </row>
    <row r="5557">
      <c r="A5557" s="33"/>
      <c r="B5557" s="33"/>
      <c r="C5557" s="33"/>
      <c r="D5557" s="33"/>
      <c r="E5557" s="33"/>
      <c r="F5557" s="33"/>
      <c r="G5557" s="33"/>
      <c r="H5557" s="33"/>
      <c r="I5557" s="33"/>
      <c r="J5557" s="33"/>
      <c r="K5557" s="33"/>
      <c r="L5557" s="33"/>
      <c r="M5557" s="33"/>
      <c r="N5557" s="33"/>
      <c r="O5557" s="33"/>
      <c r="P5557" s="33"/>
      <c r="Q5557" s="33"/>
      <c r="R5557" s="33"/>
      <c r="S5557" s="33"/>
      <c r="T5557" s="33"/>
      <c r="U5557" s="33"/>
      <c r="V5557" s="33"/>
      <c r="W5557" s="33"/>
      <c r="X5557" s="33"/>
      <c r="Y5557" s="33"/>
      <c r="Z5557" s="33"/>
      <c r="AA5557" s="33"/>
      <c r="AB5557" s="33"/>
      <c r="AC5557" s="33"/>
      <c r="AD5557" s="33"/>
      <c r="AE5557" s="33"/>
      <c r="AF5557" s="33"/>
      <c r="AG5557" s="33"/>
      <c r="AH5557" s="33"/>
      <c r="AI5557" s="33"/>
      <c r="AJ5557" s="33"/>
      <c r="AK5557" s="33"/>
    </row>
    <row r="5558">
      <c r="A5558" s="33"/>
      <c r="B5558" s="33"/>
      <c r="C5558" s="33"/>
      <c r="D5558" s="33"/>
      <c r="E5558" s="33"/>
      <c r="F5558" s="33"/>
      <c r="G5558" s="33"/>
      <c r="H5558" s="33"/>
      <c r="I5558" s="33"/>
      <c r="J5558" s="33"/>
      <c r="K5558" s="33"/>
      <c r="L5558" s="33"/>
      <c r="M5558" s="33"/>
      <c r="N5558" s="33"/>
      <c r="O5558" s="33"/>
      <c r="P5558" s="33"/>
      <c r="Q5558" s="33"/>
      <c r="R5558" s="33"/>
      <c r="S5558" s="33"/>
      <c r="T5558" s="33"/>
      <c r="U5558" s="33"/>
      <c r="V5558" s="33"/>
      <c r="W5558" s="33"/>
      <c r="X5558" s="33"/>
      <c r="Y5558" s="33"/>
      <c r="Z5558" s="33"/>
      <c r="AA5558" s="33"/>
      <c r="AB5558" s="33"/>
      <c r="AC5558" s="33"/>
      <c r="AD5558" s="33"/>
      <c r="AE5558" s="33"/>
      <c r="AF5558" s="33"/>
      <c r="AG5558" s="33"/>
      <c r="AH5558" s="33"/>
      <c r="AI5558" s="33"/>
      <c r="AJ5558" s="33"/>
      <c r="AK5558" s="33"/>
    </row>
    <row r="5559">
      <c r="A5559" s="33"/>
      <c r="B5559" s="33"/>
      <c r="C5559" s="33"/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  <c r="Q5559" s="33"/>
      <c r="R5559" s="33"/>
      <c r="S5559" s="33"/>
      <c r="T5559" s="33"/>
      <c r="U5559" s="33"/>
      <c r="V5559" s="33"/>
      <c r="W5559" s="33"/>
      <c r="X5559" s="33"/>
      <c r="Y5559" s="33"/>
      <c r="Z5559" s="33"/>
      <c r="AA5559" s="33"/>
      <c r="AB5559" s="33"/>
      <c r="AC5559" s="33"/>
      <c r="AD5559" s="33"/>
      <c r="AE5559" s="33"/>
      <c r="AF5559" s="33"/>
      <c r="AG5559" s="33"/>
      <c r="AH5559" s="33"/>
      <c r="AI5559" s="33"/>
      <c r="AJ5559" s="33"/>
      <c r="AK5559" s="33"/>
    </row>
    <row r="5560">
      <c r="A5560" s="33"/>
      <c r="B5560" s="33"/>
      <c r="C5560" s="33"/>
      <c r="D5560" s="33"/>
      <c r="E5560" s="33"/>
      <c r="F5560" s="33"/>
      <c r="G5560" s="33"/>
      <c r="H5560" s="33"/>
      <c r="I5560" s="33"/>
      <c r="J5560" s="33"/>
      <c r="K5560" s="33"/>
      <c r="L5560" s="33"/>
      <c r="M5560" s="33"/>
      <c r="N5560" s="33"/>
      <c r="O5560" s="33"/>
      <c r="P5560" s="33"/>
      <c r="Q5560" s="33"/>
      <c r="R5560" s="33"/>
      <c r="S5560" s="33"/>
      <c r="T5560" s="33"/>
      <c r="U5560" s="33"/>
      <c r="V5560" s="33"/>
      <c r="W5560" s="33"/>
      <c r="X5560" s="33"/>
      <c r="Y5560" s="33"/>
      <c r="Z5560" s="33"/>
      <c r="AA5560" s="33"/>
      <c r="AB5560" s="33"/>
      <c r="AC5560" s="33"/>
      <c r="AD5560" s="33"/>
      <c r="AE5560" s="33"/>
      <c r="AF5560" s="33"/>
      <c r="AG5560" s="33"/>
      <c r="AH5560" s="33"/>
      <c r="AI5560" s="33"/>
      <c r="AJ5560" s="33"/>
      <c r="AK5560" s="33"/>
    </row>
    <row r="5561">
      <c r="A5561" s="33"/>
      <c r="B5561" s="33"/>
      <c r="C5561" s="33"/>
      <c r="D5561" s="33"/>
      <c r="E5561" s="33"/>
      <c r="F5561" s="33"/>
      <c r="G5561" s="33"/>
      <c r="H5561" s="33"/>
      <c r="I5561" s="33"/>
      <c r="J5561" s="33"/>
      <c r="K5561" s="33"/>
      <c r="L5561" s="33"/>
      <c r="M5561" s="33"/>
      <c r="N5561" s="33"/>
      <c r="O5561" s="33"/>
      <c r="P5561" s="33"/>
      <c r="Q5561" s="33"/>
      <c r="R5561" s="33"/>
      <c r="S5561" s="33"/>
      <c r="T5561" s="33"/>
      <c r="U5561" s="33"/>
      <c r="V5561" s="33"/>
      <c r="W5561" s="33"/>
      <c r="X5561" s="33"/>
      <c r="Y5561" s="33"/>
      <c r="Z5561" s="33"/>
      <c r="AA5561" s="33"/>
      <c r="AB5561" s="33"/>
      <c r="AC5561" s="33"/>
      <c r="AD5561" s="33"/>
      <c r="AE5561" s="33"/>
      <c r="AF5561" s="33"/>
      <c r="AG5561" s="33"/>
      <c r="AH5561" s="33"/>
      <c r="AI5561" s="33"/>
      <c r="AJ5561" s="33"/>
      <c r="AK5561" s="33"/>
    </row>
    <row r="5562">
      <c r="A5562" s="33"/>
      <c r="B5562" s="33"/>
      <c r="C5562" s="33"/>
      <c r="D5562" s="33"/>
      <c r="E5562" s="33"/>
      <c r="F5562" s="33"/>
      <c r="G5562" s="33"/>
      <c r="H5562" s="33"/>
      <c r="I5562" s="33"/>
      <c r="J5562" s="33"/>
      <c r="K5562" s="33"/>
      <c r="L5562" s="33"/>
      <c r="M5562" s="33"/>
      <c r="N5562" s="33"/>
      <c r="O5562" s="33"/>
      <c r="P5562" s="33"/>
      <c r="Q5562" s="33"/>
      <c r="R5562" s="33"/>
      <c r="S5562" s="33"/>
      <c r="T5562" s="33"/>
      <c r="U5562" s="33"/>
      <c r="V5562" s="33"/>
      <c r="W5562" s="33"/>
      <c r="X5562" s="33"/>
      <c r="Y5562" s="33"/>
      <c r="Z5562" s="33"/>
      <c r="AA5562" s="33"/>
      <c r="AB5562" s="33"/>
      <c r="AC5562" s="33"/>
      <c r="AD5562" s="33"/>
      <c r="AE5562" s="33"/>
      <c r="AF5562" s="33"/>
      <c r="AG5562" s="33"/>
      <c r="AH5562" s="33"/>
      <c r="AI5562" s="33"/>
      <c r="AJ5562" s="33"/>
      <c r="AK5562" s="33"/>
    </row>
    <row r="5563">
      <c r="A5563" s="33"/>
      <c r="B5563" s="33"/>
      <c r="C5563" s="33"/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  <c r="Q5563" s="33"/>
      <c r="R5563" s="33"/>
      <c r="S5563" s="33"/>
      <c r="T5563" s="33"/>
      <c r="U5563" s="33"/>
      <c r="V5563" s="33"/>
      <c r="W5563" s="33"/>
      <c r="X5563" s="33"/>
      <c r="Y5563" s="33"/>
      <c r="Z5563" s="33"/>
      <c r="AA5563" s="33"/>
      <c r="AB5563" s="33"/>
      <c r="AC5563" s="33"/>
      <c r="AD5563" s="33"/>
      <c r="AE5563" s="33"/>
      <c r="AF5563" s="33"/>
      <c r="AG5563" s="33"/>
      <c r="AH5563" s="33"/>
      <c r="AI5563" s="33"/>
      <c r="AJ5563" s="33"/>
      <c r="AK5563" s="33"/>
    </row>
    <row r="5564">
      <c r="A5564" s="33"/>
      <c r="B5564" s="33"/>
      <c r="C5564" s="33"/>
      <c r="D5564" s="33"/>
      <c r="E5564" s="33"/>
      <c r="F5564" s="33"/>
      <c r="G5564" s="33"/>
      <c r="H5564" s="33"/>
      <c r="I5564" s="33"/>
      <c r="J5564" s="33"/>
      <c r="K5564" s="33"/>
      <c r="L5564" s="33"/>
      <c r="M5564" s="33"/>
      <c r="N5564" s="33"/>
      <c r="O5564" s="33"/>
      <c r="P5564" s="33"/>
      <c r="Q5564" s="33"/>
      <c r="R5564" s="33"/>
      <c r="S5564" s="33"/>
      <c r="T5564" s="33"/>
      <c r="U5564" s="33"/>
      <c r="V5564" s="33"/>
      <c r="W5564" s="33"/>
      <c r="X5564" s="33"/>
      <c r="Y5564" s="33"/>
      <c r="Z5564" s="33"/>
      <c r="AA5564" s="33"/>
      <c r="AB5564" s="33"/>
      <c r="AC5564" s="33"/>
      <c r="AD5564" s="33"/>
      <c r="AE5564" s="33"/>
      <c r="AF5564" s="33"/>
      <c r="AG5564" s="33"/>
      <c r="AH5564" s="33"/>
      <c r="AI5564" s="33"/>
      <c r="AJ5564" s="33"/>
      <c r="AK5564" s="33"/>
    </row>
    <row r="5565">
      <c r="A5565" s="33"/>
      <c r="B5565" s="33"/>
      <c r="C5565" s="33"/>
      <c r="D5565" s="33"/>
      <c r="E5565" s="33"/>
      <c r="F5565" s="33"/>
      <c r="G5565" s="33"/>
      <c r="H5565" s="33"/>
      <c r="I5565" s="33"/>
      <c r="J5565" s="33"/>
      <c r="K5565" s="33"/>
      <c r="L5565" s="33"/>
      <c r="M5565" s="33"/>
      <c r="N5565" s="33"/>
      <c r="O5565" s="33"/>
      <c r="P5565" s="33"/>
      <c r="Q5565" s="33"/>
      <c r="R5565" s="33"/>
      <c r="S5565" s="33"/>
      <c r="T5565" s="33"/>
      <c r="U5565" s="33"/>
      <c r="V5565" s="33"/>
      <c r="W5565" s="33"/>
      <c r="X5565" s="33"/>
      <c r="Y5565" s="33"/>
      <c r="Z5565" s="33"/>
      <c r="AA5565" s="33"/>
      <c r="AB5565" s="33"/>
      <c r="AC5565" s="33"/>
      <c r="AD5565" s="33"/>
      <c r="AE5565" s="33"/>
      <c r="AF5565" s="33"/>
      <c r="AG5565" s="33"/>
      <c r="AH5565" s="33"/>
      <c r="AI5565" s="33"/>
      <c r="AJ5565" s="33"/>
      <c r="AK5565" s="33"/>
    </row>
    <row r="5566">
      <c r="A5566" s="33"/>
      <c r="B5566" s="33"/>
      <c r="C5566" s="33"/>
      <c r="D5566" s="33"/>
      <c r="E5566" s="33"/>
      <c r="F5566" s="33"/>
      <c r="G5566" s="33"/>
      <c r="H5566" s="33"/>
      <c r="I5566" s="33"/>
      <c r="J5566" s="33"/>
      <c r="K5566" s="33"/>
      <c r="L5566" s="33"/>
      <c r="M5566" s="33"/>
      <c r="N5566" s="33"/>
      <c r="O5566" s="33"/>
      <c r="P5566" s="33"/>
      <c r="Q5566" s="33"/>
      <c r="R5566" s="33"/>
      <c r="S5566" s="33"/>
      <c r="T5566" s="33"/>
      <c r="U5566" s="33"/>
      <c r="V5566" s="33"/>
      <c r="W5566" s="33"/>
      <c r="X5566" s="33"/>
      <c r="Y5566" s="33"/>
      <c r="Z5566" s="33"/>
      <c r="AA5566" s="33"/>
      <c r="AB5566" s="33"/>
      <c r="AC5566" s="33"/>
      <c r="AD5566" s="33"/>
      <c r="AE5566" s="33"/>
      <c r="AF5566" s="33"/>
      <c r="AG5566" s="33"/>
      <c r="AH5566" s="33"/>
      <c r="AI5566" s="33"/>
      <c r="AJ5566" s="33"/>
      <c r="AK5566" s="33"/>
    </row>
    <row r="5567">
      <c r="A5567" s="33"/>
      <c r="B5567" s="33"/>
      <c r="C5567" s="33"/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  <c r="Q5567" s="33"/>
      <c r="R5567" s="33"/>
      <c r="S5567" s="33"/>
      <c r="T5567" s="33"/>
      <c r="U5567" s="33"/>
      <c r="V5567" s="33"/>
      <c r="W5567" s="33"/>
      <c r="X5567" s="33"/>
      <c r="Y5567" s="33"/>
      <c r="Z5567" s="33"/>
      <c r="AA5567" s="33"/>
      <c r="AB5567" s="33"/>
      <c r="AC5567" s="33"/>
      <c r="AD5567" s="33"/>
      <c r="AE5567" s="33"/>
      <c r="AF5567" s="33"/>
      <c r="AG5567" s="33"/>
      <c r="AH5567" s="33"/>
      <c r="AI5567" s="33"/>
      <c r="AJ5567" s="33"/>
      <c r="AK5567" s="33"/>
    </row>
    <row r="5568">
      <c r="A5568" s="33"/>
      <c r="B5568" s="33"/>
      <c r="C5568" s="33"/>
      <c r="D5568" s="33"/>
      <c r="E5568" s="33"/>
      <c r="F5568" s="33"/>
      <c r="G5568" s="33"/>
      <c r="H5568" s="33"/>
      <c r="I5568" s="33"/>
      <c r="J5568" s="33"/>
      <c r="K5568" s="33"/>
      <c r="L5568" s="33"/>
      <c r="M5568" s="33"/>
      <c r="N5568" s="33"/>
      <c r="O5568" s="33"/>
      <c r="P5568" s="33"/>
      <c r="Q5568" s="33"/>
      <c r="R5568" s="33"/>
      <c r="S5568" s="33"/>
      <c r="T5568" s="33"/>
      <c r="U5568" s="33"/>
      <c r="V5568" s="33"/>
      <c r="W5568" s="33"/>
      <c r="X5568" s="33"/>
      <c r="Y5568" s="33"/>
      <c r="Z5568" s="33"/>
      <c r="AA5568" s="33"/>
      <c r="AB5568" s="33"/>
      <c r="AC5568" s="33"/>
      <c r="AD5568" s="33"/>
      <c r="AE5568" s="33"/>
      <c r="AF5568" s="33"/>
      <c r="AG5568" s="33"/>
      <c r="AH5568" s="33"/>
      <c r="AI5568" s="33"/>
      <c r="AJ5568" s="33"/>
      <c r="AK5568" s="33"/>
    </row>
    <row r="5569">
      <c r="A5569" s="33"/>
      <c r="B5569" s="33"/>
      <c r="C5569" s="33"/>
      <c r="D5569" s="33"/>
      <c r="E5569" s="33"/>
      <c r="F5569" s="33"/>
      <c r="G5569" s="33"/>
      <c r="H5569" s="33"/>
      <c r="I5569" s="33"/>
      <c r="J5569" s="33"/>
      <c r="K5569" s="33"/>
      <c r="L5569" s="33"/>
      <c r="M5569" s="33"/>
      <c r="N5569" s="33"/>
      <c r="O5569" s="33"/>
      <c r="P5569" s="33"/>
      <c r="Q5569" s="33"/>
      <c r="R5569" s="33"/>
      <c r="S5569" s="33"/>
      <c r="T5569" s="33"/>
      <c r="U5569" s="33"/>
      <c r="V5569" s="33"/>
      <c r="W5569" s="33"/>
      <c r="X5569" s="33"/>
      <c r="Y5569" s="33"/>
      <c r="Z5569" s="33"/>
      <c r="AA5569" s="33"/>
      <c r="AB5569" s="33"/>
      <c r="AC5569" s="33"/>
      <c r="AD5569" s="33"/>
      <c r="AE5569" s="33"/>
      <c r="AF5569" s="33"/>
      <c r="AG5569" s="33"/>
      <c r="AH5569" s="33"/>
      <c r="AI5569" s="33"/>
      <c r="AJ5569" s="33"/>
      <c r="AK5569" s="33"/>
    </row>
    <row r="5570">
      <c r="A5570" s="33"/>
      <c r="B5570" s="33"/>
      <c r="C5570" s="33"/>
      <c r="D5570" s="33"/>
      <c r="E5570" s="33"/>
      <c r="F5570" s="33"/>
      <c r="G5570" s="33"/>
      <c r="H5570" s="33"/>
      <c r="I5570" s="33"/>
      <c r="J5570" s="33"/>
      <c r="K5570" s="33"/>
      <c r="L5570" s="33"/>
      <c r="M5570" s="33"/>
      <c r="N5570" s="33"/>
      <c r="O5570" s="33"/>
      <c r="P5570" s="33"/>
      <c r="Q5570" s="33"/>
      <c r="R5570" s="33"/>
      <c r="S5570" s="33"/>
      <c r="T5570" s="33"/>
      <c r="U5570" s="33"/>
      <c r="V5570" s="33"/>
      <c r="W5570" s="33"/>
      <c r="X5570" s="33"/>
      <c r="Y5570" s="33"/>
      <c r="Z5570" s="33"/>
      <c r="AA5570" s="33"/>
      <c r="AB5570" s="33"/>
      <c r="AC5570" s="33"/>
      <c r="AD5570" s="33"/>
      <c r="AE5570" s="33"/>
      <c r="AF5570" s="33"/>
      <c r="AG5570" s="33"/>
      <c r="AH5570" s="33"/>
      <c r="AI5570" s="33"/>
      <c r="AJ5570" s="33"/>
      <c r="AK5570" s="33"/>
    </row>
    <row r="5571">
      <c r="A5571" s="33"/>
      <c r="B5571" s="33"/>
      <c r="C5571" s="33"/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  <c r="Q5571" s="33"/>
      <c r="R5571" s="33"/>
      <c r="S5571" s="33"/>
      <c r="T5571" s="33"/>
      <c r="U5571" s="33"/>
      <c r="V5571" s="33"/>
      <c r="W5571" s="33"/>
      <c r="X5571" s="33"/>
      <c r="Y5571" s="33"/>
      <c r="Z5571" s="33"/>
      <c r="AA5571" s="33"/>
      <c r="AB5571" s="33"/>
      <c r="AC5571" s="33"/>
      <c r="AD5571" s="33"/>
      <c r="AE5571" s="33"/>
      <c r="AF5571" s="33"/>
      <c r="AG5571" s="33"/>
      <c r="AH5571" s="33"/>
      <c r="AI5571" s="33"/>
      <c r="AJ5571" s="33"/>
      <c r="AK5571" s="33"/>
    </row>
    <row r="5572">
      <c r="A5572" s="33"/>
      <c r="B5572" s="33"/>
      <c r="C5572" s="33"/>
      <c r="D5572" s="33"/>
      <c r="E5572" s="33"/>
      <c r="F5572" s="33"/>
      <c r="G5572" s="33"/>
      <c r="H5572" s="33"/>
      <c r="I5572" s="33"/>
      <c r="J5572" s="33"/>
      <c r="K5572" s="33"/>
      <c r="L5572" s="33"/>
      <c r="M5572" s="33"/>
      <c r="N5572" s="33"/>
      <c r="O5572" s="33"/>
      <c r="P5572" s="33"/>
      <c r="Q5572" s="33"/>
      <c r="R5572" s="33"/>
      <c r="S5572" s="33"/>
      <c r="T5572" s="33"/>
      <c r="U5572" s="33"/>
      <c r="V5572" s="33"/>
      <c r="W5572" s="33"/>
      <c r="X5572" s="33"/>
      <c r="Y5572" s="33"/>
      <c r="Z5572" s="33"/>
      <c r="AA5572" s="33"/>
      <c r="AB5572" s="33"/>
      <c r="AC5572" s="33"/>
      <c r="AD5572" s="33"/>
      <c r="AE5572" s="33"/>
      <c r="AF5572" s="33"/>
      <c r="AG5572" s="33"/>
      <c r="AH5572" s="33"/>
      <c r="AI5572" s="33"/>
      <c r="AJ5572" s="33"/>
      <c r="AK5572" s="33"/>
    </row>
    <row r="5573">
      <c r="A5573" s="33"/>
      <c r="B5573" s="33"/>
      <c r="C5573" s="33"/>
      <c r="D5573" s="33"/>
      <c r="E5573" s="33"/>
      <c r="F5573" s="33"/>
      <c r="G5573" s="33"/>
      <c r="H5573" s="33"/>
      <c r="I5573" s="33"/>
      <c r="J5573" s="33"/>
      <c r="K5573" s="33"/>
      <c r="L5573" s="33"/>
      <c r="M5573" s="33"/>
      <c r="N5573" s="33"/>
      <c r="O5573" s="33"/>
      <c r="P5573" s="33"/>
      <c r="Q5573" s="33"/>
      <c r="R5573" s="33"/>
      <c r="S5573" s="33"/>
      <c r="T5573" s="33"/>
      <c r="U5573" s="33"/>
      <c r="V5573" s="33"/>
      <c r="W5573" s="33"/>
      <c r="X5573" s="33"/>
      <c r="Y5573" s="33"/>
      <c r="Z5573" s="33"/>
      <c r="AA5573" s="33"/>
      <c r="AB5573" s="33"/>
      <c r="AC5573" s="33"/>
      <c r="AD5573" s="33"/>
      <c r="AE5573" s="33"/>
      <c r="AF5573" s="33"/>
      <c r="AG5573" s="33"/>
      <c r="AH5573" s="33"/>
      <c r="AI5573" s="33"/>
      <c r="AJ5573" s="33"/>
      <c r="AK5573" s="33"/>
    </row>
    <row r="5574">
      <c r="A5574" s="33"/>
      <c r="B5574" s="33"/>
      <c r="C5574" s="33"/>
      <c r="D5574" s="33"/>
      <c r="E5574" s="33"/>
      <c r="F5574" s="33"/>
      <c r="G5574" s="33"/>
      <c r="H5574" s="33"/>
      <c r="I5574" s="33"/>
      <c r="J5574" s="33"/>
      <c r="K5574" s="33"/>
      <c r="L5574" s="33"/>
      <c r="M5574" s="33"/>
      <c r="N5574" s="33"/>
      <c r="O5574" s="33"/>
      <c r="P5574" s="33"/>
      <c r="Q5574" s="33"/>
      <c r="R5574" s="33"/>
      <c r="S5574" s="33"/>
      <c r="T5574" s="33"/>
      <c r="U5574" s="33"/>
      <c r="V5574" s="33"/>
      <c r="W5574" s="33"/>
      <c r="X5574" s="33"/>
      <c r="Y5574" s="33"/>
      <c r="Z5574" s="33"/>
      <c r="AA5574" s="33"/>
      <c r="AB5574" s="33"/>
      <c r="AC5574" s="33"/>
      <c r="AD5574" s="33"/>
      <c r="AE5574" s="33"/>
      <c r="AF5574" s="33"/>
      <c r="AG5574" s="33"/>
      <c r="AH5574" s="33"/>
      <c r="AI5574" s="33"/>
      <c r="AJ5574" s="33"/>
      <c r="AK5574" s="33"/>
    </row>
    <row r="5575">
      <c r="A5575" s="33"/>
      <c r="B5575" s="33"/>
      <c r="C5575" s="33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  <c r="Q5575" s="33"/>
      <c r="R5575" s="33"/>
      <c r="S5575" s="33"/>
      <c r="T5575" s="33"/>
      <c r="U5575" s="33"/>
      <c r="V5575" s="33"/>
      <c r="W5575" s="33"/>
      <c r="X5575" s="33"/>
      <c r="Y5575" s="33"/>
      <c r="Z5575" s="33"/>
      <c r="AA5575" s="33"/>
      <c r="AB5575" s="33"/>
      <c r="AC5575" s="33"/>
      <c r="AD5575" s="33"/>
      <c r="AE5575" s="33"/>
      <c r="AF5575" s="33"/>
      <c r="AG5575" s="33"/>
      <c r="AH5575" s="33"/>
      <c r="AI5575" s="33"/>
      <c r="AJ5575" s="33"/>
      <c r="AK5575" s="33"/>
    </row>
    <row r="5576">
      <c r="A5576" s="33"/>
      <c r="B5576" s="33"/>
      <c r="C5576" s="33"/>
      <c r="D5576" s="33"/>
      <c r="E5576" s="33"/>
      <c r="F5576" s="33"/>
      <c r="G5576" s="33"/>
      <c r="H5576" s="33"/>
      <c r="I5576" s="33"/>
      <c r="J5576" s="33"/>
      <c r="K5576" s="33"/>
      <c r="L5576" s="33"/>
      <c r="M5576" s="33"/>
      <c r="N5576" s="33"/>
      <c r="O5576" s="33"/>
      <c r="P5576" s="33"/>
      <c r="Q5576" s="33"/>
      <c r="R5576" s="33"/>
      <c r="S5576" s="33"/>
      <c r="T5576" s="33"/>
      <c r="U5576" s="33"/>
      <c r="V5576" s="33"/>
      <c r="W5576" s="33"/>
      <c r="X5576" s="33"/>
      <c r="Y5576" s="33"/>
      <c r="Z5576" s="33"/>
      <c r="AA5576" s="33"/>
      <c r="AB5576" s="33"/>
      <c r="AC5576" s="33"/>
      <c r="AD5576" s="33"/>
      <c r="AE5576" s="33"/>
      <c r="AF5576" s="33"/>
      <c r="AG5576" s="33"/>
      <c r="AH5576" s="33"/>
      <c r="AI5576" s="33"/>
      <c r="AJ5576" s="33"/>
      <c r="AK5576" s="33"/>
    </row>
    <row r="5577">
      <c r="A5577" s="33"/>
      <c r="B5577" s="33"/>
      <c r="C5577" s="33"/>
      <c r="D5577" s="33"/>
      <c r="E5577" s="33"/>
      <c r="F5577" s="33"/>
      <c r="G5577" s="33"/>
      <c r="H5577" s="33"/>
      <c r="I5577" s="33"/>
      <c r="J5577" s="33"/>
      <c r="K5577" s="33"/>
      <c r="L5577" s="33"/>
      <c r="M5577" s="33"/>
      <c r="N5577" s="33"/>
      <c r="O5577" s="33"/>
      <c r="P5577" s="33"/>
      <c r="Q5577" s="33"/>
      <c r="R5577" s="33"/>
      <c r="S5577" s="33"/>
      <c r="T5577" s="33"/>
      <c r="U5577" s="33"/>
      <c r="V5577" s="33"/>
      <c r="W5577" s="33"/>
      <c r="X5577" s="33"/>
      <c r="Y5577" s="33"/>
      <c r="Z5577" s="33"/>
      <c r="AA5577" s="33"/>
      <c r="AB5577" s="33"/>
      <c r="AC5577" s="33"/>
      <c r="AD5577" s="33"/>
      <c r="AE5577" s="33"/>
      <c r="AF5577" s="33"/>
      <c r="AG5577" s="33"/>
      <c r="AH5577" s="33"/>
      <c r="AI5577" s="33"/>
      <c r="AJ5577" s="33"/>
      <c r="AK5577" s="33"/>
    </row>
    <row r="5578">
      <c r="A5578" s="33"/>
      <c r="B5578" s="33"/>
      <c r="C5578" s="33"/>
      <c r="D5578" s="33"/>
      <c r="E5578" s="33"/>
      <c r="F5578" s="33"/>
      <c r="G5578" s="33"/>
      <c r="H5578" s="33"/>
      <c r="I5578" s="33"/>
      <c r="J5578" s="33"/>
      <c r="K5578" s="33"/>
      <c r="L5578" s="33"/>
      <c r="M5578" s="33"/>
      <c r="N5578" s="33"/>
      <c r="O5578" s="33"/>
      <c r="P5578" s="33"/>
      <c r="Q5578" s="33"/>
      <c r="R5578" s="33"/>
      <c r="S5578" s="33"/>
      <c r="T5578" s="33"/>
      <c r="U5578" s="33"/>
      <c r="V5578" s="33"/>
      <c r="W5578" s="33"/>
      <c r="X5578" s="33"/>
      <c r="Y5578" s="33"/>
      <c r="Z5578" s="33"/>
      <c r="AA5578" s="33"/>
      <c r="AB5578" s="33"/>
      <c r="AC5578" s="33"/>
      <c r="AD5578" s="33"/>
      <c r="AE5578" s="33"/>
      <c r="AF5578" s="33"/>
      <c r="AG5578" s="33"/>
      <c r="AH5578" s="33"/>
      <c r="AI5578" s="33"/>
      <c r="AJ5578" s="33"/>
      <c r="AK5578" s="33"/>
    </row>
    <row r="5579">
      <c r="A5579" s="33"/>
      <c r="B5579" s="33"/>
      <c r="C5579" s="33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  <c r="Q5579" s="33"/>
      <c r="R5579" s="33"/>
      <c r="S5579" s="33"/>
      <c r="T5579" s="33"/>
      <c r="U5579" s="33"/>
      <c r="V5579" s="33"/>
      <c r="W5579" s="33"/>
      <c r="X5579" s="33"/>
      <c r="Y5579" s="33"/>
      <c r="Z5579" s="33"/>
      <c r="AA5579" s="33"/>
      <c r="AB5579" s="33"/>
      <c r="AC5579" s="33"/>
      <c r="AD5579" s="33"/>
      <c r="AE5579" s="33"/>
      <c r="AF5579" s="33"/>
      <c r="AG5579" s="33"/>
      <c r="AH5579" s="33"/>
      <c r="AI5579" s="33"/>
      <c r="AJ5579" s="33"/>
      <c r="AK5579" s="33"/>
    </row>
    <row r="5580">
      <c r="A5580" s="33"/>
      <c r="B5580" s="33"/>
      <c r="C5580" s="33"/>
      <c r="D5580" s="33"/>
      <c r="E5580" s="33"/>
      <c r="F5580" s="33"/>
      <c r="G5580" s="33"/>
      <c r="H5580" s="33"/>
      <c r="I5580" s="33"/>
      <c r="J5580" s="33"/>
      <c r="K5580" s="33"/>
      <c r="L5580" s="33"/>
      <c r="M5580" s="33"/>
      <c r="N5580" s="33"/>
      <c r="O5580" s="33"/>
      <c r="P5580" s="33"/>
      <c r="Q5580" s="33"/>
      <c r="R5580" s="33"/>
      <c r="S5580" s="33"/>
      <c r="T5580" s="33"/>
      <c r="U5580" s="33"/>
      <c r="V5580" s="33"/>
      <c r="W5580" s="33"/>
      <c r="X5580" s="33"/>
      <c r="Y5580" s="33"/>
      <c r="Z5580" s="33"/>
      <c r="AA5580" s="33"/>
      <c r="AB5580" s="33"/>
      <c r="AC5580" s="33"/>
      <c r="AD5580" s="33"/>
      <c r="AE5580" s="33"/>
      <c r="AF5580" s="33"/>
      <c r="AG5580" s="33"/>
      <c r="AH5580" s="33"/>
      <c r="AI5580" s="33"/>
      <c r="AJ5580" s="33"/>
      <c r="AK5580" s="33"/>
    </row>
    <row r="5581">
      <c r="A5581" s="33"/>
      <c r="B5581" s="33"/>
      <c r="C5581" s="33"/>
      <c r="D5581" s="33"/>
      <c r="E5581" s="33"/>
      <c r="F5581" s="33"/>
      <c r="G5581" s="33"/>
      <c r="H5581" s="33"/>
      <c r="I5581" s="33"/>
      <c r="J5581" s="33"/>
      <c r="K5581" s="33"/>
      <c r="L5581" s="33"/>
      <c r="M5581" s="33"/>
      <c r="N5581" s="33"/>
      <c r="O5581" s="33"/>
      <c r="P5581" s="33"/>
      <c r="Q5581" s="33"/>
      <c r="R5581" s="33"/>
      <c r="S5581" s="33"/>
      <c r="T5581" s="33"/>
      <c r="U5581" s="33"/>
      <c r="V5581" s="33"/>
      <c r="W5581" s="33"/>
      <c r="X5581" s="33"/>
      <c r="Y5581" s="33"/>
      <c r="Z5581" s="33"/>
      <c r="AA5581" s="33"/>
      <c r="AB5581" s="33"/>
      <c r="AC5581" s="33"/>
      <c r="AD5581" s="33"/>
      <c r="AE5581" s="33"/>
      <c r="AF5581" s="33"/>
      <c r="AG5581" s="33"/>
      <c r="AH5581" s="33"/>
      <c r="AI5581" s="33"/>
      <c r="AJ5581" s="33"/>
      <c r="AK5581" s="33"/>
    </row>
    <row r="5582">
      <c r="A5582" s="33"/>
      <c r="B5582" s="33"/>
      <c r="C5582" s="33"/>
      <c r="D5582" s="33"/>
      <c r="E5582" s="33"/>
      <c r="F5582" s="33"/>
      <c r="G5582" s="33"/>
      <c r="H5582" s="33"/>
      <c r="I5582" s="33"/>
      <c r="J5582" s="33"/>
      <c r="K5582" s="33"/>
      <c r="L5582" s="33"/>
      <c r="M5582" s="33"/>
      <c r="N5582" s="33"/>
      <c r="O5582" s="33"/>
      <c r="P5582" s="33"/>
      <c r="Q5582" s="33"/>
      <c r="R5582" s="33"/>
      <c r="S5582" s="33"/>
      <c r="T5582" s="33"/>
      <c r="U5582" s="33"/>
      <c r="V5582" s="33"/>
      <c r="W5582" s="33"/>
      <c r="X5582" s="33"/>
      <c r="Y5582" s="33"/>
      <c r="Z5582" s="33"/>
      <c r="AA5582" s="33"/>
      <c r="AB5582" s="33"/>
      <c r="AC5582" s="33"/>
      <c r="AD5582" s="33"/>
      <c r="AE5582" s="33"/>
      <c r="AF5582" s="33"/>
      <c r="AG5582" s="33"/>
      <c r="AH5582" s="33"/>
      <c r="AI5582" s="33"/>
      <c r="AJ5582" s="33"/>
      <c r="AK5582" s="33"/>
    </row>
    <row r="5583">
      <c r="A5583" s="33"/>
      <c r="B5583" s="33"/>
      <c r="C5583" s="33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  <c r="Q5583" s="33"/>
      <c r="R5583" s="33"/>
      <c r="S5583" s="33"/>
      <c r="T5583" s="33"/>
      <c r="U5583" s="33"/>
      <c r="V5583" s="33"/>
      <c r="W5583" s="33"/>
      <c r="X5583" s="33"/>
      <c r="Y5583" s="33"/>
      <c r="Z5583" s="33"/>
      <c r="AA5583" s="33"/>
      <c r="AB5583" s="33"/>
      <c r="AC5583" s="33"/>
      <c r="AD5583" s="33"/>
      <c r="AE5583" s="33"/>
      <c r="AF5583" s="33"/>
      <c r="AG5583" s="33"/>
      <c r="AH5583" s="33"/>
      <c r="AI5583" s="33"/>
      <c r="AJ5583" s="33"/>
      <c r="AK5583" s="33"/>
    </row>
    <row r="5584">
      <c r="A5584" s="33"/>
      <c r="B5584" s="33"/>
      <c r="C5584" s="33"/>
      <c r="D5584" s="33"/>
      <c r="E5584" s="33"/>
      <c r="F5584" s="33"/>
      <c r="G5584" s="33"/>
      <c r="H5584" s="33"/>
      <c r="I5584" s="33"/>
      <c r="J5584" s="33"/>
      <c r="K5584" s="33"/>
      <c r="L5584" s="33"/>
      <c r="M5584" s="33"/>
      <c r="N5584" s="33"/>
      <c r="O5584" s="33"/>
      <c r="P5584" s="33"/>
      <c r="Q5584" s="33"/>
      <c r="R5584" s="33"/>
      <c r="S5584" s="33"/>
      <c r="T5584" s="33"/>
      <c r="U5584" s="33"/>
      <c r="V5584" s="33"/>
      <c r="W5584" s="33"/>
      <c r="X5584" s="33"/>
      <c r="Y5584" s="33"/>
      <c r="Z5584" s="33"/>
      <c r="AA5584" s="33"/>
      <c r="AB5584" s="33"/>
      <c r="AC5584" s="33"/>
      <c r="AD5584" s="33"/>
      <c r="AE5584" s="33"/>
      <c r="AF5584" s="33"/>
      <c r="AG5584" s="33"/>
      <c r="AH5584" s="33"/>
      <c r="AI5584" s="33"/>
      <c r="AJ5584" s="33"/>
      <c r="AK5584" s="33"/>
    </row>
    <row r="5585">
      <c r="A5585" s="33"/>
      <c r="B5585" s="33"/>
      <c r="C5585" s="33"/>
      <c r="D5585" s="33"/>
      <c r="E5585" s="33"/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33"/>
      <c r="Q5585" s="33"/>
      <c r="R5585" s="33"/>
      <c r="S5585" s="33"/>
      <c r="T5585" s="33"/>
      <c r="U5585" s="33"/>
      <c r="V5585" s="33"/>
      <c r="W5585" s="33"/>
      <c r="X5585" s="33"/>
      <c r="Y5585" s="33"/>
      <c r="Z5585" s="33"/>
      <c r="AA5585" s="33"/>
      <c r="AB5585" s="33"/>
      <c r="AC5585" s="33"/>
      <c r="AD5585" s="33"/>
      <c r="AE5585" s="33"/>
      <c r="AF5585" s="33"/>
      <c r="AG5585" s="33"/>
      <c r="AH5585" s="33"/>
      <c r="AI5585" s="33"/>
      <c r="AJ5585" s="33"/>
      <c r="AK5585" s="33"/>
    </row>
    <row r="5586">
      <c r="A5586" s="33"/>
      <c r="B5586" s="33"/>
      <c r="C5586" s="33"/>
      <c r="D5586" s="33"/>
      <c r="E5586" s="33"/>
      <c r="F5586" s="33"/>
      <c r="G5586" s="33"/>
      <c r="H5586" s="33"/>
      <c r="I5586" s="33"/>
      <c r="J5586" s="33"/>
      <c r="K5586" s="33"/>
      <c r="L5586" s="33"/>
      <c r="M5586" s="33"/>
      <c r="N5586" s="33"/>
      <c r="O5586" s="33"/>
      <c r="P5586" s="33"/>
      <c r="Q5586" s="33"/>
      <c r="R5586" s="33"/>
      <c r="S5586" s="33"/>
      <c r="T5586" s="33"/>
      <c r="U5586" s="33"/>
      <c r="V5586" s="33"/>
      <c r="W5586" s="33"/>
      <c r="X5586" s="33"/>
      <c r="Y5586" s="33"/>
      <c r="Z5586" s="33"/>
      <c r="AA5586" s="33"/>
      <c r="AB5586" s="33"/>
      <c r="AC5586" s="33"/>
      <c r="AD5586" s="33"/>
      <c r="AE5586" s="33"/>
      <c r="AF5586" s="33"/>
      <c r="AG5586" s="33"/>
      <c r="AH5586" s="33"/>
      <c r="AI5586" s="33"/>
      <c r="AJ5586" s="33"/>
      <c r="AK5586" s="33"/>
    </row>
    <row r="5587">
      <c r="A5587" s="33"/>
      <c r="B5587" s="33"/>
      <c r="C5587" s="33"/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  <c r="Q5587" s="33"/>
      <c r="R5587" s="33"/>
      <c r="S5587" s="33"/>
      <c r="T5587" s="33"/>
      <c r="U5587" s="33"/>
      <c r="V5587" s="33"/>
      <c r="W5587" s="33"/>
      <c r="X5587" s="33"/>
      <c r="Y5587" s="33"/>
      <c r="Z5587" s="33"/>
      <c r="AA5587" s="33"/>
      <c r="AB5587" s="33"/>
      <c r="AC5587" s="33"/>
      <c r="AD5587" s="33"/>
      <c r="AE5587" s="33"/>
      <c r="AF5587" s="33"/>
      <c r="AG5587" s="33"/>
      <c r="AH5587" s="33"/>
      <c r="AI5587" s="33"/>
      <c r="AJ5587" s="33"/>
      <c r="AK5587" s="33"/>
    </row>
    <row r="5588">
      <c r="A5588" s="33"/>
      <c r="B5588" s="33"/>
      <c r="C5588" s="33"/>
      <c r="D5588" s="33"/>
      <c r="E5588" s="33"/>
      <c r="F5588" s="33"/>
      <c r="G5588" s="33"/>
      <c r="H5588" s="33"/>
      <c r="I5588" s="33"/>
      <c r="J5588" s="33"/>
      <c r="K5588" s="33"/>
      <c r="L5588" s="33"/>
      <c r="M5588" s="33"/>
      <c r="N5588" s="33"/>
      <c r="O5588" s="33"/>
      <c r="P5588" s="33"/>
      <c r="Q5588" s="33"/>
      <c r="R5588" s="33"/>
      <c r="S5588" s="33"/>
      <c r="T5588" s="33"/>
      <c r="U5588" s="33"/>
      <c r="V5588" s="33"/>
      <c r="W5588" s="33"/>
      <c r="X5588" s="33"/>
      <c r="Y5588" s="33"/>
      <c r="Z5588" s="33"/>
      <c r="AA5588" s="33"/>
      <c r="AB5588" s="33"/>
      <c r="AC5588" s="33"/>
      <c r="AD5588" s="33"/>
      <c r="AE5588" s="33"/>
      <c r="AF5588" s="33"/>
      <c r="AG5588" s="33"/>
      <c r="AH5588" s="33"/>
      <c r="AI5588" s="33"/>
      <c r="AJ5588" s="33"/>
      <c r="AK5588" s="33"/>
    </row>
    <row r="5589">
      <c r="A5589" s="33"/>
      <c r="B5589" s="33"/>
      <c r="C5589" s="33"/>
      <c r="D5589" s="33"/>
      <c r="E5589" s="33"/>
      <c r="F5589" s="33"/>
      <c r="G5589" s="33"/>
      <c r="H5589" s="33"/>
      <c r="I5589" s="33"/>
      <c r="J5589" s="33"/>
      <c r="K5589" s="33"/>
      <c r="L5589" s="33"/>
      <c r="M5589" s="33"/>
      <c r="N5589" s="33"/>
      <c r="O5589" s="33"/>
      <c r="P5589" s="33"/>
      <c r="Q5589" s="33"/>
      <c r="R5589" s="33"/>
      <c r="S5589" s="33"/>
      <c r="T5589" s="33"/>
      <c r="U5589" s="33"/>
      <c r="V5589" s="33"/>
      <c r="W5589" s="33"/>
      <c r="X5589" s="33"/>
      <c r="Y5589" s="33"/>
      <c r="Z5589" s="33"/>
      <c r="AA5589" s="33"/>
      <c r="AB5589" s="33"/>
      <c r="AC5589" s="33"/>
      <c r="AD5589" s="33"/>
      <c r="AE5589" s="33"/>
      <c r="AF5589" s="33"/>
      <c r="AG5589" s="33"/>
      <c r="AH5589" s="33"/>
      <c r="AI5589" s="33"/>
      <c r="AJ5589" s="33"/>
      <c r="AK5589" s="33"/>
    </row>
    <row r="5590">
      <c r="A5590" s="33"/>
      <c r="B5590" s="33"/>
      <c r="C5590" s="33"/>
      <c r="D5590" s="33"/>
      <c r="E5590" s="33"/>
      <c r="F5590" s="33"/>
      <c r="G5590" s="33"/>
      <c r="H5590" s="33"/>
      <c r="I5590" s="33"/>
      <c r="J5590" s="33"/>
      <c r="K5590" s="33"/>
      <c r="L5590" s="33"/>
      <c r="M5590" s="33"/>
      <c r="N5590" s="33"/>
      <c r="O5590" s="33"/>
      <c r="P5590" s="33"/>
      <c r="Q5590" s="33"/>
      <c r="R5590" s="33"/>
      <c r="S5590" s="33"/>
      <c r="T5590" s="33"/>
      <c r="U5590" s="33"/>
      <c r="V5590" s="33"/>
      <c r="W5590" s="33"/>
      <c r="X5590" s="33"/>
      <c r="Y5590" s="33"/>
      <c r="Z5590" s="33"/>
      <c r="AA5590" s="33"/>
      <c r="AB5590" s="33"/>
      <c r="AC5590" s="33"/>
      <c r="AD5590" s="33"/>
      <c r="AE5590" s="33"/>
      <c r="AF5590" s="33"/>
      <c r="AG5590" s="33"/>
      <c r="AH5590" s="33"/>
      <c r="AI5590" s="33"/>
      <c r="AJ5590" s="33"/>
      <c r="AK5590" s="33"/>
    </row>
    <row r="5591">
      <c r="A5591" s="33"/>
      <c r="B5591" s="33"/>
      <c r="C5591" s="33"/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  <c r="Q5591" s="33"/>
      <c r="R5591" s="33"/>
      <c r="S5591" s="33"/>
      <c r="T5591" s="33"/>
      <c r="U5591" s="33"/>
      <c r="V5591" s="33"/>
      <c r="W5591" s="33"/>
      <c r="X5591" s="33"/>
      <c r="Y5591" s="33"/>
      <c r="Z5591" s="33"/>
      <c r="AA5591" s="33"/>
      <c r="AB5591" s="33"/>
      <c r="AC5591" s="33"/>
      <c r="AD5591" s="33"/>
      <c r="AE5591" s="33"/>
      <c r="AF5591" s="33"/>
      <c r="AG5591" s="33"/>
      <c r="AH5591" s="33"/>
      <c r="AI5591" s="33"/>
      <c r="AJ5591" s="33"/>
      <c r="AK5591" s="33"/>
    </row>
    <row r="5592">
      <c r="A5592" s="33"/>
      <c r="B5592" s="33"/>
      <c r="C5592" s="33"/>
      <c r="D5592" s="33"/>
      <c r="E5592" s="33"/>
      <c r="F5592" s="33"/>
      <c r="G5592" s="33"/>
      <c r="H5592" s="33"/>
      <c r="I5592" s="33"/>
      <c r="J5592" s="33"/>
      <c r="K5592" s="33"/>
      <c r="L5592" s="33"/>
      <c r="M5592" s="33"/>
      <c r="N5592" s="33"/>
      <c r="O5592" s="33"/>
      <c r="P5592" s="33"/>
      <c r="Q5592" s="33"/>
      <c r="R5592" s="33"/>
      <c r="S5592" s="33"/>
      <c r="T5592" s="33"/>
      <c r="U5592" s="33"/>
      <c r="V5592" s="33"/>
      <c r="W5592" s="33"/>
      <c r="X5592" s="33"/>
      <c r="Y5592" s="33"/>
      <c r="Z5592" s="33"/>
      <c r="AA5592" s="33"/>
      <c r="AB5592" s="33"/>
      <c r="AC5592" s="33"/>
      <c r="AD5592" s="33"/>
      <c r="AE5592" s="33"/>
      <c r="AF5592" s="33"/>
      <c r="AG5592" s="33"/>
      <c r="AH5592" s="33"/>
      <c r="AI5592" s="33"/>
      <c r="AJ5592" s="33"/>
      <c r="AK5592" s="33"/>
    </row>
    <row r="5593">
      <c r="A5593" s="33"/>
      <c r="B5593" s="33"/>
      <c r="C5593" s="33"/>
      <c r="D5593" s="33"/>
      <c r="E5593" s="33"/>
      <c r="F5593" s="33"/>
      <c r="G5593" s="33"/>
      <c r="H5593" s="33"/>
      <c r="I5593" s="33"/>
      <c r="J5593" s="33"/>
      <c r="K5593" s="33"/>
      <c r="L5593" s="33"/>
      <c r="M5593" s="33"/>
      <c r="N5593" s="33"/>
      <c r="O5593" s="33"/>
      <c r="P5593" s="33"/>
      <c r="Q5593" s="33"/>
      <c r="R5593" s="33"/>
      <c r="S5593" s="33"/>
      <c r="T5593" s="33"/>
      <c r="U5593" s="33"/>
      <c r="V5593" s="33"/>
      <c r="W5593" s="33"/>
      <c r="X5593" s="33"/>
      <c r="Y5593" s="33"/>
      <c r="Z5593" s="33"/>
      <c r="AA5593" s="33"/>
      <c r="AB5593" s="33"/>
      <c r="AC5593" s="33"/>
      <c r="AD5593" s="33"/>
      <c r="AE5593" s="33"/>
      <c r="AF5593" s="33"/>
      <c r="AG5593" s="33"/>
      <c r="AH5593" s="33"/>
      <c r="AI5593" s="33"/>
      <c r="AJ5593" s="33"/>
      <c r="AK5593" s="33"/>
    </row>
    <row r="5594">
      <c r="A5594" s="33"/>
      <c r="B5594" s="33"/>
      <c r="C5594" s="33"/>
      <c r="D5594" s="33"/>
      <c r="E5594" s="33"/>
      <c r="F5594" s="33"/>
      <c r="G5594" s="33"/>
      <c r="H5594" s="33"/>
      <c r="I5594" s="33"/>
      <c r="J5594" s="33"/>
      <c r="K5594" s="33"/>
      <c r="L5594" s="33"/>
      <c r="M5594" s="33"/>
      <c r="N5594" s="33"/>
      <c r="O5594" s="33"/>
      <c r="P5594" s="33"/>
      <c r="Q5594" s="33"/>
      <c r="R5594" s="33"/>
      <c r="S5594" s="33"/>
      <c r="T5594" s="33"/>
      <c r="U5594" s="33"/>
      <c r="V5594" s="33"/>
      <c r="W5594" s="33"/>
      <c r="X5594" s="33"/>
      <c r="Y5594" s="33"/>
      <c r="Z5594" s="33"/>
      <c r="AA5594" s="33"/>
      <c r="AB5594" s="33"/>
      <c r="AC5594" s="33"/>
      <c r="AD5594" s="33"/>
      <c r="AE5594" s="33"/>
      <c r="AF5594" s="33"/>
      <c r="AG5594" s="33"/>
      <c r="AH5594" s="33"/>
      <c r="AI5594" s="33"/>
      <c r="AJ5594" s="33"/>
      <c r="AK5594" s="33"/>
    </row>
    <row r="5595">
      <c r="A5595" s="33"/>
      <c r="B5595" s="33"/>
      <c r="C5595" s="33"/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  <c r="Q5595" s="33"/>
      <c r="R5595" s="33"/>
      <c r="S5595" s="33"/>
      <c r="T5595" s="33"/>
      <c r="U5595" s="33"/>
      <c r="V5595" s="33"/>
      <c r="W5595" s="33"/>
      <c r="X5595" s="33"/>
      <c r="Y5595" s="33"/>
      <c r="Z5595" s="33"/>
      <c r="AA5595" s="33"/>
      <c r="AB5595" s="33"/>
      <c r="AC5595" s="33"/>
      <c r="AD5595" s="33"/>
      <c r="AE5595" s="33"/>
      <c r="AF5595" s="33"/>
      <c r="AG5595" s="33"/>
      <c r="AH5595" s="33"/>
      <c r="AI5595" s="33"/>
      <c r="AJ5595" s="33"/>
      <c r="AK5595" s="33"/>
    </row>
    <row r="5596">
      <c r="A5596" s="33"/>
      <c r="B5596" s="33"/>
      <c r="C5596" s="33"/>
      <c r="D5596" s="33"/>
      <c r="E5596" s="33"/>
      <c r="F5596" s="33"/>
      <c r="G5596" s="33"/>
      <c r="H5596" s="33"/>
      <c r="I5596" s="33"/>
      <c r="J5596" s="33"/>
      <c r="K5596" s="33"/>
      <c r="L5596" s="33"/>
      <c r="M5596" s="33"/>
      <c r="N5596" s="33"/>
      <c r="O5596" s="33"/>
      <c r="P5596" s="33"/>
      <c r="Q5596" s="33"/>
      <c r="R5596" s="33"/>
      <c r="S5596" s="33"/>
      <c r="T5596" s="33"/>
      <c r="U5596" s="33"/>
      <c r="V5596" s="33"/>
      <c r="W5596" s="33"/>
      <c r="X5596" s="33"/>
      <c r="Y5596" s="33"/>
      <c r="Z5596" s="33"/>
      <c r="AA5596" s="33"/>
      <c r="AB5596" s="33"/>
      <c r="AC5596" s="33"/>
      <c r="AD5596" s="33"/>
      <c r="AE5596" s="33"/>
      <c r="AF5596" s="33"/>
      <c r="AG5596" s="33"/>
      <c r="AH5596" s="33"/>
      <c r="AI5596" s="33"/>
      <c r="AJ5596" s="33"/>
      <c r="AK5596" s="33"/>
    </row>
    <row r="5597">
      <c r="A5597" s="33"/>
      <c r="B5597" s="33"/>
      <c r="C5597" s="33"/>
      <c r="D5597" s="33"/>
      <c r="E5597" s="33"/>
      <c r="F5597" s="33"/>
      <c r="G5597" s="33"/>
      <c r="H5597" s="33"/>
      <c r="I5597" s="33"/>
      <c r="J5597" s="33"/>
      <c r="K5597" s="33"/>
      <c r="L5597" s="33"/>
      <c r="M5597" s="33"/>
      <c r="N5597" s="33"/>
      <c r="O5597" s="33"/>
      <c r="P5597" s="33"/>
      <c r="Q5597" s="33"/>
      <c r="R5597" s="33"/>
      <c r="S5597" s="33"/>
      <c r="T5597" s="33"/>
      <c r="U5597" s="33"/>
      <c r="V5597" s="33"/>
      <c r="W5597" s="33"/>
      <c r="X5597" s="33"/>
      <c r="Y5597" s="33"/>
      <c r="Z5597" s="33"/>
      <c r="AA5597" s="33"/>
      <c r="AB5597" s="33"/>
      <c r="AC5597" s="33"/>
      <c r="AD5597" s="33"/>
      <c r="AE5597" s="33"/>
      <c r="AF5597" s="33"/>
      <c r="AG5597" s="33"/>
      <c r="AH5597" s="33"/>
      <c r="AI5597" s="33"/>
      <c r="AJ5597" s="33"/>
      <c r="AK5597" s="33"/>
    </row>
    <row r="5598">
      <c r="A5598" s="33"/>
      <c r="B5598" s="33"/>
      <c r="C5598" s="33"/>
      <c r="D5598" s="33"/>
      <c r="E5598" s="33"/>
      <c r="F5598" s="33"/>
      <c r="G5598" s="33"/>
      <c r="H5598" s="33"/>
      <c r="I5598" s="33"/>
      <c r="J5598" s="33"/>
      <c r="K5598" s="33"/>
      <c r="L5598" s="33"/>
      <c r="M5598" s="33"/>
      <c r="N5598" s="33"/>
      <c r="O5598" s="33"/>
      <c r="P5598" s="33"/>
      <c r="Q5598" s="33"/>
      <c r="R5598" s="33"/>
      <c r="S5598" s="33"/>
      <c r="T5598" s="33"/>
      <c r="U5598" s="33"/>
      <c r="V5598" s="33"/>
      <c r="W5598" s="33"/>
      <c r="X5598" s="33"/>
      <c r="Y5598" s="33"/>
      <c r="Z5598" s="33"/>
      <c r="AA5598" s="33"/>
      <c r="AB5598" s="33"/>
      <c r="AC5598" s="33"/>
      <c r="AD5598" s="33"/>
      <c r="AE5598" s="33"/>
      <c r="AF5598" s="33"/>
      <c r="AG5598" s="33"/>
      <c r="AH5598" s="33"/>
      <c r="AI5598" s="33"/>
      <c r="AJ5598" s="33"/>
      <c r="AK5598" s="33"/>
    </row>
    <row r="5599">
      <c r="A5599" s="33"/>
      <c r="B5599" s="33"/>
      <c r="C5599" s="33"/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33"/>
      <c r="V5599" s="33"/>
      <c r="W5599" s="33"/>
      <c r="X5599" s="33"/>
      <c r="Y5599" s="33"/>
      <c r="Z5599" s="33"/>
      <c r="AA5599" s="33"/>
      <c r="AB5599" s="33"/>
      <c r="AC5599" s="33"/>
      <c r="AD5599" s="33"/>
      <c r="AE5599" s="33"/>
      <c r="AF5599" s="33"/>
      <c r="AG5599" s="33"/>
      <c r="AH5599" s="33"/>
      <c r="AI5599" s="33"/>
      <c r="AJ5599" s="33"/>
      <c r="AK5599" s="33"/>
    </row>
    <row r="5600">
      <c r="A5600" s="33"/>
      <c r="B5600" s="33"/>
      <c r="C5600" s="33"/>
      <c r="D5600" s="33"/>
      <c r="E5600" s="33"/>
      <c r="F5600" s="33"/>
      <c r="G5600" s="33"/>
      <c r="H5600" s="33"/>
      <c r="I5600" s="33"/>
      <c r="J5600" s="33"/>
      <c r="K5600" s="33"/>
      <c r="L5600" s="33"/>
      <c r="M5600" s="33"/>
      <c r="N5600" s="33"/>
      <c r="O5600" s="33"/>
      <c r="P5600" s="33"/>
      <c r="Q5600" s="33"/>
      <c r="R5600" s="33"/>
      <c r="S5600" s="33"/>
      <c r="T5600" s="33"/>
      <c r="U5600" s="33"/>
      <c r="V5600" s="33"/>
      <c r="W5600" s="33"/>
      <c r="X5600" s="33"/>
      <c r="Y5600" s="33"/>
      <c r="Z5600" s="33"/>
      <c r="AA5600" s="33"/>
      <c r="AB5600" s="33"/>
      <c r="AC5600" s="33"/>
      <c r="AD5600" s="33"/>
      <c r="AE5600" s="33"/>
      <c r="AF5600" s="33"/>
      <c r="AG5600" s="33"/>
      <c r="AH5600" s="33"/>
      <c r="AI5600" s="33"/>
      <c r="AJ5600" s="33"/>
      <c r="AK5600" s="33"/>
    </row>
    <row r="5601">
      <c r="A5601" s="33"/>
      <c r="B5601" s="33"/>
      <c r="C5601" s="33"/>
      <c r="D5601" s="33"/>
      <c r="E5601" s="33"/>
      <c r="F5601" s="33"/>
      <c r="G5601" s="33"/>
      <c r="H5601" s="33"/>
      <c r="I5601" s="33"/>
      <c r="J5601" s="33"/>
      <c r="K5601" s="33"/>
      <c r="L5601" s="33"/>
      <c r="M5601" s="33"/>
      <c r="N5601" s="33"/>
      <c r="O5601" s="33"/>
      <c r="P5601" s="33"/>
      <c r="Q5601" s="33"/>
      <c r="R5601" s="33"/>
      <c r="S5601" s="33"/>
      <c r="T5601" s="33"/>
      <c r="U5601" s="33"/>
      <c r="V5601" s="33"/>
      <c r="W5601" s="33"/>
      <c r="X5601" s="33"/>
      <c r="Y5601" s="33"/>
      <c r="Z5601" s="33"/>
      <c r="AA5601" s="33"/>
      <c r="AB5601" s="33"/>
      <c r="AC5601" s="33"/>
      <c r="AD5601" s="33"/>
      <c r="AE5601" s="33"/>
      <c r="AF5601" s="33"/>
      <c r="AG5601" s="33"/>
      <c r="AH5601" s="33"/>
      <c r="AI5601" s="33"/>
      <c r="AJ5601" s="33"/>
      <c r="AK5601" s="33"/>
    </row>
    <row r="5602">
      <c r="A5602" s="33"/>
      <c r="B5602" s="33"/>
      <c r="C5602" s="33"/>
      <c r="D5602" s="33"/>
      <c r="E5602" s="33"/>
      <c r="F5602" s="33"/>
      <c r="G5602" s="33"/>
      <c r="H5602" s="33"/>
      <c r="I5602" s="33"/>
      <c r="J5602" s="33"/>
      <c r="K5602" s="33"/>
      <c r="L5602" s="33"/>
      <c r="M5602" s="33"/>
      <c r="N5602" s="33"/>
      <c r="O5602" s="33"/>
      <c r="P5602" s="33"/>
      <c r="Q5602" s="33"/>
      <c r="R5602" s="33"/>
      <c r="S5602" s="33"/>
      <c r="T5602" s="33"/>
      <c r="U5602" s="33"/>
      <c r="V5602" s="33"/>
      <c r="W5602" s="33"/>
      <c r="X5602" s="33"/>
      <c r="Y5602" s="33"/>
      <c r="Z5602" s="33"/>
      <c r="AA5602" s="33"/>
      <c r="AB5602" s="33"/>
      <c r="AC5602" s="33"/>
      <c r="AD5602" s="33"/>
      <c r="AE5602" s="33"/>
      <c r="AF5602" s="33"/>
      <c r="AG5602" s="33"/>
      <c r="AH5602" s="33"/>
      <c r="AI5602" s="33"/>
      <c r="AJ5602" s="33"/>
      <c r="AK5602" s="33"/>
    </row>
    <row r="5603">
      <c r="A5603" s="33"/>
      <c r="B5603" s="33"/>
      <c r="C5603" s="33"/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  <c r="Q5603" s="33"/>
      <c r="R5603" s="33"/>
      <c r="S5603" s="33"/>
      <c r="T5603" s="33"/>
      <c r="U5603" s="33"/>
      <c r="V5603" s="33"/>
      <c r="W5603" s="33"/>
      <c r="X5603" s="33"/>
      <c r="Y5603" s="33"/>
      <c r="Z5603" s="33"/>
      <c r="AA5603" s="33"/>
      <c r="AB5603" s="33"/>
      <c r="AC5603" s="33"/>
      <c r="AD5603" s="33"/>
      <c r="AE5603" s="33"/>
      <c r="AF5603" s="33"/>
      <c r="AG5603" s="33"/>
      <c r="AH5603" s="33"/>
      <c r="AI5603" s="33"/>
      <c r="AJ5603" s="33"/>
      <c r="AK5603" s="33"/>
    </row>
    <row r="5604">
      <c r="A5604" s="33"/>
      <c r="B5604" s="33"/>
      <c r="C5604" s="33"/>
      <c r="D5604" s="33"/>
      <c r="E5604" s="33"/>
      <c r="F5604" s="33"/>
      <c r="G5604" s="33"/>
      <c r="H5604" s="33"/>
      <c r="I5604" s="33"/>
      <c r="J5604" s="33"/>
      <c r="K5604" s="33"/>
      <c r="L5604" s="33"/>
      <c r="M5604" s="33"/>
      <c r="N5604" s="33"/>
      <c r="O5604" s="33"/>
      <c r="P5604" s="33"/>
      <c r="Q5604" s="33"/>
      <c r="R5604" s="33"/>
      <c r="S5604" s="33"/>
      <c r="T5604" s="33"/>
      <c r="U5604" s="33"/>
      <c r="V5604" s="33"/>
      <c r="W5604" s="33"/>
      <c r="X5604" s="33"/>
      <c r="Y5604" s="33"/>
      <c r="Z5604" s="33"/>
      <c r="AA5604" s="33"/>
      <c r="AB5604" s="33"/>
      <c r="AC5604" s="33"/>
      <c r="AD5604" s="33"/>
      <c r="AE5604" s="33"/>
      <c r="AF5604" s="33"/>
      <c r="AG5604" s="33"/>
      <c r="AH5604" s="33"/>
      <c r="AI5604" s="33"/>
      <c r="AJ5604" s="33"/>
      <c r="AK5604" s="33"/>
    </row>
    <row r="5605">
      <c r="A5605" s="33"/>
      <c r="B5605" s="33"/>
      <c r="C5605" s="33"/>
      <c r="D5605" s="33"/>
      <c r="E5605" s="33"/>
      <c r="F5605" s="33"/>
      <c r="G5605" s="33"/>
      <c r="H5605" s="33"/>
      <c r="I5605" s="33"/>
      <c r="J5605" s="33"/>
      <c r="K5605" s="33"/>
      <c r="L5605" s="33"/>
      <c r="M5605" s="33"/>
      <c r="N5605" s="33"/>
      <c r="O5605" s="33"/>
      <c r="P5605" s="33"/>
      <c r="Q5605" s="33"/>
      <c r="R5605" s="33"/>
      <c r="S5605" s="33"/>
      <c r="T5605" s="33"/>
      <c r="U5605" s="33"/>
      <c r="V5605" s="33"/>
      <c r="W5605" s="33"/>
      <c r="X5605" s="33"/>
      <c r="Y5605" s="33"/>
      <c r="Z5605" s="33"/>
      <c r="AA5605" s="33"/>
      <c r="AB5605" s="33"/>
      <c r="AC5605" s="33"/>
      <c r="AD5605" s="33"/>
      <c r="AE5605" s="33"/>
      <c r="AF5605" s="33"/>
      <c r="AG5605" s="33"/>
      <c r="AH5605" s="33"/>
      <c r="AI5605" s="33"/>
      <c r="AJ5605" s="33"/>
      <c r="AK5605" s="33"/>
    </row>
    <row r="5606">
      <c r="A5606" s="33"/>
      <c r="B5606" s="33"/>
      <c r="C5606" s="33"/>
      <c r="D5606" s="33"/>
      <c r="E5606" s="33"/>
      <c r="F5606" s="33"/>
      <c r="G5606" s="33"/>
      <c r="H5606" s="33"/>
      <c r="I5606" s="33"/>
      <c r="J5606" s="33"/>
      <c r="K5606" s="33"/>
      <c r="L5606" s="33"/>
      <c r="M5606" s="33"/>
      <c r="N5606" s="33"/>
      <c r="O5606" s="33"/>
      <c r="P5606" s="33"/>
      <c r="Q5606" s="33"/>
      <c r="R5606" s="33"/>
      <c r="S5606" s="33"/>
      <c r="T5606" s="33"/>
      <c r="U5606" s="33"/>
      <c r="V5606" s="33"/>
      <c r="W5606" s="33"/>
      <c r="X5606" s="33"/>
      <c r="Y5606" s="33"/>
      <c r="Z5606" s="33"/>
      <c r="AA5606" s="33"/>
      <c r="AB5606" s="33"/>
      <c r="AC5606" s="33"/>
      <c r="AD5606" s="33"/>
      <c r="AE5606" s="33"/>
      <c r="AF5606" s="33"/>
      <c r="AG5606" s="33"/>
      <c r="AH5606" s="33"/>
      <c r="AI5606" s="33"/>
      <c r="AJ5606" s="33"/>
      <c r="AK5606" s="33"/>
    </row>
    <row r="5607">
      <c r="A5607" s="33"/>
      <c r="B5607" s="33"/>
      <c r="C5607" s="33"/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  <c r="Q5607" s="33"/>
      <c r="R5607" s="33"/>
      <c r="S5607" s="33"/>
      <c r="T5607" s="33"/>
      <c r="U5607" s="33"/>
      <c r="V5607" s="33"/>
      <c r="W5607" s="33"/>
      <c r="X5607" s="33"/>
      <c r="Y5607" s="33"/>
      <c r="Z5607" s="33"/>
      <c r="AA5607" s="33"/>
      <c r="AB5607" s="33"/>
      <c r="AC5607" s="33"/>
      <c r="AD5607" s="33"/>
      <c r="AE5607" s="33"/>
      <c r="AF5607" s="33"/>
      <c r="AG5607" s="33"/>
      <c r="AH5607" s="33"/>
      <c r="AI5607" s="33"/>
      <c r="AJ5607" s="33"/>
      <c r="AK5607" s="33"/>
    </row>
    <row r="5608">
      <c r="A5608" s="33"/>
      <c r="B5608" s="33"/>
      <c r="C5608" s="33"/>
      <c r="D5608" s="33"/>
      <c r="E5608" s="33"/>
      <c r="F5608" s="33"/>
      <c r="G5608" s="33"/>
      <c r="H5608" s="33"/>
      <c r="I5608" s="33"/>
      <c r="J5608" s="33"/>
      <c r="K5608" s="33"/>
      <c r="L5608" s="33"/>
      <c r="M5608" s="33"/>
      <c r="N5608" s="33"/>
      <c r="O5608" s="33"/>
      <c r="P5608" s="33"/>
      <c r="Q5608" s="33"/>
      <c r="R5608" s="33"/>
      <c r="S5608" s="33"/>
      <c r="T5608" s="33"/>
      <c r="U5608" s="33"/>
      <c r="V5608" s="33"/>
      <c r="W5608" s="33"/>
      <c r="X5608" s="33"/>
      <c r="Y5608" s="33"/>
      <c r="Z5608" s="33"/>
      <c r="AA5608" s="33"/>
      <c r="AB5608" s="33"/>
      <c r="AC5608" s="33"/>
      <c r="AD5608" s="33"/>
      <c r="AE5608" s="33"/>
      <c r="AF5608" s="33"/>
      <c r="AG5608" s="33"/>
      <c r="AH5608" s="33"/>
      <c r="AI5608" s="33"/>
      <c r="AJ5608" s="33"/>
      <c r="AK5608" s="33"/>
    </row>
    <row r="5609">
      <c r="A5609" s="33"/>
      <c r="B5609" s="33"/>
      <c r="C5609" s="33"/>
      <c r="D5609" s="33"/>
      <c r="E5609" s="33"/>
      <c r="F5609" s="33"/>
      <c r="G5609" s="33"/>
      <c r="H5609" s="33"/>
      <c r="I5609" s="33"/>
      <c r="J5609" s="33"/>
      <c r="K5609" s="33"/>
      <c r="L5609" s="33"/>
      <c r="M5609" s="33"/>
      <c r="N5609" s="33"/>
      <c r="O5609" s="33"/>
      <c r="P5609" s="33"/>
      <c r="Q5609" s="33"/>
      <c r="R5609" s="33"/>
      <c r="S5609" s="33"/>
      <c r="T5609" s="33"/>
      <c r="U5609" s="33"/>
      <c r="V5609" s="33"/>
      <c r="W5609" s="33"/>
      <c r="X5609" s="33"/>
      <c r="Y5609" s="33"/>
      <c r="Z5609" s="33"/>
      <c r="AA5609" s="33"/>
      <c r="AB5609" s="33"/>
      <c r="AC5609" s="33"/>
      <c r="AD5609" s="33"/>
      <c r="AE5609" s="33"/>
      <c r="AF5609" s="33"/>
      <c r="AG5609" s="33"/>
      <c r="AH5609" s="33"/>
      <c r="AI5609" s="33"/>
      <c r="AJ5609" s="33"/>
      <c r="AK5609" s="33"/>
    </row>
    <row r="5610">
      <c r="A5610" s="33"/>
      <c r="B5610" s="33"/>
      <c r="C5610" s="33"/>
      <c r="D5610" s="33"/>
      <c r="E5610" s="33"/>
      <c r="F5610" s="33"/>
      <c r="G5610" s="33"/>
      <c r="H5610" s="33"/>
      <c r="I5610" s="33"/>
      <c r="J5610" s="33"/>
      <c r="K5610" s="33"/>
      <c r="L5610" s="33"/>
      <c r="M5610" s="33"/>
      <c r="N5610" s="33"/>
      <c r="O5610" s="33"/>
      <c r="P5610" s="33"/>
      <c r="Q5610" s="33"/>
      <c r="R5610" s="33"/>
      <c r="S5610" s="33"/>
      <c r="T5610" s="33"/>
      <c r="U5610" s="33"/>
      <c r="V5610" s="33"/>
      <c r="W5610" s="33"/>
      <c r="X5610" s="33"/>
      <c r="Y5610" s="33"/>
      <c r="Z5610" s="33"/>
      <c r="AA5610" s="33"/>
      <c r="AB5610" s="33"/>
      <c r="AC5610" s="33"/>
      <c r="AD5610" s="33"/>
      <c r="AE5610" s="33"/>
      <c r="AF5610" s="33"/>
      <c r="AG5610" s="33"/>
      <c r="AH5610" s="33"/>
      <c r="AI5610" s="33"/>
      <c r="AJ5610" s="33"/>
      <c r="AK5610" s="33"/>
    </row>
    <row r="5611">
      <c r="A5611" s="33"/>
      <c r="B5611" s="33"/>
      <c r="C5611" s="33"/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  <c r="Q5611" s="33"/>
      <c r="R5611" s="33"/>
      <c r="S5611" s="33"/>
      <c r="T5611" s="33"/>
      <c r="U5611" s="33"/>
      <c r="V5611" s="33"/>
      <c r="W5611" s="33"/>
      <c r="X5611" s="33"/>
      <c r="Y5611" s="33"/>
      <c r="Z5611" s="33"/>
      <c r="AA5611" s="33"/>
      <c r="AB5611" s="33"/>
      <c r="AC5611" s="33"/>
      <c r="AD5611" s="33"/>
      <c r="AE5611" s="33"/>
      <c r="AF5611" s="33"/>
      <c r="AG5611" s="33"/>
      <c r="AH5611" s="33"/>
      <c r="AI5611" s="33"/>
      <c r="AJ5611" s="33"/>
      <c r="AK5611" s="33"/>
    </row>
    <row r="5612">
      <c r="A5612" s="33"/>
      <c r="B5612" s="33"/>
      <c r="C5612" s="33"/>
      <c r="D5612" s="33"/>
      <c r="E5612" s="33"/>
      <c r="F5612" s="33"/>
      <c r="G5612" s="33"/>
      <c r="H5612" s="33"/>
      <c r="I5612" s="33"/>
      <c r="J5612" s="33"/>
      <c r="K5612" s="33"/>
      <c r="L5612" s="33"/>
      <c r="M5612" s="33"/>
      <c r="N5612" s="33"/>
      <c r="O5612" s="33"/>
      <c r="P5612" s="33"/>
      <c r="Q5612" s="33"/>
      <c r="R5612" s="33"/>
      <c r="S5612" s="33"/>
      <c r="T5612" s="33"/>
      <c r="U5612" s="33"/>
      <c r="V5612" s="33"/>
      <c r="W5612" s="33"/>
      <c r="X5612" s="33"/>
      <c r="Y5612" s="33"/>
      <c r="Z5612" s="33"/>
      <c r="AA5612" s="33"/>
      <c r="AB5612" s="33"/>
      <c r="AC5612" s="33"/>
      <c r="AD5612" s="33"/>
      <c r="AE5612" s="33"/>
      <c r="AF5612" s="33"/>
      <c r="AG5612" s="33"/>
      <c r="AH5612" s="33"/>
      <c r="AI5612" s="33"/>
      <c r="AJ5612" s="33"/>
      <c r="AK5612" s="33"/>
    </row>
    <row r="5613">
      <c r="A5613" s="33"/>
      <c r="B5613" s="33"/>
      <c r="C5613" s="33"/>
      <c r="D5613" s="33"/>
      <c r="E5613" s="33"/>
      <c r="F5613" s="33"/>
      <c r="G5613" s="33"/>
      <c r="H5613" s="33"/>
      <c r="I5613" s="33"/>
      <c r="J5613" s="33"/>
      <c r="K5613" s="33"/>
      <c r="L5613" s="33"/>
      <c r="M5613" s="33"/>
      <c r="N5613" s="33"/>
      <c r="O5613" s="33"/>
      <c r="P5613" s="33"/>
      <c r="Q5613" s="33"/>
      <c r="R5613" s="33"/>
      <c r="S5613" s="33"/>
      <c r="T5613" s="33"/>
      <c r="U5613" s="33"/>
      <c r="V5613" s="33"/>
      <c r="W5613" s="33"/>
      <c r="X5613" s="33"/>
      <c r="Y5613" s="33"/>
      <c r="Z5613" s="33"/>
      <c r="AA5613" s="33"/>
      <c r="AB5613" s="33"/>
      <c r="AC5613" s="33"/>
      <c r="AD5613" s="33"/>
      <c r="AE5613" s="33"/>
      <c r="AF5613" s="33"/>
      <c r="AG5613" s="33"/>
      <c r="AH5613" s="33"/>
      <c r="AI5613" s="33"/>
      <c r="AJ5613" s="33"/>
      <c r="AK5613" s="33"/>
    </row>
    <row r="5614">
      <c r="A5614" s="33"/>
      <c r="B5614" s="33"/>
      <c r="C5614" s="33"/>
      <c r="D5614" s="33"/>
      <c r="E5614" s="33"/>
      <c r="F5614" s="33"/>
      <c r="G5614" s="33"/>
      <c r="H5614" s="33"/>
      <c r="I5614" s="33"/>
      <c r="J5614" s="33"/>
      <c r="K5614" s="33"/>
      <c r="L5614" s="33"/>
      <c r="M5614" s="33"/>
      <c r="N5614" s="33"/>
      <c r="O5614" s="33"/>
      <c r="P5614" s="33"/>
      <c r="Q5614" s="33"/>
      <c r="R5614" s="33"/>
      <c r="S5614" s="33"/>
      <c r="T5614" s="33"/>
      <c r="U5614" s="33"/>
      <c r="V5614" s="33"/>
      <c r="W5614" s="33"/>
      <c r="X5614" s="33"/>
      <c r="Y5614" s="33"/>
      <c r="Z5614" s="33"/>
      <c r="AA5614" s="33"/>
      <c r="AB5614" s="33"/>
      <c r="AC5614" s="33"/>
      <c r="AD5614" s="33"/>
      <c r="AE5614" s="33"/>
      <c r="AF5614" s="33"/>
      <c r="AG5614" s="33"/>
      <c r="AH5614" s="33"/>
      <c r="AI5614" s="33"/>
      <c r="AJ5614" s="33"/>
      <c r="AK5614" s="33"/>
    </row>
    <row r="5615">
      <c r="A5615" s="33"/>
      <c r="B5615" s="33"/>
      <c r="C5615" s="33"/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  <c r="Q5615" s="33"/>
      <c r="R5615" s="33"/>
      <c r="S5615" s="33"/>
      <c r="T5615" s="33"/>
      <c r="U5615" s="33"/>
      <c r="V5615" s="33"/>
      <c r="W5615" s="33"/>
      <c r="X5615" s="33"/>
      <c r="Y5615" s="33"/>
      <c r="Z5615" s="33"/>
      <c r="AA5615" s="33"/>
      <c r="AB5615" s="33"/>
      <c r="AC5615" s="33"/>
      <c r="AD5615" s="33"/>
      <c r="AE5615" s="33"/>
      <c r="AF5615" s="33"/>
      <c r="AG5615" s="33"/>
      <c r="AH5615" s="33"/>
      <c r="AI5615" s="33"/>
      <c r="AJ5615" s="33"/>
      <c r="AK5615" s="33"/>
    </row>
    <row r="5616">
      <c r="A5616" s="33"/>
      <c r="B5616" s="33"/>
      <c r="C5616" s="33"/>
      <c r="D5616" s="33"/>
      <c r="E5616" s="33"/>
      <c r="F5616" s="33"/>
      <c r="G5616" s="33"/>
      <c r="H5616" s="33"/>
      <c r="I5616" s="33"/>
      <c r="J5616" s="33"/>
      <c r="K5616" s="33"/>
      <c r="L5616" s="33"/>
      <c r="M5616" s="33"/>
      <c r="N5616" s="33"/>
      <c r="O5616" s="33"/>
      <c r="P5616" s="33"/>
      <c r="Q5616" s="33"/>
      <c r="R5616" s="33"/>
      <c r="S5616" s="33"/>
      <c r="T5616" s="33"/>
      <c r="U5616" s="33"/>
      <c r="V5616" s="33"/>
      <c r="W5616" s="33"/>
      <c r="X5616" s="33"/>
      <c r="Y5616" s="33"/>
      <c r="Z5616" s="33"/>
      <c r="AA5616" s="33"/>
      <c r="AB5616" s="33"/>
      <c r="AC5616" s="33"/>
      <c r="AD5616" s="33"/>
      <c r="AE5616" s="33"/>
      <c r="AF5616" s="33"/>
      <c r="AG5616" s="33"/>
      <c r="AH5616" s="33"/>
      <c r="AI5616" s="33"/>
      <c r="AJ5616" s="33"/>
      <c r="AK5616" s="33"/>
    </row>
    <row r="5617">
      <c r="A5617" s="33"/>
      <c r="B5617" s="33"/>
      <c r="C5617" s="33"/>
      <c r="D5617" s="33"/>
      <c r="E5617" s="33"/>
      <c r="F5617" s="33"/>
      <c r="G5617" s="33"/>
      <c r="H5617" s="33"/>
      <c r="I5617" s="33"/>
      <c r="J5617" s="33"/>
      <c r="K5617" s="33"/>
      <c r="L5617" s="33"/>
      <c r="M5617" s="33"/>
      <c r="N5617" s="33"/>
      <c r="O5617" s="33"/>
      <c r="P5617" s="33"/>
      <c r="Q5617" s="33"/>
      <c r="R5617" s="33"/>
      <c r="S5617" s="33"/>
      <c r="T5617" s="33"/>
      <c r="U5617" s="33"/>
      <c r="V5617" s="33"/>
      <c r="W5617" s="33"/>
      <c r="X5617" s="33"/>
      <c r="Y5617" s="33"/>
      <c r="Z5617" s="33"/>
      <c r="AA5617" s="33"/>
      <c r="AB5617" s="33"/>
      <c r="AC5617" s="33"/>
      <c r="AD5617" s="33"/>
      <c r="AE5617" s="33"/>
      <c r="AF5617" s="33"/>
      <c r="AG5617" s="33"/>
      <c r="AH5617" s="33"/>
      <c r="AI5617" s="33"/>
      <c r="AJ5617" s="33"/>
      <c r="AK5617" s="33"/>
    </row>
    <row r="5618">
      <c r="A5618" s="33"/>
      <c r="B5618" s="33"/>
      <c r="C5618" s="33"/>
      <c r="D5618" s="33"/>
      <c r="E5618" s="33"/>
      <c r="F5618" s="33"/>
      <c r="G5618" s="33"/>
      <c r="H5618" s="33"/>
      <c r="I5618" s="33"/>
      <c r="J5618" s="33"/>
      <c r="K5618" s="33"/>
      <c r="L5618" s="33"/>
      <c r="M5618" s="33"/>
      <c r="N5618" s="33"/>
      <c r="O5618" s="33"/>
      <c r="P5618" s="33"/>
      <c r="Q5618" s="33"/>
      <c r="R5618" s="33"/>
      <c r="S5618" s="33"/>
      <c r="T5618" s="33"/>
      <c r="U5618" s="33"/>
      <c r="V5618" s="33"/>
      <c r="W5618" s="33"/>
      <c r="X5618" s="33"/>
      <c r="Y5618" s="33"/>
      <c r="Z5618" s="33"/>
      <c r="AA5618" s="33"/>
      <c r="AB5618" s="33"/>
      <c r="AC5618" s="33"/>
      <c r="AD5618" s="33"/>
      <c r="AE5618" s="33"/>
      <c r="AF5618" s="33"/>
      <c r="AG5618" s="33"/>
      <c r="AH5618" s="33"/>
      <c r="AI5618" s="33"/>
      <c r="AJ5618" s="33"/>
      <c r="AK5618" s="33"/>
    </row>
    <row r="5619">
      <c r="A5619" s="33"/>
      <c r="B5619" s="33"/>
      <c r="C5619" s="33"/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  <c r="Q5619" s="33"/>
      <c r="R5619" s="33"/>
      <c r="S5619" s="33"/>
      <c r="T5619" s="33"/>
      <c r="U5619" s="33"/>
      <c r="V5619" s="33"/>
      <c r="W5619" s="33"/>
      <c r="X5619" s="33"/>
      <c r="Y5619" s="33"/>
      <c r="Z5619" s="33"/>
      <c r="AA5619" s="33"/>
      <c r="AB5619" s="33"/>
      <c r="AC5619" s="33"/>
      <c r="AD5619" s="33"/>
      <c r="AE5619" s="33"/>
      <c r="AF5619" s="33"/>
      <c r="AG5619" s="33"/>
      <c r="AH5619" s="33"/>
      <c r="AI5619" s="33"/>
      <c r="AJ5619" s="33"/>
      <c r="AK5619" s="33"/>
    </row>
    <row r="5620">
      <c r="A5620" s="33"/>
      <c r="B5620" s="33"/>
      <c r="C5620" s="33"/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3"/>
      <c r="P5620" s="33"/>
      <c r="Q5620" s="33"/>
      <c r="R5620" s="33"/>
      <c r="S5620" s="33"/>
      <c r="T5620" s="33"/>
      <c r="U5620" s="33"/>
      <c r="V5620" s="33"/>
      <c r="W5620" s="33"/>
      <c r="X5620" s="33"/>
      <c r="Y5620" s="33"/>
      <c r="Z5620" s="33"/>
      <c r="AA5620" s="33"/>
      <c r="AB5620" s="33"/>
      <c r="AC5620" s="33"/>
      <c r="AD5620" s="33"/>
      <c r="AE5620" s="33"/>
      <c r="AF5620" s="33"/>
      <c r="AG5620" s="33"/>
      <c r="AH5620" s="33"/>
      <c r="AI5620" s="33"/>
      <c r="AJ5620" s="33"/>
      <c r="AK5620" s="33"/>
    </row>
    <row r="5621">
      <c r="A5621" s="33"/>
      <c r="B5621" s="33"/>
      <c r="C5621" s="33"/>
      <c r="D5621" s="33"/>
      <c r="E5621" s="33"/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33"/>
      <c r="Q5621" s="33"/>
      <c r="R5621" s="33"/>
      <c r="S5621" s="33"/>
      <c r="T5621" s="33"/>
      <c r="U5621" s="33"/>
      <c r="V5621" s="33"/>
      <c r="W5621" s="33"/>
      <c r="X5621" s="33"/>
      <c r="Y5621" s="33"/>
      <c r="Z5621" s="33"/>
      <c r="AA5621" s="33"/>
      <c r="AB5621" s="33"/>
      <c r="AC5621" s="33"/>
      <c r="AD5621" s="33"/>
      <c r="AE5621" s="33"/>
      <c r="AF5621" s="33"/>
      <c r="AG5621" s="33"/>
      <c r="AH5621" s="33"/>
      <c r="AI5621" s="33"/>
      <c r="AJ5621" s="33"/>
      <c r="AK5621" s="33"/>
    </row>
    <row r="5622">
      <c r="A5622" s="33"/>
      <c r="B5622" s="33"/>
      <c r="C5622" s="33"/>
      <c r="D5622" s="33"/>
      <c r="E5622" s="33"/>
      <c r="F5622" s="33"/>
      <c r="G5622" s="33"/>
      <c r="H5622" s="33"/>
      <c r="I5622" s="33"/>
      <c r="J5622" s="33"/>
      <c r="K5622" s="33"/>
      <c r="L5622" s="33"/>
      <c r="M5622" s="33"/>
      <c r="N5622" s="33"/>
      <c r="O5622" s="33"/>
      <c r="P5622" s="33"/>
      <c r="Q5622" s="33"/>
      <c r="R5622" s="33"/>
      <c r="S5622" s="33"/>
      <c r="T5622" s="33"/>
      <c r="U5622" s="33"/>
      <c r="V5622" s="33"/>
      <c r="W5622" s="33"/>
      <c r="X5622" s="33"/>
      <c r="Y5622" s="33"/>
      <c r="Z5622" s="33"/>
      <c r="AA5622" s="33"/>
      <c r="AB5622" s="33"/>
      <c r="AC5622" s="33"/>
      <c r="AD5622" s="33"/>
      <c r="AE5622" s="33"/>
      <c r="AF5622" s="33"/>
      <c r="AG5622" s="33"/>
      <c r="AH5622" s="33"/>
      <c r="AI5622" s="33"/>
      <c r="AJ5622" s="33"/>
      <c r="AK5622" s="33"/>
    </row>
    <row r="5623">
      <c r="A5623" s="33"/>
      <c r="B5623" s="33"/>
      <c r="C5623" s="33"/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  <c r="Q5623" s="33"/>
      <c r="R5623" s="33"/>
      <c r="S5623" s="33"/>
      <c r="T5623" s="33"/>
      <c r="U5623" s="33"/>
      <c r="V5623" s="33"/>
      <c r="W5623" s="33"/>
      <c r="X5623" s="33"/>
      <c r="Y5623" s="33"/>
      <c r="Z5623" s="33"/>
      <c r="AA5623" s="33"/>
      <c r="AB5623" s="33"/>
      <c r="AC5623" s="33"/>
      <c r="AD5623" s="33"/>
      <c r="AE5623" s="33"/>
      <c r="AF5623" s="33"/>
      <c r="AG5623" s="33"/>
      <c r="AH5623" s="33"/>
      <c r="AI5623" s="33"/>
      <c r="AJ5623" s="33"/>
      <c r="AK5623" s="33"/>
    </row>
    <row r="5624">
      <c r="A5624" s="33"/>
      <c r="B5624" s="33"/>
      <c r="C5624" s="33"/>
      <c r="D5624" s="33"/>
      <c r="E5624" s="33"/>
      <c r="F5624" s="33"/>
      <c r="G5624" s="33"/>
      <c r="H5624" s="33"/>
      <c r="I5624" s="33"/>
      <c r="J5624" s="33"/>
      <c r="K5624" s="33"/>
      <c r="L5624" s="33"/>
      <c r="M5624" s="33"/>
      <c r="N5624" s="33"/>
      <c r="O5624" s="33"/>
      <c r="P5624" s="33"/>
      <c r="Q5624" s="33"/>
      <c r="R5624" s="33"/>
      <c r="S5624" s="33"/>
      <c r="T5624" s="33"/>
      <c r="U5624" s="33"/>
      <c r="V5624" s="33"/>
      <c r="W5624" s="33"/>
      <c r="X5624" s="33"/>
      <c r="Y5624" s="33"/>
      <c r="Z5624" s="33"/>
      <c r="AA5624" s="33"/>
      <c r="AB5624" s="33"/>
      <c r="AC5624" s="33"/>
      <c r="AD5624" s="33"/>
      <c r="AE5624" s="33"/>
      <c r="AF5624" s="33"/>
      <c r="AG5624" s="33"/>
      <c r="AH5624" s="33"/>
      <c r="AI5624" s="33"/>
      <c r="AJ5624" s="33"/>
      <c r="AK5624" s="33"/>
    </row>
    <row r="5625">
      <c r="A5625" s="33"/>
      <c r="B5625" s="33"/>
      <c r="C5625" s="33"/>
      <c r="D5625" s="33"/>
      <c r="E5625" s="33"/>
      <c r="F5625" s="33"/>
      <c r="G5625" s="33"/>
      <c r="H5625" s="33"/>
      <c r="I5625" s="33"/>
      <c r="J5625" s="33"/>
      <c r="K5625" s="33"/>
      <c r="L5625" s="33"/>
      <c r="M5625" s="33"/>
      <c r="N5625" s="33"/>
      <c r="O5625" s="33"/>
      <c r="P5625" s="33"/>
      <c r="Q5625" s="33"/>
      <c r="R5625" s="33"/>
      <c r="S5625" s="33"/>
      <c r="T5625" s="33"/>
      <c r="U5625" s="33"/>
      <c r="V5625" s="33"/>
      <c r="W5625" s="33"/>
      <c r="X5625" s="33"/>
      <c r="Y5625" s="33"/>
      <c r="Z5625" s="33"/>
      <c r="AA5625" s="33"/>
      <c r="AB5625" s="33"/>
      <c r="AC5625" s="33"/>
      <c r="AD5625" s="33"/>
      <c r="AE5625" s="33"/>
      <c r="AF5625" s="33"/>
      <c r="AG5625" s="33"/>
      <c r="AH5625" s="33"/>
      <c r="AI5625" s="33"/>
      <c r="AJ5625" s="33"/>
      <c r="AK5625" s="33"/>
    </row>
    <row r="5626">
      <c r="A5626" s="33"/>
      <c r="B5626" s="33"/>
      <c r="C5626" s="33"/>
      <c r="D5626" s="33"/>
      <c r="E5626" s="33"/>
      <c r="F5626" s="33"/>
      <c r="G5626" s="33"/>
      <c r="H5626" s="33"/>
      <c r="I5626" s="33"/>
      <c r="J5626" s="33"/>
      <c r="K5626" s="33"/>
      <c r="L5626" s="33"/>
      <c r="M5626" s="33"/>
      <c r="N5626" s="33"/>
      <c r="O5626" s="33"/>
      <c r="P5626" s="33"/>
      <c r="Q5626" s="33"/>
      <c r="R5626" s="33"/>
      <c r="S5626" s="33"/>
      <c r="T5626" s="33"/>
      <c r="U5626" s="33"/>
      <c r="V5626" s="33"/>
      <c r="W5626" s="33"/>
      <c r="X5626" s="33"/>
      <c r="Y5626" s="33"/>
      <c r="Z5626" s="33"/>
      <c r="AA5626" s="33"/>
      <c r="AB5626" s="33"/>
      <c r="AC5626" s="33"/>
      <c r="AD5626" s="33"/>
      <c r="AE5626" s="33"/>
      <c r="AF5626" s="33"/>
      <c r="AG5626" s="33"/>
      <c r="AH5626" s="33"/>
      <c r="AI5626" s="33"/>
      <c r="AJ5626" s="33"/>
      <c r="AK5626" s="33"/>
    </row>
    <row r="5627">
      <c r="A5627" s="33"/>
      <c r="B5627" s="33"/>
      <c r="C5627" s="33"/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  <c r="Q5627" s="33"/>
      <c r="R5627" s="33"/>
      <c r="S5627" s="33"/>
      <c r="T5627" s="33"/>
      <c r="U5627" s="33"/>
      <c r="V5627" s="33"/>
      <c r="W5627" s="33"/>
      <c r="X5627" s="33"/>
      <c r="Y5627" s="33"/>
      <c r="Z5627" s="33"/>
      <c r="AA5627" s="33"/>
      <c r="AB5627" s="33"/>
      <c r="AC5627" s="33"/>
      <c r="AD5627" s="33"/>
      <c r="AE5627" s="33"/>
      <c r="AF5627" s="33"/>
      <c r="AG5627" s="33"/>
      <c r="AH5627" s="33"/>
      <c r="AI5627" s="33"/>
      <c r="AJ5627" s="33"/>
      <c r="AK5627" s="33"/>
    </row>
    <row r="5628">
      <c r="A5628" s="33"/>
      <c r="B5628" s="33"/>
      <c r="C5628" s="33"/>
      <c r="D5628" s="33"/>
      <c r="E5628" s="33"/>
      <c r="F5628" s="33"/>
      <c r="G5628" s="33"/>
      <c r="H5628" s="33"/>
      <c r="I5628" s="33"/>
      <c r="J5628" s="33"/>
      <c r="K5628" s="33"/>
      <c r="L5628" s="33"/>
      <c r="M5628" s="33"/>
      <c r="N5628" s="33"/>
      <c r="O5628" s="33"/>
      <c r="P5628" s="33"/>
      <c r="Q5628" s="33"/>
      <c r="R5628" s="33"/>
      <c r="S5628" s="33"/>
      <c r="T5628" s="33"/>
      <c r="U5628" s="33"/>
      <c r="V5628" s="33"/>
      <c r="W5628" s="33"/>
      <c r="X5628" s="33"/>
      <c r="Y5628" s="33"/>
      <c r="Z5628" s="33"/>
      <c r="AA5628" s="33"/>
      <c r="AB5628" s="33"/>
      <c r="AC5628" s="33"/>
      <c r="AD5628" s="33"/>
      <c r="AE5628" s="33"/>
      <c r="AF5628" s="33"/>
      <c r="AG5628" s="33"/>
      <c r="AH5628" s="33"/>
      <c r="AI5628" s="33"/>
      <c r="AJ5628" s="33"/>
      <c r="AK5628" s="33"/>
    </row>
    <row r="5629">
      <c r="A5629" s="33"/>
      <c r="B5629" s="33"/>
      <c r="C5629" s="33"/>
      <c r="D5629" s="33"/>
      <c r="E5629" s="33"/>
      <c r="F5629" s="33"/>
      <c r="G5629" s="33"/>
      <c r="H5629" s="33"/>
      <c r="I5629" s="33"/>
      <c r="J5629" s="33"/>
      <c r="K5629" s="33"/>
      <c r="L5629" s="33"/>
      <c r="M5629" s="33"/>
      <c r="N5629" s="33"/>
      <c r="O5629" s="33"/>
      <c r="P5629" s="33"/>
      <c r="Q5629" s="33"/>
      <c r="R5629" s="33"/>
      <c r="S5629" s="33"/>
      <c r="T5629" s="33"/>
      <c r="U5629" s="33"/>
      <c r="V5629" s="33"/>
      <c r="W5629" s="33"/>
      <c r="X5629" s="33"/>
      <c r="Y5629" s="33"/>
      <c r="Z5629" s="33"/>
      <c r="AA5629" s="33"/>
      <c r="AB5629" s="33"/>
      <c r="AC5629" s="33"/>
      <c r="AD5629" s="33"/>
      <c r="AE5629" s="33"/>
      <c r="AF5629" s="33"/>
      <c r="AG5629" s="33"/>
      <c r="AH5629" s="33"/>
      <c r="AI5629" s="33"/>
      <c r="AJ5629" s="33"/>
      <c r="AK5629" s="33"/>
    </row>
    <row r="5630">
      <c r="A5630" s="33"/>
      <c r="B5630" s="33"/>
      <c r="C5630" s="33"/>
      <c r="D5630" s="33"/>
      <c r="E5630" s="33"/>
      <c r="F5630" s="33"/>
      <c r="G5630" s="33"/>
      <c r="H5630" s="33"/>
      <c r="I5630" s="33"/>
      <c r="J5630" s="33"/>
      <c r="K5630" s="33"/>
      <c r="L5630" s="33"/>
      <c r="M5630" s="33"/>
      <c r="N5630" s="33"/>
      <c r="O5630" s="33"/>
      <c r="P5630" s="33"/>
      <c r="Q5630" s="33"/>
      <c r="R5630" s="33"/>
      <c r="S5630" s="33"/>
      <c r="T5630" s="33"/>
      <c r="U5630" s="33"/>
      <c r="V5630" s="33"/>
      <c r="W5630" s="33"/>
      <c r="X5630" s="33"/>
      <c r="Y5630" s="33"/>
      <c r="Z5630" s="33"/>
      <c r="AA5630" s="33"/>
      <c r="AB5630" s="33"/>
      <c r="AC5630" s="33"/>
      <c r="AD5630" s="33"/>
      <c r="AE5630" s="33"/>
      <c r="AF5630" s="33"/>
      <c r="AG5630" s="33"/>
      <c r="AH5630" s="33"/>
      <c r="AI5630" s="33"/>
      <c r="AJ5630" s="33"/>
      <c r="AK5630" s="33"/>
    </row>
    <row r="5631">
      <c r="A5631" s="33"/>
      <c r="B5631" s="33"/>
      <c r="C5631" s="33"/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3"/>
      <c r="S5631" s="33"/>
      <c r="T5631" s="33"/>
      <c r="U5631" s="33"/>
      <c r="V5631" s="33"/>
      <c r="W5631" s="33"/>
      <c r="X5631" s="33"/>
      <c r="Y5631" s="33"/>
      <c r="Z5631" s="33"/>
      <c r="AA5631" s="33"/>
      <c r="AB5631" s="33"/>
      <c r="AC5631" s="33"/>
      <c r="AD5631" s="33"/>
      <c r="AE5631" s="33"/>
      <c r="AF5631" s="33"/>
      <c r="AG5631" s="33"/>
      <c r="AH5631" s="33"/>
      <c r="AI5631" s="33"/>
      <c r="AJ5631" s="33"/>
      <c r="AK5631" s="33"/>
    </row>
    <row r="5632">
      <c r="A5632" s="33"/>
      <c r="B5632" s="33"/>
      <c r="C5632" s="33"/>
      <c r="D5632" s="33"/>
      <c r="E5632" s="33"/>
      <c r="F5632" s="33"/>
      <c r="G5632" s="33"/>
      <c r="H5632" s="33"/>
      <c r="I5632" s="33"/>
      <c r="J5632" s="33"/>
      <c r="K5632" s="33"/>
      <c r="L5632" s="33"/>
      <c r="M5632" s="33"/>
      <c r="N5632" s="33"/>
      <c r="O5632" s="33"/>
      <c r="P5632" s="33"/>
      <c r="Q5632" s="33"/>
      <c r="R5632" s="33"/>
      <c r="S5632" s="33"/>
      <c r="T5632" s="33"/>
      <c r="U5632" s="33"/>
      <c r="V5632" s="33"/>
      <c r="W5632" s="33"/>
      <c r="X5632" s="33"/>
      <c r="Y5632" s="33"/>
      <c r="Z5632" s="33"/>
      <c r="AA5632" s="33"/>
      <c r="AB5632" s="33"/>
      <c r="AC5632" s="33"/>
      <c r="AD5632" s="33"/>
      <c r="AE5632" s="33"/>
      <c r="AF5632" s="33"/>
      <c r="AG5632" s="33"/>
      <c r="AH5632" s="33"/>
      <c r="AI5632" s="33"/>
      <c r="AJ5632" s="33"/>
      <c r="AK5632" s="33"/>
    </row>
    <row r="5633">
      <c r="A5633" s="33"/>
      <c r="B5633" s="33"/>
      <c r="C5633" s="33"/>
      <c r="D5633" s="33"/>
      <c r="E5633" s="33"/>
      <c r="F5633" s="33"/>
      <c r="G5633" s="33"/>
      <c r="H5633" s="33"/>
      <c r="I5633" s="33"/>
      <c r="J5633" s="33"/>
      <c r="K5633" s="33"/>
      <c r="L5633" s="33"/>
      <c r="M5633" s="33"/>
      <c r="N5633" s="33"/>
      <c r="O5633" s="33"/>
      <c r="P5633" s="33"/>
      <c r="Q5633" s="33"/>
      <c r="R5633" s="33"/>
      <c r="S5633" s="33"/>
      <c r="T5633" s="33"/>
      <c r="U5633" s="33"/>
      <c r="V5633" s="33"/>
      <c r="W5633" s="33"/>
      <c r="X5633" s="33"/>
      <c r="Y5633" s="33"/>
      <c r="Z5633" s="33"/>
      <c r="AA5633" s="33"/>
      <c r="AB5633" s="33"/>
      <c r="AC5633" s="33"/>
      <c r="AD5633" s="33"/>
      <c r="AE5633" s="33"/>
      <c r="AF5633" s="33"/>
      <c r="AG5633" s="33"/>
      <c r="AH5633" s="33"/>
      <c r="AI5633" s="33"/>
      <c r="AJ5633" s="33"/>
      <c r="AK5633" s="33"/>
    </row>
    <row r="5634">
      <c r="A5634" s="33"/>
      <c r="B5634" s="33"/>
      <c r="C5634" s="33"/>
      <c r="D5634" s="33"/>
      <c r="E5634" s="33"/>
      <c r="F5634" s="33"/>
      <c r="G5634" s="33"/>
      <c r="H5634" s="33"/>
      <c r="I5634" s="33"/>
      <c r="J5634" s="33"/>
      <c r="K5634" s="33"/>
      <c r="L5634" s="33"/>
      <c r="M5634" s="33"/>
      <c r="N5634" s="33"/>
      <c r="O5634" s="33"/>
      <c r="P5634" s="33"/>
      <c r="Q5634" s="33"/>
      <c r="R5634" s="33"/>
      <c r="S5634" s="33"/>
      <c r="T5634" s="33"/>
      <c r="U5634" s="33"/>
      <c r="V5634" s="33"/>
      <c r="W5634" s="33"/>
      <c r="X5634" s="33"/>
      <c r="Y5634" s="33"/>
      <c r="Z5634" s="33"/>
      <c r="AA5634" s="33"/>
      <c r="AB5634" s="33"/>
      <c r="AC5634" s="33"/>
      <c r="AD5634" s="33"/>
      <c r="AE5634" s="33"/>
      <c r="AF5634" s="33"/>
      <c r="AG5634" s="33"/>
      <c r="AH5634" s="33"/>
      <c r="AI5634" s="33"/>
      <c r="AJ5634" s="33"/>
      <c r="AK5634" s="33"/>
    </row>
    <row r="5635">
      <c r="A5635" s="33"/>
      <c r="B5635" s="33"/>
      <c r="C5635" s="33"/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  <c r="Q5635" s="33"/>
      <c r="R5635" s="33"/>
      <c r="S5635" s="33"/>
      <c r="T5635" s="33"/>
      <c r="U5635" s="33"/>
      <c r="V5635" s="33"/>
      <c r="W5635" s="33"/>
      <c r="X5635" s="33"/>
      <c r="Y5635" s="33"/>
      <c r="Z5635" s="33"/>
      <c r="AA5635" s="33"/>
      <c r="AB5635" s="33"/>
      <c r="AC5635" s="33"/>
      <c r="AD5635" s="33"/>
      <c r="AE5635" s="33"/>
      <c r="AF5635" s="33"/>
      <c r="AG5635" s="33"/>
      <c r="AH5635" s="33"/>
      <c r="AI5635" s="33"/>
      <c r="AJ5635" s="33"/>
      <c r="AK5635" s="33"/>
    </row>
    <row r="5636">
      <c r="A5636" s="33"/>
      <c r="B5636" s="33"/>
      <c r="C5636" s="33"/>
      <c r="D5636" s="33"/>
      <c r="E5636" s="33"/>
      <c r="F5636" s="33"/>
      <c r="G5636" s="33"/>
      <c r="H5636" s="33"/>
      <c r="I5636" s="33"/>
      <c r="J5636" s="33"/>
      <c r="K5636" s="33"/>
      <c r="L5636" s="33"/>
      <c r="M5636" s="33"/>
      <c r="N5636" s="33"/>
      <c r="O5636" s="33"/>
      <c r="P5636" s="33"/>
      <c r="Q5636" s="33"/>
      <c r="R5636" s="33"/>
      <c r="S5636" s="33"/>
      <c r="T5636" s="33"/>
      <c r="U5636" s="33"/>
      <c r="V5636" s="33"/>
      <c r="W5636" s="33"/>
      <c r="X5636" s="33"/>
      <c r="Y5636" s="33"/>
      <c r="Z5636" s="33"/>
      <c r="AA5636" s="33"/>
      <c r="AB5636" s="33"/>
      <c r="AC5636" s="33"/>
      <c r="AD5636" s="33"/>
      <c r="AE5636" s="33"/>
      <c r="AF5636" s="33"/>
      <c r="AG5636" s="33"/>
      <c r="AH5636" s="33"/>
      <c r="AI5636" s="33"/>
      <c r="AJ5636" s="33"/>
      <c r="AK5636" s="33"/>
    </row>
    <row r="5637">
      <c r="A5637" s="33"/>
      <c r="B5637" s="33"/>
      <c r="C5637" s="33"/>
      <c r="D5637" s="33"/>
      <c r="E5637" s="33"/>
      <c r="F5637" s="33"/>
      <c r="G5637" s="33"/>
      <c r="H5637" s="33"/>
      <c r="I5637" s="33"/>
      <c r="J5637" s="33"/>
      <c r="K5637" s="33"/>
      <c r="L5637" s="33"/>
      <c r="M5637" s="33"/>
      <c r="N5637" s="33"/>
      <c r="O5637" s="33"/>
      <c r="P5637" s="33"/>
      <c r="Q5637" s="33"/>
      <c r="R5637" s="33"/>
      <c r="S5637" s="33"/>
      <c r="T5637" s="33"/>
      <c r="U5637" s="33"/>
      <c r="V5637" s="33"/>
      <c r="W5637" s="33"/>
      <c r="X5637" s="33"/>
      <c r="Y5637" s="33"/>
      <c r="Z5637" s="33"/>
      <c r="AA5637" s="33"/>
      <c r="AB5637" s="33"/>
      <c r="AC5637" s="33"/>
      <c r="AD5637" s="33"/>
      <c r="AE5637" s="33"/>
      <c r="AF5637" s="33"/>
      <c r="AG5637" s="33"/>
      <c r="AH5637" s="33"/>
      <c r="AI5637" s="33"/>
      <c r="AJ5637" s="33"/>
      <c r="AK5637" s="33"/>
    </row>
    <row r="5638">
      <c r="A5638" s="33"/>
      <c r="B5638" s="33"/>
      <c r="C5638" s="33"/>
      <c r="D5638" s="33"/>
      <c r="E5638" s="33"/>
      <c r="F5638" s="33"/>
      <c r="G5638" s="33"/>
      <c r="H5638" s="33"/>
      <c r="I5638" s="33"/>
      <c r="J5638" s="33"/>
      <c r="K5638" s="33"/>
      <c r="L5638" s="33"/>
      <c r="M5638" s="33"/>
      <c r="N5638" s="33"/>
      <c r="O5638" s="33"/>
      <c r="P5638" s="33"/>
      <c r="Q5638" s="33"/>
      <c r="R5638" s="33"/>
      <c r="S5638" s="33"/>
      <c r="T5638" s="33"/>
      <c r="U5638" s="33"/>
      <c r="V5638" s="33"/>
      <c r="W5638" s="33"/>
      <c r="X5638" s="33"/>
      <c r="Y5638" s="33"/>
      <c r="Z5638" s="33"/>
      <c r="AA5638" s="33"/>
      <c r="AB5638" s="33"/>
      <c r="AC5638" s="33"/>
      <c r="AD5638" s="33"/>
      <c r="AE5638" s="33"/>
      <c r="AF5638" s="33"/>
      <c r="AG5638" s="33"/>
      <c r="AH5638" s="33"/>
      <c r="AI5638" s="33"/>
      <c r="AJ5638" s="33"/>
      <c r="AK5638" s="33"/>
    </row>
    <row r="5639">
      <c r="A5639" s="33"/>
      <c r="B5639" s="33"/>
      <c r="C5639" s="33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  <c r="Q5639" s="33"/>
      <c r="R5639" s="33"/>
      <c r="S5639" s="33"/>
      <c r="T5639" s="33"/>
      <c r="U5639" s="33"/>
      <c r="V5639" s="33"/>
      <c r="W5639" s="33"/>
      <c r="X5639" s="33"/>
      <c r="Y5639" s="33"/>
      <c r="Z5639" s="33"/>
      <c r="AA5639" s="33"/>
      <c r="AB5639" s="33"/>
      <c r="AC5639" s="33"/>
      <c r="AD5639" s="33"/>
      <c r="AE5639" s="33"/>
      <c r="AF5639" s="33"/>
      <c r="AG5639" s="33"/>
      <c r="AH5639" s="33"/>
      <c r="AI5639" s="33"/>
      <c r="AJ5639" s="33"/>
      <c r="AK5639" s="33"/>
    </row>
    <row r="5640">
      <c r="A5640" s="33"/>
      <c r="B5640" s="33"/>
      <c r="C5640" s="33"/>
      <c r="D5640" s="33"/>
      <c r="E5640" s="33"/>
      <c r="F5640" s="33"/>
      <c r="G5640" s="33"/>
      <c r="H5640" s="33"/>
      <c r="I5640" s="33"/>
      <c r="J5640" s="33"/>
      <c r="K5640" s="33"/>
      <c r="L5640" s="33"/>
      <c r="M5640" s="33"/>
      <c r="N5640" s="33"/>
      <c r="O5640" s="33"/>
      <c r="P5640" s="33"/>
      <c r="Q5640" s="33"/>
      <c r="R5640" s="33"/>
      <c r="S5640" s="33"/>
      <c r="T5640" s="33"/>
      <c r="U5640" s="33"/>
      <c r="V5640" s="33"/>
      <c r="W5640" s="33"/>
      <c r="X5640" s="33"/>
      <c r="Y5640" s="33"/>
      <c r="Z5640" s="33"/>
      <c r="AA5640" s="33"/>
      <c r="AB5640" s="33"/>
      <c r="AC5640" s="33"/>
      <c r="AD5640" s="33"/>
      <c r="AE5640" s="33"/>
      <c r="AF5640" s="33"/>
      <c r="AG5640" s="33"/>
      <c r="AH5640" s="33"/>
      <c r="AI5640" s="33"/>
      <c r="AJ5640" s="33"/>
      <c r="AK5640" s="33"/>
    </row>
    <row r="5641">
      <c r="A5641" s="33"/>
      <c r="B5641" s="33"/>
      <c r="C5641" s="33"/>
      <c r="D5641" s="33"/>
      <c r="E5641" s="33"/>
      <c r="F5641" s="33"/>
      <c r="G5641" s="33"/>
      <c r="H5641" s="33"/>
      <c r="I5641" s="33"/>
      <c r="J5641" s="33"/>
      <c r="K5641" s="33"/>
      <c r="L5641" s="33"/>
      <c r="M5641" s="33"/>
      <c r="N5641" s="33"/>
      <c r="O5641" s="33"/>
      <c r="P5641" s="33"/>
      <c r="Q5641" s="33"/>
      <c r="R5641" s="33"/>
      <c r="S5641" s="33"/>
      <c r="T5641" s="33"/>
      <c r="U5641" s="33"/>
      <c r="V5641" s="33"/>
      <c r="W5641" s="33"/>
      <c r="X5641" s="33"/>
      <c r="Y5641" s="33"/>
      <c r="Z5641" s="33"/>
      <c r="AA5641" s="33"/>
      <c r="AB5641" s="33"/>
      <c r="AC5641" s="33"/>
      <c r="AD5641" s="33"/>
      <c r="AE5641" s="33"/>
      <c r="AF5641" s="33"/>
      <c r="AG5641" s="33"/>
      <c r="AH5641" s="33"/>
      <c r="AI5641" s="33"/>
      <c r="AJ5641" s="33"/>
      <c r="AK5641" s="33"/>
    </row>
    <row r="5642">
      <c r="A5642" s="33"/>
      <c r="B5642" s="33"/>
      <c r="C5642" s="33"/>
      <c r="D5642" s="33"/>
      <c r="E5642" s="33"/>
      <c r="F5642" s="33"/>
      <c r="G5642" s="33"/>
      <c r="H5642" s="33"/>
      <c r="I5642" s="33"/>
      <c r="J5642" s="33"/>
      <c r="K5642" s="33"/>
      <c r="L5642" s="33"/>
      <c r="M5642" s="33"/>
      <c r="N5642" s="33"/>
      <c r="O5642" s="33"/>
      <c r="P5642" s="33"/>
      <c r="Q5642" s="33"/>
      <c r="R5642" s="33"/>
      <c r="S5642" s="33"/>
      <c r="T5642" s="33"/>
      <c r="U5642" s="33"/>
      <c r="V5642" s="33"/>
      <c r="W5642" s="33"/>
      <c r="X5642" s="33"/>
      <c r="Y5642" s="33"/>
      <c r="Z5642" s="33"/>
      <c r="AA5642" s="33"/>
      <c r="AB5642" s="33"/>
      <c r="AC5642" s="33"/>
      <c r="AD5642" s="33"/>
      <c r="AE5642" s="33"/>
      <c r="AF5642" s="33"/>
      <c r="AG5642" s="33"/>
      <c r="AH5642" s="33"/>
      <c r="AI5642" s="33"/>
      <c r="AJ5642" s="33"/>
      <c r="AK5642" s="33"/>
    </row>
    <row r="5643">
      <c r="A5643" s="33"/>
      <c r="B5643" s="33"/>
      <c r="C5643" s="33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  <c r="Q5643" s="33"/>
      <c r="R5643" s="33"/>
      <c r="S5643" s="33"/>
      <c r="T5643" s="33"/>
      <c r="U5643" s="33"/>
      <c r="V5643" s="33"/>
      <c r="W5643" s="33"/>
      <c r="X5643" s="33"/>
      <c r="Y5643" s="33"/>
      <c r="Z5643" s="33"/>
      <c r="AA5643" s="33"/>
      <c r="AB5643" s="33"/>
      <c r="AC5643" s="33"/>
      <c r="AD5643" s="33"/>
      <c r="AE5643" s="33"/>
      <c r="AF5643" s="33"/>
      <c r="AG5643" s="33"/>
      <c r="AH5643" s="33"/>
      <c r="AI5643" s="33"/>
      <c r="AJ5643" s="33"/>
      <c r="AK5643" s="33"/>
    </row>
    <row r="5644">
      <c r="A5644" s="33"/>
      <c r="B5644" s="33"/>
      <c r="C5644" s="33"/>
      <c r="D5644" s="33"/>
      <c r="E5644" s="33"/>
      <c r="F5644" s="33"/>
      <c r="G5644" s="33"/>
      <c r="H5644" s="33"/>
      <c r="I5644" s="33"/>
      <c r="J5644" s="33"/>
      <c r="K5644" s="33"/>
      <c r="L5644" s="33"/>
      <c r="M5644" s="33"/>
      <c r="N5644" s="33"/>
      <c r="O5644" s="33"/>
      <c r="P5644" s="33"/>
      <c r="Q5644" s="33"/>
      <c r="R5644" s="33"/>
      <c r="S5644" s="33"/>
      <c r="T5644" s="33"/>
      <c r="U5644" s="33"/>
      <c r="V5644" s="33"/>
      <c r="W5644" s="33"/>
      <c r="X5644" s="33"/>
      <c r="Y5644" s="33"/>
      <c r="Z5644" s="33"/>
      <c r="AA5644" s="33"/>
      <c r="AB5644" s="33"/>
      <c r="AC5644" s="33"/>
      <c r="AD5644" s="33"/>
      <c r="AE5644" s="33"/>
      <c r="AF5644" s="33"/>
      <c r="AG5644" s="33"/>
      <c r="AH5644" s="33"/>
      <c r="AI5644" s="33"/>
      <c r="AJ5644" s="33"/>
      <c r="AK5644" s="33"/>
    </row>
    <row r="5645">
      <c r="A5645" s="33"/>
      <c r="B5645" s="33"/>
      <c r="C5645" s="33"/>
      <c r="D5645" s="33"/>
      <c r="E5645" s="33"/>
      <c r="F5645" s="33"/>
      <c r="G5645" s="33"/>
      <c r="H5645" s="33"/>
      <c r="I5645" s="33"/>
      <c r="J5645" s="33"/>
      <c r="K5645" s="33"/>
      <c r="L5645" s="33"/>
      <c r="M5645" s="33"/>
      <c r="N5645" s="33"/>
      <c r="O5645" s="33"/>
      <c r="P5645" s="33"/>
      <c r="Q5645" s="33"/>
      <c r="R5645" s="33"/>
      <c r="S5645" s="33"/>
      <c r="T5645" s="33"/>
      <c r="U5645" s="33"/>
      <c r="V5645" s="33"/>
      <c r="W5645" s="33"/>
      <c r="X5645" s="33"/>
      <c r="Y5645" s="33"/>
      <c r="Z5645" s="33"/>
      <c r="AA5645" s="33"/>
      <c r="AB5645" s="33"/>
      <c r="AC5645" s="33"/>
      <c r="AD5645" s="33"/>
      <c r="AE5645" s="33"/>
      <c r="AF5645" s="33"/>
      <c r="AG5645" s="33"/>
      <c r="AH5645" s="33"/>
      <c r="AI5645" s="33"/>
      <c r="AJ5645" s="33"/>
      <c r="AK5645" s="33"/>
    </row>
    <row r="5646">
      <c r="A5646" s="33"/>
      <c r="B5646" s="33"/>
      <c r="C5646" s="33"/>
      <c r="D5646" s="33"/>
      <c r="E5646" s="33"/>
      <c r="F5646" s="33"/>
      <c r="G5646" s="33"/>
      <c r="H5646" s="33"/>
      <c r="I5646" s="33"/>
      <c r="J5646" s="33"/>
      <c r="K5646" s="33"/>
      <c r="L5646" s="33"/>
      <c r="M5646" s="33"/>
      <c r="N5646" s="33"/>
      <c r="O5646" s="33"/>
      <c r="P5646" s="33"/>
      <c r="Q5646" s="33"/>
      <c r="R5646" s="33"/>
      <c r="S5646" s="33"/>
      <c r="T5646" s="33"/>
      <c r="U5646" s="33"/>
      <c r="V5646" s="33"/>
      <c r="W5646" s="33"/>
      <c r="X5646" s="33"/>
      <c r="Y5646" s="33"/>
      <c r="Z5646" s="33"/>
      <c r="AA5646" s="33"/>
      <c r="AB5646" s="33"/>
      <c r="AC5646" s="33"/>
      <c r="AD5646" s="33"/>
      <c r="AE5646" s="33"/>
      <c r="AF5646" s="33"/>
      <c r="AG5646" s="33"/>
      <c r="AH5646" s="33"/>
      <c r="AI5646" s="33"/>
      <c r="AJ5646" s="33"/>
      <c r="AK5646" s="33"/>
    </row>
    <row r="5647">
      <c r="A5647" s="33"/>
      <c r="B5647" s="33"/>
      <c r="C5647" s="33"/>
      <c r="D5647" s="33"/>
      <c r="E5647" s="33"/>
      <c r="F5647" s="33"/>
      <c r="G5647" s="33"/>
      <c r="H5647" s="33"/>
      <c r="I5647" s="33"/>
      <c r="J5647" s="33"/>
      <c r="K5647" s="33"/>
      <c r="L5647" s="33"/>
      <c r="M5647" s="33"/>
      <c r="N5647" s="33"/>
      <c r="O5647" s="33"/>
      <c r="P5647" s="33"/>
      <c r="Q5647" s="33"/>
      <c r="R5647" s="33"/>
      <c r="S5647" s="33"/>
      <c r="T5647" s="33"/>
      <c r="U5647" s="33"/>
      <c r="V5647" s="33"/>
      <c r="W5647" s="33"/>
      <c r="X5647" s="33"/>
      <c r="Y5647" s="33"/>
      <c r="Z5647" s="33"/>
      <c r="AA5647" s="33"/>
      <c r="AB5647" s="33"/>
      <c r="AC5647" s="33"/>
      <c r="AD5647" s="33"/>
      <c r="AE5647" s="33"/>
      <c r="AF5647" s="33"/>
      <c r="AG5647" s="33"/>
      <c r="AH5647" s="33"/>
      <c r="AI5647" s="33"/>
      <c r="AJ5647" s="33"/>
      <c r="AK5647" s="33"/>
    </row>
    <row r="5648">
      <c r="A5648" s="33"/>
      <c r="B5648" s="33"/>
      <c r="C5648" s="33"/>
      <c r="D5648" s="33"/>
      <c r="E5648" s="33"/>
      <c r="F5648" s="33"/>
      <c r="G5648" s="33"/>
      <c r="H5648" s="33"/>
      <c r="I5648" s="33"/>
      <c r="J5648" s="33"/>
      <c r="K5648" s="33"/>
      <c r="L5648" s="33"/>
      <c r="M5648" s="33"/>
      <c r="N5648" s="33"/>
      <c r="O5648" s="33"/>
      <c r="P5648" s="33"/>
      <c r="Q5648" s="33"/>
      <c r="R5648" s="33"/>
      <c r="S5648" s="33"/>
      <c r="T5648" s="33"/>
      <c r="U5648" s="33"/>
      <c r="V5648" s="33"/>
      <c r="W5648" s="33"/>
      <c r="X5648" s="33"/>
      <c r="Y5648" s="33"/>
      <c r="Z5648" s="33"/>
      <c r="AA5648" s="33"/>
      <c r="AB5648" s="33"/>
      <c r="AC5648" s="33"/>
      <c r="AD5648" s="33"/>
      <c r="AE5648" s="33"/>
      <c r="AF5648" s="33"/>
      <c r="AG5648" s="33"/>
      <c r="AH5648" s="33"/>
      <c r="AI5648" s="33"/>
      <c r="AJ5648" s="33"/>
      <c r="AK5648" s="33"/>
    </row>
    <row r="5649">
      <c r="A5649" s="33"/>
      <c r="B5649" s="33"/>
      <c r="C5649" s="33"/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  <c r="R5649" s="33"/>
      <c r="S5649" s="33"/>
      <c r="T5649" s="33"/>
      <c r="U5649" s="33"/>
      <c r="V5649" s="33"/>
      <c r="W5649" s="33"/>
      <c r="X5649" s="33"/>
      <c r="Y5649" s="33"/>
      <c r="Z5649" s="33"/>
      <c r="AA5649" s="33"/>
      <c r="AB5649" s="33"/>
      <c r="AC5649" s="33"/>
      <c r="AD5649" s="33"/>
      <c r="AE5649" s="33"/>
      <c r="AF5649" s="33"/>
      <c r="AG5649" s="33"/>
      <c r="AH5649" s="33"/>
      <c r="AI5649" s="33"/>
      <c r="AJ5649" s="33"/>
      <c r="AK5649" s="33"/>
    </row>
    <row r="5650">
      <c r="A5650" s="33"/>
      <c r="B5650" s="33"/>
      <c r="C5650" s="33"/>
      <c r="D5650" s="33"/>
      <c r="E5650" s="33"/>
      <c r="F5650" s="33"/>
      <c r="G5650" s="33"/>
      <c r="H5650" s="33"/>
      <c r="I5650" s="33"/>
      <c r="J5650" s="33"/>
      <c r="K5650" s="33"/>
      <c r="L5650" s="33"/>
      <c r="M5650" s="33"/>
      <c r="N5650" s="33"/>
      <c r="O5650" s="33"/>
      <c r="P5650" s="33"/>
      <c r="Q5650" s="33"/>
      <c r="R5650" s="33"/>
      <c r="S5650" s="33"/>
      <c r="T5650" s="33"/>
      <c r="U5650" s="33"/>
      <c r="V5650" s="33"/>
      <c r="W5650" s="33"/>
      <c r="X5650" s="33"/>
      <c r="Y5650" s="33"/>
      <c r="Z5650" s="33"/>
      <c r="AA5650" s="33"/>
      <c r="AB5650" s="33"/>
      <c r="AC5650" s="33"/>
      <c r="AD5650" s="33"/>
      <c r="AE5650" s="33"/>
      <c r="AF5650" s="33"/>
      <c r="AG5650" s="33"/>
      <c r="AH5650" s="33"/>
      <c r="AI5650" s="33"/>
      <c r="AJ5650" s="33"/>
      <c r="AK5650" s="33"/>
    </row>
    <row r="5651">
      <c r="A5651" s="33"/>
      <c r="B5651" s="33"/>
      <c r="C5651" s="33"/>
      <c r="D5651" s="33"/>
      <c r="E5651" s="33"/>
      <c r="F5651" s="33"/>
      <c r="G5651" s="33"/>
      <c r="H5651" s="33"/>
      <c r="I5651" s="33"/>
      <c r="J5651" s="33"/>
      <c r="K5651" s="33"/>
      <c r="L5651" s="33"/>
      <c r="M5651" s="33"/>
      <c r="N5651" s="33"/>
      <c r="O5651" s="33"/>
      <c r="P5651" s="33"/>
      <c r="Q5651" s="33"/>
      <c r="R5651" s="33"/>
      <c r="S5651" s="33"/>
      <c r="T5651" s="33"/>
      <c r="U5651" s="33"/>
      <c r="V5651" s="33"/>
      <c r="W5651" s="33"/>
      <c r="X5651" s="33"/>
      <c r="Y5651" s="33"/>
      <c r="Z5651" s="33"/>
      <c r="AA5651" s="33"/>
      <c r="AB5651" s="33"/>
      <c r="AC5651" s="33"/>
      <c r="AD5651" s="33"/>
      <c r="AE5651" s="33"/>
      <c r="AF5651" s="33"/>
      <c r="AG5651" s="33"/>
      <c r="AH5651" s="33"/>
      <c r="AI5651" s="33"/>
      <c r="AJ5651" s="33"/>
      <c r="AK5651" s="33"/>
    </row>
    <row r="5652">
      <c r="A5652" s="33"/>
      <c r="B5652" s="33"/>
      <c r="C5652" s="33"/>
      <c r="D5652" s="33"/>
      <c r="E5652" s="33"/>
      <c r="F5652" s="33"/>
      <c r="G5652" s="33"/>
      <c r="H5652" s="33"/>
      <c r="I5652" s="33"/>
      <c r="J5652" s="33"/>
      <c r="K5652" s="33"/>
      <c r="L5652" s="33"/>
      <c r="M5652" s="33"/>
      <c r="N5652" s="33"/>
      <c r="O5652" s="33"/>
      <c r="P5652" s="33"/>
      <c r="Q5652" s="33"/>
      <c r="R5652" s="33"/>
      <c r="S5652" s="33"/>
      <c r="T5652" s="33"/>
      <c r="U5652" s="33"/>
      <c r="V5652" s="33"/>
      <c r="W5652" s="33"/>
      <c r="X5652" s="33"/>
      <c r="Y5652" s="33"/>
      <c r="Z5652" s="33"/>
      <c r="AA5652" s="33"/>
      <c r="AB5652" s="33"/>
      <c r="AC5652" s="33"/>
      <c r="AD5652" s="33"/>
      <c r="AE5652" s="33"/>
      <c r="AF5652" s="33"/>
      <c r="AG5652" s="33"/>
      <c r="AH5652" s="33"/>
      <c r="AI5652" s="33"/>
      <c r="AJ5652" s="33"/>
      <c r="AK5652" s="33"/>
    </row>
    <row r="5653">
      <c r="A5653" s="33"/>
      <c r="B5653" s="33"/>
      <c r="C5653" s="33"/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  <c r="Q5653" s="33"/>
      <c r="R5653" s="33"/>
      <c r="S5653" s="33"/>
      <c r="T5653" s="33"/>
      <c r="U5653" s="33"/>
      <c r="V5653" s="33"/>
      <c r="W5653" s="33"/>
      <c r="X5653" s="33"/>
      <c r="Y5653" s="33"/>
      <c r="Z5653" s="33"/>
      <c r="AA5653" s="33"/>
      <c r="AB5653" s="33"/>
      <c r="AC5653" s="33"/>
      <c r="AD5653" s="33"/>
      <c r="AE5653" s="33"/>
      <c r="AF5653" s="33"/>
      <c r="AG5653" s="33"/>
      <c r="AH5653" s="33"/>
      <c r="AI5653" s="33"/>
      <c r="AJ5653" s="33"/>
      <c r="AK5653" s="33"/>
    </row>
    <row r="5654">
      <c r="A5654" s="33"/>
      <c r="B5654" s="33"/>
      <c r="C5654" s="33"/>
      <c r="D5654" s="33"/>
      <c r="E5654" s="33"/>
      <c r="F5654" s="33"/>
      <c r="G5654" s="33"/>
      <c r="H5654" s="33"/>
      <c r="I5654" s="33"/>
      <c r="J5654" s="33"/>
      <c r="K5654" s="33"/>
      <c r="L5654" s="33"/>
      <c r="M5654" s="33"/>
      <c r="N5654" s="33"/>
      <c r="O5654" s="33"/>
      <c r="P5654" s="33"/>
      <c r="Q5654" s="33"/>
      <c r="R5654" s="33"/>
      <c r="S5654" s="33"/>
      <c r="T5654" s="33"/>
      <c r="U5654" s="33"/>
      <c r="V5654" s="33"/>
      <c r="W5654" s="33"/>
      <c r="X5654" s="33"/>
      <c r="Y5654" s="33"/>
      <c r="Z5654" s="33"/>
      <c r="AA5654" s="33"/>
      <c r="AB5654" s="33"/>
      <c r="AC5654" s="33"/>
      <c r="AD5654" s="33"/>
      <c r="AE5654" s="33"/>
      <c r="AF5654" s="33"/>
      <c r="AG5654" s="33"/>
      <c r="AH5654" s="33"/>
      <c r="AI5654" s="33"/>
      <c r="AJ5654" s="33"/>
      <c r="AK5654" s="33"/>
    </row>
    <row r="5655">
      <c r="A5655" s="33"/>
      <c r="B5655" s="33"/>
      <c r="C5655" s="33"/>
      <c r="D5655" s="33"/>
      <c r="E5655" s="33"/>
      <c r="F5655" s="33"/>
      <c r="G5655" s="33"/>
      <c r="H5655" s="33"/>
      <c r="I5655" s="33"/>
      <c r="J5655" s="33"/>
      <c r="K5655" s="33"/>
      <c r="L5655" s="33"/>
      <c r="M5655" s="33"/>
      <c r="N5655" s="33"/>
      <c r="O5655" s="33"/>
      <c r="P5655" s="33"/>
      <c r="Q5655" s="33"/>
      <c r="R5655" s="33"/>
      <c r="S5655" s="33"/>
      <c r="T5655" s="33"/>
      <c r="U5655" s="33"/>
      <c r="V5655" s="33"/>
      <c r="W5655" s="33"/>
      <c r="X5655" s="33"/>
      <c r="Y5655" s="33"/>
      <c r="Z5655" s="33"/>
      <c r="AA5655" s="33"/>
      <c r="AB5655" s="33"/>
      <c r="AC5655" s="33"/>
      <c r="AD5655" s="33"/>
      <c r="AE5655" s="33"/>
      <c r="AF5655" s="33"/>
      <c r="AG5655" s="33"/>
      <c r="AH5655" s="33"/>
      <c r="AI5655" s="33"/>
      <c r="AJ5655" s="33"/>
      <c r="AK5655" s="33"/>
    </row>
    <row r="5656">
      <c r="A5656" s="33"/>
      <c r="B5656" s="33"/>
      <c r="C5656" s="33"/>
      <c r="D5656" s="33"/>
      <c r="E5656" s="33"/>
      <c r="F5656" s="33"/>
      <c r="G5656" s="33"/>
      <c r="H5656" s="33"/>
      <c r="I5656" s="33"/>
      <c r="J5656" s="33"/>
      <c r="K5656" s="33"/>
      <c r="L5656" s="33"/>
      <c r="M5656" s="33"/>
      <c r="N5656" s="33"/>
      <c r="O5656" s="33"/>
      <c r="P5656" s="33"/>
      <c r="Q5656" s="33"/>
      <c r="R5656" s="33"/>
      <c r="S5656" s="33"/>
      <c r="T5656" s="33"/>
      <c r="U5656" s="33"/>
      <c r="V5656" s="33"/>
      <c r="W5656" s="33"/>
      <c r="X5656" s="33"/>
      <c r="Y5656" s="33"/>
      <c r="Z5656" s="33"/>
      <c r="AA5656" s="33"/>
      <c r="AB5656" s="33"/>
      <c r="AC5656" s="33"/>
      <c r="AD5656" s="33"/>
      <c r="AE5656" s="33"/>
      <c r="AF5656" s="33"/>
      <c r="AG5656" s="33"/>
      <c r="AH5656" s="33"/>
      <c r="AI5656" s="33"/>
      <c r="AJ5656" s="33"/>
      <c r="AK5656" s="33"/>
    </row>
    <row r="5657">
      <c r="A5657" s="33"/>
      <c r="B5657" s="33"/>
      <c r="C5657" s="33"/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  <c r="Q5657" s="33"/>
      <c r="R5657" s="33"/>
      <c r="S5657" s="33"/>
      <c r="T5657" s="33"/>
      <c r="U5657" s="33"/>
      <c r="V5657" s="33"/>
      <c r="W5657" s="33"/>
      <c r="X5657" s="33"/>
      <c r="Y5657" s="33"/>
      <c r="Z5657" s="33"/>
      <c r="AA5657" s="33"/>
      <c r="AB5657" s="33"/>
      <c r="AC5657" s="33"/>
      <c r="AD5657" s="33"/>
      <c r="AE5657" s="33"/>
      <c r="AF5657" s="33"/>
      <c r="AG5657" s="33"/>
      <c r="AH5657" s="33"/>
      <c r="AI5657" s="33"/>
      <c r="AJ5657" s="33"/>
      <c r="AK5657" s="33"/>
    </row>
    <row r="5658">
      <c r="A5658" s="33"/>
      <c r="B5658" s="33"/>
      <c r="C5658" s="33"/>
      <c r="D5658" s="33"/>
      <c r="E5658" s="33"/>
      <c r="F5658" s="33"/>
      <c r="G5658" s="33"/>
      <c r="H5658" s="33"/>
      <c r="I5658" s="33"/>
      <c r="J5658" s="33"/>
      <c r="K5658" s="33"/>
      <c r="L5658" s="33"/>
      <c r="M5658" s="33"/>
      <c r="N5658" s="33"/>
      <c r="O5658" s="33"/>
      <c r="P5658" s="33"/>
      <c r="Q5658" s="33"/>
      <c r="R5658" s="33"/>
      <c r="S5658" s="33"/>
      <c r="T5658" s="33"/>
      <c r="U5658" s="33"/>
      <c r="V5658" s="33"/>
      <c r="W5658" s="33"/>
      <c r="X5658" s="33"/>
      <c r="Y5658" s="33"/>
      <c r="Z5658" s="33"/>
      <c r="AA5658" s="33"/>
      <c r="AB5658" s="33"/>
      <c r="AC5658" s="33"/>
      <c r="AD5658" s="33"/>
      <c r="AE5658" s="33"/>
      <c r="AF5658" s="33"/>
      <c r="AG5658" s="33"/>
      <c r="AH5658" s="33"/>
      <c r="AI5658" s="33"/>
      <c r="AJ5658" s="33"/>
      <c r="AK5658" s="33"/>
    </row>
    <row r="5659">
      <c r="A5659" s="33"/>
      <c r="B5659" s="33"/>
      <c r="C5659" s="33"/>
      <c r="D5659" s="33"/>
      <c r="E5659" s="33"/>
      <c r="F5659" s="33"/>
      <c r="G5659" s="33"/>
      <c r="H5659" s="33"/>
      <c r="I5659" s="33"/>
      <c r="J5659" s="33"/>
      <c r="K5659" s="33"/>
      <c r="L5659" s="33"/>
      <c r="M5659" s="33"/>
      <c r="N5659" s="33"/>
      <c r="O5659" s="33"/>
      <c r="P5659" s="33"/>
      <c r="Q5659" s="33"/>
      <c r="R5659" s="33"/>
      <c r="S5659" s="33"/>
      <c r="T5659" s="33"/>
      <c r="U5659" s="33"/>
      <c r="V5659" s="33"/>
      <c r="W5659" s="33"/>
      <c r="X5659" s="33"/>
      <c r="Y5659" s="33"/>
      <c r="Z5659" s="33"/>
      <c r="AA5659" s="33"/>
      <c r="AB5659" s="33"/>
      <c r="AC5659" s="33"/>
      <c r="AD5659" s="33"/>
      <c r="AE5659" s="33"/>
      <c r="AF5659" s="33"/>
      <c r="AG5659" s="33"/>
      <c r="AH5659" s="33"/>
      <c r="AI5659" s="33"/>
      <c r="AJ5659" s="33"/>
      <c r="AK5659" s="33"/>
    </row>
    <row r="5660">
      <c r="A5660" s="33"/>
      <c r="B5660" s="33"/>
      <c r="C5660" s="33"/>
      <c r="D5660" s="33"/>
      <c r="E5660" s="33"/>
      <c r="F5660" s="33"/>
      <c r="G5660" s="33"/>
      <c r="H5660" s="33"/>
      <c r="I5660" s="33"/>
      <c r="J5660" s="33"/>
      <c r="K5660" s="33"/>
      <c r="L5660" s="33"/>
      <c r="M5660" s="33"/>
      <c r="N5660" s="33"/>
      <c r="O5660" s="33"/>
      <c r="P5660" s="33"/>
      <c r="Q5660" s="33"/>
      <c r="R5660" s="33"/>
      <c r="S5660" s="33"/>
      <c r="T5660" s="33"/>
      <c r="U5660" s="33"/>
      <c r="V5660" s="33"/>
      <c r="W5660" s="33"/>
      <c r="X5660" s="33"/>
      <c r="Y5660" s="33"/>
      <c r="Z5660" s="33"/>
      <c r="AA5660" s="33"/>
      <c r="AB5660" s="33"/>
      <c r="AC5660" s="33"/>
      <c r="AD5660" s="33"/>
      <c r="AE5660" s="33"/>
      <c r="AF5660" s="33"/>
      <c r="AG5660" s="33"/>
      <c r="AH5660" s="33"/>
      <c r="AI5660" s="33"/>
      <c r="AJ5660" s="33"/>
      <c r="AK5660" s="33"/>
    </row>
    <row r="5661">
      <c r="A5661" s="33"/>
      <c r="B5661" s="33"/>
      <c r="C5661" s="33"/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  <c r="Q5661" s="33"/>
      <c r="R5661" s="33"/>
      <c r="S5661" s="33"/>
      <c r="T5661" s="33"/>
      <c r="U5661" s="33"/>
      <c r="V5661" s="33"/>
      <c r="W5661" s="33"/>
      <c r="X5661" s="33"/>
      <c r="Y5661" s="33"/>
      <c r="Z5661" s="33"/>
      <c r="AA5661" s="33"/>
      <c r="AB5661" s="33"/>
      <c r="AC5661" s="33"/>
      <c r="AD5661" s="33"/>
      <c r="AE5661" s="33"/>
      <c r="AF5661" s="33"/>
      <c r="AG5661" s="33"/>
      <c r="AH5661" s="33"/>
      <c r="AI5661" s="33"/>
      <c r="AJ5661" s="33"/>
      <c r="AK5661" s="33"/>
    </row>
    <row r="5662">
      <c r="A5662" s="33"/>
      <c r="B5662" s="33"/>
      <c r="C5662" s="33"/>
      <c r="D5662" s="33"/>
      <c r="E5662" s="33"/>
      <c r="F5662" s="33"/>
      <c r="G5662" s="33"/>
      <c r="H5662" s="33"/>
      <c r="I5662" s="33"/>
      <c r="J5662" s="33"/>
      <c r="K5662" s="33"/>
      <c r="L5662" s="33"/>
      <c r="M5662" s="33"/>
      <c r="N5662" s="33"/>
      <c r="O5662" s="33"/>
      <c r="P5662" s="33"/>
      <c r="Q5662" s="33"/>
      <c r="R5662" s="33"/>
      <c r="S5662" s="33"/>
      <c r="T5662" s="33"/>
      <c r="U5662" s="33"/>
      <c r="V5662" s="33"/>
      <c r="W5662" s="33"/>
      <c r="X5662" s="33"/>
      <c r="Y5662" s="33"/>
      <c r="Z5662" s="33"/>
      <c r="AA5662" s="33"/>
      <c r="AB5662" s="33"/>
      <c r="AC5662" s="33"/>
      <c r="AD5662" s="33"/>
      <c r="AE5662" s="33"/>
      <c r="AF5662" s="33"/>
      <c r="AG5662" s="33"/>
      <c r="AH5662" s="33"/>
      <c r="AI5662" s="33"/>
      <c r="AJ5662" s="33"/>
      <c r="AK5662" s="33"/>
    </row>
    <row r="5663">
      <c r="A5663" s="33"/>
      <c r="B5663" s="33"/>
      <c r="C5663" s="33"/>
      <c r="D5663" s="33"/>
      <c r="E5663" s="33"/>
      <c r="F5663" s="33"/>
      <c r="G5663" s="33"/>
      <c r="H5663" s="33"/>
      <c r="I5663" s="33"/>
      <c r="J5663" s="33"/>
      <c r="K5663" s="33"/>
      <c r="L5663" s="33"/>
      <c r="M5663" s="33"/>
      <c r="N5663" s="33"/>
      <c r="O5663" s="33"/>
      <c r="P5663" s="33"/>
      <c r="Q5663" s="33"/>
      <c r="R5663" s="33"/>
      <c r="S5663" s="33"/>
      <c r="T5663" s="33"/>
      <c r="U5663" s="33"/>
      <c r="V5663" s="33"/>
      <c r="W5663" s="33"/>
      <c r="X5663" s="33"/>
      <c r="Y5663" s="33"/>
      <c r="Z5663" s="33"/>
      <c r="AA5663" s="33"/>
      <c r="AB5663" s="33"/>
      <c r="AC5663" s="33"/>
      <c r="AD5663" s="33"/>
      <c r="AE5663" s="33"/>
      <c r="AF5663" s="33"/>
      <c r="AG5663" s="33"/>
      <c r="AH5663" s="33"/>
      <c r="AI5663" s="33"/>
      <c r="AJ5663" s="33"/>
      <c r="AK5663" s="33"/>
    </row>
    <row r="5664">
      <c r="A5664" s="33"/>
      <c r="B5664" s="33"/>
      <c r="C5664" s="33"/>
      <c r="D5664" s="33"/>
      <c r="E5664" s="33"/>
      <c r="F5664" s="33"/>
      <c r="G5664" s="33"/>
      <c r="H5664" s="33"/>
      <c r="I5664" s="33"/>
      <c r="J5664" s="33"/>
      <c r="K5664" s="33"/>
      <c r="L5664" s="33"/>
      <c r="M5664" s="33"/>
      <c r="N5664" s="33"/>
      <c r="O5664" s="33"/>
      <c r="P5664" s="33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  <c r="AG5664" s="33"/>
      <c r="AH5664" s="33"/>
      <c r="AI5664" s="33"/>
      <c r="AJ5664" s="33"/>
      <c r="AK5664" s="33"/>
    </row>
    <row r="5665">
      <c r="A5665" s="33"/>
      <c r="B5665" s="33"/>
      <c r="C5665" s="33"/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  <c r="AG5665" s="33"/>
      <c r="AH5665" s="33"/>
      <c r="AI5665" s="33"/>
      <c r="AJ5665" s="33"/>
      <c r="AK5665" s="33"/>
    </row>
    <row r="5666">
      <c r="A5666" s="33"/>
      <c r="B5666" s="33"/>
      <c r="C5666" s="33"/>
      <c r="D5666" s="33"/>
      <c r="E5666" s="33"/>
      <c r="F5666" s="33"/>
      <c r="G5666" s="33"/>
      <c r="H5666" s="33"/>
      <c r="I5666" s="33"/>
      <c r="J5666" s="33"/>
      <c r="K5666" s="33"/>
      <c r="L5666" s="33"/>
      <c r="M5666" s="33"/>
      <c r="N5666" s="33"/>
      <c r="O5666" s="33"/>
      <c r="P5666" s="33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  <c r="AG5666" s="33"/>
      <c r="AH5666" s="33"/>
      <c r="AI5666" s="33"/>
      <c r="AJ5666" s="33"/>
      <c r="AK5666" s="33"/>
    </row>
    <row r="5667">
      <c r="A5667" s="33"/>
      <c r="B5667" s="33"/>
      <c r="C5667" s="33"/>
      <c r="D5667" s="33"/>
      <c r="E5667" s="33"/>
      <c r="F5667" s="33"/>
      <c r="G5667" s="33"/>
      <c r="H5667" s="33"/>
      <c r="I5667" s="33"/>
      <c r="J5667" s="33"/>
      <c r="K5667" s="33"/>
      <c r="L5667" s="33"/>
      <c r="M5667" s="33"/>
      <c r="N5667" s="33"/>
      <c r="O5667" s="33"/>
      <c r="P5667" s="33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  <c r="AG5667" s="33"/>
      <c r="AH5667" s="33"/>
      <c r="AI5667" s="33"/>
      <c r="AJ5667" s="33"/>
      <c r="AK5667" s="33"/>
    </row>
    <row r="5668">
      <c r="A5668" s="33"/>
      <c r="B5668" s="33"/>
      <c r="C5668" s="33"/>
      <c r="D5668" s="33"/>
      <c r="E5668" s="33"/>
      <c r="F5668" s="33"/>
      <c r="G5668" s="33"/>
      <c r="H5668" s="33"/>
      <c r="I5668" s="33"/>
      <c r="J5668" s="33"/>
      <c r="K5668" s="33"/>
      <c r="L5668" s="33"/>
      <c r="M5668" s="33"/>
      <c r="N5668" s="33"/>
      <c r="O5668" s="33"/>
      <c r="P5668" s="33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  <c r="AG5668" s="33"/>
      <c r="AH5668" s="33"/>
      <c r="AI5668" s="33"/>
      <c r="AJ5668" s="33"/>
      <c r="AK5668" s="33"/>
    </row>
    <row r="5669">
      <c r="A5669" s="33"/>
      <c r="B5669" s="33"/>
      <c r="C5669" s="33"/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  <c r="AG5669" s="33"/>
      <c r="AH5669" s="33"/>
      <c r="AI5669" s="33"/>
      <c r="AJ5669" s="33"/>
      <c r="AK5669" s="33"/>
    </row>
    <row r="5670">
      <c r="A5670" s="33"/>
      <c r="B5670" s="33"/>
      <c r="C5670" s="33"/>
      <c r="D5670" s="33"/>
      <c r="E5670" s="33"/>
      <c r="F5670" s="33"/>
      <c r="G5670" s="33"/>
      <c r="H5670" s="33"/>
      <c r="I5670" s="33"/>
      <c r="J5670" s="33"/>
      <c r="K5670" s="33"/>
      <c r="L5670" s="33"/>
      <c r="M5670" s="33"/>
      <c r="N5670" s="33"/>
      <c r="O5670" s="33"/>
      <c r="P5670" s="33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  <c r="AG5670" s="33"/>
      <c r="AH5670" s="33"/>
      <c r="AI5670" s="33"/>
      <c r="AJ5670" s="33"/>
      <c r="AK5670" s="33"/>
    </row>
    <row r="5671">
      <c r="A5671" s="33"/>
      <c r="B5671" s="33"/>
      <c r="C5671" s="33"/>
      <c r="D5671" s="33"/>
      <c r="E5671" s="33"/>
      <c r="F5671" s="33"/>
      <c r="G5671" s="33"/>
      <c r="H5671" s="33"/>
      <c r="I5671" s="33"/>
      <c r="J5671" s="33"/>
      <c r="K5671" s="33"/>
      <c r="L5671" s="33"/>
      <c r="M5671" s="33"/>
      <c r="N5671" s="33"/>
      <c r="O5671" s="33"/>
      <c r="P5671" s="33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  <c r="AG5671" s="33"/>
      <c r="AH5671" s="33"/>
      <c r="AI5671" s="33"/>
      <c r="AJ5671" s="33"/>
      <c r="AK5671" s="33"/>
    </row>
    <row r="5672">
      <c r="A5672" s="33"/>
      <c r="B5672" s="33"/>
      <c r="C5672" s="33"/>
      <c r="D5672" s="33"/>
      <c r="E5672" s="33"/>
      <c r="F5672" s="33"/>
      <c r="G5672" s="33"/>
      <c r="H5672" s="33"/>
      <c r="I5672" s="33"/>
      <c r="J5672" s="33"/>
      <c r="K5672" s="33"/>
      <c r="L5672" s="33"/>
      <c r="M5672" s="33"/>
      <c r="N5672" s="33"/>
      <c r="O5672" s="33"/>
      <c r="P5672" s="33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  <c r="AG5672" s="33"/>
      <c r="AH5672" s="33"/>
      <c r="AI5672" s="33"/>
      <c r="AJ5672" s="33"/>
      <c r="AK5672" s="33"/>
    </row>
    <row r="5673">
      <c r="A5673" s="33"/>
      <c r="B5673" s="33"/>
      <c r="C5673" s="33"/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  <c r="AG5673" s="33"/>
      <c r="AH5673" s="33"/>
      <c r="AI5673" s="33"/>
      <c r="AJ5673" s="33"/>
      <c r="AK5673" s="33"/>
    </row>
    <row r="5674">
      <c r="A5674" s="33"/>
      <c r="B5674" s="33"/>
      <c r="C5674" s="33"/>
      <c r="D5674" s="33"/>
      <c r="E5674" s="33"/>
      <c r="F5674" s="33"/>
      <c r="G5674" s="33"/>
      <c r="H5674" s="33"/>
      <c r="I5674" s="33"/>
      <c r="J5674" s="33"/>
      <c r="K5674" s="33"/>
      <c r="L5674" s="33"/>
      <c r="M5674" s="33"/>
      <c r="N5674" s="33"/>
      <c r="O5674" s="33"/>
      <c r="P5674" s="33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  <c r="AG5674" s="33"/>
      <c r="AH5674" s="33"/>
      <c r="AI5674" s="33"/>
      <c r="AJ5674" s="33"/>
      <c r="AK5674" s="33"/>
    </row>
    <row r="5675">
      <c r="A5675" s="33"/>
      <c r="B5675" s="33"/>
      <c r="C5675" s="33"/>
      <c r="D5675" s="33"/>
      <c r="E5675" s="33"/>
      <c r="F5675" s="33"/>
      <c r="G5675" s="33"/>
      <c r="H5675" s="33"/>
      <c r="I5675" s="33"/>
      <c r="J5675" s="33"/>
      <c r="K5675" s="33"/>
      <c r="L5675" s="33"/>
      <c r="M5675" s="33"/>
      <c r="N5675" s="33"/>
      <c r="O5675" s="33"/>
      <c r="P5675" s="33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  <c r="AG5675" s="33"/>
      <c r="AH5675" s="33"/>
      <c r="AI5675" s="33"/>
      <c r="AJ5675" s="33"/>
      <c r="AK5675" s="33"/>
    </row>
    <row r="5676">
      <c r="A5676" s="33"/>
      <c r="B5676" s="33"/>
      <c r="C5676" s="33"/>
      <c r="D5676" s="33"/>
      <c r="E5676" s="33"/>
      <c r="F5676" s="33"/>
      <c r="G5676" s="33"/>
      <c r="H5676" s="33"/>
      <c r="I5676" s="33"/>
      <c r="J5676" s="33"/>
      <c r="K5676" s="33"/>
      <c r="L5676" s="33"/>
      <c r="M5676" s="33"/>
      <c r="N5676" s="33"/>
      <c r="O5676" s="33"/>
      <c r="P5676" s="33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  <c r="AG5676" s="33"/>
      <c r="AH5676" s="33"/>
      <c r="AI5676" s="33"/>
      <c r="AJ5676" s="33"/>
      <c r="AK5676" s="33"/>
    </row>
    <row r="5677">
      <c r="A5677" s="33"/>
      <c r="B5677" s="33"/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  <c r="AG5677" s="33"/>
      <c r="AH5677" s="33"/>
      <c r="AI5677" s="33"/>
      <c r="AJ5677" s="33"/>
      <c r="AK5677" s="33"/>
    </row>
    <row r="5678">
      <c r="A5678" s="33"/>
      <c r="B5678" s="33"/>
      <c r="C5678" s="33"/>
      <c r="D5678" s="33"/>
      <c r="E5678" s="33"/>
      <c r="F5678" s="33"/>
      <c r="G5678" s="33"/>
      <c r="H5678" s="33"/>
      <c r="I5678" s="33"/>
      <c r="J5678" s="33"/>
      <c r="K5678" s="33"/>
      <c r="L5678" s="33"/>
      <c r="M5678" s="33"/>
      <c r="N5678" s="33"/>
      <c r="O5678" s="33"/>
      <c r="P5678" s="33"/>
      <c r="Q5678" s="33"/>
      <c r="R5678" s="33"/>
      <c r="S5678" s="33"/>
      <c r="T5678" s="33"/>
      <c r="U5678" s="33"/>
      <c r="V5678" s="33"/>
      <c r="W5678" s="33"/>
      <c r="X5678" s="33"/>
      <c r="Y5678" s="33"/>
      <c r="Z5678" s="33"/>
      <c r="AA5678" s="33"/>
      <c r="AB5678" s="33"/>
      <c r="AC5678" s="33"/>
      <c r="AD5678" s="33"/>
      <c r="AE5678" s="33"/>
      <c r="AF5678" s="33"/>
      <c r="AG5678" s="33"/>
      <c r="AH5678" s="33"/>
      <c r="AI5678" s="33"/>
      <c r="AJ5678" s="33"/>
      <c r="AK5678" s="33"/>
    </row>
    <row r="5679">
      <c r="A5679" s="33"/>
      <c r="B5679" s="33"/>
      <c r="C5679" s="33"/>
      <c r="D5679" s="33"/>
      <c r="E5679" s="33"/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33"/>
      <c r="Q5679" s="33"/>
      <c r="R5679" s="33"/>
      <c r="S5679" s="33"/>
      <c r="T5679" s="33"/>
      <c r="U5679" s="33"/>
      <c r="V5679" s="33"/>
      <c r="W5679" s="33"/>
      <c r="X5679" s="33"/>
      <c r="Y5679" s="33"/>
      <c r="Z5679" s="33"/>
      <c r="AA5679" s="33"/>
      <c r="AB5679" s="33"/>
      <c r="AC5679" s="33"/>
      <c r="AD5679" s="33"/>
      <c r="AE5679" s="33"/>
      <c r="AF5679" s="33"/>
      <c r="AG5679" s="33"/>
      <c r="AH5679" s="33"/>
      <c r="AI5679" s="33"/>
      <c r="AJ5679" s="33"/>
      <c r="AK5679" s="33"/>
    </row>
    <row r="5680">
      <c r="A5680" s="33"/>
      <c r="B5680" s="33"/>
      <c r="C5680" s="33"/>
      <c r="D5680" s="33"/>
      <c r="E5680" s="33"/>
      <c r="F5680" s="33"/>
      <c r="G5680" s="33"/>
      <c r="H5680" s="33"/>
      <c r="I5680" s="33"/>
      <c r="J5680" s="33"/>
      <c r="K5680" s="33"/>
      <c r="L5680" s="33"/>
      <c r="M5680" s="33"/>
      <c r="N5680" s="33"/>
      <c r="O5680" s="33"/>
      <c r="P5680" s="33"/>
      <c r="Q5680" s="33"/>
      <c r="R5680" s="33"/>
      <c r="S5680" s="33"/>
      <c r="T5680" s="33"/>
      <c r="U5680" s="33"/>
      <c r="V5680" s="33"/>
      <c r="W5680" s="33"/>
      <c r="X5680" s="33"/>
      <c r="Y5680" s="33"/>
      <c r="Z5680" s="33"/>
      <c r="AA5680" s="33"/>
      <c r="AB5680" s="33"/>
      <c r="AC5680" s="33"/>
      <c r="AD5680" s="33"/>
      <c r="AE5680" s="33"/>
      <c r="AF5680" s="33"/>
      <c r="AG5680" s="33"/>
      <c r="AH5680" s="33"/>
      <c r="AI5680" s="33"/>
      <c r="AJ5680" s="33"/>
      <c r="AK5680" s="33"/>
    </row>
    <row r="5681">
      <c r="A5681" s="33"/>
      <c r="B5681" s="33"/>
      <c r="C5681" s="33"/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3"/>
      <c r="X5681" s="33"/>
      <c r="Y5681" s="33"/>
      <c r="Z5681" s="33"/>
      <c r="AA5681" s="33"/>
      <c r="AB5681" s="33"/>
      <c r="AC5681" s="33"/>
      <c r="AD5681" s="33"/>
      <c r="AE5681" s="33"/>
      <c r="AF5681" s="33"/>
      <c r="AG5681" s="33"/>
      <c r="AH5681" s="33"/>
      <c r="AI5681" s="33"/>
      <c r="AJ5681" s="33"/>
      <c r="AK5681" s="33"/>
    </row>
    <row r="5682">
      <c r="A5682" s="33"/>
      <c r="B5682" s="33"/>
      <c r="C5682" s="33"/>
      <c r="D5682" s="33"/>
      <c r="E5682" s="33"/>
      <c r="F5682" s="33"/>
      <c r="G5682" s="33"/>
      <c r="H5682" s="33"/>
      <c r="I5682" s="33"/>
      <c r="J5682" s="33"/>
      <c r="K5682" s="33"/>
      <c r="L5682" s="33"/>
      <c r="M5682" s="33"/>
      <c r="N5682" s="33"/>
      <c r="O5682" s="33"/>
      <c r="P5682" s="33"/>
      <c r="Q5682" s="33"/>
      <c r="R5682" s="33"/>
      <c r="S5682" s="33"/>
      <c r="T5682" s="33"/>
      <c r="U5682" s="33"/>
      <c r="V5682" s="33"/>
      <c r="W5682" s="33"/>
      <c r="X5682" s="33"/>
      <c r="Y5682" s="33"/>
      <c r="Z5682" s="33"/>
      <c r="AA5682" s="33"/>
      <c r="AB5682" s="33"/>
      <c r="AC5682" s="33"/>
      <c r="AD5682" s="33"/>
      <c r="AE5682" s="33"/>
      <c r="AF5682" s="33"/>
      <c r="AG5682" s="33"/>
      <c r="AH5682" s="33"/>
      <c r="AI5682" s="33"/>
      <c r="AJ5682" s="33"/>
      <c r="AK5682" s="33"/>
    </row>
    <row r="5683">
      <c r="A5683" s="33"/>
      <c r="B5683" s="33"/>
      <c r="C5683" s="33"/>
      <c r="D5683" s="33"/>
      <c r="E5683" s="33"/>
      <c r="F5683" s="33"/>
      <c r="G5683" s="33"/>
      <c r="H5683" s="33"/>
      <c r="I5683" s="33"/>
      <c r="J5683" s="33"/>
      <c r="K5683" s="33"/>
      <c r="L5683" s="33"/>
      <c r="M5683" s="33"/>
      <c r="N5683" s="33"/>
      <c r="O5683" s="33"/>
      <c r="P5683" s="33"/>
      <c r="Q5683" s="33"/>
      <c r="R5683" s="33"/>
      <c r="S5683" s="33"/>
      <c r="T5683" s="33"/>
      <c r="U5683" s="33"/>
      <c r="V5683" s="33"/>
      <c r="W5683" s="33"/>
      <c r="X5683" s="33"/>
      <c r="Y5683" s="33"/>
      <c r="Z5683" s="33"/>
      <c r="AA5683" s="33"/>
      <c r="AB5683" s="33"/>
      <c r="AC5683" s="33"/>
      <c r="AD5683" s="33"/>
      <c r="AE5683" s="33"/>
      <c r="AF5683" s="33"/>
      <c r="AG5683" s="33"/>
      <c r="AH5683" s="33"/>
      <c r="AI5683" s="33"/>
      <c r="AJ5683" s="33"/>
      <c r="AK5683" s="33"/>
    </row>
    <row r="5684">
      <c r="A5684" s="33"/>
      <c r="B5684" s="33"/>
      <c r="C5684" s="33"/>
      <c r="D5684" s="33"/>
      <c r="E5684" s="33"/>
      <c r="F5684" s="33"/>
      <c r="G5684" s="33"/>
      <c r="H5684" s="33"/>
      <c r="I5684" s="33"/>
      <c r="J5684" s="33"/>
      <c r="K5684" s="33"/>
      <c r="L5684" s="33"/>
      <c r="M5684" s="33"/>
      <c r="N5684" s="33"/>
      <c r="O5684" s="33"/>
      <c r="P5684" s="33"/>
      <c r="Q5684" s="33"/>
      <c r="R5684" s="33"/>
      <c r="S5684" s="33"/>
      <c r="T5684" s="33"/>
      <c r="U5684" s="33"/>
      <c r="V5684" s="33"/>
      <c r="W5684" s="33"/>
      <c r="X5684" s="33"/>
      <c r="Y5684" s="33"/>
      <c r="Z5684" s="33"/>
      <c r="AA5684" s="33"/>
      <c r="AB5684" s="33"/>
      <c r="AC5684" s="33"/>
      <c r="AD5684" s="33"/>
      <c r="AE5684" s="33"/>
      <c r="AF5684" s="33"/>
      <c r="AG5684" s="33"/>
      <c r="AH5684" s="33"/>
      <c r="AI5684" s="33"/>
      <c r="AJ5684" s="33"/>
      <c r="AK5684" s="33"/>
    </row>
    <row r="5685">
      <c r="A5685" s="33"/>
      <c r="B5685" s="33"/>
      <c r="C5685" s="33"/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3"/>
      <c r="X5685" s="33"/>
      <c r="Y5685" s="33"/>
      <c r="Z5685" s="33"/>
      <c r="AA5685" s="33"/>
      <c r="AB5685" s="33"/>
      <c r="AC5685" s="33"/>
      <c r="AD5685" s="33"/>
      <c r="AE5685" s="33"/>
      <c r="AF5685" s="33"/>
      <c r="AG5685" s="33"/>
      <c r="AH5685" s="33"/>
      <c r="AI5685" s="33"/>
      <c r="AJ5685" s="33"/>
      <c r="AK5685" s="33"/>
    </row>
    <row r="5686">
      <c r="A5686" s="33"/>
      <c r="B5686" s="33"/>
      <c r="C5686" s="33"/>
      <c r="D5686" s="33"/>
      <c r="E5686" s="33"/>
      <c r="F5686" s="33"/>
      <c r="G5686" s="33"/>
      <c r="H5686" s="33"/>
      <c r="I5686" s="33"/>
      <c r="J5686" s="33"/>
      <c r="K5686" s="33"/>
      <c r="L5686" s="33"/>
      <c r="M5686" s="33"/>
      <c r="N5686" s="33"/>
      <c r="O5686" s="33"/>
      <c r="P5686" s="33"/>
      <c r="Q5686" s="33"/>
      <c r="R5686" s="33"/>
      <c r="S5686" s="33"/>
      <c r="T5686" s="33"/>
      <c r="U5686" s="33"/>
      <c r="V5686" s="33"/>
      <c r="W5686" s="33"/>
      <c r="X5686" s="33"/>
      <c r="Y5686" s="33"/>
      <c r="Z5686" s="33"/>
      <c r="AA5686" s="33"/>
      <c r="AB5686" s="33"/>
      <c r="AC5686" s="33"/>
      <c r="AD5686" s="33"/>
      <c r="AE5686" s="33"/>
      <c r="AF5686" s="33"/>
      <c r="AG5686" s="33"/>
      <c r="AH5686" s="33"/>
      <c r="AI5686" s="33"/>
      <c r="AJ5686" s="33"/>
      <c r="AK5686" s="33"/>
    </row>
    <row r="5687">
      <c r="A5687" s="33"/>
      <c r="B5687" s="33"/>
      <c r="C5687" s="33"/>
      <c r="D5687" s="33"/>
      <c r="E5687" s="33"/>
      <c r="F5687" s="33"/>
      <c r="G5687" s="33"/>
      <c r="H5687" s="33"/>
      <c r="I5687" s="33"/>
      <c r="J5687" s="33"/>
      <c r="K5687" s="33"/>
      <c r="L5687" s="33"/>
      <c r="M5687" s="33"/>
      <c r="N5687" s="33"/>
      <c r="O5687" s="33"/>
      <c r="P5687" s="33"/>
      <c r="Q5687" s="33"/>
      <c r="R5687" s="33"/>
      <c r="S5687" s="33"/>
      <c r="T5687" s="33"/>
      <c r="U5687" s="33"/>
      <c r="V5687" s="33"/>
      <c r="W5687" s="33"/>
      <c r="X5687" s="33"/>
      <c r="Y5687" s="33"/>
      <c r="Z5687" s="33"/>
      <c r="AA5687" s="33"/>
      <c r="AB5687" s="33"/>
      <c r="AC5687" s="33"/>
      <c r="AD5687" s="33"/>
      <c r="AE5687" s="33"/>
      <c r="AF5687" s="33"/>
      <c r="AG5687" s="33"/>
      <c r="AH5687" s="33"/>
      <c r="AI5687" s="33"/>
      <c r="AJ5687" s="33"/>
      <c r="AK5687" s="33"/>
    </row>
    <row r="5688">
      <c r="A5688" s="33"/>
      <c r="B5688" s="33"/>
      <c r="C5688" s="33"/>
      <c r="D5688" s="33"/>
      <c r="E5688" s="33"/>
      <c r="F5688" s="33"/>
      <c r="G5688" s="33"/>
      <c r="H5688" s="33"/>
      <c r="I5688" s="33"/>
      <c r="J5688" s="33"/>
      <c r="K5688" s="33"/>
      <c r="L5688" s="33"/>
      <c r="M5688" s="33"/>
      <c r="N5688" s="33"/>
      <c r="O5688" s="33"/>
      <c r="P5688" s="33"/>
      <c r="Q5688" s="33"/>
      <c r="R5688" s="33"/>
      <c r="S5688" s="33"/>
      <c r="T5688" s="33"/>
      <c r="U5688" s="33"/>
      <c r="V5688" s="33"/>
      <c r="W5688" s="33"/>
      <c r="X5688" s="33"/>
      <c r="Y5688" s="33"/>
      <c r="Z5688" s="33"/>
      <c r="AA5688" s="33"/>
      <c r="AB5688" s="33"/>
      <c r="AC5688" s="33"/>
      <c r="AD5688" s="33"/>
      <c r="AE5688" s="33"/>
      <c r="AF5688" s="33"/>
      <c r="AG5688" s="33"/>
      <c r="AH5688" s="33"/>
      <c r="AI5688" s="33"/>
      <c r="AJ5688" s="33"/>
      <c r="AK5688" s="33"/>
    </row>
    <row r="5689">
      <c r="A5689" s="33"/>
      <c r="B5689" s="33"/>
      <c r="C5689" s="33"/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3"/>
      <c r="X5689" s="33"/>
      <c r="Y5689" s="33"/>
      <c r="Z5689" s="33"/>
      <c r="AA5689" s="33"/>
      <c r="AB5689" s="33"/>
      <c r="AC5689" s="33"/>
      <c r="AD5689" s="33"/>
      <c r="AE5689" s="33"/>
      <c r="AF5689" s="33"/>
      <c r="AG5689" s="33"/>
      <c r="AH5689" s="33"/>
      <c r="AI5689" s="33"/>
      <c r="AJ5689" s="33"/>
      <c r="AK5689" s="33"/>
    </row>
    <row r="5690">
      <c r="A5690" s="33"/>
      <c r="B5690" s="33"/>
      <c r="C5690" s="33"/>
      <c r="D5690" s="33"/>
      <c r="E5690" s="33"/>
      <c r="F5690" s="33"/>
      <c r="G5690" s="33"/>
      <c r="H5690" s="33"/>
      <c r="I5690" s="33"/>
      <c r="J5690" s="33"/>
      <c r="K5690" s="33"/>
      <c r="L5690" s="33"/>
      <c r="M5690" s="33"/>
      <c r="N5690" s="33"/>
      <c r="O5690" s="33"/>
      <c r="P5690" s="33"/>
      <c r="Q5690" s="33"/>
      <c r="R5690" s="33"/>
      <c r="S5690" s="33"/>
      <c r="T5690" s="33"/>
      <c r="U5690" s="33"/>
      <c r="V5690" s="33"/>
      <c r="W5690" s="33"/>
      <c r="X5690" s="33"/>
      <c r="Y5690" s="33"/>
      <c r="Z5690" s="33"/>
      <c r="AA5690" s="33"/>
      <c r="AB5690" s="33"/>
      <c r="AC5690" s="33"/>
      <c r="AD5690" s="33"/>
      <c r="AE5690" s="33"/>
      <c r="AF5690" s="33"/>
      <c r="AG5690" s="33"/>
      <c r="AH5690" s="33"/>
      <c r="AI5690" s="33"/>
      <c r="AJ5690" s="33"/>
      <c r="AK5690" s="33"/>
    </row>
    <row r="5691">
      <c r="A5691" s="33"/>
      <c r="B5691" s="33"/>
      <c r="C5691" s="33"/>
      <c r="D5691" s="33"/>
      <c r="E5691" s="33"/>
      <c r="F5691" s="33"/>
      <c r="G5691" s="33"/>
      <c r="H5691" s="33"/>
      <c r="I5691" s="33"/>
      <c r="J5691" s="33"/>
      <c r="K5691" s="33"/>
      <c r="L5691" s="33"/>
      <c r="M5691" s="33"/>
      <c r="N5691" s="33"/>
      <c r="O5691" s="33"/>
      <c r="P5691" s="33"/>
      <c r="Q5691" s="33"/>
      <c r="R5691" s="33"/>
      <c r="S5691" s="33"/>
      <c r="T5691" s="33"/>
      <c r="U5691" s="33"/>
      <c r="V5691" s="33"/>
      <c r="W5691" s="33"/>
      <c r="X5691" s="33"/>
      <c r="Y5691" s="33"/>
      <c r="Z5691" s="33"/>
      <c r="AA5691" s="33"/>
      <c r="AB5691" s="33"/>
      <c r="AC5691" s="33"/>
      <c r="AD5691" s="33"/>
      <c r="AE5691" s="33"/>
      <c r="AF5691" s="33"/>
      <c r="AG5691" s="33"/>
      <c r="AH5691" s="33"/>
      <c r="AI5691" s="33"/>
      <c r="AJ5691" s="33"/>
      <c r="AK5691" s="33"/>
    </row>
    <row r="5692">
      <c r="A5692" s="33"/>
      <c r="B5692" s="33"/>
      <c r="C5692" s="33"/>
      <c r="D5692" s="33"/>
      <c r="E5692" s="33"/>
      <c r="F5692" s="33"/>
      <c r="G5692" s="33"/>
      <c r="H5692" s="33"/>
      <c r="I5692" s="33"/>
      <c r="J5692" s="33"/>
      <c r="K5692" s="33"/>
      <c r="L5692" s="33"/>
      <c r="M5692" s="33"/>
      <c r="N5692" s="33"/>
      <c r="O5692" s="33"/>
      <c r="P5692" s="33"/>
      <c r="Q5692" s="33"/>
      <c r="R5692" s="33"/>
      <c r="S5692" s="33"/>
      <c r="T5692" s="33"/>
      <c r="U5692" s="33"/>
      <c r="V5692" s="33"/>
      <c r="W5692" s="33"/>
      <c r="X5692" s="33"/>
      <c r="Y5692" s="33"/>
      <c r="Z5692" s="33"/>
      <c r="AA5692" s="33"/>
      <c r="AB5692" s="33"/>
      <c r="AC5692" s="33"/>
      <c r="AD5692" s="33"/>
      <c r="AE5692" s="33"/>
      <c r="AF5692" s="33"/>
      <c r="AG5692" s="33"/>
      <c r="AH5692" s="33"/>
      <c r="AI5692" s="33"/>
      <c r="AJ5692" s="33"/>
      <c r="AK5692" s="33"/>
    </row>
    <row r="5693">
      <c r="A5693" s="33"/>
      <c r="B5693" s="33"/>
      <c r="C5693" s="33"/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3"/>
      <c r="X5693" s="33"/>
      <c r="Y5693" s="33"/>
      <c r="Z5693" s="33"/>
      <c r="AA5693" s="33"/>
      <c r="AB5693" s="33"/>
      <c r="AC5693" s="33"/>
      <c r="AD5693" s="33"/>
      <c r="AE5693" s="33"/>
      <c r="AF5693" s="33"/>
      <c r="AG5693" s="33"/>
      <c r="AH5693" s="33"/>
      <c r="AI5693" s="33"/>
      <c r="AJ5693" s="33"/>
      <c r="AK5693" s="33"/>
    </row>
    <row r="5694">
      <c r="A5694" s="33"/>
      <c r="B5694" s="33"/>
      <c r="C5694" s="33"/>
      <c r="D5694" s="33"/>
      <c r="E5694" s="33"/>
      <c r="F5694" s="33"/>
      <c r="G5694" s="33"/>
      <c r="H5694" s="33"/>
      <c r="I5694" s="33"/>
      <c r="J5694" s="33"/>
      <c r="K5694" s="33"/>
      <c r="L5694" s="33"/>
      <c r="M5694" s="33"/>
      <c r="N5694" s="33"/>
      <c r="O5694" s="33"/>
      <c r="P5694" s="33"/>
      <c r="Q5694" s="33"/>
      <c r="R5694" s="33"/>
      <c r="S5694" s="33"/>
      <c r="T5694" s="33"/>
      <c r="U5694" s="33"/>
      <c r="V5694" s="33"/>
      <c r="W5694" s="33"/>
      <c r="X5694" s="33"/>
      <c r="Y5694" s="33"/>
      <c r="Z5694" s="33"/>
      <c r="AA5694" s="33"/>
      <c r="AB5694" s="33"/>
      <c r="AC5694" s="33"/>
      <c r="AD5694" s="33"/>
      <c r="AE5694" s="33"/>
      <c r="AF5694" s="33"/>
      <c r="AG5694" s="33"/>
      <c r="AH5694" s="33"/>
      <c r="AI5694" s="33"/>
      <c r="AJ5694" s="33"/>
      <c r="AK5694" s="33"/>
    </row>
    <row r="5695">
      <c r="A5695" s="33"/>
      <c r="B5695" s="33"/>
      <c r="C5695" s="33"/>
      <c r="D5695" s="33"/>
      <c r="E5695" s="33"/>
      <c r="F5695" s="33"/>
      <c r="G5695" s="33"/>
      <c r="H5695" s="33"/>
      <c r="I5695" s="33"/>
      <c r="J5695" s="33"/>
      <c r="K5695" s="33"/>
      <c r="L5695" s="33"/>
      <c r="M5695" s="33"/>
      <c r="N5695" s="33"/>
      <c r="O5695" s="33"/>
      <c r="P5695" s="33"/>
      <c r="Q5695" s="33"/>
      <c r="R5695" s="33"/>
      <c r="S5695" s="33"/>
      <c r="T5695" s="33"/>
      <c r="U5695" s="33"/>
      <c r="V5695" s="33"/>
      <c r="W5695" s="33"/>
      <c r="X5695" s="33"/>
      <c r="Y5695" s="33"/>
      <c r="Z5695" s="33"/>
      <c r="AA5695" s="33"/>
      <c r="AB5695" s="33"/>
      <c r="AC5695" s="33"/>
      <c r="AD5695" s="33"/>
      <c r="AE5695" s="33"/>
      <c r="AF5695" s="33"/>
      <c r="AG5695" s="33"/>
      <c r="AH5695" s="33"/>
      <c r="AI5695" s="33"/>
      <c r="AJ5695" s="33"/>
      <c r="AK5695" s="33"/>
    </row>
    <row r="5696">
      <c r="A5696" s="33"/>
      <c r="B5696" s="33"/>
      <c r="C5696" s="33"/>
      <c r="D5696" s="33"/>
      <c r="E5696" s="33"/>
      <c r="F5696" s="33"/>
      <c r="G5696" s="33"/>
      <c r="H5696" s="33"/>
      <c r="I5696" s="33"/>
      <c r="J5696" s="33"/>
      <c r="K5696" s="33"/>
      <c r="L5696" s="33"/>
      <c r="M5696" s="33"/>
      <c r="N5696" s="33"/>
      <c r="O5696" s="33"/>
      <c r="P5696" s="33"/>
      <c r="Q5696" s="33"/>
      <c r="R5696" s="33"/>
      <c r="S5696" s="33"/>
      <c r="T5696" s="33"/>
      <c r="U5696" s="33"/>
      <c r="V5696" s="33"/>
      <c r="W5696" s="33"/>
      <c r="X5696" s="33"/>
      <c r="Y5696" s="33"/>
      <c r="Z5696" s="33"/>
      <c r="AA5696" s="33"/>
      <c r="AB5696" s="33"/>
      <c r="AC5696" s="33"/>
      <c r="AD5696" s="33"/>
      <c r="AE5696" s="33"/>
      <c r="AF5696" s="33"/>
      <c r="AG5696" s="33"/>
      <c r="AH5696" s="33"/>
      <c r="AI5696" s="33"/>
      <c r="AJ5696" s="33"/>
      <c r="AK5696" s="33"/>
    </row>
    <row r="5697">
      <c r="A5697" s="33"/>
      <c r="B5697" s="33"/>
      <c r="C5697" s="33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3"/>
      <c r="X5697" s="33"/>
      <c r="Y5697" s="33"/>
      <c r="Z5697" s="33"/>
      <c r="AA5697" s="33"/>
      <c r="AB5697" s="33"/>
      <c r="AC5697" s="33"/>
      <c r="AD5697" s="33"/>
      <c r="AE5697" s="33"/>
      <c r="AF5697" s="33"/>
      <c r="AG5697" s="33"/>
      <c r="AH5697" s="33"/>
      <c r="AI5697" s="33"/>
      <c r="AJ5697" s="33"/>
      <c r="AK5697" s="33"/>
    </row>
    <row r="5698">
      <c r="A5698" s="33"/>
      <c r="B5698" s="33"/>
      <c r="C5698" s="33"/>
      <c r="D5698" s="33"/>
      <c r="E5698" s="33"/>
      <c r="F5698" s="33"/>
      <c r="G5698" s="33"/>
      <c r="H5698" s="33"/>
      <c r="I5698" s="33"/>
      <c r="J5698" s="33"/>
      <c r="K5698" s="33"/>
      <c r="L5698" s="33"/>
      <c r="M5698" s="33"/>
      <c r="N5698" s="33"/>
      <c r="O5698" s="33"/>
      <c r="P5698" s="33"/>
      <c r="Q5698" s="33"/>
      <c r="R5698" s="33"/>
      <c r="S5698" s="33"/>
      <c r="T5698" s="33"/>
      <c r="U5698" s="33"/>
      <c r="V5698" s="33"/>
      <c r="W5698" s="33"/>
      <c r="X5698" s="33"/>
      <c r="Y5698" s="33"/>
      <c r="Z5698" s="33"/>
      <c r="AA5698" s="33"/>
      <c r="AB5698" s="33"/>
      <c r="AC5698" s="33"/>
      <c r="AD5698" s="33"/>
      <c r="AE5698" s="33"/>
      <c r="AF5698" s="33"/>
      <c r="AG5698" s="33"/>
      <c r="AH5698" s="33"/>
      <c r="AI5698" s="33"/>
      <c r="AJ5698" s="33"/>
      <c r="AK5698" s="33"/>
    </row>
    <row r="5699">
      <c r="A5699" s="33"/>
      <c r="B5699" s="33"/>
      <c r="C5699" s="33"/>
      <c r="D5699" s="33"/>
      <c r="E5699" s="33"/>
      <c r="F5699" s="33"/>
      <c r="G5699" s="33"/>
      <c r="H5699" s="33"/>
      <c r="I5699" s="33"/>
      <c r="J5699" s="33"/>
      <c r="K5699" s="33"/>
      <c r="L5699" s="33"/>
      <c r="M5699" s="33"/>
      <c r="N5699" s="33"/>
      <c r="O5699" s="33"/>
      <c r="P5699" s="33"/>
      <c r="Q5699" s="33"/>
      <c r="R5699" s="33"/>
      <c r="S5699" s="33"/>
      <c r="T5699" s="33"/>
      <c r="U5699" s="33"/>
      <c r="V5699" s="33"/>
      <c r="W5699" s="33"/>
      <c r="X5699" s="33"/>
      <c r="Y5699" s="33"/>
      <c r="Z5699" s="33"/>
      <c r="AA5699" s="33"/>
      <c r="AB5699" s="33"/>
      <c r="AC5699" s="33"/>
      <c r="AD5699" s="33"/>
      <c r="AE5699" s="33"/>
      <c r="AF5699" s="33"/>
      <c r="AG5699" s="33"/>
      <c r="AH5699" s="33"/>
      <c r="AI5699" s="33"/>
      <c r="AJ5699" s="33"/>
      <c r="AK5699" s="33"/>
    </row>
    <row r="5700">
      <c r="A5700" s="33"/>
      <c r="B5700" s="33"/>
      <c r="C5700" s="33"/>
      <c r="D5700" s="33"/>
      <c r="E5700" s="33"/>
      <c r="F5700" s="33"/>
      <c r="G5700" s="33"/>
      <c r="H5700" s="33"/>
      <c r="I5700" s="33"/>
      <c r="J5700" s="33"/>
      <c r="K5700" s="33"/>
      <c r="L5700" s="33"/>
      <c r="M5700" s="33"/>
      <c r="N5700" s="33"/>
      <c r="O5700" s="33"/>
      <c r="P5700" s="33"/>
      <c r="Q5700" s="33"/>
      <c r="R5700" s="33"/>
      <c r="S5700" s="33"/>
      <c r="T5700" s="33"/>
      <c r="U5700" s="33"/>
      <c r="V5700" s="33"/>
      <c r="W5700" s="33"/>
      <c r="X5700" s="33"/>
      <c r="Y5700" s="33"/>
      <c r="Z5700" s="33"/>
      <c r="AA5700" s="33"/>
      <c r="AB5700" s="33"/>
      <c r="AC5700" s="33"/>
      <c r="AD5700" s="33"/>
      <c r="AE5700" s="33"/>
      <c r="AF5700" s="33"/>
      <c r="AG5700" s="33"/>
      <c r="AH5700" s="33"/>
      <c r="AI5700" s="33"/>
      <c r="AJ5700" s="33"/>
      <c r="AK5700" s="33"/>
    </row>
    <row r="5701">
      <c r="A5701" s="33"/>
      <c r="B5701" s="33"/>
      <c r="C5701" s="33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3"/>
      <c r="X5701" s="33"/>
      <c r="Y5701" s="33"/>
      <c r="Z5701" s="33"/>
      <c r="AA5701" s="33"/>
      <c r="AB5701" s="33"/>
      <c r="AC5701" s="33"/>
      <c r="AD5701" s="33"/>
      <c r="AE5701" s="33"/>
      <c r="AF5701" s="33"/>
      <c r="AG5701" s="33"/>
      <c r="AH5701" s="33"/>
      <c r="AI5701" s="33"/>
      <c r="AJ5701" s="33"/>
      <c r="AK5701" s="33"/>
    </row>
    <row r="5702">
      <c r="A5702" s="33"/>
      <c r="B5702" s="33"/>
      <c r="C5702" s="33"/>
      <c r="D5702" s="33"/>
      <c r="E5702" s="33"/>
      <c r="F5702" s="33"/>
      <c r="G5702" s="33"/>
      <c r="H5702" s="33"/>
      <c r="I5702" s="33"/>
      <c r="J5702" s="33"/>
      <c r="K5702" s="33"/>
      <c r="L5702" s="33"/>
      <c r="M5702" s="33"/>
      <c r="N5702" s="33"/>
      <c r="O5702" s="33"/>
      <c r="P5702" s="33"/>
      <c r="Q5702" s="33"/>
      <c r="R5702" s="33"/>
      <c r="S5702" s="33"/>
      <c r="T5702" s="33"/>
      <c r="U5702" s="33"/>
      <c r="V5702" s="33"/>
      <c r="W5702" s="33"/>
      <c r="X5702" s="33"/>
      <c r="Y5702" s="33"/>
      <c r="Z5702" s="33"/>
      <c r="AA5702" s="33"/>
      <c r="AB5702" s="33"/>
      <c r="AC5702" s="33"/>
      <c r="AD5702" s="33"/>
      <c r="AE5702" s="33"/>
      <c r="AF5702" s="33"/>
      <c r="AG5702" s="33"/>
      <c r="AH5702" s="33"/>
      <c r="AI5702" s="33"/>
      <c r="AJ5702" s="33"/>
      <c r="AK5702" s="33"/>
    </row>
    <row r="5703">
      <c r="A5703" s="33"/>
      <c r="B5703" s="33"/>
      <c r="C5703" s="33"/>
      <c r="D5703" s="33"/>
      <c r="E5703" s="33"/>
      <c r="F5703" s="33"/>
      <c r="G5703" s="33"/>
      <c r="H5703" s="33"/>
      <c r="I5703" s="33"/>
      <c r="J5703" s="33"/>
      <c r="K5703" s="33"/>
      <c r="L5703" s="33"/>
      <c r="M5703" s="33"/>
      <c r="N5703" s="33"/>
      <c r="O5703" s="33"/>
      <c r="P5703" s="33"/>
      <c r="Q5703" s="33"/>
      <c r="R5703" s="33"/>
      <c r="S5703" s="33"/>
      <c r="T5703" s="33"/>
      <c r="U5703" s="33"/>
      <c r="V5703" s="33"/>
      <c r="W5703" s="33"/>
      <c r="X5703" s="33"/>
      <c r="Y5703" s="33"/>
      <c r="Z5703" s="33"/>
      <c r="AA5703" s="33"/>
      <c r="AB5703" s="33"/>
      <c r="AC5703" s="33"/>
      <c r="AD5703" s="33"/>
      <c r="AE5703" s="33"/>
      <c r="AF5703" s="33"/>
      <c r="AG5703" s="33"/>
      <c r="AH5703" s="33"/>
      <c r="AI5703" s="33"/>
      <c r="AJ5703" s="33"/>
      <c r="AK5703" s="33"/>
    </row>
    <row r="5704">
      <c r="A5704" s="33"/>
      <c r="B5704" s="33"/>
      <c r="C5704" s="33"/>
      <c r="D5704" s="33"/>
      <c r="E5704" s="33"/>
      <c r="F5704" s="33"/>
      <c r="G5704" s="33"/>
      <c r="H5704" s="33"/>
      <c r="I5704" s="33"/>
      <c r="J5704" s="33"/>
      <c r="K5704" s="33"/>
      <c r="L5704" s="33"/>
      <c r="M5704" s="33"/>
      <c r="N5704" s="33"/>
      <c r="O5704" s="33"/>
      <c r="P5704" s="33"/>
      <c r="Q5704" s="33"/>
      <c r="R5704" s="33"/>
      <c r="S5704" s="33"/>
      <c r="T5704" s="33"/>
      <c r="U5704" s="33"/>
      <c r="V5704" s="33"/>
      <c r="W5704" s="33"/>
      <c r="X5704" s="33"/>
      <c r="Y5704" s="33"/>
      <c r="Z5704" s="33"/>
      <c r="AA5704" s="33"/>
      <c r="AB5704" s="33"/>
      <c r="AC5704" s="33"/>
      <c r="AD5704" s="33"/>
      <c r="AE5704" s="33"/>
      <c r="AF5704" s="33"/>
      <c r="AG5704" s="33"/>
      <c r="AH5704" s="33"/>
      <c r="AI5704" s="33"/>
      <c r="AJ5704" s="33"/>
      <c r="AK5704" s="33"/>
    </row>
    <row r="5705">
      <c r="A5705" s="33"/>
      <c r="B5705" s="33"/>
      <c r="C5705" s="33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3"/>
      <c r="X5705" s="33"/>
      <c r="Y5705" s="33"/>
      <c r="Z5705" s="33"/>
      <c r="AA5705" s="33"/>
      <c r="AB5705" s="33"/>
      <c r="AC5705" s="33"/>
      <c r="AD5705" s="33"/>
      <c r="AE5705" s="33"/>
      <c r="AF5705" s="33"/>
      <c r="AG5705" s="33"/>
      <c r="AH5705" s="33"/>
      <c r="AI5705" s="33"/>
      <c r="AJ5705" s="33"/>
      <c r="AK5705" s="33"/>
    </row>
    <row r="5706">
      <c r="A5706" s="33"/>
      <c r="B5706" s="33"/>
      <c r="C5706" s="33"/>
      <c r="D5706" s="33"/>
      <c r="E5706" s="33"/>
      <c r="F5706" s="33"/>
      <c r="G5706" s="33"/>
      <c r="H5706" s="33"/>
      <c r="I5706" s="33"/>
      <c r="J5706" s="33"/>
      <c r="K5706" s="33"/>
      <c r="L5706" s="33"/>
      <c r="M5706" s="33"/>
      <c r="N5706" s="33"/>
      <c r="O5706" s="33"/>
      <c r="P5706" s="33"/>
      <c r="Q5706" s="33"/>
      <c r="R5706" s="33"/>
      <c r="S5706" s="33"/>
      <c r="T5706" s="33"/>
      <c r="U5706" s="33"/>
      <c r="V5706" s="33"/>
      <c r="W5706" s="33"/>
      <c r="X5706" s="33"/>
      <c r="Y5706" s="33"/>
      <c r="Z5706" s="33"/>
      <c r="AA5706" s="33"/>
      <c r="AB5706" s="33"/>
      <c r="AC5706" s="33"/>
      <c r="AD5706" s="33"/>
      <c r="AE5706" s="33"/>
      <c r="AF5706" s="33"/>
      <c r="AG5706" s="33"/>
      <c r="AH5706" s="33"/>
      <c r="AI5706" s="33"/>
      <c r="AJ5706" s="33"/>
      <c r="AK5706" s="33"/>
    </row>
    <row r="5707">
      <c r="A5707" s="33"/>
      <c r="B5707" s="33"/>
      <c r="C5707" s="33"/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3"/>
      <c r="X5707" s="33"/>
      <c r="Y5707" s="33"/>
      <c r="Z5707" s="33"/>
      <c r="AA5707" s="33"/>
      <c r="AB5707" s="33"/>
      <c r="AC5707" s="33"/>
      <c r="AD5707" s="33"/>
      <c r="AE5707" s="33"/>
      <c r="AF5707" s="33"/>
      <c r="AG5707" s="33"/>
      <c r="AH5707" s="33"/>
      <c r="AI5707" s="33"/>
      <c r="AJ5707" s="33"/>
      <c r="AK5707" s="33"/>
    </row>
    <row r="5708">
      <c r="A5708" s="33"/>
      <c r="B5708" s="33"/>
      <c r="C5708" s="33"/>
      <c r="D5708" s="33"/>
      <c r="E5708" s="33"/>
      <c r="F5708" s="33"/>
      <c r="G5708" s="33"/>
      <c r="H5708" s="33"/>
      <c r="I5708" s="33"/>
      <c r="J5708" s="33"/>
      <c r="K5708" s="33"/>
      <c r="L5708" s="33"/>
      <c r="M5708" s="33"/>
      <c r="N5708" s="33"/>
      <c r="O5708" s="33"/>
      <c r="P5708" s="33"/>
      <c r="Q5708" s="33"/>
      <c r="R5708" s="33"/>
      <c r="S5708" s="33"/>
      <c r="T5708" s="33"/>
      <c r="U5708" s="33"/>
      <c r="V5708" s="33"/>
      <c r="W5708" s="33"/>
      <c r="X5708" s="33"/>
      <c r="Y5708" s="33"/>
      <c r="Z5708" s="33"/>
      <c r="AA5708" s="33"/>
      <c r="AB5708" s="33"/>
      <c r="AC5708" s="33"/>
      <c r="AD5708" s="33"/>
      <c r="AE5708" s="33"/>
      <c r="AF5708" s="33"/>
      <c r="AG5708" s="33"/>
      <c r="AH5708" s="33"/>
      <c r="AI5708" s="33"/>
      <c r="AJ5708" s="33"/>
      <c r="AK5708" s="33"/>
    </row>
    <row r="5709">
      <c r="A5709" s="33"/>
      <c r="B5709" s="33"/>
      <c r="C5709" s="33"/>
      <c r="D5709" s="33"/>
      <c r="E5709" s="33"/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33"/>
      <c r="Q5709" s="33"/>
      <c r="R5709" s="33"/>
      <c r="S5709" s="33"/>
      <c r="T5709" s="33"/>
      <c r="U5709" s="33"/>
      <c r="V5709" s="33"/>
      <c r="W5709" s="33"/>
      <c r="X5709" s="33"/>
      <c r="Y5709" s="33"/>
      <c r="Z5709" s="33"/>
      <c r="AA5709" s="33"/>
      <c r="AB5709" s="33"/>
      <c r="AC5709" s="33"/>
      <c r="AD5709" s="33"/>
      <c r="AE5709" s="33"/>
      <c r="AF5709" s="33"/>
      <c r="AG5709" s="33"/>
      <c r="AH5709" s="33"/>
      <c r="AI5709" s="33"/>
      <c r="AJ5709" s="33"/>
      <c r="AK5709" s="33"/>
    </row>
    <row r="5710">
      <c r="A5710" s="33"/>
      <c r="B5710" s="33"/>
      <c r="C5710" s="33"/>
      <c r="D5710" s="33"/>
      <c r="E5710" s="33"/>
      <c r="F5710" s="33"/>
      <c r="G5710" s="33"/>
      <c r="H5710" s="33"/>
      <c r="I5710" s="33"/>
      <c r="J5710" s="33"/>
      <c r="K5710" s="33"/>
      <c r="L5710" s="33"/>
      <c r="M5710" s="33"/>
      <c r="N5710" s="33"/>
      <c r="O5710" s="33"/>
      <c r="P5710" s="33"/>
      <c r="Q5710" s="33"/>
      <c r="R5710" s="33"/>
      <c r="S5710" s="33"/>
      <c r="T5710" s="33"/>
      <c r="U5710" s="33"/>
      <c r="V5710" s="33"/>
      <c r="W5710" s="33"/>
      <c r="X5710" s="33"/>
      <c r="Y5710" s="33"/>
      <c r="Z5710" s="33"/>
      <c r="AA5710" s="33"/>
      <c r="AB5710" s="33"/>
      <c r="AC5710" s="33"/>
      <c r="AD5710" s="33"/>
      <c r="AE5710" s="33"/>
      <c r="AF5710" s="33"/>
      <c r="AG5710" s="33"/>
      <c r="AH5710" s="33"/>
      <c r="AI5710" s="33"/>
      <c r="AJ5710" s="33"/>
      <c r="AK5710" s="33"/>
    </row>
    <row r="5711">
      <c r="A5711" s="33"/>
      <c r="B5711" s="33"/>
      <c r="C5711" s="33"/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3"/>
      <c r="X5711" s="33"/>
      <c r="Y5711" s="33"/>
      <c r="Z5711" s="33"/>
      <c r="AA5711" s="33"/>
      <c r="AB5711" s="33"/>
      <c r="AC5711" s="33"/>
      <c r="AD5711" s="33"/>
      <c r="AE5711" s="33"/>
      <c r="AF5711" s="33"/>
      <c r="AG5711" s="33"/>
      <c r="AH5711" s="33"/>
      <c r="AI5711" s="33"/>
      <c r="AJ5711" s="33"/>
      <c r="AK5711" s="33"/>
    </row>
    <row r="5712">
      <c r="A5712" s="33"/>
      <c r="B5712" s="33"/>
      <c r="C5712" s="33"/>
      <c r="D5712" s="33"/>
      <c r="E5712" s="33"/>
      <c r="F5712" s="33"/>
      <c r="G5712" s="33"/>
      <c r="H5712" s="33"/>
      <c r="I5712" s="33"/>
      <c r="J5712" s="33"/>
      <c r="K5712" s="33"/>
      <c r="L5712" s="33"/>
      <c r="M5712" s="33"/>
      <c r="N5712" s="33"/>
      <c r="O5712" s="33"/>
      <c r="P5712" s="33"/>
      <c r="Q5712" s="33"/>
      <c r="R5712" s="33"/>
      <c r="S5712" s="33"/>
      <c r="T5712" s="33"/>
      <c r="U5712" s="33"/>
      <c r="V5712" s="33"/>
      <c r="W5712" s="33"/>
      <c r="X5712" s="33"/>
      <c r="Y5712" s="33"/>
      <c r="Z5712" s="33"/>
      <c r="AA5712" s="33"/>
      <c r="AB5712" s="33"/>
      <c r="AC5712" s="33"/>
      <c r="AD5712" s="33"/>
      <c r="AE5712" s="33"/>
      <c r="AF5712" s="33"/>
      <c r="AG5712" s="33"/>
      <c r="AH5712" s="33"/>
      <c r="AI5712" s="33"/>
      <c r="AJ5712" s="33"/>
      <c r="AK5712" s="33"/>
    </row>
    <row r="5713">
      <c r="A5713" s="33"/>
      <c r="B5713" s="33"/>
      <c r="C5713" s="33"/>
      <c r="D5713" s="33"/>
      <c r="E5713" s="33"/>
      <c r="F5713" s="33"/>
      <c r="G5713" s="33"/>
      <c r="H5713" s="33"/>
      <c r="I5713" s="33"/>
      <c r="J5713" s="33"/>
      <c r="K5713" s="33"/>
      <c r="L5713" s="33"/>
      <c r="M5713" s="33"/>
      <c r="N5713" s="33"/>
      <c r="O5713" s="33"/>
      <c r="P5713" s="33"/>
      <c r="Q5713" s="33"/>
      <c r="R5713" s="33"/>
      <c r="S5713" s="33"/>
      <c r="T5713" s="33"/>
      <c r="U5713" s="33"/>
      <c r="V5713" s="33"/>
      <c r="W5713" s="33"/>
      <c r="X5713" s="33"/>
      <c r="Y5713" s="33"/>
      <c r="Z5713" s="33"/>
      <c r="AA5713" s="33"/>
      <c r="AB5713" s="33"/>
      <c r="AC5713" s="33"/>
      <c r="AD5713" s="33"/>
      <c r="AE5713" s="33"/>
      <c r="AF5713" s="33"/>
      <c r="AG5713" s="33"/>
      <c r="AH5713" s="33"/>
      <c r="AI5713" s="33"/>
      <c r="AJ5713" s="33"/>
      <c r="AK5713" s="33"/>
    </row>
    <row r="5714">
      <c r="A5714" s="33"/>
      <c r="B5714" s="33"/>
      <c r="C5714" s="33"/>
      <c r="D5714" s="33"/>
      <c r="E5714" s="33"/>
      <c r="F5714" s="33"/>
      <c r="G5714" s="33"/>
      <c r="H5714" s="33"/>
      <c r="I5714" s="33"/>
      <c r="J5714" s="33"/>
      <c r="K5714" s="33"/>
      <c r="L5714" s="33"/>
      <c r="M5714" s="33"/>
      <c r="N5714" s="33"/>
      <c r="O5714" s="33"/>
      <c r="P5714" s="33"/>
      <c r="Q5714" s="33"/>
      <c r="R5714" s="33"/>
      <c r="S5714" s="33"/>
      <c r="T5714" s="33"/>
      <c r="U5714" s="33"/>
      <c r="V5714" s="33"/>
      <c r="W5714" s="33"/>
      <c r="X5714" s="33"/>
      <c r="Y5714" s="33"/>
      <c r="Z5714" s="33"/>
      <c r="AA5714" s="33"/>
      <c r="AB5714" s="33"/>
      <c r="AC5714" s="33"/>
      <c r="AD5714" s="33"/>
      <c r="AE5714" s="33"/>
      <c r="AF5714" s="33"/>
      <c r="AG5714" s="33"/>
      <c r="AH5714" s="33"/>
      <c r="AI5714" s="33"/>
      <c r="AJ5714" s="33"/>
      <c r="AK5714" s="33"/>
    </row>
    <row r="5715">
      <c r="A5715" s="33"/>
      <c r="B5715" s="33"/>
      <c r="C5715" s="33"/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3"/>
      <c r="X5715" s="33"/>
      <c r="Y5715" s="33"/>
      <c r="Z5715" s="33"/>
      <c r="AA5715" s="33"/>
      <c r="AB5715" s="33"/>
      <c r="AC5715" s="33"/>
      <c r="AD5715" s="33"/>
      <c r="AE5715" s="33"/>
      <c r="AF5715" s="33"/>
      <c r="AG5715" s="33"/>
      <c r="AH5715" s="33"/>
      <c r="AI5715" s="33"/>
      <c r="AJ5715" s="33"/>
      <c r="AK5715" s="33"/>
    </row>
    <row r="5716">
      <c r="A5716" s="33"/>
      <c r="B5716" s="33"/>
      <c r="C5716" s="33"/>
      <c r="D5716" s="33"/>
      <c r="E5716" s="33"/>
      <c r="F5716" s="33"/>
      <c r="G5716" s="33"/>
      <c r="H5716" s="33"/>
      <c r="I5716" s="33"/>
      <c r="J5716" s="33"/>
      <c r="K5716" s="33"/>
      <c r="L5716" s="33"/>
      <c r="M5716" s="33"/>
      <c r="N5716" s="33"/>
      <c r="O5716" s="33"/>
      <c r="P5716" s="33"/>
      <c r="Q5716" s="33"/>
      <c r="R5716" s="33"/>
      <c r="S5716" s="33"/>
      <c r="T5716" s="33"/>
      <c r="U5716" s="33"/>
      <c r="V5716" s="33"/>
      <c r="W5716" s="33"/>
      <c r="X5716" s="33"/>
      <c r="Y5716" s="33"/>
      <c r="Z5716" s="33"/>
      <c r="AA5716" s="33"/>
      <c r="AB5716" s="33"/>
      <c r="AC5716" s="33"/>
      <c r="AD5716" s="33"/>
      <c r="AE5716" s="33"/>
      <c r="AF5716" s="33"/>
      <c r="AG5716" s="33"/>
      <c r="AH5716" s="33"/>
      <c r="AI5716" s="33"/>
      <c r="AJ5716" s="33"/>
      <c r="AK5716" s="33"/>
    </row>
    <row r="5717">
      <c r="A5717" s="33"/>
      <c r="B5717" s="33"/>
      <c r="C5717" s="33"/>
      <c r="D5717" s="33"/>
      <c r="E5717" s="33"/>
      <c r="F5717" s="33"/>
      <c r="G5717" s="33"/>
      <c r="H5717" s="33"/>
      <c r="I5717" s="33"/>
      <c r="J5717" s="33"/>
      <c r="K5717" s="33"/>
      <c r="L5717" s="33"/>
      <c r="M5717" s="33"/>
      <c r="N5717" s="33"/>
      <c r="O5717" s="33"/>
      <c r="P5717" s="33"/>
      <c r="Q5717" s="33"/>
      <c r="R5717" s="33"/>
      <c r="S5717" s="33"/>
      <c r="T5717" s="33"/>
      <c r="U5717" s="33"/>
      <c r="V5717" s="33"/>
      <c r="W5717" s="33"/>
      <c r="X5717" s="33"/>
      <c r="Y5717" s="33"/>
      <c r="Z5717" s="33"/>
      <c r="AA5717" s="33"/>
      <c r="AB5717" s="33"/>
      <c r="AC5717" s="33"/>
      <c r="AD5717" s="33"/>
      <c r="AE5717" s="33"/>
      <c r="AF5717" s="33"/>
      <c r="AG5717" s="33"/>
      <c r="AH5717" s="33"/>
      <c r="AI5717" s="33"/>
      <c r="AJ5717" s="33"/>
      <c r="AK5717" s="33"/>
    </row>
    <row r="5718">
      <c r="A5718" s="33"/>
      <c r="B5718" s="33"/>
      <c r="C5718" s="33"/>
      <c r="D5718" s="33"/>
      <c r="E5718" s="33"/>
      <c r="F5718" s="33"/>
      <c r="G5718" s="33"/>
      <c r="H5718" s="33"/>
      <c r="I5718" s="33"/>
      <c r="J5718" s="33"/>
      <c r="K5718" s="33"/>
      <c r="L5718" s="33"/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/>
      <c r="Y5718" s="33"/>
      <c r="Z5718" s="33"/>
      <c r="AA5718" s="33"/>
      <c r="AB5718" s="33"/>
      <c r="AC5718" s="33"/>
      <c r="AD5718" s="33"/>
      <c r="AE5718" s="33"/>
      <c r="AF5718" s="33"/>
      <c r="AG5718" s="33"/>
      <c r="AH5718" s="33"/>
      <c r="AI5718" s="33"/>
      <c r="AJ5718" s="33"/>
      <c r="AK5718" s="33"/>
    </row>
    <row r="5719">
      <c r="A5719" s="33"/>
      <c r="B5719" s="33"/>
      <c r="C5719" s="33"/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3"/>
      <c r="X5719" s="33"/>
      <c r="Y5719" s="33"/>
      <c r="Z5719" s="33"/>
      <c r="AA5719" s="33"/>
      <c r="AB5719" s="33"/>
      <c r="AC5719" s="33"/>
      <c r="AD5719" s="33"/>
      <c r="AE5719" s="33"/>
      <c r="AF5719" s="33"/>
      <c r="AG5719" s="33"/>
      <c r="AH5719" s="33"/>
      <c r="AI5719" s="33"/>
      <c r="AJ5719" s="33"/>
      <c r="AK5719" s="33"/>
    </row>
    <row r="5720">
      <c r="A5720" s="33"/>
      <c r="B5720" s="33"/>
      <c r="C5720" s="33"/>
      <c r="D5720" s="33"/>
      <c r="E5720" s="33"/>
      <c r="F5720" s="33"/>
      <c r="G5720" s="33"/>
      <c r="H5720" s="33"/>
      <c r="I5720" s="33"/>
      <c r="J5720" s="33"/>
      <c r="K5720" s="33"/>
      <c r="L5720" s="33"/>
      <c r="M5720" s="33"/>
      <c r="N5720" s="33"/>
      <c r="O5720" s="33"/>
      <c r="P5720" s="33"/>
      <c r="Q5720" s="33"/>
      <c r="R5720" s="33"/>
      <c r="S5720" s="33"/>
      <c r="T5720" s="33"/>
      <c r="U5720" s="33"/>
      <c r="V5720" s="33"/>
      <c r="W5720" s="33"/>
      <c r="X5720" s="33"/>
      <c r="Y5720" s="33"/>
      <c r="Z5720" s="33"/>
      <c r="AA5720" s="33"/>
      <c r="AB5720" s="33"/>
      <c r="AC5720" s="33"/>
      <c r="AD5720" s="33"/>
      <c r="AE5720" s="33"/>
      <c r="AF5720" s="33"/>
      <c r="AG5720" s="33"/>
      <c r="AH5720" s="33"/>
      <c r="AI5720" s="33"/>
      <c r="AJ5720" s="33"/>
      <c r="AK5720" s="33"/>
    </row>
    <row r="5721">
      <c r="A5721" s="33"/>
      <c r="B5721" s="33"/>
      <c r="C5721" s="33"/>
      <c r="D5721" s="33"/>
      <c r="E5721" s="33"/>
      <c r="F5721" s="33"/>
      <c r="G5721" s="33"/>
      <c r="H5721" s="33"/>
      <c r="I5721" s="33"/>
      <c r="J5721" s="33"/>
      <c r="K5721" s="33"/>
      <c r="L5721" s="33"/>
      <c r="M5721" s="33"/>
      <c r="N5721" s="33"/>
      <c r="O5721" s="33"/>
      <c r="P5721" s="33"/>
      <c r="Q5721" s="33"/>
      <c r="R5721" s="33"/>
      <c r="S5721" s="33"/>
      <c r="T5721" s="33"/>
      <c r="U5721" s="33"/>
      <c r="V5721" s="33"/>
      <c r="W5721" s="33"/>
      <c r="X5721" s="33"/>
      <c r="Y5721" s="33"/>
      <c r="Z5721" s="33"/>
      <c r="AA5721" s="33"/>
      <c r="AB5721" s="33"/>
      <c r="AC5721" s="33"/>
      <c r="AD5721" s="33"/>
      <c r="AE5721" s="33"/>
      <c r="AF5721" s="33"/>
      <c r="AG5721" s="33"/>
      <c r="AH5721" s="33"/>
      <c r="AI5721" s="33"/>
      <c r="AJ5721" s="33"/>
      <c r="AK5721" s="33"/>
    </row>
    <row r="5722">
      <c r="A5722" s="33"/>
      <c r="B5722" s="33"/>
      <c r="C5722" s="33"/>
      <c r="D5722" s="33"/>
      <c r="E5722" s="33"/>
      <c r="F5722" s="33"/>
      <c r="G5722" s="33"/>
      <c r="H5722" s="33"/>
      <c r="I5722" s="33"/>
      <c r="J5722" s="33"/>
      <c r="K5722" s="33"/>
      <c r="L5722" s="33"/>
      <c r="M5722" s="33"/>
      <c r="N5722" s="33"/>
      <c r="O5722" s="33"/>
      <c r="P5722" s="33"/>
      <c r="Q5722" s="33"/>
      <c r="R5722" s="33"/>
      <c r="S5722" s="33"/>
      <c r="T5722" s="33"/>
      <c r="U5722" s="33"/>
      <c r="V5722" s="33"/>
      <c r="W5722" s="33"/>
      <c r="X5722" s="33"/>
      <c r="Y5722" s="33"/>
      <c r="Z5722" s="33"/>
      <c r="AA5722" s="33"/>
      <c r="AB5722" s="33"/>
      <c r="AC5722" s="33"/>
      <c r="AD5722" s="33"/>
      <c r="AE5722" s="33"/>
      <c r="AF5722" s="33"/>
      <c r="AG5722" s="33"/>
      <c r="AH5722" s="33"/>
      <c r="AI5722" s="33"/>
      <c r="AJ5722" s="33"/>
      <c r="AK5722" s="33"/>
    </row>
    <row r="5723">
      <c r="A5723" s="33"/>
      <c r="B5723" s="33"/>
      <c r="C5723" s="33"/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3"/>
      <c r="X5723" s="33"/>
      <c r="Y5723" s="33"/>
      <c r="Z5723" s="33"/>
      <c r="AA5723" s="33"/>
      <c r="AB5723" s="33"/>
      <c r="AC5723" s="33"/>
      <c r="AD5723" s="33"/>
      <c r="AE5723" s="33"/>
      <c r="AF5723" s="33"/>
      <c r="AG5723" s="33"/>
      <c r="AH5723" s="33"/>
      <c r="AI5723" s="33"/>
      <c r="AJ5723" s="33"/>
      <c r="AK5723" s="33"/>
    </row>
    <row r="5724">
      <c r="A5724" s="33"/>
      <c r="B5724" s="33"/>
      <c r="C5724" s="33"/>
      <c r="D5724" s="33"/>
      <c r="E5724" s="33"/>
      <c r="F5724" s="33"/>
      <c r="G5724" s="33"/>
      <c r="H5724" s="33"/>
      <c r="I5724" s="33"/>
      <c r="J5724" s="33"/>
      <c r="K5724" s="33"/>
      <c r="L5724" s="33"/>
      <c r="M5724" s="33"/>
      <c r="N5724" s="33"/>
      <c r="O5724" s="33"/>
      <c r="P5724" s="33"/>
      <c r="Q5724" s="33"/>
      <c r="R5724" s="33"/>
      <c r="S5724" s="33"/>
      <c r="T5724" s="33"/>
      <c r="U5724" s="33"/>
      <c r="V5724" s="33"/>
      <c r="W5724" s="33"/>
      <c r="X5724" s="33"/>
      <c r="Y5724" s="33"/>
      <c r="Z5724" s="33"/>
      <c r="AA5724" s="33"/>
      <c r="AB5724" s="33"/>
      <c r="AC5724" s="33"/>
      <c r="AD5724" s="33"/>
      <c r="AE5724" s="33"/>
      <c r="AF5724" s="33"/>
      <c r="AG5724" s="33"/>
      <c r="AH5724" s="33"/>
      <c r="AI5724" s="33"/>
      <c r="AJ5724" s="33"/>
      <c r="AK5724" s="33"/>
    </row>
    <row r="5725">
      <c r="A5725" s="33"/>
      <c r="B5725" s="33"/>
      <c r="C5725" s="33"/>
      <c r="D5725" s="33"/>
      <c r="E5725" s="33"/>
      <c r="F5725" s="33"/>
      <c r="G5725" s="33"/>
      <c r="H5725" s="33"/>
      <c r="I5725" s="33"/>
      <c r="J5725" s="33"/>
      <c r="K5725" s="33"/>
      <c r="L5725" s="33"/>
      <c r="M5725" s="33"/>
      <c r="N5725" s="33"/>
      <c r="O5725" s="33"/>
      <c r="P5725" s="33"/>
      <c r="Q5725" s="33"/>
      <c r="R5725" s="33"/>
      <c r="S5725" s="33"/>
      <c r="T5725" s="33"/>
      <c r="U5725" s="33"/>
      <c r="V5725" s="33"/>
      <c r="W5725" s="33"/>
      <c r="X5725" s="33"/>
      <c r="Y5725" s="33"/>
      <c r="Z5725" s="33"/>
      <c r="AA5725" s="33"/>
      <c r="AB5725" s="33"/>
      <c r="AC5725" s="33"/>
      <c r="AD5725" s="33"/>
      <c r="AE5725" s="33"/>
      <c r="AF5725" s="33"/>
      <c r="AG5725" s="33"/>
      <c r="AH5725" s="33"/>
      <c r="AI5725" s="33"/>
      <c r="AJ5725" s="33"/>
      <c r="AK5725" s="33"/>
    </row>
    <row r="5726">
      <c r="A5726" s="33"/>
      <c r="B5726" s="33"/>
      <c r="C5726" s="33"/>
      <c r="D5726" s="33"/>
      <c r="E5726" s="33"/>
      <c r="F5726" s="33"/>
      <c r="G5726" s="33"/>
      <c r="H5726" s="33"/>
      <c r="I5726" s="33"/>
      <c r="J5726" s="33"/>
      <c r="K5726" s="33"/>
      <c r="L5726" s="33"/>
      <c r="M5726" s="33"/>
      <c r="N5726" s="33"/>
      <c r="O5726" s="33"/>
      <c r="P5726" s="33"/>
      <c r="Q5726" s="33"/>
      <c r="R5726" s="33"/>
      <c r="S5726" s="33"/>
      <c r="T5726" s="33"/>
      <c r="U5726" s="33"/>
      <c r="V5726" s="33"/>
      <c r="W5726" s="33"/>
      <c r="X5726" s="33"/>
      <c r="Y5726" s="33"/>
      <c r="Z5726" s="33"/>
      <c r="AA5726" s="33"/>
      <c r="AB5726" s="33"/>
      <c r="AC5726" s="33"/>
      <c r="AD5726" s="33"/>
      <c r="AE5726" s="33"/>
      <c r="AF5726" s="33"/>
      <c r="AG5726" s="33"/>
      <c r="AH5726" s="33"/>
      <c r="AI5726" s="33"/>
      <c r="AJ5726" s="33"/>
      <c r="AK5726" s="33"/>
    </row>
    <row r="5727">
      <c r="A5727" s="33"/>
      <c r="B5727" s="33"/>
      <c r="C5727" s="33"/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/>
      <c r="Y5727" s="33"/>
      <c r="Z5727" s="33"/>
      <c r="AA5727" s="33"/>
      <c r="AB5727" s="33"/>
      <c r="AC5727" s="33"/>
      <c r="AD5727" s="33"/>
      <c r="AE5727" s="33"/>
      <c r="AF5727" s="33"/>
      <c r="AG5727" s="33"/>
      <c r="AH5727" s="33"/>
      <c r="AI5727" s="33"/>
      <c r="AJ5727" s="33"/>
      <c r="AK5727" s="33"/>
    </row>
    <row r="5728">
      <c r="A5728" s="33"/>
      <c r="B5728" s="33"/>
      <c r="C5728" s="33"/>
      <c r="D5728" s="33"/>
      <c r="E5728" s="33"/>
      <c r="F5728" s="33"/>
      <c r="G5728" s="33"/>
      <c r="H5728" s="33"/>
      <c r="I5728" s="33"/>
      <c r="J5728" s="33"/>
      <c r="K5728" s="33"/>
      <c r="L5728" s="33"/>
      <c r="M5728" s="33"/>
      <c r="N5728" s="33"/>
      <c r="O5728" s="33"/>
      <c r="P5728" s="33"/>
      <c r="Q5728" s="33"/>
      <c r="R5728" s="33"/>
      <c r="S5728" s="33"/>
      <c r="T5728" s="33"/>
      <c r="U5728" s="33"/>
      <c r="V5728" s="33"/>
      <c r="W5728" s="33"/>
      <c r="X5728" s="33"/>
      <c r="Y5728" s="33"/>
      <c r="Z5728" s="33"/>
      <c r="AA5728" s="33"/>
      <c r="AB5728" s="33"/>
      <c r="AC5728" s="33"/>
      <c r="AD5728" s="33"/>
      <c r="AE5728" s="33"/>
      <c r="AF5728" s="33"/>
      <c r="AG5728" s="33"/>
      <c r="AH5728" s="33"/>
      <c r="AI5728" s="33"/>
      <c r="AJ5728" s="33"/>
      <c r="AK5728" s="33"/>
    </row>
    <row r="5729">
      <c r="A5729" s="33"/>
      <c r="B5729" s="33"/>
      <c r="C5729" s="33"/>
      <c r="D5729" s="33"/>
      <c r="E5729" s="33"/>
      <c r="F5729" s="33"/>
      <c r="G5729" s="33"/>
      <c r="H5729" s="33"/>
      <c r="I5729" s="33"/>
      <c r="J5729" s="33"/>
      <c r="K5729" s="33"/>
      <c r="L5729" s="33"/>
      <c r="M5729" s="33"/>
      <c r="N5729" s="33"/>
      <c r="O5729" s="33"/>
      <c r="P5729" s="33"/>
      <c r="Q5729" s="33"/>
      <c r="R5729" s="33"/>
      <c r="S5729" s="33"/>
      <c r="T5729" s="33"/>
      <c r="U5729" s="33"/>
      <c r="V5729" s="33"/>
      <c r="W5729" s="33"/>
      <c r="X5729" s="33"/>
      <c r="Y5729" s="33"/>
      <c r="Z5729" s="33"/>
      <c r="AA5729" s="33"/>
      <c r="AB5729" s="33"/>
      <c r="AC5729" s="33"/>
      <c r="AD5729" s="33"/>
      <c r="AE5729" s="33"/>
      <c r="AF5729" s="33"/>
      <c r="AG5729" s="33"/>
      <c r="AH5729" s="33"/>
      <c r="AI5729" s="33"/>
      <c r="AJ5729" s="33"/>
      <c r="AK5729" s="33"/>
    </row>
    <row r="5730">
      <c r="A5730" s="33"/>
      <c r="B5730" s="33"/>
      <c r="C5730" s="33"/>
      <c r="D5730" s="33"/>
      <c r="E5730" s="33"/>
      <c r="F5730" s="33"/>
      <c r="G5730" s="33"/>
      <c r="H5730" s="33"/>
      <c r="I5730" s="33"/>
      <c r="J5730" s="33"/>
      <c r="K5730" s="33"/>
      <c r="L5730" s="33"/>
      <c r="M5730" s="33"/>
      <c r="N5730" s="33"/>
      <c r="O5730" s="33"/>
      <c r="P5730" s="33"/>
      <c r="Q5730" s="33"/>
      <c r="R5730" s="33"/>
      <c r="S5730" s="33"/>
      <c r="T5730" s="33"/>
      <c r="U5730" s="33"/>
      <c r="V5730" s="33"/>
      <c r="W5730" s="33"/>
      <c r="X5730" s="33"/>
      <c r="Y5730" s="33"/>
      <c r="Z5730" s="33"/>
      <c r="AA5730" s="33"/>
      <c r="AB5730" s="33"/>
      <c r="AC5730" s="33"/>
      <c r="AD5730" s="33"/>
      <c r="AE5730" s="33"/>
      <c r="AF5730" s="33"/>
      <c r="AG5730" s="33"/>
      <c r="AH5730" s="33"/>
      <c r="AI5730" s="33"/>
      <c r="AJ5730" s="33"/>
      <c r="AK5730" s="33"/>
    </row>
    <row r="5731">
      <c r="A5731" s="33"/>
      <c r="B5731" s="33"/>
      <c r="C5731" s="33"/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3"/>
      <c r="X5731" s="33"/>
      <c r="Y5731" s="33"/>
      <c r="Z5731" s="33"/>
      <c r="AA5731" s="33"/>
      <c r="AB5731" s="33"/>
      <c r="AC5731" s="33"/>
      <c r="AD5731" s="33"/>
      <c r="AE5731" s="33"/>
      <c r="AF5731" s="33"/>
      <c r="AG5731" s="33"/>
      <c r="AH5731" s="33"/>
      <c r="AI5731" s="33"/>
      <c r="AJ5731" s="33"/>
      <c r="AK5731" s="33"/>
    </row>
    <row r="5732">
      <c r="A5732" s="33"/>
      <c r="B5732" s="33"/>
      <c r="C5732" s="33"/>
      <c r="D5732" s="33"/>
      <c r="E5732" s="33"/>
      <c r="F5732" s="33"/>
      <c r="G5732" s="33"/>
      <c r="H5732" s="33"/>
      <c r="I5732" s="33"/>
      <c r="J5732" s="33"/>
      <c r="K5732" s="33"/>
      <c r="L5732" s="33"/>
      <c r="M5732" s="33"/>
      <c r="N5732" s="33"/>
      <c r="O5732" s="33"/>
      <c r="P5732" s="33"/>
      <c r="Q5732" s="33"/>
      <c r="R5732" s="33"/>
      <c r="S5732" s="33"/>
      <c r="T5732" s="33"/>
      <c r="U5732" s="33"/>
      <c r="V5732" s="33"/>
      <c r="W5732" s="33"/>
      <c r="X5732" s="33"/>
      <c r="Y5732" s="33"/>
      <c r="Z5732" s="33"/>
      <c r="AA5732" s="33"/>
      <c r="AB5732" s="33"/>
      <c r="AC5732" s="33"/>
      <c r="AD5732" s="33"/>
      <c r="AE5732" s="33"/>
      <c r="AF5732" s="33"/>
      <c r="AG5732" s="33"/>
      <c r="AH5732" s="33"/>
      <c r="AI5732" s="33"/>
      <c r="AJ5732" s="33"/>
      <c r="AK5732" s="33"/>
    </row>
    <row r="5733">
      <c r="A5733" s="33"/>
      <c r="B5733" s="33"/>
      <c r="C5733" s="33"/>
      <c r="D5733" s="33"/>
      <c r="E5733" s="33"/>
      <c r="F5733" s="33"/>
      <c r="G5733" s="33"/>
      <c r="H5733" s="33"/>
      <c r="I5733" s="33"/>
      <c r="J5733" s="33"/>
      <c r="K5733" s="33"/>
      <c r="L5733" s="33"/>
      <c r="M5733" s="33"/>
      <c r="N5733" s="33"/>
      <c r="O5733" s="33"/>
      <c r="P5733" s="33"/>
      <c r="Q5733" s="33"/>
      <c r="R5733" s="33"/>
      <c r="S5733" s="33"/>
      <c r="T5733" s="33"/>
      <c r="U5733" s="33"/>
      <c r="V5733" s="33"/>
      <c r="W5733" s="33"/>
      <c r="X5733" s="33"/>
      <c r="Y5733" s="33"/>
      <c r="Z5733" s="33"/>
      <c r="AA5733" s="33"/>
      <c r="AB5733" s="33"/>
      <c r="AC5733" s="33"/>
      <c r="AD5733" s="33"/>
      <c r="AE5733" s="33"/>
      <c r="AF5733" s="33"/>
      <c r="AG5733" s="33"/>
      <c r="AH5733" s="33"/>
      <c r="AI5733" s="33"/>
      <c r="AJ5733" s="33"/>
      <c r="AK5733" s="33"/>
    </row>
    <row r="5734">
      <c r="A5734" s="33"/>
      <c r="B5734" s="33"/>
      <c r="C5734" s="33"/>
      <c r="D5734" s="33"/>
      <c r="E5734" s="33"/>
      <c r="F5734" s="33"/>
      <c r="G5734" s="33"/>
      <c r="H5734" s="33"/>
      <c r="I5734" s="33"/>
      <c r="J5734" s="33"/>
      <c r="K5734" s="33"/>
      <c r="L5734" s="33"/>
      <c r="M5734" s="33"/>
      <c r="N5734" s="33"/>
      <c r="O5734" s="33"/>
      <c r="P5734" s="33"/>
      <c r="Q5734" s="33"/>
      <c r="R5734" s="33"/>
      <c r="S5734" s="33"/>
      <c r="T5734" s="33"/>
      <c r="U5734" s="33"/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  <c r="AG5734" s="33"/>
      <c r="AH5734" s="33"/>
      <c r="AI5734" s="33"/>
      <c r="AJ5734" s="33"/>
      <c r="AK5734" s="33"/>
    </row>
    <row r="5735">
      <c r="A5735" s="33"/>
      <c r="B5735" s="33"/>
      <c r="C5735" s="33"/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  <c r="Q5735" s="33"/>
      <c r="R5735" s="33"/>
      <c r="S5735" s="33"/>
      <c r="T5735" s="33"/>
      <c r="U5735" s="33"/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  <c r="AG5735" s="33"/>
      <c r="AH5735" s="33"/>
      <c r="AI5735" s="33"/>
      <c r="AJ5735" s="33"/>
      <c r="AK5735" s="33"/>
    </row>
    <row r="5736">
      <c r="A5736" s="33"/>
      <c r="B5736" s="33"/>
      <c r="C5736" s="33"/>
      <c r="D5736" s="33"/>
      <c r="E5736" s="33"/>
      <c r="F5736" s="33"/>
      <c r="G5736" s="33"/>
      <c r="H5736" s="33"/>
      <c r="I5736" s="33"/>
      <c r="J5736" s="33"/>
      <c r="K5736" s="33"/>
      <c r="L5736" s="33"/>
      <c r="M5736" s="33"/>
      <c r="N5736" s="33"/>
      <c r="O5736" s="33"/>
      <c r="P5736" s="33"/>
      <c r="Q5736" s="33"/>
      <c r="R5736" s="33"/>
      <c r="S5736" s="33"/>
      <c r="T5736" s="33"/>
      <c r="U5736" s="33"/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  <c r="AG5736" s="33"/>
      <c r="AH5736" s="33"/>
      <c r="AI5736" s="33"/>
      <c r="AJ5736" s="33"/>
      <c r="AK5736" s="33"/>
    </row>
    <row r="5737">
      <c r="A5737" s="33"/>
      <c r="B5737" s="33"/>
      <c r="C5737" s="33"/>
      <c r="D5737" s="33"/>
      <c r="E5737" s="33"/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33"/>
      <c r="Q5737" s="33"/>
      <c r="R5737" s="33"/>
      <c r="S5737" s="33"/>
      <c r="T5737" s="33"/>
      <c r="U5737" s="33"/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  <c r="AG5737" s="33"/>
      <c r="AH5737" s="33"/>
      <c r="AI5737" s="33"/>
      <c r="AJ5737" s="33"/>
      <c r="AK5737" s="33"/>
    </row>
    <row r="5738">
      <c r="A5738" s="33"/>
      <c r="B5738" s="33"/>
      <c r="C5738" s="33"/>
      <c r="D5738" s="33"/>
      <c r="E5738" s="33"/>
      <c r="F5738" s="33"/>
      <c r="G5738" s="33"/>
      <c r="H5738" s="33"/>
      <c r="I5738" s="33"/>
      <c r="J5738" s="33"/>
      <c r="K5738" s="33"/>
      <c r="L5738" s="33"/>
      <c r="M5738" s="33"/>
      <c r="N5738" s="33"/>
      <c r="O5738" s="33"/>
      <c r="P5738" s="33"/>
      <c r="Q5738" s="33"/>
      <c r="R5738" s="33"/>
      <c r="S5738" s="33"/>
      <c r="T5738" s="33"/>
      <c r="U5738" s="33"/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  <c r="AG5738" s="33"/>
      <c r="AH5738" s="33"/>
      <c r="AI5738" s="33"/>
      <c r="AJ5738" s="33"/>
      <c r="AK5738" s="33"/>
    </row>
    <row r="5739">
      <c r="A5739" s="33"/>
      <c r="B5739" s="33"/>
      <c r="C5739" s="33"/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  <c r="Q5739" s="33"/>
      <c r="R5739" s="33"/>
      <c r="S5739" s="33"/>
      <c r="T5739" s="33"/>
      <c r="U5739" s="33"/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  <c r="AG5739" s="33"/>
      <c r="AH5739" s="33"/>
      <c r="AI5739" s="33"/>
      <c r="AJ5739" s="33"/>
      <c r="AK5739" s="33"/>
    </row>
    <row r="5740">
      <c r="A5740" s="33"/>
      <c r="B5740" s="33"/>
      <c r="C5740" s="33"/>
      <c r="D5740" s="33"/>
      <c r="E5740" s="33"/>
      <c r="F5740" s="33"/>
      <c r="G5740" s="33"/>
      <c r="H5740" s="33"/>
      <c r="I5740" s="33"/>
      <c r="J5740" s="33"/>
      <c r="K5740" s="33"/>
      <c r="L5740" s="33"/>
      <c r="M5740" s="33"/>
      <c r="N5740" s="33"/>
      <c r="O5740" s="33"/>
      <c r="P5740" s="33"/>
      <c r="Q5740" s="33"/>
      <c r="R5740" s="33"/>
      <c r="S5740" s="33"/>
      <c r="T5740" s="33"/>
      <c r="U5740" s="33"/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  <c r="AG5740" s="33"/>
      <c r="AH5740" s="33"/>
      <c r="AI5740" s="33"/>
      <c r="AJ5740" s="33"/>
      <c r="AK5740" s="33"/>
    </row>
    <row r="5741">
      <c r="A5741" s="33"/>
      <c r="B5741" s="33"/>
      <c r="C5741" s="33"/>
      <c r="D5741" s="33"/>
      <c r="E5741" s="33"/>
      <c r="F5741" s="33"/>
      <c r="G5741" s="33"/>
      <c r="H5741" s="33"/>
      <c r="I5741" s="33"/>
      <c r="J5741" s="33"/>
      <c r="K5741" s="33"/>
      <c r="L5741" s="33"/>
      <c r="M5741" s="33"/>
      <c r="N5741" s="33"/>
      <c r="O5741" s="33"/>
      <c r="P5741" s="33"/>
      <c r="Q5741" s="33"/>
      <c r="R5741" s="33"/>
      <c r="S5741" s="33"/>
      <c r="T5741" s="33"/>
      <c r="U5741" s="33"/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  <c r="AG5741" s="33"/>
      <c r="AH5741" s="33"/>
      <c r="AI5741" s="33"/>
      <c r="AJ5741" s="33"/>
      <c r="AK5741" s="33"/>
    </row>
    <row r="5742">
      <c r="A5742" s="33"/>
      <c r="B5742" s="33"/>
      <c r="C5742" s="33"/>
      <c r="D5742" s="33"/>
      <c r="E5742" s="33"/>
      <c r="F5742" s="33"/>
      <c r="G5742" s="33"/>
      <c r="H5742" s="33"/>
      <c r="I5742" s="33"/>
      <c r="J5742" s="33"/>
      <c r="K5742" s="33"/>
      <c r="L5742" s="33"/>
      <c r="M5742" s="33"/>
      <c r="N5742" s="33"/>
      <c r="O5742" s="33"/>
      <c r="P5742" s="33"/>
      <c r="Q5742" s="33"/>
      <c r="R5742" s="33"/>
      <c r="S5742" s="33"/>
      <c r="T5742" s="33"/>
      <c r="U5742" s="33"/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  <c r="AG5742" s="33"/>
      <c r="AH5742" s="33"/>
      <c r="AI5742" s="33"/>
      <c r="AJ5742" s="33"/>
      <c r="AK5742" s="33"/>
    </row>
    <row r="5743">
      <c r="A5743" s="33"/>
      <c r="B5743" s="33"/>
      <c r="C5743" s="33"/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  <c r="Q5743" s="33"/>
      <c r="R5743" s="33"/>
      <c r="S5743" s="33"/>
      <c r="T5743" s="33"/>
      <c r="U5743" s="33"/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  <c r="AG5743" s="33"/>
      <c r="AH5743" s="33"/>
      <c r="AI5743" s="33"/>
      <c r="AJ5743" s="33"/>
      <c r="AK5743" s="33"/>
    </row>
    <row r="5744">
      <c r="A5744" s="33"/>
      <c r="B5744" s="33"/>
      <c r="C5744" s="33"/>
      <c r="D5744" s="33"/>
      <c r="E5744" s="33"/>
      <c r="F5744" s="33"/>
      <c r="G5744" s="33"/>
      <c r="H5744" s="33"/>
      <c r="I5744" s="33"/>
      <c r="J5744" s="33"/>
      <c r="K5744" s="33"/>
      <c r="L5744" s="33"/>
      <c r="M5744" s="33"/>
      <c r="N5744" s="33"/>
      <c r="O5744" s="33"/>
      <c r="P5744" s="33"/>
      <c r="Q5744" s="33"/>
      <c r="R5744" s="33"/>
      <c r="S5744" s="33"/>
      <c r="T5744" s="33"/>
      <c r="U5744" s="33"/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  <c r="AG5744" s="33"/>
      <c r="AH5744" s="33"/>
      <c r="AI5744" s="33"/>
      <c r="AJ5744" s="33"/>
      <c r="AK5744" s="33"/>
    </row>
    <row r="5745">
      <c r="A5745" s="33"/>
      <c r="B5745" s="33"/>
      <c r="C5745" s="33"/>
      <c r="D5745" s="33"/>
      <c r="E5745" s="33"/>
      <c r="F5745" s="33"/>
      <c r="G5745" s="33"/>
      <c r="H5745" s="33"/>
      <c r="I5745" s="33"/>
      <c r="J5745" s="33"/>
      <c r="K5745" s="33"/>
      <c r="L5745" s="33"/>
      <c r="M5745" s="33"/>
      <c r="N5745" s="33"/>
      <c r="O5745" s="33"/>
      <c r="P5745" s="33"/>
      <c r="Q5745" s="33"/>
      <c r="R5745" s="33"/>
      <c r="S5745" s="33"/>
      <c r="T5745" s="33"/>
      <c r="U5745" s="33"/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  <c r="AG5745" s="33"/>
      <c r="AH5745" s="33"/>
      <c r="AI5745" s="33"/>
      <c r="AJ5745" s="33"/>
      <c r="AK5745" s="33"/>
    </row>
    <row r="5746">
      <c r="A5746" s="33"/>
      <c r="B5746" s="33"/>
      <c r="C5746" s="33"/>
      <c r="D5746" s="33"/>
      <c r="E5746" s="33"/>
      <c r="F5746" s="33"/>
      <c r="G5746" s="33"/>
      <c r="H5746" s="33"/>
      <c r="I5746" s="33"/>
      <c r="J5746" s="33"/>
      <c r="K5746" s="33"/>
      <c r="L5746" s="33"/>
      <c r="M5746" s="33"/>
      <c r="N5746" s="33"/>
      <c r="O5746" s="33"/>
      <c r="P5746" s="33"/>
      <c r="Q5746" s="33"/>
      <c r="R5746" s="33"/>
      <c r="S5746" s="33"/>
      <c r="T5746" s="33"/>
      <c r="U5746" s="33"/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  <c r="AG5746" s="33"/>
      <c r="AH5746" s="33"/>
      <c r="AI5746" s="33"/>
      <c r="AJ5746" s="33"/>
      <c r="AK5746" s="33"/>
    </row>
    <row r="5747">
      <c r="A5747" s="33"/>
      <c r="B5747" s="33"/>
      <c r="C5747" s="33"/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3"/>
      <c r="S5747" s="33"/>
      <c r="T5747" s="33"/>
      <c r="U5747" s="33"/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  <c r="AG5747" s="33"/>
      <c r="AH5747" s="33"/>
      <c r="AI5747" s="33"/>
      <c r="AJ5747" s="33"/>
      <c r="AK5747" s="33"/>
    </row>
    <row r="5748">
      <c r="A5748" s="33"/>
      <c r="B5748" s="33"/>
      <c r="C5748" s="33"/>
      <c r="D5748" s="33"/>
      <c r="E5748" s="33"/>
      <c r="F5748" s="33"/>
      <c r="G5748" s="33"/>
      <c r="H5748" s="33"/>
      <c r="I5748" s="33"/>
      <c r="J5748" s="33"/>
      <c r="K5748" s="33"/>
      <c r="L5748" s="33"/>
      <c r="M5748" s="33"/>
      <c r="N5748" s="33"/>
      <c r="O5748" s="33"/>
      <c r="P5748" s="33"/>
      <c r="Q5748" s="33"/>
      <c r="R5748" s="33"/>
      <c r="S5748" s="33"/>
      <c r="T5748" s="33"/>
      <c r="U5748" s="33"/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  <c r="AG5748" s="33"/>
      <c r="AH5748" s="33"/>
      <c r="AI5748" s="33"/>
      <c r="AJ5748" s="33"/>
      <c r="AK5748" s="33"/>
    </row>
    <row r="5749">
      <c r="A5749" s="33"/>
      <c r="B5749" s="33"/>
      <c r="C5749" s="33"/>
      <c r="D5749" s="33"/>
      <c r="E5749" s="33"/>
      <c r="F5749" s="33"/>
      <c r="G5749" s="33"/>
      <c r="H5749" s="33"/>
      <c r="I5749" s="33"/>
      <c r="J5749" s="33"/>
      <c r="K5749" s="33"/>
      <c r="L5749" s="33"/>
      <c r="M5749" s="33"/>
      <c r="N5749" s="33"/>
      <c r="O5749" s="33"/>
      <c r="P5749" s="33"/>
      <c r="Q5749" s="33"/>
      <c r="R5749" s="33"/>
      <c r="S5749" s="33"/>
      <c r="T5749" s="33"/>
      <c r="U5749" s="33"/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  <c r="AG5749" s="33"/>
      <c r="AH5749" s="33"/>
      <c r="AI5749" s="33"/>
      <c r="AJ5749" s="33"/>
      <c r="AK5749" s="33"/>
    </row>
    <row r="5750">
      <c r="A5750" s="33"/>
      <c r="B5750" s="33"/>
      <c r="C5750" s="33"/>
      <c r="D5750" s="33"/>
      <c r="E5750" s="33"/>
      <c r="F5750" s="33"/>
      <c r="G5750" s="33"/>
      <c r="H5750" s="33"/>
      <c r="I5750" s="33"/>
      <c r="J5750" s="33"/>
      <c r="K5750" s="33"/>
      <c r="L5750" s="33"/>
      <c r="M5750" s="33"/>
      <c r="N5750" s="33"/>
      <c r="O5750" s="33"/>
      <c r="P5750" s="33"/>
      <c r="Q5750" s="33"/>
      <c r="R5750" s="33"/>
      <c r="S5750" s="33"/>
      <c r="T5750" s="33"/>
      <c r="U5750" s="33"/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  <c r="AG5750" s="33"/>
      <c r="AH5750" s="33"/>
      <c r="AI5750" s="33"/>
      <c r="AJ5750" s="33"/>
      <c r="AK5750" s="33"/>
    </row>
    <row r="5751">
      <c r="A5751" s="33"/>
      <c r="B5751" s="33"/>
      <c r="C5751" s="33"/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  <c r="Q5751" s="33"/>
      <c r="R5751" s="33"/>
      <c r="S5751" s="33"/>
      <c r="T5751" s="33"/>
      <c r="U5751" s="33"/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  <c r="AG5751" s="33"/>
      <c r="AH5751" s="33"/>
      <c r="AI5751" s="33"/>
      <c r="AJ5751" s="33"/>
      <c r="AK5751" s="33"/>
    </row>
    <row r="5752">
      <c r="A5752" s="33"/>
      <c r="B5752" s="33"/>
      <c r="C5752" s="33"/>
      <c r="D5752" s="33"/>
      <c r="E5752" s="33"/>
      <c r="F5752" s="33"/>
      <c r="G5752" s="33"/>
      <c r="H5752" s="33"/>
      <c r="I5752" s="33"/>
      <c r="J5752" s="33"/>
      <c r="K5752" s="33"/>
      <c r="L5752" s="33"/>
      <c r="M5752" s="33"/>
      <c r="N5752" s="33"/>
      <c r="O5752" s="33"/>
      <c r="P5752" s="33"/>
      <c r="Q5752" s="33"/>
      <c r="R5752" s="33"/>
      <c r="S5752" s="33"/>
      <c r="T5752" s="33"/>
      <c r="U5752" s="33"/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  <c r="AG5752" s="33"/>
      <c r="AH5752" s="33"/>
      <c r="AI5752" s="33"/>
      <c r="AJ5752" s="33"/>
      <c r="AK5752" s="33"/>
    </row>
    <row r="5753">
      <c r="A5753" s="33"/>
      <c r="B5753" s="33"/>
      <c r="C5753" s="33"/>
      <c r="D5753" s="33"/>
      <c r="E5753" s="33"/>
      <c r="F5753" s="33"/>
      <c r="G5753" s="33"/>
      <c r="H5753" s="33"/>
      <c r="I5753" s="33"/>
      <c r="J5753" s="33"/>
      <c r="K5753" s="33"/>
      <c r="L5753" s="33"/>
      <c r="M5753" s="33"/>
      <c r="N5753" s="33"/>
      <c r="O5753" s="33"/>
      <c r="P5753" s="33"/>
      <c r="Q5753" s="33"/>
      <c r="R5753" s="33"/>
      <c r="S5753" s="33"/>
      <c r="T5753" s="33"/>
      <c r="U5753" s="33"/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  <c r="AG5753" s="33"/>
      <c r="AH5753" s="33"/>
      <c r="AI5753" s="33"/>
      <c r="AJ5753" s="33"/>
      <c r="AK5753" s="33"/>
    </row>
    <row r="5754">
      <c r="A5754" s="33"/>
      <c r="B5754" s="33"/>
      <c r="C5754" s="33"/>
      <c r="D5754" s="33"/>
      <c r="E5754" s="33"/>
      <c r="F5754" s="33"/>
      <c r="G5754" s="33"/>
      <c r="H5754" s="33"/>
      <c r="I5754" s="33"/>
      <c r="J5754" s="33"/>
      <c r="K5754" s="33"/>
      <c r="L5754" s="33"/>
      <c r="M5754" s="33"/>
      <c r="N5754" s="33"/>
      <c r="O5754" s="33"/>
      <c r="P5754" s="33"/>
      <c r="Q5754" s="33"/>
      <c r="R5754" s="33"/>
      <c r="S5754" s="33"/>
      <c r="T5754" s="33"/>
      <c r="U5754" s="33"/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  <c r="AG5754" s="33"/>
      <c r="AH5754" s="33"/>
      <c r="AI5754" s="33"/>
      <c r="AJ5754" s="33"/>
      <c r="AK5754" s="33"/>
    </row>
    <row r="5755">
      <c r="A5755" s="33"/>
      <c r="B5755" s="33"/>
      <c r="C5755" s="33"/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  <c r="Q5755" s="33"/>
      <c r="R5755" s="33"/>
      <c r="S5755" s="33"/>
      <c r="T5755" s="33"/>
      <c r="U5755" s="33"/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  <c r="AG5755" s="33"/>
      <c r="AH5755" s="33"/>
      <c r="AI5755" s="33"/>
      <c r="AJ5755" s="33"/>
      <c r="AK5755" s="33"/>
    </row>
    <row r="5756">
      <c r="A5756" s="33"/>
      <c r="B5756" s="33"/>
      <c r="C5756" s="33"/>
      <c r="D5756" s="33"/>
      <c r="E5756" s="33"/>
      <c r="F5756" s="33"/>
      <c r="G5756" s="33"/>
      <c r="H5756" s="33"/>
      <c r="I5756" s="33"/>
      <c r="J5756" s="33"/>
      <c r="K5756" s="33"/>
      <c r="L5756" s="33"/>
      <c r="M5756" s="33"/>
      <c r="N5756" s="33"/>
      <c r="O5756" s="33"/>
      <c r="P5756" s="33"/>
      <c r="Q5756" s="33"/>
      <c r="R5756" s="33"/>
      <c r="S5756" s="33"/>
      <c r="T5756" s="33"/>
      <c r="U5756" s="33"/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  <c r="AG5756" s="33"/>
      <c r="AH5756" s="33"/>
      <c r="AI5756" s="33"/>
      <c r="AJ5756" s="33"/>
      <c r="AK5756" s="33"/>
    </row>
    <row r="5757">
      <c r="A5757" s="33"/>
      <c r="B5757" s="33"/>
      <c r="C5757" s="33"/>
      <c r="D5757" s="33"/>
      <c r="E5757" s="33"/>
      <c r="F5757" s="33"/>
      <c r="G5757" s="33"/>
      <c r="H5757" s="33"/>
      <c r="I5757" s="33"/>
      <c r="J5757" s="33"/>
      <c r="K5757" s="33"/>
      <c r="L5757" s="33"/>
      <c r="M5757" s="33"/>
      <c r="N5757" s="33"/>
      <c r="O5757" s="33"/>
      <c r="P5757" s="33"/>
      <c r="Q5757" s="33"/>
      <c r="R5757" s="33"/>
      <c r="S5757" s="33"/>
      <c r="T5757" s="33"/>
      <c r="U5757" s="33"/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  <c r="AG5757" s="33"/>
      <c r="AH5757" s="33"/>
      <c r="AI5757" s="33"/>
      <c r="AJ5757" s="33"/>
      <c r="AK5757" s="33"/>
    </row>
    <row r="5758">
      <c r="A5758" s="33"/>
      <c r="B5758" s="33"/>
      <c r="C5758" s="33"/>
      <c r="D5758" s="33"/>
      <c r="E5758" s="33"/>
      <c r="F5758" s="33"/>
      <c r="G5758" s="33"/>
      <c r="H5758" s="33"/>
      <c r="I5758" s="33"/>
      <c r="J5758" s="33"/>
      <c r="K5758" s="33"/>
      <c r="L5758" s="33"/>
      <c r="M5758" s="33"/>
      <c r="N5758" s="33"/>
      <c r="O5758" s="33"/>
      <c r="P5758" s="33"/>
      <c r="Q5758" s="33"/>
      <c r="R5758" s="33"/>
      <c r="S5758" s="33"/>
      <c r="T5758" s="33"/>
      <c r="U5758" s="33"/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  <c r="AG5758" s="33"/>
      <c r="AH5758" s="33"/>
      <c r="AI5758" s="33"/>
      <c r="AJ5758" s="33"/>
      <c r="AK5758" s="33"/>
    </row>
    <row r="5759">
      <c r="A5759" s="33"/>
      <c r="B5759" s="33"/>
      <c r="C5759" s="33"/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  <c r="Q5759" s="33"/>
      <c r="R5759" s="33"/>
      <c r="S5759" s="33"/>
      <c r="T5759" s="33"/>
      <c r="U5759" s="33"/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  <c r="AG5759" s="33"/>
      <c r="AH5759" s="33"/>
      <c r="AI5759" s="33"/>
      <c r="AJ5759" s="33"/>
      <c r="AK5759" s="33"/>
    </row>
    <row r="5760">
      <c r="A5760" s="33"/>
      <c r="B5760" s="33"/>
      <c r="C5760" s="33"/>
      <c r="D5760" s="33"/>
      <c r="E5760" s="33"/>
      <c r="F5760" s="33"/>
      <c r="G5760" s="33"/>
      <c r="H5760" s="33"/>
      <c r="I5760" s="33"/>
      <c r="J5760" s="33"/>
      <c r="K5760" s="33"/>
      <c r="L5760" s="33"/>
      <c r="M5760" s="33"/>
      <c r="N5760" s="33"/>
      <c r="O5760" s="33"/>
      <c r="P5760" s="33"/>
      <c r="Q5760" s="33"/>
      <c r="R5760" s="33"/>
      <c r="S5760" s="33"/>
      <c r="T5760" s="33"/>
      <c r="U5760" s="33"/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  <c r="AG5760" s="33"/>
      <c r="AH5760" s="33"/>
      <c r="AI5760" s="33"/>
      <c r="AJ5760" s="33"/>
      <c r="AK5760" s="33"/>
    </row>
    <row r="5761">
      <c r="A5761" s="33"/>
      <c r="B5761" s="33"/>
      <c r="C5761" s="33"/>
      <c r="D5761" s="33"/>
      <c r="E5761" s="33"/>
      <c r="F5761" s="33"/>
      <c r="G5761" s="33"/>
      <c r="H5761" s="33"/>
      <c r="I5761" s="33"/>
      <c r="J5761" s="33"/>
      <c r="K5761" s="33"/>
      <c r="L5761" s="33"/>
      <c r="M5761" s="33"/>
      <c r="N5761" s="33"/>
      <c r="O5761" s="33"/>
      <c r="P5761" s="33"/>
      <c r="Q5761" s="33"/>
      <c r="R5761" s="33"/>
      <c r="S5761" s="33"/>
      <c r="T5761" s="33"/>
      <c r="U5761" s="33"/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  <c r="AG5761" s="33"/>
      <c r="AH5761" s="33"/>
      <c r="AI5761" s="33"/>
      <c r="AJ5761" s="33"/>
      <c r="AK5761" s="33"/>
    </row>
    <row r="5762">
      <c r="A5762" s="33"/>
      <c r="B5762" s="33"/>
      <c r="C5762" s="33"/>
      <c r="D5762" s="33"/>
      <c r="E5762" s="33"/>
      <c r="F5762" s="33"/>
      <c r="G5762" s="33"/>
      <c r="H5762" s="33"/>
      <c r="I5762" s="33"/>
      <c r="J5762" s="33"/>
      <c r="K5762" s="33"/>
      <c r="L5762" s="33"/>
      <c r="M5762" s="33"/>
      <c r="N5762" s="33"/>
      <c r="O5762" s="33"/>
      <c r="P5762" s="33"/>
      <c r="Q5762" s="33"/>
      <c r="R5762" s="33"/>
      <c r="S5762" s="33"/>
      <c r="T5762" s="33"/>
      <c r="U5762" s="33"/>
      <c r="V5762" s="33"/>
      <c r="W5762" s="33"/>
      <c r="X5762" s="33"/>
      <c r="Y5762" s="33"/>
      <c r="Z5762" s="33"/>
      <c r="AA5762" s="33"/>
      <c r="AB5762" s="33"/>
      <c r="AC5762" s="33"/>
      <c r="AD5762" s="33"/>
      <c r="AE5762" s="33"/>
      <c r="AF5762" s="33"/>
      <c r="AG5762" s="33"/>
      <c r="AH5762" s="33"/>
      <c r="AI5762" s="33"/>
      <c r="AJ5762" s="33"/>
      <c r="AK5762" s="33"/>
    </row>
    <row r="5763">
      <c r="A5763" s="33"/>
      <c r="B5763" s="33"/>
      <c r="C5763" s="33"/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3"/>
      <c r="X5763" s="33"/>
      <c r="Y5763" s="33"/>
      <c r="Z5763" s="33"/>
      <c r="AA5763" s="33"/>
      <c r="AB5763" s="33"/>
      <c r="AC5763" s="33"/>
      <c r="AD5763" s="33"/>
      <c r="AE5763" s="33"/>
      <c r="AF5763" s="33"/>
      <c r="AG5763" s="33"/>
      <c r="AH5763" s="33"/>
      <c r="AI5763" s="33"/>
      <c r="AJ5763" s="33"/>
      <c r="AK5763" s="33"/>
    </row>
    <row r="5764">
      <c r="A5764" s="33"/>
      <c r="B5764" s="33"/>
      <c r="C5764" s="33"/>
      <c r="D5764" s="33"/>
      <c r="E5764" s="33"/>
      <c r="F5764" s="33"/>
      <c r="G5764" s="33"/>
      <c r="H5764" s="33"/>
      <c r="I5764" s="33"/>
      <c r="J5764" s="33"/>
      <c r="K5764" s="33"/>
      <c r="L5764" s="33"/>
      <c r="M5764" s="33"/>
      <c r="N5764" s="33"/>
      <c r="O5764" s="33"/>
      <c r="P5764" s="33"/>
      <c r="Q5764" s="33"/>
      <c r="R5764" s="33"/>
      <c r="S5764" s="33"/>
      <c r="T5764" s="33"/>
      <c r="U5764" s="33"/>
      <c r="V5764" s="33"/>
      <c r="W5764" s="33"/>
      <c r="X5764" s="33"/>
      <c r="Y5764" s="33"/>
      <c r="Z5764" s="33"/>
      <c r="AA5764" s="33"/>
      <c r="AB5764" s="33"/>
      <c r="AC5764" s="33"/>
      <c r="AD5764" s="33"/>
      <c r="AE5764" s="33"/>
      <c r="AF5764" s="33"/>
      <c r="AG5764" s="33"/>
      <c r="AH5764" s="33"/>
      <c r="AI5764" s="33"/>
      <c r="AJ5764" s="33"/>
      <c r="AK5764" s="33"/>
    </row>
    <row r="5765">
      <c r="A5765" s="33"/>
      <c r="B5765" s="33"/>
      <c r="C5765" s="33"/>
      <c r="D5765" s="33"/>
      <c r="E5765" s="33"/>
      <c r="F5765" s="33"/>
      <c r="G5765" s="33"/>
      <c r="H5765" s="33"/>
      <c r="I5765" s="33"/>
      <c r="J5765" s="33"/>
      <c r="K5765" s="33"/>
      <c r="L5765" s="33"/>
      <c r="M5765" s="33"/>
      <c r="N5765" s="33"/>
      <c r="O5765" s="33"/>
      <c r="P5765" s="33"/>
      <c r="Q5765" s="33"/>
      <c r="R5765" s="33"/>
      <c r="S5765" s="33"/>
      <c r="T5765" s="33"/>
      <c r="U5765" s="33"/>
      <c r="V5765" s="33"/>
      <c r="W5765" s="33"/>
      <c r="X5765" s="33"/>
      <c r="Y5765" s="33"/>
      <c r="Z5765" s="33"/>
      <c r="AA5765" s="33"/>
      <c r="AB5765" s="33"/>
      <c r="AC5765" s="33"/>
      <c r="AD5765" s="33"/>
      <c r="AE5765" s="33"/>
      <c r="AF5765" s="33"/>
      <c r="AG5765" s="33"/>
      <c r="AH5765" s="33"/>
      <c r="AI5765" s="33"/>
      <c r="AJ5765" s="33"/>
      <c r="AK5765" s="33"/>
    </row>
    <row r="5766">
      <c r="A5766" s="33"/>
      <c r="B5766" s="33"/>
      <c r="C5766" s="33"/>
      <c r="D5766" s="33"/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/>
      <c r="P5766" s="33"/>
      <c r="Q5766" s="33"/>
      <c r="R5766" s="33"/>
      <c r="S5766" s="33"/>
      <c r="T5766" s="33"/>
      <c r="U5766" s="33"/>
      <c r="V5766" s="33"/>
      <c r="W5766" s="33"/>
      <c r="X5766" s="33"/>
      <c r="Y5766" s="33"/>
      <c r="Z5766" s="33"/>
      <c r="AA5766" s="33"/>
      <c r="AB5766" s="33"/>
      <c r="AC5766" s="33"/>
      <c r="AD5766" s="33"/>
      <c r="AE5766" s="33"/>
      <c r="AF5766" s="33"/>
      <c r="AG5766" s="33"/>
      <c r="AH5766" s="33"/>
      <c r="AI5766" s="33"/>
      <c r="AJ5766" s="33"/>
      <c r="AK5766" s="33"/>
    </row>
    <row r="5767">
      <c r="A5767" s="33"/>
      <c r="B5767" s="33"/>
      <c r="C5767" s="33"/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3"/>
      <c r="X5767" s="33"/>
      <c r="Y5767" s="33"/>
      <c r="Z5767" s="33"/>
      <c r="AA5767" s="33"/>
      <c r="AB5767" s="33"/>
      <c r="AC5767" s="33"/>
      <c r="AD5767" s="33"/>
      <c r="AE5767" s="33"/>
      <c r="AF5767" s="33"/>
      <c r="AG5767" s="33"/>
      <c r="AH5767" s="33"/>
      <c r="AI5767" s="33"/>
      <c r="AJ5767" s="33"/>
      <c r="AK5767" s="33"/>
    </row>
    <row r="5768">
      <c r="A5768" s="33"/>
      <c r="B5768" s="33"/>
      <c r="C5768" s="33"/>
      <c r="D5768" s="33"/>
      <c r="E5768" s="33"/>
      <c r="F5768" s="33"/>
      <c r="G5768" s="33"/>
      <c r="H5768" s="33"/>
      <c r="I5768" s="33"/>
      <c r="J5768" s="33"/>
      <c r="K5768" s="33"/>
      <c r="L5768" s="33"/>
      <c r="M5768" s="33"/>
      <c r="N5768" s="33"/>
      <c r="O5768" s="33"/>
      <c r="P5768" s="33"/>
      <c r="Q5768" s="33"/>
      <c r="R5768" s="33"/>
      <c r="S5768" s="33"/>
      <c r="T5768" s="33"/>
      <c r="U5768" s="33"/>
      <c r="V5768" s="33"/>
      <c r="W5768" s="33"/>
      <c r="X5768" s="33"/>
      <c r="Y5768" s="33"/>
      <c r="Z5768" s="33"/>
      <c r="AA5768" s="33"/>
      <c r="AB5768" s="33"/>
      <c r="AC5768" s="33"/>
      <c r="AD5768" s="33"/>
      <c r="AE5768" s="33"/>
      <c r="AF5768" s="33"/>
      <c r="AG5768" s="33"/>
      <c r="AH5768" s="33"/>
      <c r="AI5768" s="33"/>
      <c r="AJ5768" s="33"/>
      <c r="AK5768" s="33"/>
    </row>
    <row r="5769">
      <c r="A5769" s="33"/>
      <c r="B5769" s="33"/>
      <c r="C5769" s="33"/>
      <c r="D5769" s="33"/>
      <c r="E5769" s="33"/>
      <c r="F5769" s="33"/>
      <c r="G5769" s="33"/>
      <c r="H5769" s="33"/>
      <c r="I5769" s="33"/>
      <c r="J5769" s="33"/>
      <c r="K5769" s="33"/>
      <c r="L5769" s="33"/>
      <c r="M5769" s="33"/>
      <c r="N5769" s="33"/>
      <c r="O5769" s="33"/>
      <c r="P5769" s="33"/>
      <c r="Q5769" s="33"/>
      <c r="R5769" s="33"/>
      <c r="S5769" s="33"/>
      <c r="T5769" s="33"/>
      <c r="U5769" s="33"/>
      <c r="V5769" s="33"/>
      <c r="W5769" s="33"/>
      <c r="X5769" s="33"/>
      <c r="Y5769" s="33"/>
      <c r="Z5769" s="33"/>
      <c r="AA5769" s="33"/>
      <c r="AB5769" s="33"/>
      <c r="AC5769" s="33"/>
      <c r="AD5769" s="33"/>
      <c r="AE5769" s="33"/>
      <c r="AF5769" s="33"/>
      <c r="AG5769" s="33"/>
      <c r="AH5769" s="33"/>
      <c r="AI5769" s="33"/>
      <c r="AJ5769" s="33"/>
      <c r="AK5769" s="33"/>
    </row>
    <row r="5770">
      <c r="A5770" s="33"/>
      <c r="B5770" s="33"/>
      <c r="C5770" s="33"/>
      <c r="D5770" s="33"/>
      <c r="E5770" s="33"/>
      <c r="F5770" s="33"/>
      <c r="G5770" s="33"/>
      <c r="H5770" s="33"/>
      <c r="I5770" s="33"/>
      <c r="J5770" s="33"/>
      <c r="K5770" s="33"/>
      <c r="L5770" s="33"/>
      <c r="M5770" s="33"/>
      <c r="N5770" s="33"/>
      <c r="O5770" s="33"/>
      <c r="P5770" s="33"/>
      <c r="Q5770" s="33"/>
      <c r="R5770" s="33"/>
      <c r="S5770" s="33"/>
      <c r="T5770" s="33"/>
      <c r="U5770" s="33"/>
      <c r="V5770" s="33"/>
      <c r="W5770" s="33"/>
      <c r="X5770" s="33"/>
      <c r="Y5770" s="33"/>
      <c r="Z5770" s="33"/>
      <c r="AA5770" s="33"/>
      <c r="AB5770" s="33"/>
      <c r="AC5770" s="33"/>
      <c r="AD5770" s="33"/>
      <c r="AE5770" s="33"/>
      <c r="AF5770" s="33"/>
      <c r="AG5770" s="33"/>
      <c r="AH5770" s="33"/>
      <c r="AI5770" s="33"/>
      <c r="AJ5770" s="33"/>
      <c r="AK5770" s="33"/>
    </row>
    <row r="5771">
      <c r="A5771" s="33"/>
      <c r="B5771" s="33"/>
      <c r="C5771" s="33"/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3"/>
      <c r="X5771" s="33"/>
      <c r="Y5771" s="33"/>
      <c r="Z5771" s="33"/>
      <c r="AA5771" s="33"/>
      <c r="AB5771" s="33"/>
      <c r="AC5771" s="33"/>
      <c r="AD5771" s="33"/>
      <c r="AE5771" s="33"/>
      <c r="AF5771" s="33"/>
      <c r="AG5771" s="33"/>
      <c r="AH5771" s="33"/>
      <c r="AI5771" s="33"/>
      <c r="AJ5771" s="33"/>
      <c r="AK5771" s="33"/>
    </row>
    <row r="5772">
      <c r="A5772" s="33"/>
      <c r="B5772" s="33"/>
      <c r="C5772" s="33"/>
      <c r="D5772" s="33"/>
      <c r="E5772" s="33"/>
      <c r="F5772" s="33"/>
      <c r="G5772" s="33"/>
      <c r="H5772" s="33"/>
      <c r="I5772" s="33"/>
      <c r="J5772" s="33"/>
      <c r="K5772" s="33"/>
      <c r="L5772" s="33"/>
      <c r="M5772" s="33"/>
      <c r="N5772" s="33"/>
      <c r="O5772" s="33"/>
      <c r="P5772" s="33"/>
      <c r="Q5772" s="33"/>
      <c r="R5772" s="33"/>
      <c r="S5772" s="33"/>
      <c r="T5772" s="33"/>
      <c r="U5772" s="33"/>
      <c r="V5772" s="33"/>
      <c r="W5772" s="33"/>
      <c r="X5772" s="33"/>
      <c r="Y5772" s="33"/>
      <c r="Z5772" s="33"/>
      <c r="AA5772" s="33"/>
      <c r="AB5772" s="33"/>
      <c r="AC5772" s="33"/>
      <c r="AD5772" s="33"/>
      <c r="AE5772" s="33"/>
      <c r="AF5772" s="33"/>
      <c r="AG5772" s="33"/>
      <c r="AH5772" s="33"/>
      <c r="AI5772" s="33"/>
      <c r="AJ5772" s="33"/>
      <c r="AK5772" s="33"/>
    </row>
    <row r="5773">
      <c r="A5773" s="33"/>
      <c r="B5773" s="33"/>
      <c r="C5773" s="33"/>
      <c r="D5773" s="33"/>
      <c r="E5773" s="33"/>
      <c r="F5773" s="33"/>
      <c r="G5773" s="33"/>
      <c r="H5773" s="33"/>
      <c r="I5773" s="33"/>
      <c r="J5773" s="33"/>
      <c r="K5773" s="33"/>
      <c r="L5773" s="33"/>
      <c r="M5773" s="33"/>
      <c r="N5773" s="33"/>
      <c r="O5773" s="33"/>
      <c r="P5773" s="33"/>
      <c r="Q5773" s="33"/>
      <c r="R5773" s="33"/>
      <c r="S5773" s="33"/>
      <c r="T5773" s="33"/>
      <c r="U5773" s="33"/>
      <c r="V5773" s="33"/>
      <c r="W5773" s="33"/>
      <c r="X5773" s="33"/>
      <c r="Y5773" s="33"/>
      <c r="Z5773" s="33"/>
      <c r="AA5773" s="33"/>
      <c r="AB5773" s="33"/>
      <c r="AC5773" s="33"/>
      <c r="AD5773" s="33"/>
      <c r="AE5773" s="33"/>
      <c r="AF5773" s="33"/>
      <c r="AG5773" s="33"/>
      <c r="AH5773" s="33"/>
      <c r="AI5773" s="33"/>
      <c r="AJ5773" s="33"/>
      <c r="AK5773" s="33"/>
    </row>
    <row r="5774">
      <c r="A5774" s="33"/>
      <c r="B5774" s="33"/>
      <c r="C5774" s="33"/>
      <c r="D5774" s="33"/>
      <c r="E5774" s="33"/>
      <c r="F5774" s="33"/>
      <c r="G5774" s="33"/>
      <c r="H5774" s="33"/>
      <c r="I5774" s="33"/>
      <c r="J5774" s="33"/>
      <c r="K5774" s="33"/>
      <c r="L5774" s="33"/>
      <c r="M5774" s="33"/>
      <c r="N5774" s="33"/>
      <c r="O5774" s="33"/>
      <c r="P5774" s="33"/>
      <c r="Q5774" s="33"/>
      <c r="R5774" s="33"/>
      <c r="S5774" s="33"/>
      <c r="T5774" s="33"/>
      <c r="U5774" s="33"/>
      <c r="V5774" s="33"/>
      <c r="W5774" s="33"/>
      <c r="X5774" s="33"/>
      <c r="Y5774" s="33"/>
      <c r="Z5774" s="33"/>
      <c r="AA5774" s="33"/>
      <c r="AB5774" s="33"/>
      <c r="AC5774" s="33"/>
      <c r="AD5774" s="33"/>
      <c r="AE5774" s="33"/>
      <c r="AF5774" s="33"/>
      <c r="AG5774" s="33"/>
      <c r="AH5774" s="33"/>
      <c r="AI5774" s="33"/>
      <c r="AJ5774" s="33"/>
      <c r="AK5774" s="33"/>
    </row>
    <row r="5775">
      <c r="A5775" s="33"/>
      <c r="B5775" s="33"/>
      <c r="C5775" s="33"/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3"/>
      <c r="X5775" s="33"/>
      <c r="Y5775" s="33"/>
      <c r="Z5775" s="33"/>
      <c r="AA5775" s="33"/>
      <c r="AB5775" s="33"/>
      <c r="AC5775" s="33"/>
      <c r="AD5775" s="33"/>
      <c r="AE5775" s="33"/>
      <c r="AF5775" s="33"/>
      <c r="AG5775" s="33"/>
      <c r="AH5775" s="33"/>
      <c r="AI5775" s="33"/>
      <c r="AJ5775" s="33"/>
      <c r="AK5775" s="33"/>
    </row>
    <row r="5776">
      <c r="A5776" s="33"/>
      <c r="B5776" s="33"/>
      <c r="C5776" s="33"/>
      <c r="D5776" s="33"/>
      <c r="E5776" s="33"/>
      <c r="F5776" s="33"/>
      <c r="G5776" s="33"/>
      <c r="H5776" s="33"/>
      <c r="I5776" s="33"/>
      <c r="J5776" s="33"/>
      <c r="K5776" s="33"/>
      <c r="L5776" s="33"/>
      <c r="M5776" s="33"/>
      <c r="N5776" s="33"/>
      <c r="O5776" s="33"/>
      <c r="P5776" s="33"/>
      <c r="Q5776" s="33"/>
      <c r="R5776" s="33"/>
      <c r="S5776" s="33"/>
      <c r="T5776" s="33"/>
      <c r="U5776" s="33"/>
      <c r="V5776" s="33"/>
      <c r="W5776" s="33"/>
      <c r="X5776" s="33"/>
      <c r="Y5776" s="33"/>
      <c r="Z5776" s="33"/>
      <c r="AA5776" s="33"/>
      <c r="AB5776" s="33"/>
      <c r="AC5776" s="33"/>
      <c r="AD5776" s="33"/>
      <c r="AE5776" s="33"/>
      <c r="AF5776" s="33"/>
      <c r="AG5776" s="33"/>
      <c r="AH5776" s="33"/>
      <c r="AI5776" s="33"/>
      <c r="AJ5776" s="33"/>
      <c r="AK5776" s="33"/>
    </row>
    <row r="5777">
      <c r="A5777" s="33"/>
      <c r="B5777" s="33"/>
      <c r="C5777" s="33"/>
      <c r="D5777" s="33"/>
      <c r="E5777" s="33"/>
      <c r="F5777" s="33"/>
      <c r="G5777" s="33"/>
      <c r="H5777" s="33"/>
      <c r="I5777" s="33"/>
      <c r="J5777" s="33"/>
      <c r="K5777" s="33"/>
      <c r="L5777" s="33"/>
      <c r="M5777" s="33"/>
      <c r="N5777" s="33"/>
      <c r="O5777" s="33"/>
      <c r="P5777" s="33"/>
      <c r="Q5777" s="33"/>
      <c r="R5777" s="33"/>
      <c r="S5777" s="33"/>
      <c r="T5777" s="33"/>
      <c r="U5777" s="33"/>
      <c r="V5777" s="33"/>
      <c r="W5777" s="33"/>
      <c r="X5777" s="33"/>
      <c r="Y5777" s="33"/>
      <c r="Z5777" s="33"/>
      <c r="AA5777" s="33"/>
      <c r="AB5777" s="33"/>
      <c r="AC5777" s="33"/>
      <c r="AD5777" s="33"/>
      <c r="AE5777" s="33"/>
      <c r="AF5777" s="33"/>
      <c r="AG5777" s="33"/>
      <c r="AH5777" s="33"/>
      <c r="AI5777" s="33"/>
      <c r="AJ5777" s="33"/>
      <c r="AK5777" s="33"/>
    </row>
    <row r="5778">
      <c r="A5778" s="33"/>
      <c r="B5778" s="33"/>
      <c r="C5778" s="33"/>
      <c r="D5778" s="33"/>
      <c r="E5778" s="33"/>
      <c r="F5778" s="33"/>
      <c r="G5778" s="33"/>
      <c r="H5778" s="33"/>
      <c r="I5778" s="33"/>
      <c r="J5778" s="33"/>
      <c r="K5778" s="33"/>
      <c r="L5778" s="33"/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/>
      <c r="X5778" s="33"/>
      <c r="Y5778" s="33"/>
      <c r="Z5778" s="33"/>
      <c r="AA5778" s="33"/>
      <c r="AB5778" s="33"/>
      <c r="AC5778" s="33"/>
      <c r="AD5778" s="33"/>
      <c r="AE5778" s="33"/>
      <c r="AF5778" s="33"/>
      <c r="AG5778" s="33"/>
      <c r="AH5778" s="33"/>
      <c r="AI5778" s="33"/>
      <c r="AJ5778" s="33"/>
      <c r="AK5778" s="33"/>
    </row>
    <row r="5779">
      <c r="A5779" s="33"/>
      <c r="B5779" s="33"/>
      <c r="C5779" s="33"/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3"/>
      <c r="X5779" s="33"/>
      <c r="Y5779" s="33"/>
      <c r="Z5779" s="33"/>
      <c r="AA5779" s="33"/>
      <c r="AB5779" s="33"/>
      <c r="AC5779" s="33"/>
      <c r="AD5779" s="33"/>
      <c r="AE5779" s="33"/>
      <c r="AF5779" s="33"/>
      <c r="AG5779" s="33"/>
      <c r="AH5779" s="33"/>
      <c r="AI5779" s="33"/>
      <c r="AJ5779" s="33"/>
      <c r="AK5779" s="33"/>
    </row>
    <row r="5780">
      <c r="A5780" s="33"/>
      <c r="B5780" s="33"/>
      <c r="C5780" s="33"/>
      <c r="D5780" s="33"/>
      <c r="E5780" s="33"/>
      <c r="F5780" s="33"/>
      <c r="G5780" s="33"/>
      <c r="H5780" s="33"/>
      <c r="I5780" s="33"/>
      <c r="J5780" s="33"/>
      <c r="K5780" s="33"/>
      <c r="L5780" s="33"/>
      <c r="M5780" s="33"/>
      <c r="N5780" s="33"/>
      <c r="O5780" s="33"/>
      <c r="P5780" s="33"/>
      <c r="Q5780" s="33"/>
      <c r="R5780" s="33"/>
      <c r="S5780" s="33"/>
      <c r="T5780" s="33"/>
      <c r="U5780" s="33"/>
      <c r="V5780" s="33"/>
      <c r="W5780" s="33"/>
      <c r="X5780" s="33"/>
      <c r="Y5780" s="33"/>
      <c r="Z5780" s="33"/>
      <c r="AA5780" s="33"/>
      <c r="AB5780" s="33"/>
      <c r="AC5780" s="33"/>
      <c r="AD5780" s="33"/>
      <c r="AE5780" s="33"/>
      <c r="AF5780" s="33"/>
      <c r="AG5780" s="33"/>
      <c r="AH5780" s="33"/>
      <c r="AI5780" s="33"/>
      <c r="AJ5780" s="33"/>
      <c r="AK5780" s="33"/>
    </row>
    <row r="5781">
      <c r="A5781" s="33"/>
      <c r="B5781" s="33"/>
      <c r="C5781" s="33"/>
      <c r="D5781" s="33"/>
      <c r="E5781" s="33"/>
      <c r="F5781" s="33"/>
      <c r="G5781" s="33"/>
      <c r="H5781" s="33"/>
      <c r="I5781" s="33"/>
      <c r="J5781" s="33"/>
      <c r="K5781" s="33"/>
      <c r="L5781" s="33"/>
      <c r="M5781" s="33"/>
      <c r="N5781" s="33"/>
      <c r="O5781" s="33"/>
      <c r="P5781" s="33"/>
      <c r="Q5781" s="33"/>
      <c r="R5781" s="33"/>
      <c r="S5781" s="33"/>
      <c r="T5781" s="33"/>
      <c r="U5781" s="33"/>
      <c r="V5781" s="33"/>
      <c r="W5781" s="33"/>
      <c r="X5781" s="33"/>
      <c r="Y5781" s="33"/>
      <c r="Z5781" s="33"/>
      <c r="AA5781" s="33"/>
      <c r="AB5781" s="33"/>
      <c r="AC5781" s="33"/>
      <c r="AD5781" s="33"/>
      <c r="AE5781" s="33"/>
      <c r="AF5781" s="33"/>
      <c r="AG5781" s="33"/>
      <c r="AH5781" s="33"/>
      <c r="AI5781" s="33"/>
      <c r="AJ5781" s="33"/>
      <c r="AK5781" s="33"/>
    </row>
    <row r="5782">
      <c r="A5782" s="33"/>
      <c r="B5782" s="33"/>
      <c r="C5782" s="33"/>
      <c r="D5782" s="33"/>
      <c r="E5782" s="33"/>
      <c r="F5782" s="33"/>
      <c r="G5782" s="33"/>
      <c r="H5782" s="33"/>
      <c r="I5782" s="33"/>
      <c r="J5782" s="33"/>
      <c r="K5782" s="33"/>
      <c r="L5782" s="33"/>
      <c r="M5782" s="33"/>
      <c r="N5782" s="33"/>
      <c r="O5782" s="33"/>
      <c r="P5782" s="33"/>
      <c r="Q5782" s="33"/>
      <c r="R5782" s="33"/>
      <c r="S5782" s="33"/>
      <c r="T5782" s="33"/>
      <c r="U5782" s="33"/>
      <c r="V5782" s="33"/>
      <c r="W5782" s="33"/>
      <c r="X5782" s="33"/>
      <c r="Y5782" s="33"/>
      <c r="Z5782" s="33"/>
      <c r="AA5782" s="33"/>
      <c r="AB5782" s="33"/>
      <c r="AC5782" s="33"/>
      <c r="AD5782" s="33"/>
      <c r="AE5782" s="33"/>
      <c r="AF5782" s="33"/>
      <c r="AG5782" s="33"/>
      <c r="AH5782" s="33"/>
      <c r="AI5782" s="33"/>
      <c r="AJ5782" s="33"/>
      <c r="AK5782" s="33"/>
    </row>
    <row r="5783">
      <c r="A5783" s="33"/>
      <c r="B5783" s="33"/>
      <c r="C5783" s="33"/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3"/>
      <c r="X5783" s="33"/>
      <c r="Y5783" s="33"/>
      <c r="Z5783" s="33"/>
      <c r="AA5783" s="33"/>
      <c r="AB5783" s="33"/>
      <c r="AC5783" s="33"/>
      <c r="AD5783" s="33"/>
      <c r="AE5783" s="33"/>
      <c r="AF5783" s="33"/>
      <c r="AG5783" s="33"/>
      <c r="AH5783" s="33"/>
      <c r="AI5783" s="33"/>
      <c r="AJ5783" s="33"/>
      <c r="AK5783" s="33"/>
    </row>
    <row r="5784">
      <c r="A5784" s="33"/>
      <c r="B5784" s="33"/>
      <c r="C5784" s="33"/>
      <c r="D5784" s="33"/>
      <c r="E5784" s="33"/>
      <c r="F5784" s="33"/>
      <c r="G5784" s="33"/>
      <c r="H5784" s="33"/>
      <c r="I5784" s="33"/>
      <c r="J5784" s="33"/>
      <c r="K5784" s="33"/>
      <c r="L5784" s="33"/>
      <c r="M5784" s="33"/>
      <c r="N5784" s="33"/>
      <c r="O5784" s="33"/>
      <c r="P5784" s="33"/>
      <c r="Q5784" s="33"/>
      <c r="R5784" s="33"/>
      <c r="S5784" s="33"/>
      <c r="T5784" s="33"/>
      <c r="U5784" s="33"/>
      <c r="V5784" s="33"/>
      <c r="W5784" s="33"/>
      <c r="X5784" s="33"/>
      <c r="Y5784" s="33"/>
      <c r="Z5784" s="33"/>
      <c r="AA5784" s="33"/>
      <c r="AB5784" s="33"/>
      <c r="AC5784" s="33"/>
      <c r="AD5784" s="33"/>
      <c r="AE5784" s="33"/>
      <c r="AF5784" s="33"/>
      <c r="AG5784" s="33"/>
      <c r="AH5784" s="33"/>
      <c r="AI5784" s="33"/>
      <c r="AJ5784" s="33"/>
      <c r="AK5784" s="33"/>
    </row>
    <row r="5785">
      <c r="A5785" s="33"/>
      <c r="B5785" s="33"/>
      <c r="C5785" s="33"/>
      <c r="D5785" s="33"/>
      <c r="E5785" s="33"/>
      <c r="F5785" s="33"/>
      <c r="G5785" s="33"/>
      <c r="H5785" s="33"/>
      <c r="I5785" s="33"/>
      <c r="J5785" s="33"/>
      <c r="K5785" s="33"/>
      <c r="L5785" s="33"/>
      <c r="M5785" s="33"/>
      <c r="N5785" s="33"/>
      <c r="O5785" s="33"/>
      <c r="P5785" s="33"/>
      <c r="Q5785" s="33"/>
      <c r="R5785" s="33"/>
      <c r="S5785" s="33"/>
      <c r="T5785" s="33"/>
      <c r="U5785" s="33"/>
      <c r="V5785" s="33"/>
      <c r="W5785" s="33"/>
      <c r="X5785" s="33"/>
      <c r="Y5785" s="33"/>
      <c r="Z5785" s="33"/>
      <c r="AA5785" s="33"/>
      <c r="AB5785" s="33"/>
      <c r="AC5785" s="33"/>
      <c r="AD5785" s="33"/>
      <c r="AE5785" s="33"/>
      <c r="AF5785" s="33"/>
      <c r="AG5785" s="33"/>
      <c r="AH5785" s="33"/>
      <c r="AI5785" s="33"/>
      <c r="AJ5785" s="33"/>
      <c r="AK5785" s="33"/>
    </row>
    <row r="5786">
      <c r="A5786" s="33"/>
      <c r="B5786" s="33"/>
      <c r="C5786" s="33"/>
      <c r="D5786" s="33"/>
      <c r="E5786" s="33"/>
      <c r="F5786" s="33"/>
      <c r="G5786" s="33"/>
      <c r="H5786" s="33"/>
      <c r="I5786" s="33"/>
      <c r="J5786" s="33"/>
      <c r="K5786" s="33"/>
      <c r="L5786" s="33"/>
      <c r="M5786" s="33"/>
      <c r="N5786" s="33"/>
      <c r="O5786" s="33"/>
      <c r="P5786" s="33"/>
      <c r="Q5786" s="33"/>
      <c r="R5786" s="33"/>
      <c r="S5786" s="33"/>
      <c r="T5786" s="33"/>
      <c r="U5786" s="33"/>
      <c r="V5786" s="33"/>
      <c r="W5786" s="33"/>
      <c r="X5786" s="33"/>
      <c r="Y5786" s="33"/>
      <c r="Z5786" s="33"/>
      <c r="AA5786" s="33"/>
      <c r="AB5786" s="33"/>
      <c r="AC5786" s="33"/>
      <c r="AD5786" s="33"/>
      <c r="AE5786" s="33"/>
      <c r="AF5786" s="33"/>
      <c r="AG5786" s="33"/>
      <c r="AH5786" s="33"/>
      <c r="AI5786" s="33"/>
      <c r="AJ5786" s="33"/>
      <c r="AK5786" s="33"/>
    </row>
    <row r="5787">
      <c r="A5787" s="33"/>
      <c r="B5787" s="33"/>
      <c r="C5787" s="33"/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3"/>
      <c r="X5787" s="33"/>
      <c r="Y5787" s="33"/>
      <c r="Z5787" s="33"/>
      <c r="AA5787" s="33"/>
      <c r="AB5787" s="33"/>
      <c r="AC5787" s="33"/>
      <c r="AD5787" s="33"/>
      <c r="AE5787" s="33"/>
      <c r="AF5787" s="33"/>
      <c r="AG5787" s="33"/>
      <c r="AH5787" s="33"/>
      <c r="AI5787" s="33"/>
      <c r="AJ5787" s="33"/>
      <c r="AK5787" s="33"/>
    </row>
    <row r="5788">
      <c r="A5788" s="33"/>
      <c r="B5788" s="33"/>
      <c r="C5788" s="33"/>
      <c r="D5788" s="33"/>
      <c r="E5788" s="33"/>
      <c r="F5788" s="33"/>
      <c r="G5788" s="33"/>
      <c r="H5788" s="33"/>
      <c r="I5788" s="33"/>
      <c r="J5788" s="33"/>
      <c r="K5788" s="33"/>
      <c r="L5788" s="33"/>
      <c r="M5788" s="33"/>
      <c r="N5788" s="33"/>
      <c r="O5788" s="33"/>
      <c r="P5788" s="33"/>
      <c r="Q5788" s="33"/>
      <c r="R5788" s="33"/>
      <c r="S5788" s="33"/>
      <c r="T5788" s="33"/>
      <c r="U5788" s="33"/>
      <c r="V5788" s="33"/>
      <c r="W5788" s="33"/>
      <c r="X5788" s="33"/>
      <c r="Y5788" s="33"/>
      <c r="Z5788" s="33"/>
      <c r="AA5788" s="33"/>
      <c r="AB5788" s="33"/>
      <c r="AC5788" s="33"/>
      <c r="AD5788" s="33"/>
      <c r="AE5788" s="33"/>
      <c r="AF5788" s="33"/>
      <c r="AG5788" s="33"/>
      <c r="AH5788" s="33"/>
      <c r="AI5788" s="33"/>
      <c r="AJ5788" s="33"/>
      <c r="AK5788" s="33"/>
    </row>
    <row r="5789">
      <c r="A5789" s="33"/>
      <c r="B5789" s="33"/>
      <c r="C5789" s="33"/>
      <c r="D5789" s="33"/>
      <c r="E5789" s="33"/>
      <c r="F5789" s="33"/>
      <c r="G5789" s="33"/>
      <c r="H5789" s="33"/>
      <c r="I5789" s="33"/>
      <c r="J5789" s="33"/>
      <c r="K5789" s="33"/>
      <c r="L5789" s="33"/>
      <c r="M5789" s="33"/>
      <c r="N5789" s="33"/>
      <c r="O5789" s="33"/>
      <c r="P5789" s="33"/>
      <c r="Q5789" s="33"/>
      <c r="R5789" s="33"/>
      <c r="S5789" s="33"/>
      <c r="T5789" s="33"/>
      <c r="U5789" s="33"/>
      <c r="V5789" s="33"/>
      <c r="W5789" s="33"/>
      <c r="X5789" s="33"/>
      <c r="Y5789" s="33"/>
      <c r="Z5789" s="33"/>
      <c r="AA5789" s="33"/>
      <c r="AB5789" s="33"/>
      <c r="AC5789" s="33"/>
      <c r="AD5789" s="33"/>
      <c r="AE5789" s="33"/>
      <c r="AF5789" s="33"/>
      <c r="AG5789" s="33"/>
      <c r="AH5789" s="33"/>
      <c r="AI5789" s="33"/>
      <c r="AJ5789" s="33"/>
      <c r="AK5789" s="33"/>
    </row>
    <row r="5790">
      <c r="A5790" s="33"/>
      <c r="B5790" s="33"/>
      <c r="C5790" s="33"/>
      <c r="D5790" s="33"/>
      <c r="E5790" s="33"/>
      <c r="F5790" s="33"/>
      <c r="G5790" s="33"/>
      <c r="H5790" s="33"/>
      <c r="I5790" s="33"/>
      <c r="J5790" s="33"/>
      <c r="K5790" s="33"/>
      <c r="L5790" s="33"/>
      <c r="M5790" s="33"/>
      <c r="N5790" s="33"/>
      <c r="O5790" s="33"/>
      <c r="P5790" s="33"/>
      <c r="Q5790" s="33"/>
      <c r="R5790" s="33"/>
      <c r="S5790" s="33"/>
      <c r="T5790" s="33"/>
      <c r="U5790" s="33"/>
      <c r="V5790" s="33"/>
      <c r="W5790" s="33"/>
      <c r="X5790" s="33"/>
      <c r="Y5790" s="33"/>
      <c r="Z5790" s="33"/>
      <c r="AA5790" s="33"/>
      <c r="AB5790" s="33"/>
      <c r="AC5790" s="33"/>
      <c r="AD5790" s="33"/>
      <c r="AE5790" s="33"/>
      <c r="AF5790" s="33"/>
      <c r="AG5790" s="33"/>
      <c r="AH5790" s="33"/>
      <c r="AI5790" s="33"/>
      <c r="AJ5790" s="33"/>
      <c r="AK5790" s="33"/>
    </row>
    <row r="5791">
      <c r="A5791" s="33"/>
      <c r="B5791" s="33"/>
      <c r="C5791" s="33"/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3"/>
      <c r="X5791" s="33"/>
      <c r="Y5791" s="33"/>
      <c r="Z5791" s="33"/>
      <c r="AA5791" s="33"/>
      <c r="AB5791" s="33"/>
      <c r="AC5791" s="33"/>
      <c r="AD5791" s="33"/>
      <c r="AE5791" s="33"/>
      <c r="AF5791" s="33"/>
      <c r="AG5791" s="33"/>
      <c r="AH5791" s="33"/>
      <c r="AI5791" s="33"/>
      <c r="AJ5791" s="33"/>
      <c r="AK5791" s="33"/>
    </row>
    <row r="5792">
      <c r="A5792" s="33"/>
      <c r="B5792" s="33"/>
      <c r="C5792" s="33"/>
      <c r="D5792" s="33"/>
      <c r="E5792" s="33"/>
      <c r="F5792" s="33"/>
      <c r="G5792" s="33"/>
      <c r="H5792" s="33"/>
      <c r="I5792" s="33"/>
      <c r="J5792" s="33"/>
      <c r="K5792" s="33"/>
      <c r="L5792" s="33"/>
      <c r="M5792" s="33"/>
      <c r="N5792" s="33"/>
      <c r="O5792" s="33"/>
      <c r="P5792" s="33"/>
      <c r="Q5792" s="33"/>
      <c r="R5792" s="33"/>
      <c r="S5792" s="33"/>
      <c r="T5792" s="33"/>
      <c r="U5792" s="33"/>
      <c r="V5792" s="33"/>
      <c r="W5792" s="33"/>
      <c r="X5792" s="33"/>
      <c r="Y5792" s="33"/>
      <c r="Z5792" s="33"/>
      <c r="AA5792" s="33"/>
      <c r="AB5792" s="33"/>
      <c r="AC5792" s="33"/>
      <c r="AD5792" s="33"/>
      <c r="AE5792" s="33"/>
      <c r="AF5792" s="33"/>
      <c r="AG5792" s="33"/>
      <c r="AH5792" s="33"/>
      <c r="AI5792" s="33"/>
      <c r="AJ5792" s="33"/>
      <c r="AK5792" s="33"/>
    </row>
    <row r="5793">
      <c r="A5793" s="33"/>
      <c r="B5793" s="33"/>
      <c r="C5793" s="33"/>
      <c r="D5793" s="33"/>
      <c r="E5793" s="33"/>
      <c r="F5793" s="33"/>
      <c r="G5793" s="33"/>
      <c r="H5793" s="33"/>
      <c r="I5793" s="33"/>
      <c r="J5793" s="33"/>
      <c r="K5793" s="33"/>
      <c r="L5793" s="33"/>
      <c r="M5793" s="33"/>
      <c r="N5793" s="33"/>
      <c r="O5793" s="33"/>
      <c r="P5793" s="33"/>
      <c r="Q5793" s="33"/>
      <c r="R5793" s="33"/>
      <c r="S5793" s="33"/>
      <c r="T5793" s="33"/>
      <c r="U5793" s="33"/>
      <c r="V5793" s="33"/>
      <c r="W5793" s="33"/>
      <c r="X5793" s="33"/>
      <c r="Y5793" s="33"/>
      <c r="Z5793" s="33"/>
      <c r="AA5793" s="33"/>
      <c r="AB5793" s="33"/>
      <c r="AC5793" s="33"/>
      <c r="AD5793" s="33"/>
      <c r="AE5793" s="33"/>
      <c r="AF5793" s="33"/>
      <c r="AG5793" s="33"/>
      <c r="AH5793" s="33"/>
      <c r="AI5793" s="33"/>
      <c r="AJ5793" s="33"/>
      <c r="AK5793" s="33"/>
    </row>
    <row r="5794">
      <c r="A5794" s="33"/>
      <c r="B5794" s="33"/>
      <c r="C5794" s="33"/>
      <c r="D5794" s="33"/>
      <c r="E5794" s="33"/>
      <c r="F5794" s="33"/>
      <c r="G5794" s="33"/>
      <c r="H5794" s="33"/>
      <c r="I5794" s="33"/>
      <c r="J5794" s="33"/>
      <c r="K5794" s="33"/>
      <c r="L5794" s="33"/>
      <c r="M5794" s="33"/>
      <c r="N5794" s="33"/>
      <c r="O5794" s="33"/>
      <c r="P5794" s="33"/>
      <c r="Q5794" s="33"/>
      <c r="R5794" s="33"/>
      <c r="S5794" s="33"/>
      <c r="T5794" s="33"/>
      <c r="U5794" s="33"/>
      <c r="V5794" s="33"/>
      <c r="W5794" s="33"/>
      <c r="X5794" s="33"/>
      <c r="Y5794" s="33"/>
      <c r="Z5794" s="33"/>
      <c r="AA5794" s="33"/>
      <c r="AB5794" s="33"/>
      <c r="AC5794" s="33"/>
      <c r="AD5794" s="33"/>
      <c r="AE5794" s="33"/>
      <c r="AF5794" s="33"/>
      <c r="AG5794" s="33"/>
      <c r="AH5794" s="33"/>
      <c r="AI5794" s="33"/>
      <c r="AJ5794" s="33"/>
      <c r="AK5794" s="33"/>
    </row>
    <row r="5795">
      <c r="A5795" s="33"/>
      <c r="B5795" s="33"/>
      <c r="C5795" s="33"/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3"/>
      <c r="X5795" s="33"/>
      <c r="Y5795" s="33"/>
      <c r="Z5795" s="33"/>
      <c r="AA5795" s="33"/>
      <c r="AB5795" s="33"/>
      <c r="AC5795" s="33"/>
      <c r="AD5795" s="33"/>
      <c r="AE5795" s="33"/>
      <c r="AF5795" s="33"/>
      <c r="AG5795" s="33"/>
      <c r="AH5795" s="33"/>
      <c r="AI5795" s="33"/>
      <c r="AJ5795" s="33"/>
      <c r="AK5795" s="33"/>
    </row>
    <row r="5796">
      <c r="A5796" s="33"/>
      <c r="B5796" s="33"/>
      <c r="C5796" s="33"/>
      <c r="D5796" s="33"/>
      <c r="E5796" s="33"/>
      <c r="F5796" s="33"/>
      <c r="G5796" s="33"/>
      <c r="H5796" s="33"/>
      <c r="I5796" s="33"/>
      <c r="J5796" s="33"/>
      <c r="K5796" s="33"/>
      <c r="L5796" s="33"/>
      <c r="M5796" s="33"/>
      <c r="N5796" s="33"/>
      <c r="O5796" s="33"/>
      <c r="P5796" s="33"/>
      <c r="Q5796" s="33"/>
      <c r="R5796" s="33"/>
      <c r="S5796" s="33"/>
      <c r="T5796" s="33"/>
      <c r="U5796" s="33"/>
      <c r="V5796" s="33"/>
      <c r="W5796" s="33"/>
      <c r="X5796" s="33"/>
      <c r="Y5796" s="33"/>
      <c r="Z5796" s="33"/>
      <c r="AA5796" s="33"/>
      <c r="AB5796" s="33"/>
      <c r="AC5796" s="33"/>
      <c r="AD5796" s="33"/>
      <c r="AE5796" s="33"/>
      <c r="AF5796" s="33"/>
      <c r="AG5796" s="33"/>
      <c r="AH5796" s="33"/>
      <c r="AI5796" s="33"/>
      <c r="AJ5796" s="33"/>
      <c r="AK5796" s="33"/>
    </row>
    <row r="5797">
      <c r="A5797" s="33"/>
      <c r="B5797" s="33"/>
      <c r="C5797" s="33"/>
      <c r="D5797" s="33"/>
      <c r="E5797" s="33"/>
      <c r="F5797" s="33"/>
      <c r="G5797" s="33"/>
      <c r="H5797" s="33"/>
      <c r="I5797" s="33"/>
      <c r="J5797" s="33"/>
      <c r="K5797" s="33"/>
      <c r="L5797" s="33"/>
      <c r="M5797" s="33"/>
      <c r="N5797" s="33"/>
      <c r="O5797" s="33"/>
      <c r="P5797" s="33"/>
      <c r="Q5797" s="33"/>
      <c r="R5797" s="33"/>
      <c r="S5797" s="33"/>
      <c r="T5797" s="33"/>
      <c r="U5797" s="33"/>
      <c r="V5797" s="33"/>
      <c r="W5797" s="33"/>
      <c r="X5797" s="33"/>
      <c r="Y5797" s="33"/>
      <c r="Z5797" s="33"/>
      <c r="AA5797" s="33"/>
      <c r="AB5797" s="33"/>
      <c r="AC5797" s="33"/>
      <c r="AD5797" s="33"/>
      <c r="AE5797" s="33"/>
      <c r="AF5797" s="33"/>
      <c r="AG5797" s="33"/>
      <c r="AH5797" s="33"/>
      <c r="AI5797" s="33"/>
      <c r="AJ5797" s="33"/>
      <c r="AK5797" s="33"/>
    </row>
    <row r="5798">
      <c r="A5798" s="33"/>
      <c r="B5798" s="33"/>
      <c r="C5798" s="33"/>
      <c r="D5798" s="33"/>
      <c r="E5798" s="33"/>
      <c r="F5798" s="33"/>
      <c r="G5798" s="33"/>
      <c r="H5798" s="33"/>
      <c r="I5798" s="33"/>
      <c r="J5798" s="33"/>
      <c r="K5798" s="33"/>
      <c r="L5798" s="33"/>
      <c r="M5798" s="33"/>
      <c r="N5798" s="33"/>
      <c r="O5798" s="33"/>
      <c r="P5798" s="33"/>
      <c r="Q5798" s="33"/>
      <c r="R5798" s="33"/>
      <c r="S5798" s="33"/>
      <c r="T5798" s="33"/>
      <c r="U5798" s="33"/>
      <c r="V5798" s="33"/>
      <c r="W5798" s="33"/>
      <c r="X5798" s="33"/>
      <c r="Y5798" s="33"/>
      <c r="Z5798" s="33"/>
      <c r="AA5798" s="33"/>
      <c r="AB5798" s="33"/>
      <c r="AC5798" s="33"/>
      <c r="AD5798" s="33"/>
      <c r="AE5798" s="33"/>
      <c r="AF5798" s="33"/>
      <c r="AG5798" s="33"/>
      <c r="AH5798" s="33"/>
      <c r="AI5798" s="33"/>
      <c r="AJ5798" s="33"/>
      <c r="AK5798" s="33"/>
    </row>
    <row r="5799">
      <c r="A5799" s="33"/>
      <c r="B5799" s="33"/>
      <c r="C5799" s="33"/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3"/>
      <c r="X5799" s="33"/>
      <c r="Y5799" s="33"/>
      <c r="Z5799" s="33"/>
      <c r="AA5799" s="33"/>
      <c r="AB5799" s="33"/>
      <c r="AC5799" s="33"/>
      <c r="AD5799" s="33"/>
      <c r="AE5799" s="33"/>
      <c r="AF5799" s="33"/>
      <c r="AG5799" s="33"/>
      <c r="AH5799" s="33"/>
      <c r="AI5799" s="33"/>
      <c r="AJ5799" s="33"/>
      <c r="AK5799" s="33"/>
    </row>
    <row r="5800">
      <c r="A5800" s="33"/>
      <c r="B5800" s="33"/>
      <c r="C5800" s="33"/>
      <c r="D5800" s="33"/>
      <c r="E5800" s="33"/>
      <c r="F5800" s="33"/>
      <c r="G5800" s="33"/>
      <c r="H5800" s="33"/>
      <c r="I5800" s="33"/>
      <c r="J5800" s="33"/>
      <c r="K5800" s="33"/>
      <c r="L5800" s="33"/>
      <c r="M5800" s="33"/>
      <c r="N5800" s="33"/>
      <c r="O5800" s="33"/>
      <c r="P5800" s="33"/>
      <c r="Q5800" s="33"/>
      <c r="R5800" s="33"/>
      <c r="S5800" s="33"/>
      <c r="T5800" s="33"/>
      <c r="U5800" s="33"/>
      <c r="V5800" s="33"/>
      <c r="W5800" s="33"/>
      <c r="X5800" s="33"/>
      <c r="Y5800" s="33"/>
      <c r="Z5800" s="33"/>
      <c r="AA5800" s="33"/>
      <c r="AB5800" s="33"/>
      <c r="AC5800" s="33"/>
      <c r="AD5800" s="33"/>
      <c r="AE5800" s="33"/>
      <c r="AF5800" s="33"/>
      <c r="AG5800" s="33"/>
      <c r="AH5800" s="33"/>
      <c r="AI5800" s="33"/>
      <c r="AJ5800" s="33"/>
      <c r="AK5800" s="33"/>
    </row>
    <row r="5801">
      <c r="A5801" s="33"/>
      <c r="B5801" s="33"/>
      <c r="C5801" s="33"/>
      <c r="D5801" s="33"/>
      <c r="E5801" s="33"/>
      <c r="F5801" s="33"/>
      <c r="G5801" s="33"/>
      <c r="H5801" s="33"/>
      <c r="I5801" s="33"/>
      <c r="J5801" s="33"/>
      <c r="K5801" s="33"/>
      <c r="L5801" s="33"/>
      <c r="M5801" s="33"/>
      <c r="N5801" s="33"/>
      <c r="O5801" s="33"/>
      <c r="P5801" s="33"/>
      <c r="Q5801" s="33"/>
      <c r="R5801" s="33"/>
      <c r="S5801" s="33"/>
      <c r="T5801" s="33"/>
      <c r="U5801" s="33"/>
      <c r="V5801" s="33"/>
      <c r="W5801" s="33"/>
      <c r="X5801" s="33"/>
      <c r="Y5801" s="33"/>
      <c r="Z5801" s="33"/>
      <c r="AA5801" s="33"/>
      <c r="AB5801" s="33"/>
      <c r="AC5801" s="33"/>
      <c r="AD5801" s="33"/>
      <c r="AE5801" s="33"/>
      <c r="AF5801" s="33"/>
      <c r="AG5801" s="33"/>
      <c r="AH5801" s="33"/>
      <c r="AI5801" s="33"/>
      <c r="AJ5801" s="33"/>
      <c r="AK5801" s="33"/>
    </row>
    <row r="5802">
      <c r="A5802" s="33"/>
      <c r="B5802" s="33"/>
      <c r="C5802" s="33"/>
      <c r="D5802" s="33"/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3"/>
      <c r="P5802" s="33"/>
      <c r="Q5802" s="33"/>
      <c r="R5802" s="33"/>
      <c r="S5802" s="33"/>
      <c r="T5802" s="33"/>
      <c r="U5802" s="33"/>
      <c r="V5802" s="33"/>
      <c r="W5802" s="33"/>
      <c r="X5802" s="33"/>
      <c r="Y5802" s="33"/>
      <c r="Z5802" s="33"/>
      <c r="AA5802" s="33"/>
      <c r="AB5802" s="33"/>
      <c r="AC5802" s="33"/>
      <c r="AD5802" s="33"/>
      <c r="AE5802" s="33"/>
      <c r="AF5802" s="33"/>
      <c r="AG5802" s="33"/>
      <c r="AH5802" s="33"/>
      <c r="AI5802" s="33"/>
      <c r="AJ5802" s="33"/>
      <c r="AK5802" s="33"/>
    </row>
    <row r="5803">
      <c r="A5803" s="33"/>
      <c r="B5803" s="33"/>
      <c r="C5803" s="33"/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3"/>
      <c r="X5803" s="33"/>
      <c r="Y5803" s="33"/>
      <c r="Z5803" s="33"/>
      <c r="AA5803" s="33"/>
      <c r="AB5803" s="33"/>
      <c r="AC5803" s="33"/>
      <c r="AD5803" s="33"/>
      <c r="AE5803" s="33"/>
      <c r="AF5803" s="33"/>
      <c r="AG5803" s="33"/>
      <c r="AH5803" s="33"/>
      <c r="AI5803" s="33"/>
      <c r="AJ5803" s="33"/>
      <c r="AK5803" s="33"/>
    </row>
    <row r="5804">
      <c r="A5804" s="33"/>
      <c r="B5804" s="33"/>
      <c r="C5804" s="33"/>
      <c r="D5804" s="33"/>
      <c r="E5804" s="33"/>
      <c r="F5804" s="33"/>
      <c r="G5804" s="33"/>
      <c r="H5804" s="33"/>
      <c r="I5804" s="33"/>
      <c r="J5804" s="33"/>
      <c r="K5804" s="33"/>
      <c r="L5804" s="33"/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/>
      <c r="X5804" s="33"/>
      <c r="Y5804" s="33"/>
      <c r="Z5804" s="33"/>
      <c r="AA5804" s="33"/>
      <c r="AB5804" s="33"/>
      <c r="AC5804" s="33"/>
      <c r="AD5804" s="33"/>
      <c r="AE5804" s="33"/>
      <c r="AF5804" s="33"/>
      <c r="AG5804" s="33"/>
      <c r="AH5804" s="33"/>
      <c r="AI5804" s="33"/>
      <c r="AJ5804" s="33"/>
      <c r="AK5804" s="33"/>
    </row>
    <row r="5805">
      <c r="A5805" s="33"/>
      <c r="B5805" s="33"/>
      <c r="C5805" s="33"/>
      <c r="D5805" s="33"/>
      <c r="E5805" s="33"/>
      <c r="F5805" s="33"/>
      <c r="G5805" s="33"/>
      <c r="H5805" s="33"/>
      <c r="I5805" s="33"/>
      <c r="J5805" s="33"/>
      <c r="K5805" s="33"/>
      <c r="L5805" s="33"/>
      <c r="M5805" s="33"/>
      <c r="N5805" s="33"/>
      <c r="O5805" s="33"/>
      <c r="P5805" s="33"/>
      <c r="Q5805" s="33"/>
      <c r="R5805" s="33"/>
      <c r="S5805" s="33"/>
      <c r="T5805" s="33"/>
      <c r="U5805" s="33"/>
      <c r="V5805" s="33"/>
      <c r="W5805" s="33"/>
      <c r="X5805" s="33"/>
      <c r="Y5805" s="33"/>
      <c r="Z5805" s="33"/>
      <c r="AA5805" s="33"/>
      <c r="AB5805" s="33"/>
      <c r="AC5805" s="33"/>
      <c r="AD5805" s="33"/>
      <c r="AE5805" s="33"/>
      <c r="AF5805" s="33"/>
      <c r="AG5805" s="33"/>
      <c r="AH5805" s="33"/>
      <c r="AI5805" s="33"/>
      <c r="AJ5805" s="33"/>
      <c r="AK5805" s="33"/>
    </row>
    <row r="5806">
      <c r="A5806" s="33"/>
      <c r="B5806" s="33"/>
      <c r="C5806" s="33"/>
      <c r="D5806" s="33"/>
      <c r="E5806" s="33"/>
      <c r="F5806" s="33"/>
      <c r="G5806" s="33"/>
      <c r="H5806" s="33"/>
      <c r="I5806" s="33"/>
      <c r="J5806" s="33"/>
      <c r="K5806" s="33"/>
      <c r="L5806" s="33"/>
      <c r="M5806" s="33"/>
      <c r="N5806" s="33"/>
      <c r="O5806" s="33"/>
      <c r="P5806" s="33"/>
      <c r="Q5806" s="33"/>
      <c r="R5806" s="33"/>
      <c r="S5806" s="33"/>
      <c r="T5806" s="33"/>
      <c r="U5806" s="33"/>
      <c r="V5806" s="33"/>
      <c r="W5806" s="33"/>
      <c r="X5806" s="33"/>
      <c r="Y5806" s="33"/>
      <c r="Z5806" s="33"/>
      <c r="AA5806" s="33"/>
      <c r="AB5806" s="33"/>
      <c r="AC5806" s="33"/>
      <c r="AD5806" s="33"/>
      <c r="AE5806" s="33"/>
      <c r="AF5806" s="33"/>
      <c r="AG5806" s="33"/>
      <c r="AH5806" s="33"/>
      <c r="AI5806" s="33"/>
      <c r="AJ5806" s="33"/>
      <c r="AK5806" s="33"/>
    </row>
    <row r="5807">
      <c r="A5807" s="33"/>
      <c r="B5807" s="33"/>
      <c r="C5807" s="33"/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3"/>
      <c r="X5807" s="33"/>
      <c r="Y5807" s="33"/>
      <c r="Z5807" s="33"/>
      <c r="AA5807" s="33"/>
      <c r="AB5807" s="33"/>
      <c r="AC5807" s="33"/>
      <c r="AD5807" s="33"/>
      <c r="AE5807" s="33"/>
      <c r="AF5807" s="33"/>
      <c r="AG5807" s="33"/>
      <c r="AH5807" s="33"/>
      <c r="AI5807" s="33"/>
      <c r="AJ5807" s="33"/>
      <c r="AK5807" s="33"/>
    </row>
    <row r="5808">
      <c r="A5808" s="33"/>
      <c r="B5808" s="33"/>
      <c r="C5808" s="33"/>
      <c r="D5808" s="33"/>
      <c r="E5808" s="33"/>
      <c r="F5808" s="33"/>
      <c r="G5808" s="33"/>
      <c r="H5808" s="33"/>
      <c r="I5808" s="33"/>
      <c r="J5808" s="33"/>
      <c r="K5808" s="33"/>
      <c r="L5808" s="33"/>
      <c r="M5808" s="33"/>
      <c r="N5808" s="33"/>
      <c r="O5808" s="33"/>
      <c r="P5808" s="33"/>
      <c r="Q5808" s="33"/>
      <c r="R5808" s="33"/>
      <c r="S5808" s="33"/>
      <c r="T5808" s="33"/>
      <c r="U5808" s="33"/>
      <c r="V5808" s="33"/>
      <c r="W5808" s="33"/>
      <c r="X5808" s="33"/>
      <c r="Y5808" s="33"/>
      <c r="Z5808" s="33"/>
      <c r="AA5808" s="33"/>
      <c r="AB5808" s="33"/>
      <c r="AC5808" s="33"/>
      <c r="AD5808" s="33"/>
      <c r="AE5808" s="33"/>
      <c r="AF5808" s="33"/>
      <c r="AG5808" s="33"/>
      <c r="AH5808" s="33"/>
      <c r="AI5808" s="33"/>
      <c r="AJ5808" s="33"/>
      <c r="AK5808" s="33"/>
    </row>
    <row r="5809">
      <c r="A5809" s="33"/>
      <c r="B5809" s="33"/>
      <c r="C5809" s="33"/>
      <c r="D5809" s="33"/>
      <c r="E5809" s="33"/>
      <c r="F5809" s="33"/>
      <c r="G5809" s="33"/>
      <c r="H5809" s="33"/>
      <c r="I5809" s="33"/>
      <c r="J5809" s="33"/>
      <c r="K5809" s="33"/>
      <c r="L5809" s="33"/>
      <c r="M5809" s="33"/>
      <c r="N5809" s="33"/>
      <c r="O5809" s="33"/>
      <c r="P5809" s="33"/>
      <c r="Q5809" s="33"/>
      <c r="R5809" s="33"/>
      <c r="S5809" s="33"/>
      <c r="T5809" s="33"/>
      <c r="U5809" s="33"/>
      <c r="V5809" s="33"/>
      <c r="W5809" s="33"/>
      <c r="X5809" s="33"/>
      <c r="Y5809" s="33"/>
      <c r="Z5809" s="33"/>
      <c r="AA5809" s="33"/>
      <c r="AB5809" s="33"/>
      <c r="AC5809" s="33"/>
      <c r="AD5809" s="33"/>
      <c r="AE5809" s="33"/>
      <c r="AF5809" s="33"/>
      <c r="AG5809" s="33"/>
      <c r="AH5809" s="33"/>
      <c r="AI5809" s="33"/>
      <c r="AJ5809" s="33"/>
      <c r="AK5809" s="33"/>
    </row>
    <row r="5810">
      <c r="A5810" s="33"/>
      <c r="B5810" s="33"/>
      <c r="C5810" s="33"/>
      <c r="D5810" s="33"/>
      <c r="E5810" s="33"/>
      <c r="F5810" s="33"/>
      <c r="G5810" s="33"/>
      <c r="H5810" s="33"/>
      <c r="I5810" s="33"/>
      <c r="J5810" s="33"/>
      <c r="K5810" s="33"/>
      <c r="L5810" s="33"/>
      <c r="M5810" s="33"/>
      <c r="N5810" s="33"/>
      <c r="O5810" s="33"/>
      <c r="P5810" s="33"/>
      <c r="Q5810" s="33"/>
      <c r="R5810" s="33"/>
      <c r="S5810" s="33"/>
      <c r="T5810" s="33"/>
      <c r="U5810" s="33"/>
      <c r="V5810" s="33"/>
      <c r="W5810" s="33"/>
      <c r="X5810" s="33"/>
      <c r="Y5810" s="33"/>
      <c r="Z5810" s="33"/>
      <c r="AA5810" s="33"/>
      <c r="AB5810" s="33"/>
      <c r="AC5810" s="33"/>
      <c r="AD5810" s="33"/>
      <c r="AE5810" s="33"/>
      <c r="AF5810" s="33"/>
      <c r="AG5810" s="33"/>
      <c r="AH5810" s="33"/>
      <c r="AI5810" s="33"/>
      <c r="AJ5810" s="33"/>
      <c r="AK5810" s="33"/>
    </row>
    <row r="5811">
      <c r="A5811" s="33"/>
      <c r="B5811" s="33"/>
      <c r="C5811" s="33"/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3"/>
      <c r="X5811" s="33"/>
      <c r="Y5811" s="33"/>
      <c r="Z5811" s="33"/>
      <c r="AA5811" s="33"/>
      <c r="AB5811" s="33"/>
      <c r="AC5811" s="33"/>
      <c r="AD5811" s="33"/>
      <c r="AE5811" s="33"/>
      <c r="AF5811" s="33"/>
      <c r="AG5811" s="33"/>
      <c r="AH5811" s="33"/>
      <c r="AI5811" s="33"/>
      <c r="AJ5811" s="33"/>
      <c r="AK5811" s="33"/>
    </row>
    <row r="5812">
      <c r="A5812" s="33"/>
      <c r="B5812" s="33"/>
      <c r="C5812" s="33"/>
      <c r="D5812" s="33"/>
      <c r="E5812" s="33"/>
      <c r="F5812" s="33"/>
      <c r="G5812" s="33"/>
      <c r="H5812" s="33"/>
      <c r="I5812" s="33"/>
      <c r="J5812" s="33"/>
      <c r="K5812" s="33"/>
      <c r="L5812" s="33"/>
      <c r="M5812" s="33"/>
      <c r="N5812" s="33"/>
      <c r="O5812" s="33"/>
      <c r="P5812" s="33"/>
      <c r="Q5812" s="33"/>
      <c r="R5812" s="33"/>
      <c r="S5812" s="33"/>
      <c r="T5812" s="33"/>
      <c r="U5812" s="33"/>
      <c r="V5812" s="33"/>
      <c r="W5812" s="33"/>
      <c r="X5812" s="33"/>
      <c r="Y5812" s="33"/>
      <c r="Z5812" s="33"/>
      <c r="AA5812" s="33"/>
      <c r="AB5812" s="33"/>
      <c r="AC5812" s="33"/>
      <c r="AD5812" s="33"/>
      <c r="AE5812" s="33"/>
      <c r="AF5812" s="33"/>
      <c r="AG5812" s="33"/>
      <c r="AH5812" s="33"/>
      <c r="AI5812" s="33"/>
      <c r="AJ5812" s="33"/>
      <c r="AK5812" s="33"/>
    </row>
    <row r="5813">
      <c r="A5813" s="33"/>
      <c r="B5813" s="33"/>
      <c r="C5813" s="33"/>
      <c r="D5813" s="33"/>
      <c r="E5813" s="33"/>
      <c r="F5813" s="33"/>
      <c r="G5813" s="33"/>
      <c r="H5813" s="33"/>
      <c r="I5813" s="33"/>
      <c r="J5813" s="33"/>
      <c r="K5813" s="33"/>
      <c r="L5813" s="33"/>
      <c r="M5813" s="33"/>
      <c r="N5813" s="33"/>
      <c r="O5813" s="33"/>
      <c r="P5813" s="33"/>
      <c r="Q5813" s="33"/>
      <c r="R5813" s="33"/>
      <c r="S5813" s="33"/>
      <c r="T5813" s="33"/>
      <c r="U5813" s="33"/>
      <c r="V5813" s="33"/>
      <c r="W5813" s="33"/>
      <c r="X5813" s="33"/>
      <c r="Y5813" s="33"/>
      <c r="Z5813" s="33"/>
      <c r="AA5813" s="33"/>
      <c r="AB5813" s="33"/>
      <c r="AC5813" s="33"/>
      <c r="AD5813" s="33"/>
      <c r="AE5813" s="33"/>
      <c r="AF5813" s="33"/>
      <c r="AG5813" s="33"/>
      <c r="AH5813" s="33"/>
      <c r="AI5813" s="33"/>
      <c r="AJ5813" s="33"/>
      <c r="AK5813" s="33"/>
    </row>
    <row r="5814">
      <c r="A5814" s="33"/>
      <c r="B5814" s="33"/>
      <c r="C5814" s="33"/>
      <c r="D5814" s="33"/>
      <c r="E5814" s="33"/>
      <c r="F5814" s="33"/>
      <c r="G5814" s="33"/>
      <c r="H5814" s="33"/>
      <c r="I5814" s="33"/>
      <c r="J5814" s="33"/>
      <c r="K5814" s="33"/>
      <c r="L5814" s="33"/>
      <c r="M5814" s="33"/>
      <c r="N5814" s="33"/>
      <c r="O5814" s="33"/>
      <c r="P5814" s="33"/>
      <c r="Q5814" s="33"/>
      <c r="R5814" s="33"/>
      <c r="S5814" s="33"/>
      <c r="T5814" s="33"/>
      <c r="U5814" s="33"/>
      <c r="V5814" s="33"/>
      <c r="W5814" s="33"/>
      <c r="X5814" s="33"/>
      <c r="Y5814" s="33"/>
      <c r="Z5814" s="33"/>
      <c r="AA5814" s="33"/>
      <c r="AB5814" s="33"/>
      <c r="AC5814" s="33"/>
      <c r="AD5814" s="33"/>
      <c r="AE5814" s="33"/>
      <c r="AF5814" s="33"/>
      <c r="AG5814" s="33"/>
      <c r="AH5814" s="33"/>
      <c r="AI5814" s="33"/>
      <c r="AJ5814" s="33"/>
      <c r="AK5814" s="33"/>
    </row>
    <row r="5815">
      <c r="A5815" s="33"/>
      <c r="B5815" s="33"/>
      <c r="C5815" s="33"/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3"/>
      <c r="X5815" s="33"/>
      <c r="Y5815" s="33"/>
      <c r="Z5815" s="33"/>
      <c r="AA5815" s="33"/>
      <c r="AB5815" s="33"/>
      <c r="AC5815" s="33"/>
      <c r="AD5815" s="33"/>
      <c r="AE5815" s="33"/>
      <c r="AF5815" s="33"/>
      <c r="AG5815" s="33"/>
      <c r="AH5815" s="33"/>
      <c r="AI5815" s="33"/>
      <c r="AJ5815" s="33"/>
      <c r="AK5815" s="33"/>
    </row>
    <row r="5816">
      <c r="A5816" s="33"/>
      <c r="B5816" s="33"/>
      <c r="C5816" s="33"/>
      <c r="D5816" s="33"/>
      <c r="E5816" s="33"/>
      <c r="F5816" s="33"/>
      <c r="G5816" s="33"/>
      <c r="H5816" s="33"/>
      <c r="I5816" s="33"/>
      <c r="J5816" s="33"/>
      <c r="K5816" s="33"/>
      <c r="L5816" s="33"/>
      <c r="M5816" s="33"/>
      <c r="N5816" s="33"/>
      <c r="O5816" s="33"/>
      <c r="P5816" s="33"/>
      <c r="Q5816" s="33"/>
      <c r="R5816" s="33"/>
      <c r="S5816" s="33"/>
      <c r="T5816" s="33"/>
      <c r="U5816" s="33"/>
      <c r="V5816" s="33"/>
      <c r="W5816" s="33"/>
      <c r="X5816" s="33"/>
      <c r="Y5816" s="33"/>
      <c r="Z5816" s="33"/>
      <c r="AA5816" s="33"/>
      <c r="AB5816" s="33"/>
      <c r="AC5816" s="33"/>
      <c r="AD5816" s="33"/>
      <c r="AE5816" s="33"/>
      <c r="AF5816" s="33"/>
      <c r="AG5816" s="33"/>
      <c r="AH5816" s="33"/>
      <c r="AI5816" s="33"/>
      <c r="AJ5816" s="33"/>
      <c r="AK5816" s="33"/>
    </row>
    <row r="5817">
      <c r="A5817" s="33"/>
      <c r="B5817" s="33"/>
      <c r="C5817" s="33"/>
      <c r="D5817" s="33"/>
      <c r="E5817" s="33"/>
      <c r="F5817" s="33"/>
      <c r="G5817" s="33"/>
      <c r="H5817" s="33"/>
      <c r="I5817" s="33"/>
      <c r="J5817" s="33"/>
      <c r="K5817" s="33"/>
      <c r="L5817" s="33"/>
      <c r="M5817" s="33"/>
      <c r="N5817" s="33"/>
      <c r="O5817" s="33"/>
      <c r="P5817" s="33"/>
      <c r="Q5817" s="33"/>
      <c r="R5817" s="33"/>
      <c r="S5817" s="33"/>
      <c r="T5817" s="33"/>
      <c r="U5817" s="33"/>
      <c r="V5817" s="33"/>
      <c r="W5817" s="33"/>
      <c r="X5817" s="33"/>
      <c r="Y5817" s="33"/>
      <c r="Z5817" s="33"/>
      <c r="AA5817" s="33"/>
      <c r="AB5817" s="33"/>
      <c r="AC5817" s="33"/>
      <c r="AD5817" s="33"/>
      <c r="AE5817" s="33"/>
      <c r="AF5817" s="33"/>
      <c r="AG5817" s="33"/>
      <c r="AH5817" s="33"/>
      <c r="AI5817" s="33"/>
      <c r="AJ5817" s="33"/>
      <c r="AK5817" s="33"/>
    </row>
    <row r="5818">
      <c r="A5818" s="33"/>
      <c r="B5818" s="33"/>
      <c r="C5818" s="33"/>
      <c r="D5818" s="33"/>
      <c r="E5818" s="33"/>
      <c r="F5818" s="33"/>
      <c r="G5818" s="33"/>
      <c r="H5818" s="33"/>
      <c r="I5818" s="33"/>
      <c r="J5818" s="33"/>
      <c r="K5818" s="33"/>
      <c r="L5818" s="33"/>
      <c r="M5818" s="33"/>
      <c r="N5818" s="33"/>
      <c r="O5818" s="33"/>
      <c r="P5818" s="33"/>
      <c r="Q5818" s="33"/>
      <c r="R5818" s="33"/>
      <c r="S5818" s="33"/>
      <c r="T5818" s="33"/>
      <c r="U5818" s="33"/>
      <c r="V5818" s="33"/>
      <c r="W5818" s="33"/>
      <c r="X5818" s="33"/>
      <c r="Y5818" s="33"/>
      <c r="Z5818" s="33"/>
      <c r="AA5818" s="33"/>
      <c r="AB5818" s="33"/>
      <c r="AC5818" s="33"/>
      <c r="AD5818" s="33"/>
      <c r="AE5818" s="33"/>
      <c r="AF5818" s="33"/>
      <c r="AG5818" s="33"/>
      <c r="AH5818" s="33"/>
      <c r="AI5818" s="33"/>
      <c r="AJ5818" s="33"/>
      <c r="AK5818" s="33"/>
    </row>
    <row r="5819">
      <c r="A5819" s="33"/>
      <c r="B5819" s="33"/>
      <c r="C5819" s="33"/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3"/>
      <c r="X5819" s="33"/>
      <c r="Y5819" s="33"/>
      <c r="Z5819" s="33"/>
      <c r="AA5819" s="33"/>
      <c r="AB5819" s="33"/>
      <c r="AC5819" s="33"/>
      <c r="AD5819" s="33"/>
      <c r="AE5819" s="33"/>
      <c r="AF5819" s="33"/>
      <c r="AG5819" s="33"/>
      <c r="AH5819" s="33"/>
      <c r="AI5819" s="33"/>
      <c r="AJ5819" s="33"/>
      <c r="AK5819" s="33"/>
    </row>
    <row r="5820">
      <c r="A5820" s="33"/>
      <c r="B5820" s="33"/>
      <c r="C5820" s="33"/>
      <c r="D5820" s="33"/>
      <c r="E5820" s="33"/>
      <c r="F5820" s="33"/>
      <c r="G5820" s="33"/>
      <c r="H5820" s="33"/>
      <c r="I5820" s="33"/>
      <c r="J5820" s="33"/>
      <c r="K5820" s="33"/>
      <c r="L5820" s="33"/>
      <c r="M5820" s="33"/>
      <c r="N5820" s="33"/>
      <c r="O5820" s="33"/>
      <c r="P5820" s="33"/>
      <c r="Q5820" s="33"/>
      <c r="R5820" s="33"/>
      <c r="S5820" s="33"/>
      <c r="T5820" s="33"/>
      <c r="U5820" s="33"/>
      <c r="V5820" s="33"/>
      <c r="W5820" s="33"/>
      <c r="X5820" s="33"/>
      <c r="Y5820" s="33"/>
      <c r="Z5820" s="33"/>
      <c r="AA5820" s="33"/>
      <c r="AB5820" s="33"/>
      <c r="AC5820" s="33"/>
      <c r="AD5820" s="33"/>
      <c r="AE5820" s="33"/>
      <c r="AF5820" s="33"/>
      <c r="AG5820" s="33"/>
      <c r="AH5820" s="33"/>
      <c r="AI5820" s="33"/>
      <c r="AJ5820" s="33"/>
      <c r="AK5820" s="33"/>
    </row>
    <row r="5821">
      <c r="A5821" s="33"/>
      <c r="B5821" s="33"/>
      <c r="C5821" s="33"/>
      <c r="D5821" s="33"/>
      <c r="E5821" s="33"/>
      <c r="F5821" s="33"/>
      <c r="G5821" s="33"/>
      <c r="H5821" s="33"/>
      <c r="I5821" s="33"/>
      <c r="J5821" s="33"/>
      <c r="K5821" s="33"/>
      <c r="L5821" s="33"/>
      <c r="M5821" s="33"/>
      <c r="N5821" s="33"/>
      <c r="O5821" s="33"/>
      <c r="P5821" s="33"/>
      <c r="Q5821" s="33"/>
      <c r="R5821" s="33"/>
      <c r="S5821" s="33"/>
      <c r="T5821" s="33"/>
      <c r="U5821" s="33"/>
      <c r="V5821" s="33"/>
      <c r="W5821" s="33"/>
      <c r="X5821" s="33"/>
      <c r="Y5821" s="33"/>
      <c r="Z5821" s="33"/>
      <c r="AA5821" s="33"/>
      <c r="AB5821" s="33"/>
      <c r="AC5821" s="33"/>
      <c r="AD5821" s="33"/>
      <c r="AE5821" s="33"/>
      <c r="AF5821" s="33"/>
      <c r="AG5821" s="33"/>
      <c r="AH5821" s="33"/>
      <c r="AI5821" s="33"/>
      <c r="AJ5821" s="33"/>
      <c r="AK5821" s="33"/>
    </row>
    <row r="5822">
      <c r="A5822" s="33"/>
      <c r="B5822" s="33"/>
      <c r="C5822" s="33"/>
      <c r="D5822" s="33"/>
      <c r="E5822" s="33"/>
      <c r="F5822" s="33"/>
      <c r="G5822" s="33"/>
      <c r="H5822" s="33"/>
      <c r="I5822" s="33"/>
      <c r="J5822" s="33"/>
      <c r="K5822" s="33"/>
      <c r="L5822" s="33"/>
      <c r="M5822" s="33"/>
      <c r="N5822" s="33"/>
      <c r="O5822" s="33"/>
      <c r="P5822" s="33"/>
      <c r="Q5822" s="33"/>
      <c r="R5822" s="33"/>
      <c r="S5822" s="33"/>
      <c r="T5822" s="33"/>
      <c r="U5822" s="33"/>
      <c r="V5822" s="33"/>
      <c r="W5822" s="33"/>
      <c r="X5822" s="33"/>
      <c r="Y5822" s="33"/>
      <c r="Z5822" s="33"/>
      <c r="AA5822" s="33"/>
      <c r="AB5822" s="33"/>
      <c r="AC5822" s="33"/>
      <c r="AD5822" s="33"/>
      <c r="AE5822" s="33"/>
      <c r="AF5822" s="33"/>
      <c r="AG5822" s="33"/>
      <c r="AH5822" s="33"/>
      <c r="AI5822" s="33"/>
      <c r="AJ5822" s="33"/>
      <c r="AK5822" s="33"/>
    </row>
    <row r="5823">
      <c r="A5823" s="33"/>
      <c r="B5823" s="33"/>
      <c r="C5823" s="33"/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3"/>
      <c r="X5823" s="33"/>
      <c r="Y5823" s="33"/>
      <c r="Z5823" s="33"/>
      <c r="AA5823" s="33"/>
      <c r="AB5823" s="33"/>
      <c r="AC5823" s="33"/>
      <c r="AD5823" s="33"/>
      <c r="AE5823" s="33"/>
      <c r="AF5823" s="33"/>
      <c r="AG5823" s="33"/>
      <c r="AH5823" s="33"/>
      <c r="AI5823" s="33"/>
      <c r="AJ5823" s="33"/>
      <c r="AK5823" s="33"/>
    </row>
    <row r="5824">
      <c r="A5824" s="33"/>
      <c r="B5824" s="33"/>
      <c r="C5824" s="33"/>
      <c r="D5824" s="33"/>
      <c r="E5824" s="33"/>
      <c r="F5824" s="33"/>
      <c r="G5824" s="33"/>
      <c r="H5824" s="33"/>
      <c r="I5824" s="33"/>
      <c r="J5824" s="33"/>
      <c r="K5824" s="33"/>
      <c r="L5824" s="33"/>
      <c r="M5824" s="33"/>
      <c r="N5824" s="33"/>
      <c r="O5824" s="33"/>
      <c r="P5824" s="33"/>
      <c r="Q5824" s="33"/>
      <c r="R5824" s="33"/>
      <c r="S5824" s="33"/>
      <c r="T5824" s="33"/>
      <c r="U5824" s="33"/>
      <c r="V5824" s="33"/>
      <c r="W5824" s="33"/>
      <c r="X5824" s="33"/>
      <c r="Y5824" s="33"/>
      <c r="Z5824" s="33"/>
      <c r="AA5824" s="33"/>
      <c r="AB5824" s="33"/>
      <c r="AC5824" s="33"/>
      <c r="AD5824" s="33"/>
      <c r="AE5824" s="33"/>
      <c r="AF5824" s="33"/>
      <c r="AG5824" s="33"/>
      <c r="AH5824" s="33"/>
      <c r="AI5824" s="33"/>
      <c r="AJ5824" s="33"/>
      <c r="AK5824" s="33"/>
    </row>
    <row r="5825">
      <c r="A5825" s="33"/>
      <c r="B5825" s="33"/>
      <c r="C5825" s="33"/>
      <c r="D5825" s="33"/>
      <c r="E5825" s="33"/>
      <c r="F5825" s="33"/>
      <c r="G5825" s="33"/>
      <c r="H5825" s="33"/>
      <c r="I5825" s="33"/>
      <c r="J5825" s="33"/>
      <c r="K5825" s="33"/>
      <c r="L5825" s="33"/>
      <c r="M5825" s="33"/>
      <c r="N5825" s="33"/>
      <c r="O5825" s="33"/>
      <c r="P5825" s="33"/>
      <c r="Q5825" s="33"/>
      <c r="R5825" s="33"/>
      <c r="S5825" s="33"/>
      <c r="T5825" s="33"/>
      <c r="U5825" s="33"/>
      <c r="V5825" s="33"/>
      <c r="W5825" s="33"/>
      <c r="X5825" s="33"/>
      <c r="Y5825" s="33"/>
      <c r="Z5825" s="33"/>
      <c r="AA5825" s="33"/>
      <c r="AB5825" s="33"/>
      <c r="AC5825" s="33"/>
      <c r="AD5825" s="33"/>
      <c r="AE5825" s="33"/>
      <c r="AF5825" s="33"/>
      <c r="AG5825" s="33"/>
      <c r="AH5825" s="33"/>
      <c r="AI5825" s="33"/>
      <c r="AJ5825" s="33"/>
      <c r="AK5825" s="33"/>
    </row>
    <row r="5826">
      <c r="A5826" s="33"/>
      <c r="B5826" s="33"/>
      <c r="C5826" s="33"/>
      <c r="D5826" s="33"/>
      <c r="E5826" s="33"/>
      <c r="F5826" s="33"/>
      <c r="G5826" s="33"/>
      <c r="H5826" s="33"/>
      <c r="I5826" s="33"/>
      <c r="J5826" s="33"/>
      <c r="K5826" s="33"/>
      <c r="L5826" s="33"/>
      <c r="M5826" s="33"/>
      <c r="N5826" s="33"/>
      <c r="O5826" s="33"/>
      <c r="P5826" s="33"/>
      <c r="Q5826" s="33"/>
      <c r="R5826" s="33"/>
      <c r="S5826" s="33"/>
      <c r="T5826" s="33"/>
      <c r="U5826" s="33"/>
      <c r="V5826" s="33"/>
      <c r="W5826" s="33"/>
      <c r="X5826" s="33"/>
      <c r="Y5826" s="33"/>
      <c r="Z5826" s="33"/>
      <c r="AA5826" s="33"/>
      <c r="AB5826" s="33"/>
      <c r="AC5826" s="33"/>
      <c r="AD5826" s="33"/>
      <c r="AE5826" s="33"/>
      <c r="AF5826" s="33"/>
      <c r="AG5826" s="33"/>
      <c r="AH5826" s="33"/>
      <c r="AI5826" s="33"/>
      <c r="AJ5826" s="33"/>
      <c r="AK5826" s="33"/>
    </row>
    <row r="5827">
      <c r="A5827" s="33"/>
      <c r="B5827" s="33"/>
      <c r="C5827" s="33"/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3"/>
      <c r="X5827" s="33"/>
      <c r="Y5827" s="33"/>
      <c r="Z5827" s="33"/>
      <c r="AA5827" s="33"/>
      <c r="AB5827" s="33"/>
      <c r="AC5827" s="33"/>
      <c r="AD5827" s="33"/>
      <c r="AE5827" s="33"/>
      <c r="AF5827" s="33"/>
      <c r="AG5827" s="33"/>
      <c r="AH5827" s="33"/>
      <c r="AI5827" s="33"/>
      <c r="AJ5827" s="33"/>
      <c r="AK5827" s="33"/>
    </row>
    <row r="5828">
      <c r="A5828" s="33"/>
      <c r="B5828" s="33"/>
      <c r="C5828" s="33"/>
      <c r="D5828" s="33"/>
      <c r="E5828" s="33"/>
      <c r="F5828" s="33"/>
      <c r="G5828" s="33"/>
      <c r="H5828" s="33"/>
      <c r="I5828" s="33"/>
      <c r="J5828" s="33"/>
      <c r="K5828" s="33"/>
      <c r="L5828" s="33"/>
      <c r="M5828" s="33"/>
      <c r="N5828" s="33"/>
      <c r="O5828" s="33"/>
      <c r="P5828" s="33"/>
      <c r="Q5828" s="33"/>
      <c r="R5828" s="33"/>
      <c r="S5828" s="33"/>
      <c r="T5828" s="33"/>
      <c r="U5828" s="33"/>
      <c r="V5828" s="33"/>
      <c r="W5828" s="33"/>
      <c r="X5828" s="33"/>
      <c r="Y5828" s="33"/>
      <c r="Z5828" s="33"/>
      <c r="AA5828" s="33"/>
      <c r="AB5828" s="33"/>
      <c r="AC5828" s="33"/>
      <c r="AD5828" s="33"/>
      <c r="AE5828" s="33"/>
      <c r="AF5828" s="33"/>
      <c r="AG5828" s="33"/>
      <c r="AH5828" s="33"/>
      <c r="AI5828" s="33"/>
      <c r="AJ5828" s="33"/>
      <c r="AK5828" s="33"/>
    </row>
    <row r="5829">
      <c r="A5829" s="33"/>
      <c r="B5829" s="33"/>
      <c r="C5829" s="33"/>
      <c r="D5829" s="33"/>
      <c r="E5829" s="33"/>
      <c r="F5829" s="33"/>
      <c r="G5829" s="33"/>
      <c r="H5829" s="33"/>
      <c r="I5829" s="33"/>
      <c r="J5829" s="33"/>
      <c r="K5829" s="33"/>
      <c r="L5829" s="33"/>
      <c r="M5829" s="33"/>
      <c r="N5829" s="33"/>
      <c r="O5829" s="33"/>
      <c r="P5829" s="33"/>
      <c r="Q5829" s="33"/>
      <c r="R5829" s="33"/>
      <c r="S5829" s="33"/>
      <c r="T5829" s="33"/>
      <c r="U5829" s="33"/>
      <c r="V5829" s="33"/>
      <c r="W5829" s="33"/>
      <c r="X5829" s="33"/>
      <c r="Y5829" s="33"/>
      <c r="Z5829" s="33"/>
      <c r="AA5829" s="33"/>
      <c r="AB5829" s="33"/>
      <c r="AC5829" s="33"/>
      <c r="AD5829" s="33"/>
      <c r="AE5829" s="33"/>
      <c r="AF5829" s="33"/>
      <c r="AG5829" s="33"/>
      <c r="AH5829" s="33"/>
      <c r="AI5829" s="33"/>
      <c r="AJ5829" s="33"/>
      <c r="AK5829" s="33"/>
    </row>
    <row r="5830">
      <c r="A5830" s="33"/>
      <c r="B5830" s="33"/>
      <c r="C5830" s="33"/>
      <c r="D5830" s="33"/>
      <c r="E5830" s="33"/>
      <c r="F5830" s="33"/>
      <c r="G5830" s="33"/>
      <c r="H5830" s="33"/>
      <c r="I5830" s="33"/>
      <c r="J5830" s="33"/>
      <c r="K5830" s="33"/>
      <c r="L5830" s="33"/>
      <c r="M5830" s="33"/>
      <c r="N5830" s="33"/>
      <c r="O5830" s="33"/>
      <c r="P5830" s="33"/>
      <c r="Q5830" s="33"/>
      <c r="R5830" s="33"/>
      <c r="S5830" s="33"/>
      <c r="T5830" s="33"/>
      <c r="U5830" s="33"/>
      <c r="V5830" s="33"/>
      <c r="W5830" s="33"/>
      <c r="X5830" s="33"/>
      <c r="Y5830" s="33"/>
      <c r="Z5830" s="33"/>
      <c r="AA5830" s="33"/>
      <c r="AB5830" s="33"/>
      <c r="AC5830" s="33"/>
      <c r="AD5830" s="33"/>
      <c r="AE5830" s="33"/>
      <c r="AF5830" s="33"/>
      <c r="AG5830" s="33"/>
      <c r="AH5830" s="33"/>
      <c r="AI5830" s="33"/>
      <c r="AJ5830" s="33"/>
      <c r="AK5830" s="33"/>
    </row>
    <row r="5831">
      <c r="A5831" s="33"/>
      <c r="B5831" s="33"/>
      <c r="C5831" s="33"/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3"/>
      <c r="X5831" s="33"/>
      <c r="Y5831" s="33"/>
      <c r="Z5831" s="33"/>
      <c r="AA5831" s="33"/>
      <c r="AB5831" s="33"/>
      <c r="AC5831" s="33"/>
      <c r="AD5831" s="33"/>
      <c r="AE5831" s="33"/>
      <c r="AF5831" s="33"/>
      <c r="AG5831" s="33"/>
      <c r="AH5831" s="33"/>
      <c r="AI5831" s="33"/>
      <c r="AJ5831" s="33"/>
      <c r="AK5831" s="33"/>
    </row>
    <row r="5832">
      <c r="A5832" s="33"/>
      <c r="B5832" s="33"/>
      <c r="C5832" s="33"/>
      <c r="D5832" s="33"/>
      <c r="E5832" s="33"/>
      <c r="F5832" s="33"/>
      <c r="G5832" s="33"/>
      <c r="H5832" s="33"/>
      <c r="I5832" s="33"/>
      <c r="J5832" s="33"/>
      <c r="K5832" s="33"/>
      <c r="L5832" s="33"/>
      <c r="M5832" s="33"/>
      <c r="N5832" s="33"/>
      <c r="O5832" s="33"/>
      <c r="P5832" s="33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  <c r="AG5832" s="33"/>
      <c r="AH5832" s="33"/>
      <c r="AI5832" s="33"/>
      <c r="AJ5832" s="33"/>
      <c r="AK5832" s="33"/>
    </row>
    <row r="5833">
      <c r="A5833" s="33"/>
      <c r="B5833" s="33"/>
      <c r="C5833" s="33"/>
      <c r="D5833" s="33"/>
      <c r="E5833" s="33"/>
      <c r="F5833" s="33"/>
      <c r="G5833" s="33"/>
      <c r="H5833" s="33"/>
      <c r="I5833" s="33"/>
      <c r="J5833" s="33"/>
      <c r="K5833" s="33"/>
      <c r="L5833" s="33"/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  <c r="AG5833" s="33"/>
      <c r="AH5833" s="33"/>
      <c r="AI5833" s="33"/>
      <c r="AJ5833" s="33"/>
      <c r="AK5833" s="33"/>
    </row>
    <row r="5834">
      <c r="A5834" s="33"/>
      <c r="B5834" s="33"/>
      <c r="C5834" s="33"/>
      <c r="D5834" s="33"/>
      <c r="E5834" s="33"/>
      <c r="F5834" s="33"/>
      <c r="G5834" s="33"/>
      <c r="H5834" s="33"/>
      <c r="I5834" s="33"/>
      <c r="J5834" s="33"/>
      <c r="K5834" s="33"/>
      <c r="L5834" s="33"/>
      <c r="M5834" s="33"/>
      <c r="N5834" s="33"/>
      <c r="O5834" s="33"/>
      <c r="P5834" s="33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  <c r="AG5834" s="33"/>
      <c r="AH5834" s="33"/>
      <c r="AI5834" s="33"/>
      <c r="AJ5834" s="33"/>
      <c r="AK5834" s="33"/>
    </row>
    <row r="5835">
      <c r="A5835" s="33"/>
      <c r="B5835" s="33"/>
      <c r="C5835" s="33"/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  <c r="AG5835" s="33"/>
      <c r="AH5835" s="33"/>
      <c r="AI5835" s="33"/>
      <c r="AJ5835" s="33"/>
      <c r="AK5835" s="33"/>
    </row>
    <row r="5836">
      <c r="A5836" s="33"/>
      <c r="B5836" s="33"/>
      <c r="C5836" s="33"/>
      <c r="D5836" s="33"/>
      <c r="E5836" s="33"/>
      <c r="F5836" s="33"/>
      <c r="G5836" s="33"/>
      <c r="H5836" s="33"/>
      <c r="I5836" s="33"/>
      <c r="J5836" s="33"/>
      <c r="K5836" s="33"/>
      <c r="L5836" s="33"/>
      <c r="M5836" s="33"/>
      <c r="N5836" s="33"/>
      <c r="O5836" s="33"/>
      <c r="P5836" s="33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  <c r="AG5836" s="33"/>
      <c r="AH5836" s="33"/>
      <c r="AI5836" s="33"/>
      <c r="AJ5836" s="33"/>
      <c r="AK5836" s="33"/>
    </row>
    <row r="5837">
      <c r="A5837" s="33"/>
      <c r="B5837" s="33"/>
      <c r="C5837" s="33"/>
      <c r="D5837" s="33"/>
      <c r="E5837" s="33"/>
      <c r="F5837" s="33"/>
      <c r="G5837" s="33"/>
      <c r="H5837" s="33"/>
      <c r="I5837" s="33"/>
      <c r="J5837" s="33"/>
      <c r="K5837" s="33"/>
      <c r="L5837" s="33"/>
      <c r="M5837" s="33"/>
      <c r="N5837" s="33"/>
      <c r="O5837" s="33"/>
      <c r="P5837" s="33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  <c r="AG5837" s="33"/>
      <c r="AH5837" s="33"/>
      <c r="AI5837" s="33"/>
      <c r="AJ5837" s="33"/>
      <c r="AK5837" s="33"/>
    </row>
    <row r="5838">
      <c r="A5838" s="33"/>
      <c r="B5838" s="33"/>
      <c r="C5838" s="33"/>
      <c r="D5838" s="33"/>
      <c r="E5838" s="33"/>
      <c r="F5838" s="33"/>
      <c r="G5838" s="33"/>
      <c r="H5838" s="33"/>
      <c r="I5838" s="33"/>
      <c r="J5838" s="33"/>
      <c r="K5838" s="33"/>
      <c r="L5838" s="33"/>
      <c r="M5838" s="33"/>
      <c r="N5838" s="33"/>
      <c r="O5838" s="33"/>
      <c r="P5838" s="33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  <c r="AG5838" s="33"/>
      <c r="AH5838" s="33"/>
      <c r="AI5838" s="33"/>
      <c r="AJ5838" s="33"/>
      <c r="AK5838" s="33"/>
    </row>
    <row r="5839">
      <c r="A5839" s="33"/>
      <c r="B5839" s="33"/>
      <c r="C5839" s="33"/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  <c r="AG5839" s="33"/>
      <c r="AH5839" s="33"/>
      <c r="AI5839" s="33"/>
      <c r="AJ5839" s="33"/>
      <c r="AK5839" s="33"/>
    </row>
    <row r="5840">
      <c r="A5840" s="33"/>
      <c r="B5840" s="33"/>
      <c r="C5840" s="33"/>
      <c r="D5840" s="33"/>
      <c r="E5840" s="33"/>
      <c r="F5840" s="33"/>
      <c r="G5840" s="33"/>
      <c r="H5840" s="33"/>
      <c r="I5840" s="33"/>
      <c r="J5840" s="33"/>
      <c r="K5840" s="33"/>
      <c r="L5840" s="33"/>
      <c r="M5840" s="33"/>
      <c r="N5840" s="33"/>
      <c r="O5840" s="33"/>
      <c r="P5840" s="33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  <c r="AG5840" s="33"/>
      <c r="AH5840" s="33"/>
      <c r="AI5840" s="33"/>
      <c r="AJ5840" s="33"/>
      <c r="AK5840" s="33"/>
    </row>
    <row r="5841">
      <c r="A5841" s="33"/>
      <c r="B5841" s="33"/>
      <c r="C5841" s="33"/>
      <c r="D5841" s="33"/>
      <c r="E5841" s="33"/>
      <c r="F5841" s="33"/>
      <c r="G5841" s="33"/>
      <c r="H5841" s="33"/>
      <c r="I5841" s="33"/>
      <c r="J5841" s="33"/>
      <c r="K5841" s="33"/>
      <c r="L5841" s="33"/>
      <c r="M5841" s="33"/>
      <c r="N5841" s="33"/>
      <c r="O5841" s="33"/>
      <c r="P5841" s="33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  <c r="AG5841" s="33"/>
      <c r="AH5841" s="33"/>
      <c r="AI5841" s="33"/>
      <c r="AJ5841" s="33"/>
      <c r="AK5841" s="33"/>
    </row>
    <row r="5842">
      <c r="A5842" s="33"/>
      <c r="B5842" s="33"/>
      <c r="C5842" s="33"/>
      <c r="D5842" s="33"/>
      <c r="E5842" s="33"/>
      <c r="F5842" s="33"/>
      <c r="G5842" s="33"/>
      <c r="H5842" s="33"/>
      <c r="I5842" s="33"/>
      <c r="J5842" s="33"/>
      <c r="K5842" s="33"/>
      <c r="L5842" s="33"/>
      <c r="M5842" s="33"/>
      <c r="N5842" s="33"/>
      <c r="O5842" s="33"/>
      <c r="P5842" s="33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  <c r="AG5842" s="33"/>
      <c r="AH5842" s="33"/>
      <c r="AI5842" s="33"/>
      <c r="AJ5842" s="33"/>
      <c r="AK5842" s="33"/>
    </row>
    <row r="5843">
      <c r="A5843" s="33"/>
      <c r="B5843" s="33"/>
      <c r="C5843" s="33"/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  <c r="AG5843" s="33"/>
      <c r="AH5843" s="33"/>
      <c r="AI5843" s="33"/>
      <c r="AJ5843" s="33"/>
      <c r="AK5843" s="33"/>
    </row>
    <row r="5844">
      <c r="A5844" s="33"/>
      <c r="B5844" s="33"/>
      <c r="C5844" s="33"/>
      <c r="D5844" s="33"/>
      <c r="E5844" s="33"/>
      <c r="F5844" s="33"/>
      <c r="G5844" s="33"/>
      <c r="H5844" s="33"/>
      <c r="I5844" s="33"/>
      <c r="J5844" s="33"/>
      <c r="K5844" s="33"/>
      <c r="L5844" s="33"/>
      <c r="M5844" s="33"/>
      <c r="N5844" s="33"/>
      <c r="O5844" s="33"/>
      <c r="P5844" s="33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  <c r="AG5844" s="33"/>
      <c r="AH5844" s="33"/>
      <c r="AI5844" s="33"/>
      <c r="AJ5844" s="33"/>
      <c r="AK5844" s="33"/>
    </row>
    <row r="5845">
      <c r="A5845" s="33"/>
      <c r="B5845" s="33"/>
      <c r="C5845" s="33"/>
      <c r="D5845" s="33"/>
      <c r="E5845" s="33"/>
      <c r="F5845" s="33"/>
      <c r="G5845" s="33"/>
      <c r="H5845" s="33"/>
      <c r="I5845" s="33"/>
      <c r="J5845" s="33"/>
      <c r="K5845" s="33"/>
      <c r="L5845" s="33"/>
      <c r="M5845" s="33"/>
      <c r="N5845" s="33"/>
      <c r="O5845" s="33"/>
      <c r="P5845" s="33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  <c r="AG5845" s="33"/>
      <c r="AH5845" s="33"/>
      <c r="AI5845" s="33"/>
      <c r="AJ5845" s="33"/>
      <c r="AK5845" s="33"/>
    </row>
    <row r="5846">
      <c r="A5846" s="33"/>
      <c r="B5846" s="33"/>
      <c r="C5846" s="33"/>
      <c r="D5846" s="33"/>
      <c r="E5846" s="33"/>
      <c r="F5846" s="33"/>
      <c r="G5846" s="33"/>
      <c r="H5846" s="33"/>
      <c r="I5846" s="33"/>
      <c r="J5846" s="33"/>
      <c r="K5846" s="33"/>
      <c r="L5846" s="33"/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/>
      <c r="Z5846" s="33"/>
      <c r="AA5846" s="33"/>
      <c r="AB5846" s="33"/>
      <c r="AC5846" s="33"/>
      <c r="AD5846" s="33"/>
      <c r="AE5846" s="33"/>
      <c r="AF5846" s="33"/>
      <c r="AG5846" s="33"/>
      <c r="AH5846" s="33"/>
      <c r="AI5846" s="33"/>
      <c r="AJ5846" s="33"/>
      <c r="AK5846" s="33"/>
    </row>
    <row r="5847">
      <c r="A5847" s="33"/>
      <c r="B5847" s="33"/>
      <c r="C5847" s="33"/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3"/>
      <c r="X5847" s="33"/>
      <c r="Y5847" s="33"/>
      <c r="Z5847" s="33"/>
      <c r="AA5847" s="33"/>
      <c r="AB5847" s="33"/>
      <c r="AC5847" s="33"/>
      <c r="AD5847" s="33"/>
      <c r="AE5847" s="33"/>
      <c r="AF5847" s="33"/>
      <c r="AG5847" s="33"/>
      <c r="AH5847" s="33"/>
      <c r="AI5847" s="33"/>
      <c r="AJ5847" s="33"/>
      <c r="AK5847" s="33"/>
    </row>
    <row r="5848">
      <c r="A5848" s="33"/>
      <c r="B5848" s="33"/>
      <c r="C5848" s="33"/>
      <c r="D5848" s="33"/>
      <c r="E5848" s="33"/>
      <c r="F5848" s="33"/>
      <c r="G5848" s="33"/>
      <c r="H5848" s="33"/>
      <c r="I5848" s="33"/>
      <c r="J5848" s="33"/>
      <c r="K5848" s="33"/>
      <c r="L5848" s="33"/>
      <c r="M5848" s="33"/>
      <c r="N5848" s="33"/>
      <c r="O5848" s="33"/>
      <c r="P5848" s="33"/>
      <c r="Q5848" s="33"/>
      <c r="R5848" s="33"/>
      <c r="S5848" s="33"/>
      <c r="T5848" s="33"/>
      <c r="U5848" s="33"/>
      <c r="V5848" s="33"/>
      <c r="W5848" s="33"/>
      <c r="X5848" s="33"/>
      <c r="Y5848" s="33"/>
      <c r="Z5848" s="33"/>
      <c r="AA5848" s="33"/>
      <c r="AB5848" s="33"/>
      <c r="AC5848" s="33"/>
      <c r="AD5848" s="33"/>
      <c r="AE5848" s="33"/>
      <c r="AF5848" s="33"/>
      <c r="AG5848" s="33"/>
      <c r="AH5848" s="33"/>
      <c r="AI5848" s="33"/>
      <c r="AJ5848" s="33"/>
      <c r="AK5848" s="33"/>
    </row>
    <row r="5849">
      <c r="A5849" s="33"/>
      <c r="B5849" s="33"/>
      <c r="C5849" s="33"/>
      <c r="D5849" s="33"/>
      <c r="E5849" s="33"/>
      <c r="F5849" s="33"/>
      <c r="G5849" s="33"/>
      <c r="H5849" s="33"/>
      <c r="I5849" s="33"/>
      <c r="J5849" s="33"/>
      <c r="K5849" s="33"/>
      <c r="L5849" s="33"/>
      <c r="M5849" s="33"/>
      <c r="N5849" s="33"/>
      <c r="O5849" s="33"/>
      <c r="P5849" s="33"/>
      <c r="Q5849" s="33"/>
      <c r="R5849" s="33"/>
      <c r="S5849" s="33"/>
      <c r="T5849" s="33"/>
      <c r="U5849" s="33"/>
      <c r="V5849" s="33"/>
      <c r="W5849" s="33"/>
      <c r="X5849" s="33"/>
      <c r="Y5849" s="33"/>
      <c r="Z5849" s="33"/>
      <c r="AA5849" s="33"/>
      <c r="AB5849" s="33"/>
      <c r="AC5849" s="33"/>
      <c r="AD5849" s="33"/>
      <c r="AE5849" s="33"/>
      <c r="AF5849" s="33"/>
      <c r="AG5849" s="33"/>
      <c r="AH5849" s="33"/>
      <c r="AI5849" s="33"/>
      <c r="AJ5849" s="33"/>
      <c r="AK5849" s="33"/>
    </row>
    <row r="5850">
      <c r="A5850" s="33"/>
      <c r="B5850" s="33"/>
      <c r="C5850" s="33"/>
      <c r="D5850" s="33"/>
      <c r="E5850" s="33"/>
      <c r="F5850" s="33"/>
      <c r="G5850" s="33"/>
      <c r="H5850" s="33"/>
      <c r="I5850" s="33"/>
      <c r="J5850" s="33"/>
      <c r="K5850" s="33"/>
      <c r="L5850" s="33"/>
      <c r="M5850" s="33"/>
      <c r="N5850" s="33"/>
      <c r="O5850" s="33"/>
      <c r="P5850" s="33"/>
      <c r="Q5850" s="33"/>
      <c r="R5850" s="33"/>
      <c r="S5850" s="33"/>
      <c r="T5850" s="33"/>
      <c r="U5850" s="33"/>
      <c r="V5850" s="33"/>
      <c r="W5850" s="33"/>
      <c r="X5850" s="33"/>
      <c r="Y5850" s="33"/>
      <c r="Z5850" s="33"/>
      <c r="AA5850" s="33"/>
      <c r="AB5850" s="33"/>
      <c r="AC5850" s="33"/>
      <c r="AD5850" s="33"/>
      <c r="AE5850" s="33"/>
      <c r="AF5850" s="33"/>
      <c r="AG5850" s="33"/>
      <c r="AH5850" s="33"/>
      <c r="AI5850" s="33"/>
      <c r="AJ5850" s="33"/>
      <c r="AK5850" s="33"/>
    </row>
    <row r="5851">
      <c r="A5851" s="33"/>
      <c r="B5851" s="33"/>
      <c r="C5851" s="33"/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3"/>
      <c r="X5851" s="33"/>
      <c r="Y5851" s="33"/>
      <c r="Z5851" s="33"/>
      <c r="AA5851" s="33"/>
      <c r="AB5851" s="33"/>
      <c r="AC5851" s="33"/>
      <c r="AD5851" s="33"/>
      <c r="AE5851" s="33"/>
      <c r="AF5851" s="33"/>
      <c r="AG5851" s="33"/>
      <c r="AH5851" s="33"/>
      <c r="AI5851" s="33"/>
      <c r="AJ5851" s="33"/>
      <c r="AK5851" s="33"/>
    </row>
    <row r="5852">
      <c r="A5852" s="33"/>
      <c r="B5852" s="33"/>
      <c r="C5852" s="33"/>
      <c r="D5852" s="33"/>
      <c r="E5852" s="33"/>
      <c r="F5852" s="33"/>
      <c r="G5852" s="33"/>
      <c r="H5852" s="33"/>
      <c r="I5852" s="33"/>
      <c r="J5852" s="33"/>
      <c r="K5852" s="33"/>
      <c r="L5852" s="33"/>
      <c r="M5852" s="33"/>
      <c r="N5852" s="33"/>
      <c r="O5852" s="33"/>
      <c r="P5852" s="33"/>
      <c r="Q5852" s="33"/>
      <c r="R5852" s="33"/>
      <c r="S5852" s="33"/>
      <c r="T5852" s="33"/>
      <c r="U5852" s="33"/>
      <c r="V5852" s="33"/>
      <c r="W5852" s="33"/>
      <c r="X5852" s="33"/>
      <c r="Y5852" s="33"/>
      <c r="Z5852" s="33"/>
      <c r="AA5852" s="33"/>
      <c r="AB5852" s="33"/>
      <c r="AC5852" s="33"/>
      <c r="AD5852" s="33"/>
      <c r="AE5852" s="33"/>
      <c r="AF5852" s="33"/>
      <c r="AG5852" s="33"/>
      <c r="AH5852" s="33"/>
      <c r="AI5852" s="33"/>
      <c r="AJ5852" s="33"/>
      <c r="AK5852" s="33"/>
    </row>
    <row r="5853">
      <c r="A5853" s="33"/>
      <c r="B5853" s="33"/>
      <c r="C5853" s="33"/>
      <c r="D5853" s="33"/>
      <c r="E5853" s="33"/>
      <c r="F5853" s="33"/>
      <c r="G5853" s="33"/>
      <c r="H5853" s="33"/>
      <c r="I5853" s="33"/>
      <c r="J5853" s="33"/>
      <c r="K5853" s="33"/>
      <c r="L5853" s="33"/>
      <c r="M5853" s="33"/>
      <c r="N5853" s="33"/>
      <c r="O5853" s="33"/>
      <c r="P5853" s="33"/>
      <c r="Q5853" s="33"/>
      <c r="R5853" s="33"/>
      <c r="S5853" s="33"/>
      <c r="T5853" s="33"/>
      <c r="U5853" s="33"/>
      <c r="V5853" s="33"/>
      <c r="W5853" s="33"/>
      <c r="X5853" s="33"/>
      <c r="Y5853" s="33"/>
      <c r="Z5853" s="33"/>
      <c r="AA5853" s="33"/>
      <c r="AB5853" s="33"/>
      <c r="AC5853" s="33"/>
      <c r="AD5853" s="33"/>
      <c r="AE5853" s="33"/>
      <c r="AF5853" s="33"/>
      <c r="AG5853" s="33"/>
      <c r="AH5853" s="33"/>
      <c r="AI5853" s="33"/>
      <c r="AJ5853" s="33"/>
      <c r="AK5853" s="33"/>
    </row>
    <row r="5854">
      <c r="A5854" s="33"/>
      <c r="B5854" s="33"/>
      <c r="C5854" s="33"/>
      <c r="D5854" s="33"/>
      <c r="E5854" s="33"/>
      <c r="F5854" s="33"/>
      <c r="G5854" s="33"/>
      <c r="H5854" s="33"/>
      <c r="I5854" s="33"/>
      <c r="J5854" s="33"/>
      <c r="K5854" s="33"/>
      <c r="L5854" s="33"/>
      <c r="M5854" s="33"/>
      <c r="N5854" s="33"/>
      <c r="O5854" s="33"/>
      <c r="P5854" s="33"/>
      <c r="Q5854" s="33"/>
      <c r="R5854" s="33"/>
      <c r="S5854" s="33"/>
      <c r="T5854" s="33"/>
      <c r="U5854" s="33"/>
      <c r="V5854" s="33"/>
      <c r="W5854" s="33"/>
      <c r="X5854" s="33"/>
      <c r="Y5854" s="33"/>
      <c r="Z5854" s="33"/>
      <c r="AA5854" s="33"/>
      <c r="AB5854" s="33"/>
      <c r="AC5854" s="33"/>
      <c r="AD5854" s="33"/>
      <c r="AE5854" s="33"/>
      <c r="AF5854" s="33"/>
      <c r="AG5854" s="33"/>
      <c r="AH5854" s="33"/>
      <c r="AI5854" s="33"/>
      <c r="AJ5854" s="33"/>
      <c r="AK5854" s="33"/>
    </row>
    <row r="5855">
      <c r="A5855" s="33"/>
      <c r="B5855" s="33"/>
      <c r="C5855" s="33"/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3"/>
      <c r="X5855" s="33"/>
      <c r="Y5855" s="33"/>
      <c r="Z5855" s="33"/>
      <c r="AA5855" s="33"/>
      <c r="AB5855" s="33"/>
      <c r="AC5855" s="33"/>
      <c r="AD5855" s="33"/>
      <c r="AE5855" s="33"/>
      <c r="AF5855" s="33"/>
      <c r="AG5855" s="33"/>
      <c r="AH5855" s="33"/>
      <c r="AI5855" s="33"/>
      <c r="AJ5855" s="33"/>
      <c r="AK5855" s="33"/>
    </row>
    <row r="5856">
      <c r="A5856" s="33"/>
      <c r="B5856" s="33"/>
      <c r="C5856" s="33"/>
      <c r="D5856" s="33"/>
      <c r="E5856" s="33"/>
      <c r="F5856" s="33"/>
      <c r="G5856" s="33"/>
      <c r="H5856" s="33"/>
      <c r="I5856" s="33"/>
      <c r="J5856" s="33"/>
      <c r="K5856" s="33"/>
      <c r="L5856" s="33"/>
      <c r="M5856" s="33"/>
      <c r="N5856" s="33"/>
      <c r="O5856" s="33"/>
      <c r="P5856" s="33"/>
      <c r="Q5856" s="33"/>
      <c r="R5856" s="33"/>
      <c r="S5856" s="33"/>
      <c r="T5856" s="33"/>
      <c r="U5856" s="33"/>
      <c r="V5856" s="33"/>
      <c r="W5856" s="33"/>
      <c r="X5856" s="33"/>
      <c r="Y5856" s="33"/>
      <c r="Z5856" s="33"/>
      <c r="AA5856" s="33"/>
      <c r="AB5856" s="33"/>
      <c r="AC5856" s="33"/>
      <c r="AD5856" s="33"/>
      <c r="AE5856" s="33"/>
      <c r="AF5856" s="33"/>
      <c r="AG5856" s="33"/>
      <c r="AH5856" s="33"/>
      <c r="AI5856" s="33"/>
      <c r="AJ5856" s="33"/>
      <c r="AK5856" s="33"/>
    </row>
    <row r="5857">
      <c r="A5857" s="33"/>
      <c r="B5857" s="33"/>
      <c r="C5857" s="33"/>
      <c r="D5857" s="33"/>
      <c r="E5857" s="33"/>
      <c r="F5857" s="33"/>
      <c r="G5857" s="33"/>
      <c r="H5857" s="33"/>
      <c r="I5857" s="33"/>
      <c r="J5857" s="33"/>
      <c r="K5857" s="33"/>
      <c r="L5857" s="33"/>
      <c r="M5857" s="33"/>
      <c r="N5857" s="33"/>
      <c r="O5857" s="33"/>
      <c r="P5857" s="33"/>
      <c r="Q5857" s="33"/>
      <c r="R5857" s="33"/>
      <c r="S5857" s="33"/>
      <c r="T5857" s="33"/>
      <c r="U5857" s="33"/>
      <c r="V5857" s="33"/>
      <c r="W5857" s="33"/>
      <c r="X5857" s="33"/>
      <c r="Y5857" s="33"/>
      <c r="Z5857" s="33"/>
      <c r="AA5857" s="33"/>
      <c r="AB5857" s="33"/>
      <c r="AC5857" s="33"/>
      <c r="AD5857" s="33"/>
      <c r="AE5857" s="33"/>
      <c r="AF5857" s="33"/>
      <c r="AG5857" s="33"/>
      <c r="AH5857" s="33"/>
      <c r="AI5857" s="33"/>
      <c r="AJ5857" s="33"/>
      <c r="AK5857" s="33"/>
    </row>
    <row r="5858">
      <c r="A5858" s="33"/>
      <c r="B5858" s="33"/>
      <c r="C5858" s="33"/>
      <c r="D5858" s="33"/>
      <c r="E5858" s="33"/>
      <c r="F5858" s="33"/>
      <c r="G5858" s="33"/>
      <c r="H5858" s="33"/>
      <c r="I5858" s="33"/>
      <c r="J5858" s="33"/>
      <c r="K5858" s="33"/>
      <c r="L5858" s="33"/>
      <c r="M5858" s="33"/>
      <c r="N5858" s="33"/>
      <c r="O5858" s="33"/>
      <c r="P5858" s="33"/>
      <c r="Q5858" s="33"/>
      <c r="R5858" s="33"/>
      <c r="S5858" s="33"/>
      <c r="T5858" s="33"/>
      <c r="U5858" s="33"/>
      <c r="V5858" s="33"/>
      <c r="W5858" s="33"/>
      <c r="X5858" s="33"/>
      <c r="Y5858" s="33"/>
      <c r="Z5858" s="33"/>
      <c r="AA5858" s="33"/>
      <c r="AB5858" s="33"/>
      <c r="AC5858" s="33"/>
      <c r="AD5858" s="33"/>
      <c r="AE5858" s="33"/>
      <c r="AF5858" s="33"/>
      <c r="AG5858" s="33"/>
      <c r="AH5858" s="33"/>
      <c r="AI5858" s="33"/>
      <c r="AJ5858" s="33"/>
      <c r="AK5858" s="33"/>
    </row>
    <row r="5859">
      <c r="A5859" s="33"/>
      <c r="B5859" s="33"/>
      <c r="C5859" s="33"/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3"/>
      <c r="X5859" s="33"/>
      <c r="Y5859" s="33"/>
      <c r="Z5859" s="33"/>
      <c r="AA5859" s="33"/>
      <c r="AB5859" s="33"/>
      <c r="AC5859" s="33"/>
      <c r="AD5859" s="33"/>
      <c r="AE5859" s="33"/>
      <c r="AF5859" s="33"/>
      <c r="AG5859" s="33"/>
      <c r="AH5859" s="33"/>
      <c r="AI5859" s="33"/>
      <c r="AJ5859" s="33"/>
      <c r="AK5859" s="33"/>
    </row>
    <row r="5860">
      <c r="A5860" s="33"/>
      <c r="B5860" s="33"/>
      <c r="C5860" s="33"/>
      <c r="D5860" s="33"/>
      <c r="E5860" s="33"/>
      <c r="F5860" s="33"/>
      <c r="G5860" s="33"/>
      <c r="H5860" s="33"/>
      <c r="I5860" s="33"/>
      <c r="J5860" s="33"/>
      <c r="K5860" s="33"/>
      <c r="L5860" s="33"/>
      <c r="M5860" s="33"/>
      <c r="N5860" s="33"/>
      <c r="O5860" s="33"/>
      <c r="P5860" s="33"/>
      <c r="Q5860" s="33"/>
      <c r="R5860" s="33"/>
      <c r="S5860" s="33"/>
      <c r="T5860" s="33"/>
      <c r="U5860" s="33"/>
      <c r="V5860" s="33"/>
      <c r="W5860" s="33"/>
      <c r="X5860" s="33"/>
      <c r="Y5860" s="33"/>
      <c r="Z5860" s="33"/>
      <c r="AA5860" s="33"/>
      <c r="AB5860" s="33"/>
      <c r="AC5860" s="33"/>
      <c r="AD5860" s="33"/>
      <c r="AE5860" s="33"/>
      <c r="AF5860" s="33"/>
      <c r="AG5860" s="33"/>
      <c r="AH5860" s="33"/>
      <c r="AI5860" s="33"/>
      <c r="AJ5860" s="33"/>
      <c r="AK5860" s="33"/>
    </row>
    <row r="5861">
      <c r="A5861" s="33"/>
      <c r="B5861" s="33"/>
      <c r="C5861" s="33"/>
      <c r="D5861" s="33"/>
      <c r="E5861" s="33"/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33"/>
      <c r="Q5861" s="33"/>
      <c r="R5861" s="33"/>
      <c r="S5861" s="33"/>
      <c r="T5861" s="33"/>
      <c r="U5861" s="33"/>
      <c r="V5861" s="33"/>
      <c r="W5861" s="33"/>
      <c r="X5861" s="33"/>
      <c r="Y5861" s="33"/>
      <c r="Z5861" s="33"/>
      <c r="AA5861" s="33"/>
      <c r="AB5861" s="33"/>
      <c r="AC5861" s="33"/>
      <c r="AD5861" s="33"/>
      <c r="AE5861" s="33"/>
      <c r="AF5861" s="33"/>
      <c r="AG5861" s="33"/>
      <c r="AH5861" s="33"/>
      <c r="AI5861" s="33"/>
      <c r="AJ5861" s="33"/>
      <c r="AK5861" s="33"/>
    </row>
    <row r="5862">
      <c r="A5862" s="33"/>
      <c r="B5862" s="33"/>
      <c r="C5862" s="33"/>
      <c r="D5862" s="33"/>
      <c r="E5862" s="33"/>
      <c r="F5862" s="33"/>
      <c r="G5862" s="33"/>
      <c r="H5862" s="33"/>
      <c r="I5862" s="33"/>
      <c r="J5862" s="33"/>
      <c r="K5862" s="33"/>
      <c r="L5862" s="33"/>
      <c r="M5862" s="33"/>
      <c r="N5862" s="33"/>
      <c r="O5862" s="33"/>
      <c r="P5862" s="33"/>
      <c r="Q5862" s="33"/>
      <c r="R5862" s="33"/>
      <c r="S5862" s="33"/>
      <c r="T5862" s="33"/>
      <c r="U5862" s="33"/>
      <c r="V5862" s="33"/>
      <c r="W5862" s="33"/>
      <c r="X5862" s="33"/>
      <c r="Y5862" s="33"/>
      <c r="Z5862" s="33"/>
      <c r="AA5862" s="33"/>
      <c r="AB5862" s="33"/>
      <c r="AC5862" s="33"/>
      <c r="AD5862" s="33"/>
      <c r="AE5862" s="33"/>
      <c r="AF5862" s="33"/>
      <c r="AG5862" s="33"/>
      <c r="AH5862" s="33"/>
      <c r="AI5862" s="33"/>
      <c r="AJ5862" s="33"/>
      <c r="AK5862" s="33"/>
    </row>
    <row r="5863">
      <c r="A5863" s="33"/>
      <c r="B5863" s="33"/>
      <c r="C5863" s="33"/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/>
      <c r="Z5863" s="33"/>
      <c r="AA5863" s="33"/>
      <c r="AB5863" s="33"/>
      <c r="AC5863" s="33"/>
      <c r="AD5863" s="33"/>
      <c r="AE5863" s="33"/>
      <c r="AF5863" s="33"/>
      <c r="AG5863" s="33"/>
      <c r="AH5863" s="33"/>
      <c r="AI5863" s="33"/>
      <c r="AJ5863" s="33"/>
      <c r="AK5863" s="33"/>
    </row>
    <row r="5864">
      <c r="A5864" s="33"/>
      <c r="B5864" s="33"/>
      <c r="C5864" s="33"/>
      <c r="D5864" s="33"/>
      <c r="E5864" s="33"/>
      <c r="F5864" s="33"/>
      <c r="G5864" s="33"/>
      <c r="H5864" s="33"/>
      <c r="I5864" s="33"/>
      <c r="J5864" s="33"/>
      <c r="K5864" s="33"/>
      <c r="L5864" s="33"/>
      <c r="M5864" s="33"/>
      <c r="N5864" s="33"/>
      <c r="O5864" s="33"/>
      <c r="P5864" s="33"/>
      <c r="Q5864" s="33"/>
      <c r="R5864" s="33"/>
      <c r="S5864" s="33"/>
      <c r="T5864" s="33"/>
      <c r="U5864" s="33"/>
      <c r="V5864" s="33"/>
      <c r="W5864" s="33"/>
      <c r="X5864" s="33"/>
      <c r="Y5864" s="33"/>
      <c r="Z5864" s="33"/>
      <c r="AA5864" s="33"/>
      <c r="AB5864" s="33"/>
      <c r="AC5864" s="33"/>
      <c r="AD5864" s="33"/>
      <c r="AE5864" s="33"/>
      <c r="AF5864" s="33"/>
      <c r="AG5864" s="33"/>
      <c r="AH5864" s="33"/>
      <c r="AI5864" s="33"/>
      <c r="AJ5864" s="33"/>
      <c r="AK5864" s="33"/>
    </row>
    <row r="5865">
      <c r="A5865" s="33"/>
      <c r="B5865" s="33"/>
      <c r="C5865" s="33"/>
      <c r="D5865" s="33"/>
      <c r="E5865" s="33"/>
      <c r="F5865" s="33"/>
      <c r="G5865" s="33"/>
      <c r="H5865" s="33"/>
      <c r="I5865" s="33"/>
      <c r="J5865" s="33"/>
      <c r="K5865" s="33"/>
      <c r="L5865" s="33"/>
      <c r="M5865" s="33"/>
      <c r="N5865" s="33"/>
      <c r="O5865" s="33"/>
      <c r="P5865" s="33"/>
      <c r="Q5865" s="33"/>
      <c r="R5865" s="33"/>
      <c r="S5865" s="33"/>
      <c r="T5865" s="33"/>
      <c r="U5865" s="33"/>
      <c r="V5865" s="33"/>
      <c r="W5865" s="33"/>
      <c r="X5865" s="33"/>
      <c r="Y5865" s="33"/>
      <c r="Z5865" s="33"/>
      <c r="AA5865" s="33"/>
      <c r="AB5865" s="33"/>
      <c r="AC5865" s="33"/>
      <c r="AD5865" s="33"/>
      <c r="AE5865" s="33"/>
      <c r="AF5865" s="33"/>
      <c r="AG5865" s="33"/>
      <c r="AH5865" s="33"/>
      <c r="AI5865" s="33"/>
      <c r="AJ5865" s="33"/>
      <c r="AK5865" s="33"/>
    </row>
    <row r="5866">
      <c r="A5866" s="33"/>
      <c r="B5866" s="33"/>
      <c r="C5866" s="33"/>
      <c r="D5866" s="33"/>
      <c r="E5866" s="33"/>
      <c r="F5866" s="33"/>
      <c r="G5866" s="33"/>
      <c r="H5866" s="33"/>
      <c r="I5866" s="33"/>
      <c r="J5866" s="33"/>
      <c r="K5866" s="33"/>
      <c r="L5866" s="33"/>
      <c r="M5866" s="33"/>
      <c r="N5866" s="33"/>
      <c r="O5866" s="33"/>
      <c r="P5866" s="33"/>
      <c r="Q5866" s="33"/>
      <c r="R5866" s="33"/>
      <c r="S5866" s="33"/>
      <c r="T5866" s="33"/>
      <c r="U5866" s="33"/>
      <c r="V5866" s="33"/>
      <c r="W5866" s="33"/>
      <c r="X5866" s="33"/>
      <c r="Y5866" s="33"/>
      <c r="Z5866" s="33"/>
      <c r="AA5866" s="33"/>
      <c r="AB5866" s="33"/>
      <c r="AC5866" s="33"/>
      <c r="AD5866" s="33"/>
      <c r="AE5866" s="33"/>
      <c r="AF5866" s="33"/>
      <c r="AG5866" s="33"/>
      <c r="AH5866" s="33"/>
      <c r="AI5866" s="33"/>
      <c r="AJ5866" s="33"/>
      <c r="AK5866" s="33"/>
    </row>
    <row r="5867">
      <c r="A5867" s="33"/>
      <c r="B5867" s="33"/>
      <c r="C5867" s="33"/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3"/>
      <c r="X5867" s="33"/>
      <c r="Y5867" s="33"/>
      <c r="Z5867" s="33"/>
      <c r="AA5867" s="33"/>
      <c r="AB5867" s="33"/>
      <c r="AC5867" s="33"/>
      <c r="AD5867" s="33"/>
      <c r="AE5867" s="33"/>
      <c r="AF5867" s="33"/>
      <c r="AG5867" s="33"/>
      <c r="AH5867" s="33"/>
      <c r="AI5867" s="33"/>
      <c r="AJ5867" s="33"/>
      <c r="AK5867" s="33"/>
    </row>
    <row r="5868">
      <c r="A5868" s="33"/>
      <c r="B5868" s="33"/>
      <c r="C5868" s="33"/>
      <c r="D5868" s="33"/>
      <c r="E5868" s="33"/>
      <c r="F5868" s="33"/>
      <c r="G5868" s="33"/>
      <c r="H5868" s="33"/>
      <c r="I5868" s="33"/>
      <c r="J5868" s="33"/>
      <c r="K5868" s="33"/>
      <c r="L5868" s="33"/>
      <c r="M5868" s="33"/>
      <c r="N5868" s="33"/>
      <c r="O5868" s="33"/>
      <c r="P5868" s="33"/>
      <c r="Q5868" s="33"/>
      <c r="R5868" s="33"/>
      <c r="S5868" s="33"/>
      <c r="T5868" s="33"/>
      <c r="U5868" s="33"/>
      <c r="V5868" s="33"/>
      <c r="W5868" s="33"/>
      <c r="X5868" s="33"/>
      <c r="Y5868" s="33"/>
      <c r="Z5868" s="33"/>
      <c r="AA5868" s="33"/>
      <c r="AB5868" s="33"/>
      <c r="AC5868" s="33"/>
      <c r="AD5868" s="33"/>
      <c r="AE5868" s="33"/>
      <c r="AF5868" s="33"/>
      <c r="AG5868" s="33"/>
      <c r="AH5868" s="33"/>
      <c r="AI5868" s="33"/>
      <c r="AJ5868" s="33"/>
      <c r="AK5868" s="33"/>
    </row>
    <row r="5869">
      <c r="A5869" s="33"/>
      <c r="B5869" s="33"/>
      <c r="C5869" s="33"/>
      <c r="D5869" s="33"/>
      <c r="E5869" s="33"/>
      <c r="F5869" s="33"/>
      <c r="G5869" s="33"/>
      <c r="H5869" s="33"/>
      <c r="I5869" s="33"/>
      <c r="J5869" s="33"/>
      <c r="K5869" s="33"/>
      <c r="L5869" s="33"/>
      <c r="M5869" s="33"/>
      <c r="N5869" s="33"/>
      <c r="O5869" s="33"/>
      <c r="P5869" s="33"/>
      <c r="Q5869" s="33"/>
      <c r="R5869" s="33"/>
      <c r="S5869" s="33"/>
      <c r="T5869" s="33"/>
      <c r="U5869" s="33"/>
      <c r="V5869" s="33"/>
      <c r="W5869" s="33"/>
      <c r="X5869" s="33"/>
      <c r="Y5869" s="33"/>
      <c r="Z5869" s="33"/>
      <c r="AA5869" s="33"/>
      <c r="AB5869" s="33"/>
      <c r="AC5869" s="33"/>
      <c r="AD5869" s="33"/>
      <c r="AE5869" s="33"/>
      <c r="AF5869" s="33"/>
      <c r="AG5869" s="33"/>
      <c r="AH5869" s="33"/>
      <c r="AI5869" s="33"/>
      <c r="AJ5869" s="33"/>
      <c r="AK5869" s="33"/>
    </row>
    <row r="5870">
      <c r="A5870" s="33"/>
      <c r="B5870" s="33"/>
      <c r="C5870" s="33"/>
      <c r="D5870" s="33"/>
      <c r="E5870" s="33"/>
      <c r="F5870" s="33"/>
      <c r="G5870" s="33"/>
      <c r="H5870" s="33"/>
      <c r="I5870" s="33"/>
      <c r="J5870" s="33"/>
      <c r="K5870" s="33"/>
      <c r="L5870" s="33"/>
      <c r="M5870" s="33"/>
      <c r="N5870" s="33"/>
      <c r="O5870" s="33"/>
      <c r="P5870" s="33"/>
      <c r="Q5870" s="33"/>
      <c r="R5870" s="33"/>
      <c r="S5870" s="33"/>
      <c r="T5870" s="33"/>
      <c r="U5870" s="33"/>
      <c r="V5870" s="33"/>
      <c r="W5870" s="33"/>
      <c r="X5870" s="33"/>
      <c r="Y5870" s="33"/>
      <c r="Z5870" s="33"/>
      <c r="AA5870" s="33"/>
      <c r="AB5870" s="33"/>
      <c r="AC5870" s="33"/>
      <c r="AD5870" s="33"/>
      <c r="AE5870" s="33"/>
      <c r="AF5870" s="33"/>
      <c r="AG5870" s="33"/>
      <c r="AH5870" s="33"/>
      <c r="AI5870" s="33"/>
      <c r="AJ5870" s="33"/>
      <c r="AK5870" s="33"/>
    </row>
    <row r="5871">
      <c r="A5871" s="33"/>
      <c r="B5871" s="33"/>
      <c r="C5871" s="33"/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3"/>
      <c r="X5871" s="33"/>
      <c r="Y5871" s="33"/>
      <c r="Z5871" s="33"/>
      <c r="AA5871" s="33"/>
      <c r="AB5871" s="33"/>
      <c r="AC5871" s="33"/>
      <c r="AD5871" s="33"/>
      <c r="AE5871" s="33"/>
      <c r="AF5871" s="33"/>
      <c r="AG5871" s="33"/>
      <c r="AH5871" s="33"/>
      <c r="AI5871" s="33"/>
      <c r="AJ5871" s="33"/>
      <c r="AK5871" s="33"/>
    </row>
    <row r="5872">
      <c r="A5872" s="33"/>
      <c r="B5872" s="33"/>
      <c r="C5872" s="33"/>
      <c r="D5872" s="33"/>
      <c r="E5872" s="33"/>
      <c r="F5872" s="33"/>
      <c r="G5872" s="33"/>
      <c r="H5872" s="33"/>
      <c r="I5872" s="33"/>
      <c r="J5872" s="33"/>
      <c r="K5872" s="33"/>
      <c r="L5872" s="33"/>
      <c r="M5872" s="33"/>
      <c r="N5872" s="33"/>
      <c r="O5872" s="33"/>
      <c r="P5872" s="33"/>
      <c r="Q5872" s="33"/>
      <c r="R5872" s="33"/>
      <c r="S5872" s="33"/>
      <c r="T5872" s="33"/>
      <c r="U5872" s="33"/>
      <c r="V5872" s="33"/>
      <c r="W5872" s="33"/>
      <c r="X5872" s="33"/>
      <c r="Y5872" s="33"/>
      <c r="Z5872" s="33"/>
      <c r="AA5872" s="33"/>
      <c r="AB5872" s="33"/>
      <c r="AC5872" s="33"/>
      <c r="AD5872" s="33"/>
      <c r="AE5872" s="33"/>
      <c r="AF5872" s="33"/>
      <c r="AG5872" s="33"/>
      <c r="AH5872" s="33"/>
      <c r="AI5872" s="33"/>
      <c r="AJ5872" s="33"/>
      <c r="AK5872" s="33"/>
    </row>
    <row r="5873">
      <c r="A5873" s="33"/>
      <c r="B5873" s="33"/>
      <c r="C5873" s="33"/>
      <c r="D5873" s="33"/>
      <c r="E5873" s="33"/>
      <c r="F5873" s="33"/>
      <c r="G5873" s="33"/>
      <c r="H5873" s="33"/>
      <c r="I5873" s="33"/>
      <c r="J5873" s="33"/>
      <c r="K5873" s="33"/>
      <c r="L5873" s="33"/>
      <c r="M5873" s="33"/>
      <c r="N5873" s="33"/>
      <c r="O5873" s="33"/>
      <c r="P5873" s="33"/>
      <c r="Q5873" s="33"/>
      <c r="R5873" s="33"/>
      <c r="S5873" s="33"/>
      <c r="T5873" s="33"/>
      <c r="U5873" s="33"/>
      <c r="V5873" s="33"/>
      <c r="W5873" s="33"/>
      <c r="X5873" s="33"/>
      <c r="Y5873" s="33"/>
      <c r="Z5873" s="33"/>
      <c r="AA5873" s="33"/>
      <c r="AB5873" s="33"/>
      <c r="AC5873" s="33"/>
      <c r="AD5873" s="33"/>
      <c r="AE5873" s="33"/>
      <c r="AF5873" s="33"/>
      <c r="AG5873" s="33"/>
      <c r="AH5873" s="33"/>
      <c r="AI5873" s="33"/>
      <c r="AJ5873" s="33"/>
      <c r="AK5873" s="33"/>
    </row>
    <row r="5874">
      <c r="A5874" s="33"/>
      <c r="B5874" s="33"/>
      <c r="C5874" s="33"/>
      <c r="D5874" s="33"/>
      <c r="E5874" s="33"/>
      <c r="F5874" s="33"/>
      <c r="G5874" s="33"/>
      <c r="H5874" s="33"/>
      <c r="I5874" s="33"/>
      <c r="J5874" s="33"/>
      <c r="K5874" s="33"/>
      <c r="L5874" s="33"/>
      <c r="M5874" s="33"/>
      <c r="N5874" s="33"/>
      <c r="O5874" s="33"/>
      <c r="P5874" s="33"/>
      <c r="Q5874" s="33"/>
      <c r="R5874" s="33"/>
      <c r="S5874" s="33"/>
      <c r="T5874" s="33"/>
      <c r="U5874" s="33"/>
      <c r="V5874" s="33"/>
      <c r="W5874" s="33"/>
      <c r="X5874" s="33"/>
      <c r="Y5874" s="33"/>
      <c r="Z5874" s="33"/>
      <c r="AA5874" s="33"/>
      <c r="AB5874" s="33"/>
      <c r="AC5874" s="33"/>
      <c r="AD5874" s="33"/>
      <c r="AE5874" s="33"/>
      <c r="AF5874" s="33"/>
      <c r="AG5874" s="33"/>
      <c r="AH5874" s="33"/>
      <c r="AI5874" s="33"/>
      <c r="AJ5874" s="33"/>
      <c r="AK5874" s="33"/>
    </row>
    <row r="5875">
      <c r="A5875" s="33"/>
      <c r="B5875" s="33"/>
      <c r="C5875" s="33"/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3"/>
      <c r="X5875" s="33"/>
      <c r="Y5875" s="33"/>
      <c r="Z5875" s="33"/>
      <c r="AA5875" s="33"/>
      <c r="AB5875" s="33"/>
      <c r="AC5875" s="33"/>
      <c r="AD5875" s="33"/>
      <c r="AE5875" s="33"/>
      <c r="AF5875" s="33"/>
      <c r="AG5875" s="33"/>
      <c r="AH5875" s="33"/>
      <c r="AI5875" s="33"/>
      <c r="AJ5875" s="33"/>
      <c r="AK5875" s="33"/>
    </row>
    <row r="5876">
      <c r="A5876" s="33"/>
      <c r="B5876" s="33"/>
      <c r="C5876" s="33"/>
      <c r="D5876" s="33"/>
      <c r="E5876" s="33"/>
      <c r="F5876" s="33"/>
      <c r="G5876" s="33"/>
      <c r="H5876" s="33"/>
      <c r="I5876" s="33"/>
      <c r="J5876" s="33"/>
      <c r="K5876" s="33"/>
      <c r="L5876" s="33"/>
      <c r="M5876" s="33"/>
      <c r="N5876" s="33"/>
      <c r="O5876" s="33"/>
      <c r="P5876" s="33"/>
      <c r="Q5876" s="33"/>
      <c r="R5876" s="33"/>
      <c r="S5876" s="33"/>
      <c r="T5876" s="33"/>
      <c r="U5876" s="33"/>
      <c r="V5876" s="33"/>
      <c r="W5876" s="33"/>
      <c r="X5876" s="33"/>
      <c r="Y5876" s="33"/>
      <c r="Z5876" s="33"/>
      <c r="AA5876" s="33"/>
      <c r="AB5876" s="33"/>
      <c r="AC5876" s="33"/>
      <c r="AD5876" s="33"/>
      <c r="AE5876" s="33"/>
      <c r="AF5876" s="33"/>
      <c r="AG5876" s="33"/>
      <c r="AH5876" s="33"/>
      <c r="AI5876" s="33"/>
      <c r="AJ5876" s="33"/>
      <c r="AK5876" s="33"/>
    </row>
    <row r="5877">
      <c r="A5877" s="33"/>
      <c r="B5877" s="33"/>
      <c r="C5877" s="33"/>
      <c r="D5877" s="33"/>
      <c r="E5877" s="33"/>
      <c r="F5877" s="33"/>
      <c r="G5877" s="33"/>
      <c r="H5877" s="33"/>
      <c r="I5877" s="33"/>
      <c r="J5877" s="33"/>
      <c r="K5877" s="33"/>
      <c r="L5877" s="33"/>
      <c r="M5877" s="33"/>
      <c r="N5877" s="33"/>
      <c r="O5877" s="33"/>
      <c r="P5877" s="33"/>
      <c r="Q5877" s="33"/>
      <c r="R5877" s="33"/>
      <c r="S5877" s="33"/>
      <c r="T5877" s="33"/>
      <c r="U5877" s="33"/>
      <c r="V5877" s="33"/>
      <c r="W5877" s="33"/>
      <c r="X5877" s="33"/>
      <c r="Y5877" s="33"/>
      <c r="Z5877" s="33"/>
      <c r="AA5877" s="33"/>
      <c r="AB5877" s="33"/>
      <c r="AC5877" s="33"/>
      <c r="AD5877" s="33"/>
      <c r="AE5877" s="33"/>
      <c r="AF5877" s="33"/>
      <c r="AG5877" s="33"/>
      <c r="AH5877" s="33"/>
      <c r="AI5877" s="33"/>
      <c r="AJ5877" s="33"/>
      <c r="AK5877" s="33"/>
    </row>
    <row r="5878">
      <c r="A5878" s="33"/>
      <c r="B5878" s="33"/>
      <c r="C5878" s="33"/>
      <c r="D5878" s="33"/>
      <c r="E5878" s="33"/>
      <c r="F5878" s="33"/>
      <c r="G5878" s="33"/>
      <c r="H5878" s="33"/>
      <c r="I5878" s="33"/>
      <c r="J5878" s="33"/>
      <c r="K5878" s="33"/>
      <c r="L5878" s="33"/>
      <c r="M5878" s="33"/>
      <c r="N5878" s="33"/>
      <c r="O5878" s="33"/>
      <c r="P5878" s="33"/>
      <c r="Q5878" s="33"/>
      <c r="R5878" s="33"/>
      <c r="S5878" s="33"/>
      <c r="T5878" s="33"/>
      <c r="U5878" s="33"/>
      <c r="V5878" s="33"/>
      <c r="W5878" s="33"/>
      <c r="X5878" s="33"/>
      <c r="Y5878" s="33"/>
      <c r="Z5878" s="33"/>
      <c r="AA5878" s="33"/>
      <c r="AB5878" s="33"/>
      <c r="AC5878" s="33"/>
      <c r="AD5878" s="33"/>
      <c r="AE5878" s="33"/>
      <c r="AF5878" s="33"/>
      <c r="AG5878" s="33"/>
      <c r="AH5878" s="33"/>
      <c r="AI5878" s="33"/>
      <c r="AJ5878" s="33"/>
      <c r="AK5878" s="33"/>
    </row>
    <row r="5879">
      <c r="A5879" s="33"/>
      <c r="B5879" s="33"/>
      <c r="C5879" s="33"/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3"/>
      <c r="X5879" s="33"/>
      <c r="Y5879" s="33"/>
      <c r="Z5879" s="33"/>
      <c r="AA5879" s="33"/>
      <c r="AB5879" s="33"/>
      <c r="AC5879" s="33"/>
      <c r="AD5879" s="33"/>
      <c r="AE5879" s="33"/>
      <c r="AF5879" s="33"/>
      <c r="AG5879" s="33"/>
      <c r="AH5879" s="33"/>
      <c r="AI5879" s="33"/>
      <c r="AJ5879" s="33"/>
      <c r="AK5879" s="33"/>
    </row>
    <row r="5880">
      <c r="A5880" s="33"/>
      <c r="B5880" s="33"/>
      <c r="C5880" s="33"/>
      <c r="D5880" s="33"/>
      <c r="E5880" s="33"/>
      <c r="F5880" s="33"/>
      <c r="G5880" s="33"/>
      <c r="H5880" s="33"/>
      <c r="I5880" s="33"/>
      <c r="J5880" s="33"/>
      <c r="K5880" s="33"/>
      <c r="L5880" s="33"/>
      <c r="M5880" s="33"/>
      <c r="N5880" s="33"/>
      <c r="O5880" s="33"/>
      <c r="P5880" s="33"/>
      <c r="Q5880" s="33"/>
      <c r="R5880" s="33"/>
      <c r="S5880" s="33"/>
      <c r="T5880" s="33"/>
      <c r="U5880" s="33"/>
      <c r="V5880" s="33"/>
      <c r="W5880" s="33"/>
      <c r="X5880" s="33"/>
      <c r="Y5880" s="33"/>
      <c r="Z5880" s="33"/>
      <c r="AA5880" s="33"/>
      <c r="AB5880" s="33"/>
      <c r="AC5880" s="33"/>
      <c r="AD5880" s="33"/>
      <c r="AE5880" s="33"/>
      <c r="AF5880" s="33"/>
      <c r="AG5880" s="33"/>
      <c r="AH5880" s="33"/>
      <c r="AI5880" s="33"/>
      <c r="AJ5880" s="33"/>
      <c r="AK5880" s="33"/>
    </row>
    <row r="5881">
      <c r="A5881" s="33"/>
      <c r="B5881" s="33"/>
      <c r="C5881" s="33"/>
      <c r="D5881" s="33"/>
      <c r="E5881" s="33"/>
      <c r="F5881" s="33"/>
      <c r="G5881" s="33"/>
      <c r="H5881" s="33"/>
      <c r="I5881" s="33"/>
      <c r="J5881" s="33"/>
      <c r="K5881" s="33"/>
      <c r="L5881" s="33"/>
      <c r="M5881" s="33"/>
      <c r="N5881" s="33"/>
      <c r="O5881" s="33"/>
      <c r="P5881" s="33"/>
      <c r="Q5881" s="33"/>
      <c r="R5881" s="33"/>
      <c r="S5881" s="33"/>
      <c r="T5881" s="33"/>
      <c r="U5881" s="33"/>
      <c r="V5881" s="33"/>
      <c r="W5881" s="33"/>
      <c r="X5881" s="33"/>
      <c r="Y5881" s="33"/>
      <c r="Z5881" s="33"/>
      <c r="AA5881" s="33"/>
      <c r="AB5881" s="33"/>
      <c r="AC5881" s="33"/>
      <c r="AD5881" s="33"/>
      <c r="AE5881" s="33"/>
      <c r="AF5881" s="33"/>
      <c r="AG5881" s="33"/>
      <c r="AH5881" s="33"/>
      <c r="AI5881" s="33"/>
      <c r="AJ5881" s="33"/>
      <c r="AK5881" s="33"/>
    </row>
    <row r="5882">
      <c r="A5882" s="33"/>
      <c r="B5882" s="33"/>
      <c r="C5882" s="33"/>
      <c r="D5882" s="33"/>
      <c r="E5882" s="33"/>
      <c r="F5882" s="33"/>
      <c r="G5882" s="33"/>
      <c r="H5882" s="33"/>
      <c r="I5882" s="33"/>
      <c r="J5882" s="33"/>
      <c r="K5882" s="33"/>
      <c r="L5882" s="33"/>
      <c r="M5882" s="33"/>
      <c r="N5882" s="33"/>
      <c r="O5882" s="33"/>
      <c r="P5882" s="33"/>
      <c r="Q5882" s="33"/>
      <c r="R5882" s="33"/>
      <c r="S5882" s="33"/>
      <c r="T5882" s="33"/>
      <c r="U5882" s="33"/>
      <c r="V5882" s="33"/>
      <c r="W5882" s="33"/>
      <c r="X5882" s="33"/>
      <c r="Y5882" s="33"/>
      <c r="Z5882" s="33"/>
      <c r="AA5882" s="33"/>
      <c r="AB5882" s="33"/>
      <c r="AC5882" s="33"/>
      <c r="AD5882" s="33"/>
      <c r="AE5882" s="33"/>
      <c r="AF5882" s="33"/>
      <c r="AG5882" s="33"/>
      <c r="AH5882" s="33"/>
      <c r="AI5882" s="33"/>
      <c r="AJ5882" s="33"/>
      <c r="AK5882" s="33"/>
    </row>
    <row r="5883">
      <c r="A5883" s="33"/>
      <c r="B5883" s="33"/>
      <c r="C5883" s="33"/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3"/>
      <c r="X5883" s="33"/>
      <c r="Y5883" s="33"/>
      <c r="Z5883" s="33"/>
      <c r="AA5883" s="33"/>
      <c r="AB5883" s="33"/>
      <c r="AC5883" s="33"/>
      <c r="AD5883" s="33"/>
      <c r="AE5883" s="33"/>
      <c r="AF5883" s="33"/>
      <c r="AG5883" s="33"/>
      <c r="AH5883" s="33"/>
      <c r="AI5883" s="33"/>
      <c r="AJ5883" s="33"/>
      <c r="AK5883" s="33"/>
    </row>
    <row r="5884">
      <c r="A5884" s="33"/>
      <c r="B5884" s="33"/>
      <c r="C5884" s="33"/>
      <c r="D5884" s="33"/>
      <c r="E5884" s="33"/>
      <c r="F5884" s="33"/>
      <c r="G5884" s="33"/>
      <c r="H5884" s="33"/>
      <c r="I5884" s="33"/>
      <c r="J5884" s="33"/>
      <c r="K5884" s="33"/>
      <c r="L5884" s="33"/>
      <c r="M5884" s="33"/>
      <c r="N5884" s="33"/>
      <c r="O5884" s="33"/>
      <c r="P5884" s="33"/>
      <c r="Q5884" s="33"/>
      <c r="R5884" s="33"/>
      <c r="S5884" s="33"/>
      <c r="T5884" s="33"/>
      <c r="U5884" s="33"/>
      <c r="V5884" s="33"/>
      <c r="W5884" s="33"/>
      <c r="X5884" s="33"/>
      <c r="Y5884" s="33"/>
      <c r="Z5884" s="33"/>
      <c r="AA5884" s="33"/>
      <c r="AB5884" s="33"/>
      <c r="AC5884" s="33"/>
      <c r="AD5884" s="33"/>
      <c r="AE5884" s="33"/>
      <c r="AF5884" s="33"/>
      <c r="AG5884" s="33"/>
      <c r="AH5884" s="33"/>
      <c r="AI5884" s="33"/>
      <c r="AJ5884" s="33"/>
      <c r="AK5884" s="33"/>
    </row>
    <row r="5885">
      <c r="A5885" s="33"/>
      <c r="B5885" s="33"/>
      <c r="C5885" s="33"/>
      <c r="D5885" s="33"/>
      <c r="E5885" s="33"/>
      <c r="F5885" s="33"/>
      <c r="G5885" s="33"/>
      <c r="H5885" s="33"/>
      <c r="I5885" s="33"/>
      <c r="J5885" s="33"/>
      <c r="K5885" s="33"/>
      <c r="L5885" s="33"/>
      <c r="M5885" s="33"/>
      <c r="N5885" s="33"/>
      <c r="O5885" s="33"/>
      <c r="P5885" s="33"/>
      <c r="Q5885" s="33"/>
      <c r="R5885" s="33"/>
      <c r="S5885" s="33"/>
      <c r="T5885" s="33"/>
      <c r="U5885" s="33"/>
      <c r="V5885" s="33"/>
      <c r="W5885" s="33"/>
      <c r="X5885" s="33"/>
      <c r="Y5885" s="33"/>
      <c r="Z5885" s="33"/>
      <c r="AA5885" s="33"/>
      <c r="AB5885" s="33"/>
      <c r="AC5885" s="33"/>
      <c r="AD5885" s="33"/>
      <c r="AE5885" s="33"/>
      <c r="AF5885" s="33"/>
      <c r="AG5885" s="33"/>
      <c r="AH5885" s="33"/>
      <c r="AI5885" s="33"/>
      <c r="AJ5885" s="33"/>
      <c r="AK5885" s="33"/>
    </row>
    <row r="5886">
      <c r="A5886" s="33"/>
      <c r="B5886" s="33"/>
      <c r="C5886" s="33"/>
      <c r="D5886" s="33"/>
      <c r="E5886" s="33"/>
      <c r="F5886" s="33"/>
      <c r="G5886" s="33"/>
      <c r="H5886" s="33"/>
      <c r="I5886" s="33"/>
      <c r="J5886" s="33"/>
      <c r="K5886" s="33"/>
      <c r="L5886" s="33"/>
      <c r="M5886" s="33"/>
      <c r="N5886" s="33"/>
      <c r="O5886" s="33"/>
      <c r="P5886" s="33"/>
      <c r="Q5886" s="33"/>
      <c r="R5886" s="33"/>
      <c r="S5886" s="33"/>
      <c r="T5886" s="33"/>
      <c r="U5886" s="33"/>
      <c r="V5886" s="33"/>
      <c r="W5886" s="33"/>
      <c r="X5886" s="33"/>
      <c r="Y5886" s="33"/>
      <c r="Z5886" s="33"/>
      <c r="AA5886" s="33"/>
      <c r="AB5886" s="33"/>
      <c r="AC5886" s="33"/>
      <c r="AD5886" s="33"/>
      <c r="AE5886" s="33"/>
      <c r="AF5886" s="33"/>
      <c r="AG5886" s="33"/>
      <c r="AH5886" s="33"/>
      <c r="AI5886" s="33"/>
      <c r="AJ5886" s="33"/>
      <c r="AK5886" s="33"/>
    </row>
    <row r="5887">
      <c r="A5887" s="33"/>
      <c r="B5887" s="33"/>
      <c r="C5887" s="33"/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/>
      <c r="Y5887" s="33"/>
      <c r="Z5887" s="33"/>
      <c r="AA5887" s="33"/>
      <c r="AB5887" s="33"/>
      <c r="AC5887" s="33"/>
      <c r="AD5887" s="33"/>
      <c r="AE5887" s="33"/>
      <c r="AF5887" s="33"/>
      <c r="AG5887" s="33"/>
      <c r="AH5887" s="33"/>
      <c r="AI5887" s="33"/>
      <c r="AJ5887" s="33"/>
      <c r="AK5887" s="33"/>
    </row>
    <row r="5888">
      <c r="A5888" s="33"/>
      <c r="B5888" s="33"/>
      <c r="C5888" s="33"/>
      <c r="D5888" s="33"/>
      <c r="E5888" s="33"/>
      <c r="F5888" s="33"/>
      <c r="G5888" s="33"/>
      <c r="H5888" s="33"/>
      <c r="I5888" s="33"/>
      <c r="J5888" s="33"/>
      <c r="K5888" s="33"/>
      <c r="L5888" s="33"/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/>
      <c r="X5888" s="33"/>
      <c r="Y5888" s="33"/>
      <c r="Z5888" s="33"/>
      <c r="AA5888" s="33"/>
      <c r="AB5888" s="33"/>
      <c r="AC5888" s="33"/>
      <c r="AD5888" s="33"/>
      <c r="AE5888" s="33"/>
      <c r="AF5888" s="33"/>
      <c r="AG5888" s="33"/>
      <c r="AH5888" s="33"/>
      <c r="AI5888" s="33"/>
      <c r="AJ5888" s="33"/>
      <c r="AK5888" s="33"/>
    </row>
    <row r="5889">
      <c r="A5889" s="33"/>
      <c r="B5889" s="33"/>
      <c r="C5889" s="33"/>
      <c r="D5889" s="33"/>
      <c r="E5889" s="33"/>
      <c r="F5889" s="33"/>
      <c r="G5889" s="33"/>
      <c r="H5889" s="33"/>
      <c r="I5889" s="33"/>
      <c r="J5889" s="33"/>
      <c r="K5889" s="33"/>
      <c r="L5889" s="33"/>
      <c r="M5889" s="33"/>
      <c r="N5889" s="33"/>
      <c r="O5889" s="33"/>
      <c r="P5889" s="33"/>
      <c r="Q5889" s="33"/>
      <c r="R5889" s="33"/>
      <c r="S5889" s="33"/>
      <c r="T5889" s="33"/>
      <c r="U5889" s="33"/>
      <c r="V5889" s="33"/>
      <c r="W5889" s="33"/>
      <c r="X5889" s="33"/>
      <c r="Y5889" s="33"/>
      <c r="Z5889" s="33"/>
      <c r="AA5889" s="33"/>
      <c r="AB5889" s="33"/>
      <c r="AC5889" s="33"/>
      <c r="AD5889" s="33"/>
      <c r="AE5889" s="33"/>
      <c r="AF5889" s="33"/>
      <c r="AG5889" s="33"/>
      <c r="AH5889" s="33"/>
      <c r="AI5889" s="33"/>
      <c r="AJ5889" s="33"/>
      <c r="AK5889" s="33"/>
    </row>
    <row r="5890">
      <c r="A5890" s="33"/>
      <c r="B5890" s="33"/>
      <c r="C5890" s="33"/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3"/>
      <c r="P5890" s="33"/>
      <c r="Q5890" s="33"/>
      <c r="R5890" s="33"/>
      <c r="S5890" s="33"/>
      <c r="T5890" s="33"/>
      <c r="U5890" s="33"/>
      <c r="V5890" s="33"/>
      <c r="W5890" s="33"/>
      <c r="X5890" s="33"/>
      <c r="Y5890" s="33"/>
      <c r="Z5890" s="33"/>
      <c r="AA5890" s="33"/>
      <c r="AB5890" s="33"/>
      <c r="AC5890" s="33"/>
      <c r="AD5890" s="33"/>
      <c r="AE5890" s="33"/>
      <c r="AF5890" s="33"/>
      <c r="AG5890" s="33"/>
      <c r="AH5890" s="33"/>
      <c r="AI5890" s="33"/>
      <c r="AJ5890" s="33"/>
      <c r="AK5890" s="33"/>
    </row>
    <row r="5891">
      <c r="A5891" s="33"/>
      <c r="B5891" s="33"/>
      <c r="C5891" s="33"/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3"/>
      <c r="X5891" s="33"/>
      <c r="Y5891" s="33"/>
      <c r="Z5891" s="33"/>
      <c r="AA5891" s="33"/>
      <c r="AB5891" s="33"/>
      <c r="AC5891" s="33"/>
      <c r="AD5891" s="33"/>
      <c r="AE5891" s="33"/>
      <c r="AF5891" s="33"/>
      <c r="AG5891" s="33"/>
      <c r="AH5891" s="33"/>
      <c r="AI5891" s="33"/>
      <c r="AJ5891" s="33"/>
      <c r="AK5891" s="33"/>
    </row>
    <row r="5892">
      <c r="A5892" s="33"/>
      <c r="B5892" s="33"/>
      <c r="C5892" s="33"/>
      <c r="D5892" s="33"/>
      <c r="E5892" s="33"/>
      <c r="F5892" s="33"/>
      <c r="G5892" s="33"/>
      <c r="H5892" s="33"/>
      <c r="I5892" s="33"/>
      <c r="J5892" s="33"/>
      <c r="K5892" s="33"/>
      <c r="L5892" s="33"/>
      <c r="M5892" s="33"/>
      <c r="N5892" s="33"/>
      <c r="O5892" s="33"/>
      <c r="P5892" s="33"/>
      <c r="Q5892" s="33"/>
      <c r="R5892" s="33"/>
      <c r="S5892" s="33"/>
      <c r="T5892" s="33"/>
      <c r="U5892" s="33"/>
      <c r="V5892" s="33"/>
      <c r="W5892" s="33"/>
      <c r="X5892" s="33"/>
      <c r="Y5892" s="33"/>
      <c r="Z5892" s="33"/>
      <c r="AA5892" s="33"/>
      <c r="AB5892" s="33"/>
      <c r="AC5892" s="33"/>
      <c r="AD5892" s="33"/>
      <c r="AE5892" s="33"/>
      <c r="AF5892" s="33"/>
      <c r="AG5892" s="33"/>
      <c r="AH5892" s="33"/>
      <c r="AI5892" s="33"/>
      <c r="AJ5892" s="33"/>
      <c r="AK5892" s="33"/>
    </row>
    <row r="5893">
      <c r="A5893" s="33"/>
      <c r="B5893" s="33"/>
      <c r="C5893" s="33"/>
      <c r="D5893" s="33"/>
      <c r="E5893" s="33"/>
      <c r="F5893" s="33"/>
      <c r="G5893" s="33"/>
      <c r="H5893" s="33"/>
      <c r="I5893" s="33"/>
      <c r="J5893" s="33"/>
      <c r="K5893" s="33"/>
      <c r="L5893" s="33"/>
      <c r="M5893" s="33"/>
      <c r="N5893" s="33"/>
      <c r="O5893" s="33"/>
      <c r="P5893" s="33"/>
      <c r="Q5893" s="33"/>
      <c r="R5893" s="33"/>
      <c r="S5893" s="33"/>
      <c r="T5893" s="33"/>
      <c r="U5893" s="33"/>
      <c r="V5893" s="33"/>
      <c r="W5893" s="33"/>
      <c r="X5893" s="33"/>
      <c r="Y5893" s="33"/>
      <c r="Z5893" s="33"/>
      <c r="AA5893" s="33"/>
      <c r="AB5893" s="33"/>
      <c r="AC5893" s="33"/>
      <c r="AD5893" s="33"/>
      <c r="AE5893" s="33"/>
      <c r="AF5893" s="33"/>
      <c r="AG5893" s="33"/>
      <c r="AH5893" s="33"/>
      <c r="AI5893" s="33"/>
      <c r="AJ5893" s="33"/>
      <c r="AK5893" s="33"/>
    </row>
    <row r="5894">
      <c r="A5894" s="33"/>
      <c r="B5894" s="33"/>
      <c r="C5894" s="33"/>
      <c r="D5894" s="33"/>
      <c r="E5894" s="33"/>
      <c r="F5894" s="33"/>
      <c r="G5894" s="33"/>
      <c r="H5894" s="33"/>
      <c r="I5894" s="33"/>
      <c r="J5894" s="33"/>
      <c r="K5894" s="33"/>
      <c r="L5894" s="33"/>
      <c r="M5894" s="33"/>
      <c r="N5894" s="33"/>
      <c r="O5894" s="33"/>
      <c r="P5894" s="33"/>
      <c r="Q5894" s="33"/>
      <c r="R5894" s="33"/>
      <c r="S5894" s="33"/>
      <c r="T5894" s="33"/>
      <c r="U5894" s="33"/>
      <c r="V5894" s="33"/>
      <c r="W5894" s="33"/>
      <c r="X5894" s="33"/>
      <c r="Y5894" s="33"/>
      <c r="Z5894" s="33"/>
      <c r="AA5894" s="33"/>
      <c r="AB5894" s="33"/>
      <c r="AC5894" s="33"/>
      <c r="AD5894" s="33"/>
      <c r="AE5894" s="33"/>
      <c r="AF5894" s="33"/>
      <c r="AG5894" s="33"/>
      <c r="AH5894" s="33"/>
      <c r="AI5894" s="33"/>
      <c r="AJ5894" s="33"/>
      <c r="AK5894" s="33"/>
    </row>
    <row r="5895">
      <c r="A5895" s="33"/>
      <c r="B5895" s="33"/>
      <c r="C5895" s="33"/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3"/>
      <c r="X5895" s="33"/>
      <c r="Y5895" s="33"/>
      <c r="Z5895" s="33"/>
      <c r="AA5895" s="33"/>
      <c r="AB5895" s="33"/>
      <c r="AC5895" s="33"/>
      <c r="AD5895" s="33"/>
      <c r="AE5895" s="33"/>
      <c r="AF5895" s="33"/>
      <c r="AG5895" s="33"/>
      <c r="AH5895" s="33"/>
      <c r="AI5895" s="33"/>
      <c r="AJ5895" s="33"/>
      <c r="AK5895" s="33"/>
    </row>
    <row r="5896">
      <c r="A5896" s="33"/>
      <c r="B5896" s="33"/>
      <c r="C5896" s="33"/>
      <c r="D5896" s="33"/>
      <c r="E5896" s="33"/>
      <c r="F5896" s="33"/>
      <c r="G5896" s="33"/>
      <c r="H5896" s="33"/>
      <c r="I5896" s="33"/>
      <c r="J5896" s="33"/>
      <c r="K5896" s="33"/>
      <c r="L5896" s="33"/>
      <c r="M5896" s="33"/>
      <c r="N5896" s="33"/>
      <c r="O5896" s="33"/>
      <c r="P5896" s="33"/>
      <c r="Q5896" s="33"/>
      <c r="R5896" s="33"/>
      <c r="S5896" s="33"/>
      <c r="T5896" s="33"/>
      <c r="U5896" s="33"/>
      <c r="V5896" s="33"/>
      <c r="W5896" s="33"/>
      <c r="X5896" s="33"/>
      <c r="Y5896" s="33"/>
      <c r="Z5896" s="33"/>
      <c r="AA5896" s="33"/>
      <c r="AB5896" s="33"/>
      <c r="AC5896" s="33"/>
      <c r="AD5896" s="33"/>
      <c r="AE5896" s="33"/>
      <c r="AF5896" s="33"/>
      <c r="AG5896" s="33"/>
      <c r="AH5896" s="33"/>
      <c r="AI5896" s="33"/>
      <c r="AJ5896" s="33"/>
      <c r="AK5896" s="33"/>
    </row>
    <row r="5897">
      <c r="A5897" s="33"/>
      <c r="B5897" s="33"/>
      <c r="C5897" s="33"/>
      <c r="D5897" s="33"/>
      <c r="E5897" s="33"/>
      <c r="F5897" s="33"/>
      <c r="G5897" s="33"/>
      <c r="H5897" s="33"/>
      <c r="I5897" s="33"/>
      <c r="J5897" s="33"/>
      <c r="K5897" s="33"/>
      <c r="L5897" s="33"/>
      <c r="M5897" s="33"/>
      <c r="N5897" s="33"/>
      <c r="O5897" s="33"/>
      <c r="P5897" s="33"/>
      <c r="Q5897" s="33"/>
      <c r="R5897" s="33"/>
      <c r="S5897" s="33"/>
      <c r="T5897" s="33"/>
      <c r="U5897" s="33"/>
      <c r="V5897" s="33"/>
      <c r="W5897" s="33"/>
      <c r="X5897" s="33"/>
      <c r="Y5897" s="33"/>
      <c r="Z5897" s="33"/>
      <c r="AA5897" s="33"/>
      <c r="AB5897" s="33"/>
      <c r="AC5897" s="33"/>
      <c r="AD5897" s="33"/>
      <c r="AE5897" s="33"/>
      <c r="AF5897" s="33"/>
      <c r="AG5897" s="33"/>
      <c r="AH5897" s="33"/>
      <c r="AI5897" s="33"/>
      <c r="AJ5897" s="33"/>
      <c r="AK5897" s="33"/>
    </row>
    <row r="5898">
      <c r="A5898" s="33"/>
      <c r="B5898" s="33"/>
      <c r="C5898" s="33"/>
      <c r="D5898" s="33"/>
      <c r="E5898" s="33"/>
      <c r="F5898" s="33"/>
      <c r="G5898" s="33"/>
      <c r="H5898" s="33"/>
      <c r="I5898" s="33"/>
      <c r="J5898" s="33"/>
      <c r="K5898" s="33"/>
      <c r="L5898" s="33"/>
      <c r="M5898" s="33"/>
      <c r="N5898" s="33"/>
      <c r="O5898" s="33"/>
      <c r="P5898" s="33"/>
      <c r="Q5898" s="33"/>
      <c r="R5898" s="33"/>
      <c r="S5898" s="33"/>
      <c r="T5898" s="33"/>
      <c r="U5898" s="33"/>
      <c r="V5898" s="33"/>
      <c r="W5898" s="33"/>
      <c r="X5898" s="33"/>
      <c r="Y5898" s="33"/>
      <c r="Z5898" s="33"/>
      <c r="AA5898" s="33"/>
      <c r="AB5898" s="33"/>
      <c r="AC5898" s="33"/>
      <c r="AD5898" s="33"/>
      <c r="AE5898" s="33"/>
      <c r="AF5898" s="33"/>
      <c r="AG5898" s="33"/>
      <c r="AH5898" s="33"/>
      <c r="AI5898" s="33"/>
      <c r="AJ5898" s="33"/>
      <c r="AK5898" s="33"/>
    </row>
    <row r="5899">
      <c r="A5899" s="33"/>
      <c r="B5899" s="33"/>
      <c r="C5899" s="33"/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3"/>
      <c r="X5899" s="33"/>
      <c r="Y5899" s="33"/>
      <c r="Z5899" s="33"/>
      <c r="AA5899" s="33"/>
      <c r="AB5899" s="33"/>
      <c r="AC5899" s="33"/>
      <c r="AD5899" s="33"/>
      <c r="AE5899" s="33"/>
      <c r="AF5899" s="33"/>
      <c r="AG5899" s="33"/>
      <c r="AH5899" s="33"/>
      <c r="AI5899" s="33"/>
      <c r="AJ5899" s="33"/>
      <c r="AK5899" s="33"/>
    </row>
    <row r="5900">
      <c r="A5900" s="33"/>
      <c r="B5900" s="33"/>
      <c r="C5900" s="33"/>
      <c r="D5900" s="33"/>
      <c r="E5900" s="33"/>
      <c r="F5900" s="33"/>
      <c r="G5900" s="33"/>
      <c r="H5900" s="33"/>
      <c r="I5900" s="33"/>
      <c r="J5900" s="33"/>
      <c r="K5900" s="33"/>
      <c r="L5900" s="33"/>
      <c r="M5900" s="33"/>
      <c r="N5900" s="33"/>
      <c r="O5900" s="33"/>
      <c r="P5900" s="33"/>
      <c r="Q5900" s="33"/>
      <c r="R5900" s="33"/>
      <c r="S5900" s="33"/>
      <c r="T5900" s="33"/>
      <c r="U5900" s="33"/>
      <c r="V5900" s="33"/>
      <c r="W5900" s="33"/>
      <c r="X5900" s="33"/>
      <c r="Y5900" s="33"/>
      <c r="Z5900" s="33"/>
      <c r="AA5900" s="33"/>
      <c r="AB5900" s="33"/>
      <c r="AC5900" s="33"/>
      <c r="AD5900" s="33"/>
      <c r="AE5900" s="33"/>
      <c r="AF5900" s="33"/>
      <c r="AG5900" s="33"/>
      <c r="AH5900" s="33"/>
      <c r="AI5900" s="33"/>
      <c r="AJ5900" s="33"/>
      <c r="AK5900" s="33"/>
    </row>
    <row r="5901">
      <c r="A5901" s="33"/>
      <c r="B5901" s="33"/>
      <c r="C5901" s="33"/>
      <c r="D5901" s="33"/>
      <c r="E5901" s="33"/>
      <c r="F5901" s="33"/>
      <c r="G5901" s="33"/>
      <c r="H5901" s="33"/>
      <c r="I5901" s="33"/>
      <c r="J5901" s="33"/>
      <c r="K5901" s="33"/>
      <c r="L5901" s="33"/>
      <c r="M5901" s="33"/>
      <c r="N5901" s="33"/>
      <c r="O5901" s="33"/>
      <c r="P5901" s="33"/>
      <c r="Q5901" s="33"/>
      <c r="R5901" s="33"/>
      <c r="S5901" s="33"/>
      <c r="T5901" s="33"/>
      <c r="U5901" s="33"/>
      <c r="V5901" s="33"/>
      <c r="W5901" s="33"/>
      <c r="X5901" s="33"/>
      <c r="Y5901" s="33"/>
      <c r="Z5901" s="33"/>
      <c r="AA5901" s="33"/>
      <c r="AB5901" s="33"/>
      <c r="AC5901" s="33"/>
      <c r="AD5901" s="33"/>
      <c r="AE5901" s="33"/>
      <c r="AF5901" s="33"/>
      <c r="AG5901" s="33"/>
      <c r="AH5901" s="33"/>
      <c r="AI5901" s="33"/>
      <c r="AJ5901" s="33"/>
      <c r="AK5901" s="33"/>
    </row>
    <row r="5902">
      <c r="A5902" s="33"/>
      <c r="B5902" s="33"/>
      <c r="C5902" s="33"/>
      <c r="D5902" s="33"/>
      <c r="E5902" s="33"/>
      <c r="F5902" s="33"/>
      <c r="G5902" s="33"/>
      <c r="H5902" s="33"/>
      <c r="I5902" s="33"/>
      <c r="J5902" s="33"/>
      <c r="K5902" s="33"/>
      <c r="L5902" s="33"/>
      <c r="M5902" s="33"/>
      <c r="N5902" s="33"/>
      <c r="O5902" s="33"/>
      <c r="P5902" s="33"/>
      <c r="Q5902" s="33"/>
      <c r="R5902" s="33"/>
      <c r="S5902" s="33"/>
      <c r="T5902" s="33"/>
      <c r="U5902" s="33"/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  <c r="AG5902" s="33"/>
      <c r="AH5902" s="33"/>
      <c r="AI5902" s="33"/>
      <c r="AJ5902" s="33"/>
      <c r="AK5902" s="33"/>
    </row>
    <row r="5903">
      <c r="A5903" s="33"/>
      <c r="B5903" s="33"/>
      <c r="C5903" s="33"/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  <c r="Q5903" s="33"/>
      <c r="R5903" s="33"/>
      <c r="S5903" s="33"/>
      <c r="T5903" s="33"/>
      <c r="U5903" s="33"/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  <c r="AG5903" s="33"/>
      <c r="AH5903" s="33"/>
      <c r="AI5903" s="33"/>
      <c r="AJ5903" s="33"/>
      <c r="AK5903" s="33"/>
    </row>
    <row r="5904">
      <c r="A5904" s="33"/>
      <c r="B5904" s="33"/>
      <c r="C5904" s="33"/>
      <c r="D5904" s="33"/>
      <c r="E5904" s="33"/>
      <c r="F5904" s="33"/>
      <c r="G5904" s="33"/>
      <c r="H5904" s="33"/>
      <c r="I5904" s="33"/>
      <c r="J5904" s="33"/>
      <c r="K5904" s="33"/>
      <c r="L5904" s="33"/>
      <c r="M5904" s="33"/>
      <c r="N5904" s="33"/>
      <c r="O5904" s="33"/>
      <c r="P5904" s="33"/>
      <c r="Q5904" s="33"/>
      <c r="R5904" s="33"/>
      <c r="S5904" s="33"/>
      <c r="T5904" s="33"/>
      <c r="U5904" s="33"/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  <c r="AG5904" s="33"/>
      <c r="AH5904" s="33"/>
      <c r="AI5904" s="33"/>
      <c r="AJ5904" s="33"/>
      <c r="AK5904" s="33"/>
    </row>
    <row r="5905">
      <c r="A5905" s="33"/>
      <c r="B5905" s="33"/>
      <c r="C5905" s="33"/>
      <c r="D5905" s="33"/>
      <c r="E5905" s="33"/>
      <c r="F5905" s="33"/>
      <c r="G5905" s="33"/>
      <c r="H5905" s="33"/>
      <c r="I5905" s="33"/>
      <c r="J5905" s="33"/>
      <c r="K5905" s="33"/>
      <c r="L5905" s="33"/>
      <c r="M5905" s="33"/>
      <c r="N5905" s="33"/>
      <c r="O5905" s="33"/>
      <c r="P5905" s="33"/>
      <c r="Q5905" s="33"/>
      <c r="R5905" s="33"/>
      <c r="S5905" s="33"/>
      <c r="T5905" s="33"/>
      <c r="U5905" s="33"/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  <c r="AG5905" s="33"/>
      <c r="AH5905" s="33"/>
      <c r="AI5905" s="33"/>
      <c r="AJ5905" s="33"/>
      <c r="AK5905" s="33"/>
    </row>
    <row r="5906">
      <c r="A5906" s="33"/>
      <c r="B5906" s="33"/>
      <c r="C5906" s="33"/>
      <c r="D5906" s="33"/>
      <c r="E5906" s="33"/>
      <c r="F5906" s="33"/>
      <c r="G5906" s="33"/>
      <c r="H5906" s="33"/>
      <c r="I5906" s="33"/>
      <c r="J5906" s="33"/>
      <c r="K5906" s="33"/>
      <c r="L5906" s="33"/>
      <c r="M5906" s="33"/>
      <c r="N5906" s="33"/>
      <c r="O5906" s="33"/>
      <c r="P5906" s="33"/>
      <c r="Q5906" s="33"/>
      <c r="R5906" s="33"/>
      <c r="S5906" s="33"/>
      <c r="T5906" s="33"/>
      <c r="U5906" s="33"/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  <c r="AG5906" s="33"/>
      <c r="AH5906" s="33"/>
      <c r="AI5906" s="33"/>
      <c r="AJ5906" s="33"/>
      <c r="AK5906" s="33"/>
    </row>
    <row r="5907">
      <c r="A5907" s="33"/>
      <c r="B5907" s="33"/>
      <c r="C5907" s="33"/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  <c r="Q5907" s="33"/>
      <c r="R5907" s="33"/>
      <c r="S5907" s="33"/>
      <c r="T5907" s="33"/>
      <c r="U5907" s="33"/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  <c r="AG5907" s="33"/>
      <c r="AH5907" s="33"/>
      <c r="AI5907" s="33"/>
      <c r="AJ5907" s="33"/>
      <c r="AK5907" s="33"/>
    </row>
    <row r="5908">
      <c r="A5908" s="33"/>
      <c r="B5908" s="33"/>
      <c r="C5908" s="33"/>
      <c r="D5908" s="33"/>
      <c r="E5908" s="33"/>
      <c r="F5908" s="33"/>
      <c r="G5908" s="33"/>
      <c r="H5908" s="33"/>
      <c r="I5908" s="33"/>
      <c r="J5908" s="33"/>
      <c r="K5908" s="33"/>
      <c r="L5908" s="33"/>
      <c r="M5908" s="33"/>
      <c r="N5908" s="33"/>
      <c r="O5908" s="33"/>
      <c r="P5908" s="33"/>
      <c r="Q5908" s="33"/>
      <c r="R5908" s="33"/>
      <c r="S5908" s="33"/>
      <c r="T5908" s="33"/>
      <c r="U5908" s="33"/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  <c r="AG5908" s="33"/>
      <c r="AH5908" s="33"/>
      <c r="AI5908" s="33"/>
      <c r="AJ5908" s="33"/>
      <c r="AK5908" s="33"/>
    </row>
    <row r="5909">
      <c r="A5909" s="33"/>
      <c r="B5909" s="33"/>
      <c r="C5909" s="33"/>
      <c r="D5909" s="33"/>
      <c r="E5909" s="33"/>
      <c r="F5909" s="33"/>
      <c r="G5909" s="33"/>
      <c r="H5909" s="33"/>
      <c r="I5909" s="33"/>
      <c r="J5909" s="33"/>
      <c r="K5909" s="33"/>
      <c r="L5909" s="33"/>
      <c r="M5909" s="33"/>
      <c r="N5909" s="33"/>
      <c r="O5909" s="33"/>
      <c r="P5909" s="33"/>
      <c r="Q5909" s="33"/>
      <c r="R5909" s="33"/>
      <c r="S5909" s="33"/>
      <c r="T5909" s="33"/>
      <c r="U5909" s="33"/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  <c r="AG5909" s="33"/>
      <c r="AH5909" s="33"/>
      <c r="AI5909" s="33"/>
      <c r="AJ5909" s="33"/>
      <c r="AK5909" s="33"/>
    </row>
    <row r="5910">
      <c r="A5910" s="33"/>
      <c r="B5910" s="33"/>
      <c r="C5910" s="33"/>
      <c r="D5910" s="33"/>
      <c r="E5910" s="33"/>
      <c r="F5910" s="33"/>
      <c r="G5910" s="33"/>
      <c r="H5910" s="33"/>
      <c r="I5910" s="33"/>
      <c r="J5910" s="33"/>
      <c r="K5910" s="33"/>
      <c r="L5910" s="33"/>
      <c r="M5910" s="33"/>
      <c r="N5910" s="33"/>
      <c r="O5910" s="33"/>
      <c r="P5910" s="33"/>
      <c r="Q5910" s="33"/>
      <c r="R5910" s="33"/>
      <c r="S5910" s="33"/>
      <c r="T5910" s="33"/>
      <c r="U5910" s="33"/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  <c r="AG5910" s="33"/>
      <c r="AH5910" s="33"/>
      <c r="AI5910" s="33"/>
      <c r="AJ5910" s="33"/>
      <c r="AK5910" s="33"/>
    </row>
    <row r="5911">
      <c r="A5911" s="33"/>
      <c r="B5911" s="33"/>
      <c r="C5911" s="33"/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  <c r="Q5911" s="33"/>
      <c r="R5911" s="33"/>
      <c r="S5911" s="33"/>
      <c r="T5911" s="33"/>
      <c r="U5911" s="33"/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  <c r="AG5911" s="33"/>
      <c r="AH5911" s="33"/>
      <c r="AI5911" s="33"/>
      <c r="AJ5911" s="33"/>
      <c r="AK5911" s="33"/>
    </row>
    <row r="5912">
      <c r="A5912" s="33"/>
      <c r="B5912" s="33"/>
      <c r="C5912" s="33"/>
      <c r="D5912" s="33"/>
      <c r="E5912" s="33"/>
      <c r="F5912" s=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"33"/>
      <c r="Q5912" s="33"/>
      <c r="R5912" s="33"/>
      <c r="S5912" s="33"/>
      <c r="T5912" s="33"/>
      <c r="U5912" s="33"/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  <c r="AG5912" s="33"/>
      <c r="AH5912" s="33"/>
      <c r="AI5912" s="33"/>
      <c r="AJ5912" s="33"/>
      <c r="AK5912" s="33"/>
    </row>
    <row r="5913">
      <c r="A5913" s="33"/>
      <c r="B5913" s="33"/>
      <c r="C5913" s="33"/>
      <c r="D5913" s="33"/>
      <c r="E5913" s="33"/>
      <c r="F5913" s="33"/>
      <c r="G5913" s="33"/>
      <c r="H5913" s="33"/>
      <c r="I5913" s="33"/>
      <c r="J5913" s="33"/>
      <c r="K5913" s="33"/>
      <c r="L5913" s="33"/>
      <c r="M5913" s="33"/>
      <c r="N5913" s="33"/>
      <c r="O5913" s="33"/>
      <c r="P5913" s="33"/>
      <c r="Q5913" s="33"/>
      <c r="R5913" s="33"/>
      <c r="S5913" s="33"/>
      <c r="T5913" s="33"/>
      <c r="U5913" s="33"/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  <c r="AG5913" s="33"/>
      <c r="AH5913" s="33"/>
      <c r="AI5913" s="33"/>
      <c r="AJ5913" s="33"/>
      <c r="AK5913" s="33"/>
    </row>
    <row r="5914">
      <c r="A5914" s="33"/>
      <c r="B5914" s="33"/>
      <c r="C5914" s="33"/>
      <c r="D5914" s="33"/>
      <c r="E5914" s="33"/>
      <c r="F5914" s="33"/>
      <c r="G5914" s="33"/>
      <c r="H5914" s="33"/>
      <c r="I5914" s="33"/>
      <c r="J5914" s="33"/>
      <c r="K5914" s="33"/>
      <c r="L5914" s="33"/>
      <c r="M5914" s="33"/>
      <c r="N5914" s="33"/>
      <c r="O5914" s="33"/>
      <c r="P5914" s="33"/>
      <c r="Q5914" s="33"/>
      <c r="R5914" s="33"/>
      <c r="S5914" s="33"/>
      <c r="T5914" s="33"/>
      <c r="U5914" s="33"/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  <c r="AG5914" s="33"/>
      <c r="AH5914" s="33"/>
      <c r="AI5914" s="33"/>
      <c r="AJ5914" s="33"/>
      <c r="AK5914" s="33"/>
    </row>
    <row r="5915">
      <c r="A5915" s="33"/>
      <c r="B5915" s="33"/>
      <c r="C5915" s="33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  <c r="Q5915" s="33"/>
      <c r="R5915" s="33"/>
      <c r="S5915" s="33"/>
      <c r="T5915" s="33"/>
      <c r="U5915" s="33"/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  <c r="AG5915" s="33"/>
      <c r="AH5915" s="33"/>
      <c r="AI5915" s="33"/>
      <c r="AJ5915" s="33"/>
      <c r="AK5915" s="33"/>
    </row>
    <row r="5916">
      <c r="A5916" s="33"/>
      <c r="B5916" s="33"/>
      <c r="C5916" s="33"/>
      <c r="D5916" s="33"/>
      <c r="E5916" s="33"/>
      <c r="F5916" s="33"/>
      <c r="G5916" s="33"/>
      <c r="H5916" s="33"/>
      <c r="I5916" s="33"/>
      <c r="J5916" s="33"/>
      <c r="K5916" s="33"/>
      <c r="L5916" s="33"/>
      <c r="M5916" s="33"/>
      <c r="N5916" s="33"/>
      <c r="O5916" s="33"/>
      <c r="P5916" s="33"/>
      <c r="Q5916" s="33"/>
      <c r="R5916" s="33"/>
      <c r="S5916" s="33"/>
      <c r="T5916" s="33"/>
      <c r="U5916" s="33"/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  <c r="AG5916" s="33"/>
      <c r="AH5916" s="33"/>
      <c r="AI5916" s="33"/>
      <c r="AJ5916" s="33"/>
      <c r="AK5916" s="33"/>
    </row>
    <row r="5917">
      <c r="A5917" s="33"/>
      <c r="B5917" s="33"/>
      <c r="C5917" s="33"/>
      <c r="D5917" s="33"/>
      <c r="E5917" s="33"/>
      <c r="F5917" s="33"/>
      <c r="G5917" s="33"/>
      <c r="H5917" s="33"/>
      <c r="I5917" s="33"/>
      <c r="J5917" s="33"/>
      <c r="K5917" s="33"/>
      <c r="L5917" s="33"/>
      <c r="M5917" s="33"/>
      <c r="N5917" s="33"/>
      <c r="O5917" s="33"/>
      <c r="P5917" s="33"/>
      <c r="Q5917" s="33"/>
      <c r="R5917" s="33"/>
      <c r="S5917" s="33"/>
      <c r="T5917" s="33"/>
      <c r="U5917" s="33"/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  <c r="AG5917" s="33"/>
      <c r="AH5917" s="33"/>
      <c r="AI5917" s="33"/>
      <c r="AJ5917" s="33"/>
      <c r="AK5917" s="33"/>
    </row>
    <row r="5918">
      <c r="A5918" s="33"/>
      <c r="B5918" s="33"/>
      <c r="C5918" s="33"/>
      <c r="D5918" s="33"/>
      <c r="E5918" s="33"/>
      <c r="F5918" s="33"/>
      <c r="G5918" s="33"/>
      <c r="H5918" s="33"/>
      <c r="I5918" s="33"/>
      <c r="J5918" s="33"/>
      <c r="K5918" s="33"/>
      <c r="L5918" s="33"/>
      <c r="M5918" s="33"/>
      <c r="N5918" s="33"/>
      <c r="O5918" s="33"/>
      <c r="P5918" s="33"/>
      <c r="Q5918" s="33"/>
      <c r="R5918" s="33"/>
      <c r="S5918" s="33"/>
      <c r="T5918" s="33"/>
      <c r="U5918" s="33"/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  <c r="AG5918" s="33"/>
      <c r="AH5918" s="33"/>
      <c r="AI5918" s="33"/>
      <c r="AJ5918" s="33"/>
      <c r="AK5918" s="33"/>
    </row>
    <row r="5919">
      <c r="A5919" s="33"/>
      <c r="B5919" s="33"/>
      <c r="C5919" s="33"/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  <c r="R5919" s="33"/>
      <c r="S5919" s="33"/>
      <c r="T5919" s="33"/>
      <c r="U5919" s="33"/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  <c r="AG5919" s="33"/>
      <c r="AH5919" s="33"/>
      <c r="AI5919" s="33"/>
      <c r="AJ5919" s="33"/>
      <c r="AK5919" s="33"/>
    </row>
    <row r="5920">
      <c r="A5920" s="33"/>
      <c r="B5920" s="33"/>
      <c r="C5920" s="33"/>
      <c r="D5920" s="33"/>
      <c r="E5920" s="33"/>
      <c r="F5920" s="33"/>
      <c r="G5920" s="33"/>
      <c r="H5920" s="33"/>
      <c r="I5920" s="33"/>
      <c r="J5920" s="33"/>
      <c r="K5920" s="33"/>
      <c r="L5920" s="33"/>
      <c r="M5920" s="33"/>
      <c r="N5920" s="33"/>
      <c r="O5920" s="33"/>
      <c r="P5920" s="33"/>
      <c r="Q5920" s="33"/>
      <c r="R5920" s="33"/>
      <c r="S5920" s="33"/>
      <c r="T5920" s="33"/>
      <c r="U5920" s="33"/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  <c r="AG5920" s="33"/>
      <c r="AH5920" s="33"/>
      <c r="AI5920" s="33"/>
      <c r="AJ5920" s="33"/>
      <c r="AK5920" s="33"/>
    </row>
    <row r="5921">
      <c r="A5921" s="33"/>
      <c r="B5921" s="33"/>
      <c r="C5921" s="33"/>
      <c r="D5921" s="33"/>
      <c r="E5921" s="33"/>
      <c r="F5921" s="33"/>
      <c r="G5921" s="33"/>
      <c r="H5921" s="33"/>
      <c r="I5921" s="33"/>
      <c r="J5921" s="33"/>
      <c r="K5921" s="33"/>
      <c r="L5921" s="33"/>
      <c r="M5921" s="33"/>
      <c r="N5921" s="33"/>
      <c r="O5921" s="33"/>
      <c r="P5921" s="33"/>
      <c r="Q5921" s="33"/>
      <c r="R5921" s="33"/>
      <c r="S5921" s="33"/>
      <c r="T5921" s="33"/>
      <c r="U5921" s="33"/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  <c r="AG5921" s="33"/>
      <c r="AH5921" s="33"/>
      <c r="AI5921" s="33"/>
      <c r="AJ5921" s="33"/>
      <c r="AK5921" s="33"/>
    </row>
    <row r="5922">
      <c r="A5922" s="33"/>
      <c r="B5922" s="33"/>
      <c r="C5922" s="33"/>
      <c r="D5922" s="33"/>
      <c r="E5922" s="33"/>
      <c r="F5922" s="33"/>
      <c r="G5922" s="33"/>
      <c r="H5922" s="33"/>
      <c r="I5922" s="33"/>
      <c r="J5922" s="33"/>
      <c r="K5922" s="33"/>
      <c r="L5922" s="33"/>
      <c r="M5922" s="33"/>
      <c r="N5922" s="33"/>
      <c r="O5922" s="33"/>
      <c r="P5922" s="33"/>
      <c r="Q5922" s="33"/>
      <c r="R5922" s="33"/>
      <c r="S5922" s="33"/>
      <c r="T5922" s="33"/>
      <c r="U5922" s="33"/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  <c r="AG5922" s="33"/>
      <c r="AH5922" s="33"/>
      <c r="AI5922" s="33"/>
      <c r="AJ5922" s="33"/>
      <c r="AK5922" s="33"/>
    </row>
    <row r="5923">
      <c r="A5923" s="33"/>
      <c r="B5923" s="33"/>
      <c r="C5923" s="33"/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  <c r="Q5923" s="33"/>
      <c r="R5923" s="33"/>
      <c r="S5923" s="33"/>
      <c r="T5923" s="33"/>
      <c r="U5923" s="33"/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  <c r="AG5923" s="33"/>
      <c r="AH5923" s="33"/>
      <c r="AI5923" s="33"/>
      <c r="AJ5923" s="33"/>
      <c r="AK5923" s="33"/>
    </row>
    <row r="5924">
      <c r="A5924" s="33"/>
      <c r="B5924" s="33"/>
      <c r="C5924" s="33"/>
      <c r="D5924" s="33"/>
      <c r="E5924" s="33"/>
      <c r="F5924" s="33"/>
      <c r="G5924" s="33"/>
      <c r="H5924" s="33"/>
      <c r="I5924" s="33"/>
      <c r="J5924" s="33"/>
      <c r="K5924" s="33"/>
      <c r="L5924" s="33"/>
      <c r="M5924" s="33"/>
      <c r="N5924" s="33"/>
      <c r="O5924" s="33"/>
      <c r="P5924" s="33"/>
      <c r="Q5924" s="33"/>
      <c r="R5924" s="33"/>
      <c r="S5924" s="33"/>
      <c r="T5924" s="33"/>
      <c r="U5924" s="33"/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  <c r="AG5924" s="33"/>
      <c r="AH5924" s="33"/>
      <c r="AI5924" s="33"/>
      <c r="AJ5924" s="33"/>
      <c r="AK5924" s="33"/>
    </row>
    <row r="5925">
      <c r="A5925" s="33"/>
      <c r="B5925" s="33"/>
      <c r="C5925" s="33"/>
      <c r="D5925" s="33"/>
      <c r="E5925" s="33"/>
      <c r="F5925" s="33"/>
      <c r="G5925" s="33"/>
      <c r="H5925" s="33"/>
      <c r="I5925" s="33"/>
      <c r="J5925" s="33"/>
      <c r="K5925" s="33"/>
      <c r="L5925" s="33"/>
      <c r="M5925" s="33"/>
      <c r="N5925" s="33"/>
      <c r="O5925" s="33"/>
      <c r="P5925" s="33"/>
      <c r="Q5925" s="33"/>
      <c r="R5925" s="33"/>
      <c r="S5925" s="33"/>
      <c r="T5925" s="33"/>
      <c r="U5925" s="33"/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  <c r="AG5925" s="33"/>
      <c r="AH5925" s="33"/>
      <c r="AI5925" s="33"/>
      <c r="AJ5925" s="33"/>
      <c r="AK5925" s="33"/>
    </row>
    <row r="5926">
      <c r="A5926" s="33"/>
      <c r="B5926" s="33"/>
      <c r="C5926" s="33"/>
      <c r="D5926" s="33"/>
      <c r="E5926" s="33"/>
      <c r="F5926" s="33"/>
      <c r="G5926" s="33"/>
      <c r="H5926" s="33"/>
      <c r="I5926" s="33"/>
      <c r="J5926" s="33"/>
      <c r="K5926" s="33"/>
      <c r="L5926" s="33"/>
      <c r="M5926" s="33"/>
      <c r="N5926" s="33"/>
      <c r="O5926" s="33"/>
      <c r="P5926" s="33"/>
      <c r="Q5926" s="33"/>
      <c r="R5926" s="33"/>
      <c r="S5926" s="33"/>
      <c r="T5926" s="33"/>
      <c r="U5926" s="33"/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  <c r="AG5926" s="33"/>
      <c r="AH5926" s="33"/>
      <c r="AI5926" s="33"/>
      <c r="AJ5926" s="33"/>
      <c r="AK5926" s="33"/>
    </row>
    <row r="5927">
      <c r="A5927" s="33"/>
      <c r="B5927" s="33"/>
      <c r="C5927" s="33"/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  <c r="Q5927" s="33"/>
      <c r="R5927" s="33"/>
      <c r="S5927" s="33"/>
      <c r="T5927" s="33"/>
      <c r="U5927" s="33"/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  <c r="AG5927" s="33"/>
      <c r="AH5927" s="33"/>
      <c r="AI5927" s="33"/>
      <c r="AJ5927" s="33"/>
      <c r="AK5927" s="33"/>
    </row>
    <row r="5928">
      <c r="A5928" s="33"/>
      <c r="B5928" s="33"/>
      <c r="C5928" s="33"/>
      <c r="D5928" s="33"/>
      <c r="E5928" s="33"/>
      <c r="F5928" s="33"/>
      <c r="G5928" s="33"/>
      <c r="H5928" s="33"/>
      <c r="I5928" s="33"/>
      <c r="J5928" s="33"/>
      <c r="K5928" s="33"/>
      <c r="L5928" s="33"/>
      <c r="M5928" s="33"/>
      <c r="N5928" s="33"/>
      <c r="O5928" s="33"/>
      <c r="P5928" s="33"/>
      <c r="Q5928" s="33"/>
      <c r="R5928" s="33"/>
      <c r="S5928" s="33"/>
      <c r="T5928" s="33"/>
      <c r="U5928" s="33"/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  <c r="AG5928" s="33"/>
      <c r="AH5928" s="33"/>
      <c r="AI5928" s="33"/>
      <c r="AJ5928" s="33"/>
      <c r="AK5928" s="33"/>
    </row>
    <row r="5929">
      <c r="A5929" s="33"/>
      <c r="B5929" s="33"/>
      <c r="C5929" s="33"/>
      <c r="D5929" s="33"/>
      <c r="E5929" s="33"/>
      <c r="F5929" s="33"/>
      <c r="G5929" s="33"/>
      <c r="H5929" s="33"/>
      <c r="I5929" s="33"/>
      <c r="J5929" s="33"/>
      <c r="K5929" s="33"/>
      <c r="L5929" s="33"/>
      <c r="M5929" s="33"/>
      <c r="N5929" s="33"/>
      <c r="O5929" s="33"/>
      <c r="P5929" s="33"/>
      <c r="Q5929" s="33"/>
      <c r="R5929" s="33"/>
      <c r="S5929" s="33"/>
      <c r="T5929" s="33"/>
      <c r="U5929" s="33"/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  <c r="AG5929" s="33"/>
      <c r="AH5929" s="33"/>
      <c r="AI5929" s="33"/>
      <c r="AJ5929" s="33"/>
      <c r="AK5929" s="33"/>
    </row>
    <row r="5930">
      <c r="A5930" s="33"/>
      <c r="B5930" s="33"/>
      <c r="C5930" s="33"/>
      <c r="D5930" s="33"/>
      <c r="E5930" s="33"/>
      <c r="F5930" s="33"/>
      <c r="G5930" s="33"/>
      <c r="H5930" s="33"/>
      <c r="I5930" s="33"/>
      <c r="J5930" s="33"/>
      <c r="K5930" s="33"/>
      <c r="L5930" s="33"/>
      <c r="M5930" s="33"/>
      <c r="N5930" s="33"/>
      <c r="O5930" s="33"/>
      <c r="P5930" s="33"/>
      <c r="Q5930" s="33"/>
      <c r="R5930" s="33"/>
      <c r="S5930" s="33"/>
      <c r="T5930" s="33"/>
      <c r="U5930" s="33"/>
      <c r="V5930" s="33"/>
      <c r="W5930" s="33"/>
      <c r="X5930" s="33"/>
      <c r="Y5930" s="33"/>
      <c r="Z5930" s="33"/>
      <c r="AA5930" s="33"/>
      <c r="AB5930" s="33"/>
      <c r="AC5930" s="33"/>
      <c r="AD5930" s="33"/>
      <c r="AE5930" s="33"/>
      <c r="AF5930" s="33"/>
      <c r="AG5930" s="33"/>
      <c r="AH5930" s="33"/>
      <c r="AI5930" s="33"/>
      <c r="AJ5930" s="33"/>
      <c r="AK5930" s="33"/>
    </row>
    <row r="5931">
      <c r="A5931" s="33"/>
      <c r="B5931" s="33"/>
      <c r="C5931" s="33"/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3"/>
      <c r="X5931" s="33"/>
      <c r="Y5931" s="33"/>
      <c r="Z5931" s="33"/>
      <c r="AA5931" s="33"/>
      <c r="AB5931" s="33"/>
      <c r="AC5931" s="33"/>
      <c r="AD5931" s="33"/>
      <c r="AE5931" s="33"/>
      <c r="AF5931" s="33"/>
      <c r="AG5931" s="33"/>
      <c r="AH5931" s="33"/>
      <c r="AI5931" s="33"/>
      <c r="AJ5931" s="33"/>
      <c r="AK5931" s="33"/>
    </row>
    <row r="5932">
      <c r="A5932" s="33"/>
      <c r="B5932" s="33"/>
      <c r="C5932" s="33"/>
      <c r="D5932" s="33"/>
      <c r="E5932" s="33"/>
      <c r="F5932" s="33"/>
      <c r="G5932" s="33"/>
      <c r="H5932" s="33"/>
      <c r="I5932" s="33"/>
      <c r="J5932" s="33"/>
      <c r="K5932" s="33"/>
      <c r="L5932" s="33"/>
      <c r="M5932" s="33"/>
      <c r="N5932" s="33"/>
      <c r="O5932" s="33"/>
      <c r="P5932" s="33"/>
      <c r="Q5932" s="33"/>
      <c r="R5932" s="33"/>
      <c r="S5932" s="33"/>
      <c r="T5932" s="33"/>
      <c r="U5932" s="33"/>
      <c r="V5932" s="33"/>
      <c r="W5932" s="33"/>
      <c r="X5932" s="33"/>
      <c r="Y5932" s="33"/>
      <c r="Z5932" s="33"/>
      <c r="AA5932" s="33"/>
      <c r="AB5932" s="33"/>
      <c r="AC5932" s="33"/>
      <c r="AD5932" s="33"/>
      <c r="AE5932" s="33"/>
      <c r="AF5932" s="33"/>
      <c r="AG5932" s="33"/>
      <c r="AH5932" s="33"/>
      <c r="AI5932" s="33"/>
      <c r="AJ5932" s="33"/>
      <c r="AK5932" s="33"/>
    </row>
    <row r="5933">
      <c r="A5933" s="33"/>
      <c r="B5933" s="33"/>
      <c r="C5933" s="33"/>
      <c r="D5933" s="33"/>
      <c r="E5933" s="33"/>
      <c r="F5933" s="33"/>
      <c r="G5933" s="33"/>
      <c r="H5933" s="33"/>
      <c r="I5933" s="33"/>
      <c r="J5933" s="33"/>
      <c r="K5933" s="33"/>
      <c r="L5933" s="33"/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/>
      <c r="X5933" s="33"/>
      <c r="Y5933" s="33"/>
      <c r="Z5933" s="33"/>
      <c r="AA5933" s="33"/>
      <c r="AB5933" s="33"/>
      <c r="AC5933" s="33"/>
      <c r="AD5933" s="33"/>
      <c r="AE5933" s="33"/>
      <c r="AF5933" s="33"/>
      <c r="AG5933" s="33"/>
      <c r="AH5933" s="33"/>
      <c r="AI5933" s="33"/>
      <c r="AJ5933" s="33"/>
      <c r="AK5933" s="33"/>
    </row>
    <row r="5934">
      <c r="A5934" s="33"/>
      <c r="B5934" s="33"/>
      <c r="C5934" s="33"/>
      <c r="D5934" s="33"/>
      <c r="E5934" s="33"/>
      <c r="F5934" s="33"/>
      <c r="G5934" s="33"/>
      <c r="H5934" s="33"/>
      <c r="I5934" s="33"/>
      <c r="J5934" s="33"/>
      <c r="K5934" s="33"/>
      <c r="L5934" s="33"/>
      <c r="M5934" s="33"/>
      <c r="N5934" s="33"/>
      <c r="O5934" s="33"/>
      <c r="P5934" s="33"/>
      <c r="Q5934" s="33"/>
      <c r="R5934" s="33"/>
      <c r="S5934" s="33"/>
      <c r="T5934" s="33"/>
      <c r="U5934" s="33"/>
      <c r="V5934" s="33"/>
      <c r="W5934" s="33"/>
      <c r="X5934" s="33"/>
      <c r="Y5934" s="33"/>
      <c r="Z5934" s="33"/>
      <c r="AA5934" s="33"/>
      <c r="AB5934" s="33"/>
      <c r="AC5934" s="33"/>
      <c r="AD5934" s="33"/>
      <c r="AE5934" s="33"/>
      <c r="AF5934" s="33"/>
      <c r="AG5934" s="33"/>
      <c r="AH5934" s="33"/>
      <c r="AI5934" s="33"/>
      <c r="AJ5934" s="33"/>
      <c r="AK5934" s="33"/>
    </row>
    <row r="5935">
      <c r="A5935" s="33"/>
      <c r="B5935" s="33"/>
      <c r="C5935" s="33"/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3"/>
      <c r="X5935" s="33"/>
      <c r="Y5935" s="33"/>
      <c r="Z5935" s="33"/>
      <c r="AA5935" s="33"/>
      <c r="AB5935" s="33"/>
      <c r="AC5935" s="33"/>
      <c r="AD5935" s="33"/>
      <c r="AE5935" s="33"/>
      <c r="AF5935" s="33"/>
      <c r="AG5935" s="33"/>
      <c r="AH5935" s="33"/>
      <c r="AI5935" s="33"/>
      <c r="AJ5935" s="33"/>
      <c r="AK5935" s="33"/>
    </row>
    <row r="5936">
      <c r="A5936" s="33"/>
      <c r="B5936" s="33"/>
      <c r="C5936" s="33"/>
      <c r="D5936" s="33"/>
      <c r="E5936" s="33"/>
      <c r="F5936" s="33"/>
      <c r="G5936" s="33"/>
      <c r="H5936" s="33"/>
      <c r="I5936" s="33"/>
      <c r="J5936" s="33"/>
      <c r="K5936" s="33"/>
      <c r="L5936" s="33"/>
      <c r="M5936" s="33"/>
      <c r="N5936" s="33"/>
      <c r="O5936" s="33"/>
      <c r="P5936" s="33"/>
      <c r="Q5936" s="33"/>
      <c r="R5936" s="33"/>
      <c r="S5936" s="33"/>
      <c r="T5936" s="33"/>
      <c r="U5936" s="33"/>
      <c r="V5936" s="33"/>
      <c r="W5936" s="33"/>
      <c r="X5936" s="33"/>
      <c r="Y5936" s="33"/>
      <c r="Z5936" s="33"/>
      <c r="AA5936" s="33"/>
      <c r="AB5936" s="33"/>
      <c r="AC5936" s="33"/>
      <c r="AD5936" s="33"/>
      <c r="AE5936" s="33"/>
      <c r="AF5936" s="33"/>
      <c r="AG5936" s="33"/>
      <c r="AH5936" s="33"/>
      <c r="AI5936" s="33"/>
      <c r="AJ5936" s="33"/>
      <c r="AK5936" s="33"/>
    </row>
    <row r="5937">
      <c r="A5937" s="33"/>
      <c r="B5937" s="33"/>
      <c r="C5937" s="33"/>
      <c r="D5937" s="33"/>
      <c r="E5937" s="33"/>
      <c r="F5937" s="33"/>
      <c r="G5937" s="33"/>
      <c r="H5937" s="33"/>
      <c r="I5937" s="33"/>
      <c r="J5937" s="33"/>
      <c r="K5937" s="33"/>
      <c r="L5937" s="33"/>
      <c r="M5937" s="33"/>
      <c r="N5937" s="33"/>
      <c r="O5937" s="33"/>
      <c r="P5937" s="33"/>
      <c r="Q5937" s="33"/>
      <c r="R5937" s="33"/>
      <c r="S5937" s="33"/>
      <c r="T5937" s="33"/>
      <c r="U5937" s="33"/>
      <c r="V5937" s="33"/>
      <c r="W5937" s="33"/>
      <c r="X5937" s="33"/>
      <c r="Y5937" s="33"/>
      <c r="Z5937" s="33"/>
      <c r="AA5937" s="33"/>
      <c r="AB5937" s="33"/>
      <c r="AC5937" s="33"/>
      <c r="AD5937" s="33"/>
      <c r="AE5937" s="33"/>
      <c r="AF5937" s="33"/>
      <c r="AG5937" s="33"/>
      <c r="AH5937" s="33"/>
      <c r="AI5937" s="33"/>
      <c r="AJ5937" s="33"/>
      <c r="AK5937" s="33"/>
    </row>
    <row r="5938">
      <c r="A5938" s="33"/>
      <c r="B5938" s="33"/>
      <c r="C5938" s="33"/>
      <c r="D5938" s="33"/>
      <c r="E5938" s="33"/>
      <c r="F5938" s="33"/>
      <c r="G5938" s="33"/>
      <c r="H5938" s="33"/>
      <c r="I5938" s="33"/>
      <c r="J5938" s="33"/>
      <c r="K5938" s="33"/>
      <c r="L5938" s="33"/>
      <c r="M5938" s="33"/>
      <c r="N5938" s="33"/>
      <c r="O5938" s="33"/>
      <c r="P5938" s="33"/>
      <c r="Q5938" s="33"/>
      <c r="R5938" s="33"/>
      <c r="S5938" s="33"/>
      <c r="T5938" s="33"/>
      <c r="U5938" s="33"/>
      <c r="V5938" s="33"/>
      <c r="W5938" s="33"/>
      <c r="X5938" s="33"/>
      <c r="Y5938" s="33"/>
      <c r="Z5938" s="33"/>
      <c r="AA5938" s="33"/>
      <c r="AB5938" s="33"/>
      <c r="AC5938" s="33"/>
      <c r="AD5938" s="33"/>
      <c r="AE5938" s="33"/>
      <c r="AF5938" s="33"/>
      <c r="AG5938" s="33"/>
      <c r="AH5938" s="33"/>
      <c r="AI5938" s="33"/>
      <c r="AJ5938" s="33"/>
      <c r="AK5938" s="33"/>
    </row>
    <row r="5939">
      <c r="A5939" s="33"/>
      <c r="B5939" s="33"/>
      <c r="C5939" s="33"/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3"/>
      <c r="X5939" s="33"/>
      <c r="Y5939" s="33"/>
      <c r="Z5939" s="33"/>
      <c r="AA5939" s="33"/>
      <c r="AB5939" s="33"/>
      <c r="AC5939" s="33"/>
      <c r="AD5939" s="33"/>
      <c r="AE5939" s="33"/>
      <c r="AF5939" s="33"/>
      <c r="AG5939" s="33"/>
      <c r="AH5939" s="33"/>
      <c r="AI5939" s="33"/>
      <c r="AJ5939" s="33"/>
      <c r="AK5939" s="33"/>
    </row>
    <row r="5940">
      <c r="A5940" s="33"/>
      <c r="B5940" s="33"/>
      <c r="C5940" s="33"/>
      <c r="D5940" s="33"/>
      <c r="E5940" s="33"/>
      <c r="F5940" s="33"/>
      <c r="G5940" s="33"/>
      <c r="H5940" s="33"/>
      <c r="I5940" s="33"/>
      <c r="J5940" s="33"/>
      <c r="K5940" s="33"/>
      <c r="L5940" s="33"/>
      <c r="M5940" s="33"/>
      <c r="N5940" s="33"/>
      <c r="O5940" s="33"/>
      <c r="P5940" s="33"/>
      <c r="Q5940" s="33"/>
      <c r="R5940" s="33"/>
      <c r="S5940" s="33"/>
      <c r="T5940" s="33"/>
      <c r="U5940" s="33"/>
      <c r="V5940" s="33"/>
      <c r="W5940" s="33"/>
      <c r="X5940" s="33"/>
      <c r="Y5940" s="33"/>
      <c r="Z5940" s="33"/>
      <c r="AA5940" s="33"/>
      <c r="AB5940" s="33"/>
      <c r="AC5940" s="33"/>
      <c r="AD5940" s="33"/>
      <c r="AE5940" s="33"/>
      <c r="AF5940" s="33"/>
      <c r="AG5940" s="33"/>
      <c r="AH5940" s="33"/>
      <c r="AI5940" s="33"/>
      <c r="AJ5940" s="33"/>
      <c r="AK5940" s="33"/>
    </row>
    <row r="5941">
      <c r="A5941" s="33"/>
      <c r="B5941" s="33"/>
      <c r="C5941" s="33"/>
      <c r="D5941" s="33"/>
      <c r="E5941" s="33"/>
      <c r="F5941" s="33"/>
      <c r="G5941" s="33"/>
      <c r="H5941" s="33"/>
      <c r="I5941" s="33"/>
      <c r="J5941" s="33"/>
      <c r="K5941" s="33"/>
      <c r="L5941" s="33"/>
      <c r="M5941" s="33"/>
      <c r="N5941" s="33"/>
      <c r="O5941" s="33"/>
      <c r="P5941" s="33"/>
      <c r="Q5941" s="33"/>
      <c r="R5941" s="33"/>
      <c r="S5941" s="33"/>
      <c r="T5941" s="33"/>
      <c r="U5941" s="33"/>
      <c r="V5941" s="33"/>
      <c r="W5941" s="33"/>
      <c r="X5941" s="33"/>
      <c r="Y5941" s="33"/>
      <c r="Z5941" s="33"/>
      <c r="AA5941" s="33"/>
      <c r="AB5941" s="33"/>
      <c r="AC5941" s="33"/>
      <c r="AD5941" s="33"/>
      <c r="AE5941" s="33"/>
      <c r="AF5941" s="33"/>
      <c r="AG5941" s="33"/>
      <c r="AH5941" s="33"/>
      <c r="AI5941" s="33"/>
      <c r="AJ5941" s="33"/>
      <c r="AK5941" s="33"/>
    </row>
    <row r="5942">
      <c r="A5942" s="33"/>
      <c r="B5942" s="33"/>
      <c r="C5942" s="33"/>
      <c r="D5942" s="33"/>
      <c r="E5942" s="33"/>
      <c r="F5942" s="33"/>
      <c r="G5942" s="33"/>
      <c r="H5942" s="33"/>
      <c r="I5942" s="33"/>
      <c r="J5942" s="33"/>
      <c r="K5942" s="33"/>
      <c r="L5942" s="33"/>
      <c r="M5942" s="33"/>
      <c r="N5942" s="33"/>
      <c r="O5942" s="33"/>
      <c r="P5942" s="33"/>
      <c r="Q5942" s="33"/>
      <c r="R5942" s="33"/>
      <c r="S5942" s="33"/>
      <c r="T5942" s="33"/>
      <c r="U5942" s="33"/>
      <c r="V5942" s="33"/>
      <c r="W5942" s="33"/>
      <c r="X5942" s="33"/>
      <c r="Y5942" s="33"/>
      <c r="Z5942" s="33"/>
      <c r="AA5942" s="33"/>
      <c r="AB5942" s="33"/>
      <c r="AC5942" s="33"/>
      <c r="AD5942" s="33"/>
      <c r="AE5942" s="33"/>
      <c r="AF5942" s="33"/>
      <c r="AG5942" s="33"/>
      <c r="AH5942" s="33"/>
      <c r="AI5942" s="33"/>
      <c r="AJ5942" s="33"/>
      <c r="AK5942" s="33"/>
    </row>
    <row r="5943">
      <c r="A5943" s="33"/>
      <c r="B5943" s="33"/>
      <c r="C5943" s="33"/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3"/>
      <c r="X5943" s="33"/>
      <c r="Y5943" s="33"/>
      <c r="Z5943" s="33"/>
      <c r="AA5943" s="33"/>
      <c r="AB5943" s="33"/>
      <c r="AC5943" s="33"/>
      <c r="AD5943" s="33"/>
      <c r="AE5943" s="33"/>
      <c r="AF5943" s="33"/>
      <c r="AG5943" s="33"/>
      <c r="AH5943" s="33"/>
      <c r="AI5943" s="33"/>
      <c r="AJ5943" s="33"/>
      <c r="AK5943" s="33"/>
    </row>
    <row r="5944">
      <c r="A5944" s="33"/>
      <c r="B5944" s="33"/>
      <c r="C5944" s="33"/>
      <c r="D5944" s="33"/>
      <c r="E5944" s="33"/>
      <c r="F5944" s="33"/>
      <c r="G5944" s="33"/>
      <c r="H5944" s="33"/>
      <c r="I5944" s="33"/>
      <c r="J5944" s="33"/>
      <c r="K5944" s="33"/>
      <c r="L5944" s="33"/>
      <c r="M5944" s="33"/>
      <c r="N5944" s="33"/>
      <c r="O5944" s="33"/>
      <c r="P5944" s="33"/>
      <c r="Q5944" s="33"/>
      <c r="R5944" s="33"/>
      <c r="S5944" s="33"/>
      <c r="T5944" s="33"/>
      <c r="U5944" s="33"/>
      <c r="V5944" s="33"/>
      <c r="W5944" s="33"/>
      <c r="X5944" s="33"/>
      <c r="Y5944" s="33"/>
      <c r="Z5944" s="33"/>
      <c r="AA5944" s="33"/>
      <c r="AB5944" s="33"/>
      <c r="AC5944" s="33"/>
      <c r="AD5944" s="33"/>
      <c r="AE5944" s="33"/>
      <c r="AF5944" s="33"/>
      <c r="AG5944" s="33"/>
      <c r="AH5944" s="33"/>
      <c r="AI5944" s="33"/>
      <c r="AJ5944" s="33"/>
      <c r="AK5944" s="33"/>
    </row>
    <row r="5945">
      <c r="A5945" s="33"/>
      <c r="B5945" s="33"/>
      <c r="C5945" s="33"/>
      <c r="D5945" s="33"/>
      <c r="E5945" s="33"/>
      <c r="F5945" s="33"/>
      <c r="G5945" s="33"/>
      <c r="H5945" s="33"/>
      <c r="I5945" s="33"/>
      <c r="J5945" s="33"/>
      <c r="K5945" s="33"/>
      <c r="L5945" s="33"/>
      <c r="M5945" s="33"/>
      <c r="N5945" s="33"/>
      <c r="O5945" s="33"/>
      <c r="P5945" s="33"/>
      <c r="Q5945" s="33"/>
      <c r="R5945" s="33"/>
      <c r="S5945" s="33"/>
      <c r="T5945" s="33"/>
      <c r="U5945" s="33"/>
      <c r="V5945" s="33"/>
      <c r="W5945" s="33"/>
      <c r="X5945" s="33"/>
      <c r="Y5945" s="33"/>
      <c r="Z5945" s="33"/>
      <c r="AA5945" s="33"/>
      <c r="AB5945" s="33"/>
      <c r="AC5945" s="33"/>
      <c r="AD5945" s="33"/>
      <c r="AE5945" s="33"/>
      <c r="AF5945" s="33"/>
      <c r="AG5945" s="33"/>
      <c r="AH5945" s="33"/>
      <c r="AI5945" s="33"/>
      <c r="AJ5945" s="33"/>
      <c r="AK5945" s="33"/>
    </row>
    <row r="5946">
      <c r="A5946" s="33"/>
      <c r="B5946" s="33"/>
      <c r="C5946" s="33"/>
      <c r="D5946" s="33"/>
      <c r="E5946" s="33"/>
      <c r="F5946" s="33"/>
      <c r="G5946" s="33"/>
      <c r="H5946" s="33"/>
      <c r="I5946" s="33"/>
      <c r="J5946" s="33"/>
      <c r="K5946" s="33"/>
      <c r="L5946" s="33"/>
      <c r="M5946" s="33"/>
      <c r="N5946" s="33"/>
      <c r="O5946" s="33"/>
      <c r="P5946" s="33"/>
      <c r="Q5946" s="33"/>
      <c r="R5946" s="33"/>
      <c r="S5946" s="33"/>
      <c r="T5946" s="33"/>
      <c r="U5946" s="33"/>
      <c r="V5946" s="33"/>
      <c r="W5946" s="33"/>
      <c r="X5946" s="33"/>
      <c r="Y5946" s="33"/>
      <c r="Z5946" s="33"/>
      <c r="AA5946" s="33"/>
      <c r="AB5946" s="33"/>
      <c r="AC5946" s="33"/>
      <c r="AD5946" s="33"/>
      <c r="AE5946" s="33"/>
      <c r="AF5946" s="33"/>
      <c r="AG5946" s="33"/>
      <c r="AH5946" s="33"/>
      <c r="AI5946" s="33"/>
      <c r="AJ5946" s="33"/>
      <c r="AK5946" s="33"/>
    </row>
    <row r="5947">
      <c r="A5947" s="33"/>
      <c r="B5947" s="33"/>
      <c r="C5947" s="33"/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3"/>
      <c r="X5947" s="33"/>
      <c r="Y5947" s="33"/>
      <c r="Z5947" s="33"/>
      <c r="AA5947" s="33"/>
      <c r="AB5947" s="33"/>
      <c r="AC5947" s="33"/>
      <c r="AD5947" s="33"/>
      <c r="AE5947" s="33"/>
      <c r="AF5947" s="33"/>
      <c r="AG5947" s="33"/>
      <c r="AH5947" s="33"/>
      <c r="AI5947" s="33"/>
      <c r="AJ5947" s="33"/>
      <c r="AK5947" s="33"/>
    </row>
    <row r="5948">
      <c r="A5948" s="33"/>
      <c r="B5948" s="33"/>
      <c r="C5948" s="33"/>
      <c r="D5948" s="33"/>
      <c r="E5948" s="33"/>
      <c r="F5948" s="33"/>
      <c r="G5948" s="33"/>
      <c r="H5948" s="33"/>
      <c r="I5948" s="33"/>
      <c r="J5948" s="33"/>
      <c r="K5948" s="33"/>
      <c r="L5948" s="33"/>
      <c r="M5948" s="33"/>
      <c r="N5948" s="33"/>
      <c r="O5948" s="33"/>
      <c r="P5948" s="33"/>
      <c r="Q5948" s="33"/>
      <c r="R5948" s="33"/>
      <c r="S5948" s="33"/>
      <c r="T5948" s="33"/>
      <c r="U5948" s="33"/>
      <c r="V5948" s="33"/>
      <c r="W5948" s="33"/>
      <c r="X5948" s="33"/>
      <c r="Y5948" s="33"/>
      <c r="Z5948" s="33"/>
      <c r="AA5948" s="33"/>
      <c r="AB5948" s="33"/>
      <c r="AC5948" s="33"/>
      <c r="AD5948" s="33"/>
      <c r="AE5948" s="33"/>
      <c r="AF5948" s="33"/>
      <c r="AG5948" s="33"/>
      <c r="AH5948" s="33"/>
      <c r="AI5948" s="33"/>
      <c r="AJ5948" s="33"/>
      <c r="AK5948" s="33"/>
    </row>
    <row r="5949">
      <c r="A5949" s="33"/>
      <c r="B5949" s="33"/>
      <c r="C5949" s="33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33"/>
      <c r="Q5949" s="33"/>
      <c r="R5949" s="33"/>
      <c r="S5949" s="33"/>
      <c r="T5949" s="33"/>
      <c r="U5949" s="33"/>
      <c r="V5949" s="33"/>
      <c r="W5949" s="33"/>
      <c r="X5949" s="33"/>
      <c r="Y5949" s="33"/>
      <c r="Z5949" s="33"/>
      <c r="AA5949" s="33"/>
      <c r="AB5949" s="33"/>
      <c r="AC5949" s="33"/>
      <c r="AD5949" s="33"/>
      <c r="AE5949" s="33"/>
      <c r="AF5949" s="33"/>
      <c r="AG5949" s="33"/>
      <c r="AH5949" s="33"/>
      <c r="AI5949" s="33"/>
      <c r="AJ5949" s="33"/>
      <c r="AK5949" s="33"/>
    </row>
    <row r="5950">
      <c r="A5950" s="33"/>
      <c r="B5950" s="33"/>
      <c r="C5950" s="33"/>
      <c r="D5950" s="33"/>
      <c r="E5950" s="33"/>
      <c r="F5950" s="33"/>
      <c r="G5950" s="33"/>
      <c r="H5950" s="33"/>
      <c r="I5950" s="33"/>
      <c r="J5950" s="33"/>
      <c r="K5950" s="33"/>
      <c r="L5950" s="33"/>
      <c r="M5950" s="33"/>
      <c r="N5950" s="33"/>
      <c r="O5950" s="33"/>
      <c r="P5950" s="33"/>
      <c r="Q5950" s="33"/>
      <c r="R5950" s="33"/>
      <c r="S5950" s="33"/>
      <c r="T5950" s="33"/>
      <c r="U5950" s="33"/>
      <c r="V5950" s="33"/>
      <c r="W5950" s="33"/>
      <c r="X5950" s="33"/>
      <c r="Y5950" s="33"/>
      <c r="Z5950" s="33"/>
      <c r="AA5950" s="33"/>
      <c r="AB5950" s="33"/>
      <c r="AC5950" s="33"/>
      <c r="AD5950" s="33"/>
      <c r="AE5950" s="33"/>
      <c r="AF5950" s="33"/>
      <c r="AG5950" s="33"/>
      <c r="AH5950" s="33"/>
      <c r="AI5950" s="33"/>
      <c r="AJ5950" s="33"/>
      <c r="AK5950" s="33"/>
    </row>
    <row r="5951">
      <c r="A5951" s="33"/>
      <c r="B5951" s="33"/>
      <c r="C5951" s="33"/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3"/>
      <c r="X5951" s="33"/>
      <c r="Y5951" s="33"/>
      <c r="Z5951" s="33"/>
      <c r="AA5951" s="33"/>
      <c r="AB5951" s="33"/>
      <c r="AC5951" s="33"/>
      <c r="AD5951" s="33"/>
      <c r="AE5951" s="33"/>
      <c r="AF5951" s="33"/>
      <c r="AG5951" s="33"/>
      <c r="AH5951" s="33"/>
      <c r="AI5951" s="33"/>
      <c r="AJ5951" s="33"/>
      <c r="AK5951" s="33"/>
    </row>
    <row r="5952">
      <c r="A5952" s="33"/>
      <c r="B5952" s="33"/>
      <c r="C5952" s="33"/>
      <c r="D5952" s="33"/>
      <c r="E5952" s="33"/>
      <c r="F5952" s="33"/>
      <c r="G5952" s="33"/>
      <c r="H5952" s="33"/>
      <c r="I5952" s="33"/>
      <c r="J5952" s="33"/>
      <c r="K5952" s="33"/>
      <c r="L5952" s="33"/>
      <c r="M5952" s="33"/>
      <c r="N5952" s="33"/>
      <c r="O5952" s="33"/>
      <c r="P5952" s="33"/>
      <c r="Q5952" s="33"/>
      <c r="R5952" s="33"/>
      <c r="S5952" s="33"/>
      <c r="T5952" s="33"/>
      <c r="U5952" s="33"/>
      <c r="V5952" s="33"/>
      <c r="W5952" s="33"/>
      <c r="X5952" s="33"/>
      <c r="Y5952" s="33"/>
      <c r="Z5952" s="33"/>
      <c r="AA5952" s="33"/>
      <c r="AB5952" s="33"/>
      <c r="AC5952" s="33"/>
      <c r="AD5952" s="33"/>
      <c r="AE5952" s="33"/>
      <c r="AF5952" s="33"/>
      <c r="AG5952" s="33"/>
      <c r="AH5952" s="33"/>
      <c r="AI5952" s="33"/>
      <c r="AJ5952" s="33"/>
      <c r="AK5952" s="33"/>
    </row>
    <row r="5953">
      <c r="A5953" s="33"/>
      <c r="B5953" s="33"/>
      <c r="C5953" s="33"/>
      <c r="D5953" s="33"/>
      <c r="E5953" s="33"/>
      <c r="F5953" s="33"/>
      <c r="G5953" s="33"/>
      <c r="H5953" s="33"/>
      <c r="I5953" s="33"/>
      <c r="J5953" s="33"/>
      <c r="K5953" s="33"/>
      <c r="L5953" s="33"/>
      <c r="M5953" s="33"/>
      <c r="N5953" s="33"/>
      <c r="O5953" s="33"/>
      <c r="P5953" s="33"/>
      <c r="Q5953" s="33"/>
      <c r="R5953" s="33"/>
      <c r="S5953" s="33"/>
      <c r="T5953" s="33"/>
      <c r="U5953" s="33"/>
      <c r="V5953" s="33"/>
      <c r="W5953" s="33"/>
      <c r="X5953" s="33"/>
      <c r="Y5953" s="33"/>
      <c r="Z5953" s="33"/>
      <c r="AA5953" s="33"/>
      <c r="AB5953" s="33"/>
      <c r="AC5953" s="33"/>
      <c r="AD5953" s="33"/>
      <c r="AE5953" s="33"/>
      <c r="AF5953" s="33"/>
      <c r="AG5953" s="33"/>
      <c r="AH5953" s="33"/>
      <c r="AI5953" s="33"/>
      <c r="AJ5953" s="33"/>
      <c r="AK5953" s="33"/>
    </row>
    <row r="5954">
      <c r="A5954" s="33"/>
      <c r="B5954" s="33"/>
      <c r="C5954" s="33"/>
      <c r="D5954" s="33"/>
      <c r="E5954" s="33"/>
      <c r="F5954" s="33"/>
      <c r="G5954" s="33"/>
      <c r="H5954" s="33"/>
      <c r="I5954" s="33"/>
      <c r="J5954" s="33"/>
      <c r="K5954" s="33"/>
      <c r="L5954" s="33"/>
      <c r="M5954" s="33"/>
      <c r="N5954" s="33"/>
      <c r="O5954" s="33"/>
      <c r="P5954" s="33"/>
      <c r="Q5954" s="33"/>
      <c r="R5954" s="33"/>
      <c r="S5954" s="33"/>
      <c r="T5954" s="33"/>
      <c r="U5954" s="33"/>
      <c r="V5954" s="33"/>
      <c r="W5954" s="33"/>
      <c r="X5954" s="33"/>
      <c r="Y5954" s="33"/>
      <c r="Z5954" s="33"/>
      <c r="AA5954" s="33"/>
      <c r="AB5954" s="33"/>
      <c r="AC5954" s="33"/>
      <c r="AD5954" s="33"/>
      <c r="AE5954" s="33"/>
      <c r="AF5954" s="33"/>
      <c r="AG5954" s="33"/>
      <c r="AH5954" s="33"/>
      <c r="AI5954" s="33"/>
      <c r="AJ5954" s="33"/>
      <c r="AK5954" s="33"/>
    </row>
    <row r="5955">
      <c r="A5955" s="33"/>
      <c r="B5955" s="33"/>
      <c r="C5955" s="33"/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3"/>
      <c r="X5955" s="33"/>
      <c r="Y5955" s="33"/>
      <c r="Z5955" s="33"/>
      <c r="AA5955" s="33"/>
      <c r="AB5955" s="33"/>
      <c r="AC5955" s="33"/>
      <c r="AD5955" s="33"/>
      <c r="AE5955" s="33"/>
      <c r="AF5955" s="33"/>
      <c r="AG5955" s="33"/>
      <c r="AH5955" s="33"/>
      <c r="AI5955" s="33"/>
      <c r="AJ5955" s="33"/>
      <c r="AK5955" s="33"/>
    </row>
    <row r="5956">
      <c r="A5956" s="33"/>
      <c r="B5956" s="33"/>
      <c r="C5956" s="33"/>
      <c r="D5956" s="33"/>
      <c r="E5956" s="33"/>
      <c r="F5956" s="33"/>
      <c r="G5956" s="33"/>
      <c r="H5956" s="33"/>
      <c r="I5956" s="33"/>
      <c r="J5956" s="33"/>
      <c r="K5956" s="33"/>
      <c r="L5956" s="33"/>
      <c r="M5956" s="33"/>
      <c r="N5956" s="33"/>
      <c r="O5956" s="33"/>
      <c r="P5956" s="33"/>
      <c r="Q5956" s="33"/>
      <c r="R5956" s="33"/>
      <c r="S5956" s="33"/>
      <c r="T5956" s="33"/>
      <c r="U5956" s="33"/>
      <c r="V5956" s="33"/>
      <c r="W5956" s="33"/>
      <c r="X5956" s="33"/>
      <c r="Y5956" s="33"/>
      <c r="Z5956" s="33"/>
      <c r="AA5956" s="33"/>
      <c r="AB5956" s="33"/>
      <c r="AC5956" s="33"/>
      <c r="AD5956" s="33"/>
      <c r="AE5956" s="33"/>
      <c r="AF5956" s="33"/>
      <c r="AG5956" s="33"/>
      <c r="AH5956" s="33"/>
      <c r="AI5956" s="33"/>
      <c r="AJ5956" s="33"/>
      <c r="AK5956" s="33"/>
    </row>
    <row r="5957">
      <c r="A5957" s="33"/>
      <c r="B5957" s="33"/>
      <c r="C5957" s="33"/>
      <c r="D5957" s="33"/>
      <c r="E5957" s="33"/>
      <c r="F5957" s="33"/>
      <c r="G5957" s="33"/>
      <c r="H5957" s="33"/>
      <c r="I5957" s="33"/>
      <c r="J5957" s="33"/>
      <c r="K5957" s="33"/>
      <c r="L5957" s="33"/>
      <c r="M5957" s="33"/>
      <c r="N5957" s="33"/>
      <c r="O5957" s="33"/>
      <c r="P5957" s="33"/>
      <c r="Q5957" s="33"/>
      <c r="R5957" s="33"/>
      <c r="S5957" s="33"/>
      <c r="T5957" s="33"/>
      <c r="U5957" s="33"/>
      <c r="V5957" s="33"/>
      <c r="W5957" s="33"/>
      <c r="X5957" s="33"/>
      <c r="Y5957" s="33"/>
      <c r="Z5957" s="33"/>
      <c r="AA5957" s="33"/>
      <c r="AB5957" s="33"/>
      <c r="AC5957" s="33"/>
      <c r="AD5957" s="33"/>
      <c r="AE5957" s="33"/>
      <c r="AF5957" s="33"/>
      <c r="AG5957" s="33"/>
      <c r="AH5957" s="33"/>
      <c r="AI5957" s="33"/>
      <c r="AJ5957" s="33"/>
      <c r="AK5957" s="33"/>
    </row>
    <row r="5958">
      <c r="A5958" s="33"/>
      <c r="B5958" s="33"/>
      <c r="C5958" s="33"/>
      <c r="D5958" s="33"/>
      <c r="E5958" s="33"/>
      <c r="F5958" s="33"/>
      <c r="G5958" s="33"/>
      <c r="H5958" s="33"/>
      <c r="I5958" s="33"/>
      <c r="J5958" s="33"/>
      <c r="K5958" s="33"/>
      <c r="L5958" s="33"/>
      <c r="M5958" s="33"/>
      <c r="N5958" s="33"/>
      <c r="O5958" s="33"/>
      <c r="P5958" s="33"/>
      <c r="Q5958" s="33"/>
      <c r="R5958" s="33"/>
      <c r="S5958" s="33"/>
      <c r="T5958" s="33"/>
      <c r="U5958" s="33"/>
      <c r="V5958" s="33"/>
      <c r="W5958" s="33"/>
      <c r="X5958" s="33"/>
      <c r="Y5958" s="33"/>
      <c r="Z5958" s="33"/>
      <c r="AA5958" s="33"/>
      <c r="AB5958" s="33"/>
      <c r="AC5958" s="33"/>
      <c r="AD5958" s="33"/>
      <c r="AE5958" s="33"/>
      <c r="AF5958" s="33"/>
      <c r="AG5958" s="33"/>
      <c r="AH5958" s="33"/>
      <c r="AI5958" s="33"/>
      <c r="AJ5958" s="33"/>
      <c r="AK5958" s="33"/>
    </row>
    <row r="5959">
      <c r="A5959" s="33"/>
      <c r="B5959" s="33"/>
      <c r="C5959" s="33"/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3"/>
      <c r="X5959" s="33"/>
      <c r="Y5959" s="33"/>
      <c r="Z5959" s="33"/>
      <c r="AA5959" s="33"/>
      <c r="AB5959" s="33"/>
      <c r="AC5959" s="33"/>
      <c r="AD5959" s="33"/>
      <c r="AE5959" s="33"/>
      <c r="AF5959" s="33"/>
      <c r="AG5959" s="33"/>
      <c r="AH5959" s="33"/>
      <c r="AI5959" s="33"/>
      <c r="AJ5959" s="33"/>
      <c r="AK5959" s="33"/>
    </row>
    <row r="5960">
      <c r="A5960" s="33"/>
      <c r="B5960" s="33"/>
      <c r="C5960" s="33"/>
      <c r="D5960" s="33"/>
      <c r="E5960" s="33"/>
      <c r="F5960" s="33"/>
      <c r="G5960" s="33"/>
      <c r="H5960" s="33"/>
      <c r="I5960" s="33"/>
      <c r="J5960" s="33"/>
      <c r="K5960" s="33"/>
      <c r="L5960" s="33"/>
      <c r="M5960" s="33"/>
      <c r="N5960" s="33"/>
      <c r="O5960" s="33"/>
      <c r="P5960" s="33"/>
      <c r="Q5960" s="33"/>
      <c r="R5960" s="33"/>
      <c r="S5960" s="33"/>
      <c r="T5960" s="33"/>
      <c r="U5960" s="33"/>
      <c r="V5960" s="33"/>
      <c r="W5960" s="33"/>
      <c r="X5960" s="33"/>
      <c r="Y5960" s="33"/>
      <c r="Z5960" s="33"/>
      <c r="AA5960" s="33"/>
      <c r="AB5960" s="33"/>
      <c r="AC5960" s="33"/>
      <c r="AD5960" s="33"/>
      <c r="AE5960" s="33"/>
      <c r="AF5960" s="33"/>
      <c r="AG5960" s="33"/>
      <c r="AH5960" s="33"/>
      <c r="AI5960" s="33"/>
      <c r="AJ5960" s="33"/>
      <c r="AK5960" s="33"/>
    </row>
    <row r="5961">
      <c r="A5961" s="33"/>
      <c r="B5961" s="33"/>
      <c r="C5961" s="33"/>
      <c r="D5961" s="33"/>
      <c r="E5961" s="33"/>
      <c r="F5961" s="33"/>
      <c r="G5961" s="33"/>
      <c r="H5961" s="33"/>
      <c r="I5961" s="33"/>
      <c r="J5961" s="33"/>
      <c r="K5961" s="33"/>
      <c r="L5961" s="33"/>
      <c r="M5961" s="33"/>
      <c r="N5961" s="33"/>
      <c r="O5961" s="33"/>
      <c r="P5961" s="33"/>
      <c r="Q5961" s="33"/>
      <c r="R5961" s="33"/>
      <c r="S5961" s="33"/>
      <c r="T5961" s="33"/>
      <c r="U5961" s="33"/>
      <c r="V5961" s="33"/>
      <c r="W5961" s="33"/>
      <c r="X5961" s="33"/>
      <c r="Y5961" s="33"/>
      <c r="Z5961" s="33"/>
      <c r="AA5961" s="33"/>
      <c r="AB5961" s="33"/>
      <c r="AC5961" s="33"/>
      <c r="AD5961" s="33"/>
      <c r="AE5961" s="33"/>
      <c r="AF5961" s="33"/>
      <c r="AG5961" s="33"/>
      <c r="AH5961" s="33"/>
      <c r="AI5961" s="33"/>
      <c r="AJ5961" s="33"/>
      <c r="AK5961" s="33"/>
    </row>
    <row r="5962">
      <c r="A5962" s="33"/>
      <c r="B5962" s="33"/>
      <c r="C5962" s="33"/>
      <c r="D5962" s="33"/>
      <c r="E5962" s="33"/>
      <c r="F5962" s="33"/>
      <c r="G5962" s="33"/>
      <c r="H5962" s="33"/>
      <c r="I5962" s="33"/>
      <c r="J5962" s="33"/>
      <c r="K5962" s="33"/>
      <c r="L5962" s="33"/>
      <c r="M5962" s="33"/>
      <c r="N5962" s="33"/>
      <c r="O5962" s="33"/>
      <c r="P5962" s="33"/>
      <c r="Q5962" s="33"/>
      <c r="R5962" s="33"/>
      <c r="S5962" s="33"/>
      <c r="T5962" s="33"/>
      <c r="U5962" s="33"/>
      <c r="V5962" s="33"/>
      <c r="W5962" s="33"/>
      <c r="X5962" s="33"/>
      <c r="Y5962" s="33"/>
      <c r="Z5962" s="33"/>
      <c r="AA5962" s="33"/>
      <c r="AB5962" s="33"/>
      <c r="AC5962" s="33"/>
      <c r="AD5962" s="33"/>
      <c r="AE5962" s="33"/>
      <c r="AF5962" s="33"/>
      <c r="AG5962" s="33"/>
      <c r="AH5962" s="33"/>
      <c r="AI5962" s="33"/>
      <c r="AJ5962" s="33"/>
      <c r="AK5962" s="33"/>
    </row>
    <row r="5963">
      <c r="A5963" s="33"/>
      <c r="B5963" s="33"/>
      <c r="C5963" s="33"/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3"/>
      <c r="X5963" s="33"/>
      <c r="Y5963" s="33"/>
      <c r="Z5963" s="33"/>
      <c r="AA5963" s="33"/>
      <c r="AB5963" s="33"/>
      <c r="AC5963" s="33"/>
      <c r="AD5963" s="33"/>
      <c r="AE5963" s="33"/>
      <c r="AF5963" s="33"/>
      <c r="AG5963" s="33"/>
      <c r="AH5963" s="33"/>
      <c r="AI5963" s="33"/>
      <c r="AJ5963" s="33"/>
      <c r="AK5963" s="33"/>
    </row>
    <row r="5964">
      <c r="A5964" s="33"/>
      <c r="B5964" s="33"/>
      <c r="C5964" s="33"/>
      <c r="D5964" s="33"/>
      <c r="E5964" s="33"/>
      <c r="F5964" s="33"/>
      <c r="G5964" s="33"/>
      <c r="H5964" s="33"/>
      <c r="I5964" s="33"/>
      <c r="J5964" s="33"/>
      <c r="K5964" s="33"/>
      <c r="L5964" s="33"/>
      <c r="M5964" s="33"/>
      <c r="N5964" s="33"/>
      <c r="O5964" s="33"/>
      <c r="P5964" s="33"/>
      <c r="Q5964" s="33"/>
      <c r="R5964" s="33"/>
      <c r="S5964" s="33"/>
      <c r="T5964" s="33"/>
      <c r="U5964" s="33"/>
      <c r="V5964" s="33"/>
      <c r="W5964" s="33"/>
      <c r="X5964" s="33"/>
      <c r="Y5964" s="33"/>
      <c r="Z5964" s="33"/>
      <c r="AA5964" s="33"/>
      <c r="AB5964" s="33"/>
      <c r="AC5964" s="33"/>
      <c r="AD5964" s="33"/>
      <c r="AE5964" s="33"/>
      <c r="AF5964" s="33"/>
      <c r="AG5964" s="33"/>
      <c r="AH5964" s="33"/>
      <c r="AI5964" s="33"/>
      <c r="AJ5964" s="33"/>
      <c r="AK5964" s="33"/>
    </row>
    <row r="5965">
      <c r="A5965" s="33"/>
      <c r="B5965" s="33"/>
      <c r="C5965" s="33"/>
      <c r="D5965" s="33"/>
      <c r="E5965" s="33"/>
      <c r="F5965" s="33"/>
      <c r="G5965" s="33"/>
      <c r="H5965" s="33"/>
      <c r="I5965" s="33"/>
      <c r="J5965" s="33"/>
      <c r="K5965" s="33"/>
      <c r="L5965" s="33"/>
      <c r="M5965" s="33"/>
      <c r="N5965" s="33"/>
      <c r="O5965" s="33"/>
      <c r="P5965" s="33"/>
      <c r="Q5965" s="33"/>
      <c r="R5965" s="33"/>
      <c r="S5965" s="33"/>
      <c r="T5965" s="33"/>
      <c r="U5965" s="33"/>
      <c r="V5965" s="33"/>
      <c r="W5965" s="33"/>
      <c r="X5965" s="33"/>
      <c r="Y5965" s="33"/>
      <c r="Z5965" s="33"/>
      <c r="AA5965" s="33"/>
      <c r="AB5965" s="33"/>
      <c r="AC5965" s="33"/>
      <c r="AD5965" s="33"/>
      <c r="AE5965" s="33"/>
      <c r="AF5965" s="33"/>
      <c r="AG5965" s="33"/>
      <c r="AH5965" s="33"/>
      <c r="AI5965" s="33"/>
      <c r="AJ5965" s="33"/>
      <c r="AK5965" s="33"/>
    </row>
    <row r="5966">
      <c r="A5966" s="33"/>
      <c r="B5966" s="33"/>
      <c r="C5966" s="33"/>
      <c r="D5966" s="33"/>
      <c r="E5966" s="33"/>
      <c r="F5966" s="33"/>
      <c r="G5966" s="33"/>
      <c r="H5966" s="33"/>
      <c r="I5966" s="33"/>
      <c r="J5966" s="33"/>
      <c r="K5966" s="33"/>
      <c r="L5966" s="33"/>
      <c r="M5966" s="33"/>
      <c r="N5966" s="33"/>
      <c r="O5966" s="33"/>
      <c r="P5966" s="33"/>
      <c r="Q5966" s="33"/>
      <c r="R5966" s="33"/>
      <c r="S5966" s="33"/>
      <c r="T5966" s="33"/>
      <c r="U5966" s="33"/>
      <c r="V5966" s="33"/>
      <c r="W5966" s="33"/>
      <c r="X5966" s="33"/>
      <c r="Y5966" s="33"/>
      <c r="Z5966" s="33"/>
      <c r="AA5966" s="33"/>
      <c r="AB5966" s="33"/>
      <c r="AC5966" s="33"/>
      <c r="AD5966" s="33"/>
      <c r="AE5966" s="33"/>
      <c r="AF5966" s="33"/>
      <c r="AG5966" s="33"/>
      <c r="AH5966" s="33"/>
      <c r="AI5966" s="33"/>
      <c r="AJ5966" s="33"/>
      <c r="AK5966" s="33"/>
    </row>
    <row r="5967">
      <c r="A5967" s="33"/>
      <c r="B5967" s="33"/>
      <c r="C5967" s="33"/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3"/>
      <c r="X5967" s="33"/>
      <c r="Y5967" s="33"/>
      <c r="Z5967" s="33"/>
      <c r="AA5967" s="33"/>
      <c r="AB5967" s="33"/>
      <c r="AC5967" s="33"/>
      <c r="AD5967" s="33"/>
      <c r="AE5967" s="33"/>
      <c r="AF5967" s="33"/>
      <c r="AG5967" s="33"/>
      <c r="AH5967" s="33"/>
      <c r="AI5967" s="33"/>
      <c r="AJ5967" s="33"/>
      <c r="AK5967" s="33"/>
    </row>
    <row r="5968">
      <c r="A5968" s="33"/>
      <c r="B5968" s="33"/>
      <c r="C5968" s="33"/>
      <c r="D5968" s="33"/>
      <c r="E5968" s="33"/>
      <c r="F5968" s="33"/>
      <c r="G5968" s="33"/>
      <c r="H5968" s="33"/>
      <c r="I5968" s="33"/>
      <c r="J5968" s="33"/>
      <c r="K5968" s="33"/>
      <c r="L5968" s="33"/>
      <c r="M5968" s="33"/>
      <c r="N5968" s="33"/>
      <c r="O5968" s="33"/>
      <c r="P5968" s="33"/>
      <c r="Q5968" s="33"/>
      <c r="R5968" s="33"/>
      <c r="S5968" s="33"/>
      <c r="T5968" s="33"/>
      <c r="U5968" s="33"/>
      <c r="V5968" s="33"/>
      <c r="W5968" s="33"/>
      <c r="X5968" s="33"/>
      <c r="Y5968" s="33"/>
      <c r="Z5968" s="33"/>
      <c r="AA5968" s="33"/>
      <c r="AB5968" s="33"/>
      <c r="AC5968" s="33"/>
      <c r="AD5968" s="33"/>
      <c r="AE5968" s="33"/>
      <c r="AF5968" s="33"/>
      <c r="AG5968" s="33"/>
      <c r="AH5968" s="33"/>
      <c r="AI5968" s="33"/>
      <c r="AJ5968" s="33"/>
      <c r="AK5968" s="33"/>
    </row>
    <row r="5969">
      <c r="A5969" s="33"/>
      <c r="B5969" s="33"/>
      <c r="C5969" s="33"/>
      <c r="D5969" s="33"/>
      <c r="E5969" s="33"/>
      <c r="F5969" s="33"/>
      <c r="G5969" s="33"/>
      <c r="H5969" s="33"/>
      <c r="I5969" s="33"/>
      <c r="J5969" s="33"/>
      <c r="K5969" s="33"/>
      <c r="L5969" s="33"/>
      <c r="M5969" s="33"/>
      <c r="N5969" s="33"/>
      <c r="O5969" s="33"/>
      <c r="P5969" s="33"/>
      <c r="Q5969" s="33"/>
      <c r="R5969" s="33"/>
      <c r="S5969" s="33"/>
      <c r="T5969" s="33"/>
      <c r="U5969" s="33"/>
      <c r="V5969" s="33"/>
      <c r="W5969" s="33"/>
      <c r="X5969" s="33"/>
      <c r="Y5969" s="33"/>
      <c r="Z5969" s="33"/>
      <c r="AA5969" s="33"/>
      <c r="AB5969" s="33"/>
      <c r="AC5969" s="33"/>
      <c r="AD5969" s="33"/>
      <c r="AE5969" s="33"/>
      <c r="AF5969" s="33"/>
      <c r="AG5969" s="33"/>
      <c r="AH5969" s="33"/>
      <c r="AI5969" s="33"/>
      <c r="AJ5969" s="33"/>
      <c r="AK5969" s="33"/>
    </row>
    <row r="5970">
      <c r="A5970" s="33"/>
      <c r="B5970" s="33"/>
      <c r="C5970" s="33"/>
      <c r="D5970" s="33"/>
      <c r="E5970" s="33"/>
      <c r="F5970" s="33"/>
      <c r="G5970" s="33"/>
      <c r="H5970" s="33"/>
      <c r="I5970" s="33"/>
      <c r="J5970" s="33"/>
      <c r="K5970" s="33"/>
      <c r="L5970" s="33"/>
      <c r="M5970" s="33"/>
      <c r="N5970" s="33"/>
      <c r="O5970" s="33"/>
      <c r="P5970" s="33"/>
      <c r="Q5970" s="33"/>
      <c r="R5970" s="33"/>
      <c r="S5970" s="33"/>
      <c r="T5970" s="33"/>
      <c r="U5970" s="33"/>
      <c r="V5970" s="33"/>
      <c r="W5970" s="33"/>
      <c r="X5970" s="33"/>
      <c r="Y5970" s="33"/>
      <c r="Z5970" s="33"/>
      <c r="AA5970" s="33"/>
      <c r="AB5970" s="33"/>
      <c r="AC5970" s="33"/>
      <c r="AD5970" s="33"/>
      <c r="AE5970" s="33"/>
      <c r="AF5970" s="33"/>
      <c r="AG5970" s="33"/>
      <c r="AH5970" s="33"/>
      <c r="AI5970" s="33"/>
      <c r="AJ5970" s="33"/>
      <c r="AK5970" s="33"/>
    </row>
    <row r="5971">
      <c r="A5971" s="33"/>
      <c r="B5971" s="33"/>
      <c r="C5971" s="33"/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3"/>
      <c r="X5971" s="33"/>
      <c r="Y5971" s="33"/>
      <c r="Z5971" s="33"/>
      <c r="AA5971" s="33"/>
      <c r="AB5971" s="33"/>
      <c r="AC5971" s="33"/>
      <c r="AD5971" s="33"/>
      <c r="AE5971" s="33"/>
      <c r="AF5971" s="33"/>
      <c r="AG5971" s="33"/>
      <c r="AH5971" s="33"/>
      <c r="AI5971" s="33"/>
      <c r="AJ5971" s="33"/>
      <c r="AK5971" s="33"/>
    </row>
    <row r="5972">
      <c r="A5972" s="33"/>
      <c r="B5972" s="33"/>
      <c r="C5972" s="33"/>
      <c r="D5972" s="33"/>
      <c r="E5972" s="33"/>
      <c r="F5972" s="33"/>
      <c r="G5972" s="33"/>
      <c r="H5972" s="33"/>
      <c r="I5972" s="33"/>
      <c r="J5972" s="33"/>
      <c r="K5972" s="33"/>
      <c r="L5972" s="33"/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/>
      <c r="X5972" s="33"/>
      <c r="Y5972" s="33"/>
      <c r="Z5972" s="33"/>
      <c r="AA5972" s="33"/>
      <c r="AB5972" s="33"/>
      <c r="AC5972" s="33"/>
      <c r="AD5972" s="33"/>
      <c r="AE5972" s="33"/>
      <c r="AF5972" s="33"/>
      <c r="AG5972" s="33"/>
      <c r="AH5972" s="33"/>
      <c r="AI5972" s="33"/>
      <c r="AJ5972" s="33"/>
      <c r="AK5972" s="33"/>
    </row>
    <row r="5973">
      <c r="A5973" s="33"/>
      <c r="B5973" s="33"/>
      <c r="C5973" s="33"/>
      <c r="D5973" s="33"/>
      <c r="E5973" s="33"/>
      <c r="F5973" s="33"/>
      <c r="G5973" s="33"/>
      <c r="H5973" s="33"/>
      <c r="I5973" s="33"/>
      <c r="J5973" s="33"/>
      <c r="K5973" s="33"/>
      <c r="L5973" s="33"/>
      <c r="M5973" s="33"/>
      <c r="N5973" s="33"/>
      <c r="O5973" s="33"/>
      <c r="P5973" s="33"/>
      <c r="Q5973" s="33"/>
      <c r="R5973" s="33"/>
      <c r="S5973" s="33"/>
      <c r="T5973" s="33"/>
      <c r="U5973" s="33"/>
      <c r="V5973" s="33"/>
      <c r="W5973" s="33"/>
      <c r="X5973" s="33"/>
      <c r="Y5973" s="33"/>
      <c r="Z5973" s="33"/>
      <c r="AA5973" s="33"/>
      <c r="AB5973" s="33"/>
      <c r="AC5973" s="33"/>
      <c r="AD5973" s="33"/>
      <c r="AE5973" s="33"/>
      <c r="AF5973" s="33"/>
      <c r="AG5973" s="33"/>
      <c r="AH5973" s="33"/>
      <c r="AI5973" s="33"/>
      <c r="AJ5973" s="33"/>
      <c r="AK5973" s="33"/>
    </row>
    <row r="5974">
      <c r="A5974" s="33"/>
      <c r="B5974" s="33"/>
      <c r="C5974" s="33"/>
      <c r="D5974" s="33"/>
      <c r="E5974" s="33"/>
      <c r="F5974" s="33"/>
      <c r="G5974" s="33"/>
      <c r="H5974" s="33"/>
      <c r="I5974" s="33"/>
      <c r="J5974" s="33"/>
      <c r="K5974" s="33"/>
      <c r="L5974" s="33"/>
      <c r="M5974" s="33"/>
      <c r="N5974" s="33"/>
      <c r="O5974" s="33"/>
      <c r="P5974" s="33"/>
      <c r="Q5974" s="33"/>
      <c r="R5974" s="33"/>
      <c r="S5974" s="33"/>
      <c r="T5974" s="33"/>
      <c r="U5974" s="33"/>
      <c r="V5974" s="33"/>
      <c r="W5974" s="33"/>
      <c r="X5974" s="33"/>
      <c r="Y5974" s="33"/>
      <c r="Z5974" s="33"/>
      <c r="AA5974" s="33"/>
      <c r="AB5974" s="33"/>
      <c r="AC5974" s="33"/>
      <c r="AD5974" s="33"/>
      <c r="AE5974" s="33"/>
      <c r="AF5974" s="33"/>
      <c r="AG5974" s="33"/>
      <c r="AH5974" s="33"/>
      <c r="AI5974" s="33"/>
      <c r="AJ5974" s="33"/>
      <c r="AK5974" s="33"/>
    </row>
    <row r="5975">
      <c r="A5975" s="33"/>
      <c r="B5975" s="33"/>
      <c r="C5975" s="33"/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3"/>
      <c r="X5975" s="33"/>
      <c r="Y5975" s="33"/>
      <c r="Z5975" s="33"/>
      <c r="AA5975" s="33"/>
      <c r="AB5975" s="33"/>
      <c r="AC5975" s="33"/>
      <c r="AD5975" s="33"/>
      <c r="AE5975" s="33"/>
      <c r="AF5975" s="33"/>
      <c r="AG5975" s="33"/>
      <c r="AH5975" s="33"/>
      <c r="AI5975" s="33"/>
      <c r="AJ5975" s="33"/>
      <c r="AK5975" s="33"/>
    </row>
    <row r="5976">
      <c r="A5976" s="33"/>
      <c r="B5976" s="33"/>
      <c r="C5976" s="33"/>
      <c r="D5976" s="33"/>
      <c r="E5976" s="33"/>
      <c r="F5976" s="33"/>
      <c r="G5976" s="33"/>
      <c r="H5976" s="33"/>
      <c r="I5976" s="33"/>
      <c r="J5976" s="33"/>
      <c r="K5976" s="33"/>
      <c r="L5976" s="33"/>
      <c r="M5976" s="33"/>
      <c r="N5976" s="33"/>
      <c r="O5976" s="33"/>
      <c r="P5976" s="33"/>
      <c r="Q5976" s="33"/>
      <c r="R5976" s="33"/>
      <c r="S5976" s="33"/>
      <c r="T5976" s="33"/>
      <c r="U5976" s="33"/>
      <c r="V5976" s="33"/>
      <c r="W5976" s="33"/>
      <c r="X5976" s="33"/>
      <c r="Y5976" s="33"/>
      <c r="Z5976" s="33"/>
      <c r="AA5976" s="33"/>
      <c r="AB5976" s="33"/>
      <c r="AC5976" s="33"/>
      <c r="AD5976" s="33"/>
      <c r="AE5976" s="33"/>
      <c r="AF5976" s="33"/>
      <c r="AG5976" s="33"/>
      <c r="AH5976" s="33"/>
      <c r="AI5976" s="33"/>
      <c r="AJ5976" s="33"/>
      <c r="AK5976" s="33"/>
    </row>
    <row r="5977">
      <c r="A5977" s="33"/>
      <c r="B5977" s="33"/>
      <c r="C5977" s="33"/>
      <c r="D5977" s="33"/>
      <c r="E5977" s="33"/>
      <c r="F5977" s="33"/>
      <c r="G5977" s="33"/>
      <c r="H5977" s="33"/>
      <c r="I5977" s="33"/>
      <c r="J5977" s="33"/>
      <c r="K5977" s="33"/>
      <c r="L5977" s="33"/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/>
      <c r="X5977" s="33"/>
      <c r="Y5977" s="33"/>
      <c r="Z5977" s="33"/>
      <c r="AA5977" s="33"/>
      <c r="AB5977" s="33"/>
      <c r="AC5977" s="33"/>
      <c r="AD5977" s="33"/>
      <c r="AE5977" s="33"/>
      <c r="AF5977" s="33"/>
      <c r="AG5977" s="33"/>
      <c r="AH5977" s="33"/>
      <c r="AI5977" s="33"/>
      <c r="AJ5977" s="33"/>
      <c r="AK5977" s="33"/>
    </row>
    <row r="5978">
      <c r="A5978" s="33"/>
      <c r="B5978" s="33"/>
      <c r="C5978" s="33"/>
      <c r="D5978" s="33"/>
      <c r="E5978" s="33"/>
      <c r="F5978" s="33"/>
      <c r="G5978" s="33"/>
      <c r="H5978" s="33"/>
      <c r="I5978" s="33"/>
      <c r="J5978" s="33"/>
      <c r="K5978" s="33"/>
      <c r="L5978" s="33"/>
      <c r="M5978" s="33"/>
      <c r="N5978" s="33"/>
      <c r="O5978" s="33"/>
      <c r="P5978" s="33"/>
      <c r="Q5978" s="33"/>
      <c r="R5978" s="33"/>
      <c r="S5978" s="33"/>
      <c r="T5978" s="33"/>
      <c r="U5978" s="33"/>
      <c r="V5978" s="33"/>
      <c r="W5978" s="33"/>
      <c r="X5978" s="33"/>
      <c r="Y5978" s="33"/>
      <c r="Z5978" s="33"/>
      <c r="AA5978" s="33"/>
      <c r="AB5978" s="33"/>
      <c r="AC5978" s="33"/>
      <c r="AD5978" s="33"/>
      <c r="AE5978" s="33"/>
      <c r="AF5978" s="33"/>
      <c r="AG5978" s="33"/>
      <c r="AH5978" s="33"/>
      <c r="AI5978" s="33"/>
      <c r="AJ5978" s="33"/>
      <c r="AK5978" s="33"/>
    </row>
    <row r="5979">
      <c r="A5979" s="33"/>
      <c r="B5979" s="33"/>
      <c r="C5979" s="33"/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3"/>
      <c r="X5979" s="33"/>
      <c r="Y5979" s="33"/>
      <c r="Z5979" s="33"/>
      <c r="AA5979" s="33"/>
      <c r="AB5979" s="33"/>
      <c r="AC5979" s="33"/>
      <c r="AD5979" s="33"/>
      <c r="AE5979" s="33"/>
      <c r="AF5979" s="33"/>
      <c r="AG5979" s="33"/>
      <c r="AH5979" s="33"/>
      <c r="AI5979" s="33"/>
      <c r="AJ5979" s="33"/>
      <c r="AK5979" s="33"/>
    </row>
    <row r="5980">
      <c r="A5980" s="33"/>
      <c r="B5980" s="33"/>
      <c r="C5980" s="33"/>
      <c r="D5980" s="33"/>
      <c r="E5980" s="33"/>
      <c r="F5980" s="33"/>
      <c r="G5980" s="33"/>
      <c r="H5980" s="33"/>
      <c r="I5980" s="33"/>
      <c r="J5980" s="33"/>
      <c r="K5980" s="33"/>
      <c r="L5980" s="33"/>
      <c r="M5980" s="33"/>
      <c r="N5980" s="33"/>
      <c r="O5980" s="33"/>
      <c r="P5980" s="33"/>
      <c r="Q5980" s="33"/>
      <c r="R5980" s="33"/>
      <c r="S5980" s="33"/>
      <c r="T5980" s="33"/>
      <c r="U5980" s="33"/>
      <c r="V5980" s="33"/>
      <c r="W5980" s="33"/>
      <c r="X5980" s="33"/>
      <c r="Y5980" s="33"/>
      <c r="Z5980" s="33"/>
      <c r="AA5980" s="33"/>
      <c r="AB5980" s="33"/>
      <c r="AC5980" s="33"/>
      <c r="AD5980" s="33"/>
      <c r="AE5980" s="33"/>
      <c r="AF5980" s="33"/>
      <c r="AG5980" s="33"/>
      <c r="AH5980" s="33"/>
      <c r="AI5980" s="33"/>
      <c r="AJ5980" s="33"/>
      <c r="AK5980" s="33"/>
    </row>
    <row r="5981">
      <c r="A5981" s="33"/>
      <c r="B5981" s="33"/>
      <c r="C5981" s="33"/>
      <c r="D5981" s="33"/>
      <c r="E5981" s="33"/>
      <c r="F5981" s="33"/>
      <c r="G5981" s="33"/>
      <c r="H5981" s="33"/>
      <c r="I5981" s="33"/>
      <c r="J5981" s="33"/>
      <c r="K5981" s="33"/>
      <c r="L5981" s="33"/>
      <c r="M5981" s="33"/>
      <c r="N5981" s="33"/>
      <c r="O5981" s="33"/>
      <c r="P5981" s="33"/>
      <c r="Q5981" s="33"/>
      <c r="R5981" s="33"/>
      <c r="S5981" s="33"/>
      <c r="T5981" s="33"/>
      <c r="U5981" s="33"/>
      <c r="V5981" s="33"/>
      <c r="W5981" s="33"/>
      <c r="X5981" s="33"/>
      <c r="Y5981" s="33"/>
      <c r="Z5981" s="33"/>
      <c r="AA5981" s="33"/>
      <c r="AB5981" s="33"/>
      <c r="AC5981" s="33"/>
      <c r="AD5981" s="33"/>
      <c r="AE5981" s="33"/>
      <c r="AF5981" s="33"/>
      <c r="AG5981" s="33"/>
      <c r="AH5981" s="33"/>
      <c r="AI5981" s="33"/>
      <c r="AJ5981" s="33"/>
      <c r="AK5981" s="33"/>
    </row>
    <row r="5982">
      <c r="A5982" s="33"/>
      <c r="B5982" s="33"/>
      <c r="C5982" s="33"/>
      <c r="D5982" s="33"/>
      <c r="E5982" s="33"/>
      <c r="F5982" s="33"/>
      <c r="G5982" s="33"/>
      <c r="H5982" s="33"/>
      <c r="I5982" s="33"/>
      <c r="J5982" s="33"/>
      <c r="K5982" s="33"/>
      <c r="L5982" s="33"/>
      <c r="M5982" s="33"/>
      <c r="N5982" s="33"/>
      <c r="O5982" s="33"/>
      <c r="P5982" s="33"/>
      <c r="Q5982" s="33"/>
      <c r="R5982" s="33"/>
      <c r="S5982" s="33"/>
      <c r="T5982" s="33"/>
      <c r="U5982" s="33"/>
      <c r="V5982" s="33"/>
      <c r="W5982" s="33"/>
      <c r="X5982" s="33"/>
      <c r="Y5982" s="33"/>
      <c r="Z5982" s="33"/>
      <c r="AA5982" s="33"/>
      <c r="AB5982" s="33"/>
      <c r="AC5982" s="33"/>
      <c r="AD5982" s="33"/>
      <c r="AE5982" s="33"/>
      <c r="AF5982" s="33"/>
      <c r="AG5982" s="33"/>
      <c r="AH5982" s="33"/>
      <c r="AI5982" s="33"/>
      <c r="AJ5982" s="33"/>
      <c r="AK5982" s="33"/>
    </row>
    <row r="5983">
      <c r="A5983" s="33"/>
      <c r="B5983" s="33"/>
      <c r="C5983" s="33"/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3"/>
      <c r="X5983" s="33"/>
      <c r="Y5983" s="33"/>
      <c r="Z5983" s="33"/>
      <c r="AA5983" s="33"/>
      <c r="AB5983" s="33"/>
      <c r="AC5983" s="33"/>
      <c r="AD5983" s="33"/>
      <c r="AE5983" s="33"/>
      <c r="AF5983" s="33"/>
      <c r="AG5983" s="33"/>
      <c r="AH5983" s="33"/>
      <c r="AI5983" s="33"/>
      <c r="AJ5983" s="33"/>
      <c r="AK5983" s="33"/>
    </row>
    <row r="5984">
      <c r="A5984" s="33"/>
      <c r="B5984" s="33"/>
      <c r="C5984" s="33"/>
      <c r="D5984" s="33"/>
      <c r="E5984" s="33"/>
      <c r="F5984" s="33"/>
      <c r="G5984" s="33"/>
      <c r="H5984" s="33"/>
      <c r="I5984" s="33"/>
      <c r="J5984" s="33"/>
      <c r="K5984" s="33"/>
      <c r="L5984" s="33"/>
      <c r="M5984" s="33"/>
      <c r="N5984" s="33"/>
      <c r="O5984" s="33"/>
      <c r="P5984" s="33"/>
      <c r="Q5984" s="33"/>
      <c r="R5984" s="33"/>
      <c r="S5984" s="33"/>
      <c r="T5984" s="33"/>
      <c r="U5984" s="33"/>
      <c r="V5984" s="33"/>
      <c r="W5984" s="33"/>
      <c r="X5984" s="33"/>
      <c r="Y5984" s="33"/>
      <c r="Z5984" s="33"/>
      <c r="AA5984" s="33"/>
      <c r="AB5984" s="33"/>
      <c r="AC5984" s="33"/>
      <c r="AD5984" s="33"/>
      <c r="AE5984" s="33"/>
      <c r="AF5984" s="33"/>
      <c r="AG5984" s="33"/>
      <c r="AH5984" s="33"/>
      <c r="AI5984" s="33"/>
      <c r="AJ5984" s="33"/>
      <c r="AK5984" s="33"/>
    </row>
    <row r="5985">
      <c r="A5985" s="33"/>
      <c r="B5985" s="33"/>
      <c r="C5985" s="33"/>
      <c r="D5985" s="33"/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33"/>
      <c r="Q5985" s="33"/>
      <c r="R5985" s="33"/>
      <c r="S5985" s="33"/>
      <c r="T5985" s="33"/>
      <c r="U5985" s="33"/>
      <c r="V5985" s="33"/>
      <c r="W5985" s="33"/>
      <c r="X5985" s="33"/>
      <c r="Y5985" s="33"/>
      <c r="Z5985" s="33"/>
      <c r="AA5985" s="33"/>
      <c r="AB5985" s="33"/>
      <c r="AC5985" s="33"/>
      <c r="AD5985" s="33"/>
      <c r="AE5985" s="33"/>
      <c r="AF5985" s="33"/>
      <c r="AG5985" s="33"/>
      <c r="AH5985" s="33"/>
      <c r="AI5985" s="33"/>
      <c r="AJ5985" s="33"/>
      <c r="AK5985" s="33"/>
    </row>
    <row r="5986">
      <c r="A5986" s="33"/>
      <c r="B5986" s="33"/>
      <c r="C5986" s="33"/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3"/>
      <c r="P5986" s="33"/>
      <c r="Q5986" s="33"/>
      <c r="R5986" s="33"/>
      <c r="S5986" s="33"/>
      <c r="T5986" s="33"/>
      <c r="U5986" s="33"/>
      <c r="V5986" s="33"/>
      <c r="W5986" s="33"/>
      <c r="X5986" s="33"/>
      <c r="Y5986" s="33"/>
      <c r="Z5986" s="33"/>
      <c r="AA5986" s="33"/>
      <c r="AB5986" s="33"/>
      <c r="AC5986" s="33"/>
      <c r="AD5986" s="33"/>
      <c r="AE5986" s="33"/>
      <c r="AF5986" s="33"/>
      <c r="AG5986" s="33"/>
      <c r="AH5986" s="33"/>
      <c r="AI5986" s="33"/>
      <c r="AJ5986" s="33"/>
      <c r="AK5986" s="33"/>
    </row>
    <row r="5987">
      <c r="A5987" s="33"/>
      <c r="B5987" s="33"/>
      <c r="C5987" s="33"/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3"/>
      <c r="X5987" s="33"/>
      <c r="Y5987" s="33"/>
      <c r="Z5987" s="33"/>
      <c r="AA5987" s="33"/>
      <c r="AB5987" s="33"/>
      <c r="AC5987" s="33"/>
      <c r="AD5987" s="33"/>
      <c r="AE5987" s="33"/>
      <c r="AF5987" s="33"/>
      <c r="AG5987" s="33"/>
      <c r="AH5987" s="33"/>
      <c r="AI5987" s="33"/>
      <c r="AJ5987" s="33"/>
      <c r="AK5987" s="33"/>
    </row>
    <row r="5988">
      <c r="A5988" s="33"/>
      <c r="B5988" s="33"/>
      <c r="C5988" s="33"/>
      <c r="D5988" s="33"/>
      <c r="E5988" s="33"/>
      <c r="F5988" s="33"/>
      <c r="G5988" s="33"/>
      <c r="H5988" s="33"/>
      <c r="I5988" s="33"/>
      <c r="J5988" s="33"/>
      <c r="K5988" s="33"/>
      <c r="L5988" s="33"/>
      <c r="M5988" s="33"/>
      <c r="N5988" s="33"/>
      <c r="O5988" s="33"/>
      <c r="P5988" s="33"/>
      <c r="Q5988" s="33"/>
      <c r="R5988" s="33"/>
      <c r="S5988" s="33"/>
      <c r="T5988" s="33"/>
      <c r="U5988" s="33"/>
      <c r="V5988" s="33"/>
      <c r="W5988" s="33"/>
      <c r="X5988" s="33"/>
      <c r="Y5988" s="33"/>
      <c r="Z5988" s="33"/>
      <c r="AA5988" s="33"/>
      <c r="AB5988" s="33"/>
      <c r="AC5988" s="33"/>
      <c r="AD5988" s="33"/>
      <c r="AE5988" s="33"/>
      <c r="AF5988" s="33"/>
      <c r="AG5988" s="33"/>
      <c r="AH5988" s="33"/>
      <c r="AI5988" s="33"/>
      <c r="AJ5988" s="33"/>
      <c r="AK5988" s="33"/>
    </row>
    <row r="5989">
      <c r="A5989" s="33"/>
      <c r="B5989" s="33"/>
      <c r="C5989" s="33"/>
      <c r="D5989" s="33"/>
      <c r="E5989" s="33"/>
      <c r="F5989" s="33"/>
      <c r="G5989" s="33"/>
      <c r="H5989" s="33"/>
      <c r="I5989" s="33"/>
      <c r="J5989" s="33"/>
      <c r="K5989" s="33"/>
      <c r="L5989" s="33"/>
      <c r="M5989" s="33"/>
      <c r="N5989" s="33"/>
      <c r="O5989" s="33"/>
      <c r="P5989" s="33"/>
      <c r="Q5989" s="33"/>
      <c r="R5989" s="33"/>
      <c r="S5989" s="33"/>
      <c r="T5989" s="33"/>
      <c r="U5989" s="33"/>
      <c r="V5989" s="33"/>
      <c r="W5989" s="33"/>
      <c r="X5989" s="33"/>
      <c r="Y5989" s="33"/>
      <c r="Z5989" s="33"/>
      <c r="AA5989" s="33"/>
      <c r="AB5989" s="33"/>
      <c r="AC5989" s="33"/>
      <c r="AD5989" s="33"/>
      <c r="AE5989" s="33"/>
      <c r="AF5989" s="33"/>
      <c r="AG5989" s="33"/>
      <c r="AH5989" s="33"/>
      <c r="AI5989" s="33"/>
      <c r="AJ5989" s="33"/>
      <c r="AK5989" s="33"/>
    </row>
    <row r="5990">
      <c r="A5990" s="33"/>
      <c r="B5990" s="33"/>
      <c r="C5990" s="33"/>
      <c r="D5990" s="33"/>
      <c r="E5990" s="33"/>
      <c r="F5990" s="33"/>
      <c r="G5990" s="33"/>
      <c r="H5990" s="33"/>
      <c r="I5990" s="33"/>
      <c r="J5990" s="33"/>
      <c r="K5990" s="33"/>
      <c r="L5990" s="33"/>
      <c r="M5990" s="33"/>
      <c r="N5990" s="33"/>
      <c r="O5990" s="33"/>
      <c r="P5990" s="33"/>
      <c r="Q5990" s="33"/>
      <c r="R5990" s="33"/>
      <c r="S5990" s="33"/>
      <c r="T5990" s="33"/>
      <c r="U5990" s="33"/>
      <c r="V5990" s="33"/>
      <c r="W5990" s="33"/>
      <c r="X5990" s="33"/>
      <c r="Y5990" s="33"/>
      <c r="Z5990" s="33"/>
      <c r="AA5990" s="33"/>
      <c r="AB5990" s="33"/>
      <c r="AC5990" s="33"/>
      <c r="AD5990" s="33"/>
      <c r="AE5990" s="33"/>
      <c r="AF5990" s="33"/>
      <c r="AG5990" s="33"/>
      <c r="AH5990" s="33"/>
      <c r="AI5990" s="33"/>
      <c r="AJ5990" s="33"/>
      <c r="AK5990" s="33"/>
    </row>
    <row r="5991">
      <c r="A5991" s="33"/>
      <c r="B5991" s="33"/>
      <c r="C5991" s="33"/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3"/>
      <c r="X5991" s="33"/>
      <c r="Y5991" s="33"/>
      <c r="Z5991" s="33"/>
      <c r="AA5991" s="33"/>
      <c r="AB5991" s="33"/>
      <c r="AC5991" s="33"/>
      <c r="AD5991" s="33"/>
      <c r="AE5991" s="33"/>
      <c r="AF5991" s="33"/>
      <c r="AG5991" s="33"/>
      <c r="AH5991" s="33"/>
      <c r="AI5991" s="33"/>
      <c r="AJ5991" s="33"/>
      <c r="AK5991" s="33"/>
    </row>
    <row r="5992">
      <c r="A5992" s="33"/>
      <c r="B5992" s="33"/>
      <c r="C5992" s="33"/>
      <c r="D5992" s="33"/>
      <c r="E5992" s="33"/>
      <c r="F5992" s="33"/>
      <c r="G5992" s="33"/>
      <c r="H5992" s="33"/>
      <c r="I5992" s="33"/>
      <c r="J5992" s="33"/>
      <c r="K5992" s="33"/>
      <c r="L5992" s="33"/>
      <c r="M5992" s="33"/>
      <c r="N5992" s="33"/>
      <c r="O5992" s="33"/>
      <c r="P5992" s="33"/>
      <c r="Q5992" s="33"/>
      <c r="R5992" s="33"/>
      <c r="S5992" s="33"/>
      <c r="T5992" s="33"/>
      <c r="U5992" s="33"/>
      <c r="V5992" s="33"/>
      <c r="W5992" s="33"/>
      <c r="X5992" s="33"/>
      <c r="Y5992" s="33"/>
      <c r="Z5992" s="33"/>
      <c r="AA5992" s="33"/>
      <c r="AB5992" s="33"/>
      <c r="AC5992" s="33"/>
      <c r="AD5992" s="33"/>
      <c r="AE5992" s="33"/>
      <c r="AF5992" s="33"/>
      <c r="AG5992" s="33"/>
      <c r="AH5992" s="33"/>
      <c r="AI5992" s="33"/>
      <c r="AJ5992" s="33"/>
      <c r="AK5992" s="33"/>
    </row>
    <row r="5993">
      <c r="A5993" s="33"/>
      <c r="B5993" s="33"/>
      <c r="C5993" s="33"/>
      <c r="D5993" s="33"/>
      <c r="E5993" s="33"/>
      <c r="F5993" s="33"/>
      <c r="G5993" s="33"/>
      <c r="H5993" s="33"/>
      <c r="I5993" s="33"/>
      <c r="J5993" s="33"/>
      <c r="K5993" s="33"/>
      <c r="L5993" s="33"/>
      <c r="M5993" s="33"/>
      <c r="N5993" s="33"/>
      <c r="O5993" s="33"/>
      <c r="P5993" s="33"/>
      <c r="Q5993" s="33"/>
      <c r="R5993" s="33"/>
      <c r="S5993" s="33"/>
      <c r="T5993" s="33"/>
      <c r="U5993" s="33"/>
      <c r="V5993" s="33"/>
      <c r="W5993" s="33"/>
      <c r="X5993" s="33"/>
      <c r="Y5993" s="33"/>
      <c r="Z5993" s="33"/>
      <c r="AA5993" s="33"/>
      <c r="AB5993" s="33"/>
      <c r="AC5993" s="33"/>
      <c r="AD5993" s="33"/>
      <c r="AE5993" s="33"/>
      <c r="AF5993" s="33"/>
      <c r="AG5993" s="33"/>
      <c r="AH5993" s="33"/>
      <c r="AI5993" s="33"/>
      <c r="AJ5993" s="33"/>
      <c r="AK5993" s="33"/>
    </row>
    <row r="5994">
      <c r="A5994" s="33"/>
      <c r="B5994" s="33"/>
      <c r="C5994" s="33"/>
      <c r="D5994" s="33"/>
      <c r="E5994" s="33"/>
      <c r="F5994" s="33"/>
      <c r="G5994" s="33"/>
      <c r="H5994" s="33"/>
      <c r="I5994" s="33"/>
      <c r="J5994" s="33"/>
      <c r="K5994" s="33"/>
      <c r="L5994" s="33"/>
      <c r="M5994" s="33"/>
      <c r="N5994" s="33"/>
      <c r="O5994" s="33"/>
      <c r="P5994" s="33"/>
      <c r="Q5994" s="33"/>
      <c r="R5994" s="33"/>
      <c r="S5994" s="33"/>
      <c r="T5994" s="33"/>
      <c r="U5994" s="33"/>
      <c r="V5994" s="33"/>
      <c r="W5994" s="33"/>
      <c r="X5994" s="33"/>
      <c r="Y5994" s="33"/>
      <c r="Z5994" s="33"/>
      <c r="AA5994" s="33"/>
      <c r="AB5994" s="33"/>
      <c r="AC5994" s="33"/>
      <c r="AD5994" s="33"/>
      <c r="AE5994" s="33"/>
      <c r="AF5994" s="33"/>
      <c r="AG5994" s="33"/>
      <c r="AH5994" s="33"/>
      <c r="AI5994" s="33"/>
      <c r="AJ5994" s="33"/>
      <c r="AK5994" s="33"/>
    </row>
    <row r="5995">
      <c r="A5995" s="33"/>
      <c r="B5995" s="33"/>
      <c r="C5995" s="33"/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3"/>
      <c r="X5995" s="33"/>
      <c r="Y5995" s="33"/>
      <c r="Z5995" s="33"/>
      <c r="AA5995" s="33"/>
      <c r="AB5995" s="33"/>
      <c r="AC5995" s="33"/>
      <c r="AD5995" s="33"/>
      <c r="AE5995" s="33"/>
      <c r="AF5995" s="33"/>
      <c r="AG5995" s="33"/>
      <c r="AH5995" s="33"/>
      <c r="AI5995" s="33"/>
      <c r="AJ5995" s="33"/>
      <c r="AK5995" s="33"/>
    </row>
    <row r="5996">
      <c r="A5996" s="33"/>
      <c r="B5996" s="33"/>
      <c r="C5996" s="33"/>
      <c r="D5996" s="33"/>
      <c r="E5996" s="33"/>
      <c r="F5996" s="33"/>
      <c r="G5996" s="33"/>
      <c r="H5996" s="33"/>
      <c r="I5996" s="33"/>
      <c r="J5996" s="33"/>
      <c r="K5996" s="33"/>
      <c r="L5996" s="33"/>
      <c r="M5996" s="33"/>
      <c r="N5996" s="33"/>
      <c r="O5996" s="33"/>
      <c r="P5996" s="33"/>
      <c r="Q5996" s="33"/>
      <c r="R5996" s="33"/>
      <c r="S5996" s="33"/>
      <c r="T5996" s="33"/>
      <c r="U5996" s="33"/>
      <c r="V5996" s="33"/>
      <c r="W5996" s="33"/>
      <c r="X5996" s="33"/>
      <c r="Y5996" s="33"/>
      <c r="Z5996" s="33"/>
      <c r="AA5996" s="33"/>
      <c r="AB5996" s="33"/>
      <c r="AC5996" s="33"/>
      <c r="AD5996" s="33"/>
      <c r="AE5996" s="33"/>
      <c r="AF5996" s="33"/>
      <c r="AG5996" s="33"/>
      <c r="AH5996" s="33"/>
      <c r="AI5996" s="33"/>
      <c r="AJ5996" s="33"/>
      <c r="AK5996" s="33"/>
    </row>
    <row r="5997">
      <c r="A5997" s="33"/>
      <c r="B5997" s="33"/>
      <c r="C5997" s="33"/>
      <c r="D5997" s="33"/>
      <c r="E5997" s="33"/>
      <c r="F5997" s="33"/>
      <c r="G5997" s="33"/>
      <c r="H5997" s="33"/>
      <c r="I5997" s="33"/>
      <c r="J5997" s="33"/>
      <c r="K5997" s="33"/>
      <c r="L5997" s="33"/>
      <c r="M5997" s="33"/>
      <c r="N5997" s="33"/>
      <c r="O5997" s="33"/>
      <c r="P5997" s="33"/>
      <c r="Q5997" s="33"/>
      <c r="R5997" s="33"/>
      <c r="S5997" s="33"/>
      <c r="T5997" s="33"/>
      <c r="U5997" s="33"/>
      <c r="V5997" s="33"/>
      <c r="W5997" s="33"/>
      <c r="X5997" s="33"/>
      <c r="Y5997" s="33"/>
      <c r="Z5997" s="33"/>
      <c r="AA5997" s="33"/>
      <c r="AB5997" s="33"/>
      <c r="AC5997" s="33"/>
      <c r="AD5997" s="33"/>
      <c r="AE5997" s="33"/>
      <c r="AF5997" s="33"/>
      <c r="AG5997" s="33"/>
      <c r="AH5997" s="33"/>
      <c r="AI5997" s="33"/>
      <c r="AJ5997" s="33"/>
      <c r="AK5997" s="33"/>
    </row>
    <row r="5998">
      <c r="A5998" s="33"/>
      <c r="B5998" s="33"/>
      <c r="C5998" s="33"/>
      <c r="D5998" s="33"/>
      <c r="E5998" s="33"/>
      <c r="F5998" s="33"/>
      <c r="G5998" s="33"/>
      <c r="H5998" s="33"/>
      <c r="I5998" s="33"/>
      <c r="J5998" s="33"/>
      <c r="K5998" s="33"/>
      <c r="L5998" s="33"/>
      <c r="M5998" s="33"/>
      <c r="N5998" s="33"/>
      <c r="O5998" s="33"/>
      <c r="P5998" s="33"/>
      <c r="Q5998" s="33"/>
      <c r="R5998" s="33"/>
      <c r="S5998" s="33"/>
      <c r="T5998" s="33"/>
      <c r="U5998" s="33"/>
      <c r="V5998" s="33"/>
      <c r="W5998" s="33"/>
      <c r="X5998" s="33"/>
      <c r="Y5998" s="33"/>
      <c r="Z5998" s="33"/>
      <c r="AA5998" s="33"/>
      <c r="AB5998" s="33"/>
      <c r="AC5998" s="33"/>
      <c r="AD5998" s="33"/>
      <c r="AE5998" s="33"/>
      <c r="AF5998" s="33"/>
      <c r="AG5998" s="33"/>
      <c r="AH5998" s="33"/>
      <c r="AI5998" s="33"/>
      <c r="AJ5998" s="33"/>
      <c r="AK5998" s="33"/>
    </row>
    <row r="5999">
      <c r="A5999" s="33"/>
      <c r="B5999" s="33"/>
      <c r="C5999" s="33"/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3"/>
      <c r="X5999" s="33"/>
      <c r="Y5999" s="33"/>
      <c r="Z5999" s="33"/>
      <c r="AA5999" s="33"/>
      <c r="AB5999" s="33"/>
      <c r="AC5999" s="33"/>
      <c r="AD5999" s="33"/>
      <c r="AE5999" s="33"/>
      <c r="AF5999" s="33"/>
      <c r="AG5999" s="33"/>
      <c r="AH5999" s="33"/>
      <c r="AI5999" s="33"/>
      <c r="AJ5999" s="33"/>
      <c r="AK5999" s="33"/>
    </row>
    <row r="6000">
      <c r="A6000" s="33"/>
      <c r="B6000" s="33"/>
      <c r="C6000" s="33"/>
      <c r="D6000" s="33"/>
      <c r="E6000" s="33"/>
      <c r="F6000" s="33"/>
      <c r="G6000" s="33"/>
      <c r="H6000" s="33"/>
      <c r="I6000" s="33"/>
      <c r="J6000" s="33"/>
      <c r="K6000" s="33"/>
      <c r="L6000" s="33"/>
      <c r="M6000" s="33"/>
      <c r="N6000" s="33"/>
      <c r="O6000" s="33"/>
      <c r="P6000" s="33"/>
      <c r="Q6000" s="33"/>
      <c r="R6000" s="33"/>
      <c r="S6000" s="33"/>
      <c r="T6000" s="33"/>
      <c r="U6000" s="33"/>
      <c r="V6000" s="33"/>
      <c r="W6000" s="33"/>
      <c r="X6000" s="33"/>
      <c r="Y6000" s="33"/>
      <c r="Z6000" s="33"/>
      <c r="AA6000" s="33"/>
      <c r="AB6000" s="33"/>
      <c r="AC6000" s="33"/>
      <c r="AD6000" s="33"/>
      <c r="AE6000" s="33"/>
      <c r="AF6000" s="33"/>
      <c r="AG6000" s="33"/>
      <c r="AH6000" s="33"/>
      <c r="AI6000" s="33"/>
      <c r="AJ6000" s="33"/>
      <c r="AK6000" s="33"/>
    </row>
    <row r="6001">
      <c r="A6001" s="33"/>
      <c r="B6001" s="33"/>
      <c r="C6001" s="33"/>
      <c r="D6001" s="33"/>
      <c r="E6001" s="33"/>
      <c r="F6001" s="33"/>
      <c r="G6001" s="33"/>
      <c r="H6001" s="33"/>
      <c r="I6001" s="33"/>
      <c r="J6001" s="33"/>
      <c r="K6001" s="33"/>
      <c r="L6001" s="33"/>
      <c r="M6001" s="33"/>
      <c r="N6001" s="33"/>
      <c r="O6001" s="33"/>
      <c r="P6001" s="33"/>
      <c r="Q6001" s="33"/>
      <c r="R6001" s="33"/>
      <c r="S6001" s="33"/>
      <c r="T6001" s="33"/>
      <c r="U6001" s="33"/>
      <c r="V6001" s="33"/>
      <c r="W6001" s="33"/>
      <c r="X6001" s="33"/>
      <c r="Y6001" s="33"/>
      <c r="Z6001" s="33"/>
      <c r="AA6001" s="33"/>
      <c r="AB6001" s="33"/>
      <c r="AC6001" s="33"/>
      <c r="AD6001" s="33"/>
      <c r="AE6001" s="33"/>
      <c r="AF6001" s="33"/>
      <c r="AG6001" s="33"/>
      <c r="AH6001" s="33"/>
      <c r="AI6001" s="33"/>
      <c r="AJ6001" s="33"/>
      <c r="AK6001" s="33"/>
    </row>
    <row r="6002">
      <c r="A6002" s="33"/>
      <c r="B6002" s="33"/>
      <c r="C6002" s="33"/>
      <c r="D6002" s="33"/>
      <c r="E6002" s="33"/>
      <c r="F6002" s="33"/>
      <c r="G6002" s="33"/>
      <c r="H6002" s="33"/>
      <c r="I6002" s="33"/>
      <c r="J6002" s="33"/>
      <c r="K6002" s="33"/>
      <c r="L6002" s="33"/>
      <c r="M6002" s="33"/>
      <c r="N6002" s="33"/>
      <c r="O6002" s="33"/>
      <c r="P6002" s="33"/>
      <c r="Q6002" s="33"/>
      <c r="R6002" s="33"/>
      <c r="S6002" s="33"/>
      <c r="T6002" s="33"/>
      <c r="U6002" s="33"/>
      <c r="V6002" s="33"/>
      <c r="W6002" s="33"/>
      <c r="X6002" s="33"/>
      <c r="Y6002" s="33"/>
      <c r="Z6002" s="33"/>
      <c r="AA6002" s="33"/>
      <c r="AB6002" s="33"/>
      <c r="AC6002" s="33"/>
      <c r="AD6002" s="33"/>
      <c r="AE6002" s="33"/>
      <c r="AF6002" s="33"/>
      <c r="AG6002" s="33"/>
      <c r="AH6002" s="33"/>
      <c r="AI6002" s="33"/>
      <c r="AJ6002" s="33"/>
      <c r="AK6002" s="33"/>
    </row>
    <row r="6003">
      <c r="A6003" s="33"/>
      <c r="B6003" s="33"/>
      <c r="C6003" s="33"/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  <c r="Q6003" s="33"/>
      <c r="R6003" s="33"/>
      <c r="S6003" s="33"/>
      <c r="T6003" s="33"/>
      <c r="U6003" s="33"/>
      <c r="V6003" s="33"/>
      <c r="W6003" s="33"/>
      <c r="X6003" s="33"/>
      <c r="Y6003" s="33"/>
      <c r="Z6003" s="33"/>
      <c r="AA6003" s="33"/>
      <c r="AB6003" s="33"/>
      <c r="AC6003" s="33"/>
      <c r="AD6003" s="33"/>
      <c r="AE6003" s="33"/>
      <c r="AF6003" s="33"/>
      <c r="AG6003" s="33"/>
      <c r="AH6003" s="33"/>
      <c r="AI6003" s="33"/>
      <c r="AJ6003" s="33"/>
      <c r="AK6003" s="33"/>
    </row>
    <row r="6004">
      <c r="A6004" s="33"/>
      <c r="B6004" s="33"/>
      <c r="C6004" s="33"/>
      <c r="D6004" s="33"/>
      <c r="E6004" s="33"/>
      <c r="F6004" s="33"/>
      <c r="G6004" s="33"/>
      <c r="H6004" s="33"/>
      <c r="I6004" s="33"/>
      <c r="J6004" s="33"/>
      <c r="K6004" s="33"/>
      <c r="L6004" s="33"/>
      <c r="M6004" s="33"/>
      <c r="N6004" s="33"/>
      <c r="O6004" s="33"/>
      <c r="P6004" s="33"/>
      <c r="Q6004" s="33"/>
      <c r="R6004" s="33"/>
      <c r="S6004" s="33"/>
      <c r="T6004" s="33"/>
      <c r="U6004" s="33"/>
      <c r="V6004" s="33"/>
      <c r="W6004" s="33"/>
      <c r="X6004" s="33"/>
      <c r="Y6004" s="33"/>
      <c r="Z6004" s="33"/>
      <c r="AA6004" s="33"/>
      <c r="AB6004" s="33"/>
      <c r="AC6004" s="33"/>
      <c r="AD6004" s="33"/>
      <c r="AE6004" s="33"/>
      <c r="AF6004" s="33"/>
      <c r="AG6004" s="33"/>
      <c r="AH6004" s="33"/>
      <c r="AI6004" s="33"/>
      <c r="AJ6004" s="33"/>
      <c r="AK6004" s="33"/>
    </row>
    <row r="6005">
      <c r="A6005" s="33"/>
      <c r="B6005" s="33"/>
      <c r="C6005" s="33"/>
      <c r="D6005" s="33"/>
      <c r="E6005" s="33"/>
      <c r="F6005" s="33"/>
      <c r="G6005" s="33"/>
      <c r="H6005" s="33"/>
      <c r="I6005" s="33"/>
      <c r="J6005" s="33"/>
      <c r="K6005" s="33"/>
      <c r="L6005" s="33"/>
      <c r="M6005" s="33"/>
      <c r="N6005" s="33"/>
      <c r="O6005" s="33"/>
      <c r="P6005" s="33"/>
      <c r="Q6005" s="33"/>
      <c r="R6005" s="33"/>
      <c r="S6005" s="33"/>
      <c r="T6005" s="33"/>
      <c r="U6005" s="33"/>
      <c r="V6005" s="33"/>
      <c r="W6005" s="33"/>
      <c r="X6005" s="33"/>
      <c r="Y6005" s="33"/>
      <c r="Z6005" s="33"/>
      <c r="AA6005" s="33"/>
      <c r="AB6005" s="33"/>
      <c r="AC6005" s="33"/>
      <c r="AD6005" s="33"/>
      <c r="AE6005" s="33"/>
      <c r="AF6005" s="33"/>
      <c r="AG6005" s="33"/>
      <c r="AH6005" s="33"/>
      <c r="AI6005" s="33"/>
      <c r="AJ6005" s="33"/>
      <c r="AK6005" s="33"/>
    </row>
    <row r="6006">
      <c r="A6006" s="33"/>
      <c r="B6006" s="33"/>
      <c r="C6006" s="33"/>
      <c r="D6006" s="33"/>
      <c r="E6006" s="33"/>
      <c r="F6006" s="33"/>
      <c r="G6006" s="33"/>
      <c r="H6006" s="33"/>
      <c r="I6006" s="33"/>
      <c r="J6006" s="33"/>
      <c r="K6006" s="33"/>
      <c r="L6006" s="33"/>
      <c r="M6006" s="33"/>
      <c r="N6006" s="33"/>
      <c r="O6006" s="33"/>
      <c r="P6006" s="33"/>
      <c r="Q6006" s="33"/>
      <c r="R6006" s="33"/>
      <c r="S6006" s="33"/>
      <c r="T6006" s="33"/>
      <c r="U6006" s="33"/>
      <c r="V6006" s="33"/>
      <c r="W6006" s="33"/>
      <c r="X6006" s="33"/>
      <c r="Y6006" s="33"/>
      <c r="Z6006" s="33"/>
      <c r="AA6006" s="33"/>
      <c r="AB6006" s="33"/>
      <c r="AC6006" s="33"/>
      <c r="AD6006" s="33"/>
      <c r="AE6006" s="33"/>
      <c r="AF6006" s="33"/>
      <c r="AG6006" s="33"/>
      <c r="AH6006" s="33"/>
      <c r="AI6006" s="33"/>
      <c r="AJ6006" s="33"/>
      <c r="AK6006" s="33"/>
    </row>
    <row r="6007">
      <c r="A6007" s="33"/>
      <c r="B6007" s="33"/>
      <c r="C6007" s="33"/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  <c r="Q6007" s="33"/>
      <c r="R6007" s="33"/>
      <c r="S6007" s="33"/>
      <c r="T6007" s="33"/>
      <c r="U6007" s="33"/>
      <c r="V6007" s="33"/>
      <c r="W6007" s="33"/>
      <c r="X6007" s="33"/>
      <c r="Y6007" s="33"/>
      <c r="Z6007" s="33"/>
      <c r="AA6007" s="33"/>
      <c r="AB6007" s="33"/>
      <c r="AC6007" s="33"/>
      <c r="AD6007" s="33"/>
      <c r="AE6007" s="33"/>
      <c r="AF6007" s="33"/>
      <c r="AG6007" s="33"/>
      <c r="AH6007" s="33"/>
      <c r="AI6007" s="33"/>
      <c r="AJ6007" s="33"/>
      <c r="AK6007" s="33"/>
    </row>
    <row r="6008">
      <c r="A6008" s="33"/>
      <c r="B6008" s="33"/>
      <c r="C6008" s="33"/>
      <c r="D6008" s="33"/>
      <c r="E6008" s="33"/>
      <c r="F6008" s="33"/>
      <c r="G6008" s="33"/>
      <c r="H6008" s="33"/>
      <c r="I6008" s="33"/>
      <c r="J6008" s="33"/>
      <c r="K6008" s="33"/>
      <c r="L6008" s="33"/>
      <c r="M6008" s="33"/>
      <c r="N6008" s="33"/>
      <c r="O6008" s="33"/>
      <c r="P6008" s="33"/>
      <c r="Q6008" s="33"/>
      <c r="R6008" s="33"/>
      <c r="S6008" s="33"/>
      <c r="T6008" s="33"/>
      <c r="U6008" s="33"/>
      <c r="V6008" s="33"/>
      <c r="W6008" s="33"/>
      <c r="X6008" s="33"/>
      <c r="Y6008" s="33"/>
      <c r="Z6008" s="33"/>
      <c r="AA6008" s="33"/>
      <c r="AB6008" s="33"/>
      <c r="AC6008" s="33"/>
      <c r="AD6008" s="33"/>
      <c r="AE6008" s="33"/>
      <c r="AF6008" s="33"/>
      <c r="AG6008" s="33"/>
      <c r="AH6008" s="33"/>
      <c r="AI6008" s="33"/>
      <c r="AJ6008" s="33"/>
      <c r="AK6008" s="33"/>
    </row>
    <row r="6009">
      <c r="A6009" s="33"/>
      <c r="B6009" s="33"/>
      <c r="C6009" s="33"/>
      <c r="D6009" s="33"/>
      <c r="E6009" s="33"/>
      <c r="F6009" s="33"/>
      <c r="G6009" s="33"/>
      <c r="H6009" s="33"/>
      <c r="I6009" s="33"/>
      <c r="J6009" s="33"/>
      <c r="K6009" s="33"/>
      <c r="L6009" s="33"/>
      <c r="M6009" s="33"/>
      <c r="N6009" s="33"/>
      <c r="O6009" s="33"/>
      <c r="P6009" s="33"/>
      <c r="Q6009" s="33"/>
      <c r="R6009" s="33"/>
      <c r="S6009" s="33"/>
      <c r="T6009" s="33"/>
      <c r="U6009" s="33"/>
      <c r="V6009" s="33"/>
      <c r="W6009" s="33"/>
      <c r="X6009" s="33"/>
      <c r="Y6009" s="33"/>
      <c r="Z6009" s="33"/>
      <c r="AA6009" s="33"/>
      <c r="AB6009" s="33"/>
      <c r="AC6009" s="33"/>
      <c r="AD6009" s="33"/>
      <c r="AE6009" s="33"/>
      <c r="AF6009" s="33"/>
      <c r="AG6009" s="33"/>
      <c r="AH6009" s="33"/>
      <c r="AI6009" s="33"/>
      <c r="AJ6009" s="33"/>
      <c r="AK6009" s="33"/>
    </row>
    <row r="6010">
      <c r="A6010" s="33"/>
      <c r="B6010" s="33"/>
      <c r="C6010" s="33"/>
      <c r="D6010" s="33"/>
      <c r="E6010" s="33"/>
      <c r="F6010" s="33"/>
      <c r="G6010" s="33"/>
      <c r="H6010" s="33"/>
      <c r="I6010" s="33"/>
      <c r="J6010" s="33"/>
      <c r="K6010" s="33"/>
      <c r="L6010" s="33"/>
      <c r="M6010" s="33"/>
      <c r="N6010" s="33"/>
      <c r="O6010" s="33"/>
      <c r="P6010" s="33"/>
      <c r="Q6010" s="33"/>
      <c r="R6010" s="33"/>
      <c r="S6010" s="33"/>
      <c r="T6010" s="33"/>
      <c r="U6010" s="33"/>
      <c r="V6010" s="33"/>
      <c r="W6010" s="33"/>
      <c r="X6010" s="33"/>
      <c r="Y6010" s="33"/>
      <c r="Z6010" s="33"/>
      <c r="AA6010" s="33"/>
      <c r="AB6010" s="33"/>
      <c r="AC6010" s="33"/>
      <c r="AD6010" s="33"/>
      <c r="AE6010" s="33"/>
      <c r="AF6010" s="33"/>
      <c r="AG6010" s="33"/>
      <c r="AH6010" s="33"/>
      <c r="AI6010" s="33"/>
      <c r="AJ6010" s="33"/>
      <c r="AK6010" s="33"/>
    </row>
    <row r="6011">
      <c r="A6011" s="33"/>
      <c r="B6011" s="33"/>
      <c r="C6011" s="33"/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  <c r="Q6011" s="33"/>
      <c r="R6011" s="33"/>
      <c r="S6011" s="33"/>
      <c r="T6011" s="33"/>
      <c r="U6011" s="33"/>
      <c r="V6011" s="33"/>
      <c r="W6011" s="33"/>
      <c r="X6011" s="33"/>
      <c r="Y6011" s="33"/>
      <c r="Z6011" s="33"/>
      <c r="AA6011" s="33"/>
      <c r="AB6011" s="33"/>
      <c r="AC6011" s="33"/>
      <c r="AD6011" s="33"/>
      <c r="AE6011" s="33"/>
      <c r="AF6011" s="33"/>
      <c r="AG6011" s="33"/>
      <c r="AH6011" s="33"/>
      <c r="AI6011" s="33"/>
      <c r="AJ6011" s="33"/>
      <c r="AK6011" s="33"/>
    </row>
    <row r="6012">
      <c r="A6012" s="33"/>
      <c r="B6012" s="33"/>
      <c r="C6012" s="33"/>
      <c r="D6012" s="33"/>
      <c r="E6012" s="33"/>
      <c r="F6012" s="33"/>
      <c r="G6012" s="33"/>
      <c r="H6012" s="33"/>
      <c r="I6012" s="33"/>
      <c r="J6012" s="33"/>
      <c r="K6012" s="33"/>
      <c r="L6012" s="33"/>
      <c r="M6012" s="33"/>
      <c r="N6012" s="33"/>
      <c r="O6012" s="33"/>
      <c r="P6012" s="33"/>
      <c r="Q6012" s="33"/>
      <c r="R6012" s="33"/>
      <c r="S6012" s="33"/>
      <c r="T6012" s="33"/>
      <c r="U6012" s="33"/>
      <c r="V6012" s="33"/>
      <c r="W6012" s="33"/>
      <c r="X6012" s="33"/>
      <c r="Y6012" s="33"/>
      <c r="Z6012" s="33"/>
      <c r="AA6012" s="33"/>
      <c r="AB6012" s="33"/>
      <c r="AC6012" s="33"/>
      <c r="AD6012" s="33"/>
      <c r="AE6012" s="33"/>
      <c r="AF6012" s="33"/>
      <c r="AG6012" s="33"/>
      <c r="AH6012" s="33"/>
      <c r="AI6012" s="33"/>
      <c r="AJ6012" s="33"/>
      <c r="AK6012" s="33"/>
    </row>
    <row r="6013">
      <c r="A6013" s="33"/>
      <c r="B6013" s="33"/>
      <c r="C6013" s="33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33"/>
      <c r="Q6013" s="33"/>
      <c r="R6013" s="33"/>
      <c r="S6013" s="33"/>
      <c r="T6013" s="33"/>
      <c r="U6013" s="33"/>
      <c r="V6013" s="33"/>
      <c r="W6013" s="33"/>
      <c r="X6013" s="33"/>
      <c r="Y6013" s="33"/>
      <c r="Z6013" s="33"/>
      <c r="AA6013" s="33"/>
      <c r="AB6013" s="33"/>
      <c r="AC6013" s="33"/>
      <c r="AD6013" s="33"/>
      <c r="AE6013" s="33"/>
      <c r="AF6013" s="33"/>
      <c r="AG6013" s="33"/>
      <c r="AH6013" s="33"/>
      <c r="AI6013" s="33"/>
      <c r="AJ6013" s="33"/>
      <c r="AK6013" s="33"/>
    </row>
    <row r="6014">
      <c r="A6014" s="33"/>
      <c r="B6014" s="33"/>
      <c r="C6014" s="33"/>
      <c r="D6014" s="33"/>
      <c r="E6014" s="33"/>
      <c r="F6014" s="33"/>
      <c r="G6014" s="33"/>
      <c r="H6014" s="33"/>
      <c r="I6014" s="33"/>
      <c r="J6014" s="33"/>
      <c r="K6014" s="33"/>
      <c r="L6014" s="33"/>
      <c r="M6014" s="33"/>
      <c r="N6014" s="33"/>
      <c r="O6014" s="33"/>
      <c r="P6014" s="33"/>
      <c r="Q6014" s="33"/>
      <c r="R6014" s="33"/>
      <c r="S6014" s="33"/>
      <c r="T6014" s="33"/>
      <c r="U6014" s="33"/>
      <c r="V6014" s="33"/>
      <c r="W6014" s="33"/>
      <c r="X6014" s="33"/>
      <c r="Y6014" s="33"/>
      <c r="Z6014" s="33"/>
      <c r="AA6014" s="33"/>
      <c r="AB6014" s="33"/>
      <c r="AC6014" s="33"/>
      <c r="AD6014" s="33"/>
      <c r="AE6014" s="33"/>
      <c r="AF6014" s="33"/>
      <c r="AG6014" s="33"/>
      <c r="AH6014" s="33"/>
      <c r="AI6014" s="33"/>
      <c r="AJ6014" s="33"/>
      <c r="AK6014" s="33"/>
    </row>
    <row r="6015">
      <c r="A6015" s="33"/>
      <c r="B6015" s="33"/>
      <c r="C6015" s="33"/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  <c r="R6015" s="33"/>
      <c r="S6015" s="33"/>
      <c r="T6015" s="33"/>
      <c r="U6015" s="33"/>
      <c r="V6015" s="33"/>
      <c r="W6015" s="33"/>
      <c r="X6015" s="33"/>
      <c r="Y6015" s="33"/>
      <c r="Z6015" s="33"/>
      <c r="AA6015" s="33"/>
      <c r="AB6015" s="33"/>
      <c r="AC6015" s="33"/>
      <c r="AD6015" s="33"/>
      <c r="AE6015" s="33"/>
      <c r="AF6015" s="33"/>
      <c r="AG6015" s="33"/>
      <c r="AH6015" s="33"/>
      <c r="AI6015" s="33"/>
      <c r="AJ6015" s="33"/>
      <c r="AK6015" s="33"/>
    </row>
    <row r="6016">
      <c r="A6016" s="33"/>
      <c r="B6016" s="33"/>
      <c r="C6016" s="33"/>
      <c r="D6016" s="33"/>
      <c r="E6016" s="33"/>
      <c r="F6016" s="33"/>
      <c r="G6016" s="33"/>
      <c r="H6016" s="33"/>
      <c r="I6016" s="33"/>
      <c r="J6016" s="33"/>
      <c r="K6016" s="33"/>
      <c r="L6016" s="33"/>
      <c r="M6016" s="33"/>
      <c r="N6016" s="33"/>
      <c r="O6016" s="33"/>
      <c r="P6016" s="33"/>
      <c r="Q6016" s="33"/>
      <c r="R6016" s="33"/>
      <c r="S6016" s="33"/>
      <c r="T6016" s="33"/>
      <c r="U6016" s="33"/>
      <c r="V6016" s="33"/>
      <c r="W6016" s="33"/>
      <c r="X6016" s="33"/>
      <c r="Y6016" s="33"/>
      <c r="Z6016" s="33"/>
      <c r="AA6016" s="33"/>
      <c r="AB6016" s="33"/>
      <c r="AC6016" s="33"/>
      <c r="AD6016" s="33"/>
      <c r="AE6016" s="33"/>
      <c r="AF6016" s="33"/>
      <c r="AG6016" s="33"/>
      <c r="AH6016" s="33"/>
      <c r="AI6016" s="33"/>
      <c r="AJ6016" s="33"/>
      <c r="AK6016" s="33"/>
    </row>
    <row r="6017">
      <c r="A6017" s="33"/>
      <c r="B6017" s="33"/>
      <c r="C6017" s="33"/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33"/>
      <c r="Q6017" s="33"/>
      <c r="R6017" s="33"/>
      <c r="S6017" s="33"/>
      <c r="T6017" s="33"/>
      <c r="U6017" s="33"/>
      <c r="V6017" s="33"/>
      <c r="W6017" s="33"/>
      <c r="X6017" s="33"/>
      <c r="Y6017" s="33"/>
      <c r="Z6017" s="33"/>
      <c r="AA6017" s="33"/>
      <c r="AB6017" s="33"/>
      <c r="AC6017" s="33"/>
      <c r="AD6017" s="33"/>
      <c r="AE6017" s="33"/>
      <c r="AF6017" s="33"/>
      <c r="AG6017" s="33"/>
      <c r="AH6017" s="33"/>
      <c r="AI6017" s="33"/>
      <c r="AJ6017" s="33"/>
      <c r="AK6017" s="33"/>
    </row>
    <row r="6018">
      <c r="A6018" s="33"/>
      <c r="B6018" s="33"/>
      <c r="C6018" s="33"/>
      <c r="D6018" s="33"/>
      <c r="E6018" s="33"/>
      <c r="F6018" s="33"/>
      <c r="G6018" s="33"/>
      <c r="H6018" s="33"/>
      <c r="I6018" s="33"/>
      <c r="J6018" s="33"/>
      <c r="K6018" s="33"/>
      <c r="L6018" s="33"/>
      <c r="M6018" s="33"/>
      <c r="N6018" s="33"/>
      <c r="O6018" s="33"/>
      <c r="P6018" s="33"/>
      <c r="Q6018" s="33"/>
      <c r="R6018" s="33"/>
      <c r="S6018" s="33"/>
      <c r="T6018" s="33"/>
      <c r="U6018" s="33"/>
      <c r="V6018" s="33"/>
      <c r="W6018" s="33"/>
      <c r="X6018" s="33"/>
      <c r="Y6018" s="33"/>
      <c r="Z6018" s="33"/>
      <c r="AA6018" s="33"/>
      <c r="AB6018" s="33"/>
      <c r="AC6018" s="33"/>
      <c r="AD6018" s="33"/>
      <c r="AE6018" s="33"/>
      <c r="AF6018" s="33"/>
      <c r="AG6018" s="33"/>
      <c r="AH6018" s="33"/>
      <c r="AI6018" s="33"/>
      <c r="AJ6018" s="33"/>
      <c r="AK6018" s="33"/>
    </row>
    <row r="6019">
      <c r="A6019" s="33"/>
      <c r="B6019" s="33"/>
      <c r="C6019" s="33"/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  <c r="Q6019" s="33"/>
      <c r="R6019" s="33"/>
      <c r="S6019" s="33"/>
      <c r="T6019" s="33"/>
      <c r="U6019" s="33"/>
      <c r="V6019" s="33"/>
      <c r="W6019" s="33"/>
      <c r="X6019" s="33"/>
      <c r="Y6019" s="33"/>
      <c r="Z6019" s="33"/>
      <c r="AA6019" s="33"/>
      <c r="AB6019" s="33"/>
      <c r="AC6019" s="33"/>
      <c r="AD6019" s="33"/>
      <c r="AE6019" s="33"/>
      <c r="AF6019" s="33"/>
      <c r="AG6019" s="33"/>
      <c r="AH6019" s="33"/>
      <c r="AI6019" s="33"/>
      <c r="AJ6019" s="33"/>
      <c r="AK6019" s="33"/>
    </row>
    <row r="6020">
      <c r="A6020" s="33"/>
      <c r="B6020" s="33"/>
      <c r="C6020" s="33"/>
      <c r="D6020" s="33"/>
      <c r="E6020" s="33"/>
      <c r="F6020" s="33"/>
      <c r="G6020" s="33"/>
      <c r="H6020" s="33"/>
      <c r="I6020" s="33"/>
      <c r="J6020" s="33"/>
      <c r="K6020" s="33"/>
      <c r="L6020" s="33"/>
      <c r="M6020" s="33"/>
      <c r="N6020" s="33"/>
      <c r="O6020" s="33"/>
      <c r="P6020" s="33"/>
      <c r="Q6020" s="33"/>
      <c r="R6020" s="33"/>
      <c r="S6020" s="33"/>
      <c r="T6020" s="33"/>
      <c r="U6020" s="33"/>
      <c r="V6020" s="33"/>
      <c r="W6020" s="33"/>
      <c r="X6020" s="33"/>
      <c r="Y6020" s="33"/>
      <c r="Z6020" s="33"/>
      <c r="AA6020" s="33"/>
      <c r="AB6020" s="33"/>
      <c r="AC6020" s="33"/>
      <c r="AD6020" s="33"/>
      <c r="AE6020" s="33"/>
      <c r="AF6020" s="33"/>
      <c r="AG6020" s="33"/>
      <c r="AH6020" s="33"/>
      <c r="AI6020" s="33"/>
      <c r="AJ6020" s="33"/>
      <c r="AK6020" s="33"/>
    </row>
    <row r="6021">
      <c r="A6021" s="33"/>
      <c r="B6021" s="33"/>
      <c r="C6021" s="33"/>
      <c r="D6021" s="33"/>
      <c r="E6021" s="33"/>
      <c r="F6021" s="33"/>
      <c r="G6021" s="33"/>
      <c r="H6021" s="33"/>
      <c r="I6021" s="33"/>
      <c r="J6021" s="33"/>
      <c r="K6021" s="33"/>
      <c r="L6021" s="33"/>
      <c r="M6021" s="33"/>
      <c r="N6021" s="33"/>
      <c r="O6021" s="33"/>
      <c r="P6021" s="33"/>
      <c r="Q6021" s="33"/>
      <c r="R6021" s="33"/>
      <c r="S6021" s="33"/>
      <c r="T6021" s="33"/>
      <c r="U6021" s="33"/>
      <c r="V6021" s="33"/>
      <c r="W6021" s="33"/>
      <c r="X6021" s="33"/>
      <c r="Y6021" s="33"/>
      <c r="Z6021" s="33"/>
      <c r="AA6021" s="33"/>
      <c r="AB6021" s="33"/>
      <c r="AC6021" s="33"/>
      <c r="AD6021" s="33"/>
      <c r="AE6021" s="33"/>
      <c r="AF6021" s="33"/>
      <c r="AG6021" s="33"/>
      <c r="AH6021" s="33"/>
      <c r="AI6021" s="33"/>
      <c r="AJ6021" s="33"/>
      <c r="AK6021" s="33"/>
    </row>
    <row r="6022">
      <c r="A6022" s="33"/>
      <c r="B6022" s="33"/>
      <c r="C6022" s="33"/>
      <c r="D6022" s="33"/>
      <c r="E6022" s="33"/>
      <c r="F6022" s="33"/>
      <c r="G6022" s="33"/>
      <c r="H6022" s="33"/>
      <c r="I6022" s="33"/>
      <c r="J6022" s="33"/>
      <c r="K6022" s="33"/>
      <c r="L6022" s="33"/>
      <c r="M6022" s="33"/>
      <c r="N6022" s="33"/>
      <c r="O6022" s="33"/>
      <c r="P6022" s="33"/>
      <c r="Q6022" s="33"/>
      <c r="R6022" s="33"/>
      <c r="S6022" s="33"/>
      <c r="T6022" s="33"/>
      <c r="U6022" s="33"/>
      <c r="V6022" s="33"/>
      <c r="W6022" s="33"/>
      <c r="X6022" s="33"/>
      <c r="Y6022" s="33"/>
      <c r="Z6022" s="33"/>
      <c r="AA6022" s="33"/>
      <c r="AB6022" s="33"/>
      <c r="AC6022" s="33"/>
      <c r="AD6022" s="33"/>
      <c r="AE6022" s="33"/>
      <c r="AF6022" s="33"/>
      <c r="AG6022" s="33"/>
      <c r="AH6022" s="33"/>
      <c r="AI6022" s="33"/>
      <c r="AJ6022" s="33"/>
      <c r="AK6022" s="33"/>
    </row>
    <row r="6023">
      <c r="A6023" s="33"/>
      <c r="B6023" s="33"/>
      <c r="C6023" s="33"/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  <c r="Q6023" s="33"/>
      <c r="R6023" s="33"/>
      <c r="S6023" s="33"/>
      <c r="T6023" s="33"/>
      <c r="U6023" s="33"/>
      <c r="V6023" s="33"/>
      <c r="W6023" s="33"/>
      <c r="X6023" s="33"/>
      <c r="Y6023" s="33"/>
      <c r="Z6023" s="33"/>
      <c r="AA6023" s="33"/>
      <c r="AB6023" s="33"/>
      <c r="AC6023" s="33"/>
      <c r="AD6023" s="33"/>
      <c r="AE6023" s="33"/>
      <c r="AF6023" s="33"/>
      <c r="AG6023" s="33"/>
      <c r="AH6023" s="33"/>
      <c r="AI6023" s="33"/>
      <c r="AJ6023" s="33"/>
      <c r="AK6023" s="33"/>
    </row>
    <row r="6024">
      <c r="A6024" s="33"/>
      <c r="B6024" s="33"/>
      <c r="C6024" s="33"/>
      <c r="D6024" s="33"/>
      <c r="E6024" s="33"/>
      <c r="F6024" s="33"/>
      <c r="G6024" s="33"/>
      <c r="H6024" s="33"/>
      <c r="I6024" s="33"/>
      <c r="J6024" s="33"/>
      <c r="K6024" s="33"/>
      <c r="L6024" s="33"/>
      <c r="M6024" s="33"/>
      <c r="N6024" s="33"/>
      <c r="O6024" s="33"/>
      <c r="P6024" s="33"/>
      <c r="Q6024" s="33"/>
      <c r="R6024" s="33"/>
      <c r="S6024" s="33"/>
      <c r="T6024" s="33"/>
      <c r="U6024" s="33"/>
      <c r="V6024" s="33"/>
      <c r="W6024" s="33"/>
      <c r="X6024" s="33"/>
      <c r="Y6024" s="33"/>
      <c r="Z6024" s="33"/>
      <c r="AA6024" s="33"/>
      <c r="AB6024" s="33"/>
      <c r="AC6024" s="33"/>
      <c r="AD6024" s="33"/>
      <c r="AE6024" s="33"/>
      <c r="AF6024" s="33"/>
      <c r="AG6024" s="33"/>
      <c r="AH6024" s="33"/>
      <c r="AI6024" s="33"/>
      <c r="AJ6024" s="33"/>
      <c r="AK6024" s="33"/>
    </row>
    <row r="6025">
      <c r="A6025" s="33"/>
      <c r="B6025" s="33"/>
      <c r="C6025" s="33"/>
      <c r="D6025" s="33"/>
      <c r="E6025" s="33"/>
      <c r="F6025" s="33"/>
      <c r="G6025" s="33"/>
      <c r="H6025" s="33"/>
      <c r="I6025" s="33"/>
      <c r="J6025" s="33"/>
      <c r="K6025" s="33"/>
      <c r="L6025" s="33"/>
      <c r="M6025" s="33"/>
      <c r="N6025" s="33"/>
      <c r="O6025" s="33"/>
      <c r="P6025" s="33"/>
      <c r="Q6025" s="33"/>
      <c r="R6025" s="33"/>
      <c r="S6025" s="33"/>
      <c r="T6025" s="33"/>
      <c r="U6025" s="33"/>
      <c r="V6025" s="33"/>
      <c r="W6025" s="33"/>
      <c r="X6025" s="33"/>
      <c r="Y6025" s="33"/>
      <c r="Z6025" s="33"/>
      <c r="AA6025" s="33"/>
      <c r="AB6025" s="33"/>
      <c r="AC6025" s="33"/>
      <c r="AD6025" s="33"/>
      <c r="AE6025" s="33"/>
      <c r="AF6025" s="33"/>
      <c r="AG6025" s="33"/>
      <c r="AH6025" s="33"/>
      <c r="AI6025" s="33"/>
      <c r="AJ6025" s="33"/>
      <c r="AK6025" s="33"/>
    </row>
    <row r="6026">
      <c r="A6026" s="33"/>
      <c r="B6026" s="33"/>
      <c r="C6026" s="33"/>
      <c r="D6026" s="33"/>
      <c r="E6026" s="33"/>
      <c r="F6026" s="33"/>
      <c r="G6026" s="33"/>
      <c r="H6026" s="33"/>
      <c r="I6026" s="33"/>
      <c r="J6026" s="33"/>
      <c r="K6026" s="33"/>
      <c r="L6026" s="33"/>
      <c r="M6026" s="33"/>
      <c r="N6026" s="33"/>
      <c r="O6026" s="33"/>
      <c r="P6026" s="33"/>
      <c r="Q6026" s="33"/>
      <c r="R6026" s="33"/>
      <c r="S6026" s="33"/>
      <c r="T6026" s="33"/>
      <c r="U6026" s="33"/>
      <c r="V6026" s="33"/>
      <c r="W6026" s="33"/>
      <c r="X6026" s="33"/>
      <c r="Y6026" s="33"/>
      <c r="Z6026" s="33"/>
      <c r="AA6026" s="33"/>
      <c r="AB6026" s="33"/>
      <c r="AC6026" s="33"/>
      <c r="AD6026" s="33"/>
      <c r="AE6026" s="33"/>
      <c r="AF6026" s="33"/>
      <c r="AG6026" s="33"/>
      <c r="AH6026" s="33"/>
      <c r="AI6026" s="33"/>
      <c r="AJ6026" s="33"/>
      <c r="AK6026" s="33"/>
    </row>
    <row r="6027">
      <c r="A6027" s="33"/>
      <c r="B6027" s="33"/>
      <c r="C6027" s="33"/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  <c r="Q6027" s="33"/>
      <c r="R6027" s="33"/>
      <c r="S6027" s="33"/>
      <c r="T6027" s="33"/>
      <c r="U6027" s="33"/>
      <c r="V6027" s="33"/>
      <c r="W6027" s="33"/>
      <c r="X6027" s="33"/>
      <c r="Y6027" s="33"/>
      <c r="Z6027" s="33"/>
      <c r="AA6027" s="33"/>
      <c r="AB6027" s="33"/>
      <c r="AC6027" s="33"/>
      <c r="AD6027" s="33"/>
      <c r="AE6027" s="33"/>
      <c r="AF6027" s="33"/>
      <c r="AG6027" s="33"/>
      <c r="AH6027" s="33"/>
      <c r="AI6027" s="33"/>
      <c r="AJ6027" s="33"/>
      <c r="AK6027" s="33"/>
    </row>
    <row r="6028">
      <c r="A6028" s="33"/>
      <c r="B6028" s="33"/>
      <c r="C6028" s="33"/>
      <c r="D6028" s="33"/>
      <c r="E6028" s="33"/>
      <c r="F6028" s="33"/>
      <c r="G6028" s="33"/>
      <c r="H6028" s="33"/>
      <c r="I6028" s="33"/>
      <c r="J6028" s="33"/>
      <c r="K6028" s="33"/>
      <c r="L6028" s="33"/>
      <c r="M6028" s="33"/>
      <c r="N6028" s="33"/>
      <c r="O6028" s="33"/>
      <c r="P6028" s="33"/>
      <c r="Q6028" s="33"/>
      <c r="R6028" s="33"/>
      <c r="S6028" s="33"/>
      <c r="T6028" s="33"/>
      <c r="U6028" s="33"/>
      <c r="V6028" s="33"/>
      <c r="W6028" s="33"/>
      <c r="X6028" s="33"/>
      <c r="Y6028" s="33"/>
      <c r="Z6028" s="33"/>
      <c r="AA6028" s="33"/>
      <c r="AB6028" s="33"/>
      <c r="AC6028" s="33"/>
      <c r="AD6028" s="33"/>
      <c r="AE6028" s="33"/>
      <c r="AF6028" s="33"/>
      <c r="AG6028" s="33"/>
      <c r="AH6028" s="33"/>
      <c r="AI6028" s="33"/>
      <c r="AJ6028" s="33"/>
      <c r="AK6028" s="33"/>
    </row>
    <row r="6029">
      <c r="A6029" s="33"/>
      <c r="B6029" s="33"/>
      <c r="C6029" s="33"/>
      <c r="D6029" s="33"/>
      <c r="E6029" s="33"/>
      <c r="F6029" s="33"/>
      <c r="G6029" s="33"/>
      <c r="H6029" s="33"/>
      <c r="I6029" s="33"/>
      <c r="J6029" s="33"/>
      <c r="K6029" s="33"/>
      <c r="L6029" s="33"/>
      <c r="M6029" s="33"/>
      <c r="N6029" s="33"/>
      <c r="O6029" s="33"/>
      <c r="P6029" s="33"/>
      <c r="Q6029" s="33"/>
      <c r="R6029" s="33"/>
      <c r="S6029" s="33"/>
      <c r="T6029" s="33"/>
      <c r="U6029" s="33"/>
      <c r="V6029" s="33"/>
      <c r="W6029" s="33"/>
      <c r="X6029" s="33"/>
      <c r="Y6029" s="33"/>
      <c r="Z6029" s="33"/>
      <c r="AA6029" s="33"/>
      <c r="AB6029" s="33"/>
      <c r="AC6029" s="33"/>
      <c r="AD6029" s="33"/>
      <c r="AE6029" s="33"/>
      <c r="AF6029" s="33"/>
      <c r="AG6029" s="33"/>
      <c r="AH6029" s="33"/>
      <c r="AI6029" s="33"/>
      <c r="AJ6029" s="33"/>
      <c r="AK6029" s="33"/>
    </row>
    <row r="6030">
      <c r="A6030" s="33"/>
      <c r="B6030" s="33"/>
      <c r="C6030" s="33"/>
      <c r="D6030" s="33"/>
      <c r="E6030" s="33"/>
      <c r="F6030" s="33"/>
      <c r="G6030" s="33"/>
      <c r="H6030" s="33"/>
      <c r="I6030" s="33"/>
      <c r="J6030" s="33"/>
      <c r="K6030" s="33"/>
      <c r="L6030" s="33"/>
      <c r="M6030" s="33"/>
      <c r="N6030" s="33"/>
      <c r="O6030" s="33"/>
      <c r="P6030" s="33"/>
      <c r="Q6030" s="33"/>
      <c r="R6030" s="33"/>
      <c r="S6030" s="33"/>
      <c r="T6030" s="33"/>
      <c r="U6030" s="33"/>
      <c r="V6030" s="33"/>
      <c r="W6030" s="33"/>
      <c r="X6030" s="33"/>
      <c r="Y6030" s="33"/>
      <c r="Z6030" s="33"/>
      <c r="AA6030" s="33"/>
      <c r="AB6030" s="33"/>
      <c r="AC6030" s="33"/>
      <c r="AD6030" s="33"/>
      <c r="AE6030" s="33"/>
      <c r="AF6030" s="33"/>
      <c r="AG6030" s="33"/>
      <c r="AH6030" s="33"/>
      <c r="AI6030" s="33"/>
      <c r="AJ6030" s="33"/>
      <c r="AK6030" s="33"/>
    </row>
    <row r="6031">
      <c r="A6031" s="33"/>
      <c r="B6031" s="33"/>
      <c r="C6031" s="33"/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  <c r="Q6031" s="33"/>
      <c r="R6031" s="33"/>
      <c r="S6031" s="33"/>
      <c r="T6031" s="33"/>
      <c r="U6031" s="33"/>
      <c r="V6031" s="33"/>
      <c r="W6031" s="33"/>
      <c r="X6031" s="33"/>
      <c r="Y6031" s="33"/>
      <c r="Z6031" s="33"/>
      <c r="AA6031" s="33"/>
      <c r="AB6031" s="33"/>
      <c r="AC6031" s="33"/>
      <c r="AD6031" s="33"/>
      <c r="AE6031" s="33"/>
      <c r="AF6031" s="33"/>
      <c r="AG6031" s="33"/>
      <c r="AH6031" s="33"/>
      <c r="AI6031" s="33"/>
      <c r="AJ6031" s="33"/>
      <c r="AK6031" s="33"/>
    </row>
    <row r="6032">
      <c r="A6032" s="33"/>
      <c r="B6032" s="33"/>
      <c r="C6032" s="33"/>
      <c r="D6032" s="33"/>
      <c r="E6032" s="33"/>
      <c r="F6032" s="33"/>
      <c r="G6032" s="33"/>
      <c r="H6032" s="33"/>
      <c r="I6032" s="33"/>
      <c r="J6032" s="33"/>
      <c r="K6032" s="33"/>
      <c r="L6032" s="33"/>
      <c r="M6032" s="33"/>
      <c r="N6032" s="33"/>
      <c r="O6032" s="33"/>
      <c r="P6032" s="33"/>
      <c r="Q6032" s="33"/>
      <c r="R6032" s="33"/>
      <c r="S6032" s="33"/>
      <c r="T6032" s="33"/>
      <c r="U6032" s="33"/>
      <c r="V6032" s="33"/>
      <c r="W6032" s="33"/>
      <c r="X6032" s="33"/>
      <c r="Y6032" s="33"/>
      <c r="Z6032" s="33"/>
      <c r="AA6032" s="33"/>
      <c r="AB6032" s="33"/>
      <c r="AC6032" s="33"/>
      <c r="AD6032" s="33"/>
      <c r="AE6032" s="33"/>
      <c r="AF6032" s="33"/>
      <c r="AG6032" s="33"/>
      <c r="AH6032" s="33"/>
      <c r="AI6032" s="33"/>
      <c r="AJ6032" s="33"/>
      <c r="AK6032" s="33"/>
    </row>
    <row r="6033">
      <c r="A6033" s="33"/>
      <c r="B6033" s="33"/>
      <c r="C6033" s="33"/>
      <c r="D6033" s="33"/>
      <c r="E6033" s="33"/>
      <c r="F6033" s="33"/>
      <c r="G6033" s="33"/>
      <c r="H6033" s="33"/>
      <c r="I6033" s="33"/>
      <c r="J6033" s="33"/>
      <c r="K6033" s="33"/>
      <c r="L6033" s="33"/>
      <c r="M6033" s="33"/>
      <c r="N6033" s="33"/>
      <c r="O6033" s="33"/>
      <c r="P6033" s="33"/>
      <c r="Q6033" s="33"/>
      <c r="R6033" s="33"/>
      <c r="S6033" s="33"/>
      <c r="T6033" s="33"/>
      <c r="U6033" s="33"/>
      <c r="V6033" s="33"/>
      <c r="W6033" s="33"/>
      <c r="X6033" s="33"/>
      <c r="Y6033" s="33"/>
      <c r="Z6033" s="33"/>
      <c r="AA6033" s="33"/>
      <c r="AB6033" s="33"/>
      <c r="AC6033" s="33"/>
      <c r="AD6033" s="33"/>
      <c r="AE6033" s="33"/>
      <c r="AF6033" s="33"/>
      <c r="AG6033" s="33"/>
      <c r="AH6033" s="33"/>
      <c r="AI6033" s="33"/>
      <c r="AJ6033" s="33"/>
      <c r="AK6033" s="33"/>
    </row>
    <row r="6034">
      <c r="A6034" s="33"/>
      <c r="B6034" s="33"/>
      <c r="C6034" s="33"/>
      <c r="D6034" s="33"/>
      <c r="E6034" s="33"/>
      <c r="F6034" s="33"/>
      <c r="G6034" s="33"/>
      <c r="H6034" s="33"/>
      <c r="I6034" s="33"/>
      <c r="J6034" s="33"/>
      <c r="K6034" s="33"/>
      <c r="L6034" s="33"/>
      <c r="M6034" s="33"/>
      <c r="N6034" s="33"/>
      <c r="O6034" s="33"/>
      <c r="P6034" s="33"/>
      <c r="Q6034" s="33"/>
      <c r="R6034" s="33"/>
      <c r="S6034" s="33"/>
      <c r="T6034" s="33"/>
      <c r="U6034" s="33"/>
      <c r="V6034" s="33"/>
      <c r="W6034" s="33"/>
      <c r="X6034" s="33"/>
      <c r="Y6034" s="33"/>
      <c r="Z6034" s="33"/>
      <c r="AA6034" s="33"/>
      <c r="AB6034" s="33"/>
      <c r="AC6034" s="33"/>
      <c r="AD6034" s="33"/>
      <c r="AE6034" s="33"/>
      <c r="AF6034" s="33"/>
      <c r="AG6034" s="33"/>
      <c r="AH6034" s="33"/>
      <c r="AI6034" s="33"/>
      <c r="AJ6034" s="33"/>
      <c r="AK6034" s="33"/>
    </row>
    <row r="6035">
      <c r="A6035" s="33"/>
      <c r="B6035" s="33"/>
      <c r="C6035" s="33"/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  <c r="Q6035" s="33"/>
      <c r="R6035" s="33"/>
      <c r="S6035" s="33"/>
      <c r="T6035" s="33"/>
      <c r="U6035" s="33"/>
      <c r="V6035" s="33"/>
      <c r="W6035" s="33"/>
      <c r="X6035" s="33"/>
      <c r="Y6035" s="33"/>
      <c r="Z6035" s="33"/>
      <c r="AA6035" s="33"/>
      <c r="AB6035" s="33"/>
      <c r="AC6035" s="33"/>
      <c r="AD6035" s="33"/>
      <c r="AE6035" s="33"/>
      <c r="AF6035" s="33"/>
      <c r="AG6035" s="33"/>
      <c r="AH6035" s="33"/>
      <c r="AI6035" s="33"/>
      <c r="AJ6035" s="33"/>
      <c r="AK6035" s="33"/>
    </row>
    <row r="6036">
      <c r="A6036" s="33"/>
      <c r="B6036" s="33"/>
      <c r="C6036" s="33"/>
      <c r="D6036" s="33"/>
      <c r="E6036" s="33"/>
      <c r="F6036" s="33"/>
      <c r="G6036" s="33"/>
      <c r="H6036" s="33"/>
      <c r="I6036" s="33"/>
      <c r="J6036" s="33"/>
      <c r="K6036" s="33"/>
      <c r="L6036" s="33"/>
      <c r="M6036" s="33"/>
      <c r="N6036" s="33"/>
      <c r="O6036" s="33"/>
      <c r="P6036" s="33"/>
      <c r="Q6036" s="33"/>
      <c r="R6036" s="33"/>
      <c r="S6036" s="33"/>
      <c r="T6036" s="33"/>
      <c r="U6036" s="33"/>
      <c r="V6036" s="33"/>
      <c r="W6036" s="33"/>
      <c r="X6036" s="33"/>
      <c r="Y6036" s="33"/>
      <c r="Z6036" s="33"/>
      <c r="AA6036" s="33"/>
      <c r="AB6036" s="33"/>
      <c r="AC6036" s="33"/>
      <c r="AD6036" s="33"/>
      <c r="AE6036" s="33"/>
      <c r="AF6036" s="33"/>
      <c r="AG6036" s="33"/>
      <c r="AH6036" s="33"/>
      <c r="AI6036" s="33"/>
      <c r="AJ6036" s="33"/>
      <c r="AK6036" s="33"/>
    </row>
    <row r="6037">
      <c r="A6037" s="33"/>
      <c r="B6037" s="33"/>
      <c r="C6037" s="33"/>
      <c r="D6037" s="33"/>
      <c r="E6037" s="33"/>
      <c r="F6037" s="33"/>
      <c r="G6037" s="33"/>
      <c r="H6037" s="33"/>
      <c r="I6037" s="33"/>
      <c r="J6037" s="33"/>
      <c r="K6037" s="33"/>
      <c r="L6037" s="33"/>
      <c r="M6037" s="33"/>
      <c r="N6037" s="33"/>
      <c r="O6037" s="33"/>
      <c r="P6037" s="33"/>
      <c r="Q6037" s="33"/>
      <c r="R6037" s="33"/>
      <c r="S6037" s="33"/>
      <c r="T6037" s="33"/>
      <c r="U6037" s="33"/>
      <c r="V6037" s="33"/>
      <c r="W6037" s="33"/>
      <c r="X6037" s="33"/>
      <c r="Y6037" s="33"/>
      <c r="Z6037" s="33"/>
      <c r="AA6037" s="33"/>
      <c r="AB6037" s="33"/>
      <c r="AC6037" s="33"/>
      <c r="AD6037" s="33"/>
      <c r="AE6037" s="33"/>
      <c r="AF6037" s="33"/>
      <c r="AG6037" s="33"/>
      <c r="AH6037" s="33"/>
      <c r="AI6037" s="33"/>
      <c r="AJ6037" s="33"/>
      <c r="AK6037" s="33"/>
    </row>
    <row r="6038">
      <c r="A6038" s="33"/>
      <c r="B6038" s="33"/>
      <c r="C6038" s="33"/>
      <c r="D6038" s="33"/>
      <c r="E6038" s="33"/>
      <c r="F6038" s="33"/>
      <c r="G6038" s="33"/>
      <c r="H6038" s="33"/>
      <c r="I6038" s="33"/>
      <c r="J6038" s="33"/>
      <c r="K6038" s="33"/>
      <c r="L6038" s="33"/>
      <c r="M6038" s="33"/>
      <c r="N6038" s="33"/>
      <c r="O6038" s="33"/>
      <c r="P6038" s="33"/>
      <c r="Q6038" s="33"/>
      <c r="R6038" s="33"/>
      <c r="S6038" s="33"/>
      <c r="T6038" s="33"/>
      <c r="U6038" s="33"/>
      <c r="V6038" s="33"/>
      <c r="W6038" s="33"/>
      <c r="X6038" s="33"/>
      <c r="Y6038" s="33"/>
      <c r="Z6038" s="33"/>
      <c r="AA6038" s="33"/>
      <c r="AB6038" s="33"/>
      <c r="AC6038" s="33"/>
      <c r="AD6038" s="33"/>
      <c r="AE6038" s="33"/>
      <c r="AF6038" s="33"/>
      <c r="AG6038" s="33"/>
      <c r="AH6038" s="33"/>
      <c r="AI6038" s="33"/>
      <c r="AJ6038" s="33"/>
      <c r="AK6038" s="33"/>
    </row>
    <row r="6039">
      <c r="A6039" s="33"/>
      <c r="B6039" s="33"/>
      <c r="C6039" s="33"/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  <c r="Q6039" s="33"/>
      <c r="R6039" s="33"/>
      <c r="S6039" s="33"/>
      <c r="T6039" s="33"/>
      <c r="U6039" s="33"/>
      <c r="V6039" s="33"/>
      <c r="W6039" s="33"/>
      <c r="X6039" s="33"/>
      <c r="Y6039" s="33"/>
      <c r="Z6039" s="33"/>
      <c r="AA6039" s="33"/>
      <c r="AB6039" s="33"/>
      <c r="AC6039" s="33"/>
      <c r="AD6039" s="33"/>
      <c r="AE6039" s="33"/>
      <c r="AF6039" s="33"/>
      <c r="AG6039" s="33"/>
      <c r="AH6039" s="33"/>
      <c r="AI6039" s="33"/>
      <c r="AJ6039" s="33"/>
      <c r="AK6039" s="33"/>
    </row>
    <row r="6040">
      <c r="A6040" s="33"/>
      <c r="B6040" s="33"/>
      <c r="C6040" s="33"/>
      <c r="D6040" s="33"/>
      <c r="E6040" s="33"/>
      <c r="F6040" s="33"/>
      <c r="G6040" s="33"/>
      <c r="H6040" s="33"/>
      <c r="I6040" s="33"/>
      <c r="J6040" s="33"/>
      <c r="K6040" s="33"/>
      <c r="L6040" s="33"/>
      <c r="M6040" s="33"/>
      <c r="N6040" s="33"/>
      <c r="O6040" s="33"/>
      <c r="P6040" s="33"/>
      <c r="Q6040" s="33"/>
      <c r="R6040" s="33"/>
      <c r="S6040" s="33"/>
      <c r="T6040" s="33"/>
      <c r="U6040" s="33"/>
      <c r="V6040" s="33"/>
      <c r="W6040" s="33"/>
      <c r="X6040" s="33"/>
      <c r="Y6040" s="33"/>
      <c r="Z6040" s="33"/>
      <c r="AA6040" s="33"/>
      <c r="AB6040" s="33"/>
      <c r="AC6040" s="33"/>
      <c r="AD6040" s="33"/>
      <c r="AE6040" s="33"/>
      <c r="AF6040" s="33"/>
      <c r="AG6040" s="33"/>
      <c r="AH6040" s="33"/>
      <c r="AI6040" s="33"/>
      <c r="AJ6040" s="33"/>
      <c r="AK6040" s="33"/>
    </row>
    <row r="6041">
      <c r="A6041" s="33"/>
      <c r="B6041" s="33"/>
      <c r="C6041" s="33"/>
      <c r="D6041" s="33"/>
      <c r="E6041" s="33"/>
      <c r="F6041" s="33"/>
      <c r="G6041" s="33"/>
      <c r="H6041" s="33"/>
      <c r="I6041" s="33"/>
      <c r="J6041" s="33"/>
      <c r="K6041" s="33"/>
      <c r="L6041" s="33"/>
      <c r="M6041" s="33"/>
      <c r="N6041" s="33"/>
      <c r="O6041" s="33"/>
      <c r="P6041" s="33"/>
      <c r="Q6041" s="33"/>
      <c r="R6041" s="33"/>
      <c r="S6041" s="33"/>
      <c r="T6041" s="33"/>
      <c r="U6041" s="33"/>
      <c r="V6041" s="33"/>
      <c r="W6041" s="33"/>
      <c r="X6041" s="33"/>
      <c r="Y6041" s="33"/>
      <c r="Z6041" s="33"/>
      <c r="AA6041" s="33"/>
      <c r="AB6041" s="33"/>
      <c r="AC6041" s="33"/>
      <c r="AD6041" s="33"/>
      <c r="AE6041" s="33"/>
      <c r="AF6041" s="33"/>
      <c r="AG6041" s="33"/>
      <c r="AH6041" s="33"/>
      <c r="AI6041" s="33"/>
      <c r="AJ6041" s="33"/>
      <c r="AK6041" s="33"/>
    </row>
    <row r="6042">
      <c r="A6042" s="33"/>
      <c r="B6042" s="33"/>
      <c r="C6042" s="33"/>
      <c r="D6042" s="33"/>
      <c r="E6042" s="33"/>
      <c r="F6042" s="33"/>
      <c r="G6042" s="33"/>
      <c r="H6042" s="33"/>
      <c r="I6042" s="33"/>
      <c r="J6042" s="33"/>
      <c r="K6042" s="33"/>
      <c r="L6042" s="33"/>
      <c r="M6042" s="33"/>
      <c r="N6042" s="33"/>
      <c r="O6042" s="33"/>
      <c r="P6042" s="33"/>
      <c r="Q6042" s="33"/>
      <c r="R6042" s="33"/>
      <c r="S6042" s="33"/>
      <c r="T6042" s="33"/>
      <c r="U6042" s="33"/>
      <c r="V6042" s="33"/>
      <c r="W6042" s="33"/>
      <c r="X6042" s="33"/>
      <c r="Y6042" s="33"/>
      <c r="Z6042" s="33"/>
      <c r="AA6042" s="33"/>
      <c r="AB6042" s="33"/>
      <c r="AC6042" s="33"/>
      <c r="AD6042" s="33"/>
      <c r="AE6042" s="33"/>
      <c r="AF6042" s="33"/>
      <c r="AG6042" s="33"/>
      <c r="AH6042" s="33"/>
      <c r="AI6042" s="33"/>
      <c r="AJ6042" s="33"/>
      <c r="AK6042" s="33"/>
    </row>
    <row r="6043">
      <c r="A6043" s="33"/>
      <c r="B6043" s="33"/>
      <c r="C6043" s="33"/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  <c r="R6043" s="33"/>
      <c r="S6043" s="33"/>
      <c r="T6043" s="33"/>
      <c r="U6043" s="33"/>
      <c r="V6043" s="33"/>
      <c r="W6043" s="33"/>
      <c r="X6043" s="33"/>
      <c r="Y6043" s="33"/>
      <c r="Z6043" s="33"/>
      <c r="AA6043" s="33"/>
      <c r="AB6043" s="33"/>
      <c r="AC6043" s="33"/>
      <c r="AD6043" s="33"/>
      <c r="AE6043" s="33"/>
      <c r="AF6043" s="33"/>
      <c r="AG6043" s="33"/>
      <c r="AH6043" s="33"/>
      <c r="AI6043" s="33"/>
      <c r="AJ6043" s="33"/>
      <c r="AK6043" s="33"/>
    </row>
    <row r="6044">
      <c r="A6044" s="33"/>
      <c r="B6044" s="33"/>
      <c r="C6044" s="33"/>
      <c r="D6044" s="33"/>
      <c r="E6044" s="33"/>
      <c r="F6044" s="33"/>
      <c r="G6044" s="33"/>
      <c r="H6044" s="33"/>
      <c r="I6044" s="33"/>
      <c r="J6044" s="33"/>
      <c r="K6044" s="33"/>
      <c r="L6044" s="33"/>
      <c r="M6044" s="33"/>
      <c r="N6044" s="33"/>
      <c r="O6044" s="33"/>
      <c r="P6044" s="33"/>
      <c r="Q6044" s="33"/>
      <c r="R6044" s="33"/>
      <c r="S6044" s="33"/>
      <c r="T6044" s="33"/>
      <c r="U6044" s="33"/>
      <c r="V6044" s="33"/>
      <c r="W6044" s="33"/>
      <c r="X6044" s="33"/>
      <c r="Y6044" s="33"/>
      <c r="Z6044" s="33"/>
      <c r="AA6044" s="33"/>
      <c r="AB6044" s="33"/>
      <c r="AC6044" s="33"/>
      <c r="AD6044" s="33"/>
      <c r="AE6044" s="33"/>
      <c r="AF6044" s="33"/>
      <c r="AG6044" s="33"/>
      <c r="AH6044" s="33"/>
      <c r="AI6044" s="33"/>
      <c r="AJ6044" s="33"/>
      <c r="AK6044" s="33"/>
    </row>
    <row r="6045">
      <c r="A6045" s="33"/>
      <c r="B6045" s="33"/>
      <c r="C6045" s="33"/>
      <c r="D6045" s="33"/>
      <c r="E6045" s="33"/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33"/>
      <c r="Q6045" s="33"/>
      <c r="R6045" s="33"/>
      <c r="S6045" s="33"/>
      <c r="T6045" s="33"/>
      <c r="U6045" s="33"/>
      <c r="V6045" s="33"/>
      <c r="W6045" s="33"/>
      <c r="X6045" s="33"/>
      <c r="Y6045" s="33"/>
      <c r="Z6045" s="33"/>
      <c r="AA6045" s="33"/>
      <c r="AB6045" s="33"/>
      <c r="AC6045" s="33"/>
      <c r="AD6045" s="33"/>
      <c r="AE6045" s="33"/>
      <c r="AF6045" s="33"/>
      <c r="AG6045" s="33"/>
      <c r="AH6045" s="33"/>
      <c r="AI6045" s="33"/>
      <c r="AJ6045" s="33"/>
      <c r="AK6045" s="33"/>
    </row>
    <row r="6046">
      <c r="A6046" s="33"/>
      <c r="B6046" s="33"/>
      <c r="C6046" s="33"/>
      <c r="D6046" s="33"/>
      <c r="E6046" s="33"/>
      <c r="F6046" s="33"/>
      <c r="G6046" s="33"/>
      <c r="H6046" s="33"/>
      <c r="I6046" s="33"/>
      <c r="J6046" s="33"/>
      <c r="K6046" s="33"/>
      <c r="L6046" s="33"/>
      <c r="M6046" s="33"/>
      <c r="N6046" s="33"/>
      <c r="O6046" s="33"/>
      <c r="P6046" s="33"/>
      <c r="Q6046" s="33"/>
      <c r="R6046" s="33"/>
      <c r="S6046" s="33"/>
      <c r="T6046" s="33"/>
      <c r="U6046" s="33"/>
      <c r="V6046" s="33"/>
      <c r="W6046" s="33"/>
      <c r="X6046" s="33"/>
      <c r="Y6046" s="33"/>
      <c r="Z6046" s="33"/>
      <c r="AA6046" s="33"/>
      <c r="AB6046" s="33"/>
      <c r="AC6046" s="33"/>
      <c r="AD6046" s="33"/>
      <c r="AE6046" s="33"/>
      <c r="AF6046" s="33"/>
      <c r="AG6046" s="33"/>
      <c r="AH6046" s="33"/>
      <c r="AI6046" s="33"/>
      <c r="AJ6046" s="33"/>
      <c r="AK6046" s="33"/>
    </row>
    <row r="6047">
      <c r="A6047" s="33"/>
      <c r="B6047" s="33"/>
      <c r="C6047" s="33"/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  <c r="Q6047" s="33"/>
      <c r="R6047" s="33"/>
      <c r="S6047" s="33"/>
      <c r="T6047" s="33"/>
      <c r="U6047" s="33"/>
      <c r="V6047" s="33"/>
      <c r="W6047" s="33"/>
      <c r="X6047" s="33"/>
      <c r="Y6047" s="33"/>
      <c r="Z6047" s="33"/>
      <c r="AA6047" s="33"/>
      <c r="AB6047" s="33"/>
      <c r="AC6047" s="33"/>
      <c r="AD6047" s="33"/>
      <c r="AE6047" s="33"/>
      <c r="AF6047" s="33"/>
      <c r="AG6047" s="33"/>
      <c r="AH6047" s="33"/>
      <c r="AI6047" s="33"/>
      <c r="AJ6047" s="33"/>
      <c r="AK6047" s="33"/>
    </row>
    <row r="6048">
      <c r="A6048" s="33"/>
      <c r="B6048" s="33"/>
      <c r="C6048" s="33"/>
      <c r="D6048" s="33"/>
      <c r="E6048" s="33"/>
      <c r="F6048" s="33"/>
      <c r="G6048" s="33"/>
      <c r="H6048" s="33"/>
      <c r="I6048" s="33"/>
      <c r="J6048" s="33"/>
      <c r="K6048" s="33"/>
      <c r="L6048" s="33"/>
      <c r="M6048" s="33"/>
      <c r="N6048" s="33"/>
      <c r="O6048" s="33"/>
      <c r="P6048" s="33"/>
      <c r="Q6048" s="33"/>
      <c r="R6048" s="33"/>
      <c r="S6048" s="33"/>
      <c r="T6048" s="33"/>
      <c r="U6048" s="33"/>
      <c r="V6048" s="33"/>
      <c r="W6048" s="33"/>
      <c r="X6048" s="33"/>
      <c r="Y6048" s="33"/>
      <c r="Z6048" s="33"/>
      <c r="AA6048" s="33"/>
      <c r="AB6048" s="33"/>
      <c r="AC6048" s="33"/>
      <c r="AD6048" s="33"/>
      <c r="AE6048" s="33"/>
      <c r="AF6048" s="33"/>
      <c r="AG6048" s="33"/>
      <c r="AH6048" s="33"/>
      <c r="AI6048" s="33"/>
      <c r="AJ6048" s="33"/>
      <c r="AK6048" s="33"/>
    </row>
    <row r="6049">
      <c r="A6049" s="33"/>
      <c r="B6049" s="33"/>
      <c r="C6049" s="33"/>
      <c r="D6049" s="33"/>
      <c r="E6049" s="33"/>
      <c r="F6049" s="33"/>
      <c r="G6049" s="33"/>
      <c r="H6049" s="33"/>
      <c r="I6049" s="33"/>
      <c r="J6049" s="33"/>
      <c r="K6049" s="33"/>
      <c r="L6049" s="33"/>
      <c r="M6049" s="33"/>
      <c r="N6049" s="33"/>
      <c r="O6049" s="33"/>
      <c r="P6049" s="33"/>
      <c r="Q6049" s="33"/>
      <c r="R6049" s="33"/>
      <c r="S6049" s="33"/>
      <c r="T6049" s="33"/>
      <c r="U6049" s="33"/>
      <c r="V6049" s="33"/>
      <c r="W6049" s="33"/>
      <c r="X6049" s="33"/>
      <c r="Y6049" s="33"/>
      <c r="Z6049" s="33"/>
      <c r="AA6049" s="33"/>
      <c r="AB6049" s="33"/>
      <c r="AC6049" s="33"/>
      <c r="AD6049" s="33"/>
      <c r="AE6049" s="33"/>
      <c r="AF6049" s="33"/>
      <c r="AG6049" s="33"/>
      <c r="AH6049" s="33"/>
      <c r="AI6049" s="33"/>
      <c r="AJ6049" s="33"/>
      <c r="AK6049" s="33"/>
    </row>
    <row r="6050">
      <c r="A6050" s="33"/>
      <c r="B6050" s="33"/>
      <c r="C6050" s="33"/>
      <c r="D6050" s="33"/>
      <c r="E6050" s="33"/>
      <c r="F6050" s="33"/>
      <c r="G6050" s="33"/>
      <c r="H6050" s="33"/>
      <c r="I6050" s="33"/>
      <c r="J6050" s="33"/>
      <c r="K6050" s="33"/>
      <c r="L6050" s="33"/>
      <c r="M6050" s="33"/>
      <c r="N6050" s="33"/>
      <c r="O6050" s="33"/>
      <c r="P6050" s="33"/>
      <c r="Q6050" s="33"/>
      <c r="R6050" s="33"/>
      <c r="S6050" s="33"/>
      <c r="T6050" s="33"/>
      <c r="U6050" s="33"/>
      <c r="V6050" s="33"/>
      <c r="W6050" s="33"/>
      <c r="X6050" s="33"/>
      <c r="Y6050" s="33"/>
      <c r="Z6050" s="33"/>
      <c r="AA6050" s="33"/>
      <c r="AB6050" s="33"/>
      <c r="AC6050" s="33"/>
      <c r="AD6050" s="33"/>
      <c r="AE6050" s="33"/>
      <c r="AF6050" s="33"/>
      <c r="AG6050" s="33"/>
      <c r="AH6050" s="33"/>
      <c r="AI6050" s="33"/>
      <c r="AJ6050" s="33"/>
      <c r="AK6050" s="33"/>
    </row>
    <row r="6051">
      <c r="A6051" s="33"/>
      <c r="B6051" s="33"/>
      <c r="C6051" s="33"/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  <c r="Q6051" s="33"/>
      <c r="R6051" s="33"/>
      <c r="S6051" s="33"/>
      <c r="T6051" s="33"/>
      <c r="U6051" s="33"/>
      <c r="V6051" s="33"/>
      <c r="W6051" s="33"/>
      <c r="X6051" s="33"/>
      <c r="Y6051" s="33"/>
      <c r="Z6051" s="33"/>
      <c r="AA6051" s="33"/>
      <c r="AB6051" s="33"/>
      <c r="AC6051" s="33"/>
      <c r="AD6051" s="33"/>
      <c r="AE6051" s="33"/>
      <c r="AF6051" s="33"/>
      <c r="AG6051" s="33"/>
      <c r="AH6051" s="33"/>
      <c r="AI6051" s="33"/>
      <c r="AJ6051" s="33"/>
      <c r="AK6051" s="33"/>
    </row>
    <row r="6052">
      <c r="A6052" s="33"/>
      <c r="B6052" s="33"/>
      <c r="C6052" s="33"/>
      <c r="D6052" s="33"/>
      <c r="E6052" s="33"/>
      <c r="F6052" s="33"/>
      <c r="G6052" s="33"/>
      <c r="H6052" s="33"/>
      <c r="I6052" s="33"/>
      <c r="J6052" s="33"/>
      <c r="K6052" s="33"/>
      <c r="L6052" s="33"/>
      <c r="M6052" s="33"/>
      <c r="N6052" s="33"/>
      <c r="O6052" s="33"/>
      <c r="P6052" s="33"/>
      <c r="Q6052" s="33"/>
      <c r="R6052" s="33"/>
      <c r="S6052" s="33"/>
      <c r="T6052" s="33"/>
      <c r="U6052" s="33"/>
      <c r="V6052" s="33"/>
      <c r="W6052" s="33"/>
      <c r="X6052" s="33"/>
      <c r="Y6052" s="33"/>
      <c r="Z6052" s="33"/>
      <c r="AA6052" s="33"/>
      <c r="AB6052" s="33"/>
      <c r="AC6052" s="33"/>
      <c r="AD6052" s="33"/>
      <c r="AE6052" s="33"/>
      <c r="AF6052" s="33"/>
      <c r="AG6052" s="33"/>
      <c r="AH6052" s="33"/>
      <c r="AI6052" s="33"/>
      <c r="AJ6052" s="33"/>
      <c r="AK6052" s="33"/>
    </row>
    <row r="6053">
      <c r="A6053" s="33"/>
      <c r="B6053" s="33"/>
      <c r="C6053" s="33"/>
      <c r="D6053" s="33"/>
      <c r="E6053" s="33"/>
      <c r="F6053" s="33"/>
      <c r="G6053" s="33"/>
      <c r="H6053" s="33"/>
      <c r="I6053" s="33"/>
      <c r="J6053" s="33"/>
      <c r="K6053" s="33"/>
      <c r="L6053" s="33"/>
      <c r="M6053" s="33"/>
      <c r="N6053" s="33"/>
      <c r="O6053" s="33"/>
      <c r="P6053" s="33"/>
      <c r="Q6053" s="33"/>
      <c r="R6053" s="33"/>
      <c r="S6053" s="33"/>
      <c r="T6053" s="33"/>
      <c r="U6053" s="33"/>
      <c r="V6053" s="33"/>
      <c r="W6053" s="33"/>
      <c r="X6053" s="33"/>
      <c r="Y6053" s="33"/>
      <c r="Z6053" s="33"/>
      <c r="AA6053" s="33"/>
      <c r="AB6053" s="33"/>
      <c r="AC6053" s="33"/>
      <c r="AD6053" s="33"/>
      <c r="AE6053" s="33"/>
      <c r="AF6053" s="33"/>
      <c r="AG6053" s="33"/>
      <c r="AH6053" s="33"/>
      <c r="AI6053" s="33"/>
      <c r="AJ6053" s="33"/>
      <c r="AK6053" s="33"/>
    </row>
    <row r="6054">
      <c r="A6054" s="33"/>
      <c r="B6054" s="33"/>
      <c r="C6054" s="33"/>
      <c r="D6054" s="33"/>
      <c r="E6054" s="33"/>
      <c r="F6054" s="33"/>
      <c r="G6054" s="33"/>
      <c r="H6054" s="33"/>
      <c r="I6054" s="33"/>
      <c r="J6054" s="33"/>
      <c r="K6054" s="33"/>
      <c r="L6054" s="33"/>
      <c r="M6054" s="33"/>
      <c r="N6054" s="33"/>
      <c r="O6054" s="33"/>
      <c r="P6054" s="33"/>
      <c r="Q6054" s="33"/>
      <c r="R6054" s="33"/>
      <c r="S6054" s="33"/>
      <c r="T6054" s="33"/>
      <c r="U6054" s="33"/>
      <c r="V6054" s="33"/>
      <c r="W6054" s="33"/>
      <c r="X6054" s="33"/>
      <c r="Y6054" s="33"/>
      <c r="Z6054" s="33"/>
      <c r="AA6054" s="33"/>
      <c r="AB6054" s="33"/>
      <c r="AC6054" s="33"/>
      <c r="AD6054" s="33"/>
      <c r="AE6054" s="33"/>
      <c r="AF6054" s="33"/>
      <c r="AG6054" s="33"/>
      <c r="AH6054" s="33"/>
      <c r="AI6054" s="33"/>
      <c r="AJ6054" s="33"/>
      <c r="AK6054" s="33"/>
    </row>
    <row r="6055">
      <c r="A6055" s="33"/>
      <c r="B6055" s="33"/>
      <c r="C6055" s="33"/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  <c r="Q6055" s="33"/>
      <c r="R6055" s="33"/>
      <c r="S6055" s="33"/>
      <c r="T6055" s="33"/>
      <c r="U6055" s="33"/>
      <c r="V6055" s="33"/>
      <c r="W6055" s="33"/>
      <c r="X6055" s="33"/>
      <c r="Y6055" s="33"/>
      <c r="Z6055" s="33"/>
      <c r="AA6055" s="33"/>
      <c r="AB6055" s="33"/>
      <c r="AC6055" s="33"/>
      <c r="AD6055" s="33"/>
      <c r="AE6055" s="33"/>
      <c r="AF6055" s="33"/>
      <c r="AG6055" s="33"/>
      <c r="AH6055" s="33"/>
      <c r="AI6055" s="33"/>
      <c r="AJ6055" s="33"/>
      <c r="AK6055" s="33"/>
    </row>
    <row r="6056">
      <c r="A6056" s="33"/>
      <c r="B6056" s="33"/>
      <c r="C6056" s="33"/>
      <c r="D6056" s="33"/>
      <c r="E6056" s="33"/>
      <c r="F6056" s="33"/>
      <c r="G6056" s="33"/>
      <c r="H6056" s="33"/>
      <c r="I6056" s="33"/>
      <c r="J6056" s="33"/>
      <c r="K6056" s="33"/>
      <c r="L6056" s="33"/>
      <c r="M6056" s="33"/>
      <c r="N6056" s="33"/>
      <c r="O6056" s="33"/>
      <c r="P6056" s="33"/>
      <c r="Q6056" s="33"/>
      <c r="R6056" s="33"/>
      <c r="S6056" s="33"/>
      <c r="T6056" s="33"/>
      <c r="U6056" s="33"/>
      <c r="V6056" s="33"/>
      <c r="W6056" s="33"/>
      <c r="X6056" s="33"/>
      <c r="Y6056" s="33"/>
      <c r="Z6056" s="33"/>
      <c r="AA6056" s="33"/>
      <c r="AB6056" s="33"/>
      <c r="AC6056" s="33"/>
      <c r="AD6056" s="33"/>
      <c r="AE6056" s="33"/>
      <c r="AF6056" s="33"/>
      <c r="AG6056" s="33"/>
      <c r="AH6056" s="33"/>
      <c r="AI6056" s="33"/>
      <c r="AJ6056" s="33"/>
      <c r="AK6056" s="33"/>
    </row>
    <row r="6057">
      <c r="A6057" s="33"/>
      <c r="B6057" s="33"/>
      <c r="C6057" s="33"/>
      <c r="D6057" s="33"/>
      <c r="E6057" s="33"/>
      <c r="F6057" s="33"/>
      <c r="G6057" s="33"/>
      <c r="H6057" s="33"/>
      <c r="I6057" s="33"/>
      <c r="J6057" s="33"/>
      <c r="K6057" s="33"/>
      <c r="L6057" s="33"/>
      <c r="M6057" s="33"/>
      <c r="N6057" s="33"/>
      <c r="O6057" s="33"/>
      <c r="P6057" s="33"/>
      <c r="Q6057" s="33"/>
      <c r="R6057" s="33"/>
      <c r="S6057" s="33"/>
      <c r="T6057" s="33"/>
      <c r="U6057" s="33"/>
      <c r="V6057" s="33"/>
      <c r="W6057" s="33"/>
      <c r="X6057" s="33"/>
      <c r="Y6057" s="33"/>
      <c r="Z6057" s="33"/>
      <c r="AA6057" s="33"/>
      <c r="AB6057" s="33"/>
      <c r="AC6057" s="33"/>
      <c r="AD6057" s="33"/>
      <c r="AE6057" s="33"/>
      <c r="AF6057" s="33"/>
      <c r="AG6057" s="33"/>
      <c r="AH6057" s="33"/>
      <c r="AI6057" s="33"/>
      <c r="AJ6057" s="33"/>
      <c r="AK6057" s="33"/>
    </row>
    <row r="6058">
      <c r="A6058" s="33"/>
      <c r="B6058" s="33"/>
      <c r="C6058" s="33"/>
      <c r="D6058" s="33"/>
      <c r="E6058" s="33"/>
      <c r="F6058" s="33"/>
      <c r="G6058" s="33"/>
      <c r="H6058" s="33"/>
      <c r="I6058" s="33"/>
      <c r="J6058" s="33"/>
      <c r="K6058" s="33"/>
      <c r="L6058" s="33"/>
      <c r="M6058" s="33"/>
      <c r="N6058" s="33"/>
      <c r="O6058" s="33"/>
      <c r="P6058" s="33"/>
      <c r="Q6058" s="33"/>
      <c r="R6058" s="33"/>
      <c r="S6058" s="33"/>
      <c r="T6058" s="33"/>
      <c r="U6058" s="33"/>
      <c r="V6058" s="33"/>
      <c r="W6058" s="33"/>
      <c r="X6058" s="33"/>
      <c r="Y6058" s="33"/>
      <c r="Z6058" s="33"/>
      <c r="AA6058" s="33"/>
      <c r="AB6058" s="33"/>
      <c r="AC6058" s="33"/>
      <c r="AD6058" s="33"/>
      <c r="AE6058" s="33"/>
      <c r="AF6058" s="33"/>
      <c r="AG6058" s="33"/>
      <c r="AH6058" s="33"/>
      <c r="AI6058" s="33"/>
      <c r="AJ6058" s="33"/>
      <c r="AK6058" s="33"/>
    </row>
    <row r="6059">
      <c r="A6059" s="33"/>
      <c r="B6059" s="33"/>
      <c r="C6059" s="33"/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  <c r="Q6059" s="33"/>
      <c r="R6059" s="33"/>
      <c r="S6059" s="33"/>
      <c r="T6059" s="33"/>
      <c r="U6059" s="33"/>
      <c r="V6059" s="33"/>
      <c r="W6059" s="33"/>
      <c r="X6059" s="33"/>
      <c r="Y6059" s="33"/>
      <c r="Z6059" s="33"/>
      <c r="AA6059" s="33"/>
      <c r="AB6059" s="33"/>
      <c r="AC6059" s="33"/>
      <c r="AD6059" s="33"/>
      <c r="AE6059" s="33"/>
      <c r="AF6059" s="33"/>
      <c r="AG6059" s="33"/>
      <c r="AH6059" s="33"/>
      <c r="AI6059" s="33"/>
      <c r="AJ6059" s="33"/>
      <c r="AK6059" s="33"/>
    </row>
    <row r="6060">
      <c r="A6060" s="33"/>
      <c r="B6060" s="33"/>
      <c r="C6060" s="33"/>
      <c r="D6060" s="33"/>
      <c r="E6060" s="33"/>
      <c r="F6060" s="33"/>
      <c r="G6060" s="33"/>
      <c r="H6060" s="33"/>
      <c r="I6060" s="33"/>
      <c r="J6060" s="33"/>
      <c r="K6060" s="33"/>
      <c r="L6060" s="33"/>
      <c r="M6060" s="33"/>
      <c r="N6060" s="33"/>
      <c r="O6060" s="33"/>
      <c r="P6060" s="33"/>
      <c r="Q6060" s="33"/>
      <c r="R6060" s="33"/>
      <c r="S6060" s="33"/>
      <c r="T6060" s="33"/>
      <c r="U6060" s="33"/>
      <c r="V6060" s="33"/>
      <c r="W6060" s="33"/>
      <c r="X6060" s="33"/>
      <c r="Y6060" s="33"/>
      <c r="Z6060" s="33"/>
      <c r="AA6060" s="33"/>
      <c r="AB6060" s="33"/>
      <c r="AC6060" s="33"/>
      <c r="AD6060" s="33"/>
      <c r="AE6060" s="33"/>
      <c r="AF6060" s="33"/>
      <c r="AG6060" s="33"/>
      <c r="AH6060" s="33"/>
      <c r="AI6060" s="33"/>
      <c r="AJ6060" s="33"/>
      <c r="AK6060" s="33"/>
    </row>
    <row r="6061">
      <c r="A6061" s="33"/>
      <c r="B6061" s="33"/>
      <c r="C6061" s="33"/>
      <c r="D6061" s="33"/>
      <c r="E6061" s="33"/>
      <c r="F6061" s="33"/>
      <c r="G6061" s="33"/>
      <c r="H6061" s="33"/>
      <c r="I6061" s="33"/>
      <c r="J6061" s="33"/>
      <c r="K6061" s="33"/>
      <c r="L6061" s="33"/>
      <c r="M6061" s="33"/>
      <c r="N6061" s="33"/>
      <c r="O6061" s="33"/>
      <c r="P6061" s="33"/>
      <c r="Q6061" s="33"/>
      <c r="R6061" s="33"/>
      <c r="S6061" s="33"/>
      <c r="T6061" s="33"/>
      <c r="U6061" s="33"/>
      <c r="V6061" s="33"/>
      <c r="W6061" s="33"/>
      <c r="X6061" s="33"/>
      <c r="Y6061" s="33"/>
      <c r="Z6061" s="33"/>
      <c r="AA6061" s="33"/>
      <c r="AB6061" s="33"/>
      <c r="AC6061" s="33"/>
      <c r="AD6061" s="33"/>
      <c r="AE6061" s="33"/>
      <c r="AF6061" s="33"/>
      <c r="AG6061" s="33"/>
      <c r="AH6061" s="33"/>
      <c r="AI6061" s="33"/>
      <c r="AJ6061" s="33"/>
      <c r="AK6061" s="33"/>
    </row>
    <row r="6062">
      <c r="A6062" s="33"/>
      <c r="B6062" s="33"/>
      <c r="C6062" s="33"/>
      <c r="D6062" s="33"/>
      <c r="E6062" s="33"/>
      <c r="F6062" s="33"/>
      <c r="G6062" s="33"/>
      <c r="H6062" s="33"/>
      <c r="I6062" s="33"/>
      <c r="J6062" s="33"/>
      <c r="K6062" s="33"/>
      <c r="L6062" s="33"/>
      <c r="M6062" s="33"/>
      <c r="N6062" s="33"/>
      <c r="O6062" s="33"/>
      <c r="P6062" s="33"/>
      <c r="Q6062" s="33"/>
      <c r="R6062" s="33"/>
      <c r="S6062" s="33"/>
      <c r="T6062" s="33"/>
      <c r="U6062" s="33"/>
      <c r="V6062" s="33"/>
      <c r="W6062" s="33"/>
      <c r="X6062" s="33"/>
      <c r="Y6062" s="33"/>
      <c r="Z6062" s="33"/>
      <c r="AA6062" s="33"/>
      <c r="AB6062" s="33"/>
      <c r="AC6062" s="33"/>
      <c r="AD6062" s="33"/>
      <c r="AE6062" s="33"/>
      <c r="AF6062" s="33"/>
      <c r="AG6062" s="33"/>
      <c r="AH6062" s="33"/>
      <c r="AI6062" s="33"/>
      <c r="AJ6062" s="33"/>
      <c r="AK6062" s="33"/>
    </row>
    <row r="6063">
      <c r="A6063" s="33"/>
      <c r="B6063" s="33"/>
      <c r="C6063" s="33"/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3"/>
      <c r="S6063" s="33"/>
      <c r="T6063" s="33"/>
      <c r="U6063" s="33"/>
      <c r="V6063" s="33"/>
      <c r="W6063" s="33"/>
      <c r="X6063" s="33"/>
      <c r="Y6063" s="33"/>
      <c r="Z6063" s="33"/>
      <c r="AA6063" s="33"/>
      <c r="AB6063" s="33"/>
      <c r="AC6063" s="33"/>
      <c r="AD6063" s="33"/>
      <c r="AE6063" s="33"/>
      <c r="AF6063" s="33"/>
      <c r="AG6063" s="33"/>
      <c r="AH6063" s="33"/>
      <c r="AI6063" s="33"/>
      <c r="AJ6063" s="33"/>
      <c r="AK6063" s="33"/>
    </row>
    <row r="6064">
      <c r="A6064" s="33"/>
      <c r="B6064" s="33"/>
      <c r="C6064" s="33"/>
      <c r="D6064" s="33"/>
      <c r="E6064" s="33"/>
      <c r="F6064" s="33"/>
      <c r="G6064" s="33"/>
      <c r="H6064" s="33"/>
      <c r="I6064" s="33"/>
      <c r="J6064" s="33"/>
      <c r="K6064" s="33"/>
      <c r="L6064" s="33"/>
      <c r="M6064" s="33"/>
      <c r="N6064" s="33"/>
      <c r="O6064" s="33"/>
      <c r="P6064" s="33"/>
      <c r="Q6064" s="33"/>
      <c r="R6064" s="33"/>
      <c r="S6064" s="33"/>
      <c r="T6064" s="33"/>
      <c r="U6064" s="33"/>
      <c r="V6064" s="33"/>
      <c r="W6064" s="33"/>
      <c r="X6064" s="33"/>
      <c r="Y6064" s="33"/>
      <c r="Z6064" s="33"/>
      <c r="AA6064" s="33"/>
      <c r="AB6064" s="33"/>
      <c r="AC6064" s="33"/>
      <c r="AD6064" s="33"/>
      <c r="AE6064" s="33"/>
      <c r="AF6064" s="33"/>
      <c r="AG6064" s="33"/>
      <c r="AH6064" s="33"/>
      <c r="AI6064" s="33"/>
      <c r="AJ6064" s="33"/>
      <c r="AK6064" s="33"/>
    </row>
    <row r="6065">
      <c r="A6065" s="33"/>
      <c r="B6065" s="33"/>
      <c r="C6065" s="33"/>
      <c r="D6065" s="33"/>
      <c r="E6065" s="33"/>
      <c r="F6065" s="33"/>
      <c r="G6065" s="33"/>
      <c r="H6065" s="33"/>
      <c r="I6065" s="33"/>
      <c r="J6065" s="33"/>
      <c r="K6065" s="33"/>
      <c r="L6065" s="33"/>
      <c r="M6065" s="33"/>
      <c r="N6065" s="33"/>
      <c r="O6065" s="33"/>
      <c r="P6065" s="33"/>
      <c r="Q6065" s="33"/>
      <c r="R6065" s="33"/>
      <c r="S6065" s="33"/>
      <c r="T6065" s="33"/>
      <c r="U6065" s="33"/>
      <c r="V6065" s="33"/>
      <c r="W6065" s="33"/>
      <c r="X6065" s="33"/>
      <c r="Y6065" s="33"/>
      <c r="Z6065" s="33"/>
      <c r="AA6065" s="33"/>
      <c r="AB6065" s="33"/>
      <c r="AC6065" s="33"/>
      <c r="AD6065" s="33"/>
      <c r="AE6065" s="33"/>
      <c r="AF6065" s="33"/>
      <c r="AG6065" s="33"/>
      <c r="AH6065" s="33"/>
      <c r="AI6065" s="33"/>
      <c r="AJ6065" s="33"/>
      <c r="AK6065" s="33"/>
    </row>
    <row r="6066">
      <c r="A6066" s="33"/>
      <c r="B6066" s="33"/>
      <c r="C6066" s="33"/>
      <c r="D6066" s="33"/>
      <c r="E6066" s="33"/>
      <c r="F6066" s="33"/>
      <c r="G6066" s="33"/>
      <c r="H6066" s="33"/>
      <c r="I6066" s="33"/>
      <c r="J6066" s="33"/>
      <c r="K6066" s="33"/>
      <c r="L6066" s="33"/>
      <c r="M6066" s="33"/>
      <c r="N6066" s="33"/>
      <c r="O6066" s="33"/>
      <c r="P6066" s="33"/>
      <c r="Q6066" s="33"/>
      <c r="R6066" s="33"/>
      <c r="S6066" s="33"/>
      <c r="T6066" s="33"/>
      <c r="U6066" s="33"/>
      <c r="V6066" s="33"/>
      <c r="W6066" s="33"/>
      <c r="X6066" s="33"/>
      <c r="Y6066" s="33"/>
      <c r="Z6066" s="33"/>
      <c r="AA6066" s="33"/>
      <c r="AB6066" s="33"/>
      <c r="AC6066" s="33"/>
      <c r="AD6066" s="33"/>
      <c r="AE6066" s="33"/>
      <c r="AF6066" s="33"/>
      <c r="AG6066" s="33"/>
      <c r="AH6066" s="33"/>
      <c r="AI6066" s="33"/>
      <c r="AJ6066" s="33"/>
      <c r="AK6066" s="33"/>
    </row>
    <row r="6067">
      <c r="A6067" s="33"/>
      <c r="B6067" s="33"/>
      <c r="C6067" s="33"/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  <c r="Q6067" s="33"/>
      <c r="R6067" s="33"/>
      <c r="S6067" s="33"/>
      <c r="T6067" s="33"/>
      <c r="U6067" s="33"/>
      <c r="V6067" s="33"/>
      <c r="W6067" s="33"/>
      <c r="X6067" s="33"/>
      <c r="Y6067" s="33"/>
      <c r="Z6067" s="33"/>
      <c r="AA6067" s="33"/>
      <c r="AB6067" s="33"/>
      <c r="AC6067" s="33"/>
      <c r="AD6067" s="33"/>
      <c r="AE6067" s="33"/>
      <c r="AF6067" s="33"/>
      <c r="AG6067" s="33"/>
      <c r="AH6067" s="33"/>
      <c r="AI6067" s="33"/>
      <c r="AJ6067" s="33"/>
      <c r="AK6067" s="33"/>
    </row>
    <row r="6068">
      <c r="A6068" s="33"/>
      <c r="B6068" s="33"/>
      <c r="C6068" s="33"/>
      <c r="D6068" s="33"/>
      <c r="E6068" s="33"/>
      <c r="F6068" s="33"/>
      <c r="G6068" s="33"/>
      <c r="H6068" s="33"/>
      <c r="I6068" s="33"/>
      <c r="J6068" s="33"/>
      <c r="K6068" s="33"/>
      <c r="L6068" s="33"/>
      <c r="M6068" s="33"/>
      <c r="N6068" s="33"/>
      <c r="O6068" s="33"/>
      <c r="P6068" s="33"/>
      <c r="Q6068" s="33"/>
      <c r="R6068" s="33"/>
      <c r="S6068" s="33"/>
      <c r="T6068" s="33"/>
      <c r="U6068" s="33"/>
      <c r="V6068" s="33"/>
      <c r="W6068" s="33"/>
      <c r="X6068" s="33"/>
      <c r="Y6068" s="33"/>
      <c r="Z6068" s="33"/>
      <c r="AA6068" s="33"/>
      <c r="AB6068" s="33"/>
      <c r="AC6068" s="33"/>
      <c r="AD6068" s="33"/>
      <c r="AE6068" s="33"/>
      <c r="AF6068" s="33"/>
      <c r="AG6068" s="33"/>
      <c r="AH6068" s="33"/>
      <c r="AI6068" s="33"/>
      <c r="AJ6068" s="33"/>
      <c r="AK6068" s="33"/>
    </row>
    <row r="6069">
      <c r="A6069" s="33"/>
      <c r="B6069" s="33"/>
      <c r="C6069" s="33"/>
      <c r="D6069" s="33"/>
      <c r="E6069" s="33"/>
      <c r="F6069" s="33"/>
      <c r="G6069" s="33"/>
      <c r="H6069" s="33"/>
      <c r="I6069" s="33"/>
      <c r="J6069" s="33"/>
      <c r="K6069" s="33"/>
      <c r="L6069" s="33"/>
      <c r="M6069" s="33"/>
      <c r="N6069" s="33"/>
      <c r="O6069" s="33"/>
      <c r="P6069" s="33"/>
      <c r="Q6069" s="33"/>
      <c r="R6069" s="33"/>
      <c r="S6069" s="33"/>
      <c r="T6069" s="33"/>
      <c r="U6069" s="33"/>
      <c r="V6069" s="33"/>
      <c r="W6069" s="33"/>
      <c r="X6069" s="33"/>
      <c r="Y6069" s="33"/>
      <c r="Z6069" s="33"/>
      <c r="AA6069" s="33"/>
      <c r="AB6069" s="33"/>
      <c r="AC6069" s="33"/>
      <c r="AD6069" s="33"/>
      <c r="AE6069" s="33"/>
      <c r="AF6069" s="33"/>
      <c r="AG6069" s="33"/>
      <c r="AH6069" s="33"/>
      <c r="AI6069" s="33"/>
      <c r="AJ6069" s="33"/>
      <c r="AK6069" s="33"/>
    </row>
    <row r="6070">
      <c r="A6070" s="33"/>
      <c r="B6070" s="33"/>
      <c r="C6070" s="33"/>
      <c r="D6070" s="33"/>
      <c r="E6070" s="33"/>
      <c r="F6070" s="33"/>
      <c r="G6070" s="33"/>
      <c r="H6070" s="33"/>
      <c r="I6070" s="33"/>
      <c r="J6070" s="33"/>
      <c r="K6070" s="33"/>
      <c r="L6070" s="33"/>
      <c r="M6070" s="33"/>
      <c r="N6070" s="33"/>
      <c r="O6070" s="33"/>
      <c r="P6070" s="33"/>
      <c r="Q6070" s="33"/>
      <c r="R6070" s="33"/>
      <c r="S6070" s="33"/>
      <c r="T6070" s="33"/>
      <c r="U6070" s="33"/>
      <c r="V6070" s="33"/>
      <c r="W6070" s="33"/>
      <c r="X6070" s="33"/>
      <c r="Y6070" s="33"/>
      <c r="Z6070" s="33"/>
      <c r="AA6070" s="33"/>
      <c r="AB6070" s="33"/>
      <c r="AC6070" s="33"/>
      <c r="AD6070" s="33"/>
      <c r="AE6070" s="33"/>
      <c r="AF6070" s="33"/>
      <c r="AG6070" s="33"/>
      <c r="AH6070" s="33"/>
      <c r="AI6070" s="33"/>
      <c r="AJ6070" s="33"/>
      <c r="AK6070" s="33"/>
    </row>
    <row r="6071">
      <c r="A6071" s="33"/>
      <c r="B6071" s="33"/>
      <c r="C6071" s="33"/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  <c r="Q6071" s="33"/>
      <c r="R6071" s="33"/>
      <c r="S6071" s="33"/>
      <c r="T6071" s="33"/>
      <c r="U6071" s="33"/>
      <c r="V6071" s="33"/>
      <c r="W6071" s="33"/>
      <c r="X6071" s="33"/>
      <c r="Y6071" s="33"/>
      <c r="Z6071" s="33"/>
      <c r="AA6071" s="33"/>
      <c r="AB6071" s="33"/>
      <c r="AC6071" s="33"/>
      <c r="AD6071" s="33"/>
      <c r="AE6071" s="33"/>
      <c r="AF6071" s="33"/>
      <c r="AG6071" s="33"/>
      <c r="AH6071" s="33"/>
      <c r="AI6071" s="33"/>
      <c r="AJ6071" s="33"/>
      <c r="AK6071" s="33"/>
    </row>
    <row r="6072">
      <c r="A6072" s="33"/>
      <c r="B6072" s="33"/>
      <c r="C6072" s="33"/>
      <c r="D6072" s="33"/>
      <c r="E6072" s="33"/>
      <c r="F6072" s="33"/>
      <c r="G6072" s="33"/>
      <c r="H6072" s="33"/>
      <c r="I6072" s="33"/>
      <c r="J6072" s="33"/>
      <c r="K6072" s="33"/>
      <c r="L6072" s="33"/>
      <c r="M6072" s="33"/>
      <c r="N6072" s="33"/>
      <c r="O6072" s="33"/>
      <c r="P6072" s="33"/>
      <c r="Q6072" s="33"/>
      <c r="R6072" s="33"/>
      <c r="S6072" s="33"/>
      <c r="T6072" s="33"/>
      <c r="U6072" s="33"/>
      <c r="V6072" s="33"/>
      <c r="W6072" s="33"/>
      <c r="X6072" s="33"/>
      <c r="Y6072" s="33"/>
      <c r="Z6072" s="33"/>
      <c r="AA6072" s="33"/>
      <c r="AB6072" s="33"/>
      <c r="AC6072" s="33"/>
      <c r="AD6072" s="33"/>
      <c r="AE6072" s="33"/>
      <c r="AF6072" s="33"/>
      <c r="AG6072" s="33"/>
      <c r="AH6072" s="33"/>
      <c r="AI6072" s="33"/>
      <c r="AJ6072" s="33"/>
      <c r="AK6072" s="33"/>
    </row>
    <row r="6073">
      <c r="A6073" s="33"/>
      <c r="B6073" s="33"/>
      <c r="C6073" s="33"/>
      <c r="D6073" s="33"/>
      <c r="E6073" s="33"/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33"/>
      <c r="Q6073" s="33"/>
      <c r="R6073" s="33"/>
      <c r="S6073" s="33"/>
      <c r="T6073" s="33"/>
      <c r="U6073" s="33"/>
      <c r="V6073" s="33"/>
      <c r="W6073" s="33"/>
      <c r="X6073" s="33"/>
      <c r="Y6073" s="33"/>
      <c r="Z6073" s="33"/>
      <c r="AA6073" s="33"/>
      <c r="AB6073" s="33"/>
      <c r="AC6073" s="33"/>
      <c r="AD6073" s="33"/>
      <c r="AE6073" s="33"/>
      <c r="AF6073" s="33"/>
      <c r="AG6073" s="33"/>
      <c r="AH6073" s="33"/>
      <c r="AI6073" s="33"/>
      <c r="AJ6073" s="33"/>
      <c r="AK6073" s="33"/>
    </row>
    <row r="6074">
      <c r="A6074" s="33"/>
      <c r="B6074" s="33"/>
      <c r="C6074" s="33"/>
      <c r="D6074" s="33"/>
      <c r="E6074" s="33"/>
      <c r="F6074" s="33"/>
      <c r="G6074" s="33"/>
      <c r="H6074" s="33"/>
      <c r="I6074" s="33"/>
      <c r="J6074" s="33"/>
      <c r="K6074" s="33"/>
      <c r="L6074" s="33"/>
      <c r="M6074" s="33"/>
      <c r="N6074" s="33"/>
      <c r="O6074" s="33"/>
      <c r="P6074" s="33"/>
      <c r="Q6074" s="33"/>
      <c r="R6074" s="33"/>
      <c r="S6074" s="33"/>
      <c r="T6074" s="33"/>
      <c r="U6074" s="33"/>
      <c r="V6074" s="33"/>
      <c r="W6074" s="33"/>
      <c r="X6074" s="33"/>
      <c r="Y6074" s="33"/>
      <c r="Z6074" s="33"/>
      <c r="AA6074" s="33"/>
      <c r="AB6074" s="33"/>
      <c r="AC6074" s="33"/>
      <c r="AD6074" s="33"/>
      <c r="AE6074" s="33"/>
      <c r="AF6074" s="33"/>
      <c r="AG6074" s="33"/>
      <c r="AH6074" s="33"/>
      <c r="AI6074" s="33"/>
      <c r="AJ6074" s="33"/>
      <c r="AK6074" s="33"/>
    </row>
    <row r="6075">
      <c r="A6075" s="33"/>
      <c r="B6075" s="33"/>
      <c r="C6075" s="33"/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  <c r="Q6075" s="33"/>
      <c r="R6075" s="33"/>
      <c r="S6075" s="33"/>
      <c r="T6075" s="33"/>
      <c r="U6075" s="33"/>
      <c r="V6075" s="33"/>
      <c r="W6075" s="33"/>
      <c r="X6075" s="33"/>
      <c r="Y6075" s="33"/>
      <c r="Z6075" s="33"/>
      <c r="AA6075" s="33"/>
      <c r="AB6075" s="33"/>
      <c r="AC6075" s="33"/>
      <c r="AD6075" s="33"/>
      <c r="AE6075" s="33"/>
      <c r="AF6075" s="33"/>
      <c r="AG6075" s="33"/>
      <c r="AH6075" s="33"/>
      <c r="AI6075" s="33"/>
      <c r="AJ6075" s="33"/>
      <c r="AK6075" s="33"/>
    </row>
    <row r="6076">
      <c r="A6076" s="33"/>
      <c r="B6076" s="33"/>
      <c r="C6076" s="33"/>
      <c r="D6076" s="33"/>
      <c r="E6076" s="33"/>
      <c r="F6076" s="33"/>
      <c r="G6076" s="33"/>
      <c r="H6076" s="33"/>
      <c r="I6076" s="33"/>
      <c r="J6076" s="33"/>
      <c r="K6076" s="33"/>
      <c r="L6076" s="33"/>
      <c r="M6076" s="33"/>
      <c r="N6076" s="33"/>
      <c r="O6076" s="33"/>
      <c r="P6076" s="33"/>
      <c r="Q6076" s="33"/>
      <c r="R6076" s="33"/>
      <c r="S6076" s="33"/>
      <c r="T6076" s="33"/>
      <c r="U6076" s="33"/>
      <c r="V6076" s="33"/>
      <c r="W6076" s="33"/>
      <c r="X6076" s="33"/>
      <c r="Y6076" s="33"/>
      <c r="Z6076" s="33"/>
      <c r="AA6076" s="33"/>
      <c r="AB6076" s="33"/>
      <c r="AC6076" s="33"/>
      <c r="AD6076" s="33"/>
      <c r="AE6076" s="33"/>
      <c r="AF6076" s="33"/>
      <c r="AG6076" s="33"/>
      <c r="AH6076" s="33"/>
      <c r="AI6076" s="33"/>
      <c r="AJ6076" s="33"/>
      <c r="AK6076" s="33"/>
    </row>
    <row r="6077">
      <c r="A6077" s="33"/>
      <c r="B6077" s="33"/>
      <c r="C6077" s="33"/>
      <c r="D6077" s="33"/>
      <c r="E6077" s="33"/>
      <c r="F6077" s="33"/>
      <c r="G6077" s="33"/>
      <c r="H6077" s="33"/>
      <c r="I6077" s="33"/>
      <c r="J6077" s="33"/>
      <c r="K6077" s="33"/>
      <c r="L6077" s="33"/>
      <c r="M6077" s="33"/>
      <c r="N6077" s="33"/>
      <c r="O6077" s="33"/>
      <c r="P6077" s="33"/>
      <c r="Q6077" s="33"/>
      <c r="R6077" s="33"/>
      <c r="S6077" s="33"/>
      <c r="T6077" s="33"/>
      <c r="U6077" s="33"/>
      <c r="V6077" s="33"/>
      <c r="W6077" s="33"/>
      <c r="X6077" s="33"/>
      <c r="Y6077" s="33"/>
      <c r="Z6077" s="33"/>
      <c r="AA6077" s="33"/>
      <c r="AB6077" s="33"/>
      <c r="AC6077" s="33"/>
      <c r="AD6077" s="33"/>
      <c r="AE6077" s="33"/>
      <c r="AF6077" s="33"/>
      <c r="AG6077" s="33"/>
      <c r="AH6077" s="33"/>
      <c r="AI6077" s="33"/>
      <c r="AJ6077" s="33"/>
      <c r="AK6077" s="33"/>
    </row>
    <row r="6078">
      <c r="A6078" s="33"/>
      <c r="B6078" s="33"/>
      <c r="C6078" s="33"/>
      <c r="D6078" s="33"/>
      <c r="E6078" s="33"/>
      <c r="F6078" s="33"/>
      <c r="G6078" s="33"/>
      <c r="H6078" s="33"/>
      <c r="I6078" s="33"/>
      <c r="J6078" s="33"/>
      <c r="K6078" s="33"/>
      <c r="L6078" s="33"/>
      <c r="M6078" s="33"/>
      <c r="N6078" s="33"/>
      <c r="O6078" s="33"/>
      <c r="P6078" s="33"/>
      <c r="Q6078" s="33"/>
      <c r="R6078" s="33"/>
      <c r="S6078" s="33"/>
      <c r="T6078" s="33"/>
      <c r="U6078" s="33"/>
      <c r="V6078" s="33"/>
      <c r="W6078" s="33"/>
      <c r="X6078" s="33"/>
      <c r="Y6078" s="33"/>
      <c r="Z6078" s="33"/>
      <c r="AA6078" s="33"/>
      <c r="AB6078" s="33"/>
      <c r="AC6078" s="33"/>
      <c r="AD6078" s="33"/>
      <c r="AE6078" s="33"/>
      <c r="AF6078" s="33"/>
      <c r="AG6078" s="33"/>
      <c r="AH6078" s="33"/>
      <c r="AI6078" s="33"/>
      <c r="AJ6078" s="33"/>
      <c r="AK6078" s="33"/>
    </row>
    <row r="6079">
      <c r="A6079" s="33"/>
      <c r="B6079" s="33"/>
      <c r="C6079" s="33"/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  <c r="Q6079" s="33"/>
      <c r="R6079" s="33"/>
      <c r="S6079" s="33"/>
      <c r="T6079" s="33"/>
      <c r="U6079" s="33"/>
      <c r="V6079" s="33"/>
      <c r="W6079" s="33"/>
      <c r="X6079" s="33"/>
      <c r="Y6079" s="33"/>
      <c r="Z6079" s="33"/>
      <c r="AA6079" s="33"/>
      <c r="AB6079" s="33"/>
      <c r="AC6079" s="33"/>
      <c r="AD6079" s="33"/>
      <c r="AE6079" s="33"/>
      <c r="AF6079" s="33"/>
      <c r="AG6079" s="33"/>
      <c r="AH6079" s="33"/>
      <c r="AI6079" s="33"/>
      <c r="AJ6079" s="33"/>
      <c r="AK6079" s="33"/>
    </row>
    <row r="6080">
      <c r="A6080" s="33"/>
      <c r="B6080" s="33"/>
      <c r="C6080" s="33"/>
      <c r="D6080" s="33"/>
      <c r="E6080" s="33"/>
      <c r="F6080" s="33"/>
      <c r="G6080" s="33"/>
      <c r="H6080" s="33"/>
      <c r="I6080" s="33"/>
      <c r="J6080" s="33"/>
      <c r="K6080" s="33"/>
      <c r="L6080" s="33"/>
      <c r="M6080" s="33"/>
      <c r="N6080" s="33"/>
      <c r="O6080" s="33"/>
      <c r="P6080" s="33"/>
      <c r="Q6080" s="33"/>
      <c r="R6080" s="33"/>
      <c r="S6080" s="33"/>
      <c r="T6080" s="33"/>
      <c r="U6080" s="33"/>
      <c r="V6080" s="33"/>
      <c r="W6080" s="33"/>
      <c r="X6080" s="33"/>
      <c r="Y6080" s="33"/>
      <c r="Z6080" s="33"/>
      <c r="AA6080" s="33"/>
      <c r="AB6080" s="33"/>
      <c r="AC6080" s="33"/>
      <c r="AD6080" s="33"/>
      <c r="AE6080" s="33"/>
      <c r="AF6080" s="33"/>
      <c r="AG6080" s="33"/>
      <c r="AH6080" s="33"/>
      <c r="AI6080" s="33"/>
      <c r="AJ6080" s="33"/>
      <c r="AK6080" s="33"/>
    </row>
    <row r="6081">
      <c r="A6081" s="33"/>
      <c r="B6081" s="33"/>
      <c r="C6081" s="33"/>
      <c r="D6081" s="33"/>
      <c r="E6081" s="33"/>
      <c r="F6081" s="33"/>
      <c r="G6081" s="33"/>
      <c r="H6081" s="33"/>
      <c r="I6081" s="33"/>
      <c r="J6081" s="33"/>
      <c r="K6081" s="33"/>
      <c r="L6081" s="33"/>
      <c r="M6081" s="33"/>
      <c r="N6081" s="33"/>
      <c r="O6081" s="33"/>
      <c r="P6081" s="33"/>
      <c r="Q6081" s="33"/>
      <c r="R6081" s="33"/>
      <c r="S6081" s="33"/>
      <c r="T6081" s="33"/>
      <c r="U6081" s="33"/>
      <c r="V6081" s="33"/>
      <c r="W6081" s="33"/>
      <c r="X6081" s="33"/>
      <c r="Y6081" s="33"/>
      <c r="Z6081" s="33"/>
      <c r="AA6081" s="33"/>
      <c r="AB6081" s="33"/>
      <c r="AC6081" s="33"/>
      <c r="AD6081" s="33"/>
      <c r="AE6081" s="33"/>
      <c r="AF6081" s="33"/>
      <c r="AG6081" s="33"/>
      <c r="AH6081" s="33"/>
      <c r="AI6081" s="33"/>
      <c r="AJ6081" s="33"/>
      <c r="AK6081" s="33"/>
    </row>
    <row r="6082">
      <c r="A6082" s="33"/>
      <c r="B6082" s="33"/>
      <c r="C6082" s="33"/>
      <c r="D6082" s="33"/>
      <c r="E6082" s="33"/>
      <c r="F6082" s="33"/>
      <c r="G6082" s="33"/>
      <c r="H6082" s="33"/>
      <c r="I6082" s="33"/>
      <c r="J6082" s="33"/>
      <c r="K6082" s="33"/>
      <c r="L6082" s="33"/>
      <c r="M6082" s="33"/>
      <c r="N6082" s="33"/>
      <c r="O6082" s="33"/>
      <c r="P6082" s="33"/>
      <c r="Q6082" s="33"/>
      <c r="R6082" s="33"/>
      <c r="S6082" s="33"/>
      <c r="T6082" s="33"/>
      <c r="U6082" s="33"/>
      <c r="V6082" s="33"/>
      <c r="W6082" s="33"/>
      <c r="X6082" s="33"/>
      <c r="Y6082" s="33"/>
      <c r="Z6082" s="33"/>
      <c r="AA6082" s="33"/>
      <c r="AB6082" s="33"/>
      <c r="AC6082" s="33"/>
      <c r="AD6082" s="33"/>
      <c r="AE6082" s="33"/>
      <c r="AF6082" s="33"/>
      <c r="AG6082" s="33"/>
      <c r="AH6082" s="33"/>
      <c r="AI6082" s="33"/>
      <c r="AJ6082" s="33"/>
      <c r="AK6082" s="33"/>
    </row>
    <row r="6083">
      <c r="A6083" s="33"/>
      <c r="B6083" s="33"/>
      <c r="C6083" s="33"/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  <c r="Q6083" s="33"/>
      <c r="R6083" s="33"/>
      <c r="S6083" s="33"/>
      <c r="T6083" s="33"/>
      <c r="U6083" s="33"/>
      <c r="V6083" s="33"/>
      <c r="W6083" s="33"/>
      <c r="X6083" s="33"/>
      <c r="Y6083" s="33"/>
      <c r="Z6083" s="33"/>
      <c r="AA6083" s="33"/>
      <c r="AB6083" s="33"/>
      <c r="AC6083" s="33"/>
      <c r="AD6083" s="33"/>
      <c r="AE6083" s="33"/>
      <c r="AF6083" s="33"/>
      <c r="AG6083" s="33"/>
      <c r="AH6083" s="33"/>
      <c r="AI6083" s="33"/>
      <c r="AJ6083" s="33"/>
      <c r="AK6083" s="33"/>
    </row>
    <row r="6084">
      <c r="A6084" s="33"/>
      <c r="B6084" s="33"/>
      <c r="C6084" s="33"/>
      <c r="D6084" s="33"/>
      <c r="E6084" s="33"/>
      <c r="F6084" s="33"/>
      <c r="G6084" s="33"/>
      <c r="H6084" s="33"/>
      <c r="I6084" s="33"/>
      <c r="J6084" s="33"/>
      <c r="K6084" s="33"/>
      <c r="L6084" s="33"/>
      <c r="M6084" s="33"/>
      <c r="N6084" s="33"/>
      <c r="O6084" s="33"/>
      <c r="P6084" s="33"/>
      <c r="Q6084" s="33"/>
      <c r="R6084" s="33"/>
      <c r="S6084" s="33"/>
      <c r="T6084" s="33"/>
      <c r="U6084" s="33"/>
      <c r="V6084" s="33"/>
      <c r="W6084" s="33"/>
      <c r="X6084" s="33"/>
      <c r="Y6084" s="33"/>
      <c r="Z6084" s="33"/>
      <c r="AA6084" s="33"/>
      <c r="AB6084" s="33"/>
      <c r="AC6084" s="33"/>
      <c r="AD6084" s="33"/>
      <c r="AE6084" s="33"/>
      <c r="AF6084" s="33"/>
      <c r="AG6084" s="33"/>
      <c r="AH6084" s="33"/>
      <c r="AI6084" s="33"/>
      <c r="AJ6084" s="33"/>
      <c r="AK6084" s="33"/>
    </row>
    <row r="6085">
      <c r="A6085" s="33"/>
      <c r="B6085" s="33"/>
      <c r="C6085" s="33"/>
      <c r="D6085" s="33"/>
      <c r="E6085" s="33"/>
      <c r="F6085" s="33"/>
      <c r="G6085" s="33"/>
      <c r="H6085" s="33"/>
      <c r="I6085" s="33"/>
      <c r="J6085" s="33"/>
      <c r="K6085" s="33"/>
      <c r="L6085" s="33"/>
      <c r="M6085" s="33"/>
      <c r="N6085" s="33"/>
      <c r="O6085" s="33"/>
      <c r="P6085" s="33"/>
      <c r="Q6085" s="33"/>
      <c r="R6085" s="33"/>
      <c r="S6085" s="33"/>
      <c r="T6085" s="33"/>
      <c r="U6085" s="33"/>
      <c r="V6085" s="33"/>
      <c r="W6085" s="33"/>
      <c r="X6085" s="33"/>
      <c r="Y6085" s="33"/>
      <c r="Z6085" s="33"/>
      <c r="AA6085" s="33"/>
      <c r="AB6085" s="33"/>
      <c r="AC6085" s="33"/>
      <c r="AD6085" s="33"/>
      <c r="AE6085" s="33"/>
      <c r="AF6085" s="33"/>
      <c r="AG6085" s="33"/>
      <c r="AH6085" s="33"/>
      <c r="AI6085" s="33"/>
      <c r="AJ6085" s="33"/>
      <c r="AK6085" s="33"/>
    </row>
    <row r="6086">
      <c r="A6086" s="33"/>
      <c r="B6086" s="33"/>
      <c r="C6086" s="33"/>
      <c r="D6086" s="33"/>
      <c r="E6086" s="33"/>
      <c r="F6086" s="33"/>
      <c r="G6086" s="33"/>
      <c r="H6086" s="33"/>
      <c r="I6086" s="33"/>
      <c r="J6086" s="33"/>
      <c r="K6086" s="33"/>
      <c r="L6086" s="33"/>
      <c r="M6086" s="33"/>
      <c r="N6086" s="33"/>
      <c r="O6086" s="33"/>
      <c r="P6086" s="33"/>
      <c r="Q6086" s="33"/>
      <c r="R6086" s="33"/>
      <c r="S6086" s="33"/>
      <c r="T6086" s="33"/>
      <c r="U6086" s="33"/>
      <c r="V6086" s="33"/>
      <c r="W6086" s="33"/>
      <c r="X6086" s="33"/>
      <c r="Y6086" s="33"/>
      <c r="Z6086" s="33"/>
      <c r="AA6086" s="33"/>
      <c r="AB6086" s="33"/>
      <c r="AC6086" s="33"/>
      <c r="AD6086" s="33"/>
      <c r="AE6086" s="33"/>
      <c r="AF6086" s="33"/>
      <c r="AG6086" s="33"/>
      <c r="AH6086" s="33"/>
      <c r="AI6086" s="33"/>
      <c r="AJ6086" s="33"/>
      <c r="AK6086" s="33"/>
    </row>
    <row r="6087">
      <c r="A6087" s="33"/>
      <c r="B6087" s="33"/>
      <c r="C6087" s="33"/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  <c r="Q6087" s="33"/>
      <c r="R6087" s="33"/>
      <c r="S6087" s="33"/>
      <c r="T6087" s="33"/>
      <c r="U6087" s="33"/>
      <c r="V6087" s="33"/>
      <c r="W6087" s="33"/>
      <c r="X6087" s="33"/>
      <c r="Y6087" s="33"/>
      <c r="Z6087" s="33"/>
      <c r="AA6087" s="33"/>
      <c r="AB6087" s="33"/>
      <c r="AC6087" s="33"/>
      <c r="AD6087" s="33"/>
      <c r="AE6087" s="33"/>
      <c r="AF6087" s="33"/>
      <c r="AG6087" s="33"/>
      <c r="AH6087" s="33"/>
      <c r="AI6087" s="33"/>
      <c r="AJ6087" s="33"/>
      <c r="AK6087" s="33"/>
    </row>
    <row r="6088">
      <c r="A6088" s="33"/>
      <c r="B6088" s="33"/>
      <c r="C6088" s="33"/>
      <c r="D6088" s="33"/>
      <c r="E6088" s="33"/>
      <c r="F6088" s="33"/>
      <c r="G6088" s="33"/>
      <c r="H6088" s="33"/>
      <c r="I6088" s="33"/>
      <c r="J6088" s="33"/>
      <c r="K6088" s="33"/>
      <c r="L6088" s="33"/>
      <c r="M6088" s="33"/>
      <c r="N6088" s="33"/>
      <c r="O6088" s="33"/>
      <c r="P6088" s="33"/>
      <c r="Q6088" s="33"/>
      <c r="R6088" s="33"/>
      <c r="S6088" s="33"/>
      <c r="T6088" s="33"/>
      <c r="U6088" s="33"/>
      <c r="V6088" s="33"/>
      <c r="W6088" s="33"/>
      <c r="X6088" s="33"/>
      <c r="Y6088" s="33"/>
      <c r="Z6088" s="33"/>
      <c r="AA6088" s="33"/>
      <c r="AB6088" s="33"/>
      <c r="AC6088" s="33"/>
      <c r="AD6088" s="33"/>
      <c r="AE6088" s="33"/>
      <c r="AF6088" s="33"/>
      <c r="AG6088" s="33"/>
      <c r="AH6088" s="33"/>
      <c r="AI6088" s="33"/>
      <c r="AJ6088" s="33"/>
      <c r="AK6088" s="33"/>
    </row>
    <row r="6089">
      <c r="A6089" s="33"/>
      <c r="B6089" s="33"/>
      <c r="C6089" s="33"/>
      <c r="D6089" s="33"/>
      <c r="E6089" s="33"/>
      <c r="F6089" s="33"/>
      <c r="G6089" s="33"/>
      <c r="H6089" s="33"/>
      <c r="I6089" s="33"/>
      <c r="J6089" s="33"/>
      <c r="K6089" s="33"/>
      <c r="L6089" s="33"/>
      <c r="M6089" s="33"/>
      <c r="N6089" s="33"/>
      <c r="O6089" s="33"/>
      <c r="P6089" s="33"/>
      <c r="Q6089" s="33"/>
      <c r="R6089" s="33"/>
      <c r="S6089" s="33"/>
      <c r="T6089" s="33"/>
      <c r="U6089" s="33"/>
      <c r="V6089" s="33"/>
      <c r="W6089" s="33"/>
      <c r="X6089" s="33"/>
      <c r="Y6089" s="33"/>
      <c r="Z6089" s="33"/>
      <c r="AA6089" s="33"/>
      <c r="AB6089" s="33"/>
      <c r="AC6089" s="33"/>
      <c r="AD6089" s="33"/>
      <c r="AE6089" s="33"/>
      <c r="AF6089" s="33"/>
      <c r="AG6089" s="33"/>
      <c r="AH6089" s="33"/>
      <c r="AI6089" s="33"/>
      <c r="AJ6089" s="33"/>
      <c r="AK6089" s="33"/>
    </row>
    <row r="6090">
      <c r="A6090" s="33"/>
      <c r="B6090" s="33"/>
      <c r="C6090" s="33"/>
      <c r="D6090" s="33"/>
      <c r="E6090" s="33"/>
      <c r="F6090" s="33"/>
      <c r="G6090" s="33"/>
      <c r="H6090" s="33"/>
      <c r="I6090" s="33"/>
      <c r="J6090" s="33"/>
      <c r="K6090" s="33"/>
      <c r="L6090" s="33"/>
      <c r="M6090" s="33"/>
      <c r="N6090" s="33"/>
      <c r="O6090" s="33"/>
      <c r="P6090" s="33"/>
      <c r="Q6090" s="33"/>
      <c r="R6090" s="33"/>
      <c r="S6090" s="33"/>
      <c r="T6090" s="33"/>
      <c r="U6090" s="33"/>
      <c r="V6090" s="33"/>
      <c r="W6090" s="33"/>
      <c r="X6090" s="33"/>
      <c r="Y6090" s="33"/>
      <c r="Z6090" s="33"/>
      <c r="AA6090" s="33"/>
      <c r="AB6090" s="33"/>
      <c r="AC6090" s="33"/>
      <c r="AD6090" s="33"/>
      <c r="AE6090" s="33"/>
      <c r="AF6090" s="33"/>
      <c r="AG6090" s="33"/>
      <c r="AH6090" s="33"/>
      <c r="AI6090" s="33"/>
      <c r="AJ6090" s="33"/>
      <c r="AK6090" s="33"/>
    </row>
    <row r="6091">
      <c r="A6091" s="33"/>
      <c r="B6091" s="33"/>
      <c r="C6091" s="33"/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  <c r="Q6091" s="33"/>
      <c r="R6091" s="33"/>
      <c r="S6091" s="33"/>
      <c r="T6091" s="33"/>
      <c r="U6091" s="33"/>
      <c r="V6091" s="33"/>
      <c r="W6091" s="33"/>
      <c r="X6091" s="33"/>
      <c r="Y6091" s="33"/>
      <c r="Z6091" s="33"/>
      <c r="AA6091" s="33"/>
      <c r="AB6091" s="33"/>
      <c r="AC6091" s="33"/>
      <c r="AD6091" s="33"/>
      <c r="AE6091" s="33"/>
      <c r="AF6091" s="33"/>
      <c r="AG6091" s="33"/>
      <c r="AH6091" s="33"/>
      <c r="AI6091" s="33"/>
      <c r="AJ6091" s="33"/>
      <c r="AK6091" s="33"/>
    </row>
    <row r="6092">
      <c r="A6092" s="33"/>
      <c r="B6092" s="33"/>
      <c r="C6092" s="33"/>
      <c r="D6092" s="33"/>
      <c r="E6092" s="33"/>
      <c r="F6092" s="33"/>
      <c r="G6092" s="33"/>
      <c r="H6092" s="33"/>
      <c r="I6092" s="33"/>
      <c r="J6092" s="33"/>
      <c r="K6092" s="33"/>
      <c r="L6092" s="33"/>
      <c r="M6092" s="33"/>
      <c r="N6092" s="33"/>
      <c r="O6092" s="33"/>
      <c r="P6092" s="33"/>
      <c r="Q6092" s="33"/>
      <c r="R6092" s="33"/>
      <c r="S6092" s="33"/>
      <c r="T6092" s="33"/>
      <c r="U6092" s="33"/>
      <c r="V6092" s="33"/>
      <c r="W6092" s="33"/>
      <c r="X6092" s="33"/>
      <c r="Y6092" s="33"/>
      <c r="Z6092" s="33"/>
      <c r="AA6092" s="33"/>
      <c r="AB6092" s="33"/>
      <c r="AC6092" s="33"/>
      <c r="AD6092" s="33"/>
      <c r="AE6092" s="33"/>
      <c r="AF6092" s="33"/>
      <c r="AG6092" s="33"/>
      <c r="AH6092" s="33"/>
      <c r="AI6092" s="33"/>
      <c r="AJ6092" s="33"/>
      <c r="AK6092" s="33"/>
    </row>
    <row r="6093">
      <c r="A6093" s="33"/>
      <c r="B6093" s="33"/>
      <c r="C6093" s="33"/>
      <c r="D6093" s="33"/>
      <c r="E6093" s="33"/>
      <c r="F6093" s="33"/>
      <c r="G6093" s="33"/>
      <c r="H6093" s="33"/>
      <c r="I6093" s="33"/>
      <c r="J6093" s="33"/>
      <c r="K6093" s="33"/>
      <c r="L6093" s="33"/>
      <c r="M6093" s="33"/>
      <c r="N6093" s="33"/>
      <c r="O6093" s="33"/>
      <c r="P6093" s="33"/>
      <c r="Q6093" s="33"/>
      <c r="R6093" s="33"/>
      <c r="S6093" s="33"/>
      <c r="T6093" s="33"/>
      <c r="U6093" s="33"/>
      <c r="V6093" s="33"/>
      <c r="W6093" s="33"/>
      <c r="X6093" s="33"/>
      <c r="Y6093" s="33"/>
      <c r="Z6093" s="33"/>
      <c r="AA6093" s="33"/>
      <c r="AB6093" s="33"/>
      <c r="AC6093" s="33"/>
      <c r="AD6093" s="33"/>
      <c r="AE6093" s="33"/>
      <c r="AF6093" s="33"/>
      <c r="AG6093" s="33"/>
      <c r="AH6093" s="33"/>
      <c r="AI6093" s="33"/>
      <c r="AJ6093" s="33"/>
      <c r="AK6093" s="33"/>
    </row>
    <row r="6094">
      <c r="A6094" s="33"/>
      <c r="B6094" s="33"/>
      <c r="C6094" s="33"/>
      <c r="D6094" s="33"/>
      <c r="E6094" s="33"/>
      <c r="F6094" s="33"/>
      <c r="G6094" s="33"/>
      <c r="H6094" s="33"/>
      <c r="I6094" s="33"/>
      <c r="J6094" s="33"/>
      <c r="K6094" s="33"/>
      <c r="L6094" s="33"/>
      <c r="M6094" s="33"/>
      <c r="N6094" s="33"/>
      <c r="O6094" s="33"/>
      <c r="P6094" s="33"/>
      <c r="Q6094" s="33"/>
      <c r="R6094" s="33"/>
      <c r="S6094" s="33"/>
      <c r="T6094" s="33"/>
      <c r="U6094" s="33"/>
      <c r="V6094" s="33"/>
      <c r="W6094" s="33"/>
      <c r="X6094" s="33"/>
      <c r="Y6094" s="33"/>
      <c r="Z6094" s="33"/>
      <c r="AA6094" s="33"/>
      <c r="AB6094" s="33"/>
      <c r="AC6094" s="33"/>
      <c r="AD6094" s="33"/>
      <c r="AE6094" s="33"/>
      <c r="AF6094" s="33"/>
      <c r="AG6094" s="33"/>
      <c r="AH6094" s="33"/>
      <c r="AI6094" s="33"/>
      <c r="AJ6094" s="33"/>
      <c r="AK6094" s="33"/>
    </row>
    <row r="6095">
      <c r="A6095" s="33"/>
      <c r="B6095" s="33"/>
      <c r="C6095" s="33"/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  <c r="Q6095" s="33"/>
      <c r="R6095" s="33"/>
      <c r="S6095" s="33"/>
      <c r="T6095" s="33"/>
      <c r="U6095" s="33"/>
      <c r="V6095" s="33"/>
      <c r="W6095" s="33"/>
      <c r="X6095" s="33"/>
      <c r="Y6095" s="33"/>
      <c r="Z6095" s="33"/>
      <c r="AA6095" s="33"/>
      <c r="AB6095" s="33"/>
      <c r="AC6095" s="33"/>
      <c r="AD6095" s="33"/>
      <c r="AE6095" s="33"/>
      <c r="AF6095" s="33"/>
      <c r="AG6095" s="33"/>
      <c r="AH6095" s="33"/>
      <c r="AI6095" s="33"/>
      <c r="AJ6095" s="33"/>
      <c r="AK6095" s="33"/>
    </row>
    <row r="6096">
      <c r="A6096" s="33"/>
      <c r="B6096" s="33"/>
      <c r="C6096" s="33"/>
      <c r="D6096" s="33"/>
      <c r="E6096" s="33"/>
      <c r="F6096" s="33"/>
      <c r="G6096" s="33"/>
      <c r="H6096" s="33"/>
      <c r="I6096" s="33"/>
      <c r="J6096" s="33"/>
      <c r="K6096" s="33"/>
      <c r="L6096" s="33"/>
      <c r="M6096" s="33"/>
      <c r="N6096" s="33"/>
      <c r="O6096" s="33"/>
      <c r="P6096" s="33"/>
      <c r="Q6096" s="33"/>
      <c r="R6096" s="33"/>
      <c r="S6096" s="33"/>
      <c r="T6096" s="33"/>
      <c r="U6096" s="33"/>
      <c r="V6096" s="33"/>
      <c r="W6096" s="33"/>
      <c r="X6096" s="33"/>
      <c r="Y6096" s="33"/>
      <c r="Z6096" s="33"/>
      <c r="AA6096" s="33"/>
      <c r="AB6096" s="33"/>
      <c r="AC6096" s="33"/>
      <c r="AD6096" s="33"/>
      <c r="AE6096" s="33"/>
      <c r="AF6096" s="33"/>
      <c r="AG6096" s="33"/>
      <c r="AH6096" s="33"/>
      <c r="AI6096" s="33"/>
      <c r="AJ6096" s="33"/>
      <c r="AK6096" s="33"/>
    </row>
    <row r="6097">
      <c r="A6097" s="33"/>
      <c r="B6097" s="33"/>
      <c r="C6097" s="33"/>
      <c r="D6097" s="33"/>
      <c r="E6097" s="33"/>
      <c r="F6097" s="33"/>
      <c r="G6097" s="33"/>
      <c r="H6097" s="33"/>
      <c r="I6097" s="33"/>
      <c r="J6097" s="33"/>
      <c r="K6097" s="33"/>
      <c r="L6097" s="33"/>
      <c r="M6097" s="33"/>
      <c r="N6097" s="33"/>
      <c r="O6097" s="33"/>
      <c r="P6097" s="33"/>
      <c r="Q6097" s="33"/>
      <c r="R6097" s="33"/>
      <c r="S6097" s="33"/>
      <c r="T6097" s="33"/>
      <c r="U6097" s="33"/>
      <c r="V6097" s="33"/>
      <c r="W6097" s="33"/>
      <c r="X6097" s="33"/>
      <c r="Y6097" s="33"/>
      <c r="Z6097" s="33"/>
      <c r="AA6097" s="33"/>
      <c r="AB6097" s="33"/>
      <c r="AC6097" s="33"/>
      <c r="AD6097" s="33"/>
      <c r="AE6097" s="33"/>
      <c r="AF6097" s="33"/>
      <c r="AG6097" s="33"/>
      <c r="AH6097" s="33"/>
      <c r="AI6097" s="33"/>
      <c r="AJ6097" s="33"/>
      <c r="AK6097" s="33"/>
    </row>
    <row r="6098">
      <c r="A6098" s="33"/>
      <c r="B6098" s="33"/>
      <c r="C6098" s="33"/>
      <c r="D6098" s="33"/>
      <c r="E6098" s="33"/>
      <c r="F6098" s="33"/>
      <c r="G6098" s="33"/>
      <c r="H6098" s="33"/>
      <c r="I6098" s="33"/>
      <c r="J6098" s="33"/>
      <c r="K6098" s="33"/>
      <c r="L6098" s="33"/>
      <c r="M6098" s="33"/>
      <c r="N6098" s="33"/>
      <c r="O6098" s="33"/>
      <c r="P6098" s="33"/>
      <c r="Q6098" s="33"/>
      <c r="R6098" s="33"/>
      <c r="S6098" s="33"/>
      <c r="T6098" s="33"/>
      <c r="U6098" s="33"/>
      <c r="V6098" s="33"/>
      <c r="W6098" s="33"/>
      <c r="X6098" s="33"/>
      <c r="Y6098" s="33"/>
      <c r="Z6098" s="33"/>
      <c r="AA6098" s="33"/>
      <c r="AB6098" s="33"/>
      <c r="AC6098" s="33"/>
      <c r="AD6098" s="33"/>
      <c r="AE6098" s="33"/>
      <c r="AF6098" s="33"/>
      <c r="AG6098" s="33"/>
      <c r="AH6098" s="33"/>
      <c r="AI6098" s="33"/>
      <c r="AJ6098" s="33"/>
      <c r="AK6098" s="33"/>
    </row>
    <row r="6099">
      <c r="A6099" s="33"/>
      <c r="B6099" s="33"/>
      <c r="C6099" s="33"/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  <c r="Q6099" s="33"/>
      <c r="R6099" s="33"/>
      <c r="S6099" s="33"/>
      <c r="T6099" s="33"/>
      <c r="U6099" s="33"/>
      <c r="V6099" s="33"/>
      <c r="W6099" s="33"/>
      <c r="X6099" s="33"/>
      <c r="Y6099" s="33"/>
      <c r="Z6099" s="33"/>
      <c r="AA6099" s="33"/>
      <c r="AB6099" s="33"/>
      <c r="AC6099" s="33"/>
      <c r="AD6099" s="33"/>
      <c r="AE6099" s="33"/>
      <c r="AF6099" s="33"/>
      <c r="AG6099" s="33"/>
      <c r="AH6099" s="33"/>
      <c r="AI6099" s="33"/>
      <c r="AJ6099" s="33"/>
      <c r="AK6099" s="33"/>
    </row>
    <row r="6100">
      <c r="A6100" s="33"/>
      <c r="B6100" s="33"/>
      <c r="C6100" s="33"/>
      <c r="D6100" s="33"/>
      <c r="E6100" s="33"/>
      <c r="F6100" s="33"/>
      <c r="G6100" s="33"/>
      <c r="H6100" s="33"/>
      <c r="I6100" s="33"/>
      <c r="J6100" s="33"/>
      <c r="K6100" s="33"/>
      <c r="L6100" s="33"/>
      <c r="M6100" s="33"/>
      <c r="N6100" s="33"/>
      <c r="O6100" s="33"/>
      <c r="P6100" s="33"/>
      <c r="Q6100" s="33"/>
      <c r="R6100" s="33"/>
      <c r="S6100" s="33"/>
      <c r="T6100" s="33"/>
      <c r="U6100" s="33"/>
      <c r="V6100" s="33"/>
      <c r="W6100" s="33"/>
      <c r="X6100" s="33"/>
      <c r="Y6100" s="33"/>
      <c r="Z6100" s="33"/>
      <c r="AA6100" s="33"/>
      <c r="AB6100" s="33"/>
      <c r="AC6100" s="33"/>
      <c r="AD6100" s="33"/>
      <c r="AE6100" s="33"/>
      <c r="AF6100" s="33"/>
      <c r="AG6100" s="33"/>
      <c r="AH6100" s="33"/>
      <c r="AI6100" s="33"/>
      <c r="AJ6100" s="33"/>
      <c r="AK6100" s="33"/>
    </row>
    <row r="6101">
      <c r="A6101" s="33"/>
      <c r="B6101" s="33"/>
      <c r="C6101" s="33"/>
      <c r="D6101" s="33"/>
      <c r="E6101" s="33"/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33"/>
      <c r="Q6101" s="33"/>
      <c r="R6101" s="33"/>
      <c r="S6101" s="33"/>
      <c r="T6101" s="33"/>
      <c r="U6101" s="33"/>
      <c r="V6101" s="33"/>
      <c r="W6101" s="33"/>
      <c r="X6101" s="33"/>
      <c r="Y6101" s="33"/>
      <c r="Z6101" s="33"/>
      <c r="AA6101" s="33"/>
      <c r="AB6101" s="33"/>
      <c r="AC6101" s="33"/>
      <c r="AD6101" s="33"/>
      <c r="AE6101" s="33"/>
      <c r="AF6101" s="33"/>
      <c r="AG6101" s="33"/>
      <c r="AH6101" s="33"/>
      <c r="AI6101" s="33"/>
      <c r="AJ6101" s="33"/>
      <c r="AK6101" s="33"/>
    </row>
    <row r="6102">
      <c r="A6102" s="33"/>
      <c r="B6102" s="33"/>
      <c r="C6102" s="33"/>
      <c r="D6102" s="33"/>
      <c r="E6102" s="33"/>
      <c r="F6102" s="33"/>
      <c r="G6102" s="33"/>
      <c r="H6102" s="33"/>
      <c r="I6102" s="33"/>
      <c r="J6102" s="33"/>
      <c r="K6102" s="33"/>
      <c r="L6102" s="33"/>
      <c r="M6102" s="33"/>
      <c r="N6102" s="33"/>
      <c r="O6102" s="33"/>
      <c r="P6102" s="33"/>
      <c r="Q6102" s="33"/>
      <c r="R6102" s="33"/>
      <c r="S6102" s="33"/>
      <c r="T6102" s="33"/>
      <c r="U6102" s="33"/>
      <c r="V6102" s="33"/>
      <c r="W6102" s="33"/>
      <c r="X6102" s="33"/>
      <c r="Y6102" s="33"/>
      <c r="Z6102" s="33"/>
      <c r="AA6102" s="33"/>
      <c r="AB6102" s="33"/>
      <c r="AC6102" s="33"/>
      <c r="AD6102" s="33"/>
      <c r="AE6102" s="33"/>
      <c r="AF6102" s="33"/>
      <c r="AG6102" s="33"/>
      <c r="AH6102" s="33"/>
      <c r="AI6102" s="33"/>
      <c r="AJ6102" s="33"/>
      <c r="AK6102" s="33"/>
    </row>
    <row r="6103">
      <c r="A6103" s="33"/>
      <c r="B6103" s="33"/>
      <c r="C6103" s="33"/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  <c r="R6103" s="33"/>
      <c r="S6103" s="33"/>
      <c r="T6103" s="33"/>
      <c r="U6103" s="33"/>
      <c r="V6103" s="33"/>
      <c r="W6103" s="33"/>
      <c r="X6103" s="33"/>
      <c r="Y6103" s="33"/>
      <c r="Z6103" s="33"/>
      <c r="AA6103" s="33"/>
      <c r="AB6103" s="33"/>
      <c r="AC6103" s="33"/>
      <c r="AD6103" s="33"/>
      <c r="AE6103" s="33"/>
      <c r="AF6103" s="33"/>
      <c r="AG6103" s="33"/>
      <c r="AH6103" s="33"/>
      <c r="AI6103" s="33"/>
      <c r="AJ6103" s="33"/>
      <c r="AK6103" s="33"/>
    </row>
    <row r="6104">
      <c r="A6104" s="33"/>
      <c r="B6104" s="33"/>
      <c r="C6104" s="33"/>
      <c r="D6104" s="33"/>
      <c r="E6104" s="33"/>
      <c r="F6104" s="33"/>
      <c r="G6104" s="33"/>
      <c r="H6104" s="33"/>
      <c r="I6104" s="33"/>
      <c r="J6104" s="33"/>
      <c r="K6104" s="33"/>
      <c r="L6104" s="33"/>
      <c r="M6104" s="33"/>
      <c r="N6104" s="33"/>
      <c r="O6104" s="33"/>
      <c r="P6104" s="33"/>
      <c r="Q6104" s="33"/>
      <c r="R6104" s="33"/>
      <c r="S6104" s="33"/>
      <c r="T6104" s="33"/>
      <c r="U6104" s="33"/>
      <c r="V6104" s="33"/>
      <c r="W6104" s="33"/>
      <c r="X6104" s="33"/>
      <c r="Y6104" s="33"/>
      <c r="Z6104" s="33"/>
      <c r="AA6104" s="33"/>
      <c r="AB6104" s="33"/>
      <c r="AC6104" s="33"/>
      <c r="AD6104" s="33"/>
      <c r="AE6104" s="33"/>
      <c r="AF6104" s="33"/>
      <c r="AG6104" s="33"/>
      <c r="AH6104" s="33"/>
      <c r="AI6104" s="33"/>
      <c r="AJ6104" s="33"/>
      <c r="AK6104" s="33"/>
    </row>
    <row r="6105">
      <c r="A6105" s="33"/>
      <c r="B6105" s="33"/>
      <c r="C6105" s="33"/>
      <c r="D6105" s="33"/>
      <c r="E6105" s="33"/>
      <c r="F6105" s="33"/>
      <c r="G6105" s="33"/>
      <c r="H6105" s="33"/>
      <c r="I6105" s="33"/>
      <c r="J6105" s="33"/>
      <c r="K6105" s="33"/>
      <c r="L6105" s="33"/>
      <c r="M6105" s="33"/>
      <c r="N6105" s="33"/>
      <c r="O6105" s="33"/>
      <c r="P6105" s="33"/>
      <c r="Q6105" s="33"/>
      <c r="R6105" s="33"/>
      <c r="S6105" s="33"/>
      <c r="T6105" s="33"/>
      <c r="U6105" s="33"/>
      <c r="V6105" s="33"/>
      <c r="W6105" s="33"/>
      <c r="X6105" s="33"/>
      <c r="Y6105" s="33"/>
      <c r="Z6105" s="33"/>
      <c r="AA6105" s="33"/>
      <c r="AB6105" s="33"/>
      <c r="AC6105" s="33"/>
      <c r="AD6105" s="33"/>
      <c r="AE6105" s="33"/>
      <c r="AF6105" s="33"/>
      <c r="AG6105" s="33"/>
      <c r="AH6105" s="33"/>
      <c r="AI6105" s="33"/>
      <c r="AJ6105" s="33"/>
      <c r="AK6105" s="33"/>
    </row>
    <row r="6106">
      <c r="A6106" s="33"/>
      <c r="B6106" s="33"/>
      <c r="C6106" s="33"/>
      <c r="D6106" s="33"/>
      <c r="E6106" s="33"/>
      <c r="F6106" s="33"/>
      <c r="G6106" s="33"/>
      <c r="H6106" s="33"/>
      <c r="I6106" s="33"/>
      <c r="J6106" s="33"/>
      <c r="K6106" s="33"/>
      <c r="L6106" s="33"/>
      <c r="M6106" s="33"/>
      <c r="N6106" s="33"/>
      <c r="O6106" s="33"/>
      <c r="P6106" s="33"/>
      <c r="Q6106" s="33"/>
      <c r="R6106" s="33"/>
      <c r="S6106" s="33"/>
      <c r="T6106" s="33"/>
      <c r="U6106" s="33"/>
      <c r="V6106" s="33"/>
      <c r="W6106" s="33"/>
      <c r="X6106" s="33"/>
      <c r="Y6106" s="33"/>
      <c r="Z6106" s="33"/>
      <c r="AA6106" s="33"/>
      <c r="AB6106" s="33"/>
      <c r="AC6106" s="33"/>
      <c r="AD6106" s="33"/>
      <c r="AE6106" s="33"/>
      <c r="AF6106" s="33"/>
      <c r="AG6106" s="33"/>
      <c r="AH6106" s="33"/>
      <c r="AI6106" s="33"/>
      <c r="AJ6106" s="33"/>
      <c r="AK6106" s="33"/>
    </row>
    <row r="6107">
      <c r="A6107" s="33"/>
      <c r="B6107" s="33"/>
      <c r="C6107" s="33"/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  <c r="Q6107" s="33"/>
      <c r="R6107" s="33"/>
      <c r="S6107" s="33"/>
      <c r="T6107" s="33"/>
      <c r="U6107" s="33"/>
      <c r="V6107" s="33"/>
      <c r="W6107" s="33"/>
      <c r="X6107" s="33"/>
      <c r="Y6107" s="33"/>
      <c r="Z6107" s="33"/>
      <c r="AA6107" s="33"/>
      <c r="AB6107" s="33"/>
      <c r="AC6107" s="33"/>
      <c r="AD6107" s="33"/>
      <c r="AE6107" s="33"/>
      <c r="AF6107" s="33"/>
      <c r="AG6107" s="33"/>
      <c r="AH6107" s="33"/>
      <c r="AI6107" s="33"/>
      <c r="AJ6107" s="33"/>
      <c r="AK6107" s="33"/>
    </row>
    <row r="6108">
      <c r="A6108" s="33"/>
      <c r="B6108" s="33"/>
      <c r="C6108" s="33"/>
      <c r="D6108" s="33"/>
      <c r="E6108" s="33"/>
      <c r="F6108" s="33"/>
      <c r="G6108" s="33"/>
      <c r="H6108" s="33"/>
      <c r="I6108" s="33"/>
      <c r="J6108" s="33"/>
      <c r="K6108" s="33"/>
      <c r="L6108" s="33"/>
      <c r="M6108" s="33"/>
      <c r="N6108" s="33"/>
      <c r="O6108" s="33"/>
      <c r="P6108" s="33"/>
      <c r="Q6108" s="33"/>
      <c r="R6108" s="33"/>
      <c r="S6108" s="33"/>
      <c r="T6108" s="33"/>
      <c r="U6108" s="33"/>
      <c r="V6108" s="33"/>
      <c r="W6108" s="33"/>
      <c r="X6108" s="33"/>
      <c r="Y6108" s="33"/>
      <c r="Z6108" s="33"/>
      <c r="AA6108" s="33"/>
      <c r="AB6108" s="33"/>
      <c r="AC6108" s="33"/>
      <c r="AD6108" s="33"/>
      <c r="AE6108" s="33"/>
      <c r="AF6108" s="33"/>
      <c r="AG6108" s="33"/>
      <c r="AH6108" s="33"/>
      <c r="AI6108" s="33"/>
      <c r="AJ6108" s="33"/>
      <c r="AK6108" s="33"/>
    </row>
    <row r="6109">
      <c r="A6109" s="33"/>
      <c r="B6109" s="33"/>
      <c r="C6109" s="33"/>
      <c r="D6109" s="33"/>
      <c r="E6109" s="33"/>
      <c r="F6109" s="33"/>
      <c r="G6109" s="33"/>
      <c r="H6109" s="33"/>
      <c r="I6109" s="33"/>
      <c r="J6109" s="33"/>
      <c r="K6109" s="33"/>
      <c r="L6109" s="33"/>
      <c r="M6109" s="33"/>
      <c r="N6109" s="33"/>
      <c r="O6109" s="33"/>
      <c r="P6109" s="33"/>
      <c r="Q6109" s="33"/>
      <c r="R6109" s="33"/>
      <c r="S6109" s="33"/>
      <c r="T6109" s="33"/>
      <c r="U6109" s="33"/>
      <c r="V6109" s="33"/>
      <c r="W6109" s="33"/>
      <c r="X6109" s="33"/>
      <c r="Y6109" s="33"/>
      <c r="Z6109" s="33"/>
      <c r="AA6109" s="33"/>
      <c r="AB6109" s="33"/>
      <c r="AC6109" s="33"/>
      <c r="AD6109" s="33"/>
      <c r="AE6109" s="33"/>
      <c r="AF6109" s="33"/>
      <c r="AG6109" s="33"/>
      <c r="AH6109" s="33"/>
      <c r="AI6109" s="33"/>
      <c r="AJ6109" s="33"/>
      <c r="AK6109" s="33"/>
    </row>
    <row r="6110">
      <c r="A6110" s="33"/>
      <c r="B6110" s="33"/>
      <c r="C6110" s="33"/>
      <c r="D6110" s="33"/>
      <c r="E6110" s="33"/>
      <c r="F6110" s="33"/>
      <c r="G6110" s="33"/>
      <c r="H6110" s="33"/>
      <c r="I6110" s="33"/>
      <c r="J6110" s="33"/>
      <c r="K6110" s="33"/>
      <c r="L6110" s="33"/>
      <c r="M6110" s="33"/>
      <c r="N6110" s="33"/>
      <c r="O6110" s="33"/>
      <c r="P6110" s="33"/>
      <c r="Q6110" s="33"/>
      <c r="R6110" s="33"/>
      <c r="S6110" s="33"/>
      <c r="T6110" s="33"/>
      <c r="U6110" s="33"/>
      <c r="V6110" s="33"/>
      <c r="W6110" s="33"/>
      <c r="X6110" s="33"/>
      <c r="Y6110" s="33"/>
      <c r="Z6110" s="33"/>
      <c r="AA6110" s="33"/>
      <c r="AB6110" s="33"/>
      <c r="AC6110" s="33"/>
      <c r="AD6110" s="33"/>
      <c r="AE6110" s="33"/>
      <c r="AF6110" s="33"/>
      <c r="AG6110" s="33"/>
      <c r="AH6110" s="33"/>
      <c r="AI6110" s="33"/>
      <c r="AJ6110" s="33"/>
      <c r="AK6110" s="33"/>
    </row>
    <row r="6111">
      <c r="A6111" s="33"/>
      <c r="B6111" s="33"/>
      <c r="C6111" s="33"/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  <c r="Q6111" s="33"/>
      <c r="R6111" s="33"/>
      <c r="S6111" s="33"/>
      <c r="T6111" s="33"/>
      <c r="U6111" s="33"/>
      <c r="V6111" s="33"/>
      <c r="W6111" s="33"/>
      <c r="X6111" s="33"/>
      <c r="Y6111" s="33"/>
      <c r="Z6111" s="33"/>
      <c r="AA6111" s="33"/>
      <c r="AB6111" s="33"/>
      <c r="AC6111" s="33"/>
      <c r="AD6111" s="33"/>
      <c r="AE6111" s="33"/>
      <c r="AF6111" s="33"/>
      <c r="AG6111" s="33"/>
      <c r="AH6111" s="33"/>
      <c r="AI6111" s="33"/>
      <c r="AJ6111" s="33"/>
      <c r="AK6111" s="33"/>
    </row>
    <row r="6112">
      <c r="A6112" s="33"/>
      <c r="B6112" s="33"/>
      <c r="C6112" s="33"/>
      <c r="D6112" s="33"/>
      <c r="E6112" s="33"/>
      <c r="F6112" s="33"/>
      <c r="G6112" s="33"/>
      <c r="H6112" s="33"/>
      <c r="I6112" s="33"/>
      <c r="J6112" s="33"/>
      <c r="K6112" s="33"/>
      <c r="L6112" s="33"/>
      <c r="M6112" s="33"/>
      <c r="N6112" s="33"/>
      <c r="O6112" s="33"/>
      <c r="P6112" s="33"/>
      <c r="Q6112" s="33"/>
      <c r="R6112" s="33"/>
      <c r="S6112" s="33"/>
      <c r="T6112" s="33"/>
      <c r="U6112" s="33"/>
      <c r="V6112" s="33"/>
      <c r="W6112" s="33"/>
      <c r="X6112" s="33"/>
      <c r="Y6112" s="33"/>
      <c r="Z6112" s="33"/>
      <c r="AA6112" s="33"/>
      <c r="AB6112" s="33"/>
      <c r="AC6112" s="33"/>
      <c r="AD6112" s="33"/>
      <c r="AE6112" s="33"/>
      <c r="AF6112" s="33"/>
      <c r="AG6112" s="33"/>
      <c r="AH6112" s="33"/>
      <c r="AI6112" s="33"/>
      <c r="AJ6112" s="33"/>
      <c r="AK6112" s="33"/>
    </row>
    <row r="6113">
      <c r="A6113" s="33"/>
      <c r="B6113" s="33"/>
      <c r="C6113" s="33"/>
      <c r="D6113" s="33"/>
      <c r="E6113" s="33"/>
      <c r="F6113" s="33"/>
      <c r="G6113" s="33"/>
      <c r="H6113" s="33"/>
      <c r="I6113" s="33"/>
      <c r="J6113" s="33"/>
      <c r="K6113" s="33"/>
      <c r="L6113" s="33"/>
      <c r="M6113" s="33"/>
      <c r="N6113" s="33"/>
      <c r="O6113" s="33"/>
      <c r="P6113" s="33"/>
      <c r="Q6113" s="33"/>
      <c r="R6113" s="33"/>
      <c r="S6113" s="33"/>
      <c r="T6113" s="33"/>
      <c r="U6113" s="33"/>
      <c r="V6113" s="33"/>
      <c r="W6113" s="33"/>
      <c r="X6113" s="33"/>
      <c r="Y6113" s="33"/>
      <c r="Z6113" s="33"/>
      <c r="AA6113" s="33"/>
      <c r="AB6113" s="33"/>
      <c r="AC6113" s="33"/>
      <c r="AD6113" s="33"/>
      <c r="AE6113" s="33"/>
      <c r="AF6113" s="33"/>
      <c r="AG6113" s="33"/>
      <c r="AH6113" s="33"/>
      <c r="AI6113" s="33"/>
      <c r="AJ6113" s="33"/>
      <c r="AK6113" s="33"/>
    </row>
    <row r="6114">
      <c r="A6114" s="33"/>
      <c r="B6114" s="33"/>
      <c r="C6114" s="33"/>
      <c r="D6114" s="33"/>
      <c r="E6114" s="33"/>
      <c r="F6114" s="33"/>
      <c r="G6114" s="33"/>
      <c r="H6114" s="33"/>
      <c r="I6114" s="33"/>
      <c r="J6114" s="33"/>
      <c r="K6114" s="33"/>
      <c r="L6114" s="33"/>
      <c r="M6114" s="33"/>
      <c r="N6114" s="33"/>
      <c r="O6114" s="33"/>
      <c r="P6114" s="33"/>
      <c r="Q6114" s="33"/>
      <c r="R6114" s="33"/>
      <c r="S6114" s="33"/>
      <c r="T6114" s="33"/>
      <c r="U6114" s="33"/>
      <c r="V6114" s="33"/>
      <c r="W6114" s="33"/>
      <c r="X6114" s="33"/>
      <c r="Y6114" s="33"/>
      <c r="Z6114" s="33"/>
      <c r="AA6114" s="33"/>
      <c r="AB6114" s="33"/>
      <c r="AC6114" s="33"/>
      <c r="AD6114" s="33"/>
      <c r="AE6114" s="33"/>
      <c r="AF6114" s="33"/>
      <c r="AG6114" s="33"/>
      <c r="AH6114" s="33"/>
      <c r="AI6114" s="33"/>
      <c r="AJ6114" s="33"/>
      <c r="AK6114" s="33"/>
    </row>
    <row r="6115">
      <c r="A6115" s="33"/>
      <c r="B6115" s="33"/>
      <c r="C6115" s="33"/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  <c r="Q6115" s="33"/>
      <c r="R6115" s="33"/>
      <c r="S6115" s="33"/>
      <c r="T6115" s="33"/>
      <c r="U6115" s="33"/>
      <c r="V6115" s="33"/>
      <c r="W6115" s="33"/>
      <c r="X6115" s="33"/>
      <c r="Y6115" s="33"/>
      <c r="Z6115" s="33"/>
      <c r="AA6115" s="33"/>
      <c r="AB6115" s="33"/>
      <c r="AC6115" s="33"/>
      <c r="AD6115" s="33"/>
      <c r="AE6115" s="33"/>
      <c r="AF6115" s="33"/>
      <c r="AG6115" s="33"/>
      <c r="AH6115" s="33"/>
      <c r="AI6115" s="33"/>
      <c r="AJ6115" s="33"/>
      <c r="AK6115" s="33"/>
    </row>
    <row r="6116">
      <c r="A6116" s="33"/>
      <c r="B6116" s="33"/>
      <c r="C6116" s="33"/>
      <c r="D6116" s="33"/>
      <c r="E6116" s="33"/>
      <c r="F6116" s="33"/>
      <c r="G6116" s="33"/>
      <c r="H6116" s="33"/>
      <c r="I6116" s="33"/>
      <c r="J6116" s="33"/>
      <c r="K6116" s="33"/>
      <c r="L6116" s="33"/>
      <c r="M6116" s="33"/>
      <c r="N6116" s="33"/>
      <c r="O6116" s="33"/>
      <c r="P6116" s="33"/>
      <c r="Q6116" s="33"/>
      <c r="R6116" s="33"/>
      <c r="S6116" s="33"/>
      <c r="T6116" s="33"/>
      <c r="U6116" s="33"/>
      <c r="V6116" s="33"/>
      <c r="W6116" s="33"/>
      <c r="X6116" s="33"/>
      <c r="Y6116" s="33"/>
      <c r="Z6116" s="33"/>
      <c r="AA6116" s="33"/>
      <c r="AB6116" s="33"/>
      <c r="AC6116" s="33"/>
      <c r="AD6116" s="33"/>
      <c r="AE6116" s="33"/>
      <c r="AF6116" s="33"/>
      <c r="AG6116" s="33"/>
      <c r="AH6116" s="33"/>
      <c r="AI6116" s="33"/>
      <c r="AJ6116" s="33"/>
      <c r="AK6116" s="33"/>
    </row>
    <row r="6117">
      <c r="A6117" s="33"/>
      <c r="B6117" s="33"/>
      <c r="C6117" s="33"/>
      <c r="D6117" s="33"/>
      <c r="E6117" s="33"/>
      <c r="F6117" s="33"/>
      <c r="G6117" s="33"/>
      <c r="H6117" s="33"/>
      <c r="I6117" s="33"/>
      <c r="J6117" s="33"/>
      <c r="K6117" s="33"/>
      <c r="L6117" s="33"/>
      <c r="M6117" s="33"/>
      <c r="N6117" s="33"/>
      <c r="O6117" s="33"/>
      <c r="P6117" s="33"/>
      <c r="Q6117" s="33"/>
      <c r="R6117" s="33"/>
      <c r="S6117" s="33"/>
      <c r="T6117" s="33"/>
      <c r="U6117" s="33"/>
      <c r="V6117" s="33"/>
      <c r="W6117" s="33"/>
      <c r="X6117" s="33"/>
      <c r="Y6117" s="33"/>
      <c r="Z6117" s="33"/>
      <c r="AA6117" s="33"/>
      <c r="AB6117" s="33"/>
      <c r="AC6117" s="33"/>
      <c r="AD6117" s="33"/>
      <c r="AE6117" s="33"/>
      <c r="AF6117" s="33"/>
      <c r="AG6117" s="33"/>
      <c r="AH6117" s="33"/>
      <c r="AI6117" s="33"/>
      <c r="AJ6117" s="33"/>
      <c r="AK6117" s="33"/>
    </row>
    <row r="6118">
      <c r="A6118" s="33"/>
      <c r="B6118" s="33"/>
      <c r="C6118" s="33"/>
      <c r="D6118" s="33"/>
      <c r="E6118" s="33"/>
      <c r="F6118" s="33"/>
      <c r="G6118" s="33"/>
      <c r="H6118" s="33"/>
      <c r="I6118" s="33"/>
      <c r="J6118" s="33"/>
      <c r="K6118" s="33"/>
      <c r="L6118" s="33"/>
      <c r="M6118" s="33"/>
      <c r="N6118" s="33"/>
      <c r="O6118" s="33"/>
      <c r="P6118" s="33"/>
      <c r="Q6118" s="33"/>
      <c r="R6118" s="33"/>
      <c r="S6118" s="33"/>
      <c r="T6118" s="33"/>
      <c r="U6118" s="33"/>
      <c r="V6118" s="33"/>
      <c r="W6118" s="33"/>
      <c r="X6118" s="33"/>
      <c r="Y6118" s="33"/>
      <c r="Z6118" s="33"/>
      <c r="AA6118" s="33"/>
      <c r="AB6118" s="33"/>
      <c r="AC6118" s="33"/>
      <c r="AD6118" s="33"/>
      <c r="AE6118" s="33"/>
      <c r="AF6118" s="33"/>
      <c r="AG6118" s="33"/>
      <c r="AH6118" s="33"/>
      <c r="AI6118" s="33"/>
      <c r="AJ6118" s="33"/>
      <c r="AK6118" s="33"/>
    </row>
    <row r="6119">
      <c r="A6119" s="33"/>
      <c r="B6119" s="33"/>
      <c r="C6119" s="33"/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  <c r="Q6119" s="33"/>
      <c r="R6119" s="33"/>
      <c r="S6119" s="33"/>
      <c r="T6119" s="33"/>
      <c r="U6119" s="33"/>
      <c r="V6119" s="33"/>
      <c r="W6119" s="33"/>
      <c r="X6119" s="33"/>
      <c r="Y6119" s="33"/>
      <c r="Z6119" s="33"/>
      <c r="AA6119" s="33"/>
      <c r="AB6119" s="33"/>
      <c r="AC6119" s="33"/>
      <c r="AD6119" s="33"/>
      <c r="AE6119" s="33"/>
      <c r="AF6119" s="33"/>
      <c r="AG6119" s="33"/>
      <c r="AH6119" s="33"/>
      <c r="AI6119" s="33"/>
      <c r="AJ6119" s="33"/>
      <c r="AK6119" s="33"/>
    </row>
    <row r="6120">
      <c r="A6120" s="33"/>
      <c r="B6120" s="33"/>
      <c r="C6120" s="33"/>
      <c r="D6120" s="33"/>
      <c r="E6120" s="33"/>
      <c r="F6120" s="33"/>
      <c r="G6120" s="33"/>
      <c r="H6120" s="33"/>
      <c r="I6120" s="33"/>
      <c r="J6120" s="33"/>
      <c r="K6120" s="33"/>
      <c r="L6120" s="33"/>
      <c r="M6120" s="33"/>
      <c r="N6120" s="33"/>
      <c r="O6120" s="33"/>
      <c r="P6120" s="33"/>
      <c r="Q6120" s="33"/>
      <c r="R6120" s="33"/>
      <c r="S6120" s="33"/>
      <c r="T6120" s="33"/>
      <c r="U6120" s="33"/>
      <c r="V6120" s="33"/>
      <c r="W6120" s="33"/>
      <c r="X6120" s="33"/>
      <c r="Y6120" s="33"/>
      <c r="Z6120" s="33"/>
      <c r="AA6120" s="33"/>
      <c r="AB6120" s="33"/>
      <c r="AC6120" s="33"/>
      <c r="AD6120" s="33"/>
      <c r="AE6120" s="33"/>
      <c r="AF6120" s="33"/>
      <c r="AG6120" s="33"/>
      <c r="AH6120" s="33"/>
      <c r="AI6120" s="33"/>
      <c r="AJ6120" s="33"/>
      <c r="AK6120" s="33"/>
    </row>
    <row r="6121">
      <c r="A6121" s="33"/>
      <c r="B6121" s="33"/>
      <c r="C6121" s="33"/>
      <c r="D6121" s="33"/>
      <c r="E6121" s="33"/>
      <c r="F6121" s="33"/>
      <c r="G6121" s="33"/>
      <c r="H6121" s="33"/>
      <c r="I6121" s="33"/>
      <c r="J6121" s="33"/>
      <c r="K6121" s="33"/>
      <c r="L6121" s="33"/>
      <c r="M6121" s="33"/>
      <c r="N6121" s="33"/>
      <c r="O6121" s="33"/>
      <c r="P6121" s="33"/>
      <c r="Q6121" s="33"/>
      <c r="R6121" s="33"/>
      <c r="S6121" s="33"/>
      <c r="T6121" s="33"/>
      <c r="U6121" s="33"/>
      <c r="V6121" s="33"/>
      <c r="W6121" s="33"/>
      <c r="X6121" s="33"/>
      <c r="Y6121" s="33"/>
      <c r="Z6121" s="33"/>
      <c r="AA6121" s="33"/>
      <c r="AB6121" s="33"/>
      <c r="AC6121" s="33"/>
      <c r="AD6121" s="33"/>
      <c r="AE6121" s="33"/>
      <c r="AF6121" s="33"/>
      <c r="AG6121" s="33"/>
      <c r="AH6121" s="33"/>
      <c r="AI6121" s="33"/>
      <c r="AJ6121" s="33"/>
      <c r="AK6121" s="33"/>
    </row>
    <row r="6122">
      <c r="A6122" s="33"/>
      <c r="B6122" s="33"/>
      <c r="C6122" s="33"/>
      <c r="D6122" s="33"/>
      <c r="E6122" s="33"/>
      <c r="F6122" s="33"/>
      <c r="G6122" s="33"/>
      <c r="H6122" s="33"/>
      <c r="I6122" s="33"/>
      <c r="J6122" s="33"/>
      <c r="K6122" s="33"/>
      <c r="L6122" s="33"/>
      <c r="M6122" s="33"/>
      <c r="N6122" s="33"/>
      <c r="O6122" s="33"/>
      <c r="P6122" s="33"/>
      <c r="Q6122" s="33"/>
      <c r="R6122" s="33"/>
      <c r="S6122" s="33"/>
      <c r="T6122" s="33"/>
      <c r="U6122" s="33"/>
      <c r="V6122" s="33"/>
      <c r="W6122" s="33"/>
      <c r="X6122" s="33"/>
      <c r="Y6122" s="33"/>
      <c r="Z6122" s="33"/>
      <c r="AA6122" s="33"/>
      <c r="AB6122" s="33"/>
      <c r="AC6122" s="33"/>
      <c r="AD6122" s="33"/>
      <c r="AE6122" s="33"/>
      <c r="AF6122" s="33"/>
      <c r="AG6122" s="33"/>
      <c r="AH6122" s="33"/>
      <c r="AI6122" s="33"/>
      <c r="AJ6122" s="33"/>
      <c r="AK6122" s="33"/>
    </row>
    <row r="6123">
      <c r="A6123" s="33"/>
      <c r="B6123" s="33"/>
      <c r="C6123" s="33"/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  <c r="Q6123" s="33"/>
      <c r="R6123" s="33"/>
      <c r="S6123" s="33"/>
      <c r="T6123" s="33"/>
      <c r="U6123" s="33"/>
      <c r="V6123" s="33"/>
      <c r="W6123" s="33"/>
      <c r="X6123" s="33"/>
      <c r="Y6123" s="33"/>
      <c r="Z6123" s="33"/>
      <c r="AA6123" s="33"/>
      <c r="AB6123" s="33"/>
      <c r="AC6123" s="33"/>
      <c r="AD6123" s="33"/>
      <c r="AE6123" s="33"/>
      <c r="AF6123" s="33"/>
      <c r="AG6123" s="33"/>
      <c r="AH6123" s="33"/>
      <c r="AI6123" s="33"/>
      <c r="AJ6123" s="33"/>
      <c r="AK6123" s="33"/>
    </row>
    <row r="6124">
      <c r="A6124" s="33"/>
      <c r="B6124" s="33"/>
      <c r="C6124" s="33"/>
      <c r="D6124" s="33"/>
      <c r="E6124" s="33"/>
      <c r="F6124" s="33"/>
      <c r="G6124" s="33"/>
      <c r="H6124" s="33"/>
      <c r="I6124" s="33"/>
      <c r="J6124" s="33"/>
      <c r="K6124" s="33"/>
      <c r="L6124" s="33"/>
      <c r="M6124" s="33"/>
      <c r="N6124" s="33"/>
      <c r="O6124" s="33"/>
      <c r="P6124" s="33"/>
      <c r="Q6124" s="33"/>
      <c r="R6124" s="33"/>
      <c r="S6124" s="33"/>
      <c r="T6124" s="33"/>
      <c r="U6124" s="33"/>
      <c r="V6124" s="33"/>
      <c r="W6124" s="33"/>
      <c r="X6124" s="33"/>
      <c r="Y6124" s="33"/>
      <c r="Z6124" s="33"/>
      <c r="AA6124" s="33"/>
      <c r="AB6124" s="33"/>
      <c r="AC6124" s="33"/>
      <c r="AD6124" s="33"/>
      <c r="AE6124" s="33"/>
      <c r="AF6124" s="33"/>
      <c r="AG6124" s="33"/>
      <c r="AH6124" s="33"/>
      <c r="AI6124" s="33"/>
      <c r="AJ6124" s="33"/>
      <c r="AK6124" s="33"/>
    </row>
    <row r="6125">
      <c r="A6125" s="33"/>
      <c r="B6125" s="33"/>
      <c r="C6125" s="33"/>
      <c r="D6125" s="33"/>
      <c r="E6125" s="33"/>
      <c r="F6125" s="33"/>
      <c r="G6125" s="33"/>
      <c r="H6125" s="33"/>
      <c r="I6125" s="33"/>
      <c r="J6125" s="33"/>
      <c r="K6125" s="33"/>
      <c r="L6125" s="33"/>
      <c r="M6125" s="33"/>
      <c r="N6125" s="33"/>
      <c r="O6125" s="33"/>
      <c r="P6125" s="33"/>
      <c r="Q6125" s="33"/>
      <c r="R6125" s="33"/>
      <c r="S6125" s="33"/>
      <c r="T6125" s="33"/>
      <c r="U6125" s="33"/>
      <c r="V6125" s="33"/>
      <c r="W6125" s="33"/>
      <c r="X6125" s="33"/>
      <c r="Y6125" s="33"/>
      <c r="Z6125" s="33"/>
      <c r="AA6125" s="33"/>
      <c r="AB6125" s="33"/>
      <c r="AC6125" s="33"/>
      <c r="AD6125" s="33"/>
      <c r="AE6125" s="33"/>
      <c r="AF6125" s="33"/>
      <c r="AG6125" s="33"/>
      <c r="AH6125" s="33"/>
      <c r="AI6125" s="33"/>
      <c r="AJ6125" s="33"/>
      <c r="AK6125" s="33"/>
    </row>
    <row r="6126">
      <c r="A6126" s="33"/>
      <c r="B6126" s="33"/>
      <c r="C6126" s="33"/>
      <c r="D6126" s="33"/>
      <c r="E6126" s="33"/>
      <c r="F6126" s="33"/>
      <c r="G6126" s="33"/>
      <c r="H6126" s="33"/>
      <c r="I6126" s="33"/>
      <c r="J6126" s="33"/>
      <c r="K6126" s="33"/>
      <c r="L6126" s="33"/>
      <c r="M6126" s="33"/>
      <c r="N6126" s="33"/>
      <c r="O6126" s="33"/>
      <c r="P6126" s="33"/>
      <c r="Q6126" s="33"/>
      <c r="R6126" s="33"/>
      <c r="S6126" s="33"/>
      <c r="T6126" s="33"/>
      <c r="U6126" s="33"/>
      <c r="V6126" s="33"/>
      <c r="W6126" s="33"/>
      <c r="X6126" s="33"/>
      <c r="Y6126" s="33"/>
      <c r="Z6126" s="33"/>
      <c r="AA6126" s="33"/>
      <c r="AB6126" s="33"/>
      <c r="AC6126" s="33"/>
      <c r="AD6126" s="33"/>
      <c r="AE6126" s="33"/>
      <c r="AF6126" s="33"/>
      <c r="AG6126" s="33"/>
      <c r="AH6126" s="33"/>
      <c r="AI6126" s="33"/>
      <c r="AJ6126" s="33"/>
      <c r="AK6126" s="33"/>
    </row>
    <row r="6127">
      <c r="A6127" s="33"/>
      <c r="B6127" s="33"/>
      <c r="C6127" s="33"/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  <c r="Q6127" s="33"/>
      <c r="R6127" s="33"/>
      <c r="S6127" s="33"/>
      <c r="T6127" s="33"/>
      <c r="U6127" s="33"/>
      <c r="V6127" s="33"/>
      <c r="W6127" s="33"/>
      <c r="X6127" s="33"/>
      <c r="Y6127" s="33"/>
      <c r="Z6127" s="33"/>
      <c r="AA6127" s="33"/>
      <c r="AB6127" s="33"/>
      <c r="AC6127" s="33"/>
      <c r="AD6127" s="33"/>
      <c r="AE6127" s="33"/>
      <c r="AF6127" s="33"/>
      <c r="AG6127" s="33"/>
      <c r="AH6127" s="33"/>
      <c r="AI6127" s="33"/>
      <c r="AJ6127" s="33"/>
      <c r="AK6127" s="33"/>
    </row>
    <row r="6128">
      <c r="A6128" s="33"/>
      <c r="B6128" s="33"/>
      <c r="C6128" s="33"/>
      <c r="D6128" s="33"/>
      <c r="E6128" s="33"/>
      <c r="F6128" s="33"/>
      <c r="G6128" s="33"/>
      <c r="H6128" s="33"/>
      <c r="I6128" s="33"/>
      <c r="J6128" s="33"/>
      <c r="K6128" s="33"/>
      <c r="L6128" s="33"/>
      <c r="M6128" s="33"/>
      <c r="N6128" s="33"/>
      <c r="O6128" s="33"/>
      <c r="P6128" s="33"/>
      <c r="Q6128" s="33"/>
      <c r="R6128" s="33"/>
      <c r="S6128" s="33"/>
      <c r="T6128" s="33"/>
      <c r="U6128" s="33"/>
      <c r="V6128" s="33"/>
      <c r="W6128" s="33"/>
      <c r="X6128" s="33"/>
      <c r="Y6128" s="33"/>
      <c r="Z6128" s="33"/>
      <c r="AA6128" s="33"/>
      <c r="AB6128" s="33"/>
      <c r="AC6128" s="33"/>
      <c r="AD6128" s="33"/>
      <c r="AE6128" s="33"/>
      <c r="AF6128" s="33"/>
      <c r="AG6128" s="33"/>
      <c r="AH6128" s="33"/>
      <c r="AI6128" s="33"/>
      <c r="AJ6128" s="33"/>
      <c r="AK6128" s="33"/>
    </row>
    <row r="6129">
      <c r="A6129" s="33"/>
      <c r="B6129" s="33"/>
      <c r="C6129" s="33"/>
      <c r="D6129" s="33"/>
      <c r="E6129" s="33"/>
      <c r="F6129" s="33"/>
      <c r="G6129" s="33"/>
      <c r="H6129" s="33"/>
      <c r="I6129" s="33"/>
      <c r="J6129" s="33"/>
      <c r="K6129" s="33"/>
      <c r="L6129" s="33"/>
      <c r="M6129" s="33"/>
      <c r="N6129" s="33"/>
      <c r="O6129" s="33"/>
      <c r="P6129" s="33"/>
      <c r="Q6129" s="33"/>
      <c r="R6129" s="33"/>
      <c r="S6129" s="33"/>
      <c r="T6129" s="33"/>
      <c r="U6129" s="33"/>
      <c r="V6129" s="33"/>
      <c r="W6129" s="33"/>
      <c r="X6129" s="33"/>
      <c r="Y6129" s="33"/>
      <c r="Z6129" s="33"/>
      <c r="AA6129" s="33"/>
      <c r="AB6129" s="33"/>
      <c r="AC6129" s="33"/>
      <c r="AD6129" s="33"/>
      <c r="AE6129" s="33"/>
      <c r="AF6129" s="33"/>
      <c r="AG6129" s="33"/>
      <c r="AH6129" s="33"/>
      <c r="AI6129" s="33"/>
      <c r="AJ6129" s="33"/>
      <c r="AK6129" s="33"/>
    </row>
    <row r="6130">
      <c r="A6130" s="33"/>
      <c r="B6130" s="33"/>
      <c r="C6130" s="33"/>
      <c r="D6130" s="33"/>
      <c r="E6130" s="33"/>
      <c r="F6130" s="33"/>
      <c r="G6130" s="33"/>
      <c r="H6130" s="33"/>
      <c r="I6130" s="33"/>
      <c r="J6130" s="33"/>
      <c r="K6130" s="33"/>
      <c r="L6130" s="33"/>
      <c r="M6130" s="33"/>
      <c r="N6130" s="33"/>
      <c r="O6130" s="33"/>
      <c r="P6130" s="33"/>
      <c r="Q6130" s="33"/>
      <c r="R6130" s="33"/>
      <c r="S6130" s="33"/>
      <c r="T6130" s="33"/>
      <c r="U6130" s="33"/>
      <c r="V6130" s="33"/>
      <c r="W6130" s="33"/>
      <c r="X6130" s="33"/>
      <c r="Y6130" s="33"/>
      <c r="Z6130" s="33"/>
      <c r="AA6130" s="33"/>
      <c r="AB6130" s="33"/>
      <c r="AC6130" s="33"/>
      <c r="AD6130" s="33"/>
      <c r="AE6130" s="33"/>
      <c r="AF6130" s="33"/>
      <c r="AG6130" s="33"/>
      <c r="AH6130" s="33"/>
      <c r="AI6130" s="33"/>
      <c r="AJ6130" s="33"/>
      <c r="AK6130" s="33"/>
    </row>
    <row r="6131">
      <c r="A6131" s="33"/>
      <c r="B6131" s="33"/>
      <c r="C6131" s="33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3"/>
      <c r="S6131" s="33"/>
      <c r="T6131" s="33"/>
      <c r="U6131" s="33"/>
      <c r="V6131" s="33"/>
      <c r="W6131" s="33"/>
      <c r="X6131" s="33"/>
      <c r="Y6131" s="33"/>
      <c r="Z6131" s="33"/>
      <c r="AA6131" s="33"/>
      <c r="AB6131" s="33"/>
      <c r="AC6131" s="33"/>
      <c r="AD6131" s="33"/>
      <c r="AE6131" s="33"/>
      <c r="AF6131" s="33"/>
      <c r="AG6131" s="33"/>
      <c r="AH6131" s="33"/>
      <c r="AI6131" s="33"/>
      <c r="AJ6131" s="33"/>
      <c r="AK6131" s="33"/>
    </row>
    <row r="6132">
      <c r="A6132" s="33"/>
      <c r="B6132" s="33"/>
      <c r="C6132" s="33"/>
      <c r="D6132" s="33"/>
      <c r="E6132" s="33"/>
      <c r="F6132" s="33"/>
      <c r="G6132" s="33"/>
      <c r="H6132" s="33"/>
      <c r="I6132" s="33"/>
      <c r="J6132" s="33"/>
      <c r="K6132" s="33"/>
      <c r="L6132" s="33"/>
      <c r="M6132" s="33"/>
      <c r="N6132" s="33"/>
      <c r="O6132" s="33"/>
      <c r="P6132" s="33"/>
      <c r="Q6132" s="33"/>
      <c r="R6132" s="33"/>
      <c r="S6132" s="33"/>
      <c r="T6132" s="33"/>
      <c r="U6132" s="33"/>
      <c r="V6132" s="33"/>
      <c r="W6132" s="33"/>
      <c r="X6132" s="33"/>
      <c r="Y6132" s="33"/>
      <c r="Z6132" s="33"/>
      <c r="AA6132" s="33"/>
      <c r="AB6132" s="33"/>
      <c r="AC6132" s="33"/>
      <c r="AD6132" s="33"/>
      <c r="AE6132" s="33"/>
      <c r="AF6132" s="33"/>
      <c r="AG6132" s="33"/>
      <c r="AH6132" s="33"/>
      <c r="AI6132" s="33"/>
      <c r="AJ6132" s="33"/>
      <c r="AK6132" s="33"/>
    </row>
    <row r="6133">
      <c r="A6133" s="33"/>
      <c r="B6133" s="33"/>
      <c r="C6133" s="33"/>
      <c r="D6133" s="33"/>
      <c r="E6133" s="33"/>
      <c r="F6133" s="33"/>
      <c r="G6133" s="33"/>
      <c r="H6133" s="33"/>
      <c r="I6133" s="33"/>
      <c r="J6133" s="33"/>
      <c r="K6133" s="33"/>
      <c r="L6133" s="33"/>
      <c r="M6133" s="33"/>
      <c r="N6133" s="33"/>
      <c r="O6133" s="33"/>
      <c r="P6133" s="33"/>
      <c r="Q6133" s="33"/>
      <c r="R6133" s="33"/>
      <c r="S6133" s="33"/>
      <c r="T6133" s="33"/>
      <c r="U6133" s="33"/>
      <c r="V6133" s="33"/>
      <c r="W6133" s="33"/>
      <c r="X6133" s="33"/>
      <c r="Y6133" s="33"/>
      <c r="Z6133" s="33"/>
      <c r="AA6133" s="33"/>
      <c r="AB6133" s="33"/>
      <c r="AC6133" s="33"/>
      <c r="AD6133" s="33"/>
      <c r="AE6133" s="33"/>
      <c r="AF6133" s="33"/>
      <c r="AG6133" s="33"/>
      <c r="AH6133" s="33"/>
      <c r="AI6133" s="33"/>
      <c r="AJ6133" s="33"/>
      <c r="AK6133" s="33"/>
    </row>
    <row r="6134">
      <c r="A6134" s="33"/>
      <c r="B6134" s="33"/>
      <c r="C6134" s="33"/>
      <c r="D6134" s="33"/>
      <c r="E6134" s="33"/>
      <c r="F6134" s="33"/>
      <c r="G6134" s="33"/>
      <c r="H6134" s="33"/>
      <c r="I6134" s="33"/>
      <c r="J6134" s="33"/>
      <c r="K6134" s="33"/>
      <c r="L6134" s="33"/>
      <c r="M6134" s="33"/>
      <c r="N6134" s="33"/>
      <c r="O6134" s="33"/>
      <c r="P6134" s="33"/>
      <c r="Q6134" s="33"/>
      <c r="R6134" s="33"/>
      <c r="S6134" s="33"/>
      <c r="T6134" s="33"/>
      <c r="U6134" s="33"/>
      <c r="V6134" s="33"/>
      <c r="W6134" s="33"/>
      <c r="X6134" s="33"/>
      <c r="Y6134" s="33"/>
      <c r="Z6134" s="33"/>
      <c r="AA6134" s="33"/>
      <c r="AB6134" s="33"/>
      <c r="AC6134" s="33"/>
      <c r="AD6134" s="33"/>
      <c r="AE6134" s="33"/>
      <c r="AF6134" s="33"/>
      <c r="AG6134" s="33"/>
      <c r="AH6134" s="33"/>
      <c r="AI6134" s="33"/>
      <c r="AJ6134" s="33"/>
      <c r="AK6134" s="33"/>
    </row>
    <row r="6135">
      <c r="A6135" s="33"/>
      <c r="B6135" s="33"/>
      <c r="C6135" s="33"/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  <c r="Q6135" s="33"/>
      <c r="R6135" s="33"/>
      <c r="S6135" s="33"/>
      <c r="T6135" s="33"/>
      <c r="U6135" s="33"/>
      <c r="V6135" s="33"/>
      <c r="W6135" s="33"/>
      <c r="X6135" s="33"/>
      <c r="Y6135" s="33"/>
      <c r="Z6135" s="33"/>
      <c r="AA6135" s="33"/>
      <c r="AB6135" s="33"/>
      <c r="AC6135" s="33"/>
      <c r="AD6135" s="33"/>
      <c r="AE6135" s="33"/>
      <c r="AF6135" s="33"/>
      <c r="AG6135" s="33"/>
      <c r="AH6135" s="33"/>
      <c r="AI6135" s="33"/>
      <c r="AJ6135" s="33"/>
      <c r="AK6135" s="33"/>
    </row>
    <row r="6136">
      <c r="A6136" s="33"/>
      <c r="B6136" s="33"/>
      <c r="C6136" s="33"/>
      <c r="D6136" s="33"/>
      <c r="E6136" s="33"/>
      <c r="F6136" s="33"/>
      <c r="G6136" s="33"/>
      <c r="H6136" s="33"/>
      <c r="I6136" s="33"/>
      <c r="J6136" s="33"/>
      <c r="K6136" s="33"/>
      <c r="L6136" s="33"/>
      <c r="M6136" s="33"/>
      <c r="N6136" s="33"/>
      <c r="O6136" s="33"/>
      <c r="P6136" s="33"/>
      <c r="Q6136" s="33"/>
      <c r="R6136" s="33"/>
      <c r="S6136" s="33"/>
      <c r="T6136" s="33"/>
      <c r="U6136" s="33"/>
      <c r="V6136" s="33"/>
      <c r="W6136" s="33"/>
      <c r="X6136" s="33"/>
      <c r="Y6136" s="33"/>
      <c r="Z6136" s="33"/>
      <c r="AA6136" s="33"/>
      <c r="AB6136" s="33"/>
      <c r="AC6136" s="33"/>
      <c r="AD6136" s="33"/>
      <c r="AE6136" s="33"/>
      <c r="AF6136" s="33"/>
      <c r="AG6136" s="33"/>
      <c r="AH6136" s="33"/>
      <c r="AI6136" s="33"/>
      <c r="AJ6136" s="33"/>
      <c r="AK6136" s="33"/>
    </row>
    <row r="6137">
      <c r="A6137" s="33"/>
      <c r="B6137" s="33"/>
      <c r="C6137" s="33"/>
      <c r="D6137" s="33"/>
      <c r="E6137" s="33"/>
      <c r="F6137" s="33"/>
      <c r="G6137" s="33"/>
      <c r="H6137" s="33"/>
      <c r="I6137" s="33"/>
      <c r="J6137" s="33"/>
      <c r="K6137" s="33"/>
      <c r="L6137" s="33"/>
      <c r="M6137" s="33"/>
      <c r="N6137" s="33"/>
      <c r="O6137" s="33"/>
      <c r="P6137" s="33"/>
      <c r="Q6137" s="33"/>
      <c r="R6137" s="33"/>
      <c r="S6137" s="33"/>
      <c r="T6137" s="33"/>
      <c r="U6137" s="33"/>
      <c r="V6137" s="33"/>
      <c r="W6137" s="33"/>
      <c r="X6137" s="33"/>
      <c r="Y6137" s="33"/>
      <c r="Z6137" s="33"/>
      <c r="AA6137" s="33"/>
      <c r="AB6137" s="33"/>
      <c r="AC6137" s="33"/>
      <c r="AD6137" s="33"/>
      <c r="AE6137" s="33"/>
      <c r="AF6137" s="33"/>
      <c r="AG6137" s="33"/>
      <c r="AH6137" s="33"/>
      <c r="AI6137" s="33"/>
      <c r="AJ6137" s="33"/>
      <c r="AK6137" s="33"/>
    </row>
    <row r="6138">
      <c r="A6138" s="33"/>
      <c r="B6138" s="33"/>
      <c r="C6138" s="33"/>
      <c r="D6138" s="33"/>
      <c r="E6138" s="33"/>
      <c r="F6138" s="33"/>
      <c r="G6138" s="33"/>
      <c r="H6138" s="33"/>
      <c r="I6138" s="33"/>
      <c r="J6138" s="33"/>
      <c r="K6138" s="33"/>
      <c r="L6138" s="33"/>
      <c r="M6138" s="33"/>
      <c r="N6138" s="33"/>
      <c r="O6138" s="33"/>
      <c r="P6138" s="33"/>
      <c r="Q6138" s="33"/>
      <c r="R6138" s="33"/>
      <c r="S6138" s="33"/>
      <c r="T6138" s="33"/>
      <c r="U6138" s="33"/>
      <c r="V6138" s="33"/>
      <c r="W6138" s="33"/>
      <c r="X6138" s="33"/>
      <c r="Y6138" s="33"/>
      <c r="Z6138" s="33"/>
      <c r="AA6138" s="33"/>
      <c r="AB6138" s="33"/>
      <c r="AC6138" s="33"/>
      <c r="AD6138" s="33"/>
      <c r="AE6138" s="33"/>
      <c r="AF6138" s="33"/>
      <c r="AG6138" s="33"/>
      <c r="AH6138" s="33"/>
      <c r="AI6138" s="33"/>
      <c r="AJ6138" s="33"/>
      <c r="AK6138" s="33"/>
    </row>
    <row r="6139">
      <c r="A6139" s="33"/>
      <c r="B6139" s="33"/>
      <c r="C6139" s="33"/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33"/>
      <c r="V6139" s="33"/>
      <c r="W6139" s="33"/>
      <c r="X6139" s="33"/>
      <c r="Y6139" s="33"/>
      <c r="Z6139" s="33"/>
      <c r="AA6139" s="33"/>
      <c r="AB6139" s="33"/>
      <c r="AC6139" s="33"/>
      <c r="AD6139" s="33"/>
      <c r="AE6139" s="33"/>
      <c r="AF6139" s="33"/>
      <c r="AG6139" s="33"/>
      <c r="AH6139" s="33"/>
      <c r="AI6139" s="33"/>
      <c r="AJ6139" s="33"/>
      <c r="AK6139" s="33"/>
    </row>
    <row r="6140">
      <c r="A6140" s="33"/>
      <c r="B6140" s="33"/>
      <c r="C6140" s="33"/>
      <c r="D6140" s="33"/>
      <c r="E6140" s="33"/>
      <c r="F6140" s="33"/>
      <c r="G6140" s="33"/>
      <c r="H6140" s="33"/>
      <c r="I6140" s="33"/>
      <c r="J6140" s="33"/>
      <c r="K6140" s="33"/>
      <c r="L6140" s="33"/>
      <c r="M6140" s="33"/>
      <c r="N6140" s="33"/>
      <c r="O6140" s="33"/>
      <c r="P6140" s="33"/>
      <c r="Q6140" s="33"/>
      <c r="R6140" s="33"/>
      <c r="S6140" s="33"/>
      <c r="T6140" s="33"/>
      <c r="U6140" s="33"/>
      <c r="V6140" s="33"/>
      <c r="W6140" s="33"/>
      <c r="X6140" s="33"/>
      <c r="Y6140" s="33"/>
      <c r="Z6140" s="33"/>
      <c r="AA6140" s="33"/>
      <c r="AB6140" s="33"/>
      <c r="AC6140" s="33"/>
      <c r="AD6140" s="33"/>
      <c r="AE6140" s="33"/>
      <c r="AF6140" s="33"/>
      <c r="AG6140" s="33"/>
      <c r="AH6140" s="33"/>
      <c r="AI6140" s="33"/>
      <c r="AJ6140" s="33"/>
      <c r="AK6140" s="33"/>
    </row>
    <row r="6141">
      <c r="A6141" s="33"/>
      <c r="B6141" s="33"/>
      <c r="C6141" s="33"/>
      <c r="D6141" s="33"/>
      <c r="E6141" s="33"/>
      <c r="F6141" s="33"/>
      <c r="G6141" s="33"/>
      <c r="H6141" s="33"/>
      <c r="I6141" s="33"/>
      <c r="J6141" s="33"/>
      <c r="K6141" s="33"/>
      <c r="L6141" s="33"/>
      <c r="M6141" s="33"/>
      <c r="N6141" s="33"/>
      <c r="O6141" s="33"/>
      <c r="P6141" s="33"/>
      <c r="Q6141" s="33"/>
      <c r="R6141" s="33"/>
      <c r="S6141" s="33"/>
      <c r="T6141" s="33"/>
      <c r="U6141" s="33"/>
      <c r="V6141" s="33"/>
      <c r="W6141" s="33"/>
      <c r="X6141" s="33"/>
      <c r="Y6141" s="33"/>
      <c r="Z6141" s="33"/>
      <c r="AA6141" s="33"/>
      <c r="AB6141" s="33"/>
      <c r="AC6141" s="33"/>
      <c r="AD6141" s="33"/>
      <c r="AE6141" s="33"/>
      <c r="AF6141" s="33"/>
      <c r="AG6141" s="33"/>
      <c r="AH6141" s="33"/>
      <c r="AI6141" s="33"/>
      <c r="AJ6141" s="33"/>
      <c r="AK6141" s="33"/>
    </row>
    <row r="6142">
      <c r="A6142" s="33"/>
      <c r="B6142" s="33"/>
      <c r="C6142" s="33"/>
      <c r="D6142" s="33"/>
      <c r="E6142" s="33"/>
      <c r="F6142" s="33"/>
      <c r="G6142" s="33"/>
      <c r="H6142" s="33"/>
      <c r="I6142" s="33"/>
      <c r="J6142" s="33"/>
      <c r="K6142" s="33"/>
      <c r="L6142" s="33"/>
      <c r="M6142" s="33"/>
      <c r="N6142" s="33"/>
      <c r="O6142" s="33"/>
      <c r="P6142" s="33"/>
      <c r="Q6142" s="33"/>
      <c r="R6142" s="33"/>
      <c r="S6142" s="33"/>
      <c r="T6142" s="33"/>
      <c r="U6142" s="33"/>
      <c r="V6142" s="33"/>
      <c r="W6142" s="33"/>
      <c r="X6142" s="33"/>
      <c r="Y6142" s="33"/>
      <c r="Z6142" s="33"/>
      <c r="AA6142" s="33"/>
      <c r="AB6142" s="33"/>
      <c r="AC6142" s="33"/>
      <c r="AD6142" s="33"/>
      <c r="AE6142" s="33"/>
      <c r="AF6142" s="33"/>
      <c r="AG6142" s="33"/>
      <c r="AH6142" s="33"/>
      <c r="AI6142" s="33"/>
      <c r="AJ6142" s="33"/>
      <c r="AK6142" s="33"/>
    </row>
    <row r="6143">
      <c r="A6143" s="33"/>
      <c r="B6143" s="33"/>
      <c r="C6143" s="33"/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  <c r="Q6143" s="33"/>
      <c r="R6143" s="33"/>
      <c r="S6143" s="33"/>
      <c r="T6143" s="33"/>
      <c r="U6143" s="33"/>
      <c r="V6143" s="33"/>
      <c r="W6143" s="33"/>
      <c r="X6143" s="33"/>
      <c r="Y6143" s="33"/>
      <c r="Z6143" s="33"/>
      <c r="AA6143" s="33"/>
      <c r="AB6143" s="33"/>
      <c r="AC6143" s="33"/>
      <c r="AD6143" s="33"/>
      <c r="AE6143" s="33"/>
      <c r="AF6143" s="33"/>
      <c r="AG6143" s="33"/>
      <c r="AH6143" s="33"/>
      <c r="AI6143" s="33"/>
      <c r="AJ6143" s="33"/>
      <c r="AK6143" s="33"/>
    </row>
    <row r="6144">
      <c r="A6144" s="33"/>
      <c r="B6144" s="33"/>
      <c r="C6144" s="33"/>
      <c r="D6144" s="33"/>
      <c r="E6144" s="33"/>
      <c r="F6144" s="33"/>
      <c r="G6144" s="33"/>
      <c r="H6144" s="33"/>
      <c r="I6144" s="33"/>
      <c r="J6144" s="33"/>
      <c r="K6144" s="33"/>
      <c r="L6144" s="33"/>
      <c r="M6144" s="33"/>
      <c r="N6144" s="33"/>
      <c r="O6144" s="33"/>
      <c r="P6144" s="33"/>
      <c r="Q6144" s="33"/>
      <c r="R6144" s="33"/>
      <c r="S6144" s="33"/>
      <c r="T6144" s="33"/>
      <c r="U6144" s="33"/>
      <c r="V6144" s="33"/>
      <c r="W6144" s="33"/>
      <c r="X6144" s="33"/>
      <c r="Y6144" s="33"/>
      <c r="Z6144" s="33"/>
      <c r="AA6144" s="33"/>
      <c r="AB6144" s="33"/>
      <c r="AC6144" s="33"/>
      <c r="AD6144" s="33"/>
      <c r="AE6144" s="33"/>
      <c r="AF6144" s="33"/>
      <c r="AG6144" s="33"/>
      <c r="AH6144" s="33"/>
      <c r="AI6144" s="33"/>
      <c r="AJ6144" s="33"/>
      <c r="AK6144" s="33"/>
    </row>
    <row r="6145">
      <c r="A6145" s="33"/>
      <c r="B6145" s="33"/>
      <c r="C6145" s="33"/>
      <c r="D6145" s="33"/>
      <c r="E6145" s="33"/>
      <c r="F6145" s="33"/>
      <c r="G6145" s="33"/>
      <c r="H6145" s="33"/>
      <c r="I6145" s="33"/>
      <c r="J6145" s="33"/>
      <c r="K6145" s="33"/>
      <c r="L6145" s="33"/>
      <c r="M6145" s="33"/>
      <c r="N6145" s="33"/>
      <c r="O6145" s="33"/>
      <c r="P6145" s="33"/>
      <c r="Q6145" s="33"/>
      <c r="R6145" s="33"/>
      <c r="S6145" s="33"/>
      <c r="T6145" s="33"/>
      <c r="U6145" s="33"/>
      <c r="V6145" s="33"/>
      <c r="W6145" s="33"/>
      <c r="X6145" s="33"/>
      <c r="Y6145" s="33"/>
      <c r="Z6145" s="33"/>
      <c r="AA6145" s="33"/>
      <c r="AB6145" s="33"/>
      <c r="AC6145" s="33"/>
      <c r="AD6145" s="33"/>
      <c r="AE6145" s="33"/>
      <c r="AF6145" s="33"/>
      <c r="AG6145" s="33"/>
      <c r="AH6145" s="33"/>
      <c r="AI6145" s="33"/>
      <c r="AJ6145" s="33"/>
      <c r="AK6145" s="33"/>
    </row>
    <row r="6146">
      <c r="A6146" s="33"/>
      <c r="B6146" s="33"/>
      <c r="C6146" s="33"/>
      <c r="D6146" s="33"/>
      <c r="E6146" s="33"/>
      <c r="F6146" s="33"/>
      <c r="G6146" s="33"/>
      <c r="H6146" s="33"/>
      <c r="I6146" s="33"/>
      <c r="J6146" s="33"/>
      <c r="K6146" s="33"/>
      <c r="L6146" s="33"/>
      <c r="M6146" s="33"/>
      <c r="N6146" s="33"/>
      <c r="O6146" s="33"/>
      <c r="P6146" s="33"/>
      <c r="Q6146" s="33"/>
      <c r="R6146" s="33"/>
      <c r="S6146" s="33"/>
      <c r="T6146" s="33"/>
      <c r="U6146" s="33"/>
      <c r="V6146" s="33"/>
      <c r="W6146" s="33"/>
      <c r="X6146" s="33"/>
      <c r="Y6146" s="33"/>
      <c r="Z6146" s="33"/>
      <c r="AA6146" s="33"/>
      <c r="AB6146" s="33"/>
      <c r="AC6146" s="33"/>
      <c r="AD6146" s="33"/>
      <c r="AE6146" s="33"/>
      <c r="AF6146" s="33"/>
      <c r="AG6146" s="33"/>
      <c r="AH6146" s="33"/>
      <c r="AI6146" s="33"/>
      <c r="AJ6146" s="33"/>
      <c r="AK6146" s="33"/>
    </row>
    <row r="6147">
      <c r="A6147" s="33"/>
      <c r="B6147" s="33"/>
      <c r="C6147" s="33"/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  <c r="Q6147" s="33"/>
      <c r="R6147" s="33"/>
      <c r="S6147" s="33"/>
      <c r="T6147" s="33"/>
      <c r="U6147" s="33"/>
      <c r="V6147" s="33"/>
      <c r="W6147" s="33"/>
      <c r="X6147" s="33"/>
      <c r="Y6147" s="33"/>
      <c r="Z6147" s="33"/>
      <c r="AA6147" s="33"/>
      <c r="AB6147" s="33"/>
      <c r="AC6147" s="33"/>
      <c r="AD6147" s="33"/>
      <c r="AE6147" s="33"/>
      <c r="AF6147" s="33"/>
      <c r="AG6147" s="33"/>
      <c r="AH6147" s="33"/>
      <c r="AI6147" s="33"/>
      <c r="AJ6147" s="33"/>
      <c r="AK6147" s="33"/>
    </row>
    <row r="6148">
      <c r="A6148" s="33"/>
      <c r="B6148" s="33"/>
      <c r="C6148" s="33"/>
      <c r="D6148" s="33"/>
      <c r="E6148" s="33"/>
      <c r="F6148" s="33"/>
      <c r="G6148" s="33"/>
      <c r="H6148" s="33"/>
      <c r="I6148" s="33"/>
      <c r="J6148" s="33"/>
      <c r="K6148" s="33"/>
      <c r="L6148" s="33"/>
      <c r="M6148" s="33"/>
      <c r="N6148" s="33"/>
      <c r="O6148" s="33"/>
      <c r="P6148" s="33"/>
      <c r="Q6148" s="33"/>
      <c r="R6148" s="33"/>
      <c r="S6148" s="33"/>
      <c r="T6148" s="33"/>
      <c r="U6148" s="33"/>
      <c r="V6148" s="33"/>
      <c r="W6148" s="33"/>
      <c r="X6148" s="33"/>
      <c r="Y6148" s="33"/>
      <c r="Z6148" s="33"/>
      <c r="AA6148" s="33"/>
      <c r="AB6148" s="33"/>
      <c r="AC6148" s="33"/>
      <c r="AD6148" s="33"/>
      <c r="AE6148" s="33"/>
      <c r="AF6148" s="33"/>
      <c r="AG6148" s="33"/>
      <c r="AH6148" s="33"/>
      <c r="AI6148" s="33"/>
      <c r="AJ6148" s="33"/>
      <c r="AK6148" s="33"/>
    </row>
    <row r="6149">
      <c r="A6149" s="33"/>
      <c r="B6149" s="33"/>
      <c r="C6149" s="33"/>
      <c r="D6149" s="33"/>
      <c r="E6149" s="33"/>
      <c r="F6149" s="33"/>
      <c r="G6149" s="33"/>
      <c r="H6149" s="33"/>
      <c r="I6149" s="33"/>
      <c r="J6149" s="33"/>
      <c r="K6149" s="33"/>
      <c r="L6149" s="33"/>
      <c r="M6149" s="33"/>
      <c r="N6149" s="33"/>
      <c r="O6149" s="33"/>
      <c r="P6149" s="33"/>
      <c r="Q6149" s="33"/>
      <c r="R6149" s="33"/>
      <c r="S6149" s="33"/>
      <c r="T6149" s="33"/>
      <c r="U6149" s="33"/>
      <c r="V6149" s="33"/>
      <c r="W6149" s="33"/>
      <c r="X6149" s="33"/>
      <c r="Y6149" s="33"/>
      <c r="Z6149" s="33"/>
      <c r="AA6149" s="33"/>
      <c r="AB6149" s="33"/>
      <c r="AC6149" s="33"/>
      <c r="AD6149" s="33"/>
      <c r="AE6149" s="33"/>
      <c r="AF6149" s="33"/>
      <c r="AG6149" s="33"/>
      <c r="AH6149" s="33"/>
      <c r="AI6149" s="33"/>
      <c r="AJ6149" s="33"/>
      <c r="AK6149" s="33"/>
    </row>
    <row r="6150">
      <c r="A6150" s="33"/>
      <c r="B6150" s="33"/>
      <c r="C6150" s="33"/>
      <c r="D6150" s="33"/>
      <c r="E6150" s="33"/>
      <c r="F6150" s="33"/>
      <c r="G6150" s="33"/>
      <c r="H6150" s="33"/>
      <c r="I6150" s="33"/>
      <c r="J6150" s="33"/>
      <c r="K6150" s="33"/>
      <c r="L6150" s="33"/>
      <c r="M6150" s="33"/>
      <c r="N6150" s="33"/>
      <c r="O6150" s="33"/>
      <c r="P6150" s="33"/>
      <c r="Q6150" s="33"/>
      <c r="R6150" s="33"/>
      <c r="S6150" s="33"/>
      <c r="T6150" s="33"/>
      <c r="U6150" s="33"/>
      <c r="V6150" s="33"/>
      <c r="W6150" s="33"/>
      <c r="X6150" s="33"/>
      <c r="Y6150" s="33"/>
      <c r="Z6150" s="33"/>
      <c r="AA6150" s="33"/>
      <c r="AB6150" s="33"/>
      <c r="AC6150" s="33"/>
      <c r="AD6150" s="33"/>
      <c r="AE6150" s="33"/>
      <c r="AF6150" s="33"/>
      <c r="AG6150" s="33"/>
      <c r="AH6150" s="33"/>
      <c r="AI6150" s="33"/>
      <c r="AJ6150" s="33"/>
      <c r="AK6150" s="33"/>
    </row>
    <row r="6151">
      <c r="A6151" s="33"/>
      <c r="B6151" s="33"/>
      <c r="C6151" s="33"/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  <c r="Q6151" s="33"/>
      <c r="R6151" s="33"/>
      <c r="S6151" s="33"/>
      <c r="T6151" s="33"/>
      <c r="U6151" s="33"/>
      <c r="V6151" s="33"/>
      <c r="W6151" s="33"/>
      <c r="X6151" s="33"/>
      <c r="Y6151" s="33"/>
      <c r="Z6151" s="33"/>
      <c r="AA6151" s="33"/>
      <c r="AB6151" s="33"/>
      <c r="AC6151" s="33"/>
      <c r="AD6151" s="33"/>
      <c r="AE6151" s="33"/>
      <c r="AF6151" s="33"/>
      <c r="AG6151" s="33"/>
      <c r="AH6151" s="33"/>
      <c r="AI6151" s="33"/>
      <c r="AJ6151" s="33"/>
      <c r="AK6151" s="33"/>
    </row>
    <row r="6152">
      <c r="A6152" s="33"/>
      <c r="B6152" s="33"/>
      <c r="C6152" s="33"/>
      <c r="D6152" s="33"/>
      <c r="E6152" s="33"/>
      <c r="F6152" s="33"/>
      <c r="G6152" s="33"/>
      <c r="H6152" s="33"/>
      <c r="I6152" s="33"/>
      <c r="J6152" s="33"/>
      <c r="K6152" s="33"/>
      <c r="L6152" s="33"/>
      <c r="M6152" s="33"/>
      <c r="N6152" s="33"/>
      <c r="O6152" s="33"/>
      <c r="P6152" s="33"/>
      <c r="Q6152" s="33"/>
      <c r="R6152" s="33"/>
      <c r="S6152" s="33"/>
      <c r="T6152" s="33"/>
      <c r="U6152" s="33"/>
      <c r="V6152" s="33"/>
      <c r="W6152" s="33"/>
      <c r="X6152" s="33"/>
      <c r="Y6152" s="33"/>
      <c r="Z6152" s="33"/>
      <c r="AA6152" s="33"/>
      <c r="AB6152" s="33"/>
      <c r="AC6152" s="33"/>
      <c r="AD6152" s="33"/>
      <c r="AE6152" s="33"/>
      <c r="AF6152" s="33"/>
      <c r="AG6152" s="33"/>
      <c r="AH6152" s="33"/>
      <c r="AI6152" s="33"/>
      <c r="AJ6152" s="33"/>
      <c r="AK6152" s="33"/>
    </row>
    <row r="6153">
      <c r="A6153" s="33"/>
      <c r="B6153" s="33"/>
      <c r="C6153" s="33"/>
      <c r="D6153" s="33"/>
      <c r="E6153" s="33"/>
      <c r="F6153" s="33"/>
      <c r="G6153" s="33"/>
      <c r="H6153" s="33"/>
      <c r="I6153" s="33"/>
      <c r="J6153" s="33"/>
      <c r="K6153" s="33"/>
      <c r="L6153" s="33"/>
      <c r="M6153" s="33"/>
      <c r="N6153" s="33"/>
      <c r="O6153" s="33"/>
      <c r="P6153" s="33"/>
      <c r="Q6153" s="33"/>
      <c r="R6153" s="33"/>
      <c r="S6153" s="33"/>
      <c r="T6153" s="33"/>
      <c r="U6153" s="33"/>
      <c r="V6153" s="33"/>
      <c r="W6153" s="33"/>
      <c r="X6153" s="33"/>
      <c r="Y6153" s="33"/>
      <c r="Z6153" s="33"/>
      <c r="AA6153" s="33"/>
      <c r="AB6153" s="33"/>
      <c r="AC6153" s="33"/>
      <c r="AD6153" s="33"/>
      <c r="AE6153" s="33"/>
      <c r="AF6153" s="33"/>
      <c r="AG6153" s="33"/>
      <c r="AH6153" s="33"/>
      <c r="AI6153" s="33"/>
      <c r="AJ6153" s="33"/>
      <c r="AK6153" s="33"/>
    </row>
    <row r="6154">
      <c r="A6154" s="33"/>
      <c r="B6154" s="33"/>
      <c r="C6154" s="33"/>
      <c r="D6154" s="33"/>
      <c r="E6154" s="33"/>
      <c r="F6154" s="33"/>
      <c r="G6154" s="33"/>
      <c r="H6154" s="33"/>
      <c r="I6154" s="33"/>
      <c r="J6154" s="33"/>
      <c r="K6154" s="33"/>
      <c r="L6154" s="33"/>
      <c r="M6154" s="33"/>
      <c r="N6154" s="33"/>
      <c r="O6154" s="33"/>
      <c r="P6154" s="33"/>
      <c r="Q6154" s="33"/>
      <c r="R6154" s="33"/>
      <c r="S6154" s="33"/>
      <c r="T6154" s="33"/>
      <c r="U6154" s="33"/>
      <c r="V6154" s="33"/>
      <c r="W6154" s="33"/>
      <c r="X6154" s="33"/>
      <c r="Y6154" s="33"/>
      <c r="Z6154" s="33"/>
      <c r="AA6154" s="33"/>
      <c r="AB6154" s="33"/>
      <c r="AC6154" s="33"/>
      <c r="AD6154" s="33"/>
      <c r="AE6154" s="33"/>
      <c r="AF6154" s="33"/>
      <c r="AG6154" s="33"/>
      <c r="AH6154" s="33"/>
      <c r="AI6154" s="33"/>
      <c r="AJ6154" s="33"/>
      <c r="AK6154" s="33"/>
    </row>
    <row r="6155">
      <c r="A6155" s="33"/>
      <c r="B6155" s="33"/>
      <c r="C6155" s="33"/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  <c r="Q6155" s="33"/>
      <c r="R6155" s="33"/>
      <c r="S6155" s="33"/>
      <c r="T6155" s="33"/>
      <c r="U6155" s="33"/>
      <c r="V6155" s="33"/>
      <c r="W6155" s="33"/>
      <c r="X6155" s="33"/>
      <c r="Y6155" s="33"/>
      <c r="Z6155" s="33"/>
      <c r="AA6155" s="33"/>
      <c r="AB6155" s="33"/>
      <c r="AC6155" s="33"/>
      <c r="AD6155" s="33"/>
      <c r="AE6155" s="33"/>
      <c r="AF6155" s="33"/>
      <c r="AG6155" s="33"/>
      <c r="AH6155" s="33"/>
      <c r="AI6155" s="33"/>
      <c r="AJ6155" s="33"/>
      <c r="AK6155" s="33"/>
    </row>
    <row r="6156">
      <c r="A6156" s="33"/>
      <c r="B6156" s="33"/>
      <c r="C6156" s="33"/>
      <c r="D6156" s="33"/>
      <c r="E6156" s="33"/>
      <c r="F6156" s="33"/>
      <c r="G6156" s="33"/>
      <c r="H6156" s="33"/>
      <c r="I6156" s="33"/>
      <c r="J6156" s="33"/>
      <c r="K6156" s="33"/>
      <c r="L6156" s="33"/>
      <c r="M6156" s="33"/>
      <c r="N6156" s="33"/>
      <c r="O6156" s="33"/>
      <c r="P6156" s="33"/>
      <c r="Q6156" s="33"/>
      <c r="R6156" s="33"/>
      <c r="S6156" s="33"/>
      <c r="T6156" s="33"/>
      <c r="U6156" s="33"/>
      <c r="V6156" s="33"/>
      <c r="W6156" s="33"/>
      <c r="X6156" s="33"/>
      <c r="Y6156" s="33"/>
      <c r="Z6156" s="33"/>
      <c r="AA6156" s="33"/>
      <c r="AB6156" s="33"/>
      <c r="AC6156" s="33"/>
      <c r="AD6156" s="33"/>
      <c r="AE6156" s="33"/>
      <c r="AF6156" s="33"/>
      <c r="AG6156" s="33"/>
      <c r="AH6156" s="33"/>
      <c r="AI6156" s="33"/>
      <c r="AJ6156" s="33"/>
      <c r="AK6156" s="33"/>
    </row>
    <row r="6157">
      <c r="A6157" s="33"/>
      <c r="B6157" s="33"/>
      <c r="C6157" s="33"/>
      <c r="D6157" s="33"/>
      <c r="E6157" s="33"/>
      <c r="F6157" s="33"/>
      <c r="G6157" s="33"/>
      <c r="H6157" s="33"/>
      <c r="I6157" s="33"/>
      <c r="J6157" s="33"/>
      <c r="K6157" s="33"/>
      <c r="L6157" s="33"/>
      <c r="M6157" s="33"/>
      <c r="N6157" s="33"/>
      <c r="O6157" s="33"/>
      <c r="P6157" s="33"/>
      <c r="Q6157" s="33"/>
      <c r="R6157" s="33"/>
      <c r="S6157" s="33"/>
      <c r="T6157" s="33"/>
      <c r="U6157" s="33"/>
      <c r="V6157" s="33"/>
      <c r="W6157" s="33"/>
      <c r="X6157" s="33"/>
      <c r="Y6157" s="33"/>
      <c r="Z6157" s="33"/>
      <c r="AA6157" s="33"/>
      <c r="AB6157" s="33"/>
      <c r="AC6157" s="33"/>
      <c r="AD6157" s="33"/>
      <c r="AE6157" s="33"/>
      <c r="AF6157" s="33"/>
      <c r="AG6157" s="33"/>
      <c r="AH6157" s="33"/>
      <c r="AI6157" s="33"/>
      <c r="AJ6157" s="33"/>
      <c r="AK6157" s="33"/>
    </row>
    <row r="6158">
      <c r="A6158" s="33"/>
      <c r="B6158" s="33"/>
      <c r="C6158" s="33"/>
      <c r="D6158" s="33"/>
      <c r="E6158" s="33"/>
      <c r="F6158" s="33"/>
      <c r="G6158" s="33"/>
      <c r="H6158" s="33"/>
      <c r="I6158" s="33"/>
      <c r="J6158" s="33"/>
      <c r="K6158" s="33"/>
      <c r="L6158" s="33"/>
      <c r="M6158" s="33"/>
      <c r="N6158" s="33"/>
      <c r="O6158" s="33"/>
      <c r="P6158" s="33"/>
      <c r="Q6158" s="33"/>
      <c r="R6158" s="33"/>
      <c r="S6158" s="33"/>
      <c r="T6158" s="33"/>
      <c r="U6158" s="33"/>
      <c r="V6158" s="33"/>
      <c r="W6158" s="33"/>
      <c r="X6158" s="33"/>
      <c r="Y6158" s="33"/>
      <c r="Z6158" s="33"/>
      <c r="AA6158" s="33"/>
      <c r="AB6158" s="33"/>
      <c r="AC6158" s="33"/>
      <c r="AD6158" s="33"/>
      <c r="AE6158" s="33"/>
      <c r="AF6158" s="33"/>
      <c r="AG6158" s="33"/>
      <c r="AH6158" s="33"/>
      <c r="AI6158" s="33"/>
      <c r="AJ6158" s="33"/>
      <c r="AK6158" s="33"/>
    </row>
    <row r="6159">
      <c r="A6159" s="33"/>
      <c r="B6159" s="33"/>
      <c r="C6159" s="33"/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  <c r="Q6159" s="33"/>
      <c r="R6159" s="33"/>
      <c r="S6159" s="33"/>
      <c r="T6159" s="33"/>
      <c r="U6159" s="33"/>
      <c r="V6159" s="33"/>
      <c r="W6159" s="33"/>
      <c r="X6159" s="33"/>
      <c r="Y6159" s="33"/>
      <c r="Z6159" s="33"/>
      <c r="AA6159" s="33"/>
      <c r="AB6159" s="33"/>
      <c r="AC6159" s="33"/>
      <c r="AD6159" s="33"/>
      <c r="AE6159" s="33"/>
      <c r="AF6159" s="33"/>
      <c r="AG6159" s="33"/>
      <c r="AH6159" s="33"/>
      <c r="AI6159" s="33"/>
      <c r="AJ6159" s="33"/>
      <c r="AK6159" s="33"/>
    </row>
    <row r="6160">
      <c r="A6160" s="33"/>
      <c r="B6160" s="33"/>
      <c r="C6160" s="33"/>
      <c r="D6160" s="33"/>
      <c r="E6160" s="33"/>
      <c r="F6160" s="33"/>
      <c r="G6160" s="33"/>
      <c r="H6160" s="33"/>
      <c r="I6160" s="33"/>
      <c r="J6160" s="33"/>
      <c r="K6160" s="33"/>
      <c r="L6160" s="33"/>
      <c r="M6160" s="33"/>
      <c r="N6160" s="33"/>
      <c r="O6160" s="33"/>
      <c r="P6160" s="33"/>
      <c r="Q6160" s="33"/>
      <c r="R6160" s="33"/>
      <c r="S6160" s="33"/>
      <c r="T6160" s="33"/>
      <c r="U6160" s="33"/>
      <c r="V6160" s="33"/>
      <c r="W6160" s="33"/>
      <c r="X6160" s="33"/>
      <c r="Y6160" s="33"/>
      <c r="Z6160" s="33"/>
      <c r="AA6160" s="33"/>
      <c r="AB6160" s="33"/>
      <c r="AC6160" s="33"/>
      <c r="AD6160" s="33"/>
      <c r="AE6160" s="33"/>
      <c r="AF6160" s="33"/>
      <c r="AG6160" s="33"/>
      <c r="AH6160" s="33"/>
      <c r="AI6160" s="33"/>
      <c r="AJ6160" s="33"/>
      <c r="AK6160" s="33"/>
    </row>
    <row r="6161">
      <c r="A6161" s="33"/>
      <c r="B6161" s="33"/>
      <c r="C6161" s="33"/>
      <c r="D6161" s="33"/>
      <c r="E6161" s="33"/>
      <c r="F6161" s="33"/>
      <c r="G6161" s="33"/>
      <c r="H6161" s="33"/>
      <c r="I6161" s="33"/>
      <c r="J6161" s="33"/>
      <c r="K6161" s="33"/>
      <c r="L6161" s="33"/>
      <c r="M6161" s="33"/>
      <c r="N6161" s="33"/>
      <c r="O6161" s="33"/>
      <c r="P6161" s="33"/>
      <c r="Q6161" s="33"/>
      <c r="R6161" s="33"/>
      <c r="S6161" s="33"/>
      <c r="T6161" s="33"/>
      <c r="U6161" s="33"/>
      <c r="V6161" s="33"/>
      <c r="W6161" s="33"/>
      <c r="X6161" s="33"/>
      <c r="Y6161" s="33"/>
      <c r="Z6161" s="33"/>
      <c r="AA6161" s="33"/>
      <c r="AB6161" s="33"/>
      <c r="AC6161" s="33"/>
      <c r="AD6161" s="33"/>
      <c r="AE6161" s="33"/>
      <c r="AF6161" s="33"/>
      <c r="AG6161" s="33"/>
      <c r="AH6161" s="33"/>
      <c r="AI6161" s="33"/>
      <c r="AJ6161" s="33"/>
      <c r="AK6161" s="33"/>
    </row>
    <row r="6162">
      <c r="A6162" s="33"/>
      <c r="B6162" s="33"/>
      <c r="C6162" s="33"/>
      <c r="D6162" s="33"/>
      <c r="E6162" s="33"/>
      <c r="F6162" s="33"/>
      <c r="G6162" s="33"/>
      <c r="H6162" s="33"/>
      <c r="I6162" s="33"/>
      <c r="J6162" s="33"/>
      <c r="K6162" s="33"/>
      <c r="L6162" s="33"/>
      <c r="M6162" s="33"/>
      <c r="N6162" s="33"/>
      <c r="O6162" s="33"/>
      <c r="P6162" s="33"/>
      <c r="Q6162" s="33"/>
      <c r="R6162" s="33"/>
      <c r="S6162" s="33"/>
      <c r="T6162" s="33"/>
      <c r="U6162" s="33"/>
      <c r="V6162" s="33"/>
      <c r="W6162" s="33"/>
      <c r="X6162" s="33"/>
      <c r="Y6162" s="33"/>
      <c r="Z6162" s="33"/>
      <c r="AA6162" s="33"/>
      <c r="AB6162" s="33"/>
      <c r="AC6162" s="33"/>
      <c r="AD6162" s="33"/>
      <c r="AE6162" s="33"/>
      <c r="AF6162" s="33"/>
      <c r="AG6162" s="33"/>
      <c r="AH6162" s="33"/>
      <c r="AI6162" s="33"/>
      <c r="AJ6162" s="33"/>
      <c r="AK6162" s="33"/>
    </row>
    <row r="6163">
      <c r="A6163" s="33"/>
      <c r="B6163" s="33"/>
      <c r="C6163" s="33"/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  <c r="Q6163" s="33"/>
      <c r="R6163" s="33"/>
      <c r="S6163" s="33"/>
      <c r="T6163" s="33"/>
      <c r="U6163" s="33"/>
      <c r="V6163" s="33"/>
      <c r="W6163" s="33"/>
      <c r="X6163" s="33"/>
      <c r="Y6163" s="33"/>
      <c r="Z6163" s="33"/>
      <c r="AA6163" s="33"/>
      <c r="AB6163" s="33"/>
      <c r="AC6163" s="33"/>
      <c r="AD6163" s="33"/>
      <c r="AE6163" s="33"/>
      <c r="AF6163" s="33"/>
      <c r="AG6163" s="33"/>
      <c r="AH6163" s="33"/>
      <c r="AI6163" s="33"/>
      <c r="AJ6163" s="33"/>
      <c r="AK6163" s="33"/>
    </row>
    <row r="6164">
      <c r="A6164" s="33"/>
      <c r="B6164" s="33"/>
      <c r="C6164" s="33"/>
      <c r="D6164" s="33"/>
      <c r="E6164" s="33"/>
      <c r="F6164" s="33"/>
      <c r="G6164" s="33"/>
      <c r="H6164" s="33"/>
      <c r="I6164" s="33"/>
      <c r="J6164" s="33"/>
      <c r="K6164" s="33"/>
      <c r="L6164" s="33"/>
      <c r="M6164" s="33"/>
      <c r="N6164" s="33"/>
      <c r="O6164" s="33"/>
      <c r="P6164" s="33"/>
      <c r="Q6164" s="33"/>
      <c r="R6164" s="33"/>
      <c r="S6164" s="33"/>
      <c r="T6164" s="33"/>
      <c r="U6164" s="33"/>
      <c r="V6164" s="33"/>
      <c r="W6164" s="33"/>
      <c r="X6164" s="33"/>
      <c r="Y6164" s="33"/>
      <c r="Z6164" s="33"/>
      <c r="AA6164" s="33"/>
      <c r="AB6164" s="33"/>
      <c r="AC6164" s="33"/>
      <c r="AD6164" s="33"/>
      <c r="AE6164" s="33"/>
      <c r="AF6164" s="33"/>
      <c r="AG6164" s="33"/>
      <c r="AH6164" s="33"/>
      <c r="AI6164" s="33"/>
      <c r="AJ6164" s="33"/>
      <c r="AK6164" s="33"/>
    </row>
    <row r="6165">
      <c r="A6165" s="33"/>
      <c r="B6165" s="33"/>
      <c r="C6165" s="33"/>
      <c r="D6165" s="33"/>
      <c r="E6165" s="33"/>
      <c r="F6165" s="33"/>
      <c r="G6165" s="33"/>
      <c r="H6165" s="33"/>
      <c r="I6165" s="33"/>
      <c r="J6165" s="33"/>
      <c r="K6165" s="33"/>
      <c r="L6165" s="33"/>
      <c r="M6165" s="33"/>
      <c r="N6165" s="33"/>
      <c r="O6165" s="33"/>
      <c r="P6165" s="33"/>
      <c r="Q6165" s="33"/>
      <c r="R6165" s="33"/>
      <c r="S6165" s="33"/>
      <c r="T6165" s="33"/>
      <c r="U6165" s="33"/>
      <c r="V6165" s="33"/>
      <c r="W6165" s="33"/>
      <c r="X6165" s="33"/>
      <c r="Y6165" s="33"/>
      <c r="Z6165" s="33"/>
      <c r="AA6165" s="33"/>
      <c r="AB6165" s="33"/>
      <c r="AC6165" s="33"/>
      <c r="AD6165" s="33"/>
      <c r="AE6165" s="33"/>
      <c r="AF6165" s="33"/>
      <c r="AG6165" s="33"/>
      <c r="AH6165" s="33"/>
      <c r="AI6165" s="33"/>
      <c r="AJ6165" s="33"/>
      <c r="AK6165" s="33"/>
    </row>
    <row r="6166">
      <c r="A6166" s="33"/>
      <c r="B6166" s="33"/>
      <c r="C6166" s="33"/>
      <c r="D6166" s="33"/>
      <c r="E6166" s="33"/>
      <c r="F6166" s="33"/>
      <c r="G6166" s="33"/>
      <c r="H6166" s="33"/>
      <c r="I6166" s="33"/>
      <c r="J6166" s="33"/>
      <c r="K6166" s="33"/>
      <c r="L6166" s="33"/>
      <c r="M6166" s="33"/>
      <c r="N6166" s="33"/>
      <c r="O6166" s="33"/>
      <c r="P6166" s="33"/>
      <c r="Q6166" s="33"/>
      <c r="R6166" s="33"/>
      <c r="S6166" s="33"/>
      <c r="T6166" s="33"/>
      <c r="U6166" s="33"/>
      <c r="V6166" s="33"/>
      <c r="W6166" s="33"/>
      <c r="X6166" s="33"/>
      <c r="Y6166" s="33"/>
      <c r="Z6166" s="33"/>
      <c r="AA6166" s="33"/>
      <c r="AB6166" s="33"/>
      <c r="AC6166" s="33"/>
      <c r="AD6166" s="33"/>
      <c r="AE6166" s="33"/>
      <c r="AF6166" s="33"/>
      <c r="AG6166" s="33"/>
      <c r="AH6166" s="33"/>
      <c r="AI6166" s="33"/>
      <c r="AJ6166" s="33"/>
      <c r="AK6166" s="33"/>
    </row>
    <row r="6167">
      <c r="A6167" s="33"/>
      <c r="B6167" s="33"/>
      <c r="C6167" s="33"/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  <c r="R6167" s="33"/>
      <c r="S6167" s="33"/>
      <c r="T6167" s="33"/>
      <c r="U6167" s="33"/>
      <c r="V6167" s="33"/>
      <c r="W6167" s="33"/>
      <c r="X6167" s="33"/>
      <c r="Y6167" s="33"/>
      <c r="Z6167" s="33"/>
      <c r="AA6167" s="33"/>
      <c r="AB6167" s="33"/>
      <c r="AC6167" s="33"/>
      <c r="AD6167" s="33"/>
      <c r="AE6167" s="33"/>
      <c r="AF6167" s="33"/>
      <c r="AG6167" s="33"/>
      <c r="AH6167" s="33"/>
      <c r="AI6167" s="33"/>
      <c r="AJ6167" s="33"/>
      <c r="AK6167" s="33"/>
    </row>
    <row r="6168">
      <c r="A6168" s="33"/>
      <c r="B6168" s="33"/>
      <c r="C6168" s="33"/>
      <c r="D6168" s="33"/>
      <c r="E6168" s="33"/>
      <c r="F6168" s="33"/>
      <c r="G6168" s="33"/>
      <c r="H6168" s="33"/>
      <c r="I6168" s="33"/>
      <c r="J6168" s="33"/>
      <c r="K6168" s="33"/>
      <c r="L6168" s="33"/>
      <c r="M6168" s="33"/>
      <c r="N6168" s="33"/>
      <c r="O6168" s="33"/>
      <c r="P6168" s="33"/>
      <c r="Q6168" s="33"/>
      <c r="R6168" s="33"/>
      <c r="S6168" s="33"/>
      <c r="T6168" s="33"/>
      <c r="U6168" s="33"/>
      <c r="V6168" s="33"/>
      <c r="W6168" s="33"/>
      <c r="X6168" s="33"/>
      <c r="Y6168" s="33"/>
      <c r="Z6168" s="33"/>
      <c r="AA6168" s="33"/>
      <c r="AB6168" s="33"/>
      <c r="AC6168" s="33"/>
      <c r="AD6168" s="33"/>
      <c r="AE6168" s="33"/>
      <c r="AF6168" s="33"/>
      <c r="AG6168" s="33"/>
      <c r="AH6168" s="33"/>
      <c r="AI6168" s="33"/>
      <c r="AJ6168" s="33"/>
      <c r="AK6168" s="33"/>
    </row>
    <row r="6169">
      <c r="A6169" s="33"/>
      <c r="B6169" s="33"/>
      <c r="C6169" s="33"/>
      <c r="D6169" s="33"/>
      <c r="E6169" s="33"/>
      <c r="F6169" s="33"/>
      <c r="G6169" s="33"/>
      <c r="H6169" s="33"/>
      <c r="I6169" s="33"/>
      <c r="J6169" s="33"/>
      <c r="K6169" s="33"/>
      <c r="L6169" s="33"/>
      <c r="M6169" s="33"/>
      <c r="N6169" s="33"/>
      <c r="O6169" s="33"/>
      <c r="P6169" s="33"/>
      <c r="Q6169" s="33"/>
      <c r="R6169" s="33"/>
      <c r="S6169" s="33"/>
      <c r="T6169" s="33"/>
      <c r="U6169" s="33"/>
      <c r="V6169" s="33"/>
      <c r="W6169" s="33"/>
      <c r="X6169" s="33"/>
      <c r="Y6169" s="33"/>
      <c r="Z6169" s="33"/>
      <c r="AA6169" s="33"/>
      <c r="AB6169" s="33"/>
      <c r="AC6169" s="33"/>
      <c r="AD6169" s="33"/>
      <c r="AE6169" s="33"/>
      <c r="AF6169" s="33"/>
      <c r="AG6169" s="33"/>
      <c r="AH6169" s="33"/>
      <c r="AI6169" s="33"/>
      <c r="AJ6169" s="33"/>
      <c r="AK6169" s="33"/>
    </row>
    <row r="6170">
      <c r="A6170" s="33"/>
      <c r="B6170" s="33"/>
      <c r="C6170" s="33"/>
      <c r="D6170" s="33"/>
      <c r="E6170" s="33"/>
      <c r="F6170" s="33"/>
      <c r="G6170" s="33"/>
      <c r="H6170" s="33"/>
      <c r="I6170" s="33"/>
      <c r="J6170" s="33"/>
      <c r="K6170" s="33"/>
      <c r="L6170" s="33"/>
      <c r="M6170" s="33"/>
      <c r="N6170" s="33"/>
      <c r="O6170" s="33"/>
      <c r="P6170" s="33"/>
      <c r="Q6170" s="33"/>
      <c r="R6170" s="33"/>
      <c r="S6170" s="33"/>
      <c r="T6170" s="33"/>
      <c r="U6170" s="33"/>
      <c r="V6170" s="33"/>
      <c r="W6170" s="33"/>
      <c r="X6170" s="33"/>
      <c r="Y6170" s="33"/>
      <c r="Z6170" s="33"/>
      <c r="AA6170" s="33"/>
      <c r="AB6170" s="33"/>
      <c r="AC6170" s="33"/>
      <c r="AD6170" s="33"/>
      <c r="AE6170" s="33"/>
      <c r="AF6170" s="33"/>
      <c r="AG6170" s="33"/>
      <c r="AH6170" s="33"/>
      <c r="AI6170" s="33"/>
      <c r="AJ6170" s="33"/>
      <c r="AK6170" s="33"/>
    </row>
    <row r="6171">
      <c r="A6171" s="33"/>
      <c r="B6171" s="33"/>
      <c r="C6171" s="33"/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  <c r="Q6171" s="33"/>
      <c r="R6171" s="33"/>
      <c r="S6171" s="33"/>
      <c r="T6171" s="33"/>
      <c r="U6171" s="33"/>
      <c r="V6171" s="33"/>
      <c r="W6171" s="33"/>
      <c r="X6171" s="33"/>
      <c r="Y6171" s="33"/>
      <c r="Z6171" s="33"/>
      <c r="AA6171" s="33"/>
      <c r="AB6171" s="33"/>
      <c r="AC6171" s="33"/>
      <c r="AD6171" s="33"/>
      <c r="AE6171" s="33"/>
      <c r="AF6171" s="33"/>
      <c r="AG6171" s="33"/>
      <c r="AH6171" s="33"/>
      <c r="AI6171" s="33"/>
      <c r="AJ6171" s="33"/>
      <c r="AK6171" s="33"/>
    </row>
    <row r="6172">
      <c r="A6172" s="33"/>
      <c r="B6172" s="33"/>
      <c r="C6172" s="33"/>
      <c r="D6172" s="33"/>
      <c r="E6172" s="33"/>
      <c r="F6172" s="33"/>
      <c r="G6172" s="33"/>
      <c r="H6172" s="33"/>
      <c r="I6172" s="33"/>
      <c r="J6172" s="33"/>
      <c r="K6172" s="33"/>
      <c r="L6172" s="33"/>
      <c r="M6172" s="33"/>
      <c r="N6172" s="33"/>
      <c r="O6172" s="33"/>
      <c r="P6172" s="33"/>
      <c r="Q6172" s="33"/>
      <c r="R6172" s="33"/>
      <c r="S6172" s="33"/>
      <c r="T6172" s="33"/>
      <c r="U6172" s="33"/>
      <c r="V6172" s="33"/>
      <c r="W6172" s="33"/>
      <c r="X6172" s="33"/>
      <c r="Y6172" s="33"/>
      <c r="Z6172" s="33"/>
      <c r="AA6172" s="33"/>
      <c r="AB6172" s="33"/>
      <c r="AC6172" s="33"/>
      <c r="AD6172" s="33"/>
      <c r="AE6172" s="33"/>
      <c r="AF6172" s="33"/>
      <c r="AG6172" s="33"/>
      <c r="AH6172" s="33"/>
      <c r="AI6172" s="33"/>
      <c r="AJ6172" s="33"/>
      <c r="AK6172" s="33"/>
    </row>
    <row r="6173">
      <c r="A6173" s="33"/>
      <c r="B6173" s="33"/>
      <c r="C6173" s="33"/>
      <c r="D6173" s="33"/>
      <c r="E6173" s="33"/>
      <c r="F6173" s="33"/>
      <c r="G6173" s="33"/>
      <c r="H6173" s="33"/>
      <c r="I6173" s="33"/>
      <c r="J6173" s="33"/>
      <c r="K6173" s="33"/>
      <c r="L6173" s="33"/>
      <c r="M6173" s="33"/>
      <c r="N6173" s="33"/>
      <c r="O6173" s="33"/>
      <c r="P6173" s="33"/>
      <c r="Q6173" s="33"/>
      <c r="R6173" s="33"/>
      <c r="S6173" s="33"/>
      <c r="T6173" s="33"/>
      <c r="U6173" s="33"/>
      <c r="V6173" s="33"/>
      <c r="W6173" s="33"/>
      <c r="X6173" s="33"/>
      <c r="Y6173" s="33"/>
      <c r="Z6173" s="33"/>
      <c r="AA6173" s="33"/>
      <c r="AB6173" s="33"/>
      <c r="AC6173" s="33"/>
      <c r="AD6173" s="33"/>
      <c r="AE6173" s="33"/>
      <c r="AF6173" s="33"/>
      <c r="AG6173" s="33"/>
      <c r="AH6173" s="33"/>
      <c r="AI6173" s="33"/>
      <c r="AJ6173" s="33"/>
      <c r="AK6173" s="33"/>
    </row>
    <row r="6174">
      <c r="A6174" s="33"/>
      <c r="B6174" s="33"/>
      <c r="C6174" s="33"/>
      <c r="D6174" s="33"/>
      <c r="E6174" s="33"/>
      <c r="F6174" s="33"/>
      <c r="G6174" s="33"/>
      <c r="H6174" s="33"/>
      <c r="I6174" s="33"/>
      <c r="J6174" s="33"/>
      <c r="K6174" s="33"/>
      <c r="L6174" s="33"/>
      <c r="M6174" s="33"/>
      <c r="N6174" s="33"/>
      <c r="O6174" s="33"/>
      <c r="P6174" s="33"/>
      <c r="Q6174" s="33"/>
      <c r="R6174" s="33"/>
      <c r="S6174" s="33"/>
      <c r="T6174" s="33"/>
      <c r="U6174" s="33"/>
      <c r="V6174" s="33"/>
      <c r="W6174" s="33"/>
      <c r="X6174" s="33"/>
      <c r="Y6174" s="33"/>
      <c r="Z6174" s="33"/>
      <c r="AA6174" s="33"/>
      <c r="AB6174" s="33"/>
      <c r="AC6174" s="33"/>
      <c r="AD6174" s="33"/>
      <c r="AE6174" s="33"/>
      <c r="AF6174" s="33"/>
      <c r="AG6174" s="33"/>
      <c r="AH6174" s="33"/>
      <c r="AI6174" s="33"/>
      <c r="AJ6174" s="33"/>
      <c r="AK6174" s="33"/>
    </row>
    <row r="6175">
      <c r="A6175" s="33"/>
      <c r="B6175" s="33"/>
      <c r="C6175" s="33"/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  <c r="Q6175" s="33"/>
      <c r="R6175" s="33"/>
      <c r="S6175" s="33"/>
      <c r="T6175" s="33"/>
      <c r="U6175" s="33"/>
      <c r="V6175" s="33"/>
      <c r="W6175" s="33"/>
      <c r="X6175" s="33"/>
      <c r="Y6175" s="33"/>
      <c r="Z6175" s="33"/>
      <c r="AA6175" s="33"/>
      <c r="AB6175" s="33"/>
      <c r="AC6175" s="33"/>
      <c r="AD6175" s="33"/>
      <c r="AE6175" s="33"/>
      <c r="AF6175" s="33"/>
      <c r="AG6175" s="33"/>
      <c r="AH6175" s="33"/>
      <c r="AI6175" s="33"/>
      <c r="AJ6175" s="33"/>
      <c r="AK6175" s="33"/>
    </row>
    <row r="6176">
      <c r="A6176" s="33"/>
      <c r="B6176" s="33"/>
      <c r="C6176" s="33"/>
      <c r="D6176" s="33"/>
      <c r="E6176" s="33"/>
      <c r="F6176" s="33"/>
      <c r="G6176" s="33"/>
      <c r="H6176" s="33"/>
      <c r="I6176" s="33"/>
      <c r="J6176" s="33"/>
      <c r="K6176" s="33"/>
      <c r="L6176" s="33"/>
      <c r="M6176" s="33"/>
      <c r="N6176" s="33"/>
      <c r="O6176" s="33"/>
      <c r="P6176" s="33"/>
      <c r="Q6176" s="33"/>
      <c r="R6176" s="33"/>
      <c r="S6176" s="33"/>
      <c r="T6176" s="33"/>
      <c r="U6176" s="33"/>
      <c r="V6176" s="33"/>
      <c r="W6176" s="33"/>
      <c r="X6176" s="33"/>
      <c r="Y6176" s="33"/>
      <c r="Z6176" s="33"/>
      <c r="AA6176" s="33"/>
      <c r="AB6176" s="33"/>
      <c r="AC6176" s="33"/>
      <c r="AD6176" s="33"/>
      <c r="AE6176" s="33"/>
      <c r="AF6176" s="33"/>
      <c r="AG6176" s="33"/>
      <c r="AH6176" s="33"/>
      <c r="AI6176" s="33"/>
      <c r="AJ6176" s="33"/>
      <c r="AK6176" s="33"/>
    </row>
    <row r="6177">
      <c r="A6177" s="33"/>
      <c r="B6177" s="33"/>
      <c r="C6177" s="33"/>
      <c r="D6177" s="33"/>
      <c r="E6177" s="33"/>
      <c r="F6177" s="33"/>
      <c r="G6177" s="33"/>
      <c r="H6177" s="33"/>
      <c r="I6177" s="33"/>
      <c r="J6177" s="33"/>
      <c r="K6177" s="33"/>
      <c r="L6177" s="33"/>
      <c r="M6177" s="33"/>
      <c r="N6177" s="33"/>
      <c r="O6177" s="33"/>
      <c r="P6177" s="33"/>
      <c r="Q6177" s="33"/>
      <c r="R6177" s="33"/>
      <c r="S6177" s="33"/>
      <c r="T6177" s="33"/>
      <c r="U6177" s="33"/>
      <c r="V6177" s="33"/>
      <c r="W6177" s="33"/>
      <c r="X6177" s="33"/>
      <c r="Y6177" s="33"/>
      <c r="Z6177" s="33"/>
      <c r="AA6177" s="33"/>
      <c r="AB6177" s="33"/>
      <c r="AC6177" s="33"/>
      <c r="AD6177" s="33"/>
      <c r="AE6177" s="33"/>
      <c r="AF6177" s="33"/>
      <c r="AG6177" s="33"/>
      <c r="AH6177" s="33"/>
      <c r="AI6177" s="33"/>
      <c r="AJ6177" s="33"/>
      <c r="AK6177" s="33"/>
    </row>
    <row r="6178">
      <c r="A6178" s="33"/>
      <c r="B6178" s="33"/>
      <c r="C6178" s="33"/>
      <c r="D6178" s="33"/>
      <c r="E6178" s="33"/>
      <c r="F6178" s="33"/>
      <c r="G6178" s="33"/>
      <c r="H6178" s="33"/>
      <c r="I6178" s="33"/>
      <c r="J6178" s="33"/>
      <c r="K6178" s="33"/>
      <c r="L6178" s="33"/>
      <c r="M6178" s="33"/>
      <c r="N6178" s="33"/>
      <c r="O6178" s="33"/>
      <c r="P6178" s="33"/>
      <c r="Q6178" s="33"/>
      <c r="R6178" s="33"/>
      <c r="S6178" s="33"/>
      <c r="T6178" s="33"/>
      <c r="U6178" s="33"/>
      <c r="V6178" s="33"/>
      <c r="W6178" s="33"/>
      <c r="X6178" s="33"/>
      <c r="Y6178" s="33"/>
      <c r="Z6178" s="33"/>
      <c r="AA6178" s="33"/>
      <c r="AB6178" s="33"/>
      <c r="AC6178" s="33"/>
      <c r="AD6178" s="33"/>
      <c r="AE6178" s="33"/>
      <c r="AF6178" s="33"/>
      <c r="AG6178" s="33"/>
      <c r="AH6178" s="33"/>
      <c r="AI6178" s="33"/>
      <c r="AJ6178" s="33"/>
      <c r="AK6178" s="33"/>
    </row>
    <row r="6179">
      <c r="A6179" s="33"/>
      <c r="B6179" s="33"/>
      <c r="C6179" s="33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  <c r="Q6179" s="33"/>
      <c r="R6179" s="33"/>
      <c r="S6179" s="33"/>
      <c r="T6179" s="33"/>
      <c r="U6179" s="33"/>
      <c r="V6179" s="33"/>
      <c r="W6179" s="33"/>
      <c r="X6179" s="33"/>
      <c r="Y6179" s="33"/>
      <c r="Z6179" s="33"/>
      <c r="AA6179" s="33"/>
      <c r="AB6179" s="33"/>
      <c r="AC6179" s="33"/>
      <c r="AD6179" s="33"/>
      <c r="AE6179" s="33"/>
      <c r="AF6179" s="33"/>
      <c r="AG6179" s="33"/>
      <c r="AH6179" s="33"/>
      <c r="AI6179" s="33"/>
      <c r="AJ6179" s="33"/>
      <c r="AK6179" s="33"/>
    </row>
    <row r="6180">
      <c r="A6180" s="33"/>
      <c r="B6180" s="33"/>
      <c r="C6180" s="33"/>
      <c r="D6180" s="33"/>
      <c r="E6180" s="33"/>
      <c r="F6180" s="33"/>
      <c r="G6180" s="33"/>
      <c r="H6180" s="33"/>
      <c r="I6180" s="33"/>
      <c r="J6180" s="33"/>
      <c r="K6180" s="33"/>
      <c r="L6180" s="33"/>
      <c r="M6180" s="33"/>
      <c r="N6180" s="33"/>
      <c r="O6180" s="33"/>
      <c r="P6180" s="33"/>
      <c r="Q6180" s="33"/>
      <c r="R6180" s="33"/>
      <c r="S6180" s="33"/>
      <c r="T6180" s="33"/>
      <c r="U6180" s="33"/>
      <c r="V6180" s="33"/>
      <c r="W6180" s="33"/>
      <c r="X6180" s="33"/>
      <c r="Y6180" s="33"/>
      <c r="Z6180" s="33"/>
      <c r="AA6180" s="33"/>
      <c r="AB6180" s="33"/>
      <c r="AC6180" s="33"/>
      <c r="AD6180" s="33"/>
      <c r="AE6180" s="33"/>
      <c r="AF6180" s="33"/>
      <c r="AG6180" s="33"/>
      <c r="AH6180" s="33"/>
      <c r="AI6180" s="33"/>
      <c r="AJ6180" s="33"/>
      <c r="AK6180" s="33"/>
    </row>
    <row r="6181">
      <c r="A6181" s="33"/>
      <c r="B6181" s="33"/>
      <c r="C6181" s="33"/>
      <c r="D6181" s="33"/>
      <c r="E6181" s="33"/>
      <c r="F6181" s="33"/>
      <c r="G6181" s="33"/>
      <c r="H6181" s="33"/>
      <c r="I6181" s="33"/>
      <c r="J6181" s="33"/>
      <c r="K6181" s="33"/>
      <c r="L6181" s="33"/>
      <c r="M6181" s="33"/>
      <c r="N6181" s="33"/>
      <c r="O6181" s="33"/>
      <c r="P6181" s="33"/>
      <c r="Q6181" s="33"/>
      <c r="R6181" s="33"/>
      <c r="S6181" s="33"/>
      <c r="T6181" s="33"/>
      <c r="U6181" s="33"/>
      <c r="V6181" s="33"/>
      <c r="W6181" s="33"/>
      <c r="X6181" s="33"/>
      <c r="Y6181" s="33"/>
      <c r="Z6181" s="33"/>
      <c r="AA6181" s="33"/>
      <c r="AB6181" s="33"/>
      <c r="AC6181" s="33"/>
      <c r="AD6181" s="33"/>
      <c r="AE6181" s="33"/>
      <c r="AF6181" s="33"/>
      <c r="AG6181" s="33"/>
      <c r="AH6181" s="33"/>
      <c r="AI6181" s="33"/>
      <c r="AJ6181" s="33"/>
      <c r="AK6181" s="33"/>
    </row>
    <row r="6182">
      <c r="A6182" s="33"/>
      <c r="B6182" s="33"/>
      <c r="C6182" s="33"/>
      <c r="D6182" s="33"/>
      <c r="E6182" s="33"/>
      <c r="F6182" s="33"/>
      <c r="G6182" s="33"/>
      <c r="H6182" s="33"/>
      <c r="I6182" s="33"/>
      <c r="J6182" s="33"/>
      <c r="K6182" s="33"/>
      <c r="L6182" s="33"/>
      <c r="M6182" s="33"/>
      <c r="N6182" s="33"/>
      <c r="O6182" s="33"/>
      <c r="P6182" s="33"/>
      <c r="Q6182" s="33"/>
      <c r="R6182" s="33"/>
      <c r="S6182" s="33"/>
      <c r="T6182" s="33"/>
      <c r="U6182" s="33"/>
      <c r="V6182" s="33"/>
      <c r="W6182" s="33"/>
      <c r="X6182" s="33"/>
      <c r="Y6182" s="33"/>
      <c r="Z6182" s="33"/>
      <c r="AA6182" s="33"/>
      <c r="AB6182" s="33"/>
      <c r="AC6182" s="33"/>
      <c r="AD6182" s="33"/>
      <c r="AE6182" s="33"/>
      <c r="AF6182" s="33"/>
      <c r="AG6182" s="33"/>
      <c r="AH6182" s="33"/>
      <c r="AI6182" s="33"/>
      <c r="AJ6182" s="33"/>
      <c r="AK6182" s="33"/>
    </row>
    <row r="6183">
      <c r="A6183" s="33"/>
      <c r="B6183" s="33"/>
      <c r="C6183" s="33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  <c r="Q6183" s="33"/>
      <c r="R6183" s="33"/>
      <c r="S6183" s="33"/>
      <c r="T6183" s="33"/>
      <c r="U6183" s="33"/>
      <c r="V6183" s="33"/>
      <c r="W6183" s="33"/>
      <c r="X6183" s="33"/>
      <c r="Y6183" s="33"/>
      <c r="Z6183" s="33"/>
      <c r="AA6183" s="33"/>
      <c r="AB6183" s="33"/>
      <c r="AC6183" s="33"/>
      <c r="AD6183" s="33"/>
      <c r="AE6183" s="33"/>
      <c r="AF6183" s="33"/>
      <c r="AG6183" s="33"/>
      <c r="AH6183" s="33"/>
      <c r="AI6183" s="33"/>
      <c r="AJ6183" s="33"/>
      <c r="AK6183" s="33"/>
    </row>
    <row r="6184">
      <c r="A6184" s="33"/>
      <c r="B6184" s="33"/>
      <c r="C6184" s="33"/>
      <c r="D6184" s="33"/>
      <c r="E6184" s="33"/>
      <c r="F6184" s="33"/>
      <c r="G6184" s="33"/>
      <c r="H6184" s="33"/>
      <c r="I6184" s="33"/>
      <c r="J6184" s="33"/>
      <c r="K6184" s="33"/>
      <c r="L6184" s="33"/>
      <c r="M6184" s="33"/>
      <c r="N6184" s="33"/>
      <c r="O6184" s="33"/>
      <c r="P6184" s="33"/>
      <c r="Q6184" s="33"/>
      <c r="R6184" s="33"/>
      <c r="S6184" s="33"/>
      <c r="T6184" s="33"/>
      <c r="U6184" s="33"/>
      <c r="V6184" s="33"/>
      <c r="W6184" s="33"/>
      <c r="X6184" s="33"/>
      <c r="Y6184" s="33"/>
      <c r="Z6184" s="33"/>
      <c r="AA6184" s="33"/>
      <c r="AB6184" s="33"/>
      <c r="AC6184" s="33"/>
      <c r="AD6184" s="33"/>
      <c r="AE6184" s="33"/>
      <c r="AF6184" s="33"/>
      <c r="AG6184" s="33"/>
      <c r="AH6184" s="33"/>
      <c r="AI6184" s="33"/>
      <c r="AJ6184" s="33"/>
      <c r="AK6184" s="33"/>
    </row>
    <row r="6185">
      <c r="A6185" s="33"/>
      <c r="B6185" s="33"/>
      <c r="C6185" s="33"/>
      <c r="D6185" s="33"/>
      <c r="E6185" s="33"/>
      <c r="F6185" s="33"/>
      <c r="G6185" s="33"/>
      <c r="H6185" s="33"/>
      <c r="I6185" s="33"/>
      <c r="J6185" s="33"/>
      <c r="K6185" s="33"/>
      <c r="L6185" s="33"/>
      <c r="M6185" s="33"/>
      <c r="N6185" s="33"/>
      <c r="O6185" s="33"/>
      <c r="P6185" s="33"/>
      <c r="Q6185" s="33"/>
      <c r="R6185" s="33"/>
      <c r="S6185" s="33"/>
      <c r="T6185" s="33"/>
      <c r="U6185" s="33"/>
      <c r="V6185" s="33"/>
      <c r="W6185" s="33"/>
      <c r="X6185" s="33"/>
      <c r="Y6185" s="33"/>
      <c r="Z6185" s="33"/>
      <c r="AA6185" s="33"/>
      <c r="AB6185" s="33"/>
      <c r="AC6185" s="33"/>
      <c r="AD6185" s="33"/>
      <c r="AE6185" s="33"/>
      <c r="AF6185" s="33"/>
      <c r="AG6185" s="33"/>
      <c r="AH6185" s="33"/>
      <c r="AI6185" s="33"/>
      <c r="AJ6185" s="33"/>
      <c r="AK6185" s="33"/>
    </row>
    <row r="6186">
      <c r="A6186" s="33"/>
      <c r="B6186" s="33"/>
      <c r="C6186" s="33"/>
      <c r="D6186" s="33"/>
      <c r="E6186" s="33"/>
      <c r="F6186" s="33"/>
      <c r="G6186" s="33"/>
      <c r="H6186" s="33"/>
      <c r="I6186" s="33"/>
      <c r="J6186" s="33"/>
      <c r="K6186" s="33"/>
      <c r="L6186" s="33"/>
      <c r="M6186" s="33"/>
      <c r="N6186" s="33"/>
      <c r="O6186" s="33"/>
      <c r="P6186" s="33"/>
      <c r="Q6186" s="33"/>
      <c r="R6186" s="33"/>
      <c r="S6186" s="33"/>
      <c r="T6186" s="33"/>
      <c r="U6186" s="33"/>
      <c r="V6186" s="33"/>
      <c r="W6186" s="33"/>
      <c r="X6186" s="33"/>
      <c r="Y6186" s="33"/>
      <c r="Z6186" s="33"/>
      <c r="AA6186" s="33"/>
      <c r="AB6186" s="33"/>
      <c r="AC6186" s="33"/>
      <c r="AD6186" s="33"/>
      <c r="AE6186" s="33"/>
      <c r="AF6186" s="33"/>
      <c r="AG6186" s="33"/>
      <c r="AH6186" s="33"/>
      <c r="AI6186" s="33"/>
      <c r="AJ6186" s="33"/>
      <c r="AK6186" s="33"/>
    </row>
    <row r="6187">
      <c r="A6187" s="33"/>
      <c r="B6187" s="33"/>
      <c r="C6187" s="33"/>
      <c r="D6187" s="33"/>
      <c r="E6187" s="33"/>
      <c r="F6187" s="33"/>
      <c r="G6187" s="33"/>
      <c r="H6187" s="33"/>
      <c r="I6187" s="33"/>
      <c r="J6187" s="33"/>
      <c r="K6187" s="33"/>
      <c r="L6187" s="33"/>
      <c r="M6187" s="33"/>
      <c r="N6187" s="33"/>
      <c r="O6187" s="33"/>
      <c r="P6187" s="33"/>
      <c r="Q6187" s="33"/>
      <c r="R6187" s="33"/>
      <c r="S6187" s="33"/>
      <c r="T6187" s="33"/>
      <c r="U6187" s="33"/>
      <c r="V6187" s="33"/>
      <c r="W6187" s="33"/>
      <c r="X6187" s="33"/>
      <c r="Y6187" s="33"/>
      <c r="Z6187" s="33"/>
      <c r="AA6187" s="33"/>
      <c r="AB6187" s="33"/>
      <c r="AC6187" s="33"/>
      <c r="AD6187" s="33"/>
      <c r="AE6187" s="33"/>
      <c r="AF6187" s="33"/>
      <c r="AG6187" s="33"/>
      <c r="AH6187" s="33"/>
      <c r="AI6187" s="33"/>
      <c r="AJ6187" s="33"/>
      <c r="AK6187" s="33"/>
    </row>
    <row r="6188">
      <c r="A6188" s="33"/>
      <c r="B6188" s="33"/>
      <c r="C6188" s="33"/>
      <c r="D6188" s="33"/>
      <c r="E6188" s="33"/>
      <c r="F6188" s="33"/>
      <c r="G6188" s="33"/>
      <c r="H6188" s="33"/>
      <c r="I6188" s="33"/>
      <c r="J6188" s="33"/>
      <c r="K6188" s="33"/>
      <c r="L6188" s="33"/>
      <c r="M6188" s="33"/>
      <c r="N6188" s="33"/>
      <c r="O6188" s="33"/>
      <c r="P6188" s="33"/>
      <c r="Q6188" s="33"/>
      <c r="R6188" s="33"/>
      <c r="S6188" s="33"/>
      <c r="T6188" s="33"/>
      <c r="U6188" s="33"/>
      <c r="V6188" s="33"/>
      <c r="W6188" s="33"/>
      <c r="X6188" s="33"/>
      <c r="Y6188" s="33"/>
      <c r="Z6188" s="33"/>
      <c r="AA6188" s="33"/>
      <c r="AB6188" s="33"/>
      <c r="AC6188" s="33"/>
      <c r="AD6188" s="33"/>
      <c r="AE6188" s="33"/>
      <c r="AF6188" s="33"/>
      <c r="AG6188" s="33"/>
      <c r="AH6188" s="33"/>
      <c r="AI6188" s="33"/>
      <c r="AJ6188" s="33"/>
      <c r="AK6188" s="33"/>
    </row>
    <row r="6189">
      <c r="A6189" s="33"/>
      <c r="B6189" s="33"/>
      <c r="C6189" s="33"/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  <c r="Q6189" s="33"/>
      <c r="R6189" s="33"/>
      <c r="S6189" s="33"/>
      <c r="T6189" s="33"/>
      <c r="U6189" s="33"/>
      <c r="V6189" s="33"/>
      <c r="W6189" s="33"/>
      <c r="X6189" s="33"/>
      <c r="Y6189" s="33"/>
      <c r="Z6189" s="33"/>
      <c r="AA6189" s="33"/>
      <c r="AB6189" s="33"/>
      <c r="AC6189" s="33"/>
      <c r="AD6189" s="33"/>
      <c r="AE6189" s="33"/>
      <c r="AF6189" s="33"/>
      <c r="AG6189" s="33"/>
      <c r="AH6189" s="33"/>
      <c r="AI6189" s="33"/>
      <c r="AJ6189" s="33"/>
      <c r="AK6189" s="33"/>
    </row>
    <row r="6190">
      <c r="A6190" s="33"/>
      <c r="B6190" s="33"/>
      <c r="C6190" s="33"/>
      <c r="D6190" s="33"/>
      <c r="E6190" s="33"/>
      <c r="F6190" s="33"/>
      <c r="G6190" s="33"/>
      <c r="H6190" s="33"/>
      <c r="I6190" s="33"/>
      <c r="J6190" s="33"/>
      <c r="K6190" s="33"/>
      <c r="L6190" s="33"/>
      <c r="M6190" s="33"/>
      <c r="N6190" s="33"/>
      <c r="O6190" s="33"/>
      <c r="P6190" s="33"/>
      <c r="Q6190" s="33"/>
      <c r="R6190" s="33"/>
      <c r="S6190" s="33"/>
      <c r="T6190" s="33"/>
      <c r="U6190" s="33"/>
      <c r="V6190" s="33"/>
      <c r="W6190" s="33"/>
      <c r="X6190" s="33"/>
      <c r="Y6190" s="33"/>
      <c r="Z6190" s="33"/>
      <c r="AA6190" s="33"/>
      <c r="AB6190" s="33"/>
      <c r="AC6190" s="33"/>
      <c r="AD6190" s="33"/>
      <c r="AE6190" s="33"/>
      <c r="AF6190" s="33"/>
      <c r="AG6190" s="33"/>
      <c r="AH6190" s="33"/>
      <c r="AI6190" s="33"/>
      <c r="AJ6190" s="33"/>
      <c r="AK6190" s="33"/>
    </row>
    <row r="6191">
      <c r="A6191" s="33"/>
      <c r="B6191" s="33"/>
      <c r="C6191" s="33"/>
      <c r="D6191" s="33"/>
      <c r="E6191" s="33"/>
      <c r="F6191" s="33"/>
      <c r="G6191" s="33"/>
      <c r="H6191" s="33"/>
      <c r="I6191" s="33"/>
      <c r="J6191" s="33"/>
      <c r="K6191" s="33"/>
      <c r="L6191" s="33"/>
      <c r="M6191" s="33"/>
      <c r="N6191" s="33"/>
      <c r="O6191" s="33"/>
      <c r="P6191" s="33"/>
      <c r="Q6191" s="33"/>
      <c r="R6191" s="33"/>
      <c r="S6191" s="33"/>
      <c r="T6191" s="33"/>
      <c r="U6191" s="33"/>
      <c r="V6191" s="33"/>
      <c r="W6191" s="33"/>
      <c r="X6191" s="33"/>
      <c r="Y6191" s="33"/>
      <c r="Z6191" s="33"/>
      <c r="AA6191" s="33"/>
      <c r="AB6191" s="33"/>
      <c r="AC6191" s="33"/>
      <c r="AD6191" s="33"/>
      <c r="AE6191" s="33"/>
      <c r="AF6191" s="33"/>
      <c r="AG6191" s="33"/>
      <c r="AH6191" s="33"/>
      <c r="AI6191" s="33"/>
      <c r="AJ6191" s="33"/>
      <c r="AK6191" s="33"/>
    </row>
    <row r="6192">
      <c r="A6192" s="33"/>
      <c r="B6192" s="33"/>
      <c r="C6192" s="33"/>
      <c r="D6192" s="33"/>
      <c r="E6192" s="33"/>
      <c r="F6192" s="33"/>
      <c r="G6192" s="33"/>
      <c r="H6192" s="33"/>
      <c r="I6192" s="33"/>
      <c r="J6192" s="33"/>
      <c r="K6192" s="33"/>
      <c r="L6192" s="33"/>
      <c r="M6192" s="33"/>
      <c r="N6192" s="33"/>
      <c r="O6192" s="33"/>
      <c r="P6192" s="33"/>
      <c r="Q6192" s="33"/>
      <c r="R6192" s="33"/>
      <c r="S6192" s="33"/>
      <c r="T6192" s="33"/>
      <c r="U6192" s="33"/>
      <c r="V6192" s="33"/>
      <c r="W6192" s="33"/>
      <c r="X6192" s="33"/>
      <c r="Y6192" s="33"/>
      <c r="Z6192" s="33"/>
      <c r="AA6192" s="33"/>
      <c r="AB6192" s="33"/>
      <c r="AC6192" s="33"/>
      <c r="AD6192" s="33"/>
      <c r="AE6192" s="33"/>
      <c r="AF6192" s="33"/>
      <c r="AG6192" s="33"/>
      <c r="AH6192" s="33"/>
      <c r="AI6192" s="33"/>
      <c r="AJ6192" s="33"/>
      <c r="AK6192" s="33"/>
    </row>
    <row r="6193">
      <c r="A6193" s="33"/>
      <c r="B6193" s="33"/>
      <c r="C6193" s="33"/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  <c r="Q6193" s="33"/>
      <c r="R6193" s="33"/>
      <c r="S6193" s="33"/>
      <c r="T6193" s="33"/>
      <c r="U6193" s="33"/>
      <c r="V6193" s="33"/>
      <c r="W6193" s="33"/>
      <c r="X6193" s="33"/>
      <c r="Y6193" s="33"/>
      <c r="Z6193" s="33"/>
      <c r="AA6193" s="33"/>
      <c r="AB6193" s="33"/>
      <c r="AC6193" s="33"/>
      <c r="AD6193" s="33"/>
      <c r="AE6193" s="33"/>
      <c r="AF6193" s="33"/>
      <c r="AG6193" s="33"/>
      <c r="AH6193" s="33"/>
      <c r="AI6193" s="33"/>
      <c r="AJ6193" s="33"/>
      <c r="AK6193" s="33"/>
    </row>
    <row r="6194">
      <c r="A6194" s="33"/>
      <c r="B6194" s="33"/>
      <c r="C6194" s="33"/>
      <c r="D6194" s="33"/>
      <c r="E6194" s="33"/>
      <c r="F6194" s="33"/>
      <c r="G6194" s="33"/>
      <c r="H6194" s="33"/>
      <c r="I6194" s="33"/>
      <c r="J6194" s="33"/>
      <c r="K6194" s="33"/>
      <c r="L6194" s="33"/>
      <c r="M6194" s="33"/>
      <c r="N6194" s="33"/>
      <c r="O6194" s="33"/>
      <c r="P6194" s="33"/>
      <c r="Q6194" s="33"/>
      <c r="R6194" s="33"/>
      <c r="S6194" s="33"/>
      <c r="T6194" s="33"/>
      <c r="U6194" s="33"/>
      <c r="V6194" s="33"/>
      <c r="W6194" s="33"/>
      <c r="X6194" s="33"/>
      <c r="Y6194" s="33"/>
      <c r="Z6194" s="33"/>
      <c r="AA6194" s="33"/>
      <c r="AB6194" s="33"/>
      <c r="AC6194" s="33"/>
      <c r="AD6194" s="33"/>
      <c r="AE6194" s="33"/>
      <c r="AF6194" s="33"/>
      <c r="AG6194" s="33"/>
      <c r="AH6194" s="33"/>
      <c r="AI6194" s="33"/>
      <c r="AJ6194" s="33"/>
      <c r="AK6194" s="33"/>
    </row>
    <row r="6195">
      <c r="A6195" s="33"/>
      <c r="B6195" s="33"/>
      <c r="C6195" s="33"/>
      <c r="D6195" s="33"/>
      <c r="E6195" s="33"/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33"/>
      <c r="Q6195" s="33"/>
      <c r="R6195" s="33"/>
      <c r="S6195" s="33"/>
      <c r="T6195" s="33"/>
      <c r="U6195" s="33"/>
      <c r="V6195" s="33"/>
      <c r="W6195" s="33"/>
      <c r="X6195" s="33"/>
      <c r="Y6195" s="33"/>
      <c r="Z6195" s="33"/>
      <c r="AA6195" s="33"/>
      <c r="AB6195" s="33"/>
      <c r="AC6195" s="33"/>
      <c r="AD6195" s="33"/>
      <c r="AE6195" s="33"/>
      <c r="AF6195" s="33"/>
      <c r="AG6195" s="33"/>
      <c r="AH6195" s="33"/>
      <c r="AI6195" s="33"/>
      <c r="AJ6195" s="33"/>
      <c r="AK6195" s="33"/>
    </row>
    <row r="6196">
      <c r="A6196" s="33"/>
      <c r="B6196" s="33"/>
      <c r="C6196" s="33"/>
      <c r="D6196" s="33"/>
      <c r="E6196" s="33"/>
      <c r="F6196" s="33"/>
      <c r="G6196" s="33"/>
      <c r="H6196" s="33"/>
      <c r="I6196" s="33"/>
      <c r="J6196" s="33"/>
      <c r="K6196" s="33"/>
      <c r="L6196" s="33"/>
      <c r="M6196" s="33"/>
      <c r="N6196" s="33"/>
      <c r="O6196" s="33"/>
      <c r="P6196" s="33"/>
      <c r="Q6196" s="33"/>
      <c r="R6196" s="33"/>
      <c r="S6196" s="33"/>
      <c r="T6196" s="33"/>
      <c r="U6196" s="33"/>
      <c r="V6196" s="33"/>
      <c r="W6196" s="33"/>
      <c r="X6196" s="33"/>
      <c r="Y6196" s="33"/>
      <c r="Z6196" s="33"/>
      <c r="AA6196" s="33"/>
      <c r="AB6196" s="33"/>
      <c r="AC6196" s="33"/>
      <c r="AD6196" s="33"/>
      <c r="AE6196" s="33"/>
      <c r="AF6196" s="33"/>
      <c r="AG6196" s="33"/>
      <c r="AH6196" s="33"/>
      <c r="AI6196" s="33"/>
      <c r="AJ6196" s="33"/>
      <c r="AK6196" s="33"/>
    </row>
    <row r="6197">
      <c r="A6197" s="33"/>
      <c r="B6197" s="33"/>
      <c r="C6197" s="33"/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  <c r="Q6197" s="33"/>
      <c r="R6197" s="33"/>
      <c r="S6197" s="33"/>
      <c r="T6197" s="33"/>
      <c r="U6197" s="33"/>
      <c r="V6197" s="33"/>
      <c r="W6197" s="33"/>
      <c r="X6197" s="33"/>
      <c r="Y6197" s="33"/>
      <c r="Z6197" s="33"/>
      <c r="AA6197" s="33"/>
      <c r="AB6197" s="33"/>
      <c r="AC6197" s="33"/>
      <c r="AD6197" s="33"/>
      <c r="AE6197" s="33"/>
      <c r="AF6197" s="33"/>
      <c r="AG6197" s="33"/>
      <c r="AH6197" s="33"/>
      <c r="AI6197" s="33"/>
      <c r="AJ6197" s="33"/>
      <c r="AK6197" s="33"/>
    </row>
    <row r="6198">
      <c r="A6198" s="33"/>
      <c r="B6198" s="33"/>
      <c r="C6198" s="33"/>
      <c r="D6198" s="33"/>
      <c r="E6198" s="33"/>
      <c r="F6198" s="33"/>
      <c r="G6198" s="33"/>
      <c r="H6198" s="33"/>
      <c r="I6198" s="33"/>
      <c r="J6198" s="33"/>
      <c r="K6198" s="33"/>
      <c r="L6198" s="33"/>
      <c r="M6198" s="33"/>
      <c r="N6198" s="33"/>
      <c r="O6198" s="33"/>
      <c r="P6198" s="33"/>
      <c r="Q6198" s="33"/>
      <c r="R6198" s="33"/>
      <c r="S6198" s="33"/>
      <c r="T6198" s="33"/>
      <c r="U6198" s="33"/>
      <c r="V6198" s="33"/>
      <c r="W6198" s="33"/>
      <c r="X6198" s="33"/>
      <c r="Y6198" s="33"/>
      <c r="Z6198" s="33"/>
      <c r="AA6198" s="33"/>
      <c r="AB6198" s="33"/>
      <c r="AC6198" s="33"/>
      <c r="AD6198" s="33"/>
      <c r="AE6198" s="33"/>
      <c r="AF6198" s="33"/>
      <c r="AG6198" s="33"/>
      <c r="AH6198" s="33"/>
      <c r="AI6198" s="33"/>
      <c r="AJ6198" s="33"/>
      <c r="AK6198" s="33"/>
    </row>
    <row r="6199">
      <c r="A6199" s="33"/>
      <c r="B6199" s="33"/>
      <c r="C6199" s="33"/>
      <c r="D6199" s="33"/>
      <c r="E6199" s="33"/>
      <c r="F6199" s="33"/>
      <c r="G6199" s="33"/>
      <c r="H6199" s="33"/>
      <c r="I6199" s="33"/>
      <c r="J6199" s="33"/>
      <c r="K6199" s="33"/>
      <c r="L6199" s="33"/>
      <c r="M6199" s="33"/>
      <c r="N6199" s="33"/>
      <c r="O6199" s="33"/>
      <c r="P6199" s="33"/>
      <c r="Q6199" s="33"/>
      <c r="R6199" s="33"/>
      <c r="S6199" s="33"/>
      <c r="T6199" s="33"/>
      <c r="U6199" s="33"/>
      <c r="V6199" s="33"/>
      <c r="W6199" s="33"/>
      <c r="X6199" s="33"/>
      <c r="Y6199" s="33"/>
      <c r="Z6199" s="33"/>
      <c r="AA6199" s="33"/>
      <c r="AB6199" s="33"/>
      <c r="AC6199" s="33"/>
      <c r="AD6199" s="33"/>
      <c r="AE6199" s="33"/>
      <c r="AF6199" s="33"/>
      <c r="AG6199" s="33"/>
      <c r="AH6199" s="33"/>
      <c r="AI6199" s="33"/>
      <c r="AJ6199" s="33"/>
      <c r="AK6199" s="33"/>
    </row>
    <row r="6200">
      <c r="A6200" s="33"/>
      <c r="B6200" s="33"/>
      <c r="C6200" s="33"/>
      <c r="D6200" s="33"/>
      <c r="E6200" s="33"/>
      <c r="F6200" s="33"/>
      <c r="G6200" s="33"/>
      <c r="H6200" s="33"/>
      <c r="I6200" s="33"/>
      <c r="J6200" s="33"/>
      <c r="K6200" s="33"/>
      <c r="L6200" s="33"/>
      <c r="M6200" s="33"/>
      <c r="N6200" s="33"/>
      <c r="O6200" s="33"/>
      <c r="P6200" s="33"/>
      <c r="Q6200" s="33"/>
      <c r="R6200" s="33"/>
      <c r="S6200" s="33"/>
      <c r="T6200" s="33"/>
      <c r="U6200" s="33"/>
      <c r="V6200" s="33"/>
      <c r="W6200" s="33"/>
      <c r="X6200" s="33"/>
      <c r="Y6200" s="33"/>
      <c r="Z6200" s="33"/>
      <c r="AA6200" s="33"/>
      <c r="AB6200" s="33"/>
      <c r="AC6200" s="33"/>
      <c r="AD6200" s="33"/>
      <c r="AE6200" s="33"/>
      <c r="AF6200" s="33"/>
      <c r="AG6200" s="33"/>
      <c r="AH6200" s="33"/>
      <c r="AI6200" s="33"/>
      <c r="AJ6200" s="33"/>
      <c r="AK6200" s="33"/>
    </row>
    <row r="6201">
      <c r="A6201" s="33"/>
      <c r="B6201" s="33"/>
      <c r="C6201" s="33"/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  <c r="Q6201" s="33"/>
      <c r="R6201" s="33"/>
      <c r="S6201" s="33"/>
      <c r="T6201" s="33"/>
      <c r="U6201" s="33"/>
      <c r="V6201" s="33"/>
      <c r="W6201" s="33"/>
      <c r="X6201" s="33"/>
      <c r="Y6201" s="33"/>
      <c r="Z6201" s="33"/>
      <c r="AA6201" s="33"/>
      <c r="AB6201" s="33"/>
      <c r="AC6201" s="33"/>
      <c r="AD6201" s="33"/>
      <c r="AE6201" s="33"/>
      <c r="AF6201" s="33"/>
      <c r="AG6201" s="33"/>
      <c r="AH6201" s="33"/>
      <c r="AI6201" s="33"/>
      <c r="AJ6201" s="33"/>
      <c r="AK6201" s="33"/>
    </row>
    <row r="6202">
      <c r="A6202" s="33"/>
      <c r="B6202" s="33"/>
      <c r="C6202" s="33"/>
      <c r="D6202" s="33"/>
      <c r="E6202" s="33"/>
      <c r="F6202" s="33"/>
      <c r="G6202" s="33"/>
      <c r="H6202" s="33"/>
      <c r="I6202" s="33"/>
      <c r="J6202" s="33"/>
      <c r="K6202" s="33"/>
      <c r="L6202" s="33"/>
      <c r="M6202" s="33"/>
      <c r="N6202" s="33"/>
      <c r="O6202" s="33"/>
      <c r="P6202" s="33"/>
      <c r="Q6202" s="33"/>
      <c r="R6202" s="33"/>
      <c r="S6202" s="33"/>
      <c r="T6202" s="33"/>
      <c r="U6202" s="33"/>
      <c r="V6202" s="33"/>
      <c r="W6202" s="33"/>
      <c r="X6202" s="33"/>
      <c r="Y6202" s="33"/>
      <c r="Z6202" s="33"/>
      <c r="AA6202" s="33"/>
      <c r="AB6202" s="33"/>
      <c r="AC6202" s="33"/>
      <c r="AD6202" s="33"/>
      <c r="AE6202" s="33"/>
      <c r="AF6202" s="33"/>
      <c r="AG6202" s="33"/>
      <c r="AH6202" s="33"/>
      <c r="AI6202" s="33"/>
      <c r="AJ6202" s="33"/>
      <c r="AK6202" s="33"/>
    </row>
    <row r="6203">
      <c r="A6203" s="33"/>
      <c r="B6203" s="33"/>
      <c r="C6203" s="33"/>
      <c r="D6203" s="33"/>
      <c r="E6203" s="33"/>
      <c r="F6203" s="33"/>
      <c r="G6203" s="33"/>
      <c r="H6203" s="33"/>
      <c r="I6203" s="33"/>
      <c r="J6203" s="33"/>
      <c r="K6203" s="33"/>
      <c r="L6203" s="33"/>
      <c r="M6203" s="33"/>
      <c r="N6203" s="33"/>
      <c r="O6203" s="33"/>
      <c r="P6203" s="33"/>
      <c r="Q6203" s="33"/>
      <c r="R6203" s="33"/>
      <c r="S6203" s="33"/>
      <c r="T6203" s="33"/>
      <c r="U6203" s="33"/>
      <c r="V6203" s="33"/>
      <c r="W6203" s="33"/>
      <c r="X6203" s="33"/>
      <c r="Y6203" s="33"/>
      <c r="Z6203" s="33"/>
      <c r="AA6203" s="33"/>
      <c r="AB6203" s="33"/>
      <c r="AC6203" s="33"/>
      <c r="AD6203" s="33"/>
      <c r="AE6203" s="33"/>
      <c r="AF6203" s="33"/>
      <c r="AG6203" s="33"/>
      <c r="AH6203" s="33"/>
      <c r="AI6203" s="33"/>
      <c r="AJ6203" s="33"/>
      <c r="AK6203" s="33"/>
    </row>
    <row r="6204">
      <c r="A6204" s="33"/>
      <c r="B6204" s="33"/>
      <c r="C6204" s="33"/>
      <c r="D6204" s="33"/>
      <c r="E6204" s="33"/>
      <c r="F6204" s="33"/>
      <c r="G6204" s="33"/>
      <c r="H6204" s="33"/>
      <c r="I6204" s="33"/>
      <c r="J6204" s="33"/>
      <c r="K6204" s="33"/>
      <c r="L6204" s="33"/>
      <c r="M6204" s="33"/>
      <c r="N6204" s="33"/>
      <c r="O6204" s="33"/>
      <c r="P6204" s="33"/>
      <c r="Q6204" s="33"/>
      <c r="R6204" s="33"/>
      <c r="S6204" s="33"/>
      <c r="T6204" s="33"/>
      <c r="U6204" s="33"/>
      <c r="V6204" s="33"/>
      <c r="W6204" s="33"/>
      <c r="X6204" s="33"/>
      <c r="Y6204" s="33"/>
      <c r="Z6204" s="33"/>
      <c r="AA6204" s="33"/>
      <c r="AB6204" s="33"/>
      <c r="AC6204" s="33"/>
      <c r="AD6204" s="33"/>
      <c r="AE6204" s="33"/>
      <c r="AF6204" s="33"/>
      <c r="AG6204" s="33"/>
      <c r="AH6204" s="33"/>
      <c r="AI6204" s="33"/>
      <c r="AJ6204" s="33"/>
      <c r="AK6204" s="33"/>
    </row>
    <row r="6205">
      <c r="A6205" s="33"/>
      <c r="B6205" s="33"/>
      <c r="C6205" s="33"/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  <c r="Q6205" s="33"/>
      <c r="R6205" s="33"/>
      <c r="S6205" s="33"/>
      <c r="T6205" s="33"/>
      <c r="U6205" s="33"/>
      <c r="V6205" s="33"/>
      <c r="W6205" s="33"/>
      <c r="X6205" s="33"/>
      <c r="Y6205" s="33"/>
      <c r="Z6205" s="33"/>
      <c r="AA6205" s="33"/>
      <c r="AB6205" s="33"/>
      <c r="AC6205" s="33"/>
      <c r="AD6205" s="33"/>
      <c r="AE6205" s="33"/>
      <c r="AF6205" s="33"/>
      <c r="AG6205" s="33"/>
      <c r="AH6205" s="33"/>
      <c r="AI6205" s="33"/>
      <c r="AJ6205" s="33"/>
      <c r="AK6205" s="33"/>
    </row>
    <row r="6206">
      <c r="A6206" s="33"/>
      <c r="B6206" s="33"/>
      <c r="C6206" s="33"/>
      <c r="D6206" s="33"/>
      <c r="E6206" s="33"/>
      <c r="F6206" s="33"/>
      <c r="G6206" s="33"/>
      <c r="H6206" s="33"/>
      <c r="I6206" s="33"/>
      <c r="J6206" s="33"/>
      <c r="K6206" s="33"/>
      <c r="L6206" s="33"/>
      <c r="M6206" s="33"/>
      <c r="N6206" s="33"/>
      <c r="O6206" s="33"/>
      <c r="P6206" s="33"/>
      <c r="Q6206" s="33"/>
      <c r="R6206" s="33"/>
      <c r="S6206" s="33"/>
      <c r="T6206" s="33"/>
      <c r="U6206" s="33"/>
      <c r="V6206" s="33"/>
      <c r="W6206" s="33"/>
      <c r="X6206" s="33"/>
      <c r="Y6206" s="33"/>
      <c r="Z6206" s="33"/>
      <c r="AA6206" s="33"/>
      <c r="AB6206" s="33"/>
      <c r="AC6206" s="33"/>
      <c r="AD6206" s="33"/>
      <c r="AE6206" s="33"/>
      <c r="AF6206" s="33"/>
      <c r="AG6206" s="33"/>
      <c r="AH6206" s="33"/>
      <c r="AI6206" s="33"/>
      <c r="AJ6206" s="33"/>
      <c r="AK6206" s="33"/>
    </row>
    <row r="6207">
      <c r="A6207" s="33"/>
      <c r="B6207" s="33"/>
      <c r="C6207" s="33"/>
      <c r="D6207" s="33"/>
      <c r="E6207" s="33"/>
      <c r="F6207" s="33"/>
      <c r="G6207" s="33"/>
      <c r="H6207" s="33"/>
      <c r="I6207" s="33"/>
      <c r="J6207" s="33"/>
      <c r="K6207" s="33"/>
      <c r="L6207" s="33"/>
      <c r="M6207" s="33"/>
      <c r="N6207" s="33"/>
      <c r="O6207" s="33"/>
      <c r="P6207" s="33"/>
      <c r="Q6207" s="33"/>
      <c r="R6207" s="33"/>
      <c r="S6207" s="33"/>
      <c r="T6207" s="33"/>
      <c r="U6207" s="33"/>
      <c r="V6207" s="33"/>
      <c r="W6207" s="33"/>
      <c r="X6207" s="33"/>
      <c r="Y6207" s="33"/>
      <c r="Z6207" s="33"/>
      <c r="AA6207" s="33"/>
      <c r="AB6207" s="33"/>
      <c r="AC6207" s="33"/>
      <c r="AD6207" s="33"/>
      <c r="AE6207" s="33"/>
      <c r="AF6207" s="33"/>
      <c r="AG6207" s="33"/>
      <c r="AH6207" s="33"/>
      <c r="AI6207" s="33"/>
      <c r="AJ6207" s="33"/>
      <c r="AK6207" s="33"/>
    </row>
    <row r="6208">
      <c r="A6208" s="33"/>
      <c r="B6208" s="33"/>
      <c r="C6208" s="33"/>
      <c r="D6208" s="33"/>
      <c r="E6208" s="33"/>
      <c r="F6208" s="33"/>
      <c r="G6208" s="33"/>
      <c r="H6208" s="33"/>
      <c r="I6208" s="33"/>
      <c r="J6208" s="33"/>
      <c r="K6208" s="33"/>
      <c r="L6208" s="33"/>
      <c r="M6208" s="33"/>
      <c r="N6208" s="33"/>
      <c r="O6208" s="33"/>
      <c r="P6208" s="33"/>
      <c r="Q6208" s="33"/>
      <c r="R6208" s="33"/>
      <c r="S6208" s="33"/>
      <c r="T6208" s="33"/>
      <c r="U6208" s="33"/>
      <c r="V6208" s="33"/>
      <c r="W6208" s="33"/>
      <c r="X6208" s="33"/>
      <c r="Y6208" s="33"/>
      <c r="Z6208" s="33"/>
      <c r="AA6208" s="33"/>
      <c r="AB6208" s="33"/>
      <c r="AC6208" s="33"/>
      <c r="AD6208" s="33"/>
      <c r="AE6208" s="33"/>
      <c r="AF6208" s="33"/>
      <c r="AG6208" s="33"/>
      <c r="AH6208" s="33"/>
      <c r="AI6208" s="33"/>
      <c r="AJ6208" s="33"/>
      <c r="AK6208" s="33"/>
    </row>
    <row r="6209">
      <c r="A6209" s="33"/>
      <c r="B6209" s="33"/>
      <c r="C6209" s="33"/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  <c r="Q6209" s="33"/>
      <c r="R6209" s="33"/>
      <c r="S6209" s="33"/>
      <c r="T6209" s="33"/>
      <c r="U6209" s="33"/>
      <c r="V6209" s="33"/>
      <c r="W6209" s="33"/>
      <c r="X6209" s="33"/>
      <c r="Y6209" s="33"/>
      <c r="Z6209" s="33"/>
      <c r="AA6209" s="33"/>
      <c r="AB6209" s="33"/>
      <c r="AC6209" s="33"/>
      <c r="AD6209" s="33"/>
      <c r="AE6209" s="33"/>
      <c r="AF6209" s="33"/>
      <c r="AG6209" s="33"/>
      <c r="AH6209" s="33"/>
      <c r="AI6209" s="33"/>
      <c r="AJ6209" s="33"/>
      <c r="AK6209" s="33"/>
    </row>
    <row r="6210">
      <c r="A6210" s="33"/>
      <c r="B6210" s="33"/>
      <c r="C6210" s="33"/>
      <c r="D6210" s="33"/>
      <c r="E6210" s="33"/>
      <c r="F6210" s="33"/>
      <c r="G6210" s="33"/>
      <c r="H6210" s="33"/>
      <c r="I6210" s="33"/>
      <c r="J6210" s="33"/>
      <c r="K6210" s="33"/>
      <c r="L6210" s="33"/>
      <c r="M6210" s="33"/>
      <c r="N6210" s="33"/>
      <c r="O6210" s="33"/>
      <c r="P6210" s="33"/>
      <c r="Q6210" s="33"/>
      <c r="R6210" s="33"/>
      <c r="S6210" s="33"/>
      <c r="T6210" s="33"/>
      <c r="U6210" s="33"/>
      <c r="V6210" s="33"/>
      <c r="W6210" s="33"/>
      <c r="X6210" s="33"/>
      <c r="Y6210" s="33"/>
      <c r="Z6210" s="33"/>
      <c r="AA6210" s="33"/>
      <c r="AB6210" s="33"/>
      <c r="AC6210" s="33"/>
      <c r="AD6210" s="33"/>
      <c r="AE6210" s="33"/>
      <c r="AF6210" s="33"/>
      <c r="AG6210" s="33"/>
      <c r="AH6210" s="33"/>
      <c r="AI6210" s="33"/>
      <c r="AJ6210" s="33"/>
      <c r="AK6210" s="33"/>
    </row>
    <row r="6211">
      <c r="A6211" s="33"/>
      <c r="B6211" s="33"/>
      <c r="C6211" s="33"/>
      <c r="D6211" s="33"/>
      <c r="E6211" s="33"/>
      <c r="F6211" s="33"/>
      <c r="G6211" s="33"/>
      <c r="H6211" s="33"/>
      <c r="I6211" s="33"/>
      <c r="J6211" s="33"/>
      <c r="K6211" s="33"/>
      <c r="L6211" s="33"/>
      <c r="M6211" s="33"/>
      <c r="N6211" s="33"/>
      <c r="O6211" s="33"/>
      <c r="P6211" s="33"/>
      <c r="Q6211" s="33"/>
      <c r="R6211" s="33"/>
      <c r="S6211" s="33"/>
      <c r="T6211" s="33"/>
      <c r="U6211" s="33"/>
      <c r="V6211" s="33"/>
      <c r="W6211" s="33"/>
      <c r="X6211" s="33"/>
      <c r="Y6211" s="33"/>
      <c r="Z6211" s="33"/>
      <c r="AA6211" s="33"/>
      <c r="AB6211" s="33"/>
      <c r="AC6211" s="33"/>
      <c r="AD6211" s="33"/>
      <c r="AE6211" s="33"/>
      <c r="AF6211" s="33"/>
      <c r="AG6211" s="33"/>
      <c r="AH6211" s="33"/>
      <c r="AI6211" s="33"/>
      <c r="AJ6211" s="33"/>
      <c r="AK6211" s="33"/>
    </row>
    <row r="6212">
      <c r="A6212" s="33"/>
      <c r="B6212" s="33"/>
      <c r="C6212" s="33"/>
      <c r="D6212" s="33"/>
      <c r="E6212" s="33"/>
      <c r="F6212" s="33"/>
      <c r="G6212" s="33"/>
      <c r="H6212" s="33"/>
      <c r="I6212" s="33"/>
      <c r="J6212" s="33"/>
      <c r="K6212" s="33"/>
      <c r="L6212" s="33"/>
      <c r="M6212" s="33"/>
      <c r="N6212" s="33"/>
      <c r="O6212" s="33"/>
      <c r="P6212" s="33"/>
      <c r="Q6212" s="33"/>
      <c r="R6212" s="33"/>
      <c r="S6212" s="33"/>
      <c r="T6212" s="33"/>
      <c r="U6212" s="33"/>
      <c r="V6212" s="33"/>
      <c r="W6212" s="33"/>
      <c r="X6212" s="33"/>
      <c r="Y6212" s="33"/>
      <c r="Z6212" s="33"/>
      <c r="AA6212" s="33"/>
      <c r="AB6212" s="33"/>
      <c r="AC6212" s="33"/>
      <c r="AD6212" s="33"/>
      <c r="AE6212" s="33"/>
      <c r="AF6212" s="33"/>
      <c r="AG6212" s="33"/>
      <c r="AH6212" s="33"/>
      <c r="AI6212" s="33"/>
      <c r="AJ6212" s="33"/>
      <c r="AK6212" s="33"/>
    </row>
    <row r="6213">
      <c r="A6213" s="33"/>
      <c r="B6213" s="33"/>
      <c r="C6213" s="33"/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  <c r="Q6213" s="33"/>
      <c r="R6213" s="33"/>
      <c r="S6213" s="33"/>
      <c r="T6213" s="33"/>
      <c r="U6213" s="33"/>
      <c r="V6213" s="33"/>
      <c r="W6213" s="33"/>
      <c r="X6213" s="33"/>
      <c r="Y6213" s="33"/>
      <c r="Z6213" s="33"/>
      <c r="AA6213" s="33"/>
      <c r="AB6213" s="33"/>
      <c r="AC6213" s="33"/>
      <c r="AD6213" s="33"/>
      <c r="AE6213" s="33"/>
      <c r="AF6213" s="33"/>
      <c r="AG6213" s="33"/>
      <c r="AH6213" s="33"/>
      <c r="AI6213" s="33"/>
      <c r="AJ6213" s="33"/>
      <c r="AK6213" s="33"/>
    </row>
    <row r="6214">
      <c r="A6214" s="33"/>
      <c r="B6214" s="33"/>
      <c r="C6214" s="33"/>
      <c r="D6214" s="33"/>
      <c r="E6214" s="33"/>
      <c r="F6214" s="33"/>
      <c r="G6214" s="33"/>
      <c r="H6214" s="33"/>
      <c r="I6214" s="33"/>
      <c r="J6214" s="33"/>
      <c r="K6214" s="33"/>
      <c r="L6214" s="33"/>
      <c r="M6214" s="33"/>
      <c r="N6214" s="33"/>
      <c r="O6214" s="33"/>
      <c r="P6214" s="33"/>
      <c r="Q6214" s="33"/>
      <c r="R6214" s="33"/>
      <c r="S6214" s="33"/>
      <c r="T6214" s="33"/>
      <c r="U6214" s="33"/>
      <c r="V6214" s="33"/>
      <c r="W6214" s="33"/>
      <c r="X6214" s="33"/>
      <c r="Y6214" s="33"/>
      <c r="Z6214" s="33"/>
      <c r="AA6214" s="33"/>
      <c r="AB6214" s="33"/>
      <c r="AC6214" s="33"/>
      <c r="AD6214" s="33"/>
      <c r="AE6214" s="33"/>
      <c r="AF6214" s="33"/>
      <c r="AG6214" s="33"/>
      <c r="AH6214" s="33"/>
      <c r="AI6214" s="33"/>
      <c r="AJ6214" s="33"/>
      <c r="AK6214" s="33"/>
    </row>
    <row r="6215">
      <c r="A6215" s="33"/>
      <c r="B6215" s="33"/>
      <c r="C6215" s="33"/>
      <c r="D6215" s="33"/>
      <c r="E6215" s="33"/>
      <c r="F6215" s="33"/>
      <c r="G6215" s="33"/>
      <c r="H6215" s="33"/>
      <c r="I6215" s="33"/>
      <c r="J6215" s="33"/>
      <c r="K6215" s="33"/>
      <c r="L6215" s="33"/>
      <c r="M6215" s="33"/>
      <c r="N6215" s="33"/>
      <c r="O6215" s="33"/>
      <c r="P6215" s="33"/>
      <c r="Q6215" s="33"/>
      <c r="R6215" s="33"/>
      <c r="S6215" s="33"/>
      <c r="T6215" s="33"/>
      <c r="U6215" s="33"/>
      <c r="V6215" s="33"/>
      <c r="W6215" s="33"/>
      <c r="X6215" s="33"/>
      <c r="Y6215" s="33"/>
      <c r="Z6215" s="33"/>
      <c r="AA6215" s="33"/>
      <c r="AB6215" s="33"/>
      <c r="AC6215" s="33"/>
      <c r="AD6215" s="33"/>
      <c r="AE6215" s="33"/>
      <c r="AF6215" s="33"/>
      <c r="AG6215" s="33"/>
      <c r="AH6215" s="33"/>
      <c r="AI6215" s="33"/>
      <c r="AJ6215" s="33"/>
      <c r="AK6215" s="33"/>
    </row>
    <row r="6216">
      <c r="A6216" s="33"/>
      <c r="B6216" s="33"/>
      <c r="C6216" s="33"/>
      <c r="D6216" s="33"/>
      <c r="E6216" s="33"/>
      <c r="F6216" s="33"/>
      <c r="G6216" s="33"/>
      <c r="H6216" s="33"/>
      <c r="I6216" s="33"/>
      <c r="J6216" s="33"/>
      <c r="K6216" s="33"/>
      <c r="L6216" s="33"/>
      <c r="M6216" s="33"/>
      <c r="N6216" s="33"/>
      <c r="O6216" s="33"/>
      <c r="P6216" s="33"/>
      <c r="Q6216" s="33"/>
      <c r="R6216" s="33"/>
      <c r="S6216" s="33"/>
      <c r="T6216" s="33"/>
      <c r="U6216" s="33"/>
      <c r="V6216" s="33"/>
      <c r="W6216" s="33"/>
      <c r="X6216" s="33"/>
      <c r="Y6216" s="33"/>
      <c r="Z6216" s="33"/>
      <c r="AA6216" s="33"/>
      <c r="AB6216" s="33"/>
      <c r="AC6216" s="33"/>
      <c r="AD6216" s="33"/>
      <c r="AE6216" s="33"/>
      <c r="AF6216" s="33"/>
      <c r="AG6216" s="33"/>
      <c r="AH6216" s="33"/>
      <c r="AI6216" s="33"/>
      <c r="AJ6216" s="33"/>
      <c r="AK6216" s="33"/>
    </row>
    <row r="6217">
      <c r="A6217" s="33"/>
      <c r="B6217" s="33"/>
      <c r="C6217" s="33"/>
      <c r="D6217" s="33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33"/>
      <c r="Q6217" s="33"/>
      <c r="R6217" s="33"/>
      <c r="S6217" s="33"/>
      <c r="T6217" s="33"/>
      <c r="U6217" s="33"/>
      <c r="V6217" s="33"/>
      <c r="W6217" s="33"/>
      <c r="X6217" s="33"/>
      <c r="Y6217" s="33"/>
      <c r="Z6217" s="33"/>
      <c r="AA6217" s="33"/>
      <c r="AB6217" s="33"/>
      <c r="AC6217" s="33"/>
      <c r="AD6217" s="33"/>
      <c r="AE6217" s="33"/>
      <c r="AF6217" s="33"/>
      <c r="AG6217" s="33"/>
      <c r="AH6217" s="33"/>
      <c r="AI6217" s="33"/>
      <c r="AJ6217" s="33"/>
      <c r="AK6217" s="33"/>
    </row>
    <row r="6218">
      <c r="A6218" s="33"/>
      <c r="B6218" s="33"/>
      <c r="C6218" s="33"/>
      <c r="D6218" s="33"/>
      <c r="E6218" s="33"/>
      <c r="F6218" s="33"/>
      <c r="G6218" s="33"/>
      <c r="H6218" s="33"/>
      <c r="I6218" s="33"/>
      <c r="J6218" s="33"/>
      <c r="K6218" s="33"/>
      <c r="L6218" s="33"/>
      <c r="M6218" s="33"/>
      <c r="N6218" s="33"/>
      <c r="O6218" s="33"/>
      <c r="P6218" s="33"/>
      <c r="Q6218" s="33"/>
      <c r="R6218" s="33"/>
      <c r="S6218" s="33"/>
      <c r="T6218" s="33"/>
      <c r="U6218" s="33"/>
      <c r="V6218" s="33"/>
      <c r="W6218" s="33"/>
      <c r="X6218" s="33"/>
      <c r="Y6218" s="33"/>
      <c r="Z6218" s="33"/>
      <c r="AA6218" s="33"/>
      <c r="AB6218" s="33"/>
      <c r="AC6218" s="33"/>
      <c r="AD6218" s="33"/>
      <c r="AE6218" s="33"/>
      <c r="AF6218" s="33"/>
      <c r="AG6218" s="33"/>
      <c r="AH6218" s="33"/>
      <c r="AI6218" s="33"/>
      <c r="AJ6218" s="33"/>
      <c r="AK6218" s="33"/>
    </row>
    <row r="6219">
      <c r="A6219" s="33"/>
      <c r="B6219" s="33"/>
      <c r="C6219" s="33"/>
      <c r="D6219" s="33"/>
      <c r="E6219" s="33"/>
      <c r="F6219" s="33"/>
      <c r="G6219" s="33"/>
      <c r="H6219" s="33"/>
      <c r="I6219" s="33"/>
      <c r="J6219" s="33"/>
      <c r="K6219" s="33"/>
      <c r="L6219" s="33"/>
      <c r="M6219" s="33"/>
      <c r="N6219" s="33"/>
      <c r="O6219" s="33"/>
      <c r="P6219" s="33"/>
      <c r="Q6219" s="33"/>
      <c r="R6219" s="33"/>
      <c r="S6219" s="33"/>
      <c r="T6219" s="33"/>
      <c r="U6219" s="33"/>
      <c r="V6219" s="33"/>
      <c r="W6219" s="33"/>
      <c r="X6219" s="33"/>
      <c r="Y6219" s="33"/>
      <c r="Z6219" s="33"/>
      <c r="AA6219" s="33"/>
      <c r="AB6219" s="33"/>
      <c r="AC6219" s="33"/>
      <c r="AD6219" s="33"/>
      <c r="AE6219" s="33"/>
      <c r="AF6219" s="33"/>
      <c r="AG6219" s="33"/>
      <c r="AH6219" s="33"/>
      <c r="AI6219" s="33"/>
      <c r="AJ6219" s="33"/>
      <c r="AK6219" s="33"/>
    </row>
    <row r="6220">
      <c r="A6220" s="33"/>
      <c r="B6220" s="33"/>
      <c r="C6220" s="33"/>
      <c r="D6220" s="33"/>
      <c r="E6220" s="33"/>
      <c r="F6220" s="33"/>
      <c r="G6220" s="33"/>
      <c r="H6220" s="33"/>
      <c r="I6220" s="33"/>
      <c r="J6220" s="33"/>
      <c r="K6220" s="33"/>
      <c r="L6220" s="33"/>
      <c r="M6220" s="33"/>
      <c r="N6220" s="33"/>
      <c r="O6220" s="33"/>
      <c r="P6220" s="33"/>
      <c r="Q6220" s="33"/>
      <c r="R6220" s="33"/>
      <c r="S6220" s="33"/>
      <c r="T6220" s="33"/>
      <c r="U6220" s="33"/>
      <c r="V6220" s="33"/>
      <c r="W6220" s="33"/>
      <c r="X6220" s="33"/>
      <c r="Y6220" s="33"/>
      <c r="Z6220" s="33"/>
      <c r="AA6220" s="33"/>
      <c r="AB6220" s="33"/>
      <c r="AC6220" s="33"/>
      <c r="AD6220" s="33"/>
      <c r="AE6220" s="33"/>
      <c r="AF6220" s="33"/>
      <c r="AG6220" s="33"/>
      <c r="AH6220" s="33"/>
      <c r="AI6220" s="33"/>
      <c r="AJ6220" s="33"/>
      <c r="AK6220" s="33"/>
    </row>
    <row r="6221">
      <c r="A6221" s="33"/>
      <c r="B6221" s="33"/>
      <c r="C6221" s="33"/>
      <c r="D6221" s="33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33"/>
      <c r="Q6221" s="33"/>
      <c r="R6221" s="33"/>
      <c r="S6221" s="33"/>
      <c r="T6221" s="33"/>
      <c r="U6221" s="33"/>
      <c r="V6221" s="33"/>
      <c r="W6221" s="33"/>
      <c r="X6221" s="33"/>
      <c r="Y6221" s="33"/>
      <c r="Z6221" s="33"/>
      <c r="AA6221" s="33"/>
      <c r="AB6221" s="33"/>
      <c r="AC6221" s="33"/>
      <c r="AD6221" s="33"/>
      <c r="AE6221" s="33"/>
      <c r="AF6221" s="33"/>
      <c r="AG6221" s="33"/>
      <c r="AH6221" s="33"/>
      <c r="AI6221" s="33"/>
      <c r="AJ6221" s="33"/>
      <c r="AK6221" s="33"/>
    </row>
    <row r="6222">
      <c r="A6222" s="33"/>
      <c r="B6222" s="33"/>
      <c r="C6222" s="33"/>
      <c r="D6222" s="33"/>
      <c r="E6222" s="33"/>
      <c r="F6222" s="33"/>
      <c r="G6222" s="33"/>
      <c r="H6222" s="33"/>
      <c r="I6222" s="33"/>
      <c r="J6222" s="33"/>
      <c r="K6222" s="33"/>
      <c r="L6222" s="33"/>
      <c r="M6222" s="33"/>
      <c r="N6222" s="33"/>
      <c r="O6222" s="33"/>
      <c r="P6222" s="33"/>
      <c r="Q6222" s="33"/>
      <c r="R6222" s="33"/>
      <c r="S6222" s="33"/>
      <c r="T6222" s="33"/>
      <c r="U6222" s="33"/>
      <c r="V6222" s="33"/>
      <c r="W6222" s="33"/>
      <c r="X6222" s="33"/>
      <c r="Y6222" s="33"/>
      <c r="Z6222" s="33"/>
      <c r="AA6222" s="33"/>
      <c r="AB6222" s="33"/>
      <c r="AC6222" s="33"/>
      <c r="AD6222" s="33"/>
      <c r="AE6222" s="33"/>
      <c r="AF6222" s="33"/>
      <c r="AG6222" s="33"/>
      <c r="AH6222" s="33"/>
      <c r="AI6222" s="33"/>
      <c r="AJ6222" s="33"/>
      <c r="AK6222" s="33"/>
    </row>
    <row r="6223">
      <c r="A6223" s="33"/>
      <c r="B6223" s="33"/>
      <c r="C6223" s="33"/>
      <c r="D6223" s="33"/>
      <c r="E6223" s="33"/>
      <c r="F6223" s="33"/>
      <c r="G6223" s="33"/>
      <c r="H6223" s="33"/>
      <c r="I6223" s="33"/>
      <c r="J6223" s="33"/>
      <c r="K6223" s="33"/>
      <c r="L6223" s="33"/>
      <c r="M6223" s="33"/>
      <c r="N6223" s="33"/>
      <c r="O6223" s="33"/>
      <c r="P6223" s="33"/>
      <c r="Q6223" s="33"/>
      <c r="R6223" s="33"/>
      <c r="S6223" s="33"/>
      <c r="T6223" s="33"/>
      <c r="U6223" s="33"/>
      <c r="V6223" s="33"/>
      <c r="W6223" s="33"/>
      <c r="X6223" s="33"/>
      <c r="Y6223" s="33"/>
      <c r="Z6223" s="33"/>
      <c r="AA6223" s="33"/>
      <c r="AB6223" s="33"/>
      <c r="AC6223" s="33"/>
      <c r="AD6223" s="33"/>
      <c r="AE6223" s="33"/>
      <c r="AF6223" s="33"/>
      <c r="AG6223" s="33"/>
      <c r="AH6223" s="33"/>
      <c r="AI6223" s="33"/>
      <c r="AJ6223" s="33"/>
      <c r="AK6223" s="33"/>
    </row>
    <row r="6224">
      <c r="A6224" s="33"/>
      <c r="B6224" s="33"/>
      <c r="C6224" s="33"/>
      <c r="D6224" s="33"/>
      <c r="E6224" s="33"/>
      <c r="F6224" s="33"/>
      <c r="G6224" s="33"/>
      <c r="H6224" s="33"/>
      <c r="I6224" s="33"/>
      <c r="J6224" s="33"/>
      <c r="K6224" s="33"/>
      <c r="L6224" s="33"/>
      <c r="M6224" s="33"/>
      <c r="N6224" s="33"/>
      <c r="O6224" s="33"/>
      <c r="P6224" s="33"/>
      <c r="Q6224" s="33"/>
      <c r="R6224" s="33"/>
      <c r="S6224" s="33"/>
      <c r="T6224" s="33"/>
      <c r="U6224" s="33"/>
      <c r="V6224" s="33"/>
      <c r="W6224" s="33"/>
      <c r="X6224" s="33"/>
      <c r="Y6224" s="33"/>
      <c r="Z6224" s="33"/>
      <c r="AA6224" s="33"/>
      <c r="AB6224" s="33"/>
      <c r="AC6224" s="33"/>
      <c r="AD6224" s="33"/>
      <c r="AE6224" s="33"/>
      <c r="AF6224" s="33"/>
      <c r="AG6224" s="33"/>
      <c r="AH6224" s="33"/>
      <c r="AI6224" s="33"/>
      <c r="AJ6224" s="33"/>
      <c r="AK6224" s="33"/>
    </row>
    <row r="6225">
      <c r="A6225" s="33"/>
      <c r="B6225" s="33"/>
      <c r="C6225" s="33"/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  <c r="R6225" s="33"/>
      <c r="S6225" s="33"/>
      <c r="T6225" s="33"/>
      <c r="U6225" s="33"/>
      <c r="V6225" s="33"/>
      <c r="W6225" s="33"/>
      <c r="X6225" s="33"/>
      <c r="Y6225" s="33"/>
      <c r="Z6225" s="33"/>
      <c r="AA6225" s="33"/>
      <c r="AB6225" s="33"/>
      <c r="AC6225" s="33"/>
      <c r="AD6225" s="33"/>
      <c r="AE6225" s="33"/>
      <c r="AF6225" s="33"/>
      <c r="AG6225" s="33"/>
      <c r="AH6225" s="33"/>
      <c r="AI6225" s="33"/>
      <c r="AJ6225" s="33"/>
      <c r="AK6225" s="33"/>
    </row>
    <row r="6226">
      <c r="A6226" s="33"/>
      <c r="B6226" s="33"/>
      <c r="C6226" s="33"/>
      <c r="D6226" s="33"/>
      <c r="E6226" s="33"/>
      <c r="F6226" s="33"/>
      <c r="G6226" s="33"/>
      <c r="H6226" s="33"/>
      <c r="I6226" s="33"/>
      <c r="J6226" s="33"/>
      <c r="K6226" s="33"/>
      <c r="L6226" s="33"/>
      <c r="M6226" s="33"/>
      <c r="N6226" s="33"/>
      <c r="O6226" s="33"/>
      <c r="P6226" s="33"/>
      <c r="Q6226" s="33"/>
      <c r="R6226" s="33"/>
      <c r="S6226" s="33"/>
      <c r="T6226" s="33"/>
      <c r="U6226" s="33"/>
      <c r="V6226" s="33"/>
      <c r="W6226" s="33"/>
      <c r="X6226" s="33"/>
      <c r="Y6226" s="33"/>
      <c r="Z6226" s="33"/>
      <c r="AA6226" s="33"/>
      <c r="AB6226" s="33"/>
      <c r="AC6226" s="33"/>
      <c r="AD6226" s="33"/>
      <c r="AE6226" s="33"/>
      <c r="AF6226" s="33"/>
      <c r="AG6226" s="33"/>
      <c r="AH6226" s="33"/>
      <c r="AI6226" s="33"/>
      <c r="AJ6226" s="33"/>
      <c r="AK6226" s="33"/>
    </row>
    <row r="6227">
      <c r="A6227" s="33"/>
      <c r="B6227" s="33"/>
      <c r="C6227" s="33"/>
      <c r="D6227" s="33"/>
      <c r="E6227" s="33"/>
      <c r="F6227" s="33"/>
      <c r="G6227" s="33"/>
      <c r="H6227" s="33"/>
      <c r="I6227" s="33"/>
      <c r="J6227" s="33"/>
      <c r="K6227" s="33"/>
      <c r="L6227" s="33"/>
      <c r="M6227" s="33"/>
      <c r="N6227" s="33"/>
      <c r="O6227" s="33"/>
      <c r="P6227" s="33"/>
      <c r="Q6227" s="33"/>
      <c r="R6227" s="33"/>
      <c r="S6227" s="33"/>
      <c r="T6227" s="33"/>
      <c r="U6227" s="33"/>
      <c r="V6227" s="33"/>
      <c r="W6227" s="33"/>
      <c r="X6227" s="33"/>
      <c r="Y6227" s="33"/>
      <c r="Z6227" s="33"/>
      <c r="AA6227" s="33"/>
      <c r="AB6227" s="33"/>
      <c r="AC6227" s="33"/>
      <c r="AD6227" s="33"/>
      <c r="AE6227" s="33"/>
      <c r="AF6227" s="33"/>
      <c r="AG6227" s="33"/>
      <c r="AH6227" s="33"/>
      <c r="AI6227" s="33"/>
      <c r="AJ6227" s="33"/>
      <c r="AK6227" s="33"/>
    </row>
    <row r="6228">
      <c r="A6228" s="33"/>
      <c r="B6228" s="33"/>
      <c r="C6228" s="33"/>
      <c r="D6228" s="33"/>
      <c r="E6228" s="33"/>
      <c r="F6228" s="33"/>
      <c r="G6228" s="33"/>
      <c r="H6228" s="33"/>
      <c r="I6228" s="33"/>
      <c r="J6228" s="33"/>
      <c r="K6228" s="33"/>
      <c r="L6228" s="33"/>
      <c r="M6228" s="33"/>
      <c r="N6228" s="33"/>
      <c r="O6228" s="33"/>
      <c r="P6228" s="33"/>
      <c r="Q6228" s="33"/>
      <c r="R6228" s="33"/>
      <c r="S6228" s="33"/>
      <c r="T6228" s="33"/>
      <c r="U6228" s="33"/>
      <c r="V6228" s="33"/>
      <c r="W6228" s="33"/>
      <c r="X6228" s="33"/>
      <c r="Y6228" s="33"/>
      <c r="Z6228" s="33"/>
      <c r="AA6228" s="33"/>
      <c r="AB6228" s="33"/>
      <c r="AC6228" s="33"/>
      <c r="AD6228" s="33"/>
      <c r="AE6228" s="33"/>
      <c r="AF6228" s="33"/>
      <c r="AG6228" s="33"/>
      <c r="AH6228" s="33"/>
      <c r="AI6228" s="33"/>
      <c r="AJ6228" s="33"/>
      <c r="AK6228" s="33"/>
    </row>
    <row r="6229">
      <c r="A6229" s="33"/>
      <c r="B6229" s="33"/>
      <c r="C6229" s="33"/>
      <c r="D6229" s="33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33"/>
      <c r="Q6229" s="33"/>
      <c r="R6229" s="33"/>
      <c r="S6229" s="33"/>
      <c r="T6229" s="33"/>
      <c r="U6229" s="33"/>
      <c r="V6229" s="33"/>
      <c r="W6229" s="33"/>
      <c r="X6229" s="33"/>
      <c r="Y6229" s="33"/>
      <c r="Z6229" s="33"/>
      <c r="AA6229" s="33"/>
      <c r="AB6229" s="33"/>
      <c r="AC6229" s="33"/>
      <c r="AD6229" s="33"/>
      <c r="AE6229" s="33"/>
      <c r="AF6229" s="33"/>
      <c r="AG6229" s="33"/>
      <c r="AH6229" s="33"/>
      <c r="AI6229" s="33"/>
      <c r="AJ6229" s="33"/>
      <c r="AK6229" s="33"/>
    </row>
    <row r="6230">
      <c r="A6230" s="33"/>
      <c r="B6230" s="33"/>
      <c r="C6230" s="33"/>
      <c r="D6230" s="33"/>
      <c r="E6230" s="33"/>
      <c r="F6230" s="33"/>
      <c r="G6230" s="33"/>
      <c r="H6230" s="33"/>
      <c r="I6230" s="33"/>
      <c r="J6230" s="33"/>
      <c r="K6230" s="33"/>
      <c r="L6230" s="33"/>
      <c r="M6230" s="33"/>
      <c r="N6230" s="33"/>
      <c r="O6230" s="33"/>
      <c r="P6230" s="33"/>
      <c r="Q6230" s="33"/>
      <c r="R6230" s="33"/>
      <c r="S6230" s="33"/>
      <c r="T6230" s="33"/>
      <c r="U6230" s="33"/>
      <c r="V6230" s="33"/>
      <c r="W6230" s="33"/>
      <c r="X6230" s="33"/>
      <c r="Y6230" s="33"/>
      <c r="Z6230" s="33"/>
      <c r="AA6230" s="33"/>
      <c r="AB6230" s="33"/>
      <c r="AC6230" s="33"/>
      <c r="AD6230" s="33"/>
      <c r="AE6230" s="33"/>
      <c r="AF6230" s="33"/>
      <c r="AG6230" s="33"/>
      <c r="AH6230" s="33"/>
      <c r="AI6230" s="33"/>
      <c r="AJ6230" s="33"/>
      <c r="AK6230" s="33"/>
    </row>
    <row r="6231">
      <c r="A6231" s="33"/>
      <c r="B6231" s="33"/>
      <c r="C6231" s="33"/>
      <c r="D6231" s="33"/>
      <c r="E6231" s="33"/>
      <c r="F6231" s="33"/>
      <c r="G6231" s="33"/>
      <c r="H6231" s="33"/>
      <c r="I6231" s="33"/>
      <c r="J6231" s="33"/>
      <c r="K6231" s="33"/>
      <c r="L6231" s="33"/>
      <c r="M6231" s="33"/>
      <c r="N6231" s="33"/>
      <c r="O6231" s="33"/>
      <c r="P6231" s="33"/>
      <c r="Q6231" s="33"/>
      <c r="R6231" s="33"/>
      <c r="S6231" s="33"/>
      <c r="T6231" s="33"/>
      <c r="U6231" s="33"/>
      <c r="V6231" s="33"/>
      <c r="W6231" s="33"/>
      <c r="X6231" s="33"/>
      <c r="Y6231" s="33"/>
      <c r="Z6231" s="33"/>
      <c r="AA6231" s="33"/>
      <c r="AB6231" s="33"/>
      <c r="AC6231" s="33"/>
      <c r="AD6231" s="33"/>
      <c r="AE6231" s="33"/>
      <c r="AF6231" s="33"/>
      <c r="AG6231" s="33"/>
      <c r="AH6231" s="33"/>
      <c r="AI6231" s="33"/>
      <c r="AJ6231" s="33"/>
      <c r="AK6231" s="33"/>
    </row>
    <row r="6232">
      <c r="A6232" s="33"/>
      <c r="B6232" s="33"/>
      <c r="C6232" s="33"/>
      <c r="D6232" s="33"/>
      <c r="E6232" s="33"/>
      <c r="F6232" s="33"/>
      <c r="G6232" s="33"/>
      <c r="H6232" s="33"/>
      <c r="I6232" s="33"/>
      <c r="J6232" s="33"/>
      <c r="K6232" s="33"/>
      <c r="L6232" s="33"/>
      <c r="M6232" s="33"/>
      <c r="N6232" s="33"/>
      <c r="O6232" s="33"/>
      <c r="P6232" s="33"/>
      <c r="Q6232" s="33"/>
      <c r="R6232" s="33"/>
      <c r="S6232" s="33"/>
      <c r="T6232" s="33"/>
      <c r="U6232" s="33"/>
      <c r="V6232" s="33"/>
      <c r="W6232" s="33"/>
      <c r="X6232" s="33"/>
      <c r="Y6232" s="33"/>
      <c r="Z6232" s="33"/>
      <c r="AA6232" s="33"/>
      <c r="AB6232" s="33"/>
      <c r="AC6232" s="33"/>
      <c r="AD6232" s="33"/>
      <c r="AE6232" s="33"/>
      <c r="AF6232" s="33"/>
      <c r="AG6232" s="33"/>
      <c r="AH6232" s="33"/>
      <c r="AI6232" s="33"/>
      <c r="AJ6232" s="33"/>
      <c r="AK6232" s="33"/>
    </row>
    <row r="6233">
      <c r="A6233" s="33"/>
      <c r="B6233" s="33"/>
      <c r="C6233" s="33"/>
      <c r="D6233" s="33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33"/>
      <c r="Q6233" s="33"/>
      <c r="R6233" s="33"/>
      <c r="S6233" s="33"/>
      <c r="T6233" s="33"/>
      <c r="U6233" s="33"/>
      <c r="V6233" s="33"/>
      <c r="W6233" s="33"/>
      <c r="X6233" s="33"/>
      <c r="Y6233" s="33"/>
      <c r="Z6233" s="33"/>
      <c r="AA6233" s="33"/>
      <c r="AB6233" s="33"/>
      <c r="AC6233" s="33"/>
      <c r="AD6233" s="33"/>
      <c r="AE6233" s="33"/>
      <c r="AF6233" s="33"/>
      <c r="AG6233" s="33"/>
      <c r="AH6233" s="33"/>
      <c r="AI6233" s="33"/>
      <c r="AJ6233" s="33"/>
      <c r="AK6233" s="33"/>
    </row>
    <row r="6234">
      <c r="A6234" s="33"/>
      <c r="B6234" s="33"/>
      <c r="C6234" s="33"/>
      <c r="D6234" s="33"/>
      <c r="E6234" s="33"/>
      <c r="F6234" s="33"/>
      <c r="G6234" s="33"/>
      <c r="H6234" s="33"/>
      <c r="I6234" s="33"/>
      <c r="J6234" s="33"/>
      <c r="K6234" s="33"/>
      <c r="L6234" s="33"/>
      <c r="M6234" s="33"/>
      <c r="N6234" s="33"/>
      <c r="O6234" s="33"/>
      <c r="P6234" s="33"/>
      <c r="Q6234" s="33"/>
      <c r="R6234" s="33"/>
      <c r="S6234" s="33"/>
      <c r="T6234" s="33"/>
      <c r="U6234" s="33"/>
      <c r="V6234" s="33"/>
      <c r="W6234" s="33"/>
      <c r="X6234" s="33"/>
      <c r="Y6234" s="33"/>
      <c r="Z6234" s="33"/>
      <c r="AA6234" s="33"/>
      <c r="AB6234" s="33"/>
      <c r="AC6234" s="33"/>
      <c r="AD6234" s="33"/>
      <c r="AE6234" s="33"/>
      <c r="AF6234" s="33"/>
      <c r="AG6234" s="33"/>
      <c r="AH6234" s="33"/>
      <c r="AI6234" s="33"/>
      <c r="AJ6234" s="33"/>
      <c r="AK6234" s="33"/>
    </row>
    <row r="6235">
      <c r="A6235" s="33"/>
      <c r="B6235" s="33"/>
      <c r="C6235" s="33"/>
      <c r="D6235" s="33"/>
      <c r="E6235" s="33"/>
      <c r="F6235" s="33"/>
      <c r="G6235" s="33"/>
      <c r="H6235" s="33"/>
      <c r="I6235" s="33"/>
      <c r="J6235" s="33"/>
      <c r="K6235" s="33"/>
      <c r="L6235" s="33"/>
      <c r="M6235" s="33"/>
      <c r="N6235" s="33"/>
      <c r="O6235" s="33"/>
      <c r="P6235" s="33"/>
      <c r="Q6235" s="33"/>
      <c r="R6235" s="33"/>
      <c r="S6235" s="33"/>
      <c r="T6235" s="33"/>
      <c r="U6235" s="33"/>
      <c r="V6235" s="33"/>
      <c r="W6235" s="33"/>
      <c r="X6235" s="33"/>
      <c r="Y6235" s="33"/>
      <c r="Z6235" s="33"/>
      <c r="AA6235" s="33"/>
      <c r="AB6235" s="33"/>
      <c r="AC6235" s="33"/>
      <c r="AD6235" s="33"/>
      <c r="AE6235" s="33"/>
      <c r="AF6235" s="33"/>
      <c r="AG6235" s="33"/>
      <c r="AH6235" s="33"/>
      <c r="AI6235" s="33"/>
      <c r="AJ6235" s="33"/>
      <c r="AK6235" s="33"/>
    </row>
    <row r="6236">
      <c r="A6236" s="33"/>
      <c r="B6236" s="33"/>
      <c r="C6236" s="33"/>
      <c r="D6236" s="33"/>
      <c r="E6236" s="33"/>
      <c r="F6236" s="33"/>
      <c r="G6236" s="33"/>
      <c r="H6236" s="33"/>
      <c r="I6236" s="33"/>
      <c r="J6236" s="33"/>
      <c r="K6236" s="33"/>
      <c r="L6236" s="33"/>
      <c r="M6236" s="33"/>
      <c r="N6236" s="33"/>
      <c r="O6236" s="33"/>
      <c r="P6236" s="33"/>
      <c r="Q6236" s="33"/>
      <c r="R6236" s="33"/>
      <c r="S6236" s="33"/>
      <c r="T6236" s="33"/>
      <c r="U6236" s="33"/>
      <c r="V6236" s="33"/>
      <c r="W6236" s="33"/>
      <c r="X6236" s="33"/>
      <c r="Y6236" s="33"/>
      <c r="Z6236" s="33"/>
      <c r="AA6236" s="33"/>
      <c r="AB6236" s="33"/>
      <c r="AC6236" s="33"/>
      <c r="AD6236" s="33"/>
      <c r="AE6236" s="33"/>
      <c r="AF6236" s="33"/>
      <c r="AG6236" s="33"/>
      <c r="AH6236" s="33"/>
      <c r="AI6236" s="33"/>
      <c r="AJ6236" s="33"/>
      <c r="AK6236" s="33"/>
    </row>
    <row r="6237">
      <c r="A6237" s="33"/>
      <c r="B6237" s="33"/>
      <c r="C6237" s="33"/>
      <c r="D6237" s="33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33"/>
      <c r="Q6237" s="33"/>
      <c r="R6237" s="33"/>
      <c r="S6237" s="33"/>
      <c r="T6237" s="33"/>
      <c r="U6237" s="33"/>
      <c r="V6237" s="33"/>
      <c r="W6237" s="33"/>
      <c r="X6237" s="33"/>
      <c r="Y6237" s="33"/>
      <c r="Z6237" s="33"/>
      <c r="AA6237" s="33"/>
      <c r="AB6237" s="33"/>
      <c r="AC6237" s="33"/>
      <c r="AD6237" s="33"/>
      <c r="AE6237" s="33"/>
      <c r="AF6237" s="33"/>
      <c r="AG6237" s="33"/>
      <c r="AH6237" s="33"/>
      <c r="AI6237" s="33"/>
      <c r="AJ6237" s="33"/>
      <c r="AK6237" s="33"/>
    </row>
    <row r="6238">
      <c r="A6238" s="33"/>
      <c r="B6238" s="33"/>
      <c r="C6238" s="33"/>
      <c r="D6238" s="33"/>
      <c r="E6238" s="33"/>
      <c r="F6238" s="33"/>
      <c r="G6238" s="33"/>
      <c r="H6238" s="33"/>
      <c r="I6238" s="33"/>
      <c r="J6238" s="33"/>
      <c r="K6238" s="33"/>
      <c r="L6238" s="33"/>
      <c r="M6238" s="33"/>
      <c r="N6238" s="33"/>
      <c r="O6238" s="33"/>
      <c r="P6238" s="33"/>
      <c r="Q6238" s="33"/>
      <c r="R6238" s="33"/>
      <c r="S6238" s="33"/>
      <c r="T6238" s="33"/>
      <c r="U6238" s="33"/>
      <c r="V6238" s="33"/>
      <c r="W6238" s="33"/>
      <c r="X6238" s="33"/>
      <c r="Y6238" s="33"/>
      <c r="Z6238" s="33"/>
      <c r="AA6238" s="33"/>
      <c r="AB6238" s="33"/>
      <c r="AC6238" s="33"/>
      <c r="AD6238" s="33"/>
      <c r="AE6238" s="33"/>
      <c r="AF6238" s="33"/>
      <c r="AG6238" s="33"/>
      <c r="AH6238" s="33"/>
      <c r="AI6238" s="33"/>
      <c r="AJ6238" s="33"/>
      <c r="AK6238" s="33"/>
    </row>
    <row r="6239">
      <c r="A6239" s="33"/>
      <c r="B6239" s="33"/>
      <c r="C6239" s="33"/>
      <c r="D6239" s="33"/>
      <c r="E6239" s="33"/>
      <c r="F6239" s="33"/>
      <c r="G6239" s="33"/>
      <c r="H6239" s="33"/>
      <c r="I6239" s="33"/>
      <c r="J6239" s="33"/>
      <c r="K6239" s="33"/>
      <c r="L6239" s="33"/>
      <c r="M6239" s="33"/>
      <c r="N6239" s="33"/>
      <c r="O6239" s="33"/>
      <c r="P6239" s="33"/>
      <c r="Q6239" s="33"/>
      <c r="R6239" s="33"/>
      <c r="S6239" s="33"/>
      <c r="T6239" s="33"/>
      <c r="U6239" s="33"/>
      <c r="V6239" s="33"/>
      <c r="W6239" s="33"/>
      <c r="X6239" s="33"/>
      <c r="Y6239" s="33"/>
      <c r="Z6239" s="33"/>
      <c r="AA6239" s="33"/>
      <c r="AB6239" s="33"/>
      <c r="AC6239" s="33"/>
      <c r="AD6239" s="33"/>
      <c r="AE6239" s="33"/>
      <c r="AF6239" s="33"/>
      <c r="AG6239" s="33"/>
      <c r="AH6239" s="33"/>
      <c r="AI6239" s="33"/>
      <c r="AJ6239" s="33"/>
      <c r="AK6239" s="33"/>
    </row>
    <row r="6240">
      <c r="A6240" s="33"/>
      <c r="B6240" s="33"/>
      <c r="C6240" s="33"/>
      <c r="D6240" s="33"/>
      <c r="E6240" s="33"/>
      <c r="F6240" s="33"/>
      <c r="G6240" s="33"/>
      <c r="H6240" s="33"/>
      <c r="I6240" s="33"/>
      <c r="J6240" s="33"/>
      <c r="K6240" s="33"/>
      <c r="L6240" s="33"/>
      <c r="M6240" s="33"/>
      <c r="N6240" s="33"/>
      <c r="O6240" s="33"/>
      <c r="P6240" s="33"/>
      <c r="Q6240" s="33"/>
      <c r="R6240" s="33"/>
      <c r="S6240" s="33"/>
      <c r="T6240" s="33"/>
      <c r="U6240" s="33"/>
      <c r="V6240" s="33"/>
      <c r="W6240" s="33"/>
      <c r="X6240" s="33"/>
      <c r="Y6240" s="33"/>
      <c r="Z6240" s="33"/>
      <c r="AA6240" s="33"/>
      <c r="AB6240" s="33"/>
      <c r="AC6240" s="33"/>
      <c r="AD6240" s="33"/>
      <c r="AE6240" s="33"/>
      <c r="AF6240" s="33"/>
      <c r="AG6240" s="33"/>
      <c r="AH6240" s="33"/>
      <c r="AI6240" s="33"/>
      <c r="AJ6240" s="33"/>
      <c r="AK6240" s="33"/>
    </row>
    <row r="6241">
      <c r="A6241" s="33"/>
      <c r="B6241" s="33"/>
      <c r="C6241" s="33"/>
      <c r="D6241" s="33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33"/>
      <c r="Q6241" s="33"/>
      <c r="R6241" s="33"/>
      <c r="S6241" s="33"/>
      <c r="T6241" s="33"/>
      <c r="U6241" s="33"/>
      <c r="V6241" s="33"/>
      <c r="W6241" s="33"/>
      <c r="X6241" s="33"/>
      <c r="Y6241" s="33"/>
      <c r="Z6241" s="33"/>
      <c r="AA6241" s="33"/>
      <c r="AB6241" s="33"/>
      <c r="AC6241" s="33"/>
      <c r="AD6241" s="33"/>
      <c r="AE6241" s="33"/>
      <c r="AF6241" s="33"/>
      <c r="AG6241" s="33"/>
      <c r="AH6241" s="33"/>
      <c r="AI6241" s="33"/>
      <c r="AJ6241" s="33"/>
      <c r="AK6241" s="33"/>
    </row>
    <row r="6242">
      <c r="A6242" s="33"/>
      <c r="B6242" s="33"/>
      <c r="C6242" s="33"/>
      <c r="D6242" s="33"/>
      <c r="E6242" s="33"/>
      <c r="F6242" s="33"/>
      <c r="G6242" s="33"/>
      <c r="H6242" s="33"/>
      <c r="I6242" s="33"/>
      <c r="J6242" s="33"/>
      <c r="K6242" s="33"/>
      <c r="L6242" s="33"/>
      <c r="M6242" s="33"/>
      <c r="N6242" s="33"/>
      <c r="O6242" s="33"/>
      <c r="P6242" s="33"/>
      <c r="Q6242" s="33"/>
      <c r="R6242" s="33"/>
      <c r="S6242" s="33"/>
      <c r="T6242" s="33"/>
      <c r="U6242" s="33"/>
      <c r="V6242" s="33"/>
      <c r="W6242" s="33"/>
      <c r="X6242" s="33"/>
      <c r="Y6242" s="33"/>
      <c r="Z6242" s="33"/>
      <c r="AA6242" s="33"/>
      <c r="AB6242" s="33"/>
      <c r="AC6242" s="33"/>
      <c r="AD6242" s="33"/>
      <c r="AE6242" s="33"/>
      <c r="AF6242" s="33"/>
      <c r="AG6242" s="33"/>
      <c r="AH6242" s="33"/>
      <c r="AI6242" s="33"/>
      <c r="AJ6242" s="33"/>
      <c r="AK6242" s="33"/>
    </row>
    <row r="6243">
      <c r="A6243" s="33"/>
      <c r="B6243" s="33"/>
      <c r="C6243" s="33"/>
      <c r="D6243" s="33"/>
      <c r="E6243" s="33"/>
      <c r="F6243" s="33"/>
      <c r="G6243" s="33"/>
      <c r="H6243" s="33"/>
      <c r="I6243" s="33"/>
      <c r="J6243" s="33"/>
      <c r="K6243" s="33"/>
      <c r="L6243" s="33"/>
      <c r="M6243" s="33"/>
      <c r="N6243" s="33"/>
      <c r="O6243" s="33"/>
      <c r="P6243" s="33"/>
      <c r="Q6243" s="33"/>
      <c r="R6243" s="33"/>
      <c r="S6243" s="33"/>
      <c r="T6243" s="33"/>
      <c r="U6243" s="33"/>
      <c r="V6243" s="33"/>
      <c r="W6243" s="33"/>
      <c r="X6243" s="33"/>
      <c r="Y6243" s="33"/>
      <c r="Z6243" s="33"/>
      <c r="AA6243" s="33"/>
      <c r="AB6243" s="33"/>
      <c r="AC6243" s="33"/>
      <c r="AD6243" s="33"/>
      <c r="AE6243" s="33"/>
      <c r="AF6243" s="33"/>
      <c r="AG6243" s="33"/>
      <c r="AH6243" s="33"/>
      <c r="AI6243" s="33"/>
      <c r="AJ6243" s="33"/>
      <c r="AK6243" s="33"/>
    </row>
    <row r="6244">
      <c r="A6244" s="33"/>
      <c r="B6244" s="33"/>
      <c r="C6244" s="33"/>
      <c r="D6244" s="33"/>
      <c r="E6244" s="33"/>
      <c r="F6244" s="33"/>
      <c r="G6244" s="33"/>
      <c r="H6244" s="33"/>
      <c r="I6244" s="33"/>
      <c r="J6244" s="33"/>
      <c r="K6244" s="33"/>
      <c r="L6244" s="33"/>
      <c r="M6244" s="33"/>
      <c r="N6244" s="33"/>
      <c r="O6244" s="33"/>
      <c r="P6244" s="33"/>
      <c r="Q6244" s="33"/>
      <c r="R6244" s="33"/>
      <c r="S6244" s="33"/>
      <c r="T6244" s="33"/>
      <c r="U6244" s="33"/>
      <c r="V6244" s="33"/>
      <c r="W6244" s="33"/>
      <c r="X6244" s="33"/>
      <c r="Y6244" s="33"/>
      <c r="Z6244" s="33"/>
      <c r="AA6244" s="33"/>
      <c r="AB6244" s="33"/>
      <c r="AC6244" s="33"/>
      <c r="AD6244" s="33"/>
      <c r="AE6244" s="33"/>
      <c r="AF6244" s="33"/>
      <c r="AG6244" s="33"/>
      <c r="AH6244" s="33"/>
      <c r="AI6244" s="33"/>
      <c r="AJ6244" s="33"/>
      <c r="AK6244" s="33"/>
    </row>
    <row r="6245">
      <c r="A6245" s="33"/>
      <c r="B6245" s="33"/>
      <c r="C6245" s="33"/>
      <c r="D6245" s="33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33"/>
      <c r="Q6245" s="33"/>
      <c r="R6245" s="33"/>
      <c r="S6245" s="33"/>
      <c r="T6245" s="33"/>
      <c r="U6245" s="33"/>
      <c r="V6245" s="33"/>
      <c r="W6245" s="33"/>
      <c r="X6245" s="33"/>
      <c r="Y6245" s="33"/>
      <c r="Z6245" s="33"/>
      <c r="AA6245" s="33"/>
      <c r="AB6245" s="33"/>
      <c r="AC6245" s="33"/>
      <c r="AD6245" s="33"/>
      <c r="AE6245" s="33"/>
      <c r="AF6245" s="33"/>
      <c r="AG6245" s="33"/>
      <c r="AH6245" s="33"/>
      <c r="AI6245" s="33"/>
      <c r="AJ6245" s="33"/>
      <c r="AK6245" s="33"/>
    </row>
    <row r="6246">
      <c r="A6246" s="33"/>
      <c r="B6246" s="33"/>
      <c r="C6246" s="33"/>
      <c r="D6246" s="33"/>
      <c r="E6246" s="33"/>
      <c r="F6246" s="33"/>
      <c r="G6246" s="33"/>
      <c r="H6246" s="33"/>
      <c r="I6246" s="33"/>
      <c r="J6246" s="33"/>
      <c r="K6246" s="33"/>
      <c r="L6246" s="33"/>
      <c r="M6246" s="33"/>
      <c r="N6246" s="33"/>
      <c r="O6246" s="33"/>
      <c r="P6246" s="33"/>
      <c r="Q6246" s="33"/>
      <c r="R6246" s="33"/>
      <c r="S6246" s="33"/>
      <c r="T6246" s="33"/>
      <c r="U6246" s="33"/>
      <c r="V6246" s="33"/>
      <c r="W6246" s="33"/>
      <c r="X6246" s="33"/>
      <c r="Y6246" s="33"/>
      <c r="Z6246" s="33"/>
      <c r="AA6246" s="33"/>
      <c r="AB6246" s="33"/>
      <c r="AC6246" s="33"/>
      <c r="AD6246" s="33"/>
      <c r="AE6246" s="33"/>
      <c r="AF6246" s="33"/>
      <c r="AG6246" s="33"/>
      <c r="AH6246" s="33"/>
      <c r="AI6246" s="33"/>
      <c r="AJ6246" s="33"/>
      <c r="AK6246" s="33"/>
    </row>
    <row r="6247">
      <c r="A6247" s="33"/>
      <c r="B6247" s="33"/>
      <c r="C6247" s="33"/>
      <c r="D6247" s="33"/>
      <c r="E6247" s="33"/>
      <c r="F6247" s="33"/>
      <c r="G6247" s="33"/>
      <c r="H6247" s="33"/>
      <c r="I6247" s="33"/>
      <c r="J6247" s="33"/>
      <c r="K6247" s="33"/>
      <c r="L6247" s="33"/>
      <c r="M6247" s="33"/>
      <c r="N6247" s="33"/>
      <c r="O6247" s="33"/>
      <c r="P6247" s="33"/>
      <c r="Q6247" s="33"/>
      <c r="R6247" s="33"/>
      <c r="S6247" s="33"/>
      <c r="T6247" s="33"/>
      <c r="U6247" s="33"/>
      <c r="V6247" s="33"/>
      <c r="W6247" s="33"/>
      <c r="X6247" s="33"/>
      <c r="Y6247" s="33"/>
      <c r="Z6247" s="33"/>
      <c r="AA6247" s="33"/>
      <c r="AB6247" s="33"/>
      <c r="AC6247" s="33"/>
      <c r="AD6247" s="33"/>
      <c r="AE6247" s="33"/>
      <c r="AF6247" s="33"/>
      <c r="AG6247" s="33"/>
      <c r="AH6247" s="33"/>
      <c r="AI6247" s="33"/>
      <c r="AJ6247" s="33"/>
      <c r="AK6247" s="33"/>
    </row>
    <row r="6248">
      <c r="A6248" s="33"/>
      <c r="B6248" s="33"/>
      <c r="C6248" s="33"/>
      <c r="D6248" s="33"/>
      <c r="E6248" s="33"/>
      <c r="F6248" s="33"/>
      <c r="G6248" s="33"/>
      <c r="H6248" s="33"/>
      <c r="I6248" s="33"/>
      <c r="J6248" s="33"/>
      <c r="K6248" s="33"/>
      <c r="L6248" s="33"/>
      <c r="M6248" s="33"/>
      <c r="N6248" s="33"/>
      <c r="O6248" s="33"/>
      <c r="P6248" s="33"/>
      <c r="Q6248" s="33"/>
      <c r="R6248" s="33"/>
      <c r="S6248" s="33"/>
      <c r="T6248" s="33"/>
      <c r="U6248" s="33"/>
      <c r="V6248" s="33"/>
      <c r="W6248" s="33"/>
      <c r="X6248" s="33"/>
      <c r="Y6248" s="33"/>
      <c r="Z6248" s="33"/>
      <c r="AA6248" s="33"/>
      <c r="AB6248" s="33"/>
      <c r="AC6248" s="33"/>
      <c r="AD6248" s="33"/>
      <c r="AE6248" s="33"/>
      <c r="AF6248" s="33"/>
      <c r="AG6248" s="33"/>
      <c r="AH6248" s="33"/>
      <c r="AI6248" s="33"/>
      <c r="AJ6248" s="33"/>
      <c r="AK6248" s="33"/>
    </row>
    <row r="6249">
      <c r="A6249" s="33"/>
      <c r="B6249" s="33"/>
      <c r="C6249" s="33"/>
      <c r="D6249" s="33"/>
      <c r="E6249" s="33"/>
      <c r="F6249" s="33"/>
      <c r="G6249" s="33"/>
      <c r="H6249" s="33"/>
      <c r="I6249" s="33"/>
      <c r="J6249" s="33"/>
      <c r="K6249" s="33"/>
      <c r="L6249" s="33"/>
      <c r="M6249" s="33"/>
      <c r="N6249" s="33"/>
      <c r="O6249" s="33"/>
      <c r="P6249" s="33"/>
      <c r="Q6249" s="33"/>
      <c r="R6249" s="33"/>
      <c r="S6249" s="33"/>
      <c r="T6249" s="33"/>
      <c r="U6249" s="33"/>
      <c r="V6249" s="33"/>
      <c r="W6249" s="33"/>
      <c r="X6249" s="33"/>
      <c r="Y6249" s="33"/>
      <c r="Z6249" s="33"/>
      <c r="AA6249" s="33"/>
      <c r="AB6249" s="33"/>
      <c r="AC6249" s="33"/>
      <c r="AD6249" s="33"/>
      <c r="AE6249" s="33"/>
      <c r="AF6249" s="33"/>
      <c r="AG6249" s="33"/>
      <c r="AH6249" s="33"/>
      <c r="AI6249" s="33"/>
      <c r="AJ6249" s="33"/>
      <c r="AK6249" s="33"/>
    </row>
    <row r="6250">
      <c r="A6250" s="33"/>
      <c r="B6250" s="33"/>
      <c r="C6250" s="33"/>
      <c r="D6250" s="33"/>
      <c r="E6250" s="33"/>
      <c r="F6250" s="33"/>
      <c r="G6250" s="33"/>
      <c r="H6250" s="33"/>
      <c r="I6250" s="33"/>
      <c r="J6250" s="33"/>
      <c r="K6250" s="33"/>
      <c r="L6250" s="33"/>
      <c r="M6250" s="33"/>
      <c r="N6250" s="33"/>
      <c r="O6250" s="33"/>
      <c r="P6250" s="33"/>
      <c r="Q6250" s="33"/>
      <c r="R6250" s="33"/>
      <c r="S6250" s="33"/>
      <c r="T6250" s="33"/>
      <c r="U6250" s="33"/>
      <c r="V6250" s="33"/>
      <c r="W6250" s="33"/>
      <c r="X6250" s="33"/>
      <c r="Y6250" s="33"/>
      <c r="Z6250" s="33"/>
      <c r="AA6250" s="33"/>
      <c r="AB6250" s="33"/>
      <c r="AC6250" s="33"/>
      <c r="AD6250" s="33"/>
      <c r="AE6250" s="33"/>
      <c r="AF6250" s="33"/>
      <c r="AG6250" s="33"/>
      <c r="AH6250" s="33"/>
      <c r="AI6250" s="33"/>
      <c r="AJ6250" s="33"/>
      <c r="AK6250" s="33"/>
    </row>
    <row r="6251">
      <c r="A6251" s="33"/>
      <c r="B6251" s="33"/>
      <c r="C6251" s="33"/>
      <c r="D6251" s="33"/>
      <c r="E6251" s="33"/>
      <c r="F6251" s="33"/>
      <c r="G6251" s="33"/>
      <c r="H6251" s="33"/>
      <c r="I6251" s="33"/>
      <c r="J6251" s="33"/>
      <c r="K6251" s="33"/>
      <c r="L6251" s="33"/>
      <c r="M6251" s="33"/>
      <c r="N6251" s="33"/>
      <c r="O6251" s="33"/>
      <c r="P6251" s="33"/>
      <c r="Q6251" s="33"/>
      <c r="R6251" s="33"/>
      <c r="S6251" s="33"/>
      <c r="T6251" s="33"/>
      <c r="U6251" s="33"/>
      <c r="V6251" s="33"/>
      <c r="W6251" s="33"/>
      <c r="X6251" s="33"/>
      <c r="Y6251" s="33"/>
      <c r="Z6251" s="33"/>
      <c r="AA6251" s="33"/>
      <c r="AB6251" s="33"/>
      <c r="AC6251" s="33"/>
      <c r="AD6251" s="33"/>
      <c r="AE6251" s="33"/>
      <c r="AF6251" s="33"/>
      <c r="AG6251" s="33"/>
      <c r="AH6251" s="33"/>
      <c r="AI6251" s="33"/>
      <c r="AJ6251" s="33"/>
      <c r="AK6251" s="33"/>
    </row>
    <row r="6252">
      <c r="A6252" s="33"/>
      <c r="B6252" s="33"/>
      <c r="C6252" s="33"/>
      <c r="D6252" s="33"/>
      <c r="E6252" s="33"/>
      <c r="F6252" s="33"/>
      <c r="G6252" s="33"/>
      <c r="H6252" s="33"/>
      <c r="I6252" s="33"/>
      <c r="J6252" s="33"/>
      <c r="K6252" s="33"/>
      <c r="L6252" s="33"/>
      <c r="M6252" s="33"/>
      <c r="N6252" s="33"/>
      <c r="O6252" s="33"/>
      <c r="P6252" s="33"/>
      <c r="Q6252" s="33"/>
      <c r="R6252" s="33"/>
      <c r="S6252" s="33"/>
      <c r="T6252" s="33"/>
      <c r="U6252" s="33"/>
      <c r="V6252" s="33"/>
      <c r="W6252" s="33"/>
      <c r="X6252" s="33"/>
      <c r="Y6252" s="33"/>
      <c r="Z6252" s="33"/>
      <c r="AA6252" s="33"/>
      <c r="AB6252" s="33"/>
      <c r="AC6252" s="33"/>
      <c r="AD6252" s="33"/>
      <c r="AE6252" s="33"/>
      <c r="AF6252" s="33"/>
      <c r="AG6252" s="33"/>
      <c r="AH6252" s="33"/>
      <c r="AI6252" s="33"/>
      <c r="AJ6252" s="33"/>
      <c r="AK6252" s="33"/>
    </row>
    <row r="6253">
      <c r="A6253" s="33"/>
      <c r="B6253" s="33"/>
      <c r="C6253" s="33"/>
      <c r="D6253" s="33"/>
      <c r="E6253" s="33"/>
      <c r="F6253" s="33"/>
      <c r="G6253" s="33"/>
      <c r="H6253" s="33"/>
      <c r="I6253" s="33"/>
      <c r="J6253" s="33"/>
      <c r="K6253" s="33"/>
      <c r="L6253" s="33"/>
      <c r="M6253" s="33"/>
      <c r="N6253" s="33"/>
      <c r="O6253" s="33"/>
      <c r="P6253" s="33"/>
      <c r="Q6253" s="33"/>
      <c r="R6253" s="33"/>
      <c r="S6253" s="33"/>
      <c r="T6253" s="33"/>
      <c r="U6253" s="33"/>
      <c r="V6253" s="33"/>
      <c r="W6253" s="33"/>
      <c r="X6253" s="33"/>
      <c r="Y6253" s="33"/>
      <c r="Z6253" s="33"/>
      <c r="AA6253" s="33"/>
      <c r="AB6253" s="33"/>
      <c r="AC6253" s="33"/>
      <c r="AD6253" s="33"/>
      <c r="AE6253" s="33"/>
      <c r="AF6253" s="33"/>
      <c r="AG6253" s="33"/>
      <c r="AH6253" s="33"/>
      <c r="AI6253" s="33"/>
      <c r="AJ6253" s="33"/>
      <c r="AK6253" s="33"/>
    </row>
    <row r="6254">
      <c r="A6254" s="33"/>
      <c r="B6254" s="33"/>
      <c r="C6254" s="33"/>
      <c r="D6254" s="33"/>
      <c r="E6254" s="33"/>
      <c r="F6254" s="33"/>
      <c r="G6254" s="33"/>
      <c r="H6254" s="33"/>
      <c r="I6254" s="33"/>
      <c r="J6254" s="33"/>
      <c r="K6254" s="33"/>
      <c r="L6254" s="33"/>
      <c r="M6254" s="33"/>
      <c r="N6254" s="33"/>
      <c r="O6254" s="33"/>
      <c r="P6254" s="33"/>
      <c r="Q6254" s="33"/>
      <c r="R6254" s="33"/>
      <c r="S6254" s="33"/>
      <c r="T6254" s="33"/>
      <c r="U6254" s="33"/>
      <c r="V6254" s="33"/>
      <c r="W6254" s="33"/>
      <c r="X6254" s="33"/>
      <c r="Y6254" s="33"/>
      <c r="Z6254" s="33"/>
      <c r="AA6254" s="33"/>
      <c r="AB6254" s="33"/>
      <c r="AC6254" s="33"/>
      <c r="AD6254" s="33"/>
      <c r="AE6254" s="33"/>
      <c r="AF6254" s="33"/>
      <c r="AG6254" s="33"/>
      <c r="AH6254" s="33"/>
      <c r="AI6254" s="33"/>
      <c r="AJ6254" s="33"/>
      <c r="AK6254" s="33"/>
    </row>
    <row r="6255">
      <c r="A6255" s="33"/>
      <c r="B6255" s="33"/>
      <c r="C6255" s="33"/>
      <c r="D6255" s="33"/>
      <c r="E6255" s="33"/>
      <c r="F6255" s="33"/>
      <c r="G6255" s="33"/>
      <c r="H6255" s="33"/>
      <c r="I6255" s="33"/>
      <c r="J6255" s="33"/>
      <c r="K6255" s="33"/>
      <c r="L6255" s="33"/>
      <c r="M6255" s="33"/>
      <c r="N6255" s="33"/>
      <c r="O6255" s="33"/>
      <c r="P6255" s="33"/>
      <c r="Q6255" s="33"/>
      <c r="R6255" s="33"/>
      <c r="S6255" s="33"/>
      <c r="T6255" s="33"/>
      <c r="U6255" s="33"/>
      <c r="V6255" s="33"/>
      <c r="W6255" s="33"/>
      <c r="X6255" s="33"/>
      <c r="Y6255" s="33"/>
      <c r="Z6255" s="33"/>
      <c r="AA6255" s="33"/>
      <c r="AB6255" s="33"/>
      <c r="AC6255" s="33"/>
      <c r="AD6255" s="33"/>
      <c r="AE6255" s="33"/>
      <c r="AF6255" s="33"/>
      <c r="AG6255" s="33"/>
      <c r="AH6255" s="33"/>
      <c r="AI6255" s="33"/>
      <c r="AJ6255" s="33"/>
      <c r="AK6255" s="33"/>
    </row>
    <row r="6256">
      <c r="A6256" s="33"/>
      <c r="B6256" s="33"/>
      <c r="C6256" s="33"/>
      <c r="D6256" s="33"/>
      <c r="E6256" s="33"/>
      <c r="F6256" s="33"/>
      <c r="G6256" s="33"/>
      <c r="H6256" s="33"/>
      <c r="I6256" s="33"/>
      <c r="J6256" s="33"/>
      <c r="K6256" s="33"/>
      <c r="L6256" s="33"/>
      <c r="M6256" s="33"/>
      <c r="N6256" s="33"/>
      <c r="O6256" s="33"/>
      <c r="P6256" s="33"/>
      <c r="Q6256" s="33"/>
      <c r="R6256" s="33"/>
      <c r="S6256" s="33"/>
      <c r="T6256" s="33"/>
      <c r="U6256" s="33"/>
      <c r="V6256" s="33"/>
      <c r="W6256" s="33"/>
      <c r="X6256" s="33"/>
      <c r="Y6256" s="33"/>
      <c r="Z6256" s="33"/>
      <c r="AA6256" s="33"/>
      <c r="AB6256" s="33"/>
      <c r="AC6256" s="33"/>
      <c r="AD6256" s="33"/>
      <c r="AE6256" s="33"/>
      <c r="AF6256" s="33"/>
      <c r="AG6256" s="33"/>
      <c r="AH6256" s="33"/>
      <c r="AI6256" s="33"/>
      <c r="AJ6256" s="33"/>
      <c r="AK6256" s="33"/>
    </row>
    <row r="6257">
      <c r="A6257" s="33"/>
      <c r="B6257" s="33"/>
      <c r="C6257" s="33"/>
      <c r="D6257" s="33"/>
      <c r="E6257" s="33"/>
      <c r="F6257" s="33"/>
      <c r="G6257" s="33"/>
      <c r="H6257" s="33"/>
      <c r="I6257" s="33"/>
      <c r="J6257" s="33"/>
      <c r="K6257" s="33"/>
      <c r="L6257" s="33"/>
      <c r="M6257" s="33"/>
      <c r="N6257" s="33"/>
      <c r="O6257" s="33"/>
      <c r="P6257" s="33"/>
      <c r="Q6257" s="33"/>
      <c r="R6257" s="33"/>
      <c r="S6257" s="33"/>
      <c r="T6257" s="33"/>
      <c r="U6257" s="33"/>
      <c r="V6257" s="33"/>
      <c r="W6257" s="33"/>
      <c r="X6257" s="33"/>
      <c r="Y6257" s="33"/>
      <c r="Z6257" s="33"/>
      <c r="AA6257" s="33"/>
      <c r="AB6257" s="33"/>
      <c r="AC6257" s="33"/>
      <c r="AD6257" s="33"/>
      <c r="AE6257" s="33"/>
      <c r="AF6257" s="33"/>
      <c r="AG6257" s="33"/>
      <c r="AH6257" s="33"/>
      <c r="AI6257" s="33"/>
      <c r="AJ6257" s="33"/>
      <c r="AK6257" s="33"/>
    </row>
    <row r="6258">
      <c r="A6258" s="33"/>
      <c r="B6258" s="33"/>
      <c r="C6258" s="33"/>
      <c r="D6258" s="33"/>
      <c r="E6258" s="33"/>
      <c r="F6258" s="33"/>
      <c r="G6258" s="33"/>
      <c r="H6258" s="33"/>
      <c r="I6258" s="33"/>
      <c r="J6258" s="33"/>
      <c r="K6258" s="33"/>
      <c r="L6258" s="33"/>
      <c r="M6258" s="33"/>
      <c r="N6258" s="33"/>
      <c r="O6258" s="33"/>
      <c r="P6258" s="33"/>
      <c r="Q6258" s="33"/>
      <c r="R6258" s="33"/>
      <c r="S6258" s="33"/>
      <c r="T6258" s="33"/>
      <c r="U6258" s="33"/>
      <c r="V6258" s="33"/>
      <c r="W6258" s="33"/>
      <c r="X6258" s="33"/>
      <c r="Y6258" s="33"/>
      <c r="Z6258" s="33"/>
      <c r="AA6258" s="33"/>
      <c r="AB6258" s="33"/>
      <c r="AC6258" s="33"/>
      <c r="AD6258" s="33"/>
      <c r="AE6258" s="33"/>
      <c r="AF6258" s="33"/>
      <c r="AG6258" s="33"/>
      <c r="AH6258" s="33"/>
      <c r="AI6258" s="33"/>
      <c r="AJ6258" s="33"/>
      <c r="AK6258" s="33"/>
    </row>
    <row r="6259">
      <c r="A6259" s="33"/>
      <c r="B6259" s="33"/>
      <c r="C6259" s="33"/>
      <c r="D6259" s="33"/>
      <c r="E6259" s="33"/>
      <c r="F6259" s="33"/>
      <c r="G6259" s="33"/>
      <c r="H6259" s="33"/>
      <c r="I6259" s="33"/>
      <c r="J6259" s="33"/>
      <c r="K6259" s="33"/>
      <c r="L6259" s="33"/>
      <c r="M6259" s="33"/>
      <c r="N6259" s="33"/>
      <c r="O6259" s="33"/>
      <c r="P6259" s="33"/>
      <c r="Q6259" s="33"/>
      <c r="R6259" s="33"/>
      <c r="S6259" s="33"/>
      <c r="T6259" s="33"/>
      <c r="U6259" s="33"/>
      <c r="V6259" s="33"/>
      <c r="W6259" s="33"/>
      <c r="X6259" s="33"/>
      <c r="Y6259" s="33"/>
      <c r="Z6259" s="33"/>
      <c r="AA6259" s="33"/>
      <c r="AB6259" s="33"/>
      <c r="AC6259" s="33"/>
      <c r="AD6259" s="33"/>
      <c r="AE6259" s="33"/>
      <c r="AF6259" s="33"/>
      <c r="AG6259" s="33"/>
      <c r="AH6259" s="33"/>
      <c r="AI6259" s="33"/>
      <c r="AJ6259" s="33"/>
      <c r="AK6259" s="33"/>
    </row>
    <row r="6260">
      <c r="A6260" s="33"/>
      <c r="B6260" s="33"/>
      <c r="C6260" s="33"/>
      <c r="D6260" s="33"/>
      <c r="E6260" s="33"/>
      <c r="F6260" s="33"/>
      <c r="G6260" s="33"/>
      <c r="H6260" s="33"/>
      <c r="I6260" s="33"/>
      <c r="J6260" s="33"/>
      <c r="K6260" s="33"/>
      <c r="L6260" s="33"/>
      <c r="M6260" s="33"/>
      <c r="N6260" s="33"/>
      <c r="O6260" s="33"/>
      <c r="P6260" s="33"/>
      <c r="Q6260" s="33"/>
      <c r="R6260" s="33"/>
      <c r="S6260" s="33"/>
      <c r="T6260" s="33"/>
      <c r="U6260" s="33"/>
      <c r="V6260" s="33"/>
      <c r="W6260" s="33"/>
      <c r="X6260" s="33"/>
      <c r="Y6260" s="33"/>
      <c r="Z6260" s="33"/>
      <c r="AA6260" s="33"/>
      <c r="AB6260" s="33"/>
      <c r="AC6260" s="33"/>
      <c r="AD6260" s="33"/>
      <c r="AE6260" s="33"/>
      <c r="AF6260" s="33"/>
      <c r="AG6260" s="33"/>
      <c r="AH6260" s="33"/>
      <c r="AI6260" s="33"/>
      <c r="AJ6260" s="33"/>
      <c r="AK6260" s="33"/>
    </row>
    <row r="6261">
      <c r="A6261" s="33"/>
      <c r="B6261" s="33"/>
      <c r="C6261" s="33"/>
      <c r="D6261" s="33"/>
      <c r="E6261" s="33"/>
      <c r="F6261" s="33"/>
      <c r="G6261" s="33"/>
      <c r="H6261" s="33"/>
      <c r="I6261" s="33"/>
      <c r="J6261" s="33"/>
      <c r="K6261" s="33"/>
      <c r="L6261" s="33"/>
      <c r="M6261" s="33"/>
      <c r="N6261" s="33"/>
      <c r="O6261" s="33"/>
      <c r="P6261" s="33"/>
      <c r="Q6261" s="33"/>
      <c r="R6261" s="33"/>
      <c r="S6261" s="33"/>
      <c r="T6261" s="33"/>
      <c r="U6261" s="33"/>
      <c r="V6261" s="33"/>
      <c r="W6261" s="33"/>
      <c r="X6261" s="33"/>
      <c r="Y6261" s="33"/>
      <c r="Z6261" s="33"/>
      <c r="AA6261" s="33"/>
      <c r="AB6261" s="33"/>
      <c r="AC6261" s="33"/>
      <c r="AD6261" s="33"/>
      <c r="AE6261" s="33"/>
      <c r="AF6261" s="33"/>
      <c r="AG6261" s="33"/>
      <c r="AH6261" s="33"/>
      <c r="AI6261" s="33"/>
      <c r="AJ6261" s="33"/>
      <c r="AK6261" s="33"/>
    </row>
    <row r="6262">
      <c r="A6262" s="33"/>
      <c r="B6262" s="33"/>
      <c r="C6262" s="33"/>
      <c r="D6262" s="33"/>
      <c r="E6262" s="33"/>
      <c r="F6262" s="33"/>
      <c r="G6262" s="33"/>
      <c r="H6262" s="33"/>
      <c r="I6262" s="33"/>
      <c r="J6262" s="33"/>
      <c r="K6262" s="33"/>
      <c r="L6262" s="33"/>
      <c r="M6262" s="33"/>
      <c r="N6262" s="33"/>
      <c r="O6262" s="33"/>
      <c r="P6262" s="33"/>
      <c r="Q6262" s="33"/>
      <c r="R6262" s="33"/>
      <c r="S6262" s="33"/>
      <c r="T6262" s="33"/>
      <c r="U6262" s="33"/>
      <c r="V6262" s="33"/>
      <c r="W6262" s="33"/>
      <c r="X6262" s="33"/>
      <c r="Y6262" s="33"/>
      <c r="Z6262" s="33"/>
      <c r="AA6262" s="33"/>
      <c r="AB6262" s="33"/>
      <c r="AC6262" s="33"/>
      <c r="AD6262" s="33"/>
      <c r="AE6262" s="33"/>
      <c r="AF6262" s="33"/>
      <c r="AG6262" s="33"/>
      <c r="AH6262" s="33"/>
      <c r="AI6262" s="33"/>
      <c r="AJ6262" s="33"/>
      <c r="AK6262" s="33"/>
    </row>
    <row r="6263">
      <c r="A6263" s="33"/>
      <c r="B6263" s="33"/>
      <c r="C6263" s="33"/>
      <c r="D6263" s="33"/>
      <c r="E6263" s="33"/>
      <c r="F6263" s="33"/>
      <c r="G6263" s="33"/>
      <c r="H6263" s="33"/>
      <c r="I6263" s="33"/>
      <c r="J6263" s="33"/>
      <c r="K6263" s="33"/>
      <c r="L6263" s="33"/>
      <c r="M6263" s="33"/>
      <c r="N6263" s="33"/>
      <c r="O6263" s="33"/>
      <c r="P6263" s="33"/>
      <c r="Q6263" s="33"/>
      <c r="R6263" s="33"/>
      <c r="S6263" s="33"/>
      <c r="T6263" s="33"/>
      <c r="U6263" s="33"/>
      <c r="V6263" s="33"/>
      <c r="W6263" s="33"/>
      <c r="X6263" s="33"/>
      <c r="Y6263" s="33"/>
      <c r="Z6263" s="33"/>
      <c r="AA6263" s="33"/>
      <c r="AB6263" s="33"/>
      <c r="AC6263" s="33"/>
      <c r="AD6263" s="33"/>
      <c r="AE6263" s="33"/>
      <c r="AF6263" s="33"/>
      <c r="AG6263" s="33"/>
      <c r="AH6263" s="33"/>
      <c r="AI6263" s="33"/>
      <c r="AJ6263" s="33"/>
      <c r="AK6263" s="33"/>
    </row>
    <row r="6264">
      <c r="A6264" s="33"/>
      <c r="B6264" s="33"/>
      <c r="C6264" s="33"/>
      <c r="D6264" s="33"/>
      <c r="E6264" s="33"/>
      <c r="F6264" s="33"/>
      <c r="G6264" s="33"/>
      <c r="H6264" s="33"/>
      <c r="I6264" s="33"/>
      <c r="J6264" s="33"/>
      <c r="K6264" s="33"/>
      <c r="L6264" s="33"/>
      <c r="M6264" s="33"/>
      <c r="N6264" s="33"/>
      <c r="O6264" s="33"/>
      <c r="P6264" s="33"/>
      <c r="Q6264" s="33"/>
      <c r="R6264" s="33"/>
      <c r="S6264" s="33"/>
      <c r="T6264" s="33"/>
      <c r="U6264" s="33"/>
      <c r="V6264" s="33"/>
      <c r="W6264" s="33"/>
      <c r="X6264" s="33"/>
      <c r="Y6264" s="33"/>
      <c r="Z6264" s="33"/>
      <c r="AA6264" s="33"/>
      <c r="AB6264" s="33"/>
      <c r="AC6264" s="33"/>
      <c r="AD6264" s="33"/>
      <c r="AE6264" s="33"/>
      <c r="AF6264" s="33"/>
      <c r="AG6264" s="33"/>
      <c r="AH6264" s="33"/>
      <c r="AI6264" s="33"/>
      <c r="AJ6264" s="33"/>
      <c r="AK6264" s="33"/>
    </row>
    <row r="6265">
      <c r="A6265" s="33"/>
      <c r="B6265" s="33"/>
      <c r="C6265" s="33"/>
      <c r="D6265" s="33"/>
      <c r="E6265" s="33"/>
      <c r="F6265" s="33"/>
      <c r="G6265" s="33"/>
      <c r="H6265" s="33"/>
      <c r="I6265" s="33"/>
      <c r="J6265" s="33"/>
      <c r="K6265" s="33"/>
      <c r="L6265" s="33"/>
      <c r="M6265" s="33"/>
      <c r="N6265" s="33"/>
      <c r="O6265" s="33"/>
      <c r="P6265" s="33"/>
      <c r="Q6265" s="33"/>
      <c r="R6265" s="33"/>
      <c r="S6265" s="33"/>
      <c r="T6265" s="33"/>
      <c r="U6265" s="33"/>
      <c r="V6265" s="33"/>
      <c r="W6265" s="33"/>
      <c r="X6265" s="33"/>
      <c r="Y6265" s="33"/>
      <c r="Z6265" s="33"/>
      <c r="AA6265" s="33"/>
      <c r="AB6265" s="33"/>
      <c r="AC6265" s="33"/>
      <c r="AD6265" s="33"/>
      <c r="AE6265" s="33"/>
      <c r="AF6265" s="33"/>
      <c r="AG6265" s="33"/>
      <c r="AH6265" s="33"/>
      <c r="AI6265" s="33"/>
      <c r="AJ6265" s="33"/>
      <c r="AK6265" s="33"/>
    </row>
    <row r="6266">
      <c r="A6266" s="33"/>
      <c r="B6266" s="33"/>
      <c r="C6266" s="33"/>
      <c r="D6266" s="33"/>
      <c r="E6266" s="33"/>
      <c r="F6266" s="33"/>
      <c r="G6266" s="33"/>
      <c r="H6266" s="33"/>
      <c r="I6266" s="33"/>
      <c r="J6266" s="33"/>
      <c r="K6266" s="33"/>
      <c r="L6266" s="33"/>
      <c r="M6266" s="33"/>
      <c r="N6266" s="33"/>
      <c r="O6266" s="33"/>
      <c r="P6266" s="33"/>
      <c r="Q6266" s="33"/>
      <c r="R6266" s="33"/>
      <c r="S6266" s="33"/>
      <c r="T6266" s="33"/>
      <c r="U6266" s="33"/>
      <c r="V6266" s="33"/>
      <c r="W6266" s="33"/>
      <c r="X6266" s="33"/>
      <c r="Y6266" s="33"/>
      <c r="Z6266" s="33"/>
      <c r="AA6266" s="33"/>
      <c r="AB6266" s="33"/>
      <c r="AC6266" s="33"/>
      <c r="AD6266" s="33"/>
      <c r="AE6266" s="33"/>
      <c r="AF6266" s="33"/>
      <c r="AG6266" s="33"/>
      <c r="AH6266" s="33"/>
      <c r="AI6266" s="33"/>
      <c r="AJ6266" s="33"/>
      <c r="AK6266" s="33"/>
    </row>
    <row r="6267">
      <c r="A6267" s="33"/>
      <c r="B6267" s="33"/>
      <c r="C6267" s="33"/>
      <c r="D6267" s="33"/>
      <c r="E6267" s="33"/>
      <c r="F6267" s="33"/>
      <c r="G6267" s="33"/>
      <c r="H6267" s="33"/>
      <c r="I6267" s="33"/>
      <c r="J6267" s="33"/>
      <c r="K6267" s="33"/>
      <c r="L6267" s="33"/>
      <c r="M6267" s="33"/>
      <c r="N6267" s="33"/>
      <c r="O6267" s="33"/>
      <c r="P6267" s="33"/>
      <c r="Q6267" s="33"/>
      <c r="R6267" s="33"/>
      <c r="S6267" s="33"/>
      <c r="T6267" s="33"/>
      <c r="U6267" s="33"/>
      <c r="V6267" s="33"/>
      <c r="W6267" s="33"/>
      <c r="X6267" s="33"/>
      <c r="Y6267" s="33"/>
      <c r="Z6267" s="33"/>
      <c r="AA6267" s="33"/>
      <c r="AB6267" s="33"/>
      <c r="AC6267" s="33"/>
      <c r="AD6267" s="33"/>
      <c r="AE6267" s="33"/>
      <c r="AF6267" s="33"/>
      <c r="AG6267" s="33"/>
      <c r="AH6267" s="33"/>
      <c r="AI6267" s="33"/>
      <c r="AJ6267" s="33"/>
      <c r="AK6267" s="33"/>
    </row>
    <row r="6268">
      <c r="A6268" s="33"/>
      <c r="B6268" s="33"/>
      <c r="C6268" s="33"/>
      <c r="D6268" s="33"/>
      <c r="E6268" s="33"/>
      <c r="F6268" s="33"/>
      <c r="G6268" s="33"/>
      <c r="H6268" s="33"/>
      <c r="I6268" s="33"/>
      <c r="J6268" s="33"/>
      <c r="K6268" s="33"/>
      <c r="L6268" s="33"/>
      <c r="M6268" s="33"/>
      <c r="N6268" s="33"/>
      <c r="O6268" s="33"/>
      <c r="P6268" s="33"/>
      <c r="Q6268" s="33"/>
      <c r="R6268" s="33"/>
      <c r="S6268" s="33"/>
      <c r="T6268" s="33"/>
      <c r="U6268" s="33"/>
      <c r="V6268" s="33"/>
      <c r="W6268" s="33"/>
      <c r="X6268" s="33"/>
      <c r="Y6268" s="33"/>
      <c r="Z6268" s="33"/>
      <c r="AA6268" s="33"/>
      <c r="AB6268" s="33"/>
      <c r="AC6268" s="33"/>
      <c r="AD6268" s="33"/>
      <c r="AE6268" s="33"/>
      <c r="AF6268" s="33"/>
      <c r="AG6268" s="33"/>
      <c r="AH6268" s="33"/>
      <c r="AI6268" s="33"/>
      <c r="AJ6268" s="33"/>
      <c r="AK6268" s="33"/>
    </row>
    <row r="6269">
      <c r="A6269" s="33"/>
      <c r="B6269" s="33"/>
      <c r="C6269" s="33"/>
      <c r="D6269" s="33"/>
      <c r="E6269" s="33"/>
      <c r="F6269" s="33"/>
      <c r="G6269" s="33"/>
      <c r="H6269" s="33"/>
      <c r="I6269" s="33"/>
      <c r="J6269" s="33"/>
      <c r="K6269" s="33"/>
      <c r="L6269" s="33"/>
      <c r="M6269" s="33"/>
      <c r="N6269" s="33"/>
      <c r="O6269" s="33"/>
      <c r="P6269" s="33"/>
      <c r="Q6269" s="33"/>
      <c r="R6269" s="33"/>
      <c r="S6269" s="33"/>
      <c r="T6269" s="33"/>
      <c r="U6269" s="33"/>
      <c r="V6269" s="33"/>
      <c r="W6269" s="33"/>
      <c r="X6269" s="33"/>
      <c r="Y6269" s="33"/>
      <c r="Z6269" s="33"/>
      <c r="AA6269" s="33"/>
      <c r="AB6269" s="33"/>
      <c r="AC6269" s="33"/>
      <c r="AD6269" s="33"/>
      <c r="AE6269" s="33"/>
      <c r="AF6269" s="33"/>
      <c r="AG6269" s="33"/>
      <c r="AH6269" s="33"/>
      <c r="AI6269" s="33"/>
      <c r="AJ6269" s="33"/>
      <c r="AK6269" s="33"/>
    </row>
    <row r="6270">
      <c r="A6270" s="33"/>
      <c r="B6270" s="33"/>
      <c r="C6270" s="33"/>
      <c r="D6270" s="33"/>
      <c r="E6270" s="33"/>
      <c r="F6270" s="33"/>
      <c r="G6270" s="33"/>
      <c r="H6270" s="33"/>
      <c r="I6270" s="33"/>
      <c r="J6270" s="33"/>
      <c r="K6270" s="33"/>
      <c r="L6270" s="33"/>
      <c r="M6270" s="33"/>
      <c r="N6270" s="33"/>
      <c r="O6270" s="33"/>
      <c r="P6270" s="33"/>
      <c r="Q6270" s="33"/>
      <c r="R6270" s="33"/>
      <c r="S6270" s="33"/>
      <c r="T6270" s="33"/>
      <c r="U6270" s="33"/>
      <c r="V6270" s="33"/>
      <c r="W6270" s="33"/>
      <c r="X6270" s="33"/>
      <c r="Y6270" s="33"/>
      <c r="Z6270" s="33"/>
      <c r="AA6270" s="33"/>
      <c r="AB6270" s="33"/>
      <c r="AC6270" s="33"/>
      <c r="AD6270" s="33"/>
      <c r="AE6270" s="33"/>
      <c r="AF6270" s="33"/>
      <c r="AG6270" s="33"/>
      <c r="AH6270" s="33"/>
      <c r="AI6270" s="33"/>
      <c r="AJ6270" s="33"/>
      <c r="AK6270" s="33"/>
    </row>
    <row r="6271">
      <c r="A6271" s="33"/>
      <c r="B6271" s="33"/>
      <c r="C6271" s="33"/>
      <c r="D6271" s="33"/>
      <c r="E6271" s="33"/>
      <c r="F6271" s="33"/>
      <c r="G6271" s="33"/>
      <c r="H6271" s="33"/>
      <c r="I6271" s="33"/>
      <c r="J6271" s="33"/>
      <c r="K6271" s="33"/>
      <c r="L6271" s="33"/>
      <c r="M6271" s="33"/>
      <c r="N6271" s="33"/>
      <c r="O6271" s="33"/>
      <c r="P6271" s="33"/>
      <c r="Q6271" s="33"/>
      <c r="R6271" s="33"/>
      <c r="S6271" s="33"/>
      <c r="T6271" s="33"/>
      <c r="U6271" s="33"/>
      <c r="V6271" s="33"/>
      <c r="W6271" s="33"/>
      <c r="X6271" s="33"/>
      <c r="Y6271" s="33"/>
      <c r="Z6271" s="33"/>
      <c r="AA6271" s="33"/>
      <c r="AB6271" s="33"/>
      <c r="AC6271" s="33"/>
      <c r="AD6271" s="33"/>
      <c r="AE6271" s="33"/>
      <c r="AF6271" s="33"/>
      <c r="AG6271" s="33"/>
      <c r="AH6271" s="33"/>
      <c r="AI6271" s="33"/>
      <c r="AJ6271" s="33"/>
      <c r="AK6271" s="33"/>
    </row>
    <row r="6272">
      <c r="A6272" s="33"/>
      <c r="B6272" s="33"/>
      <c r="C6272" s="33"/>
      <c r="D6272" s="33"/>
      <c r="E6272" s="33"/>
      <c r="F6272" s="33"/>
      <c r="G6272" s="33"/>
      <c r="H6272" s="33"/>
      <c r="I6272" s="33"/>
      <c r="J6272" s="33"/>
      <c r="K6272" s="33"/>
      <c r="L6272" s="33"/>
      <c r="M6272" s="33"/>
      <c r="N6272" s="33"/>
      <c r="O6272" s="33"/>
      <c r="P6272" s="33"/>
      <c r="Q6272" s="33"/>
      <c r="R6272" s="33"/>
      <c r="S6272" s="33"/>
      <c r="T6272" s="33"/>
      <c r="U6272" s="33"/>
      <c r="V6272" s="33"/>
      <c r="W6272" s="33"/>
      <c r="X6272" s="33"/>
      <c r="Y6272" s="33"/>
      <c r="Z6272" s="33"/>
      <c r="AA6272" s="33"/>
      <c r="AB6272" s="33"/>
      <c r="AC6272" s="33"/>
      <c r="AD6272" s="33"/>
      <c r="AE6272" s="33"/>
      <c r="AF6272" s="33"/>
      <c r="AG6272" s="33"/>
      <c r="AH6272" s="33"/>
      <c r="AI6272" s="33"/>
      <c r="AJ6272" s="33"/>
      <c r="AK6272" s="33"/>
    </row>
    <row r="6273">
      <c r="A6273" s="33"/>
      <c r="B6273" s="33"/>
      <c r="C6273" s="33"/>
      <c r="D6273" s="33"/>
      <c r="E6273" s="33"/>
      <c r="F6273" s="33"/>
      <c r="G6273" s="33"/>
      <c r="H6273" s="33"/>
      <c r="I6273" s="33"/>
      <c r="J6273" s="33"/>
      <c r="K6273" s="33"/>
      <c r="L6273" s="33"/>
      <c r="M6273" s="33"/>
      <c r="N6273" s="33"/>
      <c r="O6273" s="33"/>
      <c r="P6273" s="33"/>
      <c r="Q6273" s="33"/>
      <c r="R6273" s="33"/>
      <c r="S6273" s="33"/>
      <c r="T6273" s="33"/>
      <c r="U6273" s="33"/>
      <c r="V6273" s="33"/>
      <c r="W6273" s="33"/>
      <c r="X6273" s="33"/>
      <c r="Y6273" s="33"/>
      <c r="Z6273" s="33"/>
      <c r="AA6273" s="33"/>
      <c r="AB6273" s="33"/>
      <c r="AC6273" s="33"/>
      <c r="AD6273" s="33"/>
      <c r="AE6273" s="33"/>
      <c r="AF6273" s="33"/>
      <c r="AG6273" s="33"/>
      <c r="AH6273" s="33"/>
      <c r="AI6273" s="33"/>
      <c r="AJ6273" s="33"/>
      <c r="AK6273" s="33"/>
    </row>
    <row r="6274">
      <c r="A6274" s="33"/>
      <c r="B6274" s="33"/>
      <c r="C6274" s="33"/>
      <c r="D6274" s="33"/>
      <c r="E6274" s="33"/>
      <c r="F6274" s="33"/>
      <c r="G6274" s="33"/>
      <c r="H6274" s="33"/>
      <c r="I6274" s="33"/>
      <c r="J6274" s="33"/>
      <c r="K6274" s="33"/>
      <c r="L6274" s="33"/>
      <c r="M6274" s="33"/>
      <c r="N6274" s="33"/>
      <c r="O6274" s="33"/>
      <c r="P6274" s="33"/>
      <c r="Q6274" s="33"/>
      <c r="R6274" s="33"/>
      <c r="S6274" s="33"/>
      <c r="T6274" s="33"/>
      <c r="U6274" s="33"/>
      <c r="V6274" s="33"/>
      <c r="W6274" s="33"/>
      <c r="X6274" s="33"/>
      <c r="Y6274" s="33"/>
      <c r="Z6274" s="33"/>
      <c r="AA6274" s="33"/>
      <c r="AB6274" s="33"/>
      <c r="AC6274" s="33"/>
      <c r="AD6274" s="33"/>
      <c r="AE6274" s="33"/>
      <c r="AF6274" s="33"/>
      <c r="AG6274" s="33"/>
      <c r="AH6274" s="33"/>
      <c r="AI6274" s="33"/>
      <c r="AJ6274" s="33"/>
      <c r="AK6274" s="33"/>
    </row>
    <row r="6275">
      <c r="A6275" s="33"/>
      <c r="B6275" s="33"/>
      <c r="C6275" s="33"/>
      <c r="D6275" s="33"/>
      <c r="E6275" s="33"/>
      <c r="F6275" s="33"/>
      <c r="G6275" s="33"/>
      <c r="H6275" s="33"/>
      <c r="I6275" s="33"/>
      <c r="J6275" s="33"/>
      <c r="K6275" s="33"/>
      <c r="L6275" s="33"/>
      <c r="M6275" s="33"/>
      <c r="N6275" s="33"/>
      <c r="O6275" s="33"/>
      <c r="P6275" s="33"/>
      <c r="Q6275" s="33"/>
      <c r="R6275" s="33"/>
      <c r="S6275" s="33"/>
      <c r="T6275" s="33"/>
      <c r="U6275" s="33"/>
      <c r="V6275" s="33"/>
      <c r="W6275" s="33"/>
      <c r="X6275" s="33"/>
      <c r="Y6275" s="33"/>
      <c r="Z6275" s="33"/>
      <c r="AA6275" s="33"/>
      <c r="AB6275" s="33"/>
      <c r="AC6275" s="33"/>
      <c r="AD6275" s="33"/>
      <c r="AE6275" s="33"/>
      <c r="AF6275" s="33"/>
      <c r="AG6275" s="33"/>
      <c r="AH6275" s="33"/>
      <c r="AI6275" s="33"/>
      <c r="AJ6275" s="33"/>
      <c r="AK6275" s="33"/>
    </row>
    <row r="6276">
      <c r="A6276" s="33"/>
      <c r="B6276" s="33"/>
      <c r="C6276" s="33"/>
      <c r="D6276" s="33"/>
      <c r="E6276" s="33"/>
      <c r="F6276" s="33"/>
      <c r="G6276" s="33"/>
      <c r="H6276" s="33"/>
      <c r="I6276" s="33"/>
      <c r="J6276" s="33"/>
      <c r="K6276" s="33"/>
      <c r="L6276" s="33"/>
      <c r="M6276" s="33"/>
      <c r="N6276" s="33"/>
      <c r="O6276" s="33"/>
      <c r="P6276" s="33"/>
      <c r="Q6276" s="33"/>
      <c r="R6276" s="33"/>
      <c r="S6276" s="33"/>
      <c r="T6276" s="33"/>
      <c r="U6276" s="33"/>
      <c r="V6276" s="33"/>
      <c r="W6276" s="33"/>
      <c r="X6276" s="33"/>
      <c r="Y6276" s="33"/>
      <c r="Z6276" s="33"/>
      <c r="AA6276" s="33"/>
      <c r="AB6276" s="33"/>
      <c r="AC6276" s="33"/>
      <c r="AD6276" s="33"/>
      <c r="AE6276" s="33"/>
      <c r="AF6276" s="33"/>
      <c r="AG6276" s="33"/>
      <c r="AH6276" s="33"/>
      <c r="AI6276" s="33"/>
      <c r="AJ6276" s="33"/>
      <c r="AK6276" s="33"/>
    </row>
    <row r="6277">
      <c r="A6277" s="33"/>
      <c r="B6277" s="33"/>
      <c r="C6277" s="33"/>
      <c r="D6277" s="33"/>
      <c r="E6277" s="33"/>
      <c r="F6277" s="33"/>
      <c r="G6277" s="33"/>
      <c r="H6277" s="33"/>
      <c r="I6277" s="33"/>
      <c r="J6277" s="33"/>
      <c r="K6277" s="33"/>
      <c r="L6277" s="33"/>
      <c r="M6277" s="33"/>
      <c r="N6277" s="33"/>
      <c r="O6277" s="33"/>
      <c r="P6277" s="33"/>
      <c r="Q6277" s="33"/>
      <c r="R6277" s="33"/>
      <c r="S6277" s="33"/>
      <c r="T6277" s="33"/>
      <c r="U6277" s="33"/>
      <c r="V6277" s="33"/>
      <c r="W6277" s="33"/>
      <c r="X6277" s="33"/>
      <c r="Y6277" s="33"/>
      <c r="Z6277" s="33"/>
      <c r="AA6277" s="33"/>
      <c r="AB6277" s="33"/>
      <c r="AC6277" s="33"/>
      <c r="AD6277" s="33"/>
      <c r="AE6277" s="33"/>
      <c r="AF6277" s="33"/>
      <c r="AG6277" s="33"/>
      <c r="AH6277" s="33"/>
      <c r="AI6277" s="33"/>
      <c r="AJ6277" s="33"/>
      <c r="AK6277" s="33"/>
    </row>
    <row r="6278">
      <c r="A6278" s="33"/>
      <c r="B6278" s="33"/>
      <c r="C6278" s="33"/>
      <c r="D6278" s="33"/>
      <c r="E6278" s="33"/>
      <c r="F6278" s="33"/>
      <c r="G6278" s="33"/>
      <c r="H6278" s="33"/>
      <c r="I6278" s="33"/>
      <c r="J6278" s="33"/>
      <c r="K6278" s="33"/>
      <c r="L6278" s="33"/>
      <c r="M6278" s="33"/>
      <c r="N6278" s="33"/>
      <c r="O6278" s="33"/>
      <c r="P6278" s="33"/>
      <c r="Q6278" s="33"/>
      <c r="R6278" s="33"/>
      <c r="S6278" s="33"/>
      <c r="T6278" s="33"/>
      <c r="U6278" s="33"/>
      <c r="V6278" s="33"/>
      <c r="W6278" s="33"/>
      <c r="X6278" s="33"/>
      <c r="Y6278" s="33"/>
      <c r="Z6278" s="33"/>
      <c r="AA6278" s="33"/>
      <c r="AB6278" s="33"/>
      <c r="AC6278" s="33"/>
      <c r="AD6278" s="33"/>
      <c r="AE6278" s="33"/>
      <c r="AF6278" s="33"/>
      <c r="AG6278" s="33"/>
      <c r="AH6278" s="33"/>
      <c r="AI6278" s="33"/>
      <c r="AJ6278" s="33"/>
      <c r="AK6278" s="33"/>
    </row>
    <row r="6279">
      <c r="A6279" s="33"/>
      <c r="B6279" s="33"/>
      <c r="C6279" s="33"/>
      <c r="D6279" s="33"/>
      <c r="E6279" s="33"/>
      <c r="F6279" s="33"/>
      <c r="G6279" s="33"/>
      <c r="H6279" s="33"/>
      <c r="I6279" s="33"/>
      <c r="J6279" s="33"/>
      <c r="K6279" s="33"/>
      <c r="L6279" s="33"/>
      <c r="M6279" s="33"/>
      <c r="N6279" s="33"/>
      <c r="O6279" s="33"/>
      <c r="P6279" s="33"/>
      <c r="Q6279" s="33"/>
      <c r="R6279" s="33"/>
      <c r="S6279" s="33"/>
      <c r="T6279" s="33"/>
      <c r="U6279" s="33"/>
      <c r="V6279" s="33"/>
      <c r="W6279" s="33"/>
      <c r="X6279" s="33"/>
      <c r="Y6279" s="33"/>
      <c r="Z6279" s="33"/>
      <c r="AA6279" s="33"/>
      <c r="AB6279" s="33"/>
      <c r="AC6279" s="33"/>
      <c r="AD6279" s="33"/>
      <c r="AE6279" s="33"/>
      <c r="AF6279" s="33"/>
      <c r="AG6279" s="33"/>
      <c r="AH6279" s="33"/>
      <c r="AI6279" s="33"/>
      <c r="AJ6279" s="33"/>
      <c r="AK6279" s="33"/>
    </row>
    <row r="6280">
      <c r="A6280" s="33"/>
      <c r="B6280" s="33"/>
      <c r="C6280" s="33"/>
      <c r="D6280" s="33"/>
      <c r="E6280" s="33"/>
      <c r="F6280" s="33"/>
      <c r="G6280" s="33"/>
      <c r="H6280" s="33"/>
      <c r="I6280" s="33"/>
      <c r="J6280" s="33"/>
      <c r="K6280" s="33"/>
      <c r="L6280" s="33"/>
      <c r="M6280" s="33"/>
      <c r="N6280" s="33"/>
      <c r="O6280" s="33"/>
      <c r="P6280" s="33"/>
      <c r="Q6280" s="33"/>
      <c r="R6280" s="33"/>
      <c r="S6280" s="33"/>
      <c r="T6280" s="33"/>
      <c r="U6280" s="33"/>
      <c r="V6280" s="33"/>
      <c r="W6280" s="33"/>
      <c r="X6280" s="33"/>
      <c r="Y6280" s="33"/>
      <c r="Z6280" s="33"/>
      <c r="AA6280" s="33"/>
      <c r="AB6280" s="33"/>
      <c r="AC6280" s="33"/>
      <c r="AD6280" s="33"/>
      <c r="AE6280" s="33"/>
      <c r="AF6280" s="33"/>
      <c r="AG6280" s="33"/>
      <c r="AH6280" s="33"/>
      <c r="AI6280" s="33"/>
      <c r="AJ6280" s="33"/>
      <c r="AK6280" s="33"/>
    </row>
    <row r="6281">
      <c r="A6281" s="33"/>
      <c r="B6281" s="33"/>
      <c r="C6281" s="33"/>
      <c r="D6281" s="33"/>
      <c r="E6281" s="33"/>
      <c r="F6281" s="33"/>
      <c r="G6281" s="33"/>
      <c r="H6281" s="33"/>
      <c r="I6281" s="33"/>
      <c r="J6281" s="33"/>
      <c r="K6281" s="33"/>
      <c r="L6281" s="33"/>
      <c r="M6281" s="33"/>
      <c r="N6281" s="33"/>
      <c r="O6281" s="33"/>
      <c r="P6281" s="33"/>
      <c r="Q6281" s="33"/>
      <c r="R6281" s="33"/>
      <c r="S6281" s="33"/>
      <c r="T6281" s="33"/>
      <c r="U6281" s="33"/>
      <c r="V6281" s="33"/>
      <c r="W6281" s="33"/>
      <c r="X6281" s="33"/>
      <c r="Y6281" s="33"/>
      <c r="Z6281" s="33"/>
      <c r="AA6281" s="33"/>
      <c r="AB6281" s="33"/>
      <c r="AC6281" s="33"/>
      <c r="AD6281" s="33"/>
      <c r="AE6281" s="33"/>
      <c r="AF6281" s="33"/>
      <c r="AG6281" s="33"/>
      <c r="AH6281" s="33"/>
      <c r="AI6281" s="33"/>
      <c r="AJ6281" s="33"/>
      <c r="AK6281" s="33"/>
    </row>
    <row r="6282">
      <c r="A6282" s="33"/>
      <c r="B6282" s="33"/>
      <c r="C6282" s="33"/>
      <c r="D6282" s="33"/>
      <c r="E6282" s="33"/>
      <c r="F6282" s="33"/>
      <c r="G6282" s="33"/>
      <c r="H6282" s="33"/>
      <c r="I6282" s="33"/>
      <c r="J6282" s="33"/>
      <c r="K6282" s="33"/>
      <c r="L6282" s="33"/>
      <c r="M6282" s="33"/>
      <c r="N6282" s="33"/>
      <c r="O6282" s="33"/>
      <c r="P6282" s="33"/>
      <c r="Q6282" s="33"/>
      <c r="R6282" s="33"/>
      <c r="S6282" s="33"/>
      <c r="T6282" s="33"/>
      <c r="U6282" s="33"/>
      <c r="V6282" s="33"/>
      <c r="W6282" s="33"/>
      <c r="X6282" s="33"/>
      <c r="Y6282" s="33"/>
      <c r="Z6282" s="33"/>
      <c r="AA6282" s="33"/>
      <c r="AB6282" s="33"/>
      <c r="AC6282" s="33"/>
      <c r="AD6282" s="33"/>
      <c r="AE6282" s="33"/>
      <c r="AF6282" s="33"/>
      <c r="AG6282" s="33"/>
      <c r="AH6282" s="33"/>
      <c r="AI6282" s="33"/>
      <c r="AJ6282" s="33"/>
      <c r="AK6282" s="33"/>
    </row>
    <row r="6283">
      <c r="A6283" s="33"/>
      <c r="B6283" s="33"/>
      <c r="C6283" s="33"/>
      <c r="D6283" s="33"/>
      <c r="E6283" s="33"/>
      <c r="F6283" s="33"/>
      <c r="G6283" s="33"/>
      <c r="H6283" s="33"/>
      <c r="I6283" s="33"/>
      <c r="J6283" s="33"/>
      <c r="K6283" s="33"/>
      <c r="L6283" s="33"/>
      <c r="M6283" s="33"/>
      <c r="N6283" s="33"/>
      <c r="O6283" s="33"/>
      <c r="P6283" s="33"/>
      <c r="Q6283" s="33"/>
      <c r="R6283" s="33"/>
      <c r="S6283" s="33"/>
      <c r="T6283" s="33"/>
      <c r="U6283" s="33"/>
      <c r="V6283" s="33"/>
      <c r="W6283" s="33"/>
      <c r="X6283" s="33"/>
      <c r="Y6283" s="33"/>
      <c r="Z6283" s="33"/>
      <c r="AA6283" s="33"/>
      <c r="AB6283" s="33"/>
      <c r="AC6283" s="33"/>
      <c r="AD6283" s="33"/>
      <c r="AE6283" s="33"/>
      <c r="AF6283" s="33"/>
      <c r="AG6283" s="33"/>
      <c r="AH6283" s="33"/>
      <c r="AI6283" s="33"/>
      <c r="AJ6283" s="33"/>
      <c r="AK6283" s="33"/>
    </row>
    <row r="6284">
      <c r="A6284" s="33"/>
      <c r="B6284" s="33"/>
      <c r="C6284" s="33"/>
      <c r="D6284" s="33"/>
      <c r="E6284" s="33"/>
      <c r="F6284" s="33"/>
      <c r="G6284" s="33"/>
      <c r="H6284" s="33"/>
      <c r="I6284" s="33"/>
      <c r="J6284" s="33"/>
      <c r="K6284" s="33"/>
      <c r="L6284" s="33"/>
      <c r="M6284" s="33"/>
      <c r="N6284" s="33"/>
      <c r="O6284" s="33"/>
      <c r="P6284" s="33"/>
      <c r="Q6284" s="33"/>
      <c r="R6284" s="33"/>
      <c r="S6284" s="33"/>
      <c r="T6284" s="33"/>
      <c r="U6284" s="33"/>
      <c r="V6284" s="33"/>
      <c r="W6284" s="33"/>
      <c r="X6284" s="33"/>
      <c r="Y6284" s="33"/>
      <c r="Z6284" s="33"/>
      <c r="AA6284" s="33"/>
      <c r="AB6284" s="33"/>
      <c r="AC6284" s="33"/>
      <c r="AD6284" s="33"/>
      <c r="AE6284" s="33"/>
      <c r="AF6284" s="33"/>
      <c r="AG6284" s="33"/>
      <c r="AH6284" s="33"/>
      <c r="AI6284" s="33"/>
      <c r="AJ6284" s="33"/>
      <c r="AK6284" s="33"/>
    </row>
    <row r="6285">
      <c r="A6285" s="33"/>
      <c r="B6285" s="33"/>
      <c r="C6285" s="33"/>
      <c r="D6285" s="33"/>
      <c r="E6285" s="33"/>
      <c r="F6285" s="33"/>
      <c r="G6285" s="33"/>
      <c r="H6285" s="33"/>
      <c r="I6285" s="33"/>
      <c r="J6285" s="33"/>
      <c r="K6285" s="33"/>
      <c r="L6285" s="33"/>
      <c r="M6285" s="33"/>
      <c r="N6285" s="33"/>
      <c r="O6285" s="33"/>
      <c r="P6285" s="33"/>
      <c r="Q6285" s="33"/>
      <c r="R6285" s="33"/>
      <c r="S6285" s="33"/>
      <c r="T6285" s="33"/>
      <c r="U6285" s="33"/>
      <c r="V6285" s="33"/>
      <c r="W6285" s="33"/>
      <c r="X6285" s="33"/>
      <c r="Y6285" s="33"/>
      <c r="Z6285" s="33"/>
      <c r="AA6285" s="33"/>
      <c r="AB6285" s="33"/>
      <c r="AC6285" s="33"/>
      <c r="AD6285" s="33"/>
      <c r="AE6285" s="33"/>
      <c r="AF6285" s="33"/>
      <c r="AG6285" s="33"/>
      <c r="AH6285" s="33"/>
      <c r="AI6285" s="33"/>
      <c r="AJ6285" s="33"/>
      <c r="AK6285" s="33"/>
    </row>
    <row r="6286">
      <c r="A6286" s="33"/>
      <c r="B6286" s="33"/>
      <c r="C6286" s="33"/>
      <c r="D6286" s="33"/>
      <c r="E6286" s="33"/>
      <c r="F6286" s="33"/>
      <c r="G6286" s="33"/>
      <c r="H6286" s="33"/>
      <c r="I6286" s="33"/>
      <c r="J6286" s="33"/>
      <c r="K6286" s="33"/>
      <c r="L6286" s="33"/>
      <c r="M6286" s="33"/>
      <c r="N6286" s="33"/>
      <c r="O6286" s="33"/>
      <c r="P6286" s="33"/>
      <c r="Q6286" s="33"/>
      <c r="R6286" s="33"/>
      <c r="S6286" s="33"/>
      <c r="T6286" s="33"/>
      <c r="U6286" s="33"/>
      <c r="V6286" s="33"/>
      <c r="W6286" s="33"/>
      <c r="X6286" s="33"/>
      <c r="Y6286" s="33"/>
      <c r="Z6286" s="33"/>
      <c r="AA6286" s="33"/>
      <c r="AB6286" s="33"/>
      <c r="AC6286" s="33"/>
      <c r="AD6286" s="33"/>
      <c r="AE6286" s="33"/>
      <c r="AF6286" s="33"/>
      <c r="AG6286" s="33"/>
      <c r="AH6286" s="33"/>
      <c r="AI6286" s="33"/>
      <c r="AJ6286" s="33"/>
      <c r="AK6286" s="33"/>
    </row>
    <row r="6287">
      <c r="A6287" s="33"/>
      <c r="B6287" s="33"/>
      <c r="C6287" s="33"/>
      <c r="D6287" s="33"/>
      <c r="E6287" s="33"/>
      <c r="F6287" s="33"/>
      <c r="G6287" s="33"/>
      <c r="H6287" s="33"/>
      <c r="I6287" s="33"/>
      <c r="J6287" s="33"/>
      <c r="K6287" s="33"/>
      <c r="L6287" s="33"/>
      <c r="M6287" s="33"/>
      <c r="N6287" s="33"/>
      <c r="O6287" s="33"/>
      <c r="P6287" s="33"/>
      <c r="Q6287" s="33"/>
      <c r="R6287" s="33"/>
      <c r="S6287" s="33"/>
      <c r="T6287" s="33"/>
      <c r="U6287" s="33"/>
      <c r="V6287" s="33"/>
      <c r="W6287" s="33"/>
      <c r="X6287" s="33"/>
      <c r="Y6287" s="33"/>
      <c r="Z6287" s="33"/>
      <c r="AA6287" s="33"/>
      <c r="AB6287" s="33"/>
      <c r="AC6287" s="33"/>
      <c r="AD6287" s="33"/>
      <c r="AE6287" s="33"/>
      <c r="AF6287" s="33"/>
      <c r="AG6287" s="33"/>
      <c r="AH6287" s="33"/>
      <c r="AI6287" s="33"/>
      <c r="AJ6287" s="33"/>
      <c r="AK6287" s="33"/>
    </row>
    <row r="6288">
      <c r="A6288" s="33"/>
      <c r="B6288" s="33"/>
      <c r="C6288" s="33"/>
      <c r="D6288" s="33"/>
      <c r="E6288" s="33"/>
      <c r="F6288" s="33"/>
      <c r="G6288" s="33"/>
      <c r="H6288" s="33"/>
      <c r="I6288" s="33"/>
      <c r="J6288" s="33"/>
      <c r="K6288" s="33"/>
      <c r="L6288" s="33"/>
      <c r="M6288" s="33"/>
      <c r="N6288" s="33"/>
      <c r="O6288" s="33"/>
      <c r="P6288" s="33"/>
      <c r="Q6288" s="33"/>
      <c r="R6288" s="33"/>
      <c r="S6288" s="33"/>
      <c r="T6288" s="33"/>
      <c r="U6288" s="33"/>
      <c r="V6288" s="33"/>
      <c r="W6288" s="33"/>
      <c r="X6288" s="33"/>
      <c r="Y6288" s="33"/>
      <c r="Z6288" s="33"/>
      <c r="AA6288" s="33"/>
      <c r="AB6288" s="33"/>
      <c r="AC6288" s="33"/>
      <c r="AD6288" s="33"/>
      <c r="AE6288" s="33"/>
      <c r="AF6288" s="33"/>
      <c r="AG6288" s="33"/>
      <c r="AH6288" s="33"/>
      <c r="AI6288" s="33"/>
      <c r="AJ6288" s="33"/>
      <c r="AK6288" s="33"/>
    </row>
    <row r="6289">
      <c r="A6289" s="33"/>
      <c r="B6289" s="33"/>
      <c r="C6289" s="33"/>
      <c r="D6289" s="33"/>
      <c r="E6289" s="33"/>
      <c r="F6289" s="33"/>
      <c r="G6289" s="33"/>
      <c r="H6289" s="33"/>
      <c r="I6289" s="33"/>
      <c r="J6289" s="33"/>
      <c r="K6289" s="33"/>
      <c r="L6289" s="33"/>
      <c r="M6289" s="33"/>
      <c r="N6289" s="33"/>
      <c r="O6289" s="33"/>
      <c r="P6289" s="33"/>
      <c r="Q6289" s="33"/>
      <c r="R6289" s="33"/>
      <c r="S6289" s="33"/>
      <c r="T6289" s="33"/>
      <c r="U6289" s="33"/>
      <c r="V6289" s="33"/>
      <c r="W6289" s="33"/>
      <c r="X6289" s="33"/>
      <c r="Y6289" s="33"/>
      <c r="Z6289" s="33"/>
      <c r="AA6289" s="33"/>
      <c r="AB6289" s="33"/>
      <c r="AC6289" s="33"/>
      <c r="AD6289" s="33"/>
      <c r="AE6289" s="33"/>
      <c r="AF6289" s="33"/>
      <c r="AG6289" s="33"/>
      <c r="AH6289" s="33"/>
      <c r="AI6289" s="33"/>
      <c r="AJ6289" s="33"/>
      <c r="AK6289" s="33"/>
    </row>
    <row r="6290">
      <c r="A6290" s="33"/>
      <c r="B6290" s="33"/>
      <c r="C6290" s="33"/>
      <c r="D6290" s="33"/>
      <c r="E6290" s="33"/>
      <c r="F6290" s="33"/>
      <c r="G6290" s="33"/>
      <c r="H6290" s="33"/>
      <c r="I6290" s="33"/>
      <c r="J6290" s="33"/>
      <c r="K6290" s="33"/>
      <c r="L6290" s="33"/>
      <c r="M6290" s="33"/>
      <c r="N6290" s="33"/>
      <c r="O6290" s="33"/>
      <c r="P6290" s="33"/>
      <c r="Q6290" s="33"/>
      <c r="R6290" s="33"/>
      <c r="S6290" s="33"/>
      <c r="T6290" s="33"/>
      <c r="U6290" s="33"/>
      <c r="V6290" s="33"/>
      <c r="W6290" s="33"/>
      <c r="X6290" s="33"/>
      <c r="Y6290" s="33"/>
      <c r="Z6290" s="33"/>
      <c r="AA6290" s="33"/>
      <c r="AB6290" s="33"/>
      <c r="AC6290" s="33"/>
      <c r="AD6290" s="33"/>
      <c r="AE6290" s="33"/>
      <c r="AF6290" s="33"/>
      <c r="AG6290" s="33"/>
      <c r="AH6290" s="33"/>
      <c r="AI6290" s="33"/>
      <c r="AJ6290" s="33"/>
      <c r="AK6290" s="33"/>
    </row>
    <row r="6291">
      <c r="A6291" s="33"/>
      <c r="B6291" s="33"/>
      <c r="C6291" s="33"/>
      <c r="D6291" s="33"/>
      <c r="E6291" s="33"/>
      <c r="F6291" s="33"/>
      <c r="G6291" s="33"/>
      <c r="H6291" s="33"/>
      <c r="I6291" s="33"/>
      <c r="J6291" s="33"/>
      <c r="K6291" s="33"/>
      <c r="L6291" s="33"/>
      <c r="M6291" s="33"/>
      <c r="N6291" s="33"/>
      <c r="O6291" s="33"/>
      <c r="P6291" s="33"/>
      <c r="Q6291" s="33"/>
      <c r="R6291" s="33"/>
      <c r="S6291" s="33"/>
      <c r="T6291" s="33"/>
      <c r="U6291" s="33"/>
      <c r="V6291" s="33"/>
      <c r="W6291" s="33"/>
      <c r="X6291" s="33"/>
      <c r="Y6291" s="33"/>
      <c r="Z6291" s="33"/>
      <c r="AA6291" s="33"/>
      <c r="AB6291" s="33"/>
      <c r="AC6291" s="33"/>
      <c r="AD6291" s="33"/>
      <c r="AE6291" s="33"/>
      <c r="AF6291" s="33"/>
      <c r="AG6291" s="33"/>
      <c r="AH6291" s="33"/>
      <c r="AI6291" s="33"/>
      <c r="AJ6291" s="33"/>
      <c r="AK6291" s="33"/>
    </row>
    <row r="6292">
      <c r="A6292" s="33"/>
      <c r="B6292" s="33"/>
      <c r="C6292" s="33"/>
      <c r="D6292" s="33"/>
      <c r="E6292" s="33"/>
      <c r="F6292" s="33"/>
      <c r="G6292" s="33"/>
      <c r="H6292" s="33"/>
      <c r="I6292" s="33"/>
      <c r="J6292" s="33"/>
      <c r="K6292" s="33"/>
      <c r="L6292" s="33"/>
      <c r="M6292" s="33"/>
      <c r="N6292" s="33"/>
      <c r="O6292" s="33"/>
      <c r="P6292" s="33"/>
      <c r="Q6292" s="33"/>
      <c r="R6292" s="33"/>
      <c r="S6292" s="33"/>
      <c r="T6292" s="33"/>
      <c r="U6292" s="33"/>
      <c r="V6292" s="33"/>
      <c r="W6292" s="33"/>
      <c r="X6292" s="33"/>
      <c r="Y6292" s="33"/>
      <c r="Z6292" s="33"/>
      <c r="AA6292" s="33"/>
      <c r="AB6292" s="33"/>
      <c r="AC6292" s="33"/>
      <c r="AD6292" s="33"/>
      <c r="AE6292" s="33"/>
      <c r="AF6292" s="33"/>
      <c r="AG6292" s="33"/>
      <c r="AH6292" s="33"/>
      <c r="AI6292" s="33"/>
      <c r="AJ6292" s="33"/>
      <c r="AK6292" s="33"/>
    </row>
    <row r="6293">
      <c r="A6293" s="33"/>
      <c r="B6293" s="33"/>
      <c r="C6293" s="33"/>
      <c r="D6293" s="33"/>
      <c r="E6293" s="33"/>
      <c r="F6293" s="33"/>
      <c r="G6293" s="33"/>
      <c r="H6293" s="33"/>
      <c r="I6293" s="33"/>
      <c r="J6293" s="33"/>
      <c r="K6293" s="33"/>
      <c r="L6293" s="33"/>
      <c r="M6293" s="33"/>
      <c r="N6293" s="33"/>
      <c r="O6293" s="33"/>
      <c r="P6293" s="33"/>
      <c r="Q6293" s="33"/>
      <c r="R6293" s="33"/>
      <c r="S6293" s="33"/>
      <c r="T6293" s="33"/>
      <c r="U6293" s="33"/>
      <c r="V6293" s="33"/>
      <c r="W6293" s="33"/>
      <c r="X6293" s="33"/>
      <c r="Y6293" s="33"/>
      <c r="Z6293" s="33"/>
      <c r="AA6293" s="33"/>
      <c r="AB6293" s="33"/>
      <c r="AC6293" s="33"/>
      <c r="AD6293" s="33"/>
      <c r="AE6293" s="33"/>
      <c r="AF6293" s="33"/>
      <c r="AG6293" s="33"/>
      <c r="AH6293" s="33"/>
      <c r="AI6293" s="33"/>
      <c r="AJ6293" s="33"/>
      <c r="AK6293" s="33"/>
    </row>
    <row r="6294">
      <c r="A6294" s="33"/>
      <c r="B6294" s="33"/>
      <c r="C6294" s="33"/>
      <c r="D6294" s="33"/>
      <c r="E6294" s="33"/>
      <c r="F6294" s="33"/>
      <c r="G6294" s="33"/>
      <c r="H6294" s="33"/>
      <c r="I6294" s="33"/>
      <c r="J6294" s="33"/>
      <c r="K6294" s="33"/>
      <c r="L6294" s="33"/>
      <c r="M6294" s="33"/>
      <c r="N6294" s="33"/>
      <c r="O6294" s="33"/>
      <c r="P6294" s="33"/>
      <c r="Q6294" s="33"/>
      <c r="R6294" s="33"/>
      <c r="S6294" s="33"/>
      <c r="T6294" s="33"/>
      <c r="U6294" s="33"/>
      <c r="V6294" s="33"/>
      <c r="W6294" s="33"/>
      <c r="X6294" s="33"/>
      <c r="Y6294" s="33"/>
      <c r="Z6294" s="33"/>
      <c r="AA6294" s="33"/>
      <c r="AB6294" s="33"/>
      <c r="AC6294" s="33"/>
      <c r="AD6294" s="33"/>
      <c r="AE6294" s="33"/>
      <c r="AF6294" s="33"/>
      <c r="AG6294" s="33"/>
      <c r="AH6294" s="33"/>
      <c r="AI6294" s="33"/>
      <c r="AJ6294" s="33"/>
      <c r="AK6294" s="33"/>
    </row>
    <row r="6295">
      <c r="A6295" s="33"/>
      <c r="B6295" s="33"/>
      <c r="C6295" s="33"/>
      <c r="D6295" s="33"/>
      <c r="E6295" s="33"/>
      <c r="F6295" s="33"/>
      <c r="G6295" s="33"/>
      <c r="H6295" s="33"/>
      <c r="I6295" s="33"/>
      <c r="J6295" s="33"/>
      <c r="K6295" s="33"/>
      <c r="L6295" s="33"/>
      <c r="M6295" s="33"/>
      <c r="N6295" s="33"/>
      <c r="O6295" s="33"/>
      <c r="P6295" s="33"/>
      <c r="Q6295" s="33"/>
      <c r="R6295" s="33"/>
      <c r="S6295" s="33"/>
      <c r="T6295" s="33"/>
      <c r="U6295" s="33"/>
      <c r="V6295" s="33"/>
      <c r="W6295" s="33"/>
      <c r="X6295" s="33"/>
      <c r="Y6295" s="33"/>
      <c r="Z6295" s="33"/>
      <c r="AA6295" s="33"/>
      <c r="AB6295" s="33"/>
      <c r="AC6295" s="33"/>
      <c r="AD6295" s="33"/>
      <c r="AE6295" s="33"/>
      <c r="AF6295" s="33"/>
      <c r="AG6295" s="33"/>
      <c r="AH6295" s="33"/>
      <c r="AI6295" s="33"/>
      <c r="AJ6295" s="33"/>
      <c r="AK6295" s="33"/>
    </row>
    <row r="6296">
      <c r="A6296" s="33"/>
      <c r="B6296" s="33"/>
      <c r="C6296" s="33"/>
      <c r="D6296" s="33"/>
      <c r="E6296" s="33"/>
      <c r="F6296" s="33"/>
      <c r="G6296" s="33"/>
      <c r="H6296" s="33"/>
      <c r="I6296" s="33"/>
      <c r="J6296" s="33"/>
      <c r="K6296" s="33"/>
      <c r="L6296" s="33"/>
      <c r="M6296" s="33"/>
      <c r="N6296" s="33"/>
      <c r="O6296" s="33"/>
      <c r="P6296" s="33"/>
      <c r="Q6296" s="33"/>
      <c r="R6296" s="33"/>
      <c r="S6296" s="33"/>
      <c r="T6296" s="33"/>
      <c r="U6296" s="33"/>
      <c r="V6296" s="33"/>
      <c r="W6296" s="33"/>
      <c r="X6296" s="33"/>
      <c r="Y6296" s="33"/>
      <c r="Z6296" s="33"/>
      <c r="AA6296" s="33"/>
      <c r="AB6296" s="33"/>
      <c r="AC6296" s="33"/>
      <c r="AD6296" s="33"/>
      <c r="AE6296" s="33"/>
      <c r="AF6296" s="33"/>
      <c r="AG6296" s="33"/>
      <c r="AH6296" s="33"/>
      <c r="AI6296" s="33"/>
      <c r="AJ6296" s="33"/>
      <c r="AK6296" s="33"/>
    </row>
    <row r="6297">
      <c r="A6297" s="33"/>
      <c r="B6297" s="33"/>
      <c r="C6297" s="33"/>
      <c r="D6297" s="33"/>
      <c r="E6297" s="33"/>
      <c r="F6297" s="33"/>
      <c r="G6297" s="33"/>
      <c r="H6297" s="33"/>
      <c r="I6297" s="33"/>
      <c r="J6297" s="33"/>
      <c r="K6297" s="33"/>
      <c r="L6297" s="33"/>
      <c r="M6297" s="33"/>
      <c r="N6297" s="33"/>
      <c r="O6297" s="33"/>
      <c r="P6297" s="33"/>
      <c r="Q6297" s="33"/>
      <c r="R6297" s="33"/>
      <c r="S6297" s="33"/>
      <c r="T6297" s="33"/>
      <c r="U6297" s="33"/>
      <c r="V6297" s="33"/>
      <c r="W6297" s="33"/>
      <c r="X6297" s="33"/>
      <c r="Y6297" s="33"/>
      <c r="Z6297" s="33"/>
      <c r="AA6297" s="33"/>
      <c r="AB6297" s="33"/>
      <c r="AC6297" s="33"/>
      <c r="AD6297" s="33"/>
      <c r="AE6297" s="33"/>
      <c r="AF6297" s="33"/>
      <c r="AG6297" s="33"/>
      <c r="AH6297" s="33"/>
      <c r="AI6297" s="33"/>
      <c r="AJ6297" s="33"/>
      <c r="AK6297" s="33"/>
    </row>
    <row r="6298">
      <c r="A6298" s="33"/>
      <c r="B6298" s="33"/>
      <c r="C6298" s="33"/>
      <c r="D6298" s="33"/>
      <c r="E6298" s="33"/>
      <c r="F6298" s="33"/>
      <c r="G6298" s="33"/>
      <c r="H6298" s="33"/>
      <c r="I6298" s="33"/>
      <c r="J6298" s="33"/>
      <c r="K6298" s="33"/>
      <c r="L6298" s="33"/>
      <c r="M6298" s="33"/>
      <c r="N6298" s="33"/>
      <c r="O6298" s="33"/>
      <c r="P6298" s="33"/>
      <c r="Q6298" s="33"/>
      <c r="R6298" s="33"/>
      <c r="S6298" s="33"/>
      <c r="T6298" s="33"/>
      <c r="U6298" s="33"/>
      <c r="V6298" s="33"/>
      <c r="W6298" s="33"/>
      <c r="X6298" s="33"/>
      <c r="Y6298" s="33"/>
      <c r="Z6298" s="33"/>
      <c r="AA6298" s="33"/>
      <c r="AB6298" s="33"/>
      <c r="AC6298" s="33"/>
      <c r="AD6298" s="33"/>
      <c r="AE6298" s="33"/>
      <c r="AF6298" s="33"/>
      <c r="AG6298" s="33"/>
      <c r="AH6298" s="33"/>
      <c r="AI6298" s="33"/>
      <c r="AJ6298" s="33"/>
      <c r="AK6298" s="33"/>
    </row>
    <row r="6299">
      <c r="A6299" s="33"/>
      <c r="B6299" s="33"/>
      <c r="C6299" s="33"/>
      <c r="D6299" s="33"/>
      <c r="E6299" s="33"/>
      <c r="F6299" s="33"/>
      <c r="G6299" s="33"/>
      <c r="H6299" s="33"/>
      <c r="I6299" s="33"/>
      <c r="J6299" s="33"/>
      <c r="K6299" s="33"/>
      <c r="L6299" s="33"/>
      <c r="M6299" s="33"/>
      <c r="N6299" s="33"/>
      <c r="O6299" s="33"/>
      <c r="P6299" s="33"/>
      <c r="Q6299" s="33"/>
      <c r="R6299" s="33"/>
      <c r="S6299" s="33"/>
      <c r="T6299" s="33"/>
      <c r="U6299" s="33"/>
      <c r="V6299" s="33"/>
      <c r="W6299" s="33"/>
      <c r="X6299" s="33"/>
      <c r="Y6299" s="33"/>
      <c r="Z6299" s="33"/>
      <c r="AA6299" s="33"/>
      <c r="AB6299" s="33"/>
      <c r="AC6299" s="33"/>
      <c r="AD6299" s="33"/>
      <c r="AE6299" s="33"/>
      <c r="AF6299" s="33"/>
      <c r="AG6299" s="33"/>
      <c r="AH6299" s="33"/>
      <c r="AI6299" s="33"/>
      <c r="AJ6299" s="33"/>
      <c r="AK6299" s="33"/>
    </row>
    <row r="6300">
      <c r="A6300" s="33"/>
      <c r="B6300" s="33"/>
      <c r="C6300" s="33"/>
      <c r="D6300" s="33"/>
      <c r="E6300" s="33"/>
      <c r="F6300" s="33"/>
      <c r="G6300" s="33"/>
      <c r="H6300" s="33"/>
      <c r="I6300" s="33"/>
      <c r="J6300" s="33"/>
      <c r="K6300" s="33"/>
      <c r="L6300" s="33"/>
      <c r="M6300" s="33"/>
      <c r="N6300" s="33"/>
      <c r="O6300" s="33"/>
      <c r="P6300" s="33"/>
      <c r="Q6300" s="33"/>
      <c r="R6300" s="33"/>
      <c r="S6300" s="33"/>
      <c r="T6300" s="33"/>
      <c r="U6300" s="33"/>
      <c r="V6300" s="33"/>
      <c r="W6300" s="33"/>
      <c r="X6300" s="33"/>
      <c r="Y6300" s="33"/>
      <c r="Z6300" s="33"/>
      <c r="AA6300" s="33"/>
      <c r="AB6300" s="33"/>
      <c r="AC6300" s="33"/>
      <c r="AD6300" s="33"/>
      <c r="AE6300" s="33"/>
      <c r="AF6300" s="33"/>
      <c r="AG6300" s="33"/>
      <c r="AH6300" s="33"/>
      <c r="AI6300" s="33"/>
      <c r="AJ6300" s="33"/>
      <c r="AK6300" s="33"/>
    </row>
    <row r="6301">
      <c r="A6301" s="33"/>
      <c r="B6301" s="33"/>
      <c r="C6301" s="33"/>
      <c r="D6301" s="33"/>
      <c r="E6301" s="33"/>
      <c r="F6301" s="33"/>
      <c r="G6301" s="33"/>
      <c r="H6301" s="33"/>
      <c r="I6301" s="33"/>
      <c r="J6301" s="33"/>
      <c r="K6301" s="33"/>
      <c r="L6301" s="33"/>
      <c r="M6301" s="33"/>
      <c r="N6301" s="33"/>
      <c r="O6301" s="33"/>
      <c r="P6301" s="33"/>
      <c r="Q6301" s="33"/>
      <c r="R6301" s="33"/>
      <c r="S6301" s="33"/>
      <c r="T6301" s="33"/>
      <c r="U6301" s="33"/>
      <c r="V6301" s="33"/>
      <c r="W6301" s="33"/>
      <c r="X6301" s="33"/>
      <c r="Y6301" s="33"/>
      <c r="Z6301" s="33"/>
      <c r="AA6301" s="33"/>
      <c r="AB6301" s="33"/>
      <c r="AC6301" s="33"/>
      <c r="AD6301" s="33"/>
      <c r="AE6301" s="33"/>
      <c r="AF6301" s="33"/>
      <c r="AG6301" s="33"/>
      <c r="AH6301" s="33"/>
      <c r="AI6301" s="33"/>
      <c r="AJ6301" s="33"/>
      <c r="AK6301" s="33"/>
    </row>
    <row r="6302">
      <c r="A6302" s="33"/>
      <c r="B6302" s="33"/>
      <c r="C6302" s="33"/>
      <c r="D6302" s="33"/>
      <c r="E6302" s="33"/>
      <c r="F6302" s="33"/>
      <c r="G6302" s="33"/>
      <c r="H6302" s="33"/>
      <c r="I6302" s="33"/>
      <c r="J6302" s="33"/>
      <c r="K6302" s="33"/>
      <c r="L6302" s="33"/>
      <c r="M6302" s="33"/>
      <c r="N6302" s="33"/>
      <c r="O6302" s="33"/>
      <c r="P6302" s="33"/>
      <c r="Q6302" s="33"/>
      <c r="R6302" s="33"/>
      <c r="S6302" s="33"/>
      <c r="T6302" s="33"/>
      <c r="U6302" s="33"/>
      <c r="V6302" s="33"/>
      <c r="W6302" s="33"/>
      <c r="X6302" s="33"/>
      <c r="Y6302" s="33"/>
      <c r="Z6302" s="33"/>
      <c r="AA6302" s="33"/>
      <c r="AB6302" s="33"/>
      <c r="AC6302" s="33"/>
      <c r="AD6302" s="33"/>
      <c r="AE6302" s="33"/>
      <c r="AF6302" s="33"/>
      <c r="AG6302" s="33"/>
      <c r="AH6302" s="33"/>
      <c r="AI6302" s="33"/>
      <c r="AJ6302" s="33"/>
      <c r="AK6302" s="33"/>
    </row>
    <row r="6303">
      <c r="A6303" s="33"/>
      <c r="B6303" s="33"/>
      <c r="C6303" s="33"/>
      <c r="D6303" s="33"/>
      <c r="E6303" s="33"/>
      <c r="F6303" s="33"/>
      <c r="G6303" s="33"/>
      <c r="H6303" s="33"/>
      <c r="I6303" s="33"/>
      <c r="J6303" s="33"/>
      <c r="K6303" s="33"/>
      <c r="L6303" s="33"/>
      <c r="M6303" s="33"/>
      <c r="N6303" s="33"/>
      <c r="O6303" s="33"/>
      <c r="P6303" s="33"/>
      <c r="Q6303" s="33"/>
      <c r="R6303" s="33"/>
      <c r="S6303" s="33"/>
      <c r="T6303" s="33"/>
      <c r="U6303" s="33"/>
      <c r="V6303" s="33"/>
      <c r="W6303" s="33"/>
      <c r="X6303" s="33"/>
      <c r="Y6303" s="33"/>
      <c r="Z6303" s="33"/>
      <c r="AA6303" s="33"/>
      <c r="AB6303" s="33"/>
      <c r="AC6303" s="33"/>
      <c r="AD6303" s="33"/>
      <c r="AE6303" s="33"/>
      <c r="AF6303" s="33"/>
      <c r="AG6303" s="33"/>
      <c r="AH6303" s="33"/>
      <c r="AI6303" s="33"/>
      <c r="AJ6303" s="33"/>
      <c r="AK6303" s="33"/>
    </row>
    <row r="6304">
      <c r="A6304" s="33"/>
      <c r="B6304" s="33"/>
      <c r="C6304" s="33"/>
      <c r="D6304" s="33"/>
      <c r="E6304" s="33"/>
      <c r="F6304" s="33"/>
      <c r="G6304" s="33"/>
      <c r="H6304" s="33"/>
      <c r="I6304" s="33"/>
      <c r="J6304" s="33"/>
      <c r="K6304" s="33"/>
      <c r="L6304" s="33"/>
      <c r="M6304" s="33"/>
      <c r="N6304" s="33"/>
      <c r="O6304" s="33"/>
      <c r="P6304" s="33"/>
      <c r="Q6304" s="33"/>
      <c r="R6304" s="33"/>
      <c r="S6304" s="33"/>
      <c r="T6304" s="33"/>
      <c r="U6304" s="33"/>
      <c r="V6304" s="33"/>
      <c r="W6304" s="33"/>
      <c r="X6304" s="33"/>
      <c r="Y6304" s="33"/>
      <c r="Z6304" s="33"/>
      <c r="AA6304" s="33"/>
      <c r="AB6304" s="33"/>
      <c r="AC6304" s="33"/>
      <c r="AD6304" s="33"/>
      <c r="AE6304" s="33"/>
      <c r="AF6304" s="33"/>
      <c r="AG6304" s="33"/>
      <c r="AH6304" s="33"/>
      <c r="AI6304" s="33"/>
      <c r="AJ6304" s="33"/>
      <c r="AK6304" s="33"/>
    </row>
    <row r="6305">
      <c r="A6305" s="33"/>
      <c r="B6305" s="33"/>
      <c r="C6305" s="33"/>
      <c r="D6305" s="33"/>
      <c r="E6305" s="33"/>
      <c r="F6305" s="33"/>
      <c r="G6305" s="33"/>
      <c r="H6305" s="33"/>
      <c r="I6305" s="33"/>
      <c r="J6305" s="33"/>
      <c r="K6305" s="33"/>
      <c r="L6305" s="33"/>
      <c r="M6305" s="33"/>
      <c r="N6305" s="33"/>
      <c r="O6305" s="33"/>
      <c r="P6305" s="33"/>
      <c r="Q6305" s="33"/>
      <c r="R6305" s="33"/>
      <c r="S6305" s="33"/>
      <c r="T6305" s="33"/>
      <c r="U6305" s="33"/>
      <c r="V6305" s="33"/>
      <c r="W6305" s="33"/>
      <c r="X6305" s="33"/>
      <c r="Y6305" s="33"/>
      <c r="Z6305" s="33"/>
      <c r="AA6305" s="33"/>
      <c r="AB6305" s="33"/>
      <c r="AC6305" s="33"/>
      <c r="AD6305" s="33"/>
      <c r="AE6305" s="33"/>
      <c r="AF6305" s="33"/>
      <c r="AG6305" s="33"/>
      <c r="AH6305" s="33"/>
      <c r="AI6305" s="33"/>
      <c r="AJ6305" s="33"/>
      <c r="AK6305" s="33"/>
    </row>
    <row r="6306">
      <c r="A6306" s="33"/>
      <c r="B6306" s="33"/>
      <c r="C6306" s="33"/>
      <c r="D6306" s="33"/>
      <c r="E6306" s="33"/>
      <c r="F6306" s="33"/>
      <c r="G6306" s="33"/>
      <c r="H6306" s="33"/>
      <c r="I6306" s="33"/>
      <c r="J6306" s="33"/>
      <c r="K6306" s="33"/>
      <c r="L6306" s="33"/>
      <c r="M6306" s="33"/>
      <c r="N6306" s="33"/>
      <c r="O6306" s="33"/>
      <c r="P6306" s="33"/>
      <c r="Q6306" s="33"/>
      <c r="R6306" s="33"/>
      <c r="S6306" s="33"/>
      <c r="T6306" s="33"/>
      <c r="U6306" s="33"/>
      <c r="V6306" s="33"/>
      <c r="W6306" s="33"/>
      <c r="X6306" s="33"/>
      <c r="Y6306" s="33"/>
      <c r="Z6306" s="33"/>
      <c r="AA6306" s="33"/>
      <c r="AB6306" s="33"/>
      <c r="AC6306" s="33"/>
      <c r="AD6306" s="33"/>
      <c r="AE6306" s="33"/>
      <c r="AF6306" s="33"/>
      <c r="AG6306" s="33"/>
      <c r="AH6306" s="33"/>
      <c r="AI6306" s="33"/>
      <c r="AJ6306" s="33"/>
      <c r="AK6306" s="33"/>
    </row>
    <row r="6307">
      <c r="A6307" s="33"/>
      <c r="B6307" s="33"/>
      <c r="C6307" s="33"/>
      <c r="D6307" s="33"/>
      <c r="E6307" s="33"/>
      <c r="F6307" s="33"/>
      <c r="G6307" s="33"/>
      <c r="H6307" s="33"/>
      <c r="I6307" s="33"/>
      <c r="J6307" s="33"/>
      <c r="K6307" s="33"/>
      <c r="L6307" s="33"/>
      <c r="M6307" s="33"/>
      <c r="N6307" s="33"/>
      <c r="O6307" s="33"/>
      <c r="P6307" s="33"/>
      <c r="Q6307" s="33"/>
      <c r="R6307" s="33"/>
      <c r="S6307" s="33"/>
      <c r="T6307" s="33"/>
      <c r="U6307" s="33"/>
      <c r="V6307" s="33"/>
      <c r="W6307" s="33"/>
      <c r="X6307" s="33"/>
      <c r="Y6307" s="33"/>
      <c r="Z6307" s="33"/>
      <c r="AA6307" s="33"/>
      <c r="AB6307" s="33"/>
      <c r="AC6307" s="33"/>
      <c r="AD6307" s="33"/>
      <c r="AE6307" s="33"/>
      <c r="AF6307" s="33"/>
      <c r="AG6307" s="33"/>
      <c r="AH6307" s="33"/>
      <c r="AI6307" s="33"/>
      <c r="AJ6307" s="33"/>
      <c r="AK6307" s="33"/>
    </row>
    <row r="6308">
      <c r="A6308" s="33"/>
      <c r="B6308" s="33"/>
      <c r="C6308" s="33"/>
      <c r="D6308" s="33"/>
      <c r="E6308" s="33"/>
      <c r="F6308" s="33"/>
      <c r="G6308" s="33"/>
      <c r="H6308" s="33"/>
      <c r="I6308" s="33"/>
      <c r="J6308" s="33"/>
      <c r="K6308" s="33"/>
      <c r="L6308" s="33"/>
      <c r="M6308" s="33"/>
      <c r="N6308" s="33"/>
      <c r="O6308" s="33"/>
      <c r="P6308" s="33"/>
      <c r="Q6308" s="33"/>
      <c r="R6308" s="33"/>
      <c r="S6308" s="33"/>
      <c r="T6308" s="33"/>
      <c r="U6308" s="33"/>
      <c r="V6308" s="33"/>
      <c r="W6308" s="33"/>
      <c r="X6308" s="33"/>
      <c r="Y6308" s="33"/>
      <c r="Z6308" s="33"/>
      <c r="AA6308" s="33"/>
      <c r="AB6308" s="33"/>
      <c r="AC6308" s="33"/>
      <c r="AD6308" s="33"/>
      <c r="AE6308" s="33"/>
      <c r="AF6308" s="33"/>
      <c r="AG6308" s="33"/>
      <c r="AH6308" s="33"/>
      <c r="AI6308" s="33"/>
      <c r="AJ6308" s="33"/>
      <c r="AK6308" s="33"/>
    </row>
    <row r="6309">
      <c r="A6309" s="33"/>
      <c r="B6309" s="33"/>
      <c r="C6309" s="33"/>
      <c r="D6309" s="33"/>
      <c r="E6309" s="33"/>
      <c r="F6309" s="33"/>
      <c r="G6309" s="33"/>
      <c r="H6309" s="33"/>
      <c r="I6309" s="33"/>
      <c r="J6309" s="33"/>
      <c r="K6309" s="33"/>
      <c r="L6309" s="33"/>
      <c r="M6309" s="33"/>
      <c r="N6309" s="33"/>
      <c r="O6309" s="33"/>
      <c r="P6309" s="33"/>
      <c r="Q6309" s="33"/>
      <c r="R6309" s="33"/>
      <c r="S6309" s="33"/>
      <c r="T6309" s="33"/>
      <c r="U6309" s="33"/>
      <c r="V6309" s="33"/>
      <c r="W6309" s="33"/>
      <c r="X6309" s="33"/>
      <c r="Y6309" s="33"/>
      <c r="Z6309" s="33"/>
      <c r="AA6309" s="33"/>
      <c r="AB6309" s="33"/>
      <c r="AC6309" s="33"/>
      <c r="AD6309" s="33"/>
      <c r="AE6309" s="33"/>
      <c r="AF6309" s="33"/>
      <c r="AG6309" s="33"/>
      <c r="AH6309" s="33"/>
      <c r="AI6309" s="33"/>
      <c r="AJ6309" s="33"/>
      <c r="AK6309" s="33"/>
    </row>
    <row r="6310">
      <c r="A6310" s="33"/>
      <c r="B6310" s="33"/>
      <c r="C6310" s="33"/>
      <c r="D6310" s="33"/>
      <c r="E6310" s="33"/>
      <c r="F6310" s="33"/>
      <c r="G6310" s="33"/>
      <c r="H6310" s="33"/>
      <c r="I6310" s="33"/>
      <c r="J6310" s="33"/>
      <c r="K6310" s="33"/>
      <c r="L6310" s="33"/>
      <c r="M6310" s="33"/>
      <c r="N6310" s="33"/>
      <c r="O6310" s="33"/>
      <c r="P6310" s="33"/>
      <c r="Q6310" s="33"/>
      <c r="R6310" s="33"/>
      <c r="S6310" s="33"/>
      <c r="T6310" s="33"/>
      <c r="U6310" s="33"/>
      <c r="V6310" s="33"/>
      <c r="W6310" s="33"/>
      <c r="X6310" s="33"/>
      <c r="Y6310" s="33"/>
      <c r="Z6310" s="33"/>
      <c r="AA6310" s="33"/>
      <c r="AB6310" s="33"/>
      <c r="AC6310" s="33"/>
      <c r="AD6310" s="33"/>
      <c r="AE6310" s="33"/>
      <c r="AF6310" s="33"/>
      <c r="AG6310" s="33"/>
      <c r="AH6310" s="33"/>
      <c r="AI6310" s="33"/>
      <c r="AJ6310" s="33"/>
      <c r="AK6310" s="33"/>
    </row>
    <row r="6311">
      <c r="A6311" s="33"/>
      <c r="B6311" s="33"/>
      <c r="C6311" s="33"/>
      <c r="D6311" s="33"/>
      <c r="E6311" s="33"/>
      <c r="F6311" s="33"/>
      <c r="G6311" s="33"/>
      <c r="H6311" s="33"/>
      <c r="I6311" s="33"/>
      <c r="J6311" s="33"/>
      <c r="K6311" s="33"/>
      <c r="L6311" s="33"/>
      <c r="M6311" s="33"/>
      <c r="N6311" s="33"/>
      <c r="O6311" s="33"/>
      <c r="P6311" s="33"/>
      <c r="Q6311" s="33"/>
      <c r="R6311" s="33"/>
      <c r="S6311" s="33"/>
      <c r="T6311" s="33"/>
      <c r="U6311" s="33"/>
      <c r="V6311" s="33"/>
      <c r="W6311" s="33"/>
      <c r="X6311" s="33"/>
      <c r="Y6311" s="33"/>
      <c r="Z6311" s="33"/>
      <c r="AA6311" s="33"/>
      <c r="AB6311" s="33"/>
      <c r="AC6311" s="33"/>
      <c r="AD6311" s="33"/>
      <c r="AE6311" s="33"/>
      <c r="AF6311" s="33"/>
      <c r="AG6311" s="33"/>
      <c r="AH6311" s="33"/>
      <c r="AI6311" s="33"/>
      <c r="AJ6311" s="33"/>
      <c r="AK6311" s="33"/>
    </row>
    <row r="6312">
      <c r="A6312" s="33"/>
      <c r="B6312" s="33"/>
      <c r="C6312" s="33"/>
      <c r="D6312" s="33"/>
      <c r="E6312" s="33"/>
      <c r="F6312" s="33"/>
      <c r="G6312" s="33"/>
      <c r="H6312" s="33"/>
      <c r="I6312" s="33"/>
      <c r="J6312" s="33"/>
      <c r="K6312" s="33"/>
      <c r="L6312" s="33"/>
      <c r="M6312" s="33"/>
      <c r="N6312" s="33"/>
      <c r="O6312" s="33"/>
      <c r="P6312" s="33"/>
      <c r="Q6312" s="33"/>
      <c r="R6312" s="33"/>
      <c r="S6312" s="33"/>
      <c r="T6312" s="33"/>
      <c r="U6312" s="33"/>
      <c r="V6312" s="33"/>
      <c r="W6312" s="33"/>
      <c r="X6312" s="33"/>
      <c r="Y6312" s="33"/>
      <c r="Z6312" s="33"/>
      <c r="AA6312" s="33"/>
      <c r="AB6312" s="33"/>
      <c r="AC6312" s="33"/>
      <c r="AD6312" s="33"/>
      <c r="AE6312" s="33"/>
      <c r="AF6312" s="33"/>
      <c r="AG6312" s="33"/>
      <c r="AH6312" s="33"/>
      <c r="AI6312" s="33"/>
      <c r="AJ6312" s="33"/>
      <c r="AK6312" s="33"/>
    </row>
    <row r="6313">
      <c r="A6313" s="33"/>
      <c r="B6313" s="33"/>
      <c r="C6313" s="33"/>
      <c r="D6313" s="33"/>
      <c r="E6313" s="33"/>
      <c r="F6313" s="33"/>
      <c r="G6313" s="33"/>
      <c r="H6313" s="33"/>
      <c r="I6313" s="33"/>
      <c r="J6313" s="33"/>
      <c r="K6313" s="33"/>
      <c r="L6313" s="33"/>
      <c r="M6313" s="33"/>
      <c r="N6313" s="33"/>
      <c r="O6313" s="33"/>
      <c r="P6313" s="33"/>
      <c r="Q6313" s="33"/>
      <c r="R6313" s="33"/>
      <c r="S6313" s="33"/>
      <c r="T6313" s="33"/>
      <c r="U6313" s="33"/>
      <c r="V6313" s="33"/>
      <c r="W6313" s="33"/>
      <c r="X6313" s="33"/>
      <c r="Y6313" s="33"/>
      <c r="Z6313" s="33"/>
      <c r="AA6313" s="33"/>
      <c r="AB6313" s="33"/>
      <c r="AC6313" s="33"/>
      <c r="AD6313" s="33"/>
      <c r="AE6313" s="33"/>
      <c r="AF6313" s="33"/>
      <c r="AG6313" s="33"/>
      <c r="AH6313" s="33"/>
      <c r="AI6313" s="33"/>
      <c r="AJ6313" s="33"/>
      <c r="AK6313" s="33"/>
    </row>
    <row r="6314">
      <c r="A6314" s="33"/>
      <c r="B6314" s="33"/>
      <c r="C6314" s="33"/>
      <c r="D6314" s="33"/>
      <c r="E6314" s="33"/>
      <c r="F6314" s="33"/>
      <c r="G6314" s="33"/>
      <c r="H6314" s="33"/>
      <c r="I6314" s="33"/>
      <c r="J6314" s="33"/>
      <c r="K6314" s="33"/>
      <c r="L6314" s="33"/>
      <c r="M6314" s="33"/>
      <c r="N6314" s="33"/>
      <c r="O6314" s="33"/>
      <c r="P6314" s="33"/>
      <c r="Q6314" s="33"/>
      <c r="R6314" s="33"/>
      <c r="S6314" s="33"/>
      <c r="T6314" s="33"/>
      <c r="U6314" s="33"/>
      <c r="V6314" s="33"/>
      <c r="W6314" s="33"/>
      <c r="X6314" s="33"/>
      <c r="Y6314" s="33"/>
      <c r="Z6314" s="33"/>
      <c r="AA6314" s="33"/>
      <c r="AB6314" s="33"/>
      <c r="AC6314" s="33"/>
      <c r="AD6314" s="33"/>
      <c r="AE6314" s="33"/>
      <c r="AF6314" s="33"/>
      <c r="AG6314" s="33"/>
      <c r="AH6314" s="33"/>
      <c r="AI6314" s="33"/>
      <c r="AJ6314" s="33"/>
      <c r="AK6314" s="33"/>
    </row>
    <row r="6315">
      <c r="A6315" s="33"/>
      <c r="B6315" s="33"/>
      <c r="C6315" s="33"/>
      <c r="D6315" s="33"/>
      <c r="E6315" s="33"/>
      <c r="F6315" s="33"/>
      <c r="G6315" s="33"/>
      <c r="H6315" s="33"/>
      <c r="I6315" s="33"/>
      <c r="J6315" s="33"/>
      <c r="K6315" s="33"/>
      <c r="L6315" s="33"/>
      <c r="M6315" s="33"/>
      <c r="N6315" s="33"/>
      <c r="O6315" s="33"/>
      <c r="P6315" s="33"/>
      <c r="Q6315" s="33"/>
      <c r="R6315" s="33"/>
      <c r="S6315" s="33"/>
      <c r="T6315" s="33"/>
      <c r="U6315" s="33"/>
      <c r="V6315" s="33"/>
      <c r="W6315" s="33"/>
      <c r="X6315" s="33"/>
      <c r="Y6315" s="33"/>
      <c r="Z6315" s="33"/>
      <c r="AA6315" s="33"/>
      <c r="AB6315" s="33"/>
      <c r="AC6315" s="33"/>
      <c r="AD6315" s="33"/>
      <c r="AE6315" s="33"/>
      <c r="AF6315" s="33"/>
      <c r="AG6315" s="33"/>
      <c r="AH6315" s="33"/>
      <c r="AI6315" s="33"/>
      <c r="AJ6315" s="33"/>
      <c r="AK6315" s="33"/>
    </row>
    <row r="6316">
      <c r="A6316" s="33"/>
      <c r="B6316" s="33"/>
      <c r="C6316" s="33"/>
      <c r="D6316" s="33"/>
      <c r="E6316" s="33"/>
      <c r="F6316" s="33"/>
      <c r="G6316" s="33"/>
      <c r="H6316" s="33"/>
      <c r="I6316" s="33"/>
      <c r="J6316" s="33"/>
      <c r="K6316" s="33"/>
      <c r="L6316" s="33"/>
      <c r="M6316" s="33"/>
      <c r="N6316" s="33"/>
      <c r="O6316" s="33"/>
      <c r="P6316" s="33"/>
      <c r="Q6316" s="33"/>
      <c r="R6316" s="33"/>
      <c r="S6316" s="33"/>
      <c r="T6316" s="33"/>
      <c r="U6316" s="33"/>
      <c r="V6316" s="33"/>
      <c r="W6316" s="33"/>
      <c r="X6316" s="33"/>
      <c r="Y6316" s="33"/>
      <c r="Z6316" s="33"/>
      <c r="AA6316" s="33"/>
      <c r="AB6316" s="33"/>
      <c r="AC6316" s="33"/>
      <c r="AD6316" s="33"/>
      <c r="AE6316" s="33"/>
      <c r="AF6316" s="33"/>
      <c r="AG6316" s="33"/>
      <c r="AH6316" s="33"/>
      <c r="AI6316" s="33"/>
      <c r="AJ6316" s="33"/>
      <c r="AK6316" s="33"/>
    </row>
    <row r="6317">
      <c r="A6317" s="33"/>
      <c r="B6317" s="33"/>
      <c r="C6317" s="33"/>
      <c r="D6317" s="33"/>
      <c r="E6317" s="33"/>
      <c r="F6317" s="33"/>
      <c r="G6317" s="33"/>
      <c r="H6317" s="33"/>
      <c r="I6317" s="33"/>
      <c r="J6317" s="33"/>
      <c r="K6317" s="33"/>
      <c r="L6317" s="33"/>
      <c r="M6317" s="33"/>
      <c r="N6317" s="33"/>
      <c r="O6317" s="33"/>
      <c r="P6317" s="33"/>
      <c r="Q6317" s="33"/>
      <c r="R6317" s="33"/>
      <c r="S6317" s="33"/>
      <c r="T6317" s="33"/>
      <c r="U6317" s="33"/>
      <c r="V6317" s="33"/>
      <c r="W6317" s="33"/>
      <c r="X6317" s="33"/>
      <c r="Y6317" s="33"/>
      <c r="Z6317" s="33"/>
      <c r="AA6317" s="33"/>
      <c r="AB6317" s="33"/>
      <c r="AC6317" s="33"/>
      <c r="AD6317" s="33"/>
      <c r="AE6317" s="33"/>
      <c r="AF6317" s="33"/>
      <c r="AG6317" s="33"/>
      <c r="AH6317" s="33"/>
      <c r="AI6317" s="33"/>
      <c r="AJ6317" s="33"/>
      <c r="AK6317" s="33"/>
    </row>
    <row r="6318">
      <c r="A6318" s="33"/>
      <c r="B6318" s="33"/>
      <c r="C6318" s="33"/>
      <c r="D6318" s="33"/>
      <c r="E6318" s="33"/>
      <c r="F6318" s="33"/>
      <c r="G6318" s="33"/>
      <c r="H6318" s="33"/>
      <c r="I6318" s="33"/>
      <c r="J6318" s="33"/>
      <c r="K6318" s="33"/>
      <c r="L6318" s="33"/>
      <c r="M6318" s="33"/>
      <c r="N6318" s="33"/>
      <c r="O6318" s="33"/>
      <c r="P6318" s="33"/>
      <c r="Q6318" s="33"/>
      <c r="R6318" s="33"/>
      <c r="S6318" s="33"/>
      <c r="T6318" s="33"/>
      <c r="U6318" s="33"/>
      <c r="V6318" s="33"/>
      <c r="W6318" s="33"/>
      <c r="X6318" s="33"/>
      <c r="Y6318" s="33"/>
      <c r="Z6318" s="33"/>
      <c r="AA6318" s="33"/>
      <c r="AB6318" s="33"/>
      <c r="AC6318" s="33"/>
      <c r="AD6318" s="33"/>
      <c r="AE6318" s="33"/>
      <c r="AF6318" s="33"/>
      <c r="AG6318" s="33"/>
      <c r="AH6318" s="33"/>
      <c r="AI6318" s="33"/>
      <c r="AJ6318" s="33"/>
      <c r="AK6318" s="33"/>
    </row>
    <row r="6319">
      <c r="A6319" s="33"/>
      <c r="B6319" s="33"/>
      <c r="C6319" s="33"/>
      <c r="D6319" s="33"/>
      <c r="E6319" s="33"/>
      <c r="F6319" s="33"/>
      <c r="G6319" s="33"/>
      <c r="H6319" s="33"/>
      <c r="I6319" s="33"/>
      <c r="J6319" s="33"/>
      <c r="K6319" s="33"/>
      <c r="L6319" s="33"/>
      <c r="M6319" s="33"/>
      <c r="N6319" s="33"/>
      <c r="O6319" s="33"/>
      <c r="P6319" s="33"/>
      <c r="Q6319" s="33"/>
      <c r="R6319" s="33"/>
      <c r="S6319" s="33"/>
      <c r="T6319" s="33"/>
      <c r="U6319" s="33"/>
      <c r="V6319" s="33"/>
      <c r="W6319" s="33"/>
      <c r="X6319" s="33"/>
      <c r="Y6319" s="33"/>
      <c r="Z6319" s="33"/>
      <c r="AA6319" s="33"/>
      <c r="AB6319" s="33"/>
      <c r="AC6319" s="33"/>
      <c r="AD6319" s="33"/>
      <c r="AE6319" s="33"/>
      <c r="AF6319" s="33"/>
      <c r="AG6319" s="33"/>
      <c r="AH6319" s="33"/>
      <c r="AI6319" s="33"/>
      <c r="AJ6319" s="33"/>
      <c r="AK6319" s="33"/>
    </row>
    <row r="6320">
      <c r="A6320" s="33"/>
      <c r="B6320" s="33"/>
      <c r="C6320" s="33"/>
      <c r="D6320" s="33"/>
      <c r="E6320" s="33"/>
      <c r="F6320" s="33"/>
      <c r="G6320" s="33"/>
      <c r="H6320" s="33"/>
      <c r="I6320" s="33"/>
      <c r="J6320" s="33"/>
      <c r="K6320" s="33"/>
      <c r="L6320" s="33"/>
      <c r="M6320" s="33"/>
      <c r="N6320" s="33"/>
      <c r="O6320" s="33"/>
      <c r="P6320" s="33"/>
      <c r="Q6320" s="33"/>
      <c r="R6320" s="33"/>
      <c r="S6320" s="33"/>
      <c r="T6320" s="33"/>
      <c r="U6320" s="33"/>
      <c r="V6320" s="33"/>
      <c r="W6320" s="33"/>
      <c r="X6320" s="33"/>
      <c r="Y6320" s="33"/>
      <c r="Z6320" s="33"/>
      <c r="AA6320" s="33"/>
      <c r="AB6320" s="33"/>
      <c r="AC6320" s="33"/>
      <c r="AD6320" s="33"/>
      <c r="AE6320" s="33"/>
      <c r="AF6320" s="33"/>
      <c r="AG6320" s="33"/>
      <c r="AH6320" s="33"/>
      <c r="AI6320" s="33"/>
      <c r="AJ6320" s="33"/>
      <c r="AK6320" s="33"/>
    </row>
    <row r="6321">
      <c r="A6321" s="33"/>
      <c r="B6321" s="33"/>
      <c r="C6321" s="33"/>
      <c r="D6321" s="33"/>
      <c r="E6321" s="33"/>
      <c r="F6321" s="33"/>
      <c r="G6321" s="33"/>
      <c r="H6321" s="33"/>
      <c r="I6321" s="33"/>
      <c r="J6321" s="33"/>
      <c r="K6321" s="33"/>
      <c r="L6321" s="33"/>
      <c r="M6321" s="33"/>
      <c r="N6321" s="33"/>
      <c r="O6321" s="33"/>
      <c r="P6321" s="33"/>
      <c r="Q6321" s="33"/>
      <c r="R6321" s="33"/>
      <c r="S6321" s="33"/>
      <c r="T6321" s="33"/>
      <c r="U6321" s="33"/>
      <c r="V6321" s="33"/>
      <c r="W6321" s="33"/>
      <c r="X6321" s="33"/>
      <c r="Y6321" s="33"/>
      <c r="Z6321" s="33"/>
      <c r="AA6321" s="33"/>
      <c r="AB6321" s="33"/>
      <c r="AC6321" s="33"/>
      <c r="AD6321" s="33"/>
      <c r="AE6321" s="33"/>
      <c r="AF6321" s="33"/>
      <c r="AG6321" s="33"/>
      <c r="AH6321" s="33"/>
      <c r="AI6321" s="33"/>
      <c r="AJ6321" s="33"/>
      <c r="AK6321" s="33"/>
    </row>
    <row r="6322">
      <c r="A6322" s="33"/>
      <c r="B6322" s="33"/>
      <c r="C6322" s="33"/>
      <c r="D6322" s="33"/>
      <c r="E6322" s="33"/>
      <c r="F6322" s="33"/>
      <c r="G6322" s="33"/>
      <c r="H6322" s="33"/>
      <c r="I6322" s="33"/>
      <c r="J6322" s="33"/>
      <c r="K6322" s="33"/>
      <c r="L6322" s="33"/>
      <c r="M6322" s="33"/>
      <c r="N6322" s="33"/>
      <c r="O6322" s="33"/>
      <c r="P6322" s="33"/>
      <c r="Q6322" s="33"/>
      <c r="R6322" s="33"/>
      <c r="S6322" s="33"/>
      <c r="T6322" s="33"/>
      <c r="U6322" s="33"/>
      <c r="V6322" s="33"/>
      <c r="W6322" s="33"/>
      <c r="X6322" s="33"/>
      <c r="Y6322" s="33"/>
      <c r="Z6322" s="33"/>
      <c r="AA6322" s="33"/>
      <c r="AB6322" s="33"/>
      <c r="AC6322" s="33"/>
      <c r="AD6322" s="33"/>
      <c r="AE6322" s="33"/>
      <c r="AF6322" s="33"/>
      <c r="AG6322" s="33"/>
      <c r="AH6322" s="33"/>
      <c r="AI6322" s="33"/>
      <c r="AJ6322" s="33"/>
      <c r="AK6322" s="33"/>
    </row>
    <row r="6323">
      <c r="A6323" s="33"/>
      <c r="B6323" s="33"/>
      <c r="C6323" s="33"/>
      <c r="D6323" s="33"/>
      <c r="E6323" s="33"/>
      <c r="F6323" s="33"/>
      <c r="G6323" s="33"/>
      <c r="H6323" s="33"/>
      <c r="I6323" s="33"/>
      <c r="J6323" s="33"/>
      <c r="K6323" s="33"/>
      <c r="L6323" s="33"/>
      <c r="M6323" s="33"/>
      <c r="N6323" s="33"/>
      <c r="O6323" s="33"/>
      <c r="P6323" s="33"/>
      <c r="Q6323" s="33"/>
      <c r="R6323" s="33"/>
      <c r="S6323" s="33"/>
      <c r="T6323" s="33"/>
      <c r="U6323" s="33"/>
      <c r="V6323" s="33"/>
      <c r="W6323" s="33"/>
      <c r="X6323" s="33"/>
      <c r="Y6323" s="33"/>
      <c r="Z6323" s="33"/>
      <c r="AA6323" s="33"/>
      <c r="AB6323" s="33"/>
      <c r="AC6323" s="33"/>
      <c r="AD6323" s="33"/>
      <c r="AE6323" s="33"/>
      <c r="AF6323" s="33"/>
      <c r="AG6323" s="33"/>
      <c r="AH6323" s="33"/>
      <c r="AI6323" s="33"/>
      <c r="AJ6323" s="33"/>
      <c r="AK6323" s="33"/>
    </row>
    <row r="6324">
      <c r="A6324" s="33"/>
      <c r="B6324" s="33"/>
      <c r="C6324" s="33"/>
      <c r="D6324" s="33"/>
      <c r="E6324" s="33"/>
      <c r="F6324" s="33"/>
      <c r="G6324" s="33"/>
      <c r="H6324" s="33"/>
      <c r="I6324" s="33"/>
      <c r="J6324" s="33"/>
      <c r="K6324" s="33"/>
      <c r="L6324" s="33"/>
      <c r="M6324" s="33"/>
      <c r="N6324" s="33"/>
      <c r="O6324" s="33"/>
      <c r="P6324" s="33"/>
      <c r="Q6324" s="33"/>
      <c r="R6324" s="33"/>
      <c r="S6324" s="33"/>
      <c r="T6324" s="33"/>
      <c r="U6324" s="33"/>
      <c r="V6324" s="33"/>
      <c r="W6324" s="33"/>
      <c r="X6324" s="33"/>
      <c r="Y6324" s="33"/>
      <c r="Z6324" s="33"/>
      <c r="AA6324" s="33"/>
      <c r="AB6324" s="33"/>
      <c r="AC6324" s="33"/>
      <c r="AD6324" s="33"/>
      <c r="AE6324" s="33"/>
      <c r="AF6324" s="33"/>
      <c r="AG6324" s="33"/>
      <c r="AH6324" s="33"/>
      <c r="AI6324" s="33"/>
      <c r="AJ6324" s="33"/>
      <c r="AK6324" s="33"/>
    </row>
    <row r="6325">
      <c r="A6325" s="33"/>
      <c r="B6325" s="33"/>
      <c r="C6325" s="33"/>
      <c r="D6325" s="33"/>
      <c r="E6325" s="33"/>
      <c r="F6325" s="33"/>
      <c r="G6325" s="33"/>
      <c r="H6325" s="33"/>
      <c r="I6325" s="33"/>
      <c r="J6325" s="33"/>
      <c r="K6325" s="33"/>
      <c r="L6325" s="33"/>
      <c r="M6325" s="33"/>
      <c r="N6325" s="33"/>
      <c r="O6325" s="33"/>
      <c r="P6325" s="33"/>
      <c r="Q6325" s="33"/>
      <c r="R6325" s="33"/>
      <c r="S6325" s="33"/>
      <c r="T6325" s="33"/>
      <c r="U6325" s="33"/>
      <c r="V6325" s="33"/>
      <c r="W6325" s="33"/>
      <c r="X6325" s="33"/>
      <c r="Y6325" s="33"/>
      <c r="Z6325" s="33"/>
      <c r="AA6325" s="33"/>
      <c r="AB6325" s="33"/>
      <c r="AC6325" s="33"/>
      <c r="AD6325" s="33"/>
      <c r="AE6325" s="33"/>
      <c r="AF6325" s="33"/>
      <c r="AG6325" s="33"/>
      <c r="AH6325" s="33"/>
      <c r="AI6325" s="33"/>
      <c r="AJ6325" s="33"/>
      <c r="AK6325" s="33"/>
    </row>
    <row r="6326">
      <c r="A6326" s="33"/>
      <c r="B6326" s="33"/>
      <c r="C6326" s="33"/>
      <c r="D6326" s="33"/>
      <c r="E6326" s="33"/>
      <c r="F6326" s="33"/>
      <c r="G6326" s="33"/>
      <c r="H6326" s="33"/>
      <c r="I6326" s="33"/>
      <c r="J6326" s="33"/>
      <c r="K6326" s="33"/>
      <c r="L6326" s="33"/>
      <c r="M6326" s="33"/>
      <c r="N6326" s="33"/>
      <c r="O6326" s="33"/>
      <c r="P6326" s="33"/>
      <c r="Q6326" s="33"/>
      <c r="R6326" s="33"/>
      <c r="S6326" s="33"/>
      <c r="T6326" s="33"/>
      <c r="U6326" s="33"/>
      <c r="V6326" s="33"/>
      <c r="W6326" s="33"/>
      <c r="X6326" s="33"/>
      <c r="Y6326" s="33"/>
      <c r="Z6326" s="33"/>
      <c r="AA6326" s="33"/>
      <c r="AB6326" s="33"/>
      <c r="AC6326" s="33"/>
      <c r="AD6326" s="33"/>
      <c r="AE6326" s="33"/>
      <c r="AF6326" s="33"/>
      <c r="AG6326" s="33"/>
      <c r="AH6326" s="33"/>
      <c r="AI6326" s="33"/>
      <c r="AJ6326" s="33"/>
      <c r="AK6326" s="33"/>
    </row>
    <row r="6327">
      <c r="A6327" s="33"/>
      <c r="B6327" s="33"/>
      <c r="C6327" s="33"/>
      <c r="D6327" s="33"/>
      <c r="E6327" s="33"/>
      <c r="F6327" s="33"/>
      <c r="G6327" s="33"/>
      <c r="H6327" s="33"/>
      <c r="I6327" s="33"/>
      <c r="J6327" s="33"/>
      <c r="K6327" s="33"/>
      <c r="L6327" s="33"/>
      <c r="M6327" s="33"/>
      <c r="N6327" s="33"/>
      <c r="O6327" s="33"/>
      <c r="P6327" s="33"/>
      <c r="Q6327" s="33"/>
      <c r="R6327" s="33"/>
      <c r="S6327" s="33"/>
      <c r="T6327" s="33"/>
      <c r="U6327" s="33"/>
      <c r="V6327" s="33"/>
      <c r="W6327" s="33"/>
      <c r="X6327" s="33"/>
      <c r="Y6327" s="33"/>
      <c r="Z6327" s="33"/>
      <c r="AA6327" s="33"/>
      <c r="AB6327" s="33"/>
      <c r="AC6327" s="33"/>
      <c r="AD6327" s="33"/>
      <c r="AE6327" s="33"/>
      <c r="AF6327" s="33"/>
      <c r="AG6327" s="33"/>
      <c r="AH6327" s="33"/>
      <c r="AI6327" s="33"/>
      <c r="AJ6327" s="33"/>
      <c r="AK6327" s="33"/>
    </row>
    <row r="6328">
      <c r="A6328" s="33"/>
      <c r="B6328" s="33"/>
      <c r="C6328" s="33"/>
      <c r="D6328" s="33"/>
      <c r="E6328" s="33"/>
      <c r="F6328" s="33"/>
      <c r="G6328" s="33"/>
      <c r="H6328" s="33"/>
      <c r="I6328" s="33"/>
      <c r="J6328" s="33"/>
      <c r="K6328" s="33"/>
      <c r="L6328" s="33"/>
      <c r="M6328" s="33"/>
      <c r="N6328" s="33"/>
      <c r="O6328" s="33"/>
      <c r="P6328" s="33"/>
      <c r="Q6328" s="33"/>
      <c r="R6328" s="33"/>
      <c r="S6328" s="33"/>
      <c r="T6328" s="33"/>
      <c r="U6328" s="33"/>
      <c r="V6328" s="33"/>
      <c r="W6328" s="33"/>
      <c r="X6328" s="33"/>
      <c r="Y6328" s="33"/>
      <c r="Z6328" s="33"/>
      <c r="AA6328" s="33"/>
      <c r="AB6328" s="33"/>
      <c r="AC6328" s="33"/>
      <c r="AD6328" s="33"/>
      <c r="AE6328" s="33"/>
      <c r="AF6328" s="33"/>
      <c r="AG6328" s="33"/>
      <c r="AH6328" s="33"/>
      <c r="AI6328" s="33"/>
      <c r="AJ6328" s="33"/>
      <c r="AK6328" s="33"/>
    </row>
    <row r="6329">
      <c r="A6329" s="33"/>
      <c r="B6329" s="33"/>
      <c r="C6329" s="33"/>
      <c r="D6329" s="33"/>
      <c r="E6329" s="33"/>
      <c r="F6329" s="33"/>
      <c r="G6329" s="33"/>
      <c r="H6329" s="33"/>
      <c r="I6329" s="33"/>
      <c r="J6329" s="33"/>
      <c r="K6329" s="33"/>
      <c r="L6329" s="33"/>
      <c r="M6329" s="33"/>
      <c r="N6329" s="33"/>
      <c r="O6329" s="33"/>
      <c r="P6329" s="33"/>
      <c r="Q6329" s="33"/>
      <c r="R6329" s="33"/>
      <c r="S6329" s="33"/>
      <c r="T6329" s="33"/>
      <c r="U6329" s="33"/>
      <c r="V6329" s="33"/>
      <c r="W6329" s="33"/>
      <c r="X6329" s="33"/>
      <c r="Y6329" s="33"/>
      <c r="Z6329" s="33"/>
      <c r="AA6329" s="33"/>
      <c r="AB6329" s="33"/>
      <c r="AC6329" s="33"/>
      <c r="AD6329" s="33"/>
      <c r="AE6329" s="33"/>
      <c r="AF6329" s="33"/>
      <c r="AG6329" s="33"/>
      <c r="AH6329" s="33"/>
      <c r="AI6329" s="33"/>
      <c r="AJ6329" s="33"/>
      <c r="AK6329" s="33"/>
    </row>
    <row r="6330">
      <c r="A6330" s="33"/>
      <c r="B6330" s="33"/>
      <c r="C6330" s="33"/>
      <c r="D6330" s="33"/>
      <c r="E6330" s="33"/>
      <c r="F6330" s="33"/>
      <c r="G6330" s="33"/>
      <c r="H6330" s="33"/>
      <c r="I6330" s="33"/>
      <c r="J6330" s="33"/>
      <c r="K6330" s="33"/>
      <c r="L6330" s="33"/>
      <c r="M6330" s="33"/>
      <c r="N6330" s="33"/>
      <c r="O6330" s="33"/>
      <c r="P6330" s="33"/>
      <c r="Q6330" s="33"/>
      <c r="R6330" s="33"/>
      <c r="S6330" s="33"/>
      <c r="T6330" s="33"/>
      <c r="U6330" s="33"/>
      <c r="V6330" s="33"/>
      <c r="W6330" s="33"/>
      <c r="X6330" s="33"/>
      <c r="Y6330" s="33"/>
      <c r="Z6330" s="33"/>
      <c r="AA6330" s="33"/>
      <c r="AB6330" s="33"/>
      <c r="AC6330" s="33"/>
      <c r="AD6330" s="33"/>
      <c r="AE6330" s="33"/>
      <c r="AF6330" s="33"/>
      <c r="AG6330" s="33"/>
      <c r="AH6330" s="33"/>
      <c r="AI6330" s="33"/>
      <c r="AJ6330" s="33"/>
      <c r="AK6330" s="33"/>
    </row>
    <row r="6331">
      <c r="A6331" s="33"/>
      <c r="B6331" s="33"/>
      <c r="C6331" s="33"/>
      <c r="D6331" s="33"/>
      <c r="E6331" s="33"/>
      <c r="F6331" s="33"/>
      <c r="G6331" s="33"/>
      <c r="H6331" s="33"/>
      <c r="I6331" s="33"/>
      <c r="J6331" s="33"/>
      <c r="K6331" s="33"/>
      <c r="L6331" s="33"/>
      <c r="M6331" s="33"/>
      <c r="N6331" s="33"/>
      <c r="O6331" s="33"/>
      <c r="P6331" s="33"/>
      <c r="Q6331" s="33"/>
      <c r="R6331" s="33"/>
      <c r="S6331" s="33"/>
      <c r="T6331" s="33"/>
      <c r="U6331" s="33"/>
      <c r="V6331" s="33"/>
      <c r="W6331" s="33"/>
      <c r="X6331" s="33"/>
      <c r="Y6331" s="33"/>
      <c r="Z6331" s="33"/>
      <c r="AA6331" s="33"/>
      <c r="AB6331" s="33"/>
      <c r="AC6331" s="33"/>
      <c r="AD6331" s="33"/>
      <c r="AE6331" s="33"/>
      <c r="AF6331" s="33"/>
      <c r="AG6331" s="33"/>
      <c r="AH6331" s="33"/>
      <c r="AI6331" s="33"/>
      <c r="AJ6331" s="33"/>
      <c r="AK6331" s="33"/>
    </row>
    <row r="6332">
      <c r="A6332" s="33"/>
      <c r="B6332" s="33"/>
      <c r="C6332" s="33"/>
      <c r="D6332" s="33"/>
      <c r="E6332" s="33"/>
      <c r="F6332" s="33"/>
      <c r="G6332" s="33"/>
      <c r="H6332" s="33"/>
      <c r="I6332" s="33"/>
      <c r="J6332" s="33"/>
      <c r="K6332" s="33"/>
      <c r="L6332" s="33"/>
      <c r="M6332" s="33"/>
      <c r="N6332" s="33"/>
      <c r="O6332" s="33"/>
      <c r="P6332" s="33"/>
      <c r="Q6332" s="33"/>
      <c r="R6332" s="33"/>
      <c r="S6332" s="33"/>
      <c r="T6332" s="33"/>
      <c r="U6332" s="33"/>
      <c r="V6332" s="33"/>
      <c r="W6332" s="33"/>
      <c r="X6332" s="33"/>
      <c r="Y6332" s="33"/>
      <c r="Z6332" s="33"/>
      <c r="AA6332" s="33"/>
      <c r="AB6332" s="33"/>
      <c r="AC6332" s="33"/>
      <c r="AD6332" s="33"/>
      <c r="AE6332" s="33"/>
      <c r="AF6332" s="33"/>
      <c r="AG6332" s="33"/>
      <c r="AH6332" s="33"/>
      <c r="AI6332" s="33"/>
      <c r="AJ6332" s="33"/>
      <c r="AK6332" s="33"/>
    </row>
    <row r="6333">
      <c r="A6333" s="33"/>
      <c r="B6333" s="33"/>
      <c r="C6333" s="33"/>
      <c r="D6333" s="33"/>
      <c r="E6333" s="33"/>
      <c r="F6333" s="33"/>
      <c r="G6333" s="33"/>
      <c r="H6333" s="33"/>
      <c r="I6333" s="33"/>
      <c r="J6333" s="33"/>
      <c r="K6333" s="33"/>
      <c r="L6333" s="33"/>
      <c r="M6333" s="33"/>
      <c r="N6333" s="33"/>
      <c r="O6333" s="33"/>
      <c r="P6333" s="33"/>
      <c r="Q6333" s="33"/>
      <c r="R6333" s="33"/>
      <c r="S6333" s="33"/>
      <c r="T6333" s="33"/>
      <c r="U6333" s="33"/>
      <c r="V6333" s="33"/>
      <c r="W6333" s="33"/>
      <c r="X6333" s="33"/>
      <c r="Y6333" s="33"/>
      <c r="Z6333" s="33"/>
      <c r="AA6333" s="33"/>
      <c r="AB6333" s="33"/>
      <c r="AC6333" s="33"/>
      <c r="AD6333" s="33"/>
      <c r="AE6333" s="33"/>
      <c r="AF6333" s="33"/>
      <c r="AG6333" s="33"/>
      <c r="AH6333" s="33"/>
      <c r="AI6333" s="33"/>
      <c r="AJ6333" s="33"/>
      <c r="AK6333" s="33"/>
    </row>
    <row r="6334">
      <c r="A6334" s="33"/>
      <c r="B6334" s="33"/>
      <c r="C6334" s="33"/>
      <c r="D6334" s="33"/>
      <c r="E6334" s="33"/>
      <c r="F6334" s="33"/>
      <c r="G6334" s="33"/>
      <c r="H6334" s="33"/>
      <c r="I6334" s="33"/>
      <c r="J6334" s="33"/>
      <c r="K6334" s="33"/>
      <c r="L6334" s="33"/>
      <c r="M6334" s="33"/>
      <c r="N6334" s="33"/>
      <c r="O6334" s="33"/>
      <c r="P6334" s="33"/>
      <c r="Q6334" s="33"/>
      <c r="R6334" s="33"/>
      <c r="S6334" s="33"/>
      <c r="T6334" s="33"/>
      <c r="U6334" s="33"/>
      <c r="V6334" s="33"/>
      <c r="W6334" s="33"/>
      <c r="X6334" s="33"/>
      <c r="Y6334" s="33"/>
      <c r="Z6334" s="33"/>
      <c r="AA6334" s="33"/>
      <c r="AB6334" s="33"/>
      <c r="AC6334" s="33"/>
      <c r="AD6334" s="33"/>
      <c r="AE6334" s="33"/>
      <c r="AF6334" s="33"/>
      <c r="AG6334" s="33"/>
      <c r="AH6334" s="33"/>
      <c r="AI6334" s="33"/>
      <c r="AJ6334" s="33"/>
      <c r="AK6334" s="33"/>
    </row>
    <row r="6335">
      <c r="A6335" s="33"/>
      <c r="B6335" s="33"/>
      <c r="C6335" s="33"/>
      <c r="D6335" s="33"/>
      <c r="E6335" s="33"/>
      <c r="F6335" s="33"/>
      <c r="G6335" s="33"/>
      <c r="H6335" s="33"/>
      <c r="I6335" s="33"/>
      <c r="J6335" s="33"/>
      <c r="K6335" s="33"/>
      <c r="L6335" s="33"/>
      <c r="M6335" s="33"/>
      <c r="N6335" s="33"/>
      <c r="O6335" s="33"/>
      <c r="P6335" s="33"/>
      <c r="Q6335" s="33"/>
      <c r="R6335" s="33"/>
      <c r="S6335" s="33"/>
      <c r="T6335" s="33"/>
      <c r="U6335" s="33"/>
      <c r="V6335" s="33"/>
      <c r="W6335" s="33"/>
      <c r="X6335" s="33"/>
      <c r="Y6335" s="33"/>
      <c r="Z6335" s="33"/>
      <c r="AA6335" s="33"/>
      <c r="AB6335" s="33"/>
      <c r="AC6335" s="33"/>
      <c r="AD6335" s="33"/>
      <c r="AE6335" s="33"/>
      <c r="AF6335" s="33"/>
      <c r="AG6335" s="33"/>
      <c r="AH6335" s="33"/>
      <c r="AI6335" s="33"/>
      <c r="AJ6335" s="33"/>
      <c r="AK6335" s="33"/>
    </row>
    <row r="6336">
      <c r="A6336" s="33"/>
      <c r="B6336" s="33"/>
      <c r="C6336" s="33"/>
      <c r="D6336" s="33"/>
      <c r="E6336" s="33"/>
      <c r="F6336" s="33"/>
      <c r="G6336" s="33"/>
      <c r="H6336" s="33"/>
      <c r="I6336" s="33"/>
      <c r="J6336" s="33"/>
      <c r="K6336" s="33"/>
      <c r="L6336" s="33"/>
      <c r="M6336" s="33"/>
      <c r="N6336" s="33"/>
      <c r="O6336" s="33"/>
      <c r="P6336" s="33"/>
      <c r="Q6336" s="33"/>
      <c r="R6336" s="33"/>
      <c r="S6336" s="33"/>
      <c r="T6336" s="33"/>
      <c r="U6336" s="33"/>
      <c r="V6336" s="33"/>
      <c r="W6336" s="33"/>
      <c r="X6336" s="33"/>
      <c r="Y6336" s="33"/>
      <c r="Z6336" s="33"/>
      <c r="AA6336" s="33"/>
      <c r="AB6336" s="33"/>
      <c r="AC6336" s="33"/>
      <c r="AD6336" s="33"/>
      <c r="AE6336" s="33"/>
      <c r="AF6336" s="33"/>
      <c r="AG6336" s="33"/>
      <c r="AH6336" s="33"/>
      <c r="AI6336" s="33"/>
      <c r="AJ6336" s="33"/>
      <c r="AK6336" s="33"/>
    </row>
    <row r="6337">
      <c r="A6337" s="33"/>
      <c r="B6337" s="33"/>
      <c r="C6337" s="33"/>
      <c r="D6337" s="33"/>
      <c r="E6337" s="33"/>
      <c r="F6337" s="33"/>
      <c r="G6337" s="33"/>
      <c r="H6337" s="33"/>
      <c r="I6337" s="33"/>
      <c r="J6337" s="33"/>
      <c r="K6337" s="33"/>
      <c r="L6337" s="33"/>
      <c r="M6337" s="33"/>
      <c r="N6337" s="33"/>
      <c r="O6337" s="33"/>
      <c r="P6337" s="33"/>
      <c r="Q6337" s="33"/>
      <c r="R6337" s="33"/>
      <c r="S6337" s="33"/>
      <c r="T6337" s="33"/>
      <c r="U6337" s="33"/>
      <c r="V6337" s="33"/>
      <c r="W6337" s="33"/>
      <c r="X6337" s="33"/>
      <c r="Y6337" s="33"/>
      <c r="Z6337" s="33"/>
      <c r="AA6337" s="33"/>
      <c r="AB6337" s="33"/>
      <c r="AC6337" s="33"/>
      <c r="AD6337" s="33"/>
      <c r="AE6337" s="33"/>
      <c r="AF6337" s="33"/>
      <c r="AG6337" s="33"/>
      <c r="AH6337" s="33"/>
      <c r="AI6337" s="33"/>
      <c r="AJ6337" s="33"/>
      <c r="AK6337" s="33"/>
    </row>
    <row r="6338">
      <c r="A6338" s="33"/>
      <c r="B6338" s="33"/>
      <c r="C6338" s="33"/>
      <c r="D6338" s="33"/>
      <c r="E6338" s="33"/>
      <c r="F6338" s="33"/>
      <c r="G6338" s="33"/>
      <c r="H6338" s="33"/>
      <c r="I6338" s="33"/>
      <c r="J6338" s="33"/>
      <c r="K6338" s="33"/>
      <c r="L6338" s="33"/>
      <c r="M6338" s="33"/>
      <c r="N6338" s="33"/>
      <c r="O6338" s="33"/>
      <c r="P6338" s="33"/>
      <c r="Q6338" s="33"/>
      <c r="R6338" s="33"/>
      <c r="S6338" s="33"/>
      <c r="T6338" s="33"/>
      <c r="U6338" s="33"/>
      <c r="V6338" s="33"/>
      <c r="W6338" s="33"/>
      <c r="X6338" s="33"/>
      <c r="Y6338" s="33"/>
      <c r="Z6338" s="33"/>
      <c r="AA6338" s="33"/>
      <c r="AB6338" s="33"/>
      <c r="AC6338" s="33"/>
      <c r="AD6338" s="33"/>
      <c r="AE6338" s="33"/>
      <c r="AF6338" s="33"/>
      <c r="AG6338" s="33"/>
      <c r="AH6338" s="33"/>
      <c r="AI6338" s="33"/>
      <c r="AJ6338" s="33"/>
      <c r="AK6338" s="33"/>
    </row>
    <row r="6339">
      <c r="A6339" s="33"/>
      <c r="B6339" s="33"/>
      <c r="C6339" s="33"/>
      <c r="D6339" s="33"/>
      <c r="E6339" s="33"/>
      <c r="F6339" s="33"/>
      <c r="G6339" s="33"/>
      <c r="H6339" s="33"/>
      <c r="I6339" s="33"/>
      <c r="J6339" s="33"/>
      <c r="K6339" s="33"/>
      <c r="L6339" s="33"/>
      <c r="M6339" s="33"/>
      <c r="N6339" s="33"/>
      <c r="O6339" s="33"/>
      <c r="P6339" s="33"/>
      <c r="Q6339" s="33"/>
      <c r="R6339" s="33"/>
      <c r="S6339" s="33"/>
      <c r="T6339" s="33"/>
      <c r="U6339" s="33"/>
      <c r="V6339" s="33"/>
      <c r="W6339" s="33"/>
      <c r="X6339" s="33"/>
      <c r="Y6339" s="33"/>
      <c r="Z6339" s="33"/>
      <c r="AA6339" s="33"/>
      <c r="AB6339" s="33"/>
      <c r="AC6339" s="33"/>
      <c r="AD6339" s="33"/>
      <c r="AE6339" s="33"/>
      <c r="AF6339" s="33"/>
      <c r="AG6339" s="33"/>
      <c r="AH6339" s="33"/>
      <c r="AI6339" s="33"/>
      <c r="AJ6339" s="33"/>
      <c r="AK6339" s="33"/>
    </row>
    <row r="6340">
      <c r="A6340" s="33"/>
      <c r="B6340" s="33"/>
      <c r="C6340" s="33"/>
      <c r="D6340" s="33"/>
      <c r="E6340" s="33"/>
      <c r="F6340" s="33"/>
      <c r="G6340" s="33"/>
      <c r="H6340" s="33"/>
      <c r="I6340" s="33"/>
      <c r="J6340" s="33"/>
      <c r="K6340" s="33"/>
      <c r="L6340" s="33"/>
      <c r="M6340" s="33"/>
      <c r="N6340" s="33"/>
      <c r="O6340" s="33"/>
      <c r="P6340" s="33"/>
      <c r="Q6340" s="33"/>
      <c r="R6340" s="33"/>
      <c r="S6340" s="33"/>
      <c r="T6340" s="33"/>
      <c r="U6340" s="33"/>
      <c r="V6340" s="33"/>
      <c r="W6340" s="33"/>
      <c r="X6340" s="33"/>
      <c r="Y6340" s="33"/>
      <c r="Z6340" s="33"/>
      <c r="AA6340" s="33"/>
      <c r="AB6340" s="33"/>
      <c r="AC6340" s="33"/>
      <c r="AD6340" s="33"/>
      <c r="AE6340" s="33"/>
      <c r="AF6340" s="33"/>
      <c r="AG6340" s="33"/>
      <c r="AH6340" s="33"/>
      <c r="AI6340" s="33"/>
      <c r="AJ6340" s="33"/>
      <c r="AK6340" s="33"/>
    </row>
    <row r="6341">
      <c r="A6341" s="33"/>
      <c r="B6341" s="33"/>
      <c r="C6341" s="33"/>
      <c r="D6341" s="33"/>
      <c r="E6341" s="33"/>
      <c r="F6341" s="33"/>
      <c r="G6341" s="33"/>
      <c r="H6341" s="33"/>
      <c r="I6341" s="33"/>
      <c r="J6341" s="33"/>
      <c r="K6341" s="33"/>
      <c r="L6341" s="33"/>
      <c r="M6341" s="33"/>
      <c r="N6341" s="33"/>
      <c r="O6341" s="33"/>
      <c r="P6341" s="33"/>
      <c r="Q6341" s="33"/>
      <c r="R6341" s="33"/>
      <c r="S6341" s="33"/>
      <c r="T6341" s="33"/>
      <c r="U6341" s="33"/>
      <c r="V6341" s="33"/>
      <c r="W6341" s="33"/>
      <c r="X6341" s="33"/>
      <c r="Y6341" s="33"/>
      <c r="Z6341" s="33"/>
      <c r="AA6341" s="33"/>
      <c r="AB6341" s="33"/>
      <c r="AC6341" s="33"/>
      <c r="AD6341" s="33"/>
      <c r="AE6341" s="33"/>
      <c r="AF6341" s="33"/>
      <c r="AG6341" s="33"/>
      <c r="AH6341" s="33"/>
      <c r="AI6341" s="33"/>
      <c r="AJ6341" s="33"/>
      <c r="AK6341" s="33"/>
    </row>
    <row r="6342">
      <c r="A6342" s="33"/>
      <c r="B6342" s="33"/>
      <c r="C6342" s="33"/>
      <c r="D6342" s="33"/>
      <c r="E6342" s="33"/>
      <c r="F6342" s="33"/>
      <c r="G6342" s="33"/>
      <c r="H6342" s="33"/>
      <c r="I6342" s="33"/>
      <c r="J6342" s="33"/>
      <c r="K6342" s="33"/>
      <c r="L6342" s="33"/>
      <c r="M6342" s="33"/>
      <c r="N6342" s="33"/>
      <c r="O6342" s="33"/>
      <c r="P6342" s="33"/>
      <c r="Q6342" s="33"/>
      <c r="R6342" s="33"/>
      <c r="S6342" s="33"/>
      <c r="T6342" s="33"/>
      <c r="U6342" s="33"/>
      <c r="V6342" s="33"/>
      <c r="W6342" s="33"/>
      <c r="X6342" s="33"/>
      <c r="Y6342" s="33"/>
      <c r="Z6342" s="33"/>
      <c r="AA6342" s="33"/>
      <c r="AB6342" s="33"/>
      <c r="AC6342" s="33"/>
      <c r="AD6342" s="33"/>
      <c r="AE6342" s="33"/>
      <c r="AF6342" s="33"/>
      <c r="AG6342" s="33"/>
      <c r="AH6342" s="33"/>
      <c r="AI6342" s="33"/>
      <c r="AJ6342" s="33"/>
      <c r="AK6342" s="33"/>
    </row>
    <row r="6343">
      <c r="A6343" s="33"/>
      <c r="B6343" s="33"/>
      <c r="C6343" s="33"/>
      <c r="D6343" s="33"/>
      <c r="E6343" s="33"/>
      <c r="F6343" s="33"/>
      <c r="G6343" s="33"/>
      <c r="H6343" s="33"/>
      <c r="I6343" s="33"/>
      <c r="J6343" s="33"/>
      <c r="K6343" s="33"/>
      <c r="L6343" s="33"/>
      <c r="M6343" s="33"/>
      <c r="N6343" s="33"/>
      <c r="O6343" s="33"/>
      <c r="P6343" s="33"/>
      <c r="Q6343" s="33"/>
      <c r="R6343" s="33"/>
      <c r="S6343" s="33"/>
      <c r="T6343" s="33"/>
      <c r="U6343" s="33"/>
      <c r="V6343" s="33"/>
      <c r="W6343" s="33"/>
      <c r="X6343" s="33"/>
      <c r="Y6343" s="33"/>
      <c r="Z6343" s="33"/>
      <c r="AA6343" s="33"/>
      <c r="AB6343" s="33"/>
      <c r="AC6343" s="33"/>
      <c r="AD6343" s="33"/>
      <c r="AE6343" s="33"/>
      <c r="AF6343" s="33"/>
      <c r="AG6343" s="33"/>
      <c r="AH6343" s="33"/>
      <c r="AI6343" s="33"/>
      <c r="AJ6343" s="33"/>
      <c r="AK6343" s="33"/>
    </row>
    <row r="6344">
      <c r="A6344" s="33"/>
      <c r="B6344" s="33"/>
      <c r="C6344" s="33"/>
      <c r="D6344" s="33"/>
      <c r="E6344" s="33"/>
      <c r="F6344" s="33"/>
      <c r="G6344" s="33"/>
      <c r="H6344" s="33"/>
      <c r="I6344" s="33"/>
      <c r="J6344" s="33"/>
      <c r="K6344" s="33"/>
      <c r="L6344" s="33"/>
      <c r="M6344" s="33"/>
      <c r="N6344" s="33"/>
      <c r="O6344" s="33"/>
      <c r="P6344" s="33"/>
      <c r="Q6344" s="33"/>
      <c r="R6344" s="33"/>
      <c r="S6344" s="33"/>
      <c r="T6344" s="33"/>
      <c r="U6344" s="33"/>
      <c r="V6344" s="33"/>
      <c r="W6344" s="33"/>
      <c r="X6344" s="33"/>
      <c r="Y6344" s="33"/>
      <c r="Z6344" s="33"/>
      <c r="AA6344" s="33"/>
      <c r="AB6344" s="33"/>
      <c r="AC6344" s="33"/>
      <c r="AD6344" s="33"/>
      <c r="AE6344" s="33"/>
      <c r="AF6344" s="33"/>
      <c r="AG6344" s="33"/>
      <c r="AH6344" s="33"/>
      <c r="AI6344" s="33"/>
      <c r="AJ6344" s="33"/>
      <c r="AK6344" s="33"/>
    </row>
    <row r="6345">
      <c r="A6345" s="33"/>
      <c r="B6345" s="33"/>
      <c r="C6345" s="33"/>
      <c r="D6345" s="33"/>
      <c r="E6345" s="33"/>
      <c r="F6345" s="33"/>
      <c r="G6345" s="33"/>
      <c r="H6345" s="33"/>
      <c r="I6345" s="33"/>
      <c r="J6345" s="33"/>
      <c r="K6345" s="33"/>
      <c r="L6345" s="33"/>
      <c r="M6345" s="33"/>
      <c r="N6345" s="33"/>
      <c r="O6345" s="33"/>
      <c r="P6345" s="33"/>
      <c r="Q6345" s="33"/>
      <c r="R6345" s="33"/>
      <c r="S6345" s="33"/>
      <c r="T6345" s="33"/>
      <c r="U6345" s="33"/>
      <c r="V6345" s="33"/>
      <c r="W6345" s="33"/>
      <c r="X6345" s="33"/>
      <c r="Y6345" s="33"/>
      <c r="Z6345" s="33"/>
      <c r="AA6345" s="33"/>
      <c r="AB6345" s="33"/>
      <c r="AC6345" s="33"/>
      <c r="AD6345" s="33"/>
      <c r="AE6345" s="33"/>
      <c r="AF6345" s="33"/>
      <c r="AG6345" s="33"/>
      <c r="AH6345" s="33"/>
      <c r="AI6345" s="33"/>
      <c r="AJ6345" s="33"/>
      <c r="AK6345" s="33"/>
    </row>
    <row r="6346">
      <c r="A6346" s="33"/>
      <c r="B6346" s="33"/>
      <c r="C6346" s="33"/>
      <c r="D6346" s="33"/>
      <c r="E6346" s="33"/>
      <c r="F6346" s="33"/>
      <c r="G6346" s="33"/>
      <c r="H6346" s="33"/>
      <c r="I6346" s="33"/>
      <c r="J6346" s="33"/>
      <c r="K6346" s="33"/>
      <c r="L6346" s="33"/>
      <c r="M6346" s="33"/>
      <c r="N6346" s="33"/>
      <c r="O6346" s="33"/>
      <c r="P6346" s="33"/>
      <c r="Q6346" s="33"/>
      <c r="R6346" s="33"/>
      <c r="S6346" s="33"/>
      <c r="T6346" s="33"/>
      <c r="U6346" s="33"/>
      <c r="V6346" s="33"/>
      <c r="W6346" s="33"/>
      <c r="X6346" s="33"/>
      <c r="Y6346" s="33"/>
      <c r="Z6346" s="33"/>
      <c r="AA6346" s="33"/>
      <c r="AB6346" s="33"/>
      <c r="AC6346" s="33"/>
      <c r="AD6346" s="33"/>
      <c r="AE6346" s="33"/>
      <c r="AF6346" s="33"/>
      <c r="AG6346" s="33"/>
      <c r="AH6346" s="33"/>
      <c r="AI6346" s="33"/>
      <c r="AJ6346" s="33"/>
      <c r="AK6346" s="33"/>
    </row>
    <row r="6347">
      <c r="A6347" s="33"/>
      <c r="B6347" s="33"/>
      <c r="C6347" s="33"/>
      <c r="D6347" s="33"/>
      <c r="E6347" s="33"/>
      <c r="F6347" s="33"/>
      <c r="G6347" s="33"/>
      <c r="H6347" s="33"/>
      <c r="I6347" s="33"/>
      <c r="J6347" s="33"/>
      <c r="K6347" s="33"/>
      <c r="L6347" s="33"/>
      <c r="M6347" s="33"/>
      <c r="N6347" s="33"/>
      <c r="O6347" s="33"/>
      <c r="P6347" s="33"/>
      <c r="Q6347" s="33"/>
      <c r="R6347" s="33"/>
      <c r="S6347" s="33"/>
      <c r="T6347" s="33"/>
      <c r="U6347" s="33"/>
      <c r="V6347" s="33"/>
      <c r="W6347" s="33"/>
      <c r="X6347" s="33"/>
      <c r="Y6347" s="33"/>
      <c r="Z6347" s="33"/>
      <c r="AA6347" s="33"/>
      <c r="AB6347" s="33"/>
      <c r="AC6347" s="33"/>
      <c r="AD6347" s="33"/>
      <c r="AE6347" s="33"/>
      <c r="AF6347" s="33"/>
      <c r="AG6347" s="33"/>
      <c r="AH6347" s="33"/>
      <c r="AI6347" s="33"/>
      <c r="AJ6347" s="33"/>
      <c r="AK6347" s="33"/>
    </row>
    <row r="6348">
      <c r="A6348" s="33"/>
      <c r="B6348" s="33"/>
      <c r="C6348" s="33"/>
      <c r="D6348" s="33"/>
      <c r="E6348" s="33"/>
      <c r="F6348" s="33"/>
      <c r="G6348" s="33"/>
      <c r="H6348" s="33"/>
      <c r="I6348" s="33"/>
      <c r="J6348" s="33"/>
      <c r="K6348" s="33"/>
      <c r="L6348" s="33"/>
      <c r="M6348" s="33"/>
      <c r="N6348" s="33"/>
      <c r="O6348" s="33"/>
      <c r="P6348" s="33"/>
      <c r="Q6348" s="33"/>
      <c r="R6348" s="33"/>
      <c r="S6348" s="33"/>
      <c r="T6348" s="33"/>
      <c r="U6348" s="33"/>
      <c r="V6348" s="33"/>
      <c r="W6348" s="33"/>
      <c r="X6348" s="33"/>
      <c r="Y6348" s="33"/>
      <c r="Z6348" s="33"/>
      <c r="AA6348" s="33"/>
      <c r="AB6348" s="33"/>
      <c r="AC6348" s="33"/>
      <c r="AD6348" s="33"/>
      <c r="AE6348" s="33"/>
      <c r="AF6348" s="33"/>
      <c r="AG6348" s="33"/>
      <c r="AH6348" s="33"/>
      <c r="AI6348" s="33"/>
      <c r="AJ6348" s="33"/>
      <c r="AK6348" s="33"/>
    </row>
    <row r="6349">
      <c r="A6349" s="33"/>
      <c r="B6349" s="33"/>
      <c r="C6349" s="33"/>
      <c r="D6349" s="33"/>
      <c r="E6349" s="33"/>
      <c r="F6349" s="33"/>
      <c r="G6349" s="33"/>
      <c r="H6349" s="33"/>
      <c r="I6349" s="33"/>
      <c r="J6349" s="33"/>
      <c r="K6349" s="33"/>
      <c r="L6349" s="33"/>
      <c r="M6349" s="33"/>
      <c r="N6349" s="33"/>
      <c r="O6349" s="33"/>
      <c r="P6349" s="33"/>
      <c r="Q6349" s="33"/>
      <c r="R6349" s="33"/>
      <c r="S6349" s="33"/>
      <c r="T6349" s="33"/>
      <c r="U6349" s="33"/>
      <c r="V6349" s="33"/>
      <c r="W6349" s="33"/>
      <c r="X6349" s="33"/>
      <c r="Y6349" s="33"/>
      <c r="Z6349" s="33"/>
      <c r="AA6349" s="33"/>
      <c r="AB6349" s="33"/>
      <c r="AC6349" s="33"/>
      <c r="AD6349" s="33"/>
      <c r="AE6349" s="33"/>
      <c r="AF6349" s="33"/>
      <c r="AG6349" s="33"/>
      <c r="AH6349" s="33"/>
      <c r="AI6349" s="33"/>
      <c r="AJ6349" s="33"/>
      <c r="AK6349" s="33"/>
    </row>
    <row r="6350">
      <c r="A6350" s="33"/>
      <c r="B6350" s="33"/>
      <c r="C6350" s="33"/>
      <c r="D6350" s="33"/>
      <c r="E6350" s="33"/>
      <c r="F6350" s="33"/>
      <c r="G6350" s="33"/>
      <c r="H6350" s="33"/>
      <c r="I6350" s="33"/>
      <c r="J6350" s="33"/>
      <c r="K6350" s="33"/>
      <c r="L6350" s="33"/>
      <c r="M6350" s="33"/>
      <c r="N6350" s="33"/>
      <c r="O6350" s="33"/>
      <c r="P6350" s="33"/>
      <c r="Q6350" s="33"/>
      <c r="R6350" s="33"/>
      <c r="S6350" s="33"/>
      <c r="T6350" s="33"/>
      <c r="U6350" s="33"/>
      <c r="V6350" s="33"/>
      <c r="W6350" s="33"/>
      <c r="X6350" s="33"/>
      <c r="Y6350" s="33"/>
      <c r="Z6350" s="33"/>
      <c r="AA6350" s="33"/>
      <c r="AB6350" s="33"/>
      <c r="AC6350" s="33"/>
      <c r="AD6350" s="33"/>
      <c r="AE6350" s="33"/>
      <c r="AF6350" s="33"/>
      <c r="AG6350" s="33"/>
      <c r="AH6350" s="33"/>
      <c r="AI6350" s="33"/>
      <c r="AJ6350" s="33"/>
      <c r="AK6350" s="33"/>
    </row>
    <row r="6351">
      <c r="A6351" s="33"/>
      <c r="B6351" s="33"/>
      <c r="C6351" s="33"/>
      <c r="D6351" s="33"/>
      <c r="E6351" s="33"/>
      <c r="F6351" s="33"/>
      <c r="G6351" s="33"/>
      <c r="H6351" s="33"/>
      <c r="I6351" s="33"/>
      <c r="J6351" s="33"/>
      <c r="K6351" s="33"/>
      <c r="L6351" s="33"/>
      <c r="M6351" s="33"/>
      <c r="N6351" s="33"/>
      <c r="O6351" s="33"/>
      <c r="P6351" s="33"/>
      <c r="Q6351" s="33"/>
      <c r="R6351" s="33"/>
      <c r="S6351" s="33"/>
      <c r="T6351" s="33"/>
      <c r="U6351" s="33"/>
      <c r="V6351" s="33"/>
      <c r="W6351" s="33"/>
      <c r="X6351" s="33"/>
      <c r="Y6351" s="33"/>
      <c r="Z6351" s="33"/>
      <c r="AA6351" s="33"/>
      <c r="AB6351" s="33"/>
      <c r="AC6351" s="33"/>
      <c r="AD6351" s="33"/>
      <c r="AE6351" s="33"/>
      <c r="AF6351" s="33"/>
      <c r="AG6351" s="33"/>
      <c r="AH6351" s="33"/>
      <c r="AI6351" s="33"/>
      <c r="AJ6351" s="33"/>
      <c r="AK6351" s="33"/>
    </row>
    <row r="6352">
      <c r="A6352" s="33"/>
      <c r="B6352" s="33"/>
      <c r="C6352" s="33"/>
      <c r="D6352" s="33"/>
      <c r="E6352" s="33"/>
      <c r="F6352" s="33"/>
      <c r="G6352" s="33"/>
      <c r="H6352" s="33"/>
      <c r="I6352" s="33"/>
      <c r="J6352" s="33"/>
      <c r="K6352" s="33"/>
      <c r="L6352" s="33"/>
      <c r="M6352" s="33"/>
      <c r="N6352" s="33"/>
      <c r="O6352" s="33"/>
      <c r="P6352" s="33"/>
      <c r="Q6352" s="33"/>
      <c r="R6352" s="33"/>
      <c r="S6352" s="33"/>
      <c r="T6352" s="33"/>
      <c r="U6352" s="33"/>
      <c r="V6352" s="33"/>
      <c r="W6352" s="33"/>
      <c r="X6352" s="33"/>
      <c r="Y6352" s="33"/>
      <c r="Z6352" s="33"/>
      <c r="AA6352" s="33"/>
      <c r="AB6352" s="33"/>
      <c r="AC6352" s="33"/>
      <c r="AD6352" s="33"/>
      <c r="AE6352" s="33"/>
      <c r="AF6352" s="33"/>
      <c r="AG6352" s="33"/>
      <c r="AH6352" s="33"/>
      <c r="AI6352" s="33"/>
      <c r="AJ6352" s="33"/>
      <c r="AK6352" s="33"/>
    </row>
    <row r="6353">
      <c r="A6353" s="33"/>
      <c r="B6353" s="33"/>
      <c r="C6353" s="33"/>
      <c r="D6353" s="33"/>
      <c r="E6353" s="33"/>
      <c r="F6353" s="33"/>
      <c r="G6353" s="33"/>
      <c r="H6353" s="33"/>
      <c r="I6353" s="33"/>
      <c r="J6353" s="33"/>
      <c r="K6353" s="33"/>
      <c r="L6353" s="33"/>
      <c r="M6353" s="33"/>
      <c r="N6353" s="33"/>
      <c r="O6353" s="33"/>
      <c r="P6353" s="33"/>
      <c r="Q6353" s="33"/>
      <c r="R6353" s="33"/>
      <c r="S6353" s="33"/>
      <c r="T6353" s="33"/>
      <c r="U6353" s="33"/>
      <c r="V6353" s="33"/>
      <c r="W6353" s="33"/>
      <c r="X6353" s="33"/>
      <c r="Y6353" s="33"/>
      <c r="Z6353" s="33"/>
      <c r="AA6353" s="33"/>
      <c r="AB6353" s="33"/>
      <c r="AC6353" s="33"/>
      <c r="AD6353" s="33"/>
      <c r="AE6353" s="33"/>
      <c r="AF6353" s="33"/>
      <c r="AG6353" s="33"/>
      <c r="AH6353" s="33"/>
      <c r="AI6353" s="33"/>
      <c r="AJ6353" s="33"/>
      <c r="AK6353" s="33"/>
    </row>
    <row r="6354">
      <c r="A6354" s="33"/>
      <c r="B6354" s="33"/>
      <c r="C6354" s="33"/>
      <c r="D6354" s="33"/>
      <c r="E6354" s="33"/>
      <c r="F6354" s="33"/>
      <c r="G6354" s="33"/>
      <c r="H6354" s="33"/>
      <c r="I6354" s="33"/>
      <c r="J6354" s="33"/>
      <c r="K6354" s="33"/>
      <c r="L6354" s="33"/>
      <c r="M6354" s="33"/>
      <c r="N6354" s="33"/>
      <c r="O6354" s="33"/>
      <c r="P6354" s="33"/>
      <c r="Q6354" s="33"/>
      <c r="R6354" s="33"/>
      <c r="S6354" s="33"/>
      <c r="T6354" s="33"/>
      <c r="U6354" s="33"/>
      <c r="V6354" s="33"/>
      <c r="W6354" s="33"/>
      <c r="X6354" s="33"/>
      <c r="Y6354" s="33"/>
      <c r="Z6354" s="33"/>
      <c r="AA6354" s="33"/>
      <c r="AB6354" s="33"/>
      <c r="AC6354" s="33"/>
      <c r="AD6354" s="33"/>
      <c r="AE6354" s="33"/>
      <c r="AF6354" s="33"/>
      <c r="AG6354" s="33"/>
      <c r="AH6354" s="33"/>
      <c r="AI6354" s="33"/>
      <c r="AJ6354" s="33"/>
      <c r="AK6354" s="33"/>
    </row>
    <row r="6355">
      <c r="A6355" s="33"/>
      <c r="B6355" s="33"/>
      <c r="C6355" s="33"/>
      <c r="D6355" s="33"/>
      <c r="E6355" s="33"/>
      <c r="F6355" s="33"/>
      <c r="G6355" s="33"/>
      <c r="H6355" s="33"/>
      <c r="I6355" s="33"/>
      <c r="J6355" s="33"/>
      <c r="K6355" s="33"/>
      <c r="L6355" s="33"/>
      <c r="M6355" s="33"/>
      <c r="N6355" s="33"/>
      <c r="O6355" s="33"/>
      <c r="P6355" s="33"/>
      <c r="Q6355" s="33"/>
      <c r="R6355" s="33"/>
      <c r="S6355" s="33"/>
      <c r="T6355" s="33"/>
      <c r="U6355" s="33"/>
      <c r="V6355" s="33"/>
      <c r="W6355" s="33"/>
      <c r="X6355" s="33"/>
      <c r="Y6355" s="33"/>
      <c r="Z6355" s="33"/>
      <c r="AA6355" s="33"/>
      <c r="AB6355" s="33"/>
      <c r="AC6355" s="33"/>
      <c r="AD6355" s="33"/>
      <c r="AE6355" s="33"/>
      <c r="AF6355" s="33"/>
      <c r="AG6355" s="33"/>
      <c r="AH6355" s="33"/>
      <c r="AI6355" s="33"/>
      <c r="AJ6355" s="33"/>
      <c r="AK6355" s="33"/>
    </row>
    <row r="6356">
      <c r="A6356" s="33"/>
      <c r="B6356" s="33"/>
      <c r="C6356" s="33"/>
      <c r="D6356" s="33"/>
      <c r="E6356" s="33"/>
      <c r="F6356" s="33"/>
      <c r="G6356" s="33"/>
      <c r="H6356" s="33"/>
      <c r="I6356" s="33"/>
      <c r="J6356" s="33"/>
      <c r="K6356" s="33"/>
      <c r="L6356" s="33"/>
      <c r="M6356" s="33"/>
      <c r="N6356" s="33"/>
      <c r="O6356" s="33"/>
      <c r="P6356" s="33"/>
      <c r="Q6356" s="33"/>
      <c r="R6356" s="33"/>
      <c r="S6356" s="33"/>
      <c r="T6356" s="33"/>
      <c r="U6356" s="33"/>
      <c r="V6356" s="33"/>
      <c r="W6356" s="33"/>
      <c r="X6356" s="33"/>
      <c r="Y6356" s="33"/>
      <c r="Z6356" s="33"/>
      <c r="AA6356" s="33"/>
      <c r="AB6356" s="33"/>
      <c r="AC6356" s="33"/>
      <c r="AD6356" s="33"/>
      <c r="AE6356" s="33"/>
      <c r="AF6356" s="33"/>
      <c r="AG6356" s="33"/>
      <c r="AH6356" s="33"/>
      <c r="AI6356" s="33"/>
      <c r="AJ6356" s="33"/>
      <c r="AK6356" s="33"/>
    </row>
    <row r="6357">
      <c r="A6357" s="33"/>
      <c r="B6357" s="33"/>
      <c r="C6357" s="33"/>
      <c r="D6357" s="33"/>
      <c r="E6357" s="33"/>
      <c r="F6357" s="33"/>
      <c r="G6357" s="33"/>
      <c r="H6357" s="33"/>
      <c r="I6357" s="33"/>
      <c r="J6357" s="33"/>
      <c r="K6357" s="33"/>
      <c r="L6357" s="33"/>
      <c r="M6357" s="33"/>
      <c r="N6357" s="33"/>
      <c r="O6357" s="33"/>
      <c r="P6357" s="33"/>
      <c r="Q6357" s="33"/>
      <c r="R6357" s="33"/>
      <c r="S6357" s="33"/>
      <c r="T6357" s="33"/>
      <c r="U6357" s="33"/>
      <c r="V6357" s="33"/>
      <c r="W6357" s="33"/>
      <c r="X6357" s="33"/>
      <c r="Y6357" s="33"/>
      <c r="Z6357" s="33"/>
      <c r="AA6357" s="33"/>
      <c r="AB6357" s="33"/>
      <c r="AC6357" s="33"/>
      <c r="AD6357" s="33"/>
      <c r="AE6357" s="33"/>
      <c r="AF6357" s="33"/>
      <c r="AG6357" s="33"/>
      <c r="AH6357" s="33"/>
      <c r="AI6357" s="33"/>
      <c r="AJ6357" s="33"/>
      <c r="AK6357" s="33"/>
    </row>
    <row r="6358">
      <c r="A6358" s="33"/>
      <c r="B6358" s="33"/>
      <c r="C6358" s="33"/>
      <c r="D6358" s="33"/>
      <c r="E6358" s="33"/>
      <c r="F6358" s="33"/>
      <c r="G6358" s="33"/>
      <c r="H6358" s="33"/>
      <c r="I6358" s="33"/>
      <c r="J6358" s="33"/>
      <c r="K6358" s="33"/>
      <c r="L6358" s="33"/>
      <c r="M6358" s="33"/>
      <c r="N6358" s="33"/>
      <c r="O6358" s="33"/>
      <c r="P6358" s="33"/>
      <c r="Q6358" s="33"/>
      <c r="R6358" s="33"/>
      <c r="S6358" s="33"/>
      <c r="T6358" s="33"/>
      <c r="U6358" s="33"/>
      <c r="V6358" s="33"/>
      <c r="W6358" s="33"/>
      <c r="X6358" s="33"/>
      <c r="Y6358" s="33"/>
      <c r="Z6358" s="33"/>
      <c r="AA6358" s="33"/>
      <c r="AB6358" s="33"/>
      <c r="AC6358" s="33"/>
      <c r="AD6358" s="33"/>
      <c r="AE6358" s="33"/>
      <c r="AF6358" s="33"/>
      <c r="AG6358" s="33"/>
      <c r="AH6358" s="33"/>
      <c r="AI6358" s="33"/>
      <c r="AJ6358" s="33"/>
      <c r="AK6358" s="33"/>
    </row>
    <row r="6359">
      <c r="A6359" s="33"/>
      <c r="B6359" s="33"/>
      <c r="C6359" s="33"/>
      <c r="D6359" s="33"/>
      <c r="E6359" s="33"/>
      <c r="F6359" s="33"/>
      <c r="G6359" s="33"/>
      <c r="H6359" s="33"/>
      <c r="I6359" s="33"/>
      <c r="J6359" s="33"/>
      <c r="K6359" s="33"/>
      <c r="L6359" s="33"/>
      <c r="M6359" s="33"/>
      <c r="N6359" s="33"/>
      <c r="O6359" s="33"/>
      <c r="P6359" s="33"/>
      <c r="Q6359" s="33"/>
      <c r="R6359" s="33"/>
      <c r="S6359" s="33"/>
      <c r="T6359" s="33"/>
      <c r="U6359" s="33"/>
      <c r="V6359" s="33"/>
      <c r="W6359" s="33"/>
      <c r="X6359" s="33"/>
      <c r="Y6359" s="33"/>
      <c r="Z6359" s="33"/>
      <c r="AA6359" s="33"/>
      <c r="AB6359" s="33"/>
      <c r="AC6359" s="33"/>
      <c r="AD6359" s="33"/>
      <c r="AE6359" s="33"/>
      <c r="AF6359" s="33"/>
      <c r="AG6359" s="33"/>
      <c r="AH6359" s="33"/>
      <c r="AI6359" s="33"/>
      <c r="AJ6359" s="33"/>
      <c r="AK6359" s="33"/>
    </row>
    <row r="6360">
      <c r="A6360" s="33"/>
      <c r="B6360" s="33"/>
      <c r="C6360" s="33"/>
      <c r="D6360" s="33"/>
      <c r="E6360" s="33"/>
      <c r="F6360" s="33"/>
      <c r="G6360" s="33"/>
      <c r="H6360" s="33"/>
      <c r="I6360" s="33"/>
      <c r="J6360" s="33"/>
      <c r="K6360" s="33"/>
      <c r="L6360" s="33"/>
      <c r="M6360" s="33"/>
      <c r="N6360" s="33"/>
      <c r="O6360" s="33"/>
      <c r="P6360" s="33"/>
      <c r="Q6360" s="33"/>
      <c r="R6360" s="33"/>
      <c r="S6360" s="33"/>
      <c r="T6360" s="33"/>
      <c r="U6360" s="33"/>
      <c r="V6360" s="33"/>
      <c r="W6360" s="33"/>
      <c r="X6360" s="33"/>
      <c r="Y6360" s="33"/>
      <c r="Z6360" s="33"/>
      <c r="AA6360" s="33"/>
      <c r="AB6360" s="33"/>
      <c r="AC6360" s="33"/>
      <c r="AD6360" s="33"/>
      <c r="AE6360" s="33"/>
      <c r="AF6360" s="33"/>
      <c r="AG6360" s="33"/>
      <c r="AH6360" s="33"/>
      <c r="AI6360" s="33"/>
      <c r="AJ6360" s="33"/>
      <c r="AK6360" s="33"/>
    </row>
    <row r="6361">
      <c r="A6361" s="33"/>
      <c r="B6361" s="33"/>
      <c r="C6361" s="33"/>
      <c r="D6361" s="33"/>
      <c r="E6361" s="33"/>
      <c r="F6361" s="33"/>
      <c r="G6361" s="33"/>
      <c r="H6361" s="33"/>
      <c r="I6361" s="33"/>
      <c r="J6361" s="33"/>
      <c r="K6361" s="33"/>
      <c r="L6361" s="33"/>
      <c r="M6361" s="33"/>
      <c r="N6361" s="33"/>
      <c r="O6361" s="33"/>
      <c r="P6361" s="33"/>
      <c r="Q6361" s="33"/>
      <c r="R6361" s="33"/>
      <c r="S6361" s="33"/>
      <c r="T6361" s="33"/>
      <c r="U6361" s="33"/>
      <c r="V6361" s="33"/>
      <c r="W6361" s="33"/>
      <c r="X6361" s="33"/>
      <c r="Y6361" s="33"/>
      <c r="Z6361" s="33"/>
      <c r="AA6361" s="33"/>
      <c r="AB6361" s="33"/>
      <c r="AC6361" s="33"/>
      <c r="AD6361" s="33"/>
      <c r="AE6361" s="33"/>
      <c r="AF6361" s="33"/>
      <c r="AG6361" s="33"/>
      <c r="AH6361" s="33"/>
      <c r="AI6361" s="33"/>
      <c r="AJ6361" s="33"/>
      <c r="AK6361" s="33"/>
    </row>
    <row r="6362">
      <c r="A6362" s="33"/>
      <c r="B6362" s="33"/>
      <c r="C6362" s="33"/>
      <c r="D6362" s="33"/>
      <c r="E6362" s="33"/>
      <c r="F6362" s="33"/>
      <c r="G6362" s="33"/>
      <c r="H6362" s="33"/>
      <c r="I6362" s="33"/>
      <c r="J6362" s="33"/>
      <c r="K6362" s="33"/>
      <c r="L6362" s="33"/>
      <c r="M6362" s="33"/>
      <c r="N6362" s="33"/>
      <c r="O6362" s="33"/>
      <c r="P6362" s="33"/>
      <c r="Q6362" s="33"/>
      <c r="R6362" s="33"/>
      <c r="S6362" s="33"/>
      <c r="T6362" s="33"/>
      <c r="U6362" s="33"/>
      <c r="V6362" s="33"/>
      <c r="W6362" s="33"/>
      <c r="X6362" s="33"/>
      <c r="Y6362" s="33"/>
      <c r="Z6362" s="33"/>
      <c r="AA6362" s="33"/>
      <c r="AB6362" s="33"/>
      <c r="AC6362" s="33"/>
      <c r="AD6362" s="33"/>
      <c r="AE6362" s="33"/>
      <c r="AF6362" s="33"/>
      <c r="AG6362" s="33"/>
      <c r="AH6362" s="33"/>
      <c r="AI6362" s="33"/>
      <c r="AJ6362" s="33"/>
      <c r="AK6362" s="33"/>
    </row>
    <row r="6363">
      <c r="A6363" s="33"/>
      <c r="B6363" s="33"/>
      <c r="C6363" s="33"/>
      <c r="D6363" s="33"/>
      <c r="E6363" s="33"/>
      <c r="F6363" s="33"/>
      <c r="G6363" s="33"/>
      <c r="H6363" s="33"/>
      <c r="I6363" s="33"/>
      <c r="J6363" s="33"/>
      <c r="K6363" s="33"/>
      <c r="L6363" s="33"/>
      <c r="M6363" s="33"/>
      <c r="N6363" s="33"/>
      <c r="O6363" s="33"/>
      <c r="P6363" s="33"/>
      <c r="Q6363" s="33"/>
      <c r="R6363" s="33"/>
      <c r="S6363" s="33"/>
      <c r="T6363" s="33"/>
      <c r="U6363" s="33"/>
      <c r="V6363" s="33"/>
      <c r="W6363" s="33"/>
      <c r="X6363" s="33"/>
      <c r="Y6363" s="33"/>
      <c r="Z6363" s="33"/>
      <c r="AA6363" s="33"/>
      <c r="AB6363" s="33"/>
      <c r="AC6363" s="33"/>
      <c r="AD6363" s="33"/>
      <c r="AE6363" s="33"/>
      <c r="AF6363" s="33"/>
      <c r="AG6363" s="33"/>
      <c r="AH6363" s="33"/>
      <c r="AI6363" s="33"/>
      <c r="AJ6363" s="33"/>
      <c r="AK6363" s="33"/>
    </row>
    <row r="6364">
      <c r="A6364" s="33"/>
      <c r="B6364" s="33"/>
      <c r="C6364" s="33"/>
      <c r="D6364" s="33"/>
      <c r="E6364" s="33"/>
      <c r="F6364" s="33"/>
      <c r="G6364" s="33"/>
      <c r="H6364" s="33"/>
      <c r="I6364" s="33"/>
      <c r="J6364" s="33"/>
      <c r="K6364" s="33"/>
      <c r="L6364" s="33"/>
      <c r="M6364" s="33"/>
      <c r="N6364" s="33"/>
      <c r="O6364" s="33"/>
      <c r="P6364" s="33"/>
      <c r="Q6364" s="33"/>
      <c r="R6364" s="33"/>
      <c r="S6364" s="33"/>
      <c r="T6364" s="33"/>
      <c r="U6364" s="33"/>
      <c r="V6364" s="33"/>
      <c r="W6364" s="33"/>
      <c r="X6364" s="33"/>
      <c r="Y6364" s="33"/>
      <c r="Z6364" s="33"/>
      <c r="AA6364" s="33"/>
      <c r="AB6364" s="33"/>
      <c r="AC6364" s="33"/>
      <c r="AD6364" s="33"/>
      <c r="AE6364" s="33"/>
      <c r="AF6364" s="33"/>
      <c r="AG6364" s="33"/>
      <c r="AH6364" s="33"/>
      <c r="AI6364" s="33"/>
      <c r="AJ6364" s="33"/>
      <c r="AK6364" s="33"/>
    </row>
    <row r="6365">
      <c r="A6365" s="33"/>
      <c r="B6365" s="33"/>
      <c r="C6365" s="33"/>
      <c r="D6365" s="33"/>
      <c r="E6365" s="33"/>
      <c r="F6365" s="33"/>
      <c r="G6365" s="33"/>
      <c r="H6365" s="33"/>
      <c r="I6365" s="33"/>
      <c r="J6365" s="33"/>
      <c r="K6365" s="33"/>
      <c r="L6365" s="33"/>
      <c r="M6365" s="33"/>
      <c r="N6365" s="33"/>
      <c r="O6365" s="33"/>
      <c r="P6365" s="33"/>
      <c r="Q6365" s="33"/>
      <c r="R6365" s="33"/>
      <c r="S6365" s="33"/>
      <c r="T6365" s="33"/>
      <c r="U6365" s="33"/>
      <c r="V6365" s="33"/>
      <c r="W6365" s="33"/>
      <c r="X6365" s="33"/>
      <c r="Y6365" s="33"/>
      <c r="Z6365" s="33"/>
      <c r="AA6365" s="33"/>
      <c r="AB6365" s="33"/>
      <c r="AC6365" s="33"/>
      <c r="AD6365" s="33"/>
      <c r="AE6365" s="33"/>
      <c r="AF6365" s="33"/>
      <c r="AG6365" s="33"/>
      <c r="AH6365" s="33"/>
      <c r="AI6365" s="33"/>
      <c r="AJ6365" s="33"/>
      <c r="AK6365" s="33"/>
    </row>
    <row r="6366">
      <c r="A6366" s="33"/>
      <c r="B6366" s="33"/>
      <c r="C6366" s="33"/>
      <c r="D6366" s="33"/>
      <c r="E6366" s="33"/>
      <c r="F6366" s="33"/>
      <c r="G6366" s="33"/>
      <c r="H6366" s="33"/>
      <c r="I6366" s="33"/>
      <c r="J6366" s="33"/>
      <c r="K6366" s="33"/>
      <c r="L6366" s="33"/>
      <c r="M6366" s="33"/>
      <c r="N6366" s="33"/>
      <c r="O6366" s="33"/>
      <c r="P6366" s="33"/>
      <c r="Q6366" s="33"/>
      <c r="R6366" s="33"/>
      <c r="S6366" s="33"/>
      <c r="T6366" s="33"/>
      <c r="U6366" s="33"/>
      <c r="V6366" s="33"/>
      <c r="W6366" s="33"/>
      <c r="X6366" s="33"/>
      <c r="Y6366" s="33"/>
      <c r="Z6366" s="33"/>
      <c r="AA6366" s="33"/>
      <c r="AB6366" s="33"/>
      <c r="AC6366" s="33"/>
      <c r="AD6366" s="33"/>
      <c r="AE6366" s="33"/>
      <c r="AF6366" s="33"/>
      <c r="AG6366" s="33"/>
      <c r="AH6366" s="33"/>
      <c r="AI6366" s="33"/>
      <c r="AJ6366" s="33"/>
      <c r="AK6366" s="33"/>
    </row>
    <row r="6367">
      <c r="A6367" s="33"/>
      <c r="B6367" s="33"/>
      <c r="C6367" s="33"/>
      <c r="D6367" s="33"/>
      <c r="E6367" s="33"/>
      <c r="F6367" s="33"/>
      <c r="G6367" s="33"/>
      <c r="H6367" s="33"/>
      <c r="I6367" s="33"/>
      <c r="J6367" s="33"/>
      <c r="K6367" s="33"/>
      <c r="L6367" s="33"/>
      <c r="M6367" s="33"/>
      <c r="N6367" s="33"/>
      <c r="O6367" s="33"/>
      <c r="P6367" s="33"/>
      <c r="Q6367" s="33"/>
      <c r="R6367" s="33"/>
      <c r="S6367" s="33"/>
      <c r="T6367" s="33"/>
      <c r="U6367" s="33"/>
      <c r="V6367" s="33"/>
      <c r="W6367" s="33"/>
      <c r="X6367" s="33"/>
      <c r="Y6367" s="33"/>
      <c r="Z6367" s="33"/>
      <c r="AA6367" s="33"/>
      <c r="AB6367" s="33"/>
      <c r="AC6367" s="33"/>
      <c r="AD6367" s="33"/>
      <c r="AE6367" s="33"/>
      <c r="AF6367" s="33"/>
      <c r="AG6367" s="33"/>
      <c r="AH6367" s="33"/>
      <c r="AI6367" s="33"/>
      <c r="AJ6367" s="33"/>
      <c r="AK6367" s="33"/>
    </row>
    <row r="6368">
      <c r="A6368" s="33"/>
      <c r="B6368" s="33"/>
      <c r="C6368" s="33"/>
      <c r="D6368" s="33"/>
      <c r="E6368" s="33"/>
      <c r="F6368" s="33"/>
      <c r="G6368" s="33"/>
      <c r="H6368" s="33"/>
      <c r="I6368" s="33"/>
      <c r="J6368" s="33"/>
      <c r="K6368" s="33"/>
      <c r="L6368" s="33"/>
      <c r="M6368" s="33"/>
      <c r="N6368" s="33"/>
      <c r="O6368" s="33"/>
      <c r="P6368" s="33"/>
      <c r="Q6368" s="33"/>
      <c r="R6368" s="33"/>
      <c r="S6368" s="33"/>
      <c r="T6368" s="33"/>
      <c r="U6368" s="33"/>
      <c r="V6368" s="33"/>
      <c r="W6368" s="33"/>
      <c r="X6368" s="33"/>
      <c r="Y6368" s="33"/>
      <c r="Z6368" s="33"/>
      <c r="AA6368" s="33"/>
      <c r="AB6368" s="33"/>
      <c r="AC6368" s="33"/>
      <c r="AD6368" s="33"/>
      <c r="AE6368" s="33"/>
      <c r="AF6368" s="33"/>
      <c r="AG6368" s="33"/>
      <c r="AH6368" s="33"/>
      <c r="AI6368" s="33"/>
      <c r="AJ6368" s="33"/>
      <c r="AK6368" s="33"/>
    </row>
    <row r="6369">
      <c r="A6369" s="33"/>
      <c r="B6369" s="33"/>
      <c r="C6369" s="33"/>
      <c r="D6369" s="33"/>
      <c r="E6369" s="33"/>
      <c r="F6369" s="33"/>
      <c r="G6369" s="33"/>
      <c r="H6369" s="33"/>
      <c r="I6369" s="33"/>
      <c r="J6369" s="33"/>
      <c r="K6369" s="33"/>
      <c r="L6369" s="33"/>
      <c r="M6369" s="33"/>
      <c r="N6369" s="33"/>
      <c r="O6369" s="33"/>
      <c r="P6369" s="33"/>
      <c r="Q6369" s="33"/>
      <c r="R6369" s="33"/>
      <c r="S6369" s="33"/>
      <c r="T6369" s="33"/>
      <c r="U6369" s="33"/>
      <c r="V6369" s="33"/>
      <c r="W6369" s="33"/>
      <c r="X6369" s="33"/>
      <c r="Y6369" s="33"/>
      <c r="Z6369" s="33"/>
      <c r="AA6369" s="33"/>
      <c r="AB6369" s="33"/>
      <c r="AC6369" s="33"/>
      <c r="AD6369" s="33"/>
      <c r="AE6369" s="33"/>
      <c r="AF6369" s="33"/>
      <c r="AG6369" s="33"/>
      <c r="AH6369" s="33"/>
      <c r="AI6369" s="33"/>
      <c r="AJ6369" s="33"/>
      <c r="AK6369" s="33"/>
    </row>
    <row r="6370">
      <c r="A6370" s="33"/>
      <c r="B6370" s="33"/>
      <c r="C6370" s="33"/>
      <c r="D6370" s="33"/>
      <c r="E6370" s="33"/>
      <c r="F6370" s="33"/>
      <c r="G6370" s="33"/>
      <c r="H6370" s="33"/>
      <c r="I6370" s="33"/>
      <c r="J6370" s="33"/>
      <c r="K6370" s="33"/>
      <c r="L6370" s="33"/>
      <c r="M6370" s="33"/>
      <c r="N6370" s="33"/>
      <c r="O6370" s="33"/>
      <c r="P6370" s="33"/>
      <c r="Q6370" s="33"/>
      <c r="R6370" s="33"/>
      <c r="S6370" s="33"/>
      <c r="T6370" s="33"/>
      <c r="U6370" s="33"/>
      <c r="V6370" s="33"/>
      <c r="W6370" s="33"/>
      <c r="X6370" s="33"/>
      <c r="Y6370" s="33"/>
      <c r="Z6370" s="33"/>
      <c r="AA6370" s="33"/>
      <c r="AB6370" s="33"/>
      <c r="AC6370" s="33"/>
      <c r="AD6370" s="33"/>
      <c r="AE6370" s="33"/>
      <c r="AF6370" s="33"/>
      <c r="AG6370" s="33"/>
      <c r="AH6370" s="33"/>
      <c r="AI6370" s="33"/>
      <c r="AJ6370" s="33"/>
      <c r="AK6370" s="33"/>
    </row>
    <row r="6371">
      <c r="A6371" s="33"/>
      <c r="B6371" s="33"/>
      <c r="C6371" s="33"/>
      <c r="D6371" s="33"/>
      <c r="E6371" s="33"/>
      <c r="F6371" s="33"/>
      <c r="G6371" s="33"/>
      <c r="H6371" s="33"/>
      <c r="I6371" s="33"/>
      <c r="J6371" s="33"/>
      <c r="K6371" s="33"/>
      <c r="L6371" s="33"/>
      <c r="M6371" s="33"/>
      <c r="N6371" s="33"/>
      <c r="O6371" s="33"/>
      <c r="P6371" s="33"/>
      <c r="Q6371" s="33"/>
      <c r="R6371" s="33"/>
      <c r="S6371" s="33"/>
      <c r="T6371" s="33"/>
      <c r="U6371" s="33"/>
      <c r="V6371" s="33"/>
      <c r="W6371" s="33"/>
      <c r="X6371" s="33"/>
      <c r="Y6371" s="33"/>
      <c r="Z6371" s="33"/>
      <c r="AA6371" s="33"/>
      <c r="AB6371" s="33"/>
      <c r="AC6371" s="33"/>
      <c r="AD6371" s="33"/>
      <c r="AE6371" s="33"/>
      <c r="AF6371" s="33"/>
      <c r="AG6371" s="33"/>
      <c r="AH6371" s="33"/>
      <c r="AI6371" s="33"/>
      <c r="AJ6371" s="33"/>
      <c r="AK6371" s="33"/>
    </row>
    <row r="6372">
      <c r="A6372" s="33"/>
      <c r="B6372" s="33"/>
      <c r="C6372" s="33"/>
      <c r="D6372" s="33"/>
      <c r="E6372" s="33"/>
      <c r="F6372" s="33"/>
      <c r="G6372" s="33"/>
      <c r="H6372" s="33"/>
      <c r="I6372" s="33"/>
      <c r="J6372" s="33"/>
      <c r="K6372" s="33"/>
      <c r="L6372" s="33"/>
      <c r="M6372" s="33"/>
      <c r="N6372" s="33"/>
      <c r="O6372" s="33"/>
      <c r="P6372" s="33"/>
      <c r="Q6372" s="33"/>
      <c r="R6372" s="33"/>
      <c r="S6372" s="33"/>
      <c r="T6372" s="33"/>
      <c r="U6372" s="33"/>
      <c r="V6372" s="33"/>
      <c r="W6372" s="33"/>
      <c r="X6372" s="33"/>
      <c r="Y6372" s="33"/>
      <c r="Z6372" s="33"/>
      <c r="AA6372" s="33"/>
      <c r="AB6372" s="33"/>
      <c r="AC6372" s="33"/>
      <c r="AD6372" s="33"/>
      <c r="AE6372" s="33"/>
      <c r="AF6372" s="33"/>
      <c r="AG6372" s="33"/>
      <c r="AH6372" s="33"/>
      <c r="AI6372" s="33"/>
      <c r="AJ6372" s="33"/>
      <c r="AK6372" s="33"/>
    </row>
    <row r="6373">
      <c r="A6373" s="33"/>
      <c r="B6373" s="33"/>
      <c r="C6373" s="33"/>
      <c r="D6373" s="33"/>
      <c r="E6373" s="33"/>
      <c r="F6373" s="33"/>
      <c r="G6373" s="33"/>
      <c r="H6373" s="33"/>
      <c r="I6373" s="33"/>
      <c r="J6373" s="33"/>
      <c r="K6373" s="33"/>
      <c r="L6373" s="33"/>
      <c r="M6373" s="33"/>
      <c r="N6373" s="33"/>
      <c r="O6373" s="33"/>
      <c r="P6373" s="33"/>
      <c r="Q6373" s="33"/>
      <c r="R6373" s="33"/>
      <c r="S6373" s="33"/>
      <c r="T6373" s="33"/>
      <c r="U6373" s="33"/>
      <c r="V6373" s="33"/>
      <c r="W6373" s="33"/>
      <c r="X6373" s="33"/>
      <c r="Y6373" s="33"/>
      <c r="Z6373" s="33"/>
      <c r="AA6373" s="33"/>
      <c r="AB6373" s="33"/>
      <c r="AC6373" s="33"/>
      <c r="AD6373" s="33"/>
      <c r="AE6373" s="33"/>
      <c r="AF6373" s="33"/>
      <c r="AG6373" s="33"/>
      <c r="AH6373" s="33"/>
      <c r="AI6373" s="33"/>
      <c r="AJ6373" s="33"/>
      <c r="AK6373" s="33"/>
    </row>
    <row r="6374">
      <c r="A6374" s="33"/>
      <c r="B6374" s="33"/>
      <c r="C6374" s="33"/>
      <c r="D6374" s="33"/>
      <c r="E6374" s="33"/>
      <c r="F6374" s="33"/>
      <c r="G6374" s="33"/>
      <c r="H6374" s="33"/>
      <c r="I6374" s="33"/>
      <c r="J6374" s="33"/>
      <c r="K6374" s="33"/>
      <c r="L6374" s="33"/>
      <c r="M6374" s="33"/>
      <c r="N6374" s="33"/>
      <c r="O6374" s="33"/>
      <c r="P6374" s="33"/>
      <c r="Q6374" s="33"/>
      <c r="R6374" s="33"/>
      <c r="S6374" s="33"/>
      <c r="T6374" s="33"/>
      <c r="U6374" s="33"/>
      <c r="V6374" s="33"/>
      <c r="W6374" s="33"/>
      <c r="X6374" s="33"/>
      <c r="Y6374" s="33"/>
      <c r="Z6374" s="33"/>
      <c r="AA6374" s="33"/>
      <c r="AB6374" s="33"/>
      <c r="AC6374" s="33"/>
      <c r="AD6374" s="33"/>
      <c r="AE6374" s="33"/>
      <c r="AF6374" s="33"/>
      <c r="AG6374" s="33"/>
      <c r="AH6374" s="33"/>
      <c r="AI6374" s="33"/>
      <c r="AJ6374" s="33"/>
      <c r="AK6374" s="33"/>
    </row>
    <row r="6375">
      <c r="A6375" s="33"/>
      <c r="B6375" s="33"/>
      <c r="C6375" s="33"/>
      <c r="D6375" s="33"/>
      <c r="E6375" s="33"/>
      <c r="F6375" s="33"/>
      <c r="G6375" s="33"/>
      <c r="H6375" s="33"/>
      <c r="I6375" s="33"/>
      <c r="J6375" s="33"/>
      <c r="K6375" s="33"/>
      <c r="L6375" s="33"/>
      <c r="M6375" s="33"/>
      <c r="N6375" s="33"/>
      <c r="O6375" s="33"/>
      <c r="P6375" s="33"/>
      <c r="Q6375" s="33"/>
      <c r="R6375" s="33"/>
      <c r="S6375" s="33"/>
      <c r="T6375" s="33"/>
      <c r="U6375" s="33"/>
      <c r="V6375" s="33"/>
      <c r="W6375" s="33"/>
      <c r="X6375" s="33"/>
      <c r="Y6375" s="33"/>
      <c r="Z6375" s="33"/>
      <c r="AA6375" s="33"/>
      <c r="AB6375" s="33"/>
      <c r="AC6375" s="33"/>
      <c r="AD6375" s="33"/>
      <c r="AE6375" s="33"/>
      <c r="AF6375" s="33"/>
      <c r="AG6375" s="33"/>
      <c r="AH6375" s="33"/>
      <c r="AI6375" s="33"/>
      <c r="AJ6375" s="33"/>
      <c r="AK6375" s="33"/>
    </row>
    <row r="6376">
      <c r="A6376" s="33"/>
      <c r="B6376" s="33"/>
      <c r="C6376" s="33"/>
      <c r="D6376" s="33"/>
      <c r="E6376" s="33"/>
      <c r="F6376" s="33"/>
      <c r="G6376" s="33"/>
      <c r="H6376" s="33"/>
      <c r="I6376" s="33"/>
      <c r="J6376" s="33"/>
      <c r="K6376" s="33"/>
      <c r="L6376" s="33"/>
      <c r="M6376" s="33"/>
      <c r="N6376" s="33"/>
      <c r="O6376" s="33"/>
      <c r="P6376" s="33"/>
      <c r="Q6376" s="33"/>
      <c r="R6376" s="33"/>
      <c r="S6376" s="33"/>
      <c r="T6376" s="33"/>
      <c r="U6376" s="33"/>
      <c r="V6376" s="33"/>
      <c r="W6376" s="33"/>
      <c r="X6376" s="33"/>
      <c r="Y6376" s="33"/>
      <c r="Z6376" s="33"/>
      <c r="AA6376" s="33"/>
      <c r="AB6376" s="33"/>
      <c r="AC6376" s="33"/>
      <c r="AD6376" s="33"/>
      <c r="AE6376" s="33"/>
      <c r="AF6376" s="33"/>
      <c r="AG6376" s="33"/>
      <c r="AH6376" s="33"/>
      <c r="AI6376" s="33"/>
      <c r="AJ6376" s="33"/>
      <c r="AK6376" s="33"/>
    </row>
    <row r="6377">
      <c r="A6377" s="33"/>
      <c r="B6377" s="33"/>
      <c r="C6377" s="33"/>
      <c r="D6377" s="33"/>
      <c r="E6377" s="33"/>
      <c r="F6377" s="33"/>
      <c r="G6377" s="33"/>
      <c r="H6377" s="33"/>
      <c r="I6377" s="33"/>
      <c r="J6377" s="33"/>
      <c r="K6377" s="33"/>
      <c r="L6377" s="33"/>
      <c r="M6377" s="33"/>
      <c r="N6377" s="33"/>
      <c r="O6377" s="33"/>
      <c r="P6377" s="33"/>
      <c r="Q6377" s="33"/>
      <c r="R6377" s="33"/>
      <c r="S6377" s="33"/>
      <c r="T6377" s="33"/>
      <c r="U6377" s="33"/>
      <c r="V6377" s="33"/>
      <c r="W6377" s="33"/>
      <c r="X6377" s="33"/>
      <c r="Y6377" s="33"/>
      <c r="Z6377" s="33"/>
      <c r="AA6377" s="33"/>
      <c r="AB6377" s="33"/>
      <c r="AC6377" s="33"/>
      <c r="AD6377" s="33"/>
      <c r="AE6377" s="33"/>
      <c r="AF6377" s="33"/>
      <c r="AG6377" s="33"/>
      <c r="AH6377" s="33"/>
      <c r="AI6377" s="33"/>
      <c r="AJ6377" s="33"/>
      <c r="AK6377" s="33"/>
    </row>
    <row r="6378">
      <c r="A6378" s="33"/>
      <c r="B6378" s="33"/>
      <c r="C6378" s="33"/>
      <c r="D6378" s="33"/>
      <c r="E6378" s="33"/>
      <c r="F6378" s="33"/>
      <c r="G6378" s="33"/>
      <c r="H6378" s="33"/>
      <c r="I6378" s="33"/>
      <c r="J6378" s="33"/>
      <c r="K6378" s="33"/>
      <c r="L6378" s="33"/>
      <c r="M6378" s="33"/>
      <c r="N6378" s="33"/>
      <c r="O6378" s="33"/>
      <c r="P6378" s="33"/>
      <c r="Q6378" s="33"/>
      <c r="R6378" s="33"/>
      <c r="S6378" s="33"/>
      <c r="T6378" s="33"/>
      <c r="U6378" s="33"/>
      <c r="V6378" s="33"/>
      <c r="W6378" s="33"/>
      <c r="X6378" s="33"/>
      <c r="Y6378" s="33"/>
      <c r="Z6378" s="33"/>
      <c r="AA6378" s="33"/>
      <c r="AB6378" s="33"/>
      <c r="AC6378" s="33"/>
      <c r="AD6378" s="33"/>
      <c r="AE6378" s="33"/>
      <c r="AF6378" s="33"/>
      <c r="AG6378" s="33"/>
      <c r="AH6378" s="33"/>
      <c r="AI6378" s="33"/>
      <c r="AJ6378" s="33"/>
      <c r="AK6378" s="33"/>
    </row>
    <row r="6379">
      <c r="A6379" s="33"/>
      <c r="B6379" s="33"/>
      <c r="C6379" s="33"/>
      <c r="D6379" s="33"/>
      <c r="E6379" s="33"/>
      <c r="F6379" s="33"/>
      <c r="G6379" s="33"/>
      <c r="H6379" s="33"/>
      <c r="I6379" s="33"/>
      <c r="J6379" s="33"/>
      <c r="K6379" s="33"/>
      <c r="L6379" s="33"/>
      <c r="M6379" s="33"/>
      <c r="N6379" s="33"/>
      <c r="O6379" s="33"/>
      <c r="P6379" s="33"/>
      <c r="Q6379" s="33"/>
      <c r="R6379" s="33"/>
      <c r="S6379" s="33"/>
      <c r="T6379" s="33"/>
      <c r="U6379" s="33"/>
      <c r="V6379" s="33"/>
      <c r="W6379" s="33"/>
      <c r="X6379" s="33"/>
      <c r="Y6379" s="33"/>
      <c r="Z6379" s="33"/>
      <c r="AA6379" s="33"/>
      <c r="AB6379" s="33"/>
      <c r="AC6379" s="33"/>
      <c r="AD6379" s="33"/>
      <c r="AE6379" s="33"/>
      <c r="AF6379" s="33"/>
      <c r="AG6379" s="33"/>
      <c r="AH6379" s="33"/>
      <c r="AI6379" s="33"/>
      <c r="AJ6379" s="33"/>
      <c r="AK6379" s="33"/>
    </row>
    <row r="6380">
      <c r="A6380" s="33"/>
      <c r="B6380" s="33"/>
      <c r="C6380" s="33"/>
      <c r="D6380" s="33"/>
      <c r="E6380" s="33"/>
      <c r="F6380" s="33"/>
      <c r="G6380" s="33"/>
      <c r="H6380" s="33"/>
      <c r="I6380" s="33"/>
      <c r="J6380" s="33"/>
      <c r="K6380" s="33"/>
      <c r="L6380" s="33"/>
      <c r="M6380" s="33"/>
      <c r="N6380" s="33"/>
      <c r="O6380" s="33"/>
      <c r="P6380" s="33"/>
      <c r="Q6380" s="33"/>
      <c r="R6380" s="33"/>
      <c r="S6380" s="33"/>
      <c r="T6380" s="33"/>
      <c r="U6380" s="33"/>
      <c r="V6380" s="33"/>
      <c r="W6380" s="33"/>
      <c r="X6380" s="33"/>
      <c r="Y6380" s="33"/>
      <c r="Z6380" s="33"/>
      <c r="AA6380" s="33"/>
      <c r="AB6380" s="33"/>
      <c r="AC6380" s="33"/>
      <c r="AD6380" s="33"/>
      <c r="AE6380" s="33"/>
      <c r="AF6380" s="33"/>
      <c r="AG6380" s="33"/>
      <c r="AH6380" s="33"/>
      <c r="AI6380" s="33"/>
      <c r="AJ6380" s="33"/>
      <c r="AK6380" s="33"/>
    </row>
    <row r="6381">
      <c r="A6381" s="33"/>
      <c r="B6381" s="33"/>
      <c r="C6381" s="33"/>
      <c r="D6381" s="33"/>
      <c r="E6381" s="33"/>
      <c r="F6381" s="33"/>
      <c r="G6381" s="33"/>
      <c r="H6381" s="33"/>
      <c r="I6381" s="33"/>
      <c r="J6381" s="33"/>
      <c r="K6381" s="33"/>
      <c r="L6381" s="33"/>
      <c r="M6381" s="33"/>
      <c r="N6381" s="33"/>
      <c r="O6381" s="33"/>
      <c r="P6381" s="33"/>
      <c r="Q6381" s="33"/>
      <c r="R6381" s="33"/>
      <c r="S6381" s="33"/>
      <c r="T6381" s="33"/>
      <c r="U6381" s="33"/>
      <c r="V6381" s="33"/>
      <c r="W6381" s="33"/>
      <c r="X6381" s="33"/>
      <c r="Y6381" s="33"/>
      <c r="Z6381" s="33"/>
      <c r="AA6381" s="33"/>
      <c r="AB6381" s="33"/>
      <c r="AC6381" s="33"/>
      <c r="AD6381" s="33"/>
      <c r="AE6381" s="33"/>
      <c r="AF6381" s="33"/>
      <c r="AG6381" s="33"/>
      <c r="AH6381" s="33"/>
      <c r="AI6381" s="33"/>
      <c r="AJ6381" s="33"/>
      <c r="AK6381" s="33"/>
    </row>
    <row r="6382">
      <c r="A6382" s="33"/>
      <c r="B6382" s="33"/>
      <c r="C6382" s="33"/>
      <c r="D6382" s="33"/>
      <c r="E6382" s="33"/>
      <c r="F6382" s="33"/>
      <c r="G6382" s="33"/>
      <c r="H6382" s="33"/>
      <c r="I6382" s="33"/>
      <c r="J6382" s="33"/>
      <c r="K6382" s="33"/>
      <c r="L6382" s="33"/>
      <c r="M6382" s="33"/>
      <c r="N6382" s="33"/>
      <c r="O6382" s="33"/>
      <c r="P6382" s="33"/>
      <c r="Q6382" s="33"/>
      <c r="R6382" s="33"/>
      <c r="S6382" s="33"/>
      <c r="T6382" s="33"/>
      <c r="U6382" s="33"/>
      <c r="V6382" s="33"/>
      <c r="W6382" s="33"/>
      <c r="X6382" s="33"/>
      <c r="Y6382" s="33"/>
      <c r="Z6382" s="33"/>
      <c r="AA6382" s="33"/>
      <c r="AB6382" s="33"/>
      <c r="AC6382" s="33"/>
      <c r="AD6382" s="33"/>
      <c r="AE6382" s="33"/>
      <c r="AF6382" s="33"/>
      <c r="AG6382" s="33"/>
      <c r="AH6382" s="33"/>
      <c r="AI6382" s="33"/>
      <c r="AJ6382" s="33"/>
      <c r="AK6382" s="33"/>
    </row>
    <row r="6383">
      <c r="A6383" s="33"/>
      <c r="B6383" s="33"/>
      <c r="C6383" s="33"/>
      <c r="D6383" s="33"/>
      <c r="E6383" s="33"/>
      <c r="F6383" s="33"/>
      <c r="G6383" s="33"/>
      <c r="H6383" s="33"/>
      <c r="I6383" s="33"/>
      <c r="J6383" s="33"/>
      <c r="K6383" s="33"/>
      <c r="L6383" s="33"/>
      <c r="M6383" s="33"/>
      <c r="N6383" s="33"/>
      <c r="O6383" s="33"/>
      <c r="P6383" s="33"/>
      <c r="Q6383" s="33"/>
      <c r="R6383" s="33"/>
      <c r="S6383" s="33"/>
      <c r="T6383" s="33"/>
      <c r="U6383" s="33"/>
      <c r="V6383" s="33"/>
      <c r="W6383" s="33"/>
      <c r="X6383" s="33"/>
      <c r="Y6383" s="33"/>
      <c r="Z6383" s="33"/>
      <c r="AA6383" s="33"/>
      <c r="AB6383" s="33"/>
      <c r="AC6383" s="33"/>
      <c r="AD6383" s="33"/>
      <c r="AE6383" s="33"/>
      <c r="AF6383" s="33"/>
      <c r="AG6383" s="33"/>
      <c r="AH6383" s="33"/>
      <c r="AI6383" s="33"/>
      <c r="AJ6383" s="33"/>
      <c r="AK6383" s="33"/>
    </row>
    <row r="6384">
      <c r="A6384" s="33"/>
      <c r="B6384" s="33"/>
      <c r="C6384" s="33"/>
      <c r="D6384" s="33"/>
      <c r="E6384" s="33"/>
      <c r="F6384" s="33"/>
      <c r="G6384" s="33"/>
      <c r="H6384" s="33"/>
      <c r="I6384" s="33"/>
      <c r="J6384" s="33"/>
      <c r="K6384" s="33"/>
      <c r="L6384" s="33"/>
      <c r="M6384" s="33"/>
      <c r="N6384" s="33"/>
      <c r="O6384" s="33"/>
      <c r="P6384" s="33"/>
      <c r="Q6384" s="33"/>
      <c r="R6384" s="33"/>
      <c r="S6384" s="33"/>
      <c r="T6384" s="33"/>
      <c r="U6384" s="33"/>
      <c r="V6384" s="33"/>
      <c r="W6384" s="33"/>
      <c r="X6384" s="33"/>
      <c r="Y6384" s="33"/>
      <c r="Z6384" s="33"/>
      <c r="AA6384" s="33"/>
      <c r="AB6384" s="33"/>
      <c r="AC6384" s="33"/>
      <c r="AD6384" s="33"/>
      <c r="AE6384" s="33"/>
      <c r="AF6384" s="33"/>
      <c r="AG6384" s="33"/>
      <c r="AH6384" s="33"/>
      <c r="AI6384" s="33"/>
      <c r="AJ6384" s="33"/>
      <c r="AK6384" s="33"/>
    </row>
    <row r="6385">
      <c r="A6385" s="33"/>
      <c r="B6385" s="33"/>
      <c r="C6385" s="33"/>
      <c r="D6385" s="33"/>
      <c r="E6385" s="33"/>
      <c r="F6385" s="33"/>
      <c r="G6385" s="33"/>
      <c r="H6385" s="33"/>
      <c r="I6385" s="33"/>
      <c r="J6385" s="33"/>
      <c r="K6385" s="33"/>
      <c r="L6385" s="33"/>
      <c r="M6385" s="33"/>
      <c r="N6385" s="33"/>
      <c r="O6385" s="33"/>
      <c r="P6385" s="33"/>
      <c r="Q6385" s="33"/>
      <c r="R6385" s="33"/>
      <c r="S6385" s="33"/>
      <c r="T6385" s="33"/>
      <c r="U6385" s="33"/>
      <c r="V6385" s="33"/>
      <c r="W6385" s="33"/>
      <c r="X6385" s="33"/>
      <c r="Y6385" s="33"/>
      <c r="Z6385" s="33"/>
      <c r="AA6385" s="33"/>
      <c r="AB6385" s="33"/>
      <c r="AC6385" s="33"/>
      <c r="AD6385" s="33"/>
      <c r="AE6385" s="33"/>
      <c r="AF6385" s="33"/>
      <c r="AG6385" s="33"/>
      <c r="AH6385" s="33"/>
      <c r="AI6385" s="33"/>
      <c r="AJ6385" s="33"/>
      <c r="AK6385" s="33"/>
    </row>
    <row r="6386">
      <c r="A6386" s="33"/>
      <c r="B6386" s="33"/>
      <c r="C6386" s="33"/>
      <c r="D6386" s="33"/>
      <c r="E6386" s="33"/>
      <c r="F6386" s="33"/>
      <c r="G6386" s="33"/>
      <c r="H6386" s="33"/>
      <c r="I6386" s="33"/>
      <c r="J6386" s="33"/>
      <c r="K6386" s="33"/>
      <c r="L6386" s="33"/>
      <c r="M6386" s="33"/>
      <c r="N6386" s="33"/>
      <c r="O6386" s="33"/>
      <c r="P6386" s="33"/>
      <c r="Q6386" s="33"/>
      <c r="R6386" s="33"/>
      <c r="S6386" s="33"/>
      <c r="T6386" s="33"/>
      <c r="U6386" s="33"/>
      <c r="V6386" s="33"/>
      <c r="W6386" s="33"/>
      <c r="X6386" s="33"/>
      <c r="Y6386" s="33"/>
      <c r="Z6386" s="33"/>
      <c r="AA6386" s="33"/>
      <c r="AB6386" s="33"/>
      <c r="AC6386" s="33"/>
      <c r="AD6386" s="33"/>
      <c r="AE6386" s="33"/>
      <c r="AF6386" s="33"/>
      <c r="AG6386" s="33"/>
      <c r="AH6386" s="33"/>
      <c r="AI6386" s="33"/>
      <c r="AJ6386" s="33"/>
      <c r="AK6386" s="33"/>
    </row>
    <row r="6387">
      <c r="A6387" s="33"/>
      <c r="B6387" s="33"/>
      <c r="C6387" s="33"/>
      <c r="D6387" s="33"/>
      <c r="E6387" s="33"/>
      <c r="F6387" s="33"/>
      <c r="G6387" s="33"/>
      <c r="H6387" s="33"/>
      <c r="I6387" s="33"/>
      <c r="J6387" s="33"/>
      <c r="K6387" s="33"/>
      <c r="L6387" s="33"/>
      <c r="M6387" s="33"/>
      <c r="N6387" s="33"/>
      <c r="O6387" s="33"/>
      <c r="P6387" s="33"/>
      <c r="Q6387" s="33"/>
      <c r="R6387" s="33"/>
      <c r="S6387" s="33"/>
      <c r="T6387" s="33"/>
      <c r="U6387" s="33"/>
      <c r="V6387" s="33"/>
      <c r="W6387" s="33"/>
      <c r="X6387" s="33"/>
      <c r="Y6387" s="33"/>
      <c r="Z6387" s="33"/>
      <c r="AA6387" s="33"/>
      <c r="AB6387" s="33"/>
      <c r="AC6387" s="33"/>
      <c r="AD6387" s="33"/>
      <c r="AE6387" s="33"/>
      <c r="AF6387" s="33"/>
      <c r="AG6387" s="33"/>
      <c r="AH6387" s="33"/>
      <c r="AI6387" s="33"/>
      <c r="AJ6387" s="33"/>
      <c r="AK6387" s="33"/>
    </row>
    <row r="6388">
      <c r="A6388" s="33"/>
      <c r="B6388" s="33"/>
      <c r="C6388" s="33"/>
      <c r="D6388" s="33"/>
      <c r="E6388" s="33"/>
      <c r="F6388" s="33"/>
      <c r="G6388" s="33"/>
      <c r="H6388" s="33"/>
      <c r="I6388" s="33"/>
      <c r="J6388" s="33"/>
      <c r="K6388" s="33"/>
      <c r="L6388" s="33"/>
      <c r="M6388" s="33"/>
      <c r="N6388" s="33"/>
      <c r="O6388" s="33"/>
      <c r="P6388" s="33"/>
      <c r="Q6388" s="33"/>
      <c r="R6388" s="33"/>
      <c r="S6388" s="33"/>
      <c r="T6388" s="33"/>
      <c r="U6388" s="33"/>
      <c r="V6388" s="33"/>
      <c r="W6388" s="33"/>
      <c r="X6388" s="33"/>
      <c r="Y6388" s="33"/>
      <c r="Z6388" s="33"/>
      <c r="AA6388" s="33"/>
      <c r="AB6388" s="33"/>
      <c r="AC6388" s="33"/>
      <c r="AD6388" s="33"/>
      <c r="AE6388" s="33"/>
      <c r="AF6388" s="33"/>
      <c r="AG6388" s="33"/>
      <c r="AH6388" s="33"/>
      <c r="AI6388" s="33"/>
      <c r="AJ6388" s="33"/>
      <c r="AK6388" s="33"/>
    </row>
    <row r="6389">
      <c r="A6389" s="33"/>
      <c r="B6389" s="33"/>
      <c r="C6389" s="33"/>
      <c r="D6389" s="33"/>
      <c r="E6389" s="33"/>
      <c r="F6389" s="33"/>
      <c r="G6389" s="33"/>
      <c r="H6389" s="33"/>
      <c r="I6389" s="33"/>
      <c r="J6389" s="33"/>
      <c r="K6389" s="33"/>
      <c r="L6389" s="33"/>
      <c r="M6389" s="33"/>
      <c r="N6389" s="33"/>
      <c r="O6389" s="33"/>
      <c r="P6389" s="33"/>
      <c r="Q6389" s="33"/>
      <c r="R6389" s="33"/>
      <c r="S6389" s="33"/>
      <c r="T6389" s="33"/>
      <c r="U6389" s="33"/>
      <c r="V6389" s="33"/>
      <c r="W6389" s="33"/>
      <c r="X6389" s="33"/>
      <c r="Y6389" s="33"/>
      <c r="Z6389" s="33"/>
      <c r="AA6389" s="33"/>
      <c r="AB6389" s="33"/>
      <c r="AC6389" s="33"/>
      <c r="AD6389" s="33"/>
      <c r="AE6389" s="33"/>
      <c r="AF6389" s="33"/>
      <c r="AG6389" s="33"/>
      <c r="AH6389" s="33"/>
      <c r="AI6389" s="33"/>
      <c r="AJ6389" s="33"/>
      <c r="AK6389" s="33"/>
    </row>
    <row r="6390">
      <c r="A6390" s="33"/>
      <c r="B6390" s="33"/>
      <c r="C6390" s="33"/>
      <c r="D6390" s="33"/>
      <c r="E6390" s="33"/>
      <c r="F6390" s="33"/>
      <c r="G6390" s="33"/>
      <c r="H6390" s="33"/>
      <c r="I6390" s="33"/>
      <c r="J6390" s="33"/>
      <c r="K6390" s="33"/>
      <c r="L6390" s="33"/>
      <c r="M6390" s="33"/>
      <c r="N6390" s="33"/>
      <c r="O6390" s="33"/>
      <c r="P6390" s="33"/>
      <c r="Q6390" s="33"/>
      <c r="R6390" s="33"/>
      <c r="S6390" s="33"/>
      <c r="T6390" s="33"/>
      <c r="U6390" s="33"/>
      <c r="V6390" s="33"/>
      <c r="W6390" s="33"/>
      <c r="X6390" s="33"/>
      <c r="Y6390" s="33"/>
      <c r="Z6390" s="33"/>
      <c r="AA6390" s="33"/>
      <c r="AB6390" s="33"/>
      <c r="AC6390" s="33"/>
      <c r="AD6390" s="33"/>
      <c r="AE6390" s="33"/>
      <c r="AF6390" s="33"/>
      <c r="AG6390" s="33"/>
      <c r="AH6390" s="33"/>
      <c r="AI6390" s="33"/>
      <c r="AJ6390" s="33"/>
      <c r="AK6390" s="33"/>
    </row>
    <row r="6391">
      <c r="A6391" s="33"/>
      <c r="B6391" s="33"/>
      <c r="C6391" s="33"/>
      <c r="D6391" s="33"/>
      <c r="E6391" s="33"/>
      <c r="F6391" s="33"/>
      <c r="G6391" s="33"/>
      <c r="H6391" s="33"/>
      <c r="I6391" s="33"/>
      <c r="J6391" s="33"/>
      <c r="K6391" s="33"/>
      <c r="L6391" s="33"/>
      <c r="M6391" s="33"/>
      <c r="N6391" s="33"/>
      <c r="O6391" s="33"/>
      <c r="P6391" s="33"/>
      <c r="Q6391" s="33"/>
      <c r="R6391" s="33"/>
      <c r="S6391" s="33"/>
      <c r="T6391" s="33"/>
      <c r="U6391" s="33"/>
      <c r="V6391" s="33"/>
      <c r="W6391" s="33"/>
      <c r="X6391" s="33"/>
      <c r="Y6391" s="33"/>
      <c r="Z6391" s="33"/>
      <c r="AA6391" s="33"/>
      <c r="AB6391" s="33"/>
      <c r="AC6391" s="33"/>
      <c r="AD6391" s="33"/>
      <c r="AE6391" s="33"/>
      <c r="AF6391" s="33"/>
      <c r="AG6391" s="33"/>
      <c r="AH6391" s="33"/>
      <c r="AI6391" s="33"/>
      <c r="AJ6391" s="33"/>
      <c r="AK6391" s="33"/>
    </row>
    <row r="6392">
      <c r="A6392" s="33"/>
      <c r="B6392" s="33"/>
      <c r="C6392" s="33"/>
      <c r="D6392" s="33"/>
      <c r="E6392" s="33"/>
      <c r="F6392" s="33"/>
      <c r="G6392" s="33"/>
      <c r="H6392" s="33"/>
      <c r="I6392" s="33"/>
      <c r="J6392" s="33"/>
      <c r="K6392" s="33"/>
      <c r="L6392" s="33"/>
      <c r="M6392" s="33"/>
      <c r="N6392" s="33"/>
      <c r="O6392" s="33"/>
      <c r="P6392" s="33"/>
      <c r="Q6392" s="33"/>
      <c r="R6392" s="33"/>
      <c r="S6392" s="33"/>
      <c r="T6392" s="33"/>
      <c r="U6392" s="33"/>
      <c r="V6392" s="33"/>
      <c r="W6392" s="33"/>
      <c r="X6392" s="33"/>
      <c r="Y6392" s="33"/>
      <c r="Z6392" s="33"/>
      <c r="AA6392" s="33"/>
      <c r="AB6392" s="33"/>
      <c r="AC6392" s="33"/>
      <c r="AD6392" s="33"/>
      <c r="AE6392" s="33"/>
      <c r="AF6392" s="33"/>
      <c r="AG6392" s="33"/>
      <c r="AH6392" s="33"/>
      <c r="AI6392" s="33"/>
      <c r="AJ6392" s="33"/>
      <c r="AK6392" s="33"/>
    </row>
    <row r="6393">
      <c r="A6393" s="33"/>
      <c r="B6393" s="33"/>
      <c r="C6393" s="33"/>
      <c r="D6393" s="33"/>
      <c r="E6393" s="33"/>
      <c r="F6393" s="33"/>
      <c r="G6393" s="33"/>
      <c r="H6393" s="33"/>
      <c r="I6393" s="33"/>
      <c r="J6393" s="33"/>
      <c r="K6393" s="33"/>
      <c r="L6393" s="33"/>
      <c r="M6393" s="33"/>
      <c r="N6393" s="33"/>
      <c r="O6393" s="33"/>
      <c r="P6393" s="33"/>
      <c r="Q6393" s="33"/>
      <c r="R6393" s="33"/>
      <c r="S6393" s="33"/>
      <c r="T6393" s="33"/>
      <c r="U6393" s="33"/>
      <c r="V6393" s="33"/>
      <c r="W6393" s="33"/>
      <c r="X6393" s="33"/>
      <c r="Y6393" s="33"/>
      <c r="Z6393" s="33"/>
      <c r="AA6393" s="33"/>
      <c r="AB6393" s="33"/>
      <c r="AC6393" s="33"/>
      <c r="AD6393" s="33"/>
      <c r="AE6393" s="33"/>
      <c r="AF6393" s="33"/>
      <c r="AG6393" s="33"/>
      <c r="AH6393" s="33"/>
      <c r="AI6393" s="33"/>
      <c r="AJ6393" s="33"/>
      <c r="AK6393" s="33"/>
    </row>
    <row r="6394">
      <c r="A6394" s="33"/>
      <c r="B6394" s="33"/>
      <c r="C6394" s="33"/>
      <c r="D6394" s="33"/>
      <c r="E6394" s="33"/>
      <c r="F6394" s="33"/>
      <c r="G6394" s="33"/>
      <c r="H6394" s="33"/>
      <c r="I6394" s="33"/>
      <c r="J6394" s="33"/>
      <c r="K6394" s="33"/>
      <c r="L6394" s="33"/>
      <c r="M6394" s="33"/>
      <c r="N6394" s="33"/>
      <c r="O6394" s="33"/>
      <c r="P6394" s="33"/>
      <c r="Q6394" s="33"/>
      <c r="R6394" s="33"/>
      <c r="S6394" s="33"/>
      <c r="T6394" s="33"/>
      <c r="U6394" s="33"/>
      <c r="V6394" s="33"/>
      <c r="W6394" s="33"/>
      <c r="X6394" s="33"/>
      <c r="Y6394" s="33"/>
      <c r="Z6394" s="33"/>
      <c r="AA6394" s="33"/>
      <c r="AB6394" s="33"/>
      <c r="AC6394" s="33"/>
      <c r="AD6394" s="33"/>
      <c r="AE6394" s="33"/>
      <c r="AF6394" s="33"/>
      <c r="AG6394" s="33"/>
      <c r="AH6394" s="33"/>
      <c r="AI6394" s="33"/>
      <c r="AJ6394" s="33"/>
      <c r="AK6394" s="33"/>
    </row>
    <row r="6395">
      <c r="A6395" s="33"/>
      <c r="B6395" s="33"/>
      <c r="C6395" s="33"/>
      <c r="D6395" s="33"/>
      <c r="E6395" s="33"/>
      <c r="F6395" s="33"/>
      <c r="G6395" s="33"/>
      <c r="H6395" s="33"/>
      <c r="I6395" s="33"/>
      <c r="J6395" s="33"/>
      <c r="K6395" s="33"/>
      <c r="L6395" s="33"/>
      <c r="M6395" s="33"/>
      <c r="N6395" s="33"/>
      <c r="O6395" s="33"/>
      <c r="P6395" s="33"/>
      <c r="Q6395" s="33"/>
      <c r="R6395" s="33"/>
      <c r="S6395" s="33"/>
      <c r="T6395" s="33"/>
      <c r="U6395" s="33"/>
      <c r="V6395" s="33"/>
      <c r="W6395" s="33"/>
      <c r="X6395" s="33"/>
      <c r="Y6395" s="33"/>
      <c r="Z6395" s="33"/>
      <c r="AA6395" s="33"/>
      <c r="AB6395" s="33"/>
      <c r="AC6395" s="33"/>
      <c r="AD6395" s="33"/>
      <c r="AE6395" s="33"/>
      <c r="AF6395" s="33"/>
      <c r="AG6395" s="33"/>
      <c r="AH6395" s="33"/>
      <c r="AI6395" s="33"/>
      <c r="AJ6395" s="33"/>
      <c r="AK6395" s="33"/>
    </row>
    <row r="6396">
      <c r="A6396" s="33"/>
      <c r="B6396" s="33"/>
      <c r="C6396" s="33"/>
      <c r="D6396" s="33"/>
      <c r="E6396" s="33"/>
      <c r="F6396" s="33"/>
      <c r="G6396" s="33"/>
      <c r="H6396" s="33"/>
      <c r="I6396" s="33"/>
      <c r="J6396" s="33"/>
      <c r="K6396" s="33"/>
      <c r="L6396" s="33"/>
      <c r="M6396" s="33"/>
      <c r="N6396" s="33"/>
      <c r="O6396" s="33"/>
      <c r="P6396" s="33"/>
      <c r="Q6396" s="33"/>
      <c r="R6396" s="33"/>
      <c r="S6396" s="33"/>
      <c r="T6396" s="33"/>
      <c r="U6396" s="33"/>
      <c r="V6396" s="33"/>
      <c r="W6396" s="33"/>
      <c r="X6396" s="33"/>
      <c r="Y6396" s="33"/>
      <c r="Z6396" s="33"/>
      <c r="AA6396" s="33"/>
      <c r="AB6396" s="33"/>
      <c r="AC6396" s="33"/>
      <c r="AD6396" s="33"/>
      <c r="AE6396" s="33"/>
      <c r="AF6396" s="33"/>
      <c r="AG6396" s="33"/>
      <c r="AH6396" s="33"/>
      <c r="AI6396" s="33"/>
      <c r="AJ6396" s="33"/>
      <c r="AK6396" s="33"/>
    </row>
    <row r="6397">
      <c r="A6397" s="33"/>
      <c r="B6397" s="33"/>
      <c r="C6397" s="33"/>
      <c r="D6397" s="33"/>
      <c r="E6397" s="33"/>
      <c r="F6397" s="33"/>
      <c r="G6397" s="33"/>
      <c r="H6397" s="33"/>
      <c r="I6397" s="33"/>
      <c r="J6397" s="33"/>
      <c r="K6397" s="33"/>
      <c r="L6397" s="33"/>
      <c r="M6397" s="33"/>
      <c r="N6397" s="33"/>
      <c r="O6397" s="33"/>
      <c r="P6397" s="33"/>
      <c r="Q6397" s="33"/>
      <c r="R6397" s="33"/>
      <c r="S6397" s="33"/>
      <c r="T6397" s="33"/>
      <c r="U6397" s="33"/>
      <c r="V6397" s="33"/>
      <c r="W6397" s="33"/>
      <c r="X6397" s="33"/>
      <c r="Y6397" s="33"/>
      <c r="Z6397" s="33"/>
      <c r="AA6397" s="33"/>
      <c r="AB6397" s="33"/>
      <c r="AC6397" s="33"/>
      <c r="AD6397" s="33"/>
      <c r="AE6397" s="33"/>
      <c r="AF6397" s="33"/>
      <c r="AG6397" s="33"/>
      <c r="AH6397" s="33"/>
      <c r="AI6397" s="33"/>
      <c r="AJ6397" s="33"/>
      <c r="AK6397" s="33"/>
    </row>
    <row r="6398">
      <c r="A6398" s="33"/>
      <c r="B6398" s="33"/>
      <c r="C6398" s="33"/>
      <c r="D6398" s="33"/>
      <c r="E6398" s="33"/>
      <c r="F6398" s="33"/>
      <c r="G6398" s="33"/>
      <c r="H6398" s="33"/>
      <c r="I6398" s="33"/>
      <c r="J6398" s="33"/>
      <c r="K6398" s="33"/>
      <c r="L6398" s="33"/>
      <c r="M6398" s="33"/>
      <c r="N6398" s="33"/>
      <c r="O6398" s="33"/>
      <c r="P6398" s="33"/>
      <c r="Q6398" s="33"/>
      <c r="R6398" s="33"/>
      <c r="S6398" s="33"/>
      <c r="T6398" s="33"/>
      <c r="U6398" s="33"/>
      <c r="V6398" s="33"/>
      <c r="W6398" s="33"/>
      <c r="X6398" s="33"/>
      <c r="Y6398" s="33"/>
      <c r="Z6398" s="33"/>
      <c r="AA6398" s="33"/>
      <c r="AB6398" s="33"/>
      <c r="AC6398" s="33"/>
      <c r="AD6398" s="33"/>
      <c r="AE6398" s="33"/>
      <c r="AF6398" s="33"/>
      <c r="AG6398" s="33"/>
      <c r="AH6398" s="33"/>
      <c r="AI6398" s="33"/>
      <c r="AJ6398" s="33"/>
      <c r="AK6398" s="33"/>
    </row>
    <row r="6399">
      <c r="A6399" s="33"/>
      <c r="B6399" s="33"/>
      <c r="C6399" s="33"/>
      <c r="D6399" s="33"/>
      <c r="E6399" s="33"/>
      <c r="F6399" s="33"/>
      <c r="G6399" s="33"/>
      <c r="H6399" s="33"/>
      <c r="I6399" s="33"/>
      <c r="J6399" s="33"/>
      <c r="K6399" s="33"/>
      <c r="L6399" s="33"/>
      <c r="M6399" s="33"/>
      <c r="N6399" s="33"/>
      <c r="O6399" s="33"/>
      <c r="P6399" s="33"/>
      <c r="Q6399" s="33"/>
      <c r="R6399" s="33"/>
      <c r="S6399" s="33"/>
      <c r="T6399" s="33"/>
      <c r="U6399" s="33"/>
      <c r="V6399" s="33"/>
      <c r="W6399" s="33"/>
      <c r="X6399" s="33"/>
      <c r="Y6399" s="33"/>
      <c r="Z6399" s="33"/>
      <c r="AA6399" s="33"/>
      <c r="AB6399" s="33"/>
      <c r="AC6399" s="33"/>
      <c r="AD6399" s="33"/>
      <c r="AE6399" s="33"/>
      <c r="AF6399" s="33"/>
      <c r="AG6399" s="33"/>
      <c r="AH6399" s="33"/>
      <c r="AI6399" s="33"/>
      <c r="AJ6399" s="33"/>
      <c r="AK6399" s="33"/>
    </row>
    <row r="6400">
      <c r="A6400" s="33"/>
      <c r="B6400" s="33"/>
      <c r="C6400" s="33"/>
      <c r="D6400" s="33"/>
      <c r="E6400" s="33"/>
      <c r="F6400" s="33"/>
      <c r="G6400" s="33"/>
      <c r="H6400" s="33"/>
      <c r="I6400" s="33"/>
      <c r="J6400" s="33"/>
      <c r="K6400" s="33"/>
      <c r="L6400" s="33"/>
      <c r="M6400" s="33"/>
      <c r="N6400" s="33"/>
      <c r="O6400" s="33"/>
      <c r="P6400" s="33"/>
      <c r="Q6400" s="33"/>
      <c r="R6400" s="33"/>
      <c r="S6400" s="33"/>
      <c r="T6400" s="33"/>
      <c r="U6400" s="33"/>
      <c r="V6400" s="33"/>
      <c r="W6400" s="33"/>
      <c r="X6400" s="33"/>
      <c r="Y6400" s="33"/>
      <c r="Z6400" s="33"/>
      <c r="AA6400" s="33"/>
      <c r="AB6400" s="33"/>
      <c r="AC6400" s="33"/>
      <c r="AD6400" s="33"/>
      <c r="AE6400" s="33"/>
      <c r="AF6400" s="33"/>
      <c r="AG6400" s="33"/>
      <c r="AH6400" s="33"/>
      <c r="AI6400" s="33"/>
      <c r="AJ6400" s="33"/>
      <c r="AK6400" s="33"/>
    </row>
    <row r="6401">
      <c r="A6401" s="33"/>
      <c r="B6401" s="33"/>
      <c r="C6401" s="33"/>
      <c r="D6401" s="33"/>
      <c r="E6401" s="33"/>
      <c r="F6401" s="33"/>
      <c r="G6401" s="33"/>
      <c r="H6401" s="33"/>
      <c r="I6401" s="33"/>
      <c r="J6401" s="33"/>
      <c r="K6401" s="33"/>
      <c r="L6401" s="33"/>
      <c r="M6401" s="33"/>
      <c r="N6401" s="33"/>
      <c r="O6401" s="33"/>
      <c r="P6401" s="33"/>
      <c r="Q6401" s="33"/>
      <c r="R6401" s="33"/>
      <c r="S6401" s="33"/>
      <c r="T6401" s="33"/>
      <c r="U6401" s="33"/>
      <c r="V6401" s="33"/>
      <c r="W6401" s="33"/>
      <c r="X6401" s="33"/>
      <c r="Y6401" s="33"/>
      <c r="Z6401" s="33"/>
      <c r="AA6401" s="33"/>
      <c r="AB6401" s="33"/>
      <c r="AC6401" s="33"/>
      <c r="AD6401" s="33"/>
      <c r="AE6401" s="33"/>
      <c r="AF6401" s="33"/>
      <c r="AG6401" s="33"/>
      <c r="AH6401" s="33"/>
      <c r="AI6401" s="33"/>
      <c r="AJ6401" s="33"/>
      <c r="AK6401" s="33"/>
    </row>
    <row r="6402">
      <c r="A6402" s="33"/>
      <c r="B6402" s="33"/>
      <c r="C6402" s="33"/>
      <c r="D6402" s="33"/>
      <c r="E6402" s="33"/>
      <c r="F6402" s="33"/>
      <c r="G6402" s="33"/>
      <c r="H6402" s="33"/>
      <c r="I6402" s="33"/>
      <c r="J6402" s="33"/>
      <c r="K6402" s="33"/>
      <c r="L6402" s="33"/>
      <c r="M6402" s="33"/>
      <c r="N6402" s="33"/>
      <c r="O6402" s="33"/>
      <c r="P6402" s="33"/>
      <c r="Q6402" s="33"/>
      <c r="R6402" s="33"/>
      <c r="S6402" s="33"/>
      <c r="T6402" s="33"/>
      <c r="U6402" s="33"/>
      <c r="V6402" s="33"/>
      <c r="W6402" s="33"/>
      <c r="X6402" s="33"/>
      <c r="Y6402" s="33"/>
      <c r="Z6402" s="33"/>
      <c r="AA6402" s="33"/>
      <c r="AB6402" s="33"/>
      <c r="AC6402" s="33"/>
      <c r="AD6402" s="33"/>
      <c r="AE6402" s="33"/>
      <c r="AF6402" s="33"/>
      <c r="AG6402" s="33"/>
      <c r="AH6402" s="33"/>
      <c r="AI6402" s="33"/>
      <c r="AJ6402" s="33"/>
      <c r="AK6402" s="33"/>
    </row>
    <row r="6403">
      <c r="A6403" s="33"/>
      <c r="B6403" s="33"/>
      <c r="C6403" s="33"/>
      <c r="D6403" s="33"/>
      <c r="E6403" s="33"/>
      <c r="F6403" s="33"/>
      <c r="G6403" s="33"/>
      <c r="H6403" s="33"/>
      <c r="I6403" s="33"/>
      <c r="J6403" s="33"/>
      <c r="K6403" s="33"/>
      <c r="L6403" s="33"/>
      <c r="M6403" s="33"/>
      <c r="N6403" s="33"/>
      <c r="O6403" s="33"/>
      <c r="P6403" s="33"/>
      <c r="Q6403" s="33"/>
      <c r="R6403" s="33"/>
      <c r="S6403" s="33"/>
      <c r="T6403" s="33"/>
      <c r="U6403" s="33"/>
      <c r="V6403" s="33"/>
      <c r="W6403" s="33"/>
      <c r="X6403" s="33"/>
      <c r="Y6403" s="33"/>
      <c r="Z6403" s="33"/>
      <c r="AA6403" s="33"/>
      <c r="AB6403" s="33"/>
      <c r="AC6403" s="33"/>
      <c r="AD6403" s="33"/>
      <c r="AE6403" s="33"/>
      <c r="AF6403" s="33"/>
      <c r="AG6403" s="33"/>
      <c r="AH6403" s="33"/>
      <c r="AI6403" s="33"/>
      <c r="AJ6403" s="33"/>
      <c r="AK6403" s="33"/>
    </row>
    <row r="6404">
      <c r="A6404" s="33"/>
      <c r="B6404" s="33"/>
      <c r="C6404" s="33"/>
      <c r="D6404" s="33"/>
      <c r="E6404" s="33"/>
      <c r="F6404" s="33"/>
      <c r="G6404" s="33"/>
      <c r="H6404" s="33"/>
      <c r="I6404" s="33"/>
      <c r="J6404" s="33"/>
      <c r="K6404" s="33"/>
      <c r="L6404" s="33"/>
      <c r="M6404" s="33"/>
      <c r="N6404" s="33"/>
      <c r="O6404" s="33"/>
      <c r="P6404" s="33"/>
      <c r="Q6404" s="33"/>
      <c r="R6404" s="33"/>
      <c r="S6404" s="33"/>
      <c r="T6404" s="33"/>
      <c r="U6404" s="33"/>
      <c r="V6404" s="33"/>
      <c r="W6404" s="33"/>
      <c r="X6404" s="33"/>
      <c r="Y6404" s="33"/>
      <c r="Z6404" s="33"/>
      <c r="AA6404" s="33"/>
      <c r="AB6404" s="33"/>
      <c r="AC6404" s="33"/>
      <c r="AD6404" s="33"/>
      <c r="AE6404" s="33"/>
      <c r="AF6404" s="33"/>
      <c r="AG6404" s="33"/>
      <c r="AH6404" s="33"/>
      <c r="AI6404" s="33"/>
      <c r="AJ6404" s="33"/>
      <c r="AK6404" s="33"/>
    </row>
    <row r="6405">
      <c r="A6405" s="33"/>
      <c r="B6405" s="33"/>
      <c r="C6405" s="33"/>
      <c r="D6405" s="33"/>
      <c r="E6405" s="33"/>
      <c r="F6405" s="33"/>
      <c r="G6405" s="33"/>
      <c r="H6405" s="33"/>
      <c r="I6405" s="33"/>
      <c r="J6405" s="33"/>
      <c r="K6405" s="33"/>
      <c r="L6405" s="33"/>
      <c r="M6405" s="33"/>
      <c r="N6405" s="33"/>
      <c r="O6405" s="33"/>
      <c r="P6405" s="33"/>
      <c r="Q6405" s="33"/>
      <c r="R6405" s="33"/>
      <c r="S6405" s="33"/>
      <c r="T6405" s="33"/>
      <c r="U6405" s="33"/>
      <c r="V6405" s="33"/>
      <c r="W6405" s="33"/>
      <c r="X6405" s="33"/>
      <c r="Y6405" s="33"/>
      <c r="Z6405" s="33"/>
      <c r="AA6405" s="33"/>
      <c r="AB6405" s="33"/>
      <c r="AC6405" s="33"/>
      <c r="AD6405" s="33"/>
      <c r="AE6405" s="33"/>
      <c r="AF6405" s="33"/>
      <c r="AG6405" s="33"/>
      <c r="AH6405" s="33"/>
      <c r="AI6405" s="33"/>
      <c r="AJ6405" s="33"/>
      <c r="AK6405" s="33"/>
    </row>
    <row r="6406">
      <c r="A6406" s="33"/>
      <c r="B6406" s="33"/>
      <c r="C6406" s="33"/>
      <c r="D6406" s="33"/>
      <c r="E6406" s="33"/>
      <c r="F6406" s="33"/>
      <c r="G6406" s="33"/>
      <c r="H6406" s="33"/>
      <c r="I6406" s="33"/>
      <c r="J6406" s="33"/>
      <c r="K6406" s="33"/>
      <c r="L6406" s="33"/>
      <c r="M6406" s="33"/>
      <c r="N6406" s="33"/>
      <c r="O6406" s="33"/>
      <c r="P6406" s="33"/>
      <c r="Q6406" s="33"/>
      <c r="R6406" s="33"/>
      <c r="S6406" s="33"/>
      <c r="T6406" s="33"/>
      <c r="U6406" s="33"/>
      <c r="V6406" s="33"/>
      <c r="W6406" s="33"/>
      <c r="X6406" s="33"/>
      <c r="Y6406" s="33"/>
      <c r="Z6406" s="33"/>
      <c r="AA6406" s="33"/>
      <c r="AB6406" s="33"/>
      <c r="AC6406" s="33"/>
      <c r="AD6406" s="33"/>
      <c r="AE6406" s="33"/>
      <c r="AF6406" s="33"/>
      <c r="AG6406" s="33"/>
      <c r="AH6406" s="33"/>
      <c r="AI6406" s="33"/>
      <c r="AJ6406" s="33"/>
      <c r="AK6406" s="33"/>
    </row>
    <row r="6407">
      <c r="A6407" s="33"/>
      <c r="B6407" s="33"/>
      <c r="C6407" s="33"/>
      <c r="D6407" s="33"/>
      <c r="E6407" s="33"/>
      <c r="F6407" s="33"/>
      <c r="G6407" s="33"/>
      <c r="H6407" s="33"/>
      <c r="I6407" s="33"/>
      <c r="J6407" s="33"/>
      <c r="K6407" s="33"/>
      <c r="L6407" s="33"/>
      <c r="M6407" s="33"/>
      <c r="N6407" s="33"/>
      <c r="O6407" s="33"/>
      <c r="P6407" s="33"/>
      <c r="Q6407" s="33"/>
      <c r="R6407" s="33"/>
      <c r="S6407" s="33"/>
      <c r="T6407" s="33"/>
      <c r="U6407" s="33"/>
      <c r="V6407" s="33"/>
      <c r="W6407" s="33"/>
      <c r="X6407" s="33"/>
      <c r="Y6407" s="33"/>
      <c r="Z6407" s="33"/>
      <c r="AA6407" s="33"/>
      <c r="AB6407" s="33"/>
      <c r="AC6407" s="33"/>
      <c r="AD6407" s="33"/>
      <c r="AE6407" s="33"/>
      <c r="AF6407" s="33"/>
      <c r="AG6407" s="33"/>
      <c r="AH6407" s="33"/>
      <c r="AI6407" s="33"/>
      <c r="AJ6407" s="33"/>
      <c r="AK6407" s="33"/>
    </row>
    <row r="6408">
      <c r="A6408" s="33"/>
      <c r="B6408" s="33"/>
      <c r="C6408" s="33"/>
      <c r="D6408" s="33"/>
      <c r="E6408" s="33"/>
      <c r="F6408" s="33"/>
      <c r="G6408" s="33"/>
      <c r="H6408" s="33"/>
      <c r="I6408" s="33"/>
      <c r="J6408" s="33"/>
      <c r="K6408" s="33"/>
      <c r="L6408" s="33"/>
      <c r="M6408" s="33"/>
      <c r="N6408" s="33"/>
      <c r="O6408" s="33"/>
      <c r="P6408" s="33"/>
      <c r="Q6408" s="33"/>
      <c r="R6408" s="33"/>
      <c r="S6408" s="33"/>
      <c r="T6408" s="33"/>
      <c r="U6408" s="33"/>
      <c r="V6408" s="33"/>
      <c r="W6408" s="33"/>
      <c r="X6408" s="33"/>
      <c r="Y6408" s="33"/>
      <c r="Z6408" s="33"/>
      <c r="AA6408" s="33"/>
      <c r="AB6408" s="33"/>
      <c r="AC6408" s="33"/>
      <c r="AD6408" s="33"/>
      <c r="AE6408" s="33"/>
      <c r="AF6408" s="33"/>
      <c r="AG6408" s="33"/>
      <c r="AH6408" s="33"/>
      <c r="AI6408" s="33"/>
      <c r="AJ6408" s="33"/>
      <c r="AK6408" s="33"/>
    </row>
    <row r="6409">
      <c r="A6409" s="33"/>
      <c r="B6409" s="33"/>
      <c r="C6409" s="33"/>
      <c r="D6409" s="33"/>
      <c r="E6409" s="33"/>
      <c r="F6409" s="33"/>
      <c r="G6409" s="33"/>
      <c r="H6409" s="33"/>
      <c r="I6409" s="33"/>
      <c r="J6409" s="33"/>
      <c r="K6409" s="33"/>
      <c r="L6409" s="33"/>
      <c r="M6409" s="33"/>
      <c r="N6409" s="33"/>
      <c r="O6409" s="33"/>
      <c r="P6409" s="33"/>
      <c r="Q6409" s="33"/>
      <c r="R6409" s="33"/>
      <c r="S6409" s="33"/>
      <c r="T6409" s="33"/>
      <c r="U6409" s="33"/>
      <c r="V6409" s="33"/>
      <c r="W6409" s="33"/>
      <c r="X6409" s="33"/>
      <c r="Y6409" s="33"/>
      <c r="Z6409" s="33"/>
      <c r="AA6409" s="33"/>
      <c r="AB6409" s="33"/>
      <c r="AC6409" s="33"/>
      <c r="AD6409" s="33"/>
      <c r="AE6409" s="33"/>
      <c r="AF6409" s="33"/>
      <c r="AG6409" s="33"/>
      <c r="AH6409" s="33"/>
      <c r="AI6409" s="33"/>
      <c r="AJ6409" s="33"/>
      <c r="AK6409" s="33"/>
    </row>
    <row r="6410">
      <c r="A6410" s="33"/>
      <c r="B6410" s="33"/>
      <c r="C6410" s="33"/>
      <c r="D6410" s="33"/>
      <c r="E6410" s="33"/>
      <c r="F6410" s="33"/>
      <c r="G6410" s="33"/>
      <c r="H6410" s="33"/>
      <c r="I6410" s="33"/>
      <c r="J6410" s="33"/>
      <c r="K6410" s="33"/>
      <c r="L6410" s="33"/>
      <c r="M6410" s="33"/>
      <c r="N6410" s="33"/>
      <c r="O6410" s="33"/>
      <c r="P6410" s="33"/>
      <c r="Q6410" s="33"/>
      <c r="R6410" s="33"/>
      <c r="S6410" s="33"/>
      <c r="T6410" s="33"/>
      <c r="U6410" s="33"/>
      <c r="V6410" s="33"/>
      <c r="W6410" s="33"/>
      <c r="X6410" s="33"/>
      <c r="Y6410" s="33"/>
      <c r="Z6410" s="33"/>
      <c r="AA6410" s="33"/>
      <c r="AB6410" s="33"/>
      <c r="AC6410" s="33"/>
      <c r="AD6410" s="33"/>
      <c r="AE6410" s="33"/>
      <c r="AF6410" s="33"/>
      <c r="AG6410" s="33"/>
      <c r="AH6410" s="33"/>
      <c r="AI6410" s="33"/>
      <c r="AJ6410" s="33"/>
      <c r="AK6410" s="33"/>
    </row>
    <row r="6411">
      <c r="A6411" s="33"/>
      <c r="B6411" s="33"/>
      <c r="C6411" s="33"/>
      <c r="D6411" s="33"/>
      <c r="E6411" s="33"/>
      <c r="F6411" s="33"/>
      <c r="G6411" s="33"/>
      <c r="H6411" s="33"/>
      <c r="I6411" s="33"/>
      <c r="J6411" s="33"/>
      <c r="K6411" s="33"/>
      <c r="L6411" s="33"/>
      <c r="M6411" s="33"/>
      <c r="N6411" s="33"/>
      <c r="O6411" s="33"/>
      <c r="P6411" s="33"/>
      <c r="Q6411" s="33"/>
      <c r="R6411" s="33"/>
      <c r="S6411" s="33"/>
      <c r="T6411" s="33"/>
      <c r="U6411" s="33"/>
      <c r="V6411" s="33"/>
      <c r="W6411" s="33"/>
      <c r="X6411" s="33"/>
      <c r="Y6411" s="33"/>
      <c r="Z6411" s="33"/>
      <c r="AA6411" s="33"/>
      <c r="AB6411" s="33"/>
      <c r="AC6411" s="33"/>
      <c r="AD6411" s="33"/>
      <c r="AE6411" s="33"/>
      <c r="AF6411" s="33"/>
      <c r="AG6411" s="33"/>
      <c r="AH6411" s="33"/>
      <c r="AI6411" s="33"/>
      <c r="AJ6411" s="33"/>
      <c r="AK6411" s="33"/>
    </row>
    <row r="6412">
      <c r="A6412" s="33"/>
      <c r="B6412" s="33"/>
      <c r="C6412" s="33"/>
      <c r="D6412" s="33"/>
      <c r="E6412" s="33"/>
      <c r="F6412" s="33"/>
      <c r="G6412" s="33"/>
      <c r="H6412" s="33"/>
      <c r="I6412" s="33"/>
      <c r="J6412" s="33"/>
      <c r="K6412" s="33"/>
      <c r="L6412" s="33"/>
      <c r="M6412" s="33"/>
      <c r="N6412" s="33"/>
      <c r="O6412" s="33"/>
      <c r="P6412" s="33"/>
      <c r="Q6412" s="33"/>
      <c r="R6412" s="33"/>
      <c r="S6412" s="33"/>
      <c r="T6412" s="33"/>
      <c r="U6412" s="33"/>
      <c r="V6412" s="33"/>
      <c r="W6412" s="33"/>
      <c r="X6412" s="33"/>
      <c r="Y6412" s="33"/>
      <c r="Z6412" s="33"/>
      <c r="AA6412" s="33"/>
      <c r="AB6412" s="33"/>
      <c r="AC6412" s="33"/>
      <c r="AD6412" s="33"/>
      <c r="AE6412" s="33"/>
      <c r="AF6412" s="33"/>
      <c r="AG6412" s="33"/>
      <c r="AH6412" s="33"/>
      <c r="AI6412" s="33"/>
      <c r="AJ6412" s="33"/>
      <c r="AK6412" s="33"/>
    </row>
    <row r="6413">
      <c r="A6413" s="33"/>
      <c r="B6413" s="33"/>
      <c r="C6413" s="33"/>
      <c r="D6413" s="33"/>
      <c r="E6413" s="33"/>
      <c r="F6413" s="33"/>
      <c r="G6413" s="33"/>
      <c r="H6413" s="33"/>
      <c r="I6413" s="33"/>
      <c r="J6413" s="33"/>
      <c r="K6413" s="33"/>
      <c r="L6413" s="33"/>
      <c r="M6413" s="33"/>
      <c r="N6413" s="33"/>
      <c r="O6413" s="33"/>
      <c r="P6413" s="33"/>
      <c r="Q6413" s="33"/>
      <c r="R6413" s="33"/>
      <c r="S6413" s="33"/>
      <c r="T6413" s="33"/>
      <c r="U6413" s="33"/>
      <c r="V6413" s="33"/>
      <c r="W6413" s="33"/>
      <c r="X6413" s="33"/>
      <c r="Y6413" s="33"/>
      <c r="Z6413" s="33"/>
      <c r="AA6413" s="33"/>
      <c r="AB6413" s="33"/>
      <c r="AC6413" s="33"/>
      <c r="AD6413" s="33"/>
      <c r="AE6413" s="33"/>
      <c r="AF6413" s="33"/>
      <c r="AG6413" s="33"/>
      <c r="AH6413" s="33"/>
      <c r="AI6413" s="33"/>
      <c r="AJ6413" s="33"/>
      <c r="AK6413" s="33"/>
    </row>
    <row r="6414">
      <c r="A6414" s="33"/>
      <c r="B6414" s="33"/>
      <c r="C6414" s="33"/>
      <c r="D6414" s="33"/>
      <c r="E6414" s="33"/>
      <c r="F6414" s="33"/>
      <c r="G6414" s="33"/>
      <c r="H6414" s="33"/>
      <c r="I6414" s="33"/>
      <c r="J6414" s="33"/>
      <c r="K6414" s="33"/>
      <c r="L6414" s="33"/>
      <c r="M6414" s="33"/>
      <c r="N6414" s="33"/>
      <c r="O6414" s="33"/>
      <c r="P6414" s="33"/>
      <c r="Q6414" s="33"/>
      <c r="R6414" s="33"/>
      <c r="S6414" s="33"/>
      <c r="T6414" s="33"/>
      <c r="U6414" s="33"/>
      <c r="V6414" s="33"/>
      <c r="W6414" s="33"/>
      <c r="X6414" s="33"/>
      <c r="Y6414" s="33"/>
      <c r="Z6414" s="33"/>
      <c r="AA6414" s="33"/>
      <c r="AB6414" s="33"/>
      <c r="AC6414" s="33"/>
      <c r="AD6414" s="33"/>
      <c r="AE6414" s="33"/>
      <c r="AF6414" s="33"/>
      <c r="AG6414" s="33"/>
      <c r="AH6414" s="33"/>
      <c r="AI6414" s="33"/>
      <c r="AJ6414" s="33"/>
      <c r="AK6414" s="33"/>
    </row>
    <row r="6415">
      <c r="A6415" s="33"/>
      <c r="B6415" s="33"/>
      <c r="C6415" s="33"/>
      <c r="D6415" s="33"/>
      <c r="E6415" s="33"/>
      <c r="F6415" s="33"/>
      <c r="G6415" s="33"/>
      <c r="H6415" s="33"/>
      <c r="I6415" s="33"/>
      <c r="J6415" s="33"/>
      <c r="K6415" s="33"/>
      <c r="L6415" s="33"/>
      <c r="M6415" s="33"/>
      <c r="N6415" s="33"/>
      <c r="O6415" s="33"/>
      <c r="P6415" s="33"/>
      <c r="Q6415" s="33"/>
      <c r="R6415" s="33"/>
      <c r="S6415" s="33"/>
      <c r="T6415" s="33"/>
      <c r="U6415" s="33"/>
      <c r="V6415" s="33"/>
      <c r="W6415" s="33"/>
      <c r="X6415" s="33"/>
      <c r="Y6415" s="33"/>
      <c r="Z6415" s="33"/>
      <c r="AA6415" s="33"/>
      <c r="AB6415" s="33"/>
      <c r="AC6415" s="33"/>
      <c r="AD6415" s="33"/>
      <c r="AE6415" s="33"/>
      <c r="AF6415" s="33"/>
      <c r="AG6415" s="33"/>
      <c r="AH6415" s="33"/>
      <c r="AI6415" s="33"/>
      <c r="AJ6415" s="33"/>
      <c r="AK6415" s="33"/>
    </row>
    <row r="6416">
      <c r="A6416" s="33"/>
      <c r="B6416" s="33"/>
      <c r="C6416" s="33"/>
      <c r="D6416" s="33"/>
      <c r="E6416" s="33"/>
      <c r="F6416" s="33"/>
      <c r="G6416" s="33"/>
      <c r="H6416" s="33"/>
      <c r="I6416" s="33"/>
      <c r="J6416" s="33"/>
      <c r="K6416" s="33"/>
      <c r="L6416" s="33"/>
      <c r="M6416" s="33"/>
      <c r="N6416" s="33"/>
      <c r="O6416" s="33"/>
      <c r="P6416" s="33"/>
      <c r="Q6416" s="33"/>
      <c r="R6416" s="33"/>
      <c r="S6416" s="33"/>
      <c r="T6416" s="33"/>
      <c r="U6416" s="33"/>
      <c r="V6416" s="33"/>
      <c r="W6416" s="33"/>
      <c r="X6416" s="33"/>
      <c r="Y6416" s="33"/>
      <c r="Z6416" s="33"/>
      <c r="AA6416" s="33"/>
      <c r="AB6416" s="33"/>
      <c r="AC6416" s="33"/>
      <c r="AD6416" s="33"/>
      <c r="AE6416" s="33"/>
      <c r="AF6416" s="33"/>
      <c r="AG6416" s="33"/>
      <c r="AH6416" s="33"/>
      <c r="AI6416" s="33"/>
      <c r="AJ6416" s="33"/>
      <c r="AK6416" s="33"/>
    </row>
    <row r="6417">
      <c r="A6417" s="33"/>
      <c r="B6417" s="33"/>
      <c r="C6417" s="33"/>
      <c r="D6417" s="33"/>
      <c r="E6417" s="33"/>
      <c r="F6417" s="33"/>
      <c r="G6417" s="33"/>
      <c r="H6417" s="33"/>
      <c r="I6417" s="33"/>
      <c r="J6417" s="33"/>
      <c r="K6417" s="33"/>
      <c r="L6417" s="33"/>
      <c r="M6417" s="33"/>
      <c r="N6417" s="33"/>
      <c r="O6417" s="33"/>
      <c r="P6417" s="33"/>
      <c r="Q6417" s="33"/>
      <c r="R6417" s="33"/>
      <c r="S6417" s="33"/>
      <c r="T6417" s="33"/>
      <c r="U6417" s="33"/>
      <c r="V6417" s="33"/>
      <c r="W6417" s="33"/>
      <c r="X6417" s="33"/>
      <c r="Y6417" s="33"/>
      <c r="Z6417" s="33"/>
      <c r="AA6417" s="33"/>
      <c r="AB6417" s="33"/>
      <c r="AC6417" s="33"/>
      <c r="AD6417" s="33"/>
      <c r="AE6417" s="33"/>
      <c r="AF6417" s="33"/>
      <c r="AG6417" s="33"/>
      <c r="AH6417" s="33"/>
      <c r="AI6417" s="33"/>
      <c r="AJ6417" s="33"/>
      <c r="AK6417" s="33"/>
    </row>
    <row r="6418">
      <c r="A6418" s="33"/>
      <c r="B6418" s="33"/>
      <c r="C6418" s="33"/>
      <c r="D6418" s="33"/>
      <c r="E6418" s="33"/>
      <c r="F6418" s="33"/>
      <c r="G6418" s="33"/>
      <c r="H6418" s="33"/>
      <c r="I6418" s="33"/>
      <c r="J6418" s="33"/>
      <c r="K6418" s="33"/>
      <c r="L6418" s="33"/>
      <c r="M6418" s="33"/>
      <c r="N6418" s="33"/>
      <c r="O6418" s="33"/>
      <c r="P6418" s="33"/>
      <c r="Q6418" s="33"/>
      <c r="R6418" s="33"/>
      <c r="S6418" s="33"/>
      <c r="T6418" s="33"/>
      <c r="U6418" s="33"/>
      <c r="V6418" s="33"/>
      <c r="W6418" s="33"/>
      <c r="X6418" s="33"/>
      <c r="Y6418" s="33"/>
      <c r="Z6418" s="33"/>
      <c r="AA6418" s="33"/>
      <c r="AB6418" s="33"/>
      <c r="AC6418" s="33"/>
      <c r="AD6418" s="33"/>
      <c r="AE6418" s="33"/>
      <c r="AF6418" s="33"/>
      <c r="AG6418" s="33"/>
      <c r="AH6418" s="33"/>
      <c r="AI6418" s="33"/>
      <c r="AJ6418" s="33"/>
      <c r="AK6418" s="33"/>
    </row>
    <row r="6419">
      <c r="A6419" s="33"/>
      <c r="B6419" s="33"/>
      <c r="C6419" s="33"/>
      <c r="D6419" s="33"/>
      <c r="E6419" s="33"/>
      <c r="F6419" s="33"/>
      <c r="G6419" s="33"/>
      <c r="H6419" s="33"/>
      <c r="I6419" s="33"/>
      <c r="J6419" s="33"/>
      <c r="K6419" s="33"/>
      <c r="L6419" s="33"/>
      <c r="M6419" s="33"/>
      <c r="N6419" s="33"/>
      <c r="O6419" s="33"/>
      <c r="P6419" s="33"/>
      <c r="Q6419" s="33"/>
      <c r="R6419" s="33"/>
      <c r="S6419" s="33"/>
      <c r="T6419" s="33"/>
      <c r="U6419" s="33"/>
      <c r="V6419" s="33"/>
      <c r="W6419" s="33"/>
      <c r="X6419" s="33"/>
      <c r="Y6419" s="33"/>
      <c r="Z6419" s="33"/>
      <c r="AA6419" s="33"/>
      <c r="AB6419" s="33"/>
      <c r="AC6419" s="33"/>
      <c r="AD6419" s="33"/>
      <c r="AE6419" s="33"/>
      <c r="AF6419" s="33"/>
      <c r="AG6419" s="33"/>
      <c r="AH6419" s="33"/>
      <c r="AI6419" s="33"/>
      <c r="AJ6419" s="33"/>
      <c r="AK6419" s="33"/>
    </row>
    <row r="6420">
      <c r="A6420" s="33"/>
      <c r="B6420" s="33"/>
      <c r="C6420" s="33"/>
      <c r="D6420" s="33"/>
      <c r="E6420" s="33"/>
      <c r="F6420" s="33"/>
      <c r="G6420" s="33"/>
      <c r="H6420" s="33"/>
      <c r="I6420" s="33"/>
      <c r="J6420" s="33"/>
      <c r="K6420" s="33"/>
      <c r="L6420" s="33"/>
      <c r="M6420" s="33"/>
      <c r="N6420" s="33"/>
      <c r="O6420" s="33"/>
      <c r="P6420" s="33"/>
      <c r="Q6420" s="33"/>
      <c r="R6420" s="33"/>
      <c r="S6420" s="33"/>
      <c r="T6420" s="33"/>
      <c r="U6420" s="33"/>
      <c r="V6420" s="33"/>
      <c r="W6420" s="33"/>
      <c r="X6420" s="33"/>
      <c r="Y6420" s="33"/>
      <c r="Z6420" s="33"/>
      <c r="AA6420" s="33"/>
      <c r="AB6420" s="33"/>
      <c r="AC6420" s="33"/>
      <c r="AD6420" s="33"/>
      <c r="AE6420" s="33"/>
      <c r="AF6420" s="33"/>
      <c r="AG6420" s="33"/>
      <c r="AH6420" s="33"/>
      <c r="AI6420" s="33"/>
      <c r="AJ6420" s="33"/>
      <c r="AK6420" s="33"/>
    </row>
    <row r="6421">
      <c r="A6421" s="33"/>
      <c r="B6421" s="33"/>
      <c r="C6421" s="33"/>
      <c r="D6421" s="33"/>
      <c r="E6421" s="33"/>
      <c r="F6421" s="33"/>
      <c r="G6421" s="33"/>
      <c r="H6421" s="33"/>
      <c r="I6421" s="33"/>
      <c r="J6421" s="33"/>
      <c r="K6421" s="33"/>
      <c r="L6421" s="33"/>
      <c r="M6421" s="33"/>
      <c r="N6421" s="33"/>
      <c r="O6421" s="33"/>
      <c r="P6421" s="33"/>
      <c r="Q6421" s="33"/>
      <c r="R6421" s="33"/>
      <c r="S6421" s="33"/>
      <c r="T6421" s="33"/>
      <c r="U6421" s="33"/>
      <c r="V6421" s="33"/>
      <c r="W6421" s="33"/>
      <c r="X6421" s="33"/>
      <c r="Y6421" s="33"/>
      <c r="Z6421" s="33"/>
      <c r="AA6421" s="33"/>
      <c r="AB6421" s="33"/>
      <c r="AC6421" s="33"/>
      <c r="AD6421" s="33"/>
      <c r="AE6421" s="33"/>
      <c r="AF6421" s="33"/>
      <c r="AG6421" s="33"/>
      <c r="AH6421" s="33"/>
      <c r="AI6421" s="33"/>
      <c r="AJ6421" s="33"/>
      <c r="AK6421" s="33"/>
    </row>
    <row r="6422">
      <c r="A6422" s="33"/>
      <c r="B6422" s="33"/>
      <c r="C6422" s="33"/>
      <c r="D6422" s="33"/>
      <c r="E6422" s="33"/>
      <c r="F6422" s="33"/>
      <c r="G6422" s="33"/>
      <c r="H6422" s="33"/>
      <c r="I6422" s="33"/>
      <c r="J6422" s="33"/>
      <c r="K6422" s="33"/>
      <c r="L6422" s="33"/>
      <c r="M6422" s="33"/>
      <c r="N6422" s="33"/>
      <c r="O6422" s="33"/>
      <c r="P6422" s="33"/>
      <c r="Q6422" s="33"/>
      <c r="R6422" s="33"/>
      <c r="S6422" s="33"/>
      <c r="T6422" s="33"/>
      <c r="U6422" s="33"/>
      <c r="V6422" s="33"/>
      <c r="W6422" s="33"/>
      <c r="X6422" s="33"/>
      <c r="Y6422" s="33"/>
      <c r="Z6422" s="33"/>
      <c r="AA6422" s="33"/>
      <c r="AB6422" s="33"/>
      <c r="AC6422" s="33"/>
      <c r="AD6422" s="33"/>
      <c r="AE6422" s="33"/>
      <c r="AF6422" s="33"/>
      <c r="AG6422" s="33"/>
      <c r="AH6422" s="33"/>
      <c r="AI6422" s="33"/>
      <c r="AJ6422" s="33"/>
      <c r="AK6422" s="33"/>
    </row>
    <row r="6423">
      <c r="A6423" s="33"/>
      <c r="B6423" s="33"/>
      <c r="C6423" s="33"/>
      <c r="D6423" s="33"/>
      <c r="E6423" s="33"/>
      <c r="F6423" s="33"/>
      <c r="G6423" s="33"/>
      <c r="H6423" s="33"/>
      <c r="I6423" s="33"/>
      <c r="J6423" s="33"/>
      <c r="K6423" s="33"/>
      <c r="L6423" s="33"/>
      <c r="M6423" s="33"/>
      <c r="N6423" s="33"/>
      <c r="O6423" s="33"/>
      <c r="P6423" s="33"/>
      <c r="Q6423" s="33"/>
      <c r="R6423" s="33"/>
      <c r="S6423" s="33"/>
      <c r="T6423" s="33"/>
      <c r="U6423" s="33"/>
      <c r="V6423" s="33"/>
      <c r="W6423" s="33"/>
      <c r="X6423" s="33"/>
      <c r="Y6423" s="33"/>
      <c r="Z6423" s="33"/>
      <c r="AA6423" s="33"/>
      <c r="AB6423" s="33"/>
      <c r="AC6423" s="33"/>
      <c r="AD6423" s="33"/>
      <c r="AE6423" s="33"/>
      <c r="AF6423" s="33"/>
      <c r="AG6423" s="33"/>
      <c r="AH6423" s="33"/>
      <c r="AI6423" s="33"/>
      <c r="AJ6423" s="33"/>
      <c r="AK6423" s="33"/>
    </row>
    <row r="6424">
      <c r="A6424" s="33"/>
      <c r="B6424" s="33"/>
      <c r="C6424" s="33"/>
      <c r="D6424" s="33"/>
      <c r="E6424" s="33"/>
      <c r="F6424" s="33"/>
      <c r="G6424" s="33"/>
      <c r="H6424" s="33"/>
      <c r="I6424" s="33"/>
      <c r="J6424" s="33"/>
      <c r="K6424" s="33"/>
      <c r="L6424" s="33"/>
      <c r="M6424" s="33"/>
      <c r="N6424" s="33"/>
      <c r="O6424" s="33"/>
      <c r="P6424" s="33"/>
      <c r="Q6424" s="33"/>
      <c r="R6424" s="33"/>
      <c r="S6424" s="33"/>
      <c r="T6424" s="33"/>
      <c r="U6424" s="33"/>
      <c r="V6424" s="33"/>
      <c r="W6424" s="33"/>
      <c r="X6424" s="33"/>
      <c r="Y6424" s="33"/>
      <c r="Z6424" s="33"/>
      <c r="AA6424" s="33"/>
      <c r="AB6424" s="33"/>
      <c r="AC6424" s="33"/>
      <c r="AD6424" s="33"/>
      <c r="AE6424" s="33"/>
      <c r="AF6424" s="33"/>
      <c r="AG6424" s="33"/>
      <c r="AH6424" s="33"/>
      <c r="AI6424" s="33"/>
      <c r="AJ6424" s="33"/>
      <c r="AK6424" s="33"/>
    </row>
    <row r="6425">
      <c r="A6425" s="33"/>
      <c r="B6425" s="33"/>
      <c r="C6425" s="33"/>
      <c r="D6425" s="33"/>
      <c r="E6425" s="33"/>
      <c r="F6425" s="33"/>
      <c r="G6425" s="33"/>
      <c r="H6425" s="33"/>
      <c r="I6425" s="33"/>
      <c r="J6425" s="33"/>
      <c r="K6425" s="33"/>
      <c r="L6425" s="33"/>
      <c r="M6425" s="33"/>
      <c r="N6425" s="33"/>
      <c r="O6425" s="33"/>
      <c r="P6425" s="33"/>
      <c r="Q6425" s="33"/>
      <c r="R6425" s="33"/>
      <c r="S6425" s="33"/>
      <c r="T6425" s="33"/>
      <c r="U6425" s="33"/>
      <c r="V6425" s="33"/>
      <c r="W6425" s="33"/>
      <c r="X6425" s="33"/>
      <c r="Y6425" s="33"/>
      <c r="Z6425" s="33"/>
      <c r="AA6425" s="33"/>
      <c r="AB6425" s="33"/>
      <c r="AC6425" s="33"/>
      <c r="AD6425" s="33"/>
      <c r="AE6425" s="33"/>
      <c r="AF6425" s="33"/>
      <c r="AG6425" s="33"/>
      <c r="AH6425" s="33"/>
      <c r="AI6425" s="33"/>
      <c r="AJ6425" s="33"/>
      <c r="AK6425" s="33"/>
    </row>
    <row r="6426">
      <c r="A6426" s="33"/>
      <c r="B6426" s="33"/>
      <c r="C6426" s="33"/>
      <c r="D6426" s="33"/>
      <c r="E6426" s="33"/>
      <c r="F6426" s="33"/>
      <c r="G6426" s="33"/>
      <c r="H6426" s="33"/>
      <c r="I6426" s="33"/>
      <c r="J6426" s="33"/>
      <c r="K6426" s="33"/>
      <c r="L6426" s="33"/>
      <c r="M6426" s="33"/>
      <c r="N6426" s="33"/>
      <c r="O6426" s="33"/>
      <c r="P6426" s="33"/>
      <c r="Q6426" s="33"/>
      <c r="R6426" s="33"/>
      <c r="S6426" s="33"/>
      <c r="T6426" s="33"/>
      <c r="U6426" s="33"/>
      <c r="V6426" s="33"/>
      <c r="W6426" s="33"/>
      <c r="X6426" s="33"/>
      <c r="Y6426" s="33"/>
      <c r="Z6426" s="33"/>
      <c r="AA6426" s="33"/>
      <c r="AB6426" s="33"/>
      <c r="AC6426" s="33"/>
      <c r="AD6426" s="33"/>
      <c r="AE6426" s="33"/>
      <c r="AF6426" s="33"/>
      <c r="AG6426" s="33"/>
      <c r="AH6426" s="33"/>
      <c r="AI6426" s="33"/>
      <c r="AJ6426" s="33"/>
      <c r="AK6426" s="33"/>
    </row>
    <row r="6427">
      <c r="A6427" s="33"/>
      <c r="B6427" s="33"/>
      <c r="C6427" s="33"/>
      <c r="D6427" s="33"/>
      <c r="E6427" s="33"/>
      <c r="F6427" s="33"/>
      <c r="G6427" s="33"/>
      <c r="H6427" s="33"/>
      <c r="I6427" s="33"/>
      <c r="J6427" s="33"/>
      <c r="K6427" s="33"/>
      <c r="L6427" s="33"/>
      <c r="M6427" s="33"/>
      <c r="N6427" s="33"/>
      <c r="O6427" s="33"/>
      <c r="P6427" s="33"/>
      <c r="Q6427" s="33"/>
      <c r="R6427" s="33"/>
      <c r="S6427" s="33"/>
      <c r="T6427" s="33"/>
      <c r="U6427" s="33"/>
      <c r="V6427" s="33"/>
      <c r="W6427" s="33"/>
      <c r="X6427" s="33"/>
      <c r="Y6427" s="33"/>
      <c r="Z6427" s="33"/>
      <c r="AA6427" s="33"/>
      <c r="AB6427" s="33"/>
      <c r="AC6427" s="33"/>
      <c r="AD6427" s="33"/>
      <c r="AE6427" s="33"/>
      <c r="AF6427" s="33"/>
      <c r="AG6427" s="33"/>
      <c r="AH6427" s="33"/>
      <c r="AI6427" s="33"/>
      <c r="AJ6427" s="33"/>
      <c r="AK6427" s="33"/>
    </row>
    <row r="6428">
      <c r="A6428" s="33"/>
      <c r="B6428" s="33"/>
      <c r="C6428" s="33"/>
      <c r="D6428" s="33"/>
      <c r="E6428" s="33"/>
      <c r="F6428" s="33"/>
      <c r="G6428" s="33"/>
      <c r="H6428" s="33"/>
      <c r="I6428" s="33"/>
      <c r="J6428" s="33"/>
      <c r="K6428" s="33"/>
      <c r="L6428" s="33"/>
      <c r="M6428" s="33"/>
      <c r="N6428" s="33"/>
      <c r="O6428" s="33"/>
      <c r="P6428" s="33"/>
      <c r="Q6428" s="33"/>
      <c r="R6428" s="33"/>
      <c r="S6428" s="33"/>
      <c r="T6428" s="33"/>
      <c r="U6428" s="33"/>
      <c r="V6428" s="33"/>
      <c r="W6428" s="33"/>
      <c r="X6428" s="33"/>
      <c r="Y6428" s="33"/>
      <c r="Z6428" s="33"/>
      <c r="AA6428" s="33"/>
      <c r="AB6428" s="33"/>
      <c r="AC6428" s="33"/>
      <c r="AD6428" s="33"/>
      <c r="AE6428" s="33"/>
      <c r="AF6428" s="33"/>
      <c r="AG6428" s="33"/>
      <c r="AH6428" s="33"/>
      <c r="AI6428" s="33"/>
      <c r="AJ6428" s="33"/>
      <c r="AK6428" s="33"/>
    </row>
    <row r="6429">
      <c r="A6429" s="33"/>
      <c r="B6429" s="33"/>
      <c r="C6429" s="33"/>
      <c r="D6429" s="33"/>
      <c r="E6429" s="33"/>
      <c r="F6429" s="33"/>
      <c r="G6429" s="33"/>
      <c r="H6429" s="33"/>
      <c r="I6429" s="33"/>
      <c r="J6429" s="33"/>
      <c r="K6429" s="33"/>
      <c r="L6429" s="33"/>
      <c r="M6429" s="33"/>
      <c r="N6429" s="33"/>
      <c r="O6429" s="33"/>
      <c r="P6429" s="33"/>
      <c r="Q6429" s="33"/>
      <c r="R6429" s="33"/>
      <c r="S6429" s="33"/>
      <c r="T6429" s="33"/>
      <c r="U6429" s="33"/>
      <c r="V6429" s="33"/>
      <c r="W6429" s="33"/>
      <c r="X6429" s="33"/>
      <c r="Y6429" s="33"/>
      <c r="Z6429" s="33"/>
      <c r="AA6429" s="33"/>
      <c r="AB6429" s="33"/>
      <c r="AC6429" s="33"/>
      <c r="AD6429" s="33"/>
      <c r="AE6429" s="33"/>
      <c r="AF6429" s="33"/>
      <c r="AG6429" s="33"/>
      <c r="AH6429" s="33"/>
      <c r="AI6429" s="33"/>
      <c r="AJ6429" s="33"/>
      <c r="AK6429" s="33"/>
    </row>
    <row r="6430">
      <c r="A6430" s="33"/>
      <c r="B6430" s="33"/>
      <c r="C6430" s="33"/>
      <c r="D6430" s="33"/>
      <c r="E6430" s="33"/>
      <c r="F6430" s="33"/>
      <c r="G6430" s="33"/>
      <c r="H6430" s="33"/>
      <c r="I6430" s="33"/>
      <c r="J6430" s="33"/>
      <c r="K6430" s="33"/>
      <c r="L6430" s="33"/>
      <c r="M6430" s="33"/>
      <c r="N6430" s="33"/>
      <c r="O6430" s="33"/>
      <c r="P6430" s="33"/>
      <c r="Q6430" s="33"/>
      <c r="R6430" s="33"/>
      <c r="S6430" s="33"/>
      <c r="T6430" s="33"/>
      <c r="U6430" s="33"/>
      <c r="V6430" s="33"/>
      <c r="W6430" s="33"/>
      <c r="X6430" s="33"/>
      <c r="Y6430" s="33"/>
      <c r="Z6430" s="33"/>
      <c r="AA6430" s="33"/>
      <c r="AB6430" s="33"/>
      <c r="AC6430" s="33"/>
      <c r="AD6430" s="33"/>
      <c r="AE6430" s="33"/>
      <c r="AF6430" s="33"/>
      <c r="AG6430" s="33"/>
      <c r="AH6430" s="33"/>
      <c r="AI6430" s="33"/>
      <c r="AJ6430" s="33"/>
      <c r="AK6430" s="33"/>
    </row>
    <row r="6431">
      <c r="A6431" s="33"/>
      <c r="B6431" s="33"/>
      <c r="C6431" s="33"/>
      <c r="D6431" s="33"/>
      <c r="E6431" s="33"/>
      <c r="F6431" s="33"/>
      <c r="G6431" s="33"/>
      <c r="H6431" s="33"/>
      <c r="I6431" s="33"/>
      <c r="J6431" s="33"/>
      <c r="K6431" s="33"/>
      <c r="L6431" s="33"/>
      <c r="M6431" s="33"/>
      <c r="N6431" s="33"/>
      <c r="O6431" s="33"/>
      <c r="P6431" s="33"/>
      <c r="Q6431" s="33"/>
      <c r="R6431" s="33"/>
      <c r="S6431" s="33"/>
      <c r="T6431" s="33"/>
      <c r="U6431" s="33"/>
      <c r="V6431" s="33"/>
      <c r="W6431" s="33"/>
      <c r="X6431" s="33"/>
      <c r="Y6431" s="33"/>
      <c r="Z6431" s="33"/>
      <c r="AA6431" s="33"/>
      <c r="AB6431" s="33"/>
      <c r="AC6431" s="33"/>
      <c r="AD6431" s="33"/>
      <c r="AE6431" s="33"/>
      <c r="AF6431" s="33"/>
      <c r="AG6431" s="33"/>
      <c r="AH6431" s="33"/>
      <c r="AI6431" s="33"/>
      <c r="AJ6431" s="33"/>
      <c r="AK6431" s="33"/>
    </row>
    <row r="6432">
      <c r="A6432" s="33"/>
      <c r="B6432" s="33"/>
      <c r="C6432" s="33"/>
      <c r="D6432" s="33"/>
      <c r="E6432" s="33"/>
      <c r="F6432" s="33"/>
      <c r="G6432" s="33"/>
      <c r="H6432" s="33"/>
      <c r="I6432" s="33"/>
      <c r="J6432" s="33"/>
      <c r="K6432" s="33"/>
      <c r="L6432" s="33"/>
      <c r="M6432" s="33"/>
      <c r="N6432" s="33"/>
      <c r="O6432" s="33"/>
      <c r="P6432" s="33"/>
      <c r="Q6432" s="33"/>
      <c r="R6432" s="33"/>
      <c r="S6432" s="33"/>
      <c r="T6432" s="33"/>
      <c r="U6432" s="33"/>
      <c r="V6432" s="33"/>
      <c r="W6432" s="33"/>
      <c r="X6432" s="33"/>
      <c r="Y6432" s="33"/>
      <c r="Z6432" s="33"/>
      <c r="AA6432" s="33"/>
      <c r="AB6432" s="33"/>
      <c r="AC6432" s="33"/>
      <c r="AD6432" s="33"/>
      <c r="AE6432" s="33"/>
      <c r="AF6432" s="33"/>
      <c r="AG6432" s="33"/>
      <c r="AH6432" s="33"/>
      <c r="AI6432" s="33"/>
      <c r="AJ6432" s="33"/>
      <c r="AK6432" s="33"/>
    </row>
    <row r="6433">
      <c r="A6433" s="33"/>
      <c r="B6433" s="33"/>
      <c r="C6433" s="33"/>
      <c r="D6433" s="33"/>
      <c r="E6433" s="33"/>
      <c r="F6433" s="33"/>
      <c r="G6433" s="33"/>
      <c r="H6433" s="33"/>
      <c r="I6433" s="33"/>
      <c r="J6433" s="33"/>
      <c r="K6433" s="33"/>
      <c r="L6433" s="33"/>
      <c r="M6433" s="33"/>
      <c r="N6433" s="33"/>
      <c r="O6433" s="33"/>
      <c r="P6433" s="33"/>
      <c r="Q6433" s="33"/>
      <c r="R6433" s="33"/>
      <c r="S6433" s="33"/>
      <c r="T6433" s="33"/>
      <c r="U6433" s="33"/>
      <c r="V6433" s="33"/>
      <c r="W6433" s="33"/>
      <c r="X6433" s="33"/>
      <c r="Y6433" s="33"/>
      <c r="Z6433" s="33"/>
      <c r="AA6433" s="33"/>
      <c r="AB6433" s="33"/>
      <c r="AC6433" s="33"/>
      <c r="AD6433" s="33"/>
      <c r="AE6433" s="33"/>
      <c r="AF6433" s="33"/>
      <c r="AG6433" s="33"/>
      <c r="AH6433" s="33"/>
      <c r="AI6433" s="33"/>
      <c r="AJ6433" s="33"/>
      <c r="AK6433" s="33"/>
    </row>
    <row r="6434">
      <c r="A6434" s="33"/>
      <c r="B6434" s="33"/>
      <c r="C6434" s="33"/>
      <c r="D6434" s="33"/>
      <c r="E6434" s="33"/>
      <c r="F6434" s="33"/>
      <c r="G6434" s="33"/>
      <c r="H6434" s="33"/>
      <c r="I6434" s="33"/>
      <c r="J6434" s="33"/>
      <c r="K6434" s="33"/>
      <c r="L6434" s="33"/>
      <c r="M6434" s="33"/>
      <c r="N6434" s="33"/>
      <c r="O6434" s="33"/>
      <c r="P6434" s="33"/>
      <c r="Q6434" s="33"/>
      <c r="R6434" s="33"/>
      <c r="S6434" s="33"/>
      <c r="T6434" s="33"/>
      <c r="U6434" s="33"/>
      <c r="V6434" s="33"/>
      <c r="W6434" s="33"/>
      <c r="X6434" s="33"/>
      <c r="Y6434" s="33"/>
      <c r="Z6434" s="33"/>
      <c r="AA6434" s="33"/>
      <c r="AB6434" s="33"/>
      <c r="AC6434" s="33"/>
      <c r="AD6434" s="33"/>
      <c r="AE6434" s="33"/>
      <c r="AF6434" s="33"/>
      <c r="AG6434" s="33"/>
      <c r="AH6434" s="33"/>
      <c r="AI6434" s="33"/>
      <c r="AJ6434" s="33"/>
      <c r="AK6434" s="33"/>
    </row>
    <row r="6435">
      <c r="A6435" s="33"/>
      <c r="B6435" s="33"/>
      <c r="C6435" s="33"/>
      <c r="D6435" s="33"/>
      <c r="E6435" s="33"/>
      <c r="F6435" s="33"/>
      <c r="G6435" s="33"/>
      <c r="H6435" s="33"/>
      <c r="I6435" s="33"/>
      <c r="J6435" s="33"/>
      <c r="K6435" s="33"/>
      <c r="L6435" s="33"/>
      <c r="M6435" s="33"/>
      <c r="N6435" s="33"/>
      <c r="O6435" s="33"/>
      <c r="P6435" s="33"/>
      <c r="Q6435" s="33"/>
      <c r="R6435" s="33"/>
      <c r="S6435" s="33"/>
      <c r="T6435" s="33"/>
      <c r="U6435" s="33"/>
      <c r="V6435" s="33"/>
      <c r="W6435" s="33"/>
      <c r="X6435" s="33"/>
      <c r="Y6435" s="33"/>
      <c r="Z6435" s="33"/>
      <c r="AA6435" s="33"/>
      <c r="AB6435" s="33"/>
      <c r="AC6435" s="33"/>
      <c r="AD6435" s="33"/>
      <c r="AE6435" s="33"/>
      <c r="AF6435" s="33"/>
      <c r="AG6435" s="33"/>
      <c r="AH6435" s="33"/>
      <c r="AI6435" s="33"/>
      <c r="AJ6435" s="33"/>
      <c r="AK6435" s="33"/>
    </row>
    <row r="6436">
      <c r="A6436" s="33"/>
      <c r="B6436" s="33"/>
      <c r="C6436" s="33"/>
      <c r="D6436" s="33"/>
      <c r="E6436" s="33"/>
      <c r="F6436" s="33"/>
      <c r="G6436" s="33"/>
      <c r="H6436" s="33"/>
      <c r="I6436" s="33"/>
      <c r="J6436" s="33"/>
      <c r="K6436" s="33"/>
      <c r="L6436" s="33"/>
      <c r="M6436" s="33"/>
      <c r="N6436" s="33"/>
      <c r="O6436" s="33"/>
      <c r="P6436" s="33"/>
      <c r="Q6436" s="33"/>
      <c r="R6436" s="33"/>
      <c r="S6436" s="33"/>
      <c r="T6436" s="33"/>
      <c r="U6436" s="33"/>
      <c r="V6436" s="33"/>
      <c r="W6436" s="33"/>
      <c r="X6436" s="33"/>
      <c r="Y6436" s="33"/>
      <c r="Z6436" s="33"/>
      <c r="AA6436" s="33"/>
      <c r="AB6436" s="33"/>
      <c r="AC6436" s="33"/>
      <c r="AD6436" s="33"/>
      <c r="AE6436" s="33"/>
      <c r="AF6436" s="33"/>
      <c r="AG6436" s="33"/>
      <c r="AH6436" s="33"/>
      <c r="AI6436" s="33"/>
      <c r="AJ6436" s="33"/>
      <c r="AK6436" s="33"/>
    </row>
    <row r="6437">
      <c r="A6437" s="33"/>
      <c r="B6437" s="33"/>
      <c r="C6437" s="33"/>
      <c r="D6437" s="33"/>
      <c r="E6437" s="33"/>
      <c r="F6437" s="33"/>
      <c r="G6437" s="33"/>
      <c r="H6437" s="33"/>
      <c r="I6437" s="33"/>
      <c r="J6437" s="33"/>
      <c r="K6437" s="33"/>
      <c r="L6437" s="33"/>
      <c r="M6437" s="33"/>
      <c r="N6437" s="33"/>
      <c r="O6437" s="33"/>
      <c r="P6437" s="33"/>
      <c r="Q6437" s="33"/>
      <c r="R6437" s="33"/>
      <c r="S6437" s="33"/>
      <c r="T6437" s="33"/>
      <c r="U6437" s="33"/>
      <c r="V6437" s="33"/>
      <c r="W6437" s="33"/>
      <c r="X6437" s="33"/>
      <c r="Y6437" s="33"/>
      <c r="Z6437" s="33"/>
      <c r="AA6437" s="33"/>
      <c r="AB6437" s="33"/>
      <c r="AC6437" s="33"/>
      <c r="AD6437" s="33"/>
      <c r="AE6437" s="33"/>
      <c r="AF6437" s="33"/>
      <c r="AG6437" s="33"/>
      <c r="AH6437" s="33"/>
      <c r="AI6437" s="33"/>
      <c r="AJ6437" s="33"/>
      <c r="AK6437" s="33"/>
    </row>
    <row r="6438">
      <c r="A6438" s="33"/>
      <c r="B6438" s="33"/>
      <c r="C6438" s="33"/>
      <c r="D6438" s="33"/>
      <c r="E6438" s="33"/>
      <c r="F6438" s="33"/>
      <c r="G6438" s="33"/>
      <c r="H6438" s="33"/>
      <c r="I6438" s="33"/>
      <c r="J6438" s="33"/>
      <c r="K6438" s="33"/>
      <c r="L6438" s="33"/>
      <c r="M6438" s="33"/>
      <c r="N6438" s="33"/>
      <c r="O6438" s="33"/>
      <c r="P6438" s="33"/>
      <c r="Q6438" s="33"/>
      <c r="R6438" s="33"/>
      <c r="S6438" s="33"/>
      <c r="T6438" s="33"/>
      <c r="U6438" s="33"/>
      <c r="V6438" s="33"/>
      <c r="W6438" s="33"/>
      <c r="X6438" s="33"/>
      <c r="Y6438" s="33"/>
      <c r="Z6438" s="33"/>
      <c r="AA6438" s="33"/>
      <c r="AB6438" s="33"/>
      <c r="AC6438" s="33"/>
      <c r="AD6438" s="33"/>
      <c r="AE6438" s="33"/>
      <c r="AF6438" s="33"/>
      <c r="AG6438" s="33"/>
      <c r="AH6438" s="33"/>
      <c r="AI6438" s="33"/>
      <c r="AJ6438" s="33"/>
      <c r="AK6438" s="33"/>
    </row>
    <row r="6439">
      <c r="A6439" s="33"/>
      <c r="B6439" s="33"/>
      <c r="C6439" s="33"/>
      <c r="D6439" s="33"/>
      <c r="E6439" s="33"/>
      <c r="F6439" s="33"/>
      <c r="G6439" s="33"/>
      <c r="H6439" s="33"/>
      <c r="I6439" s="33"/>
      <c r="J6439" s="33"/>
      <c r="K6439" s="33"/>
      <c r="L6439" s="33"/>
      <c r="M6439" s="33"/>
      <c r="N6439" s="33"/>
      <c r="O6439" s="33"/>
      <c r="P6439" s="33"/>
      <c r="Q6439" s="33"/>
      <c r="R6439" s="33"/>
      <c r="S6439" s="33"/>
      <c r="T6439" s="33"/>
      <c r="U6439" s="33"/>
      <c r="V6439" s="33"/>
      <c r="W6439" s="33"/>
      <c r="X6439" s="33"/>
      <c r="Y6439" s="33"/>
      <c r="Z6439" s="33"/>
      <c r="AA6439" s="33"/>
      <c r="AB6439" s="33"/>
      <c r="AC6439" s="33"/>
      <c r="AD6439" s="33"/>
      <c r="AE6439" s="33"/>
      <c r="AF6439" s="33"/>
      <c r="AG6439" s="33"/>
      <c r="AH6439" s="33"/>
      <c r="AI6439" s="33"/>
      <c r="AJ6439" s="33"/>
      <c r="AK6439" s="33"/>
    </row>
    <row r="6440">
      <c r="A6440" s="33"/>
      <c r="B6440" s="33"/>
      <c r="C6440" s="33"/>
      <c r="D6440" s="33"/>
      <c r="E6440" s="33"/>
      <c r="F6440" s="33"/>
      <c r="G6440" s="33"/>
      <c r="H6440" s="33"/>
      <c r="I6440" s="33"/>
      <c r="J6440" s="33"/>
      <c r="K6440" s="33"/>
      <c r="L6440" s="33"/>
      <c r="M6440" s="33"/>
      <c r="N6440" s="33"/>
      <c r="O6440" s="33"/>
      <c r="P6440" s="33"/>
      <c r="Q6440" s="33"/>
      <c r="R6440" s="33"/>
      <c r="S6440" s="33"/>
      <c r="T6440" s="33"/>
      <c r="U6440" s="33"/>
      <c r="V6440" s="33"/>
      <c r="W6440" s="33"/>
      <c r="X6440" s="33"/>
      <c r="Y6440" s="33"/>
      <c r="Z6440" s="33"/>
      <c r="AA6440" s="33"/>
      <c r="AB6440" s="33"/>
      <c r="AC6440" s="33"/>
      <c r="AD6440" s="33"/>
      <c r="AE6440" s="33"/>
      <c r="AF6440" s="33"/>
      <c r="AG6440" s="33"/>
      <c r="AH6440" s="33"/>
      <c r="AI6440" s="33"/>
      <c r="AJ6440" s="33"/>
      <c r="AK6440" s="33"/>
    </row>
    <row r="6441">
      <c r="A6441" s="33"/>
      <c r="B6441" s="33"/>
      <c r="C6441" s="33"/>
      <c r="D6441" s="33"/>
      <c r="E6441" s="33"/>
      <c r="F6441" s="33"/>
      <c r="G6441" s="33"/>
      <c r="H6441" s="33"/>
      <c r="I6441" s="33"/>
      <c r="J6441" s="33"/>
      <c r="K6441" s="33"/>
      <c r="L6441" s="33"/>
      <c r="M6441" s="33"/>
      <c r="N6441" s="33"/>
      <c r="O6441" s="33"/>
      <c r="P6441" s="33"/>
      <c r="Q6441" s="33"/>
      <c r="R6441" s="33"/>
      <c r="S6441" s="33"/>
      <c r="T6441" s="33"/>
      <c r="U6441" s="33"/>
      <c r="V6441" s="33"/>
      <c r="W6441" s="33"/>
      <c r="X6441" s="33"/>
      <c r="Y6441" s="33"/>
      <c r="Z6441" s="33"/>
      <c r="AA6441" s="33"/>
      <c r="AB6441" s="33"/>
      <c r="AC6441" s="33"/>
      <c r="AD6441" s="33"/>
      <c r="AE6441" s="33"/>
      <c r="AF6441" s="33"/>
      <c r="AG6441" s="33"/>
      <c r="AH6441" s="33"/>
      <c r="AI6441" s="33"/>
      <c r="AJ6441" s="33"/>
      <c r="AK6441" s="33"/>
    </row>
    <row r="6442">
      <c r="A6442" s="33"/>
      <c r="B6442" s="33"/>
      <c r="C6442" s="33"/>
      <c r="D6442" s="33"/>
      <c r="E6442" s="33"/>
      <c r="F6442" s="33"/>
      <c r="G6442" s="33"/>
      <c r="H6442" s="33"/>
      <c r="I6442" s="33"/>
      <c r="J6442" s="33"/>
      <c r="K6442" s="33"/>
      <c r="L6442" s="33"/>
      <c r="M6442" s="33"/>
      <c r="N6442" s="33"/>
      <c r="O6442" s="33"/>
      <c r="P6442" s="33"/>
      <c r="Q6442" s="33"/>
      <c r="R6442" s="33"/>
      <c r="S6442" s="33"/>
      <c r="T6442" s="33"/>
      <c r="U6442" s="33"/>
      <c r="V6442" s="33"/>
      <c r="W6442" s="33"/>
      <c r="X6442" s="33"/>
      <c r="Y6442" s="33"/>
      <c r="Z6442" s="33"/>
      <c r="AA6442" s="33"/>
      <c r="AB6442" s="33"/>
      <c r="AC6442" s="33"/>
      <c r="AD6442" s="33"/>
      <c r="AE6442" s="33"/>
      <c r="AF6442" s="33"/>
      <c r="AG6442" s="33"/>
      <c r="AH6442" s="33"/>
      <c r="AI6442" s="33"/>
      <c r="AJ6442" s="33"/>
      <c r="AK6442" s="33"/>
    </row>
    <row r="6443">
      <c r="A6443" s="33"/>
      <c r="B6443" s="33"/>
      <c r="C6443" s="33"/>
      <c r="D6443" s="33"/>
      <c r="E6443" s="33"/>
      <c r="F6443" s="33"/>
      <c r="G6443" s="33"/>
      <c r="H6443" s="33"/>
      <c r="I6443" s="33"/>
      <c r="J6443" s="33"/>
      <c r="K6443" s="33"/>
      <c r="L6443" s="33"/>
      <c r="M6443" s="33"/>
      <c r="N6443" s="33"/>
      <c r="O6443" s="33"/>
      <c r="P6443" s="33"/>
      <c r="Q6443" s="33"/>
      <c r="R6443" s="33"/>
      <c r="S6443" s="33"/>
      <c r="T6443" s="33"/>
      <c r="U6443" s="33"/>
      <c r="V6443" s="33"/>
      <c r="W6443" s="33"/>
      <c r="X6443" s="33"/>
      <c r="Y6443" s="33"/>
      <c r="Z6443" s="33"/>
      <c r="AA6443" s="33"/>
      <c r="AB6443" s="33"/>
      <c r="AC6443" s="33"/>
      <c r="AD6443" s="33"/>
      <c r="AE6443" s="33"/>
      <c r="AF6443" s="33"/>
      <c r="AG6443" s="33"/>
      <c r="AH6443" s="33"/>
      <c r="AI6443" s="33"/>
      <c r="AJ6443" s="33"/>
      <c r="AK6443" s="33"/>
    </row>
    <row r="6444">
      <c r="A6444" s="33"/>
      <c r="B6444" s="33"/>
      <c r="C6444" s="33"/>
      <c r="D6444" s="33"/>
      <c r="E6444" s="33"/>
      <c r="F6444" s="33"/>
      <c r="G6444" s="33"/>
      <c r="H6444" s="33"/>
      <c r="I6444" s="33"/>
      <c r="J6444" s="33"/>
      <c r="K6444" s="33"/>
      <c r="L6444" s="33"/>
      <c r="M6444" s="33"/>
      <c r="N6444" s="33"/>
      <c r="O6444" s="33"/>
      <c r="P6444" s="33"/>
      <c r="Q6444" s="33"/>
      <c r="R6444" s="33"/>
      <c r="S6444" s="33"/>
      <c r="T6444" s="33"/>
      <c r="U6444" s="33"/>
      <c r="V6444" s="33"/>
      <c r="W6444" s="33"/>
      <c r="X6444" s="33"/>
      <c r="Y6444" s="33"/>
      <c r="Z6444" s="33"/>
      <c r="AA6444" s="33"/>
      <c r="AB6444" s="33"/>
      <c r="AC6444" s="33"/>
      <c r="AD6444" s="33"/>
      <c r="AE6444" s="33"/>
      <c r="AF6444" s="33"/>
      <c r="AG6444" s="33"/>
      <c r="AH6444" s="33"/>
      <c r="AI6444" s="33"/>
      <c r="AJ6444" s="33"/>
      <c r="AK6444" s="33"/>
    </row>
    <row r="6445">
      <c r="A6445" s="33"/>
      <c r="B6445" s="33"/>
      <c r="C6445" s="33"/>
      <c r="D6445" s="33"/>
      <c r="E6445" s="33"/>
      <c r="F6445" s="33"/>
      <c r="G6445" s="33"/>
      <c r="H6445" s="33"/>
      <c r="I6445" s="33"/>
      <c r="J6445" s="33"/>
      <c r="K6445" s="33"/>
      <c r="L6445" s="33"/>
      <c r="M6445" s="33"/>
      <c r="N6445" s="33"/>
      <c r="O6445" s="33"/>
      <c r="P6445" s="33"/>
      <c r="Q6445" s="33"/>
      <c r="R6445" s="33"/>
      <c r="S6445" s="33"/>
      <c r="T6445" s="33"/>
      <c r="U6445" s="33"/>
      <c r="V6445" s="33"/>
      <c r="W6445" s="33"/>
      <c r="X6445" s="33"/>
      <c r="Y6445" s="33"/>
      <c r="Z6445" s="33"/>
      <c r="AA6445" s="33"/>
      <c r="AB6445" s="33"/>
      <c r="AC6445" s="33"/>
      <c r="AD6445" s="33"/>
      <c r="AE6445" s="33"/>
      <c r="AF6445" s="33"/>
      <c r="AG6445" s="33"/>
      <c r="AH6445" s="33"/>
      <c r="AI6445" s="33"/>
      <c r="AJ6445" s="33"/>
      <c r="AK6445" s="33"/>
    </row>
    <row r="6446">
      <c r="A6446" s="33"/>
      <c r="B6446" s="33"/>
      <c r="C6446" s="33"/>
      <c r="D6446" s="33"/>
      <c r="E6446" s="33"/>
      <c r="F6446" s="33"/>
      <c r="G6446" s="33"/>
      <c r="H6446" s="33"/>
      <c r="I6446" s="33"/>
      <c r="J6446" s="33"/>
      <c r="K6446" s="33"/>
      <c r="L6446" s="33"/>
      <c r="M6446" s="33"/>
      <c r="N6446" s="33"/>
      <c r="O6446" s="33"/>
      <c r="P6446" s="33"/>
      <c r="Q6446" s="33"/>
      <c r="R6446" s="33"/>
      <c r="S6446" s="33"/>
      <c r="T6446" s="33"/>
      <c r="U6446" s="33"/>
      <c r="V6446" s="33"/>
      <c r="W6446" s="33"/>
      <c r="X6446" s="33"/>
      <c r="Y6446" s="33"/>
      <c r="Z6446" s="33"/>
      <c r="AA6446" s="33"/>
      <c r="AB6446" s="33"/>
      <c r="AC6446" s="33"/>
      <c r="AD6446" s="33"/>
      <c r="AE6446" s="33"/>
      <c r="AF6446" s="33"/>
      <c r="AG6446" s="33"/>
      <c r="AH6446" s="33"/>
      <c r="AI6446" s="33"/>
      <c r="AJ6446" s="33"/>
      <c r="AK6446" s="33"/>
    </row>
    <row r="6447">
      <c r="A6447" s="33"/>
      <c r="B6447" s="33"/>
      <c r="C6447" s="33"/>
      <c r="D6447" s="33"/>
      <c r="E6447" s="33"/>
      <c r="F6447" s="33"/>
      <c r="G6447" s="33"/>
      <c r="H6447" s="33"/>
      <c r="I6447" s="33"/>
      <c r="J6447" s="33"/>
      <c r="K6447" s="33"/>
      <c r="L6447" s="33"/>
      <c r="M6447" s="33"/>
      <c r="N6447" s="33"/>
      <c r="O6447" s="33"/>
      <c r="P6447" s="33"/>
      <c r="Q6447" s="33"/>
      <c r="R6447" s="33"/>
      <c r="S6447" s="33"/>
      <c r="T6447" s="33"/>
      <c r="U6447" s="33"/>
      <c r="V6447" s="33"/>
      <c r="W6447" s="33"/>
      <c r="X6447" s="33"/>
      <c r="Y6447" s="33"/>
      <c r="Z6447" s="33"/>
      <c r="AA6447" s="33"/>
      <c r="AB6447" s="33"/>
      <c r="AC6447" s="33"/>
      <c r="AD6447" s="33"/>
      <c r="AE6447" s="33"/>
      <c r="AF6447" s="33"/>
      <c r="AG6447" s="33"/>
      <c r="AH6447" s="33"/>
      <c r="AI6447" s="33"/>
      <c r="AJ6447" s="33"/>
      <c r="AK6447" s="33"/>
    </row>
    <row r="6448">
      <c r="A6448" s="33"/>
      <c r="B6448" s="33"/>
      <c r="C6448" s="33"/>
      <c r="D6448" s="33"/>
      <c r="E6448" s="33"/>
      <c r="F6448" s="33"/>
      <c r="G6448" s="33"/>
      <c r="H6448" s="33"/>
      <c r="I6448" s="33"/>
      <c r="J6448" s="33"/>
      <c r="K6448" s="33"/>
      <c r="L6448" s="33"/>
      <c r="M6448" s="33"/>
      <c r="N6448" s="33"/>
      <c r="O6448" s="33"/>
      <c r="P6448" s="33"/>
      <c r="Q6448" s="33"/>
      <c r="R6448" s="33"/>
      <c r="S6448" s="33"/>
      <c r="T6448" s="33"/>
      <c r="U6448" s="33"/>
      <c r="V6448" s="33"/>
      <c r="W6448" s="33"/>
      <c r="X6448" s="33"/>
      <c r="Y6448" s="33"/>
      <c r="Z6448" s="33"/>
      <c r="AA6448" s="33"/>
      <c r="AB6448" s="33"/>
      <c r="AC6448" s="33"/>
      <c r="AD6448" s="33"/>
      <c r="AE6448" s="33"/>
      <c r="AF6448" s="33"/>
      <c r="AG6448" s="33"/>
      <c r="AH6448" s="33"/>
      <c r="AI6448" s="33"/>
      <c r="AJ6448" s="33"/>
      <c r="AK6448" s="33"/>
    </row>
    <row r="6449">
      <c r="A6449" s="33"/>
      <c r="B6449" s="33"/>
      <c r="C6449" s="33"/>
      <c r="D6449" s="33"/>
      <c r="E6449" s="33"/>
      <c r="F6449" s="33"/>
      <c r="G6449" s="33"/>
      <c r="H6449" s="33"/>
      <c r="I6449" s="33"/>
      <c r="J6449" s="33"/>
      <c r="K6449" s="33"/>
      <c r="L6449" s="33"/>
      <c r="M6449" s="33"/>
      <c r="N6449" s="33"/>
      <c r="O6449" s="33"/>
      <c r="P6449" s="33"/>
      <c r="Q6449" s="33"/>
      <c r="R6449" s="33"/>
      <c r="S6449" s="33"/>
      <c r="T6449" s="33"/>
      <c r="U6449" s="33"/>
      <c r="V6449" s="33"/>
      <c r="W6449" s="33"/>
      <c r="X6449" s="33"/>
      <c r="Y6449" s="33"/>
      <c r="Z6449" s="33"/>
      <c r="AA6449" s="33"/>
      <c r="AB6449" s="33"/>
      <c r="AC6449" s="33"/>
      <c r="AD6449" s="33"/>
      <c r="AE6449" s="33"/>
      <c r="AF6449" s="33"/>
      <c r="AG6449" s="33"/>
      <c r="AH6449" s="33"/>
      <c r="AI6449" s="33"/>
      <c r="AJ6449" s="33"/>
      <c r="AK6449" s="33"/>
    </row>
    <row r="6450">
      <c r="A6450" s="33"/>
      <c r="B6450" s="33"/>
      <c r="C6450" s="33"/>
      <c r="D6450" s="33"/>
      <c r="E6450" s="33"/>
      <c r="F6450" s="33"/>
      <c r="G6450" s="33"/>
      <c r="H6450" s="33"/>
      <c r="I6450" s="33"/>
      <c r="J6450" s="33"/>
      <c r="K6450" s="33"/>
      <c r="L6450" s="33"/>
      <c r="M6450" s="33"/>
      <c r="N6450" s="33"/>
      <c r="O6450" s="33"/>
      <c r="P6450" s="33"/>
      <c r="Q6450" s="33"/>
      <c r="R6450" s="33"/>
      <c r="S6450" s="33"/>
      <c r="T6450" s="33"/>
      <c r="U6450" s="33"/>
      <c r="V6450" s="33"/>
      <c r="W6450" s="33"/>
      <c r="X6450" s="33"/>
      <c r="Y6450" s="33"/>
      <c r="Z6450" s="33"/>
      <c r="AA6450" s="33"/>
      <c r="AB6450" s="33"/>
      <c r="AC6450" s="33"/>
      <c r="AD6450" s="33"/>
      <c r="AE6450" s="33"/>
      <c r="AF6450" s="33"/>
      <c r="AG6450" s="33"/>
      <c r="AH6450" s="33"/>
      <c r="AI6450" s="33"/>
      <c r="AJ6450" s="33"/>
      <c r="AK6450" s="33"/>
    </row>
    <row r="6451">
      <c r="A6451" s="33"/>
      <c r="B6451" s="33"/>
      <c r="C6451" s="33"/>
      <c r="D6451" s="33"/>
      <c r="E6451" s="33"/>
      <c r="F6451" s="33"/>
      <c r="G6451" s="33"/>
      <c r="H6451" s="33"/>
      <c r="I6451" s="33"/>
      <c r="J6451" s="33"/>
      <c r="K6451" s="33"/>
      <c r="L6451" s="33"/>
      <c r="M6451" s="33"/>
      <c r="N6451" s="33"/>
      <c r="O6451" s="33"/>
      <c r="P6451" s="33"/>
      <c r="Q6451" s="33"/>
      <c r="R6451" s="33"/>
      <c r="S6451" s="33"/>
      <c r="T6451" s="33"/>
      <c r="U6451" s="33"/>
      <c r="V6451" s="33"/>
      <c r="W6451" s="33"/>
      <c r="X6451" s="33"/>
      <c r="Y6451" s="33"/>
      <c r="Z6451" s="33"/>
      <c r="AA6451" s="33"/>
      <c r="AB6451" s="33"/>
      <c r="AC6451" s="33"/>
      <c r="AD6451" s="33"/>
      <c r="AE6451" s="33"/>
      <c r="AF6451" s="33"/>
      <c r="AG6451" s="33"/>
      <c r="AH6451" s="33"/>
      <c r="AI6451" s="33"/>
      <c r="AJ6451" s="33"/>
      <c r="AK6451" s="33"/>
    </row>
    <row r="6452">
      <c r="A6452" s="33"/>
      <c r="B6452" s="33"/>
      <c r="C6452" s="33"/>
      <c r="D6452" s="33"/>
      <c r="E6452" s="33"/>
      <c r="F6452" s="33"/>
      <c r="G6452" s="33"/>
      <c r="H6452" s="33"/>
      <c r="I6452" s="33"/>
      <c r="J6452" s="33"/>
      <c r="K6452" s="33"/>
      <c r="L6452" s="33"/>
      <c r="M6452" s="33"/>
      <c r="N6452" s="33"/>
      <c r="O6452" s="33"/>
      <c r="P6452" s="33"/>
      <c r="Q6452" s="33"/>
      <c r="R6452" s="33"/>
      <c r="S6452" s="33"/>
      <c r="T6452" s="33"/>
      <c r="U6452" s="33"/>
      <c r="V6452" s="33"/>
      <c r="W6452" s="33"/>
      <c r="X6452" s="33"/>
      <c r="Y6452" s="33"/>
      <c r="Z6452" s="33"/>
      <c r="AA6452" s="33"/>
      <c r="AB6452" s="33"/>
      <c r="AC6452" s="33"/>
      <c r="AD6452" s="33"/>
      <c r="AE6452" s="33"/>
      <c r="AF6452" s="33"/>
      <c r="AG6452" s="33"/>
      <c r="AH6452" s="33"/>
      <c r="AI6452" s="33"/>
      <c r="AJ6452" s="33"/>
      <c r="AK6452" s="33"/>
    </row>
    <row r="6453">
      <c r="A6453" s="33"/>
      <c r="B6453" s="33"/>
      <c r="C6453" s="33"/>
      <c r="D6453" s="33"/>
      <c r="E6453" s="33"/>
      <c r="F6453" s="33"/>
      <c r="G6453" s="33"/>
      <c r="H6453" s="33"/>
      <c r="I6453" s="33"/>
      <c r="J6453" s="33"/>
      <c r="K6453" s="33"/>
      <c r="L6453" s="33"/>
      <c r="M6453" s="33"/>
      <c r="N6453" s="33"/>
      <c r="O6453" s="33"/>
      <c r="P6453" s="33"/>
      <c r="Q6453" s="33"/>
      <c r="R6453" s="33"/>
      <c r="S6453" s="33"/>
      <c r="T6453" s="33"/>
      <c r="U6453" s="33"/>
      <c r="V6453" s="33"/>
      <c r="W6453" s="33"/>
      <c r="X6453" s="33"/>
      <c r="Y6453" s="33"/>
      <c r="Z6453" s="33"/>
      <c r="AA6453" s="33"/>
      <c r="AB6453" s="33"/>
      <c r="AC6453" s="33"/>
      <c r="AD6453" s="33"/>
      <c r="AE6453" s="33"/>
      <c r="AF6453" s="33"/>
      <c r="AG6453" s="33"/>
      <c r="AH6453" s="33"/>
      <c r="AI6453" s="33"/>
      <c r="AJ6453" s="33"/>
      <c r="AK6453" s="33"/>
    </row>
    <row r="6454">
      <c r="A6454" s="33"/>
      <c r="B6454" s="33"/>
      <c r="C6454" s="33"/>
      <c r="D6454" s="33"/>
      <c r="E6454" s="33"/>
      <c r="F6454" s="33"/>
      <c r="G6454" s="33"/>
      <c r="H6454" s="33"/>
      <c r="I6454" s="33"/>
      <c r="J6454" s="33"/>
      <c r="K6454" s="33"/>
      <c r="L6454" s="33"/>
      <c r="M6454" s="33"/>
      <c r="N6454" s="33"/>
      <c r="O6454" s="33"/>
      <c r="P6454" s="33"/>
      <c r="Q6454" s="33"/>
      <c r="R6454" s="33"/>
      <c r="S6454" s="33"/>
      <c r="T6454" s="33"/>
      <c r="U6454" s="33"/>
      <c r="V6454" s="33"/>
      <c r="W6454" s="33"/>
      <c r="X6454" s="33"/>
      <c r="Y6454" s="33"/>
      <c r="Z6454" s="33"/>
      <c r="AA6454" s="33"/>
      <c r="AB6454" s="33"/>
      <c r="AC6454" s="33"/>
      <c r="AD6454" s="33"/>
      <c r="AE6454" s="33"/>
      <c r="AF6454" s="33"/>
      <c r="AG6454" s="33"/>
      <c r="AH6454" s="33"/>
      <c r="AI6454" s="33"/>
      <c r="AJ6454" s="33"/>
      <c r="AK6454" s="33"/>
    </row>
    <row r="6455">
      <c r="A6455" s="33"/>
      <c r="B6455" s="33"/>
      <c r="C6455" s="33"/>
      <c r="D6455" s="33"/>
      <c r="E6455" s="33"/>
      <c r="F6455" s="33"/>
      <c r="G6455" s="33"/>
      <c r="H6455" s="33"/>
      <c r="I6455" s="33"/>
      <c r="J6455" s="33"/>
      <c r="K6455" s="33"/>
      <c r="L6455" s="33"/>
      <c r="M6455" s="33"/>
      <c r="N6455" s="33"/>
      <c r="O6455" s="33"/>
      <c r="P6455" s="33"/>
      <c r="Q6455" s="33"/>
      <c r="R6455" s="33"/>
      <c r="S6455" s="33"/>
      <c r="T6455" s="33"/>
      <c r="U6455" s="33"/>
      <c r="V6455" s="33"/>
      <c r="W6455" s="33"/>
      <c r="X6455" s="33"/>
      <c r="Y6455" s="33"/>
      <c r="Z6455" s="33"/>
      <c r="AA6455" s="33"/>
      <c r="AB6455" s="33"/>
      <c r="AC6455" s="33"/>
      <c r="AD6455" s="33"/>
      <c r="AE6455" s="33"/>
      <c r="AF6455" s="33"/>
      <c r="AG6455" s="33"/>
      <c r="AH6455" s="33"/>
      <c r="AI6455" s="33"/>
      <c r="AJ6455" s="33"/>
      <c r="AK6455" s="33"/>
    </row>
    <row r="6456">
      <c r="A6456" s="33"/>
      <c r="B6456" s="33"/>
      <c r="C6456" s="33"/>
      <c r="D6456" s="33"/>
      <c r="E6456" s="33"/>
      <c r="F6456" s="33"/>
      <c r="G6456" s="33"/>
      <c r="H6456" s="33"/>
      <c r="I6456" s="33"/>
      <c r="J6456" s="33"/>
      <c r="K6456" s="33"/>
      <c r="L6456" s="33"/>
      <c r="M6456" s="33"/>
      <c r="N6456" s="33"/>
      <c r="O6456" s="33"/>
      <c r="P6456" s="33"/>
      <c r="Q6456" s="33"/>
      <c r="R6456" s="33"/>
      <c r="S6456" s="33"/>
      <c r="T6456" s="33"/>
      <c r="U6456" s="33"/>
      <c r="V6456" s="33"/>
      <c r="W6456" s="33"/>
      <c r="X6456" s="33"/>
      <c r="Y6456" s="33"/>
      <c r="Z6456" s="33"/>
      <c r="AA6456" s="33"/>
      <c r="AB6456" s="33"/>
      <c r="AC6456" s="33"/>
      <c r="AD6456" s="33"/>
      <c r="AE6456" s="33"/>
      <c r="AF6456" s="33"/>
      <c r="AG6456" s="33"/>
      <c r="AH6456" s="33"/>
      <c r="AI6456" s="33"/>
      <c r="AJ6456" s="33"/>
      <c r="AK6456" s="33"/>
    </row>
    <row r="6457">
      <c r="A6457" s="33"/>
      <c r="B6457" s="33"/>
      <c r="C6457" s="33"/>
      <c r="D6457" s="33"/>
      <c r="E6457" s="33"/>
      <c r="F6457" s="33"/>
      <c r="G6457" s="33"/>
      <c r="H6457" s="33"/>
      <c r="I6457" s="33"/>
      <c r="J6457" s="33"/>
      <c r="K6457" s="33"/>
      <c r="L6457" s="33"/>
      <c r="M6457" s="33"/>
      <c r="N6457" s="33"/>
      <c r="O6457" s="33"/>
      <c r="P6457" s="33"/>
      <c r="Q6457" s="33"/>
      <c r="R6457" s="33"/>
      <c r="S6457" s="33"/>
      <c r="T6457" s="33"/>
      <c r="U6457" s="33"/>
      <c r="V6457" s="33"/>
      <c r="W6457" s="33"/>
      <c r="X6457" s="33"/>
      <c r="Y6457" s="33"/>
      <c r="Z6457" s="33"/>
      <c r="AA6457" s="33"/>
      <c r="AB6457" s="33"/>
      <c r="AC6457" s="33"/>
      <c r="AD6457" s="33"/>
      <c r="AE6457" s="33"/>
      <c r="AF6457" s="33"/>
      <c r="AG6457" s="33"/>
      <c r="AH6457" s="33"/>
      <c r="AI6457" s="33"/>
      <c r="AJ6457" s="33"/>
      <c r="AK6457" s="33"/>
    </row>
    <row r="6458">
      <c r="A6458" s="33"/>
      <c r="B6458" s="33"/>
      <c r="C6458" s="33"/>
      <c r="D6458" s="33"/>
      <c r="E6458" s="33"/>
      <c r="F6458" s="33"/>
      <c r="G6458" s="33"/>
      <c r="H6458" s="33"/>
      <c r="I6458" s="33"/>
      <c r="J6458" s="33"/>
      <c r="K6458" s="33"/>
      <c r="L6458" s="33"/>
      <c r="M6458" s="33"/>
      <c r="N6458" s="33"/>
      <c r="O6458" s="33"/>
      <c r="P6458" s="33"/>
      <c r="Q6458" s="33"/>
      <c r="R6458" s="33"/>
      <c r="S6458" s="33"/>
      <c r="T6458" s="33"/>
      <c r="U6458" s="33"/>
      <c r="V6458" s="33"/>
      <c r="W6458" s="33"/>
      <c r="X6458" s="33"/>
      <c r="Y6458" s="33"/>
      <c r="Z6458" s="33"/>
      <c r="AA6458" s="33"/>
      <c r="AB6458" s="33"/>
      <c r="AC6458" s="33"/>
      <c r="AD6458" s="33"/>
      <c r="AE6458" s="33"/>
      <c r="AF6458" s="33"/>
      <c r="AG6458" s="33"/>
      <c r="AH6458" s="33"/>
      <c r="AI6458" s="33"/>
      <c r="AJ6458" s="33"/>
      <c r="AK6458" s="33"/>
    </row>
    <row r="6459">
      <c r="A6459" s="33"/>
      <c r="B6459" s="33"/>
      <c r="C6459" s="33"/>
      <c r="D6459" s="33"/>
      <c r="E6459" s="33"/>
      <c r="F6459" s="33"/>
      <c r="G6459" s="33"/>
      <c r="H6459" s="33"/>
      <c r="I6459" s="33"/>
      <c r="J6459" s="33"/>
      <c r="K6459" s="33"/>
      <c r="L6459" s="33"/>
      <c r="M6459" s="33"/>
      <c r="N6459" s="33"/>
      <c r="O6459" s="33"/>
      <c r="P6459" s="33"/>
      <c r="Q6459" s="33"/>
      <c r="R6459" s="33"/>
      <c r="S6459" s="33"/>
      <c r="T6459" s="33"/>
      <c r="U6459" s="33"/>
      <c r="V6459" s="33"/>
      <c r="W6459" s="33"/>
      <c r="X6459" s="33"/>
      <c r="Y6459" s="33"/>
      <c r="Z6459" s="33"/>
      <c r="AA6459" s="33"/>
      <c r="AB6459" s="33"/>
      <c r="AC6459" s="33"/>
      <c r="AD6459" s="33"/>
      <c r="AE6459" s="33"/>
      <c r="AF6459" s="33"/>
      <c r="AG6459" s="33"/>
      <c r="AH6459" s="33"/>
      <c r="AI6459" s="33"/>
      <c r="AJ6459" s="33"/>
      <c r="AK6459" s="33"/>
    </row>
    <row r="6460">
      <c r="A6460" s="33"/>
      <c r="B6460" s="33"/>
      <c r="C6460" s="33"/>
      <c r="D6460" s="33"/>
      <c r="E6460" s="33"/>
      <c r="F6460" s="33"/>
      <c r="G6460" s="33"/>
      <c r="H6460" s="33"/>
      <c r="I6460" s="33"/>
      <c r="J6460" s="33"/>
      <c r="K6460" s="33"/>
      <c r="L6460" s="33"/>
      <c r="M6460" s="33"/>
      <c r="N6460" s="33"/>
      <c r="O6460" s="33"/>
      <c r="P6460" s="33"/>
      <c r="Q6460" s="33"/>
      <c r="R6460" s="33"/>
      <c r="S6460" s="33"/>
      <c r="T6460" s="33"/>
      <c r="U6460" s="33"/>
      <c r="V6460" s="33"/>
      <c r="W6460" s="33"/>
      <c r="X6460" s="33"/>
      <c r="Y6460" s="33"/>
      <c r="Z6460" s="33"/>
      <c r="AA6460" s="33"/>
      <c r="AB6460" s="33"/>
      <c r="AC6460" s="33"/>
      <c r="AD6460" s="33"/>
      <c r="AE6460" s="33"/>
      <c r="AF6460" s="33"/>
      <c r="AG6460" s="33"/>
      <c r="AH6460" s="33"/>
      <c r="AI6460" s="33"/>
      <c r="AJ6460" s="33"/>
      <c r="AK6460" s="33"/>
    </row>
    <row r="6461">
      <c r="A6461" s="33"/>
      <c r="B6461" s="33"/>
      <c r="C6461" s="33"/>
      <c r="D6461" s="33"/>
      <c r="E6461" s="33"/>
      <c r="F6461" s="33"/>
      <c r="G6461" s="33"/>
      <c r="H6461" s="33"/>
      <c r="I6461" s="33"/>
      <c r="J6461" s="33"/>
      <c r="K6461" s="33"/>
      <c r="L6461" s="33"/>
      <c r="M6461" s="33"/>
      <c r="N6461" s="33"/>
      <c r="O6461" s="33"/>
      <c r="P6461" s="33"/>
      <c r="Q6461" s="33"/>
      <c r="R6461" s="33"/>
      <c r="S6461" s="33"/>
      <c r="T6461" s="33"/>
      <c r="U6461" s="33"/>
      <c r="V6461" s="33"/>
      <c r="W6461" s="33"/>
      <c r="X6461" s="33"/>
      <c r="Y6461" s="33"/>
      <c r="Z6461" s="33"/>
      <c r="AA6461" s="33"/>
      <c r="AB6461" s="33"/>
      <c r="AC6461" s="33"/>
      <c r="AD6461" s="33"/>
      <c r="AE6461" s="33"/>
      <c r="AF6461" s="33"/>
      <c r="AG6461" s="33"/>
      <c r="AH6461" s="33"/>
      <c r="AI6461" s="33"/>
      <c r="AJ6461" s="33"/>
      <c r="AK6461" s="33"/>
    </row>
    <row r="6462">
      <c r="A6462" s="33"/>
      <c r="B6462" s="33"/>
      <c r="C6462" s="33"/>
      <c r="D6462" s="33"/>
      <c r="E6462" s="33"/>
      <c r="F6462" s="33"/>
      <c r="G6462" s="33"/>
      <c r="H6462" s="33"/>
      <c r="I6462" s="33"/>
      <c r="J6462" s="33"/>
      <c r="K6462" s="33"/>
      <c r="L6462" s="33"/>
      <c r="M6462" s="33"/>
      <c r="N6462" s="33"/>
      <c r="O6462" s="33"/>
      <c r="P6462" s="33"/>
      <c r="Q6462" s="33"/>
      <c r="R6462" s="33"/>
      <c r="S6462" s="33"/>
      <c r="T6462" s="33"/>
      <c r="U6462" s="33"/>
      <c r="V6462" s="33"/>
      <c r="W6462" s="33"/>
      <c r="X6462" s="33"/>
      <c r="Y6462" s="33"/>
      <c r="Z6462" s="33"/>
      <c r="AA6462" s="33"/>
      <c r="AB6462" s="33"/>
      <c r="AC6462" s="33"/>
      <c r="AD6462" s="33"/>
      <c r="AE6462" s="33"/>
      <c r="AF6462" s="33"/>
      <c r="AG6462" s="33"/>
      <c r="AH6462" s="33"/>
      <c r="AI6462" s="33"/>
      <c r="AJ6462" s="33"/>
      <c r="AK6462" s="33"/>
    </row>
    <row r="6463">
      <c r="A6463" s="33"/>
      <c r="B6463" s="33"/>
      <c r="C6463" s="33"/>
      <c r="D6463" s="33"/>
      <c r="E6463" s="33"/>
      <c r="F6463" s="33"/>
      <c r="G6463" s="33"/>
      <c r="H6463" s="33"/>
      <c r="I6463" s="33"/>
      <c r="J6463" s="33"/>
      <c r="K6463" s="33"/>
      <c r="L6463" s="33"/>
      <c r="M6463" s="33"/>
      <c r="N6463" s="33"/>
      <c r="O6463" s="33"/>
      <c r="P6463" s="33"/>
      <c r="Q6463" s="33"/>
      <c r="R6463" s="33"/>
      <c r="S6463" s="33"/>
      <c r="T6463" s="33"/>
      <c r="U6463" s="33"/>
      <c r="V6463" s="33"/>
      <c r="W6463" s="33"/>
      <c r="X6463" s="33"/>
      <c r="Y6463" s="33"/>
      <c r="Z6463" s="33"/>
      <c r="AA6463" s="33"/>
      <c r="AB6463" s="33"/>
      <c r="AC6463" s="33"/>
      <c r="AD6463" s="33"/>
      <c r="AE6463" s="33"/>
      <c r="AF6463" s="33"/>
      <c r="AG6463" s="33"/>
      <c r="AH6463" s="33"/>
      <c r="AI6463" s="33"/>
      <c r="AJ6463" s="33"/>
      <c r="AK6463" s="33"/>
    </row>
    <row r="6464">
      <c r="A6464" s="33"/>
      <c r="B6464" s="33"/>
      <c r="C6464" s="33"/>
      <c r="D6464" s="33"/>
      <c r="E6464" s="33"/>
      <c r="F6464" s="33"/>
      <c r="G6464" s="33"/>
      <c r="H6464" s="33"/>
      <c r="I6464" s="33"/>
      <c r="J6464" s="33"/>
      <c r="K6464" s="33"/>
      <c r="L6464" s="33"/>
      <c r="M6464" s="33"/>
      <c r="N6464" s="33"/>
      <c r="O6464" s="33"/>
      <c r="P6464" s="33"/>
      <c r="Q6464" s="33"/>
      <c r="R6464" s="33"/>
      <c r="S6464" s="33"/>
      <c r="T6464" s="33"/>
      <c r="U6464" s="33"/>
      <c r="V6464" s="33"/>
      <c r="W6464" s="33"/>
      <c r="X6464" s="33"/>
      <c r="Y6464" s="33"/>
      <c r="Z6464" s="33"/>
      <c r="AA6464" s="33"/>
      <c r="AB6464" s="33"/>
      <c r="AC6464" s="33"/>
      <c r="AD6464" s="33"/>
      <c r="AE6464" s="33"/>
      <c r="AF6464" s="33"/>
      <c r="AG6464" s="33"/>
      <c r="AH6464" s="33"/>
      <c r="AI6464" s="33"/>
      <c r="AJ6464" s="33"/>
      <c r="AK6464" s="33"/>
    </row>
    <row r="6465">
      <c r="A6465" s="33"/>
      <c r="B6465" s="33"/>
      <c r="C6465" s="33"/>
      <c r="D6465" s="33"/>
      <c r="E6465" s="33"/>
      <c r="F6465" s="33"/>
      <c r="G6465" s="33"/>
      <c r="H6465" s="33"/>
      <c r="I6465" s="33"/>
      <c r="J6465" s="33"/>
      <c r="K6465" s="33"/>
      <c r="L6465" s="33"/>
      <c r="M6465" s="33"/>
      <c r="N6465" s="33"/>
      <c r="O6465" s="33"/>
      <c r="P6465" s="33"/>
      <c r="Q6465" s="33"/>
      <c r="R6465" s="33"/>
      <c r="S6465" s="33"/>
      <c r="T6465" s="33"/>
      <c r="U6465" s="33"/>
      <c r="V6465" s="33"/>
      <c r="W6465" s="33"/>
      <c r="X6465" s="33"/>
      <c r="Y6465" s="33"/>
      <c r="Z6465" s="33"/>
      <c r="AA6465" s="33"/>
      <c r="AB6465" s="33"/>
      <c r="AC6465" s="33"/>
      <c r="AD6465" s="33"/>
      <c r="AE6465" s="33"/>
      <c r="AF6465" s="33"/>
      <c r="AG6465" s="33"/>
      <c r="AH6465" s="33"/>
      <c r="AI6465" s="33"/>
      <c r="AJ6465" s="33"/>
      <c r="AK6465" s="33"/>
    </row>
    <row r="6466">
      <c r="A6466" s="33"/>
      <c r="B6466" s="33"/>
      <c r="C6466" s="33"/>
      <c r="D6466" s="33"/>
      <c r="E6466" s="33"/>
      <c r="F6466" s="33"/>
      <c r="G6466" s="33"/>
      <c r="H6466" s="33"/>
      <c r="I6466" s="33"/>
      <c r="J6466" s="33"/>
      <c r="K6466" s="33"/>
      <c r="L6466" s="33"/>
      <c r="M6466" s="33"/>
      <c r="N6466" s="33"/>
      <c r="O6466" s="33"/>
      <c r="P6466" s="33"/>
      <c r="Q6466" s="33"/>
      <c r="R6466" s="33"/>
      <c r="S6466" s="33"/>
      <c r="T6466" s="33"/>
      <c r="U6466" s="33"/>
      <c r="V6466" s="33"/>
      <c r="W6466" s="33"/>
      <c r="X6466" s="33"/>
      <c r="Y6466" s="33"/>
      <c r="Z6466" s="33"/>
      <c r="AA6466" s="33"/>
      <c r="AB6466" s="33"/>
      <c r="AC6466" s="33"/>
      <c r="AD6466" s="33"/>
      <c r="AE6466" s="33"/>
      <c r="AF6466" s="33"/>
      <c r="AG6466" s="33"/>
      <c r="AH6466" s="33"/>
      <c r="AI6466" s="33"/>
      <c r="AJ6466" s="33"/>
      <c r="AK6466" s="33"/>
    </row>
    <row r="6467">
      <c r="A6467" s="33"/>
      <c r="B6467" s="33"/>
      <c r="C6467" s="33"/>
      <c r="D6467" s="33"/>
      <c r="E6467" s="33"/>
      <c r="F6467" s="33"/>
      <c r="G6467" s="33"/>
      <c r="H6467" s="33"/>
      <c r="I6467" s="33"/>
      <c r="J6467" s="33"/>
      <c r="K6467" s="33"/>
      <c r="L6467" s="33"/>
      <c r="M6467" s="33"/>
      <c r="N6467" s="33"/>
      <c r="O6467" s="33"/>
      <c r="P6467" s="33"/>
      <c r="Q6467" s="33"/>
      <c r="R6467" s="33"/>
      <c r="S6467" s="33"/>
      <c r="T6467" s="33"/>
      <c r="U6467" s="33"/>
      <c r="V6467" s="33"/>
      <c r="W6467" s="33"/>
      <c r="X6467" s="33"/>
      <c r="Y6467" s="33"/>
      <c r="Z6467" s="33"/>
      <c r="AA6467" s="33"/>
      <c r="AB6467" s="33"/>
      <c r="AC6467" s="33"/>
      <c r="AD6467" s="33"/>
      <c r="AE6467" s="33"/>
      <c r="AF6467" s="33"/>
      <c r="AG6467" s="33"/>
      <c r="AH6467" s="33"/>
      <c r="AI6467" s="33"/>
      <c r="AJ6467" s="33"/>
      <c r="AK6467" s="33"/>
    </row>
    <row r="6468">
      <c r="A6468" s="33"/>
      <c r="B6468" s="33"/>
      <c r="C6468" s="33"/>
      <c r="D6468" s="33"/>
      <c r="E6468" s="33"/>
      <c r="F6468" s="33"/>
      <c r="G6468" s="33"/>
      <c r="H6468" s="33"/>
      <c r="I6468" s="33"/>
      <c r="J6468" s="33"/>
      <c r="K6468" s="33"/>
      <c r="L6468" s="33"/>
      <c r="M6468" s="33"/>
      <c r="N6468" s="33"/>
      <c r="O6468" s="33"/>
      <c r="P6468" s="33"/>
      <c r="Q6468" s="33"/>
      <c r="R6468" s="33"/>
      <c r="S6468" s="33"/>
      <c r="T6468" s="33"/>
      <c r="U6468" s="33"/>
      <c r="V6468" s="33"/>
      <c r="W6468" s="33"/>
      <c r="X6468" s="33"/>
      <c r="Y6468" s="33"/>
      <c r="Z6468" s="33"/>
      <c r="AA6468" s="33"/>
      <c r="AB6468" s="33"/>
      <c r="AC6468" s="33"/>
      <c r="AD6468" s="33"/>
      <c r="AE6468" s="33"/>
      <c r="AF6468" s="33"/>
      <c r="AG6468" s="33"/>
      <c r="AH6468" s="33"/>
      <c r="AI6468" s="33"/>
      <c r="AJ6468" s="33"/>
      <c r="AK6468" s="33"/>
    </row>
    <row r="6469">
      <c r="A6469" s="33"/>
      <c r="B6469" s="33"/>
      <c r="C6469" s="33"/>
      <c r="D6469" s="33"/>
      <c r="E6469" s="33"/>
      <c r="F6469" s="33"/>
      <c r="G6469" s="33"/>
      <c r="H6469" s="33"/>
      <c r="I6469" s="33"/>
      <c r="J6469" s="33"/>
      <c r="K6469" s="33"/>
      <c r="L6469" s="33"/>
      <c r="M6469" s="33"/>
      <c r="N6469" s="33"/>
      <c r="O6469" s="33"/>
      <c r="P6469" s="33"/>
      <c r="Q6469" s="33"/>
      <c r="R6469" s="33"/>
      <c r="S6469" s="33"/>
      <c r="T6469" s="33"/>
      <c r="U6469" s="33"/>
      <c r="V6469" s="33"/>
      <c r="W6469" s="33"/>
      <c r="X6469" s="33"/>
      <c r="Y6469" s="33"/>
      <c r="Z6469" s="33"/>
      <c r="AA6469" s="33"/>
      <c r="AB6469" s="33"/>
      <c r="AC6469" s="33"/>
      <c r="AD6469" s="33"/>
      <c r="AE6469" s="33"/>
      <c r="AF6469" s="33"/>
      <c r="AG6469" s="33"/>
      <c r="AH6469" s="33"/>
      <c r="AI6469" s="33"/>
      <c r="AJ6469" s="33"/>
      <c r="AK6469" s="33"/>
    </row>
    <row r="6470">
      <c r="A6470" s="33"/>
      <c r="B6470" s="33"/>
      <c r="C6470" s="33"/>
      <c r="D6470" s="33"/>
      <c r="E6470" s="33"/>
      <c r="F6470" s="33"/>
      <c r="G6470" s="33"/>
      <c r="H6470" s="33"/>
      <c r="I6470" s="33"/>
      <c r="J6470" s="33"/>
      <c r="K6470" s="33"/>
      <c r="L6470" s="33"/>
      <c r="M6470" s="33"/>
      <c r="N6470" s="33"/>
      <c r="O6470" s="33"/>
      <c r="P6470" s="33"/>
      <c r="Q6470" s="33"/>
      <c r="R6470" s="33"/>
      <c r="S6470" s="33"/>
      <c r="T6470" s="33"/>
      <c r="U6470" s="33"/>
      <c r="V6470" s="33"/>
      <c r="W6470" s="33"/>
      <c r="X6470" s="33"/>
      <c r="Y6470" s="33"/>
      <c r="Z6470" s="33"/>
      <c r="AA6470" s="33"/>
      <c r="AB6470" s="33"/>
      <c r="AC6470" s="33"/>
      <c r="AD6470" s="33"/>
      <c r="AE6470" s="33"/>
      <c r="AF6470" s="33"/>
      <c r="AG6470" s="33"/>
      <c r="AH6470" s="33"/>
      <c r="AI6470" s="33"/>
      <c r="AJ6470" s="33"/>
      <c r="AK6470" s="33"/>
    </row>
    <row r="6471">
      <c r="A6471" s="33"/>
      <c r="B6471" s="33"/>
      <c r="C6471" s="33"/>
      <c r="D6471" s="33"/>
      <c r="E6471" s="33"/>
      <c r="F6471" s="33"/>
      <c r="G6471" s="33"/>
      <c r="H6471" s="33"/>
      <c r="I6471" s="33"/>
      <c r="J6471" s="33"/>
      <c r="K6471" s="33"/>
      <c r="L6471" s="33"/>
      <c r="M6471" s="33"/>
      <c r="N6471" s="33"/>
      <c r="O6471" s="33"/>
      <c r="P6471" s="33"/>
      <c r="Q6471" s="33"/>
      <c r="R6471" s="33"/>
      <c r="S6471" s="33"/>
      <c r="T6471" s="33"/>
      <c r="U6471" s="33"/>
      <c r="V6471" s="33"/>
      <c r="W6471" s="33"/>
      <c r="X6471" s="33"/>
      <c r="Y6471" s="33"/>
      <c r="Z6471" s="33"/>
      <c r="AA6471" s="33"/>
      <c r="AB6471" s="33"/>
      <c r="AC6471" s="33"/>
      <c r="AD6471" s="33"/>
      <c r="AE6471" s="33"/>
      <c r="AF6471" s="33"/>
      <c r="AG6471" s="33"/>
      <c r="AH6471" s="33"/>
      <c r="AI6471" s="33"/>
      <c r="AJ6471" s="33"/>
      <c r="AK6471" s="33"/>
    </row>
    <row r="6472">
      <c r="A6472" s="33"/>
      <c r="B6472" s="33"/>
      <c r="C6472" s="33"/>
      <c r="D6472" s="33"/>
      <c r="E6472" s="33"/>
      <c r="F6472" s="33"/>
      <c r="G6472" s="33"/>
      <c r="H6472" s="33"/>
      <c r="I6472" s="33"/>
      <c r="J6472" s="33"/>
      <c r="K6472" s="33"/>
      <c r="L6472" s="33"/>
      <c r="M6472" s="33"/>
      <c r="N6472" s="33"/>
      <c r="O6472" s="33"/>
      <c r="P6472" s="33"/>
      <c r="Q6472" s="33"/>
      <c r="R6472" s="33"/>
      <c r="S6472" s="33"/>
      <c r="T6472" s="33"/>
      <c r="U6472" s="33"/>
      <c r="V6472" s="33"/>
      <c r="W6472" s="33"/>
      <c r="X6472" s="33"/>
      <c r="Y6472" s="33"/>
      <c r="Z6472" s="33"/>
      <c r="AA6472" s="33"/>
      <c r="AB6472" s="33"/>
      <c r="AC6472" s="33"/>
      <c r="AD6472" s="33"/>
      <c r="AE6472" s="33"/>
      <c r="AF6472" s="33"/>
      <c r="AG6472" s="33"/>
      <c r="AH6472" s="33"/>
      <c r="AI6472" s="33"/>
      <c r="AJ6472" s="33"/>
      <c r="AK6472" s="33"/>
    </row>
    <row r="6473">
      <c r="A6473" s="33"/>
      <c r="B6473" s="33"/>
      <c r="C6473" s="33"/>
      <c r="D6473" s="33"/>
      <c r="E6473" s="33"/>
      <c r="F6473" s="33"/>
      <c r="G6473" s="33"/>
      <c r="H6473" s="33"/>
      <c r="I6473" s="33"/>
      <c r="J6473" s="33"/>
      <c r="K6473" s="33"/>
      <c r="L6473" s="33"/>
      <c r="M6473" s="33"/>
      <c r="N6473" s="33"/>
      <c r="O6473" s="33"/>
      <c r="P6473" s="33"/>
      <c r="Q6473" s="33"/>
      <c r="R6473" s="33"/>
      <c r="S6473" s="33"/>
      <c r="T6473" s="33"/>
      <c r="U6473" s="33"/>
      <c r="V6473" s="33"/>
      <c r="W6473" s="33"/>
      <c r="X6473" s="33"/>
      <c r="Y6473" s="33"/>
      <c r="Z6473" s="33"/>
      <c r="AA6473" s="33"/>
      <c r="AB6473" s="33"/>
      <c r="AC6473" s="33"/>
      <c r="AD6473" s="33"/>
      <c r="AE6473" s="33"/>
      <c r="AF6473" s="33"/>
      <c r="AG6473" s="33"/>
      <c r="AH6473" s="33"/>
      <c r="AI6473" s="33"/>
      <c r="AJ6473" s="33"/>
      <c r="AK6473" s="33"/>
    </row>
    <row r="6474">
      <c r="A6474" s="33"/>
      <c r="B6474" s="33"/>
      <c r="C6474" s="33"/>
      <c r="D6474" s="33"/>
      <c r="E6474" s="33"/>
      <c r="F6474" s="33"/>
      <c r="G6474" s="33"/>
      <c r="H6474" s="33"/>
      <c r="I6474" s="33"/>
      <c r="J6474" s="33"/>
      <c r="K6474" s="33"/>
      <c r="L6474" s="33"/>
      <c r="M6474" s="33"/>
      <c r="N6474" s="33"/>
      <c r="O6474" s="33"/>
      <c r="P6474" s="33"/>
      <c r="Q6474" s="33"/>
      <c r="R6474" s="33"/>
      <c r="S6474" s="33"/>
      <c r="T6474" s="33"/>
      <c r="U6474" s="33"/>
      <c r="V6474" s="33"/>
      <c r="W6474" s="33"/>
      <c r="X6474" s="33"/>
      <c r="Y6474" s="33"/>
      <c r="Z6474" s="33"/>
      <c r="AA6474" s="33"/>
      <c r="AB6474" s="33"/>
      <c r="AC6474" s="33"/>
      <c r="AD6474" s="33"/>
      <c r="AE6474" s="33"/>
      <c r="AF6474" s="33"/>
      <c r="AG6474" s="33"/>
      <c r="AH6474" s="33"/>
      <c r="AI6474" s="33"/>
      <c r="AJ6474" s="33"/>
      <c r="AK6474" s="33"/>
    </row>
    <row r="6475">
      <c r="A6475" s="33"/>
      <c r="B6475" s="33"/>
      <c r="C6475" s="33"/>
      <c r="D6475" s="33"/>
      <c r="E6475" s="33"/>
      <c r="F6475" s="33"/>
      <c r="G6475" s="33"/>
      <c r="H6475" s="33"/>
      <c r="I6475" s="33"/>
      <c r="J6475" s="33"/>
      <c r="K6475" s="33"/>
      <c r="L6475" s="33"/>
      <c r="M6475" s="33"/>
      <c r="N6475" s="33"/>
      <c r="O6475" s="33"/>
      <c r="P6475" s="33"/>
      <c r="Q6475" s="33"/>
      <c r="R6475" s="33"/>
      <c r="S6475" s="33"/>
      <c r="T6475" s="33"/>
      <c r="U6475" s="33"/>
      <c r="V6475" s="33"/>
      <c r="W6475" s="33"/>
      <c r="X6475" s="33"/>
      <c r="Y6475" s="33"/>
      <c r="Z6475" s="33"/>
      <c r="AA6475" s="33"/>
      <c r="AB6475" s="33"/>
      <c r="AC6475" s="33"/>
      <c r="AD6475" s="33"/>
      <c r="AE6475" s="33"/>
      <c r="AF6475" s="33"/>
      <c r="AG6475" s="33"/>
      <c r="AH6475" s="33"/>
      <c r="AI6475" s="33"/>
      <c r="AJ6475" s="33"/>
      <c r="AK6475" s="33"/>
    </row>
    <row r="6476">
      <c r="A6476" s="33"/>
      <c r="B6476" s="33"/>
      <c r="C6476" s="33"/>
      <c r="D6476" s="33"/>
      <c r="E6476" s="33"/>
      <c r="F6476" s="33"/>
      <c r="G6476" s="33"/>
      <c r="H6476" s="33"/>
      <c r="I6476" s="33"/>
      <c r="J6476" s="33"/>
      <c r="K6476" s="33"/>
      <c r="L6476" s="33"/>
      <c r="M6476" s="33"/>
      <c r="N6476" s="33"/>
      <c r="O6476" s="33"/>
      <c r="P6476" s="33"/>
      <c r="Q6476" s="33"/>
      <c r="R6476" s="33"/>
      <c r="S6476" s="33"/>
      <c r="T6476" s="33"/>
      <c r="U6476" s="33"/>
      <c r="V6476" s="33"/>
      <c r="W6476" s="33"/>
      <c r="X6476" s="33"/>
      <c r="Y6476" s="33"/>
      <c r="Z6476" s="33"/>
      <c r="AA6476" s="33"/>
      <c r="AB6476" s="33"/>
      <c r="AC6476" s="33"/>
      <c r="AD6476" s="33"/>
      <c r="AE6476" s="33"/>
      <c r="AF6476" s="33"/>
      <c r="AG6476" s="33"/>
      <c r="AH6476" s="33"/>
      <c r="AI6476" s="33"/>
      <c r="AJ6476" s="33"/>
      <c r="AK6476" s="33"/>
    </row>
    <row r="6477">
      <c r="A6477" s="33"/>
      <c r="B6477" s="33"/>
      <c r="C6477" s="33"/>
      <c r="D6477" s="33"/>
      <c r="E6477" s="33"/>
      <c r="F6477" s="33"/>
      <c r="G6477" s="33"/>
      <c r="H6477" s="33"/>
      <c r="I6477" s="33"/>
      <c r="J6477" s="33"/>
      <c r="K6477" s="33"/>
      <c r="L6477" s="33"/>
      <c r="M6477" s="33"/>
      <c r="N6477" s="33"/>
      <c r="O6477" s="33"/>
      <c r="P6477" s="33"/>
      <c r="Q6477" s="33"/>
      <c r="R6477" s="33"/>
      <c r="S6477" s="33"/>
      <c r="T6477" s="33"/>
      <c r="U6477" s="33"/>
      <c r="V6477" s="33"/>
      <c r="W6477" s="33"/>
      <c r="X6477" s="33"/>
      <c r="Y6477" s="33"/>
      <c r="Z6477" s="33"/>
      <c r="AA6477" s="33"/>
      <c r="AB6477" s="33"/>
      <c r="AC6477" s="33"/>
      <c r="AD6477" s="33"/>
      <c r="AE6477" s="33"/>
      <c r="AF6477" s="33"/>
      <c r="AG6477" s="33"/>
      <c r="AH6477" s="33"/>
      <c r="AI6477" s="33"/>
      <c r="AJ6477" s="33"/>
      <c r="AK6477" s="33"/>
    </row>
    <row r="6478">
      <c r="A6478" s="33"/>
      <c r="B6478" s="33"/>
      <c r="C6478" s="33"/>
      <c r="D6478" s="33"/>
      <c r="E6478" s="33"/>
      <c r="F6478" s="33"/>
      <c r="G6478" s="33"/>
      <c r="H6478" s="33"/>
      <c r="I6478" s="33"/>
      <c r="J6478" s="33"/>
      <c r="K6478" s="33"/>
      <c r="L6478" s="33"/>
      <c r="M6478" s="33"/>
      <c r="N6478" s="33"/>
      <c r="O6478" s="33"/>
      <c r="P6478" s="33"/>
      <c r="Q6478" s="33"/>
      <c r="R6478" s="33"/>
      <c r="S6478" s="33"/>
      <c r="T6478" s="33"/>
      <c r="U6478" s="33"/>
      <c r="V6478" s="33"/>
      <c r="W6478" s="33"/>
      <c r="X6478" s="33"/>
      <c r="Y6478" s="33"/>
      <c r="Z6478" s="33"/>
      <c r="AA6478" s="33"/>
      <c r="AB6478" s="33"/>
      <c r="AC6478" s="33"/>
      <c r="AD6478" s="33"/>
      <c r="AE6478" s="33"/>
      <c r="AF6478" s="33"/>
      <c r="AG6478" s="33"/>
      <c r="AH6478" s="33"/>
      <c r="AI6478" s="33"/>
      <c r="AJ6478" s="33"/>
      <c r="AK6478" s="33"/>
    </row>
    <row r="6479">
      <c r="A6479" s="33"/>
      <c r="B6479" s="33"/>
      <c r="C6479" s="33"/>
      <c r="D6479" s="33"/>
      <c r="E6479" s="33"/>
      <c r="F6479" s="33"/>
      <c r="G6479" s="33"/>
      <c r="H6479" s="33"/>
      <c r="I6479" s="33"/>
      <c r="J6479" s="33"/>
      <c r="K6479" s="33"/>
      <c r="L6479" s="33"/>
      <c r="M6479" s="33"/>
      <c r="N6479" s="33"/>
      <c r="O6479" s="33"/>
      <c r="P6479" s="33"/>
      <c r="Q6479" s="33"/>
      <c r="R6479" s="33"/>
      <c r="S6479" s="33"/>
      <c r="T6479" s="33"/>
      <c r="U6479" s="33"/>
      <c r="V6479" s="33"/>
      <c r="W6479" s="33"/>
      <c r="X6479" s="33"/>
      <c r="Y6479" s="33"/>
      <c r="Z6479" s="33"/>
      <c r="AA6479" s="33"/>
      <c r="AB6479" s="33"/>
      <c r="AC6479" s="33"/>
      <c r="AD6479" s="33"/>
      <c r="AE6479" s="33"/>
      <c r="AF6479" s="33"/>
      <c r="AG6479" s="33"/>
      <c r="AH6479" s="33"/>
      <c r="AI6479" s="33"/>
      <c r="AJ6479" s="33"/>
      <c r="AK6479" s="33"/>
    </row>
    <row r="6480">
      <c r="A6480" s="33"/>
      <c r="B6480" s="33"/>
      <c r="C6480" s="33"/>
      <c r="D6480" s="33"/>
      <c r="E6480" s="33"/>
      <c r="F6480" s="33"/>
      <c r="G6480" s="33"/>
      <c r="H6480" s="33"/>
      <c r="I6480" s="33"/>
      <c r="J6480" s="33"/>
      <c r="K6480" s="33"/>
      <c r="L6480" s="33"/>
      <c r="M6480" s="33"/>
      <c r="N6480" s="33"/>
      <c r="O6480" s="33"/>
      <c r="P6480" s="33"/>
      <c r="Q6480" s="33"/>
      <c r="R6480" s="33"/>
      <c r="S6480" s="33"/>
      <c r="T6480" s="33"/>
      <c r="U6480" s="33"/>
      <c r="V6480" s="33"/>
      <c r="W6480" s="33"/>
      <c r="X6480" s="33"/>
      <c r="Y6480" s="33"/>
      <c r="Z6480" s="33"/>
      <c r="AA6480" s="33"/>
      <c r="AB6480" s="33"/>
      <c r="AC6480" s="33"/>
      <c r="AD6480" s="33"/>
      <c r="AE6480" s="33"/>
      <c r="AF6480" s="33"/>
      <c r="AG6480" s="33"/>
      <c r="AH6480" s="33"/>
      <c r="AI6480" s="33"/>
      <c r="AJ6480" s="33"/>
      <c r="AK6480" s="33"/>
    </row>
    <row r="6481">
      <c r="A6481" s="33"/>
      <c r="B6481" s="33"/>
      <c r="C6481" s="33"/>
      <c r="D6481" s="33"/>
      <c r="E6481" s="33"/>
      <c r="F6481" s="33"/>
      <c r="G6481" s="33"/>
      <c r="H6481" s="33"/>
      <c r="I6481" s="33"/>
      <c r="J6481" s="33"/>
      <c r="K6481" s="33"/>
      <c r="L6481" s="33"/>
      <c r="M6481" s="33"/>
      <c r="N6481" s="33"/>
      <c r="O6481" s="33"/>
      <c r="P6481" s="33"/>
      <c r="Q6481" s="33"/>
      <c r="R6481" s="33"/>
      <c r="S6481" s="33"/>
      <c r="T6481" s="33"/>
      <c r="U6481" s="33"/>
      <c r="V6481" s="33"/>
      <c r="W6481" s="33"/>
      <c r="X6481" s="33"/>
      <c r="Y6481" s="33"/>
      <c r="Z6481" s="33"/>
      <c r="AA6481" s="33"/>
      <c r="AB6481" s="33"/>
      <c r="AC6481" s="33"/>
      <c r="AD6481" s="33"/>
      <c r="AE6481" s="33"/>
      <c r="AF6481" s="33"/>
      <c r="AG6481" s="33"/>
      <c r="AH6481" s="33"/>
      <c r="AI6481" s="33"/>
      <c r="AJ6481" s="33"/>
      <c r="AK6481" s="33"/>
    </row>
    <row r="6482">
      <c r="A6482" s="33"/>
      <c r="B6482" s="33"/>
      <c r="C6482" s="33"/>
      <c r="D6482" s="33"/>
      <c r="E6482" s="33"/>
      <c r="F6482" s="33"/>
      <c r="G6482" s="33"/>
      <c r="H6482" s="33"/>
      <c r="I6482" s="33"/>
      <c r="J6482" s="33"/>
      <c r="K6482" s="33"/>
      <c r="L6482" s="33"/>
      <c r="M6482" s="33"/>
      <c r="N6482" s="33"/>
      <c r="O6482" s="33"/>
      <c r="P6482" s="33"/>
      <c r="Q6482" s="33"/>
      <c r="R6482" s="33"/>
      <c r="S6482" s="33"/>
      <c r="T6482" s="33"/>
      <c r="U6482" s="33"/>
      <c r="V6482" s="33"/>
      <c r="W6482" s="33"/>
      <c r="X6482" s="33"/>
      <c r="Y6482" s="33"/>
      <c r="Z6482" s="33"/>
      <c r="AA6482" s="33"/>
      <c r="AB6482" s="33"/>
      <c r="AC6482" s="33"/>
      <c r="AD6482" s="33"/>
      <c r="AE6482" s="33"/>
      <c r="AF6482" s="33"/>
      <c r="AG6482" s="33"/>
      <c r="AH6482" s="33"/>
      <c r="AI6482" s="33"/>
      <c r="AJ6482" s="33"/>
      <c r="AK6482" s="33"/>
    </row>
    <row r="6483">
      <c r="A6483" s="33"/>
      <c r="B6483" s="33"/>
      <c r="C6483" s="33"/>
      <c r="D6483" s="33"/>
      <c r="E6483" s="33"/>
      <c r="F6483" s="33"/>
      <c r="G6483" s="33"/>
      <c r="H6483" s="33"/>
      <c r="I6483" s="33"/>
      <c r="J6483" s="33"/>
      <c r="K6483" s="33"/>
      <c r="L6483" s="33"/>
      <c r="M6483" s="33"/>
      <c r="N6483" s="33"/>
      <c r="O6483" s="33"/>
      <c r="P6483" s="33"/>
      <c r="Q6483" s="33"/>
      <c r="R6483" s="33"/>
      <c r="S6483" s="33"/>
      <c r="T6483" s="33"/>
      <c r="U6483" s="33"/>
      <c r="V6483" s="33"/>
      <c r="W6483" s="33"/>
      <c r="X6483" s="33"/>
      <c r="Y6483" s="33"/>
      <c r="Z6483" s="33"/>
      <c r="AA6483" s="33"/>
      <c r="AB6483" s="33"/>
      <c r="AC6483" s="33"/>
      <c r="AD6483" s="33"/>
      <c r="AE6483" s="33"/>
      <c r="AF6483" s="33"/>
      <c r="AG6483" s="33"/>
      <c r="AH6483" s="33"/>
      <c r="AI6483" s="33"/>
      <c r="AJ6483" s="33"/>
      <c r="AK6483" s="33"/>
    </row>
    <row r="6484">
      <c r="A6484" s="33"/>
      <c r="B6484" s="33"/>
      <c r="C6484" s="33"/>
      <c r="D6484" s="33"/>
      <c r="E6484" s="33"/>
      <c r="F6484" s="33"/>
      <c r="G6484" s="33"/>
      <c r="H6484" s="33"/>
      <c r="I6484" s="33"/>
      <c r="J6484" s="33"/>
      <c r="K6484" s="33"/>
      <c r="L6484" s="33"/>
      <c r="M6484" s="33"/>
      <c r="N6484" s="33"/>
      <c r="O6484" s="33"/>
      <c r="P6484" s="33"/>
      <c r="Q6484" s="33"/>
      <c r="R6484" s="33"/>
      <c r="S6484" s="33"/>
      <c r="T6484" s="33"/>
      <c r="U6484" s="33"/>
      <c r="V6484" s="33"/>
      <c r="W6484" s="33"/>
      <c r="X6484" s="33"/>
      <c r="Y6484" s="33"/>
      <c r="Z6484" s="33"/>
      <c r="AA6484" s="33"/>
      <c r="AB6484" s="33"/>
      <c r="AC6484" s="33"/>
      <c r="AD6484" s="33"/>
      <c r="AE6484" s="33"/>
      <c r="AF6484" s="33"/>
      <c r="AG6484" s="33"/>
      <c r="AH6484" s="33"/>
      <c r="AI6484" s="33"/>
      <c r="AJ6484" s="33"/>
      <c r="AK6484" s="33"/>
    </row>
    <row r="6485">
      <c r="A6485" s="33"/>
      <c r="B6485" s="33"/>
      <c r="C6485" s="33"/>
      <c r="D6485" s="33"/>
      <c r="E6485" s="33"/>
      <c r="F6485" s="33"/>
      <c r="G6485" s="33"/>
      <c r="H6485" s="33"/>
      <c r="I6485" s="33"/>
      <c r="J6485" s="33"/>
      <c r="K6485" s="33"/>
      <c r="L6485" s="33"/>
      <c r="M6485" s="33"/>
      <c r="N6485" s="33"/>
      <c r="O6485" s="33"/>
      <c r="P6485" s="33"/>
      <c r="Q6485" s="33"/>
      <c r="R6485" s="33"/>
      <c r="S6485" s="33"/>
      <c r="T6485" s="33"/>
      <c r="U6485" s="33"/>
      <c r="V6485" s="33"/>
      <c r="W6485" s="33"/>
      <c r="X6485" s="33"/>
      <c r="Y6485" s="33"/>
      <c r="Z6485" s="33"/>
      <c r="AA6485" s="33"/>
      <c r="AB6485" s="33"/>
      <c r="AC6485" s="33"/>
      <c r="AD6485" s="33"/>
      <c r="AE6485" s="33"/>
      <c r="AF6485" s="33"/>
      <c r="AG6485" s="33"/>
      <c r="AH6485" s="33"/>
      <c r="AI6485" s="33"/>
      <c r="AJ6485" s="33"/>
      <c r="AK6485" s="33"/>
    </row>
    <row r="6486">
      <c r="A6486" s="33"/>
      <c r="B6486" s="33"/>
      <c r="C6486" s="33"/>
      <c r="D6486" s="33"/>
      <c r="E6486" s="33"/>
      <c r="F6486" s="33"/>
      <c r="G6486" s="33"/>
      <c r="H6486" s="33"/>
      <c r="I6486" s="33"/>
      <c r="J6486" s="33"/>
      <c r="K6486" s="33"/>
      <c r="L6486" s="33"/>
      <c r="M6486" s="33"/>
      <c r="N6486" s="33"/>
      <c r="O6486" s="33"/>
      <c r="P6486" s="33"/>
      <c r="Q6486" s="33"/>
      <c r="R6486" s="33"/>
      <c r="S6486" s="33"/>
      <c r="T6486" s="33"/>
      <c r="U6486" s="33"/>
      <c r="V6486" s="33"/>
      <c r="W6486" s="33"/>
      <c r="X6486" s="33"/>
      <c r="Y6486" s="33"/>
      <c r="Z6486" s="33"/>
      <c r="AA6486" s="33"/>
      <c r="AB6486" s="33"/>
      <c r="AC6486" s="33"/>
      <c r="AD6486" s="33"/>
      <c r="AE6486" s="33"/>
      <c r="AF6486" s="33"/>
      <c r="AG6486" s="33"/>
      <c r="AH6486" s="33"/>
      <c r="AI6486" s="33"/>
      <c r="AJ6486" s="33"/>
      <c r="AK6486" s="33"/>
    </row>
    <row r="6487">
      <c r="A6487" s="33"/>
      <c r="B6487" s="33"/>
      <c r="C6487" s="33"/>
      <c r="D6487" s="33"/>
      <c r="E6487" s="33"/>
      <c r="F6487" s="33"/>
      <c r="G6487" s="33"/>
      <c r="H6487" s="33"/>
      <c r="I6487" s="33"/>
      <c r="J6487" s="33"/>
      <c r="K6487" s="33"/>
      <c r="L6487" s="33"/>
      <c r="M6487" s="33"/>
      <c r="N6487" s="33"/>
      <c r="O6487" s="33"/>
      <c r="P6487" s="33"/>
      <c r="Q6487" s="33"/>
      <c r="R6487" s="33"/>
      <c r="S6487" s="33"/>
      <c r="T6487" s="33"/>
      <c r="U6487" s="33"/>
      <c r="V6487" s="33"/>
      <c r="W6487" s="33"/>
      <c r="X6487" s="33"/>
      <c r="Y6487" s="33"/>
      <c r="Z6487" s="33"/>
      <c r="AA6487" s="33"/>
      <c r="AB6487" s="33"/>
      <c r="AC6487" s="33"/>
      <c r="AD6487" s="33"/>
      <c r="AE6487" s="33"/>
      <c r="AF6487" s="33"/>
      <c r="AG6487" s="33"/>
      <c r="AH6487" s="33"/>
      <c r="AI6487" s="33"/>
      <c r="AJ6487" s="33"/>
      <c r="AK6487" s="33"/>
    </row>
    <row r="6488">
      <c r="A6488" s="33"/>
      <c r="B6488" s="33"/>
      <c r="C6488" s="33"/>
      <c r="D6488" s="33"/>
      <c r="E6488" s="33"/>
      <c r="F6488" s="33"/>
      <c r="G6488" s="33"/>
      <c r="H6488" s="33"/>
      <c r="I6488" s="33"/>
      <c r="J6488" s="33"/>
      <c r="K6488" s="33"/>
      <c r="L6488" s="33"/>
      <c r="M6488" s="33"/>
      <c r="N6488" s="33"/>
      <c r="O6488" s="33"/>
      <c r="P6488" s="33"/>
      <c r="Q6488" s="33"/>
      <c r="R6488" s="33"/>
      <c r="S6488" s="33"/>
      <c r="T6488" s="33"/>
      <c r="U6488" s="33"/>
      <c r="V6488" s="33"/>
      <c r="W6488" s="33"/>
      <c r="X6488" s="33"/>
      <c r="Y6488" s="33"/>
      <c r="Z6488" s="33"/>
      <c r="AA6488" s="33"/>
      <c r="AB6488" s="33"/>
      <c r="AC6488" s="33"/>
      <c r="AD6488" s="33"/>
      <c r="AE6488" s="33"/>
      <c r="AF6488" s="33"/>
      <c r="AG6488" s="33"/>
      <c r="AH6488" s="33"/>
      <c r="AI6488" s="33"/>
      <c r="AJ6488" s="33"/>
      <c r="AK6488" s="33"/>
    </row>
    <row r="6489">
      <c r="A6489" s="33"/>
      <c r="B6489" s="33"/>
      <c r="C6489" s="33"/>
      <c r="D6489" s="33"/>
      <c r="E6489" s="33"/>
      <c r="F6489" s="33"/>
      <c r="G6489" s="33"/>
      <c r="H6489" s="33"/>
      <c r="I6489" s="33"/>
      <c r="J6489" s="33"/>
      <c r="K6489" s="33"/>
      <c r="L6489" s="33"/>
      <c r="M6489" s="33"/>
      <c r="N6489" s="33"/>
      <c r="O6489" s="33"/>
      <c r="P6489" s="33"/>
      <c r="Q6489" s="33"/>
      <c r="R6489" s="33"/>
      <c r="S6489" s="33"/>
      <c r="T6489" s="33"/>
      <c r="U6489" s="33"/>
      <c r="V6489" s="33"/>
      <c r="W6489" s="33"/>
      <c r="X6489" s="33"/>
      <c r="Y6489" s="33"/>
      <c r="Z6489" s="33"/>
      <c r="AA6489" s="33"/>
      <c r="AB6489" s="33"/>
      <c r="AC6489" s="33"/>
      <c r="AD6489" s="33"/>
      <c r="AE6489" s="33"/>
      <c r="AF6489" s="33"/>
      <c r="AG6489" s="33"/>
      <c r="AH6489" s="33"/>
      <c r="AI6489" s="33"/>
      <c r="AJ6489" s="33"/>
      <c r="AK6489" s="33"/>
    </row>
    <row r="6490">
      <c r="A6490" s="33"/>
      <c r="B6490" s="33"/>
      <c r="C6490" s="33"/>
      <c r="D6490" s="33"/>
      <c r="E6490" s="33"/>
      <c r="F6490" s="33"/>
      <c r="G6490" s="33"/>
      <c r="H6490" s="33"/>
      <c r="I6490" s="33"/>
      <c r="J6490" s="33"/>
      <c r="K6490" s="33"/>
      <c r="L6490" s="33"/>
      <c r="M6490" s="33"/>
      <c r="N6490" s="33"/>
      <c r="O6490" s="33"/>
      <c r="P6490" s="33"/>
      <c r="Q6490" s="33"/>
      <c r="R6490" s="33"/>
      <c r="S6490" s="33"/>
      <c r="T6490" s="33"/>
      <c r="U6490" s="33"/>
      <c r="V6490" s="33"/>
      <c r="W6490" s="33"/>
      <c r="X6490" s="33"/>
      <c r="Y6490" s="33"/>
      <c r="Z6490" s="33"/>
      <c r="AA6490" s="33"/>
      <c r="AB6490" s="33"/>
      <c r="AC6490" s="33"/>
      <c r="AD6490" s="33"/>
      <c r="AE6490" s="33"/>
      <c r="AF6490" s="33"/>
      <c r="AG6490" s="33"/>
      <c r="AH6490" s="33"/>
      <c r="AI6490" s="33"/>
      <c r="AJ6490" s="33"/>
      <c r="AK6490" s="33"/>
    </row>
    <row r="6491">
      <c r="A6491" s="33"/>
      <c r="B6491" s="33"/>
      <c r="C6491" s="33"/>
      <c r="D6491" s="33"/>
      <c r="E6491" s="33"/>
      <c r="F6491" s="33"/>
      <c r="G6491" s="33"/>
      <c r="H6491" s="33"/>
      <c r="I6491" s="33"/>
      <c r="J6491" s="33"/>
      <c r="K6491" s="33"/>
      <c r="L6491" s="33"/>
      <c r="M6491" s="33"/>
      <c r="N6491" s="33"/>
      <c r="O6491" s="33"/>
      <c r="P6491" s="33"/>
      <c r="Q6491" s="33"/>
      <c r="R6491" s="33"/>
      <c r="S6491" s="33"/>
      <c r="T6491" s="33"/>
      <c r="U6491" s="33"/>
      <c r="V6491" s="33"/>
      <c r="W6491" s="33"/>
      <c r="X6491" s="33"/>
      <c r="Y6491" s="33"/>
      <c r="Z6491" s="33"/>
      <c r="AA6491" s="33"/>
      <c r="AB6491" s="33"/>
      <c r="AC6491" s="33"/>
      <c r="AD6491" s="33"/>
      <c r="AE6491" s="33"/>
      <c r="AF6491" s="33"/>
      <c r="AG6491" s="33"/>
      <c r="AH6491" s="33"/>
      <c r="AI6491" s="33"/>
      <c r="AJ6491" s="33"/>
      <c r="AK6491" s="33"/>
    </row>
    <row r="6492">
      <c r="A6492" s="33"/>
      <c r="B6492" s="33"/>
      <c r="C6492" s="33"/>
      <c r="D6492" s="33"/>
      <c r="E6492" s="33"/>
      <c r="F6492" s="33"/>
      <c r="G6492" s="33"/>
      <c r="H6492" s="33"/>
      <c r="I6492" s="33"/>
      <c r="J6492" s="33"/>
      <c r="K6492" s="33"/>
      <c r="L6492" s="33"/>
      <c r="M6492" s="33"/>
      <c r="N6492" s="33"/>
      <c r="O6492" s="33"/>
      <c r="P6492" s="33"/>
      <c r="Q6492" s="33"/>
      <c r="R6492" s="33"/>
      <c r="S6492" s="33"/>
      <c r="T6492" s="33"/>
      <c r="U6492" s="33"/>
      <c r="V6492" s="33"/>
      <c r="W6492" s="33"/>
      <c r="X6492" s="33"/>
      <c r="Y6492" s="33"/>
      <c r="Z6492" s="33"/>
      <c r="AA6492" s="33"/>
      <c r="AB6492" s="33"/>
      <c r="AC6492" s="33"/>
      <c r="AD6492" s="33"/>
      <c r="AE6492" s="33"/>
      <c r="AF6492" s="33"/>
      <c r="AG6492" s="33"/>
      <c r="AH6492" s="33"/>
      <c r="AI6492" s="33"/>
      <c r="AJ6492" s="33"/>
      <c r="AK6492" s="33"/>
    </row>
    <row r="6493">
      <c r="A6493" s="33"/>
      <c r="B6493" s="33"/>
      <c r="C6493" s="33"/>
      <c r="D6493" s="33"/>
      <c r="E6493" s="33"/>
      <c r="F6493" s="33"/>
      <c r="G6493" s="33"/>
      <c r="H6493" s="33"/>
      <c r="I6493" s="33"/>
      <c r="J6493" s="33"/>
      <c r="K6493" s="33"/>
      <c r="L6493" s="33"/>
      <c r="M6493" s="33"/>
      <c r="N6493" s="33"/>
      <c r="O6493" s="33"/>
      <c r="P6493" s="33"/>
      <c r="Q6493" s="33"/>
      <c r="R6493" s="33"/>
      <c r="S6493" s="33"/>
      <c r="T6493" s="33"/>
      <c r="U6493" s="33"/>
      <c r="V6493" s="33"/>
      <c r="W6493" s="33"/>
      <c r="X6493" s="33"/>
      <c r="Y6493" s="33"/>
      <c r="Z6493" s="33"/>
      <c r="AA6493" s="33"/>
      <c r="AB6493" s="33"/>
      <c r="AC6493" s="33"/>
      <c r="AD6493" s="33"/>
      <c r="AE6493" s="33"/>
      <c r="AF6493" s="33"/>
      <c r="AG6493" s="33"/>
      <c r="AH6493" s="33"/>
      <c r="AI6493" s="33"/>
      <c r="AJ6493" s="33"/>
      <c r="AK6493" s="33"/>
    </row>
    <row r="6494">
      <c r="A6494" s="33"/>
      <c r="B6494" s="33"/>
      <c r="C6494" s="33"/>
      <c r="D6494" s="33"/>
      <c r="E6494" s="33"/>
      <c r="F6494" s="33"/>
      <c r="G6494" s="33"/>
      <c r="H6494" s="33"/>
      <c r="I6494" s="33"/>
      <c r="J6494" s="33"/>
      <c r="K6494" s="33"/>
      <c r="L6494" s="33"/>
      <c r="M6494" s="33"/>
      <c r="N6494" s="33"/>
      <c r="O6494" s="33"/>
      <c r="P6494" s="33"/>
      <c r="Q6494" s="33"/>
      <c r="R6494" s="33"/>
      <c r="S6494" s="33"/>
      <c r="T6494" s="33"/>
      <c r="U6494" s="33"/>
      <c r="V6494" s="33"/>
      <c r="W6494" s="33"/>
      <c r="X6494" s="33"/>
      <c r="Y6494" s="33"/>
      <c r="Z6494" s="33"/>
      <c r="AA6494" s="33"/>
      <c r="AB6494" s="33"/>
      <c r="AC6494" s="33"/>
      <c r="AD6494" s="33"/>
      <c r="AE6494" s="33"/>
      <c r="AF6494" s="33"/>
      <c r="AG6494" s="33"/>
      <c r="AH6494" s="33"/>
      <c r="AI6494" s="33"/>
      <c r="AJ6494" s="33"/>
      <c r="AK6494" s="33"/>
    </row>
    <row r="6495">
      <c r="A6495" s="33"/>
      <c r="B6495" s="33"/>
      <c r="C6495" s="33"/>
      <c r="D6495" s="33"/>
      <c r="E6495" s="33"/>
      <c r="F6495" s="33"/>
      <c r="G6495" s="33"/>
      <c r="H6495" s="33"/>
      <c r="I6495" s="33"/>
      <c r="J6495" s="33"/>
      <c r="K6495" s="33"/>
      <c r="L6495" s="33"/>
      <c r="M6495" s="33"/>
      <c r="N6495" s="33"/>
      <c r="O6495" s="33"/>
      <c r="P6495" s="33"/>
      <c r="Q6495" s="33"/>
      <c r="R6495" s="33"/>
      <c r="S6495" s="33"/>
      <c r="T6495" s="33"/>
      <c r="U6495" s="33"/>
      <c r="V6495" s="33"/>
      <c r="W6495" s="33"/>
      <c r="X6495" s="33"/>
      <c r="Y6495" s="33"/>
      <c r="Z6495" s="33"/>
      <c r="AA6495" s="33"/>
      <c r="AB6495" s="33"/>
      <c r="AC6495" s="33"/>
      <c r="AD6495" s="33"/>
      <c r="AE6495" s="33"/>
      <c r="AF6495" s="33"/>
      <c r="AG6495" s="33"/>
      <c r="AH6495" s="33"/>
      <c r="AI6495" s="33"/>
      <c r="AJ6495" s="33"/>
      <c r="AK6495" s="33"/>
    </row>
    <row r="6496">
      <c r="A6496" s="33"/>
      <c r="B6496" s="33"/>
      <c r="C6496" s="33"/>
      <c r="D6496" s="33"/>
      <c r="E6496" s="33"/>
      <c r="F6496" s="33"/>
      <c r="G6496" s="33"/>
      <c r="H6496" s="33"/>
      <c r="I6496" s="33"/>
      <c r="J6496" s="33"/>
      <c r="K6496" s="33"/>
      <c r="L6496" s="33"/>
      <c r="M6496" s="33"/>
      <c r="N6496" s="33"/>
      <c r="O6496" s="33"/>
      <c r="P6496" s="33"/>
      <c r="Q6496" s="33"/>
      <c r="R6496" s="33"/>
      <c r="S6496" s="33"/>
      <c r="T6496" s="33"/>
      <c r="U6496" s="33"/>
      <c r="V6496" s="33"/>
      <c r="W6496" s="33"/>
      <c r="X6496" s="33"/>
      <c r="Y6496" s="33"/>
      <c r="Z6496" s="33"/>
      <c r="AA6496" s="33"/>
      <c r="AB6496" s="33"/>
      <c r="AC6496" s="33"/>
      <c r="AD6496" s="33"/>
      <c r="AE6496" s="33"/>
      <c r="AF6496" s="33"/>
      <c r="AG6496" s="33"/>
      <c r="AH6496" s="33"/>
      <c r="AI6496" s="33"/>
      <c r="AJ6496" s="33"/>
      <c r="AK6496" s="33"/>
    </row>
    <row r="6497">
      <c r="A6497" s="33"/>
      <c r="B6497" s="33"/>
      <c r="C6497" s="33"/>
      <c r="D6497" s="33"/>
      <c r="E6497" s="33"/>
      <c r="F6497" s="33"/>
      <c r="G6497" s="33"/>
      <c r="H6497" s="33"/>
      <c r="I6497" s="33"/>
      <c r="J6497" s="33"/>
      <c r="K6497" s="33"/>
      <c r="L6497" s="33"/>
      <c r="M6497" s="33"/>
      <c r="N6497" s="33"/>
      <c r="O6497" s="33"/>
      <c r="P6497" s="33"/>
      <c r="Q6497" s="33"/>
      <c r="R6497" s="33"/>
      <c r="S6497" s="33"/>
      <c r="T6497" s="33"/>
      <c r="U6497" s="33"/>
      <c r="V6497" s="33"/>
      <c r="W6497" s="33"/>
      <c r="X6497" s="33"/>
      <c r="Y6497" s="33"/>
      <c r="Z6497" s="33"/>
      <c r="AA6497" s="33"/>
      <c r="AB6497" s="33"/>
      <c r="AC6497" s="33"/>
      <c r="AD6497" s="33"/>
      <c r="AE6497" s="33"/>
      <c r="AF6497" s="33"/>
      <c r="AG6497" s="33"/>
      <c r="AH6497" s="33"/>
      <c r="AI6497" s="33"/>
      <c r="AJ6497" s="33"/>
      <c r="AK6497" s="33"/>
    </row>
    <row r="6498">
      <c r="A6498" s="33"/>
      <c r="B6498" s="33"/>
      <c r="C6498" s="33"/>
      <c r="D6498" s="33"/>
      <c r="E6498" s="33"/>
      <c r="F6498" s="33"/>
      <c r="G6498" s="33"/>
      <c r="H6498" s="33"/>
      <c r="I6498" s="33"/>
      <c r="J6498" s="33"/>
      <c r="K6498" s="33"/>
      <c r="L6498" s="33"/>
      <c r="M6498" s="33"/>
      <c r="N6498" s="33"/>
      <c r="O6498" s="33"/>
      <c r="P6498" s="33"/>
      <c r="Q6498" s="33"/>
      <c r="R6498" s="33"/>
      <c r="S6498" s="33"/>
      <c r="T6498" s="33"/>
      <c r="U6498" s="33"/>
      <c r="V6498" s="33"/>
      <c r="W6498" s="33"/>
      <c r="X6498" s="33"/>
      <c r="Y6498" s="33"/>
      <c r="Z6498" s="33"/>
      <c r="AA6498" s="33"/>
      <c r="AB6498" s="33"/>
      <c r="AC6498" s="33"/>
      <c r="AD6498" s="33"/>
      <c r="AE6498" s="33"/>
      <c r="AF6498" s="33"/>
      <c r="AG6498" s="33"/>
      <c r="AH6498" s="33"/>
      <c r="AI6498" s="33"/>
      <c r="AJ6498" s="33"/>
      <c r="AK6498" s="33"/>
    </row>
    <row r="6499">
      <c r="A6499" s="33"/>
      <c r="B6499" s="33"/>
      <c r="C6499" s="33"/>
      <c r="D6499" s="33"/>
      <c r="E6499" s="33"/>
      <c r="F6499" s="33"/>
      <c r="G6499" s="33"/>
      <c r="H6499" s="33"/>
      <c r="I6499" s="33"/>
      <c r="J6499" s="33"/>
      <c r="K6499" s="33"/>
      <c r="L6499" s="33"/>
      <c r="M6499" s="33"/>
      <c r="N6499" s="33"/>
      <c r="O6499" s="33"/>
      <c r="P6499" s="33"/>
      <c r="Q6499" s="33"/>
      <c r="R6499" s="33"/>
      <c r="S6499" s="33"/>
      <c r="T6499" s="33"/>
      <c r="U6499" s="33"/>
      <c r="V6499" s="33"/>
      <c r="W6499" s="33"/>
      <c r="X6499" s="33"/>
      <c r="Y6499" s="33"/>
      <c r="Z6499" s="33"/>
      <c r="AA6499" s="33"/>
      <c r="AB6499" s="33"/>
      <c r="AC6499" s="33"/>
      <c r="AD6499" s="33"/>
      <c r="AE6499" s="33"/>
      <c r="AF6499" s="33"/>
      <c r="AG6499" s="33"/>
      <c r="AH6499" s="33"/>
      <c r="AI6499" s="33"/>
      <c r="AJ6499" s="33"/>
      <c r="AK6499" s="33"/>
    </row>
    <row r="6500">
      <c r="A6500" s="33"/>
      <c r="B6500" s="33"/>
      <c r="C6500" s="33"/>
      <c r="D6500" s="33"/>
      <c r="E6500" s="33"/>
      <c r="F6500" s="33"/>
      <c r="G6500" s="33"/>
      <c r="H6500" s="33"/>
      <c r="I6500" s="33"/>
      <c r="J6500" s="33"/>
      <c r="K6500" s="33"/>
      <c r="L6500" s="33"/>
      <c r="M6500" s="33"/>
      <c r="N6500" s="33"/>
      <c r="O6500" s="33"/>
      <c r="P6500" s="33"/>
      <c r="Q6500" s="33"/>
      <c r="R6500" s="33"/>
      <c r="S6500" s="33"/>
      <c r="T6500" s="33"/>
      <c r="U6500" s="33"/>
      <c r="V6500" s="33"/>
      <c r="W6500" s="33"/>
      <c r="X6500" s="33"/>
      <c r="Y6500" s="33"/>
      <c r="Z6500" s="33"/>
      <c r="AA6500" s="33"/>
      <c r="AB6500" s="33"/>
      <c r="AC6500" s="33"/>
      <c r="AD6500" s="33"/>
      <c r="AE6500" s="33"/>
      <c r="AF6500" s="33"/>
      <c r="AG6500" s="33"/>
      <c r="AH6500" s="33"/>
      <c r="AI6500" s="33"/>
      <c r="AJ6500" s="33"/>
      <c r="AK6500" s="33"/>
    </row>
    <row r="6501">
      <c r="A6501" s="33"/>
      <c r="B6501" s="33"/>
      <c r="C6501" s="33"/>
      <c r="D6501" s="33"/>
      <c r="E6501" s="33"/>
      <c r="F6501" s="33"/>
      <c r="G6501" s="33"/>
      <c r="H6501" s="33"/>
      <c r="I6501" s="33"/>
      <c r="J6501" s="33"/>
      <c r="K6501" s="33"/>
      <c r="L6501" s="33"/>
      <c r="M6501" s="33"/>
      <c r="N6501" s="33"/>
      <c r="O6501" s="33"/>
      <c r="P6501" s="33"/>
      <c r="Q6501" s="33"/>
      <c r="R6501" s="33"/>
      <c r="S6501" s="33"/>
      <c r="T6501" s="33"/>
      <c r="U6501" s="33"/>
      <c r="V6501" s="33"/>
      <c r="W6501" s="33"/>
      <c r="X6501" s="33"/>
      <c r="Y6501" s="33"/>
      <c r="Z6501" s="33"/>
      <c r="AA6501" s="33"/>
      <c r="AB6501" s="33"/>
      <c r="AC6501" s="33"/>
      <c r="AD6501" s="33"/>
      <c r="AE6501" s="33"/>
      <c r="AF6501" s="33"/>
      <c r="AG6501" s="33"/>
      <c r="AH6501" s="33"/>
      <c r="AI6501" s="33"/>
      <c r="AJ6501" s="33"/>
      <c r="AK6501" s="33"/>
    </row>
    <row r="6502">
      <c r="A6502" s="33"/>
      <c r="B6502" s="33"/>
      <c r="C6502" s="33"/>
      <c r="D6502" s="33"/>
      <c r="E6502" s="33"/>
      <c r="F6502" s="33"/>
      <c r="G6502" s="33"/>
      <c r="H6502" s="33"/>
      <c r="I6502" s="33"/>
      <c r="J6502" s="33"/>
      <c r="K6502" s="33"/>
      <c r="L6502" s="33"/>
      <c r="M6502" s="33"/>
      <c r="N6502" s="33"/>
      <c r="O6502" s="33"/>
      <c r="P6502" s="33"/>
      <c r="Q6502" s="33"/>
      <c r="R6502" s="33"/>
      <c r="S6502" s="33"/>
      <c r="T6502" s="33"/>
      <c r="U6502" s="33"/>
      <c r="V6502" s="33"/>
      <c r="W6502" s="33"/>
      <c r="X6502" s="33"/>
      <c r="Y6502" s="33"/>
      <c r="Z6502" s="33"/>
      <c r="AA6502" s="33"/>
      <c r="AB6502" s="33"/>
      <c r="AC6502" s="33"/>
      <c r="AD6502" s="33"/>
      <c r="AE6502" s="33"/>
      <c r="AF6502" s="33"/>
      <c r="AG6502" s="33"/>
      <c r="AH6502" s="33"/>
      <c r="AI6502" s="33"/>
      <c r="AJ6502" s="33"/>
      <c r="AK6502" s="33"/>
    </row>
    <row r="6503">
      <c r="A6503" s="33"/>
      <c r="B6503" s="33"/>
      <c r="C6503" s="33"/>
      <c r="D6503" s="33"/>
      <c r="E6503" s="33"/>
      <c r="F6503" s="33"/>
      <c r="G6503" s="33"/>
      <c r="H6503" s="33"/>
      <c r="I6503" s="33"/>
      <c r="J6503" s="33"/>
      <c r="K6503" s="33"/>
      <c r="L6503" s="33"/>
      <c r="M6503" s="33"/>
      <c r="N6503" s="33"/>
      <c r="O6503" s="33"/>
      <c r="P6503" s="33"/>
      <c r="Q6503" s="33"/>
      <c r="R6503" s="33"/>
      <c r="S6503" s="33"/>
      <c r="T6503" s="33"/>
      <c r="U6503" s="33"/>
      <c r="V6503" s="33"/>
      <c r="W6503" s="33"/>
      <c r="X6503" s="33"/>
      <c r="Y6503" s="33"/>
      <c r="Z6503" s="33"/>
      <c r="AA6503" s="33"/>
      <c r="AB6503" s="33"/>
      <c r="AC6503" s="33"/>
      <c r="AD6503" s="33"/>
      <c r="AE6503" s="33"/>
      <c r="AF6503" s="33"/>
      <c r="AG6503" s="33"/>
      <c r="AH6503" s="33"/>
      <c r="AI6503" s="33"/>
      <c r="AJ6503" s="33"/>
      <c r="AK6503" s="33"/>
    </row>
    <row r="6504">
      <c r="A6504" s="33"/>
      <c r="B6504" s="33"/>
      <c r="C6504" s="33"/>
      <c r="D6504" s="33"/>
      <c r="E6504" s="33"/>
      <c r="F6504" s="33"/>
      <c r="G6504" s="33"/>
      <c r="H6504" s="33"/>
      <c r="I6504" s="33"/>
      <c r="J6504" s="33"/>
      <c r="K6504" s="33"/>
      <c r="L6504" s="33"/>
      <c r="M6504" s="33"/>
      <c r="N6504" s="33"/>
      <c r="O6504" s="33"/>
      <c r="P6504" s="33"/>
      <c r="Q6504" s="33"/>
      <c r="R6504" s="33"/>
      <c r="S6504" s="33"/>
      <c r="T6504" s="33"/>
      <c r="U6504" s="33"/>
      <c r="V6504" s="33"/>
      <c r="W6504" s="33"/>
      <c r="X6504" s="33"/>
      <c r="Y6504" s="33"/>
      <c r="Z6504" s="33"/>
      <c r="AA6504" s="33"/>
      <c r="AB6504" s="33"/>
      <c r="AC6504" s="33"/>
      <c r="AD6504" s="33"/>
      <c r="AE6504" s="33"/>
      <c r="AF6504" s="33"/>
      <c r="AG6504" s="33"/>
      <c r="AH6504" s="33"/>
      <c r="AI6504" s="33"/>
      <c r="AJ6504" s="33"/>
      <c r="AK6504" s="33"/>
    </row>
    <row r="6505">
      <c r="A6505" s="33"/>
      <c r="B6505" s="33"/>
      <c r="C6505" s="33"/>
      <c r="D6505" s="33"/>
      <c r="E6505" s="33"/>
      <c r="F6505" s="33"/>
      <c r="G6505" s="33"/>
      <c r="H6505" s="33"/>
      <c r="I6505" s="33"/>
      <c r="J6505" s="33"/>
      <c r="K6505" s="33"/>
      <c r="L6505" s="33"/>
      <c r="M6505" s="33"/>
      <c r="N6505" s="33"/>
      <c r="O6505" s="33"/>
      <c r="P6505" s="33"/>
      <c r="Q6505" s="33"/>
      <c r="R6505" s="33"/>
      <c r="S6505" s="33"/>
      <c r="T6505" s="33"/>
      <c r="U6505" s="33"/>
      <c r="V6505" s="33"/>
      <c r="W6505" s="33"/>
      <c r="X6505" s="33"/>
      <c r="Y6505" s="33"/>
      <c r="Z6505" s="33"/>
      <c r="AA6505" s="33"/>
      <c r="AB6505" s="33"/>
      <c r="AC6505" s="33"/>
      <c r="AD6505" s="33"/>
      <c r="AE6505" s="33"/>
      <c r="AF6505" s="33"/>
      <c r="AG6505" s="33"/>
      <c r="AH6505" s="33"/>
      <c r="AI6505" s="33"/>
      <c r="AJ6505" s="33"/>
      <c r="AK6505" s="33"/>
    </row>
    <row r="6506">
      <c r="A6506" s="33"/>
      <c r="B6506" s="33"/>
      <c r="C6506" s="33"/>
      <c r="D6506" s="33"/>
      <c r="E6506" s="33"/>
      <c r="F6506" s="33"/>
      <c r="G6506" s="33"/>
      <c r="H6506" s="33"/>
      <c r="I6506" s="33"/>
      <c r="J6506" s="33"/>
      <c r="K6506" s="33"/>
      <c r="L6506" s="33"/>
      <c r="M6506" s="33"/>
      <c r="N6506" s="33"/>
      <c r="O6506" s="33"/>
      <c r="P6506" s="33"/>
      <c r="Q6506" s="33"/>
      <c r="R6506" s="33"/>
      <c r="S6506" s="33"/>
      <c r="T6506" s="33"/>
      <c r="U6506" s="33"/>
      <c r="V6506" s="33"/>
      <c r="W6506" s="33"/>
      <c r="X6506" s="33"/>
      <c r="Y6506" s="33"/>
      <c r="Z6506" s="33"/>
      <c r="AA6506" s="33"/>
      <c r="AB6506" s="33"/>
      <c r="AC6506" s="33"/>
      <c r="AD6506" s="33"/>
      <c r="AE6506" s="33"/>
      <c r="AF6506" s="33"/>
      <c r="AG6506" s="33"/>
      <c r="AH6506" s="33"/>
      <c r="AI6506" s="33"/>
      <c r="AJ6506" s="33"/>
      <c r="AK6506" s="33"/>
    </row>
    <row r="6507">
      <c r="A6507" s="33"/>
      <c r="B6507" s="33"/>
      <c r="C6507" s="33"/>
      <c r="D6507" s="33"/>
      <c r="E6507" s="33"/>
      <c r="F6507" s="33"/>
      <c r="G6507" s="33"/>
      <c r="H6507" s="33"/>
      <c r="I6507" s="33"/>
      <c r="J6507" s="33"/>
      <c r="K6507" s="33"/>
      <c r="L6507" s="33"/>
      <c r="M6507" s="33"/>
      <c r="N6507" s="33"/>
      <c r="O6507" s="33"/>
      <c r="P6507" s="33"/>
      <c r="Q6507" s="33"/>
      <c r="R6507" s="33"/>
      <c r="S6507" s="33"/>
      <c r="T6507" s="33"/>
      <c r="U6507" s="33"/>
      <c r="V6507" s="33"/>
      <c r="W6507" s="33"/>
      <c r="X6507" s="33"/>
      <c r="Y6507" s="33"/>
      <c r="Z6507" s="33"/>
      <c r="AA6507" s="33"/>
      <c r="AB6507" s="33"/>
      <c r="AC6507" s="33"/>
      <c r="AD6507" s="33"/>
      <c r="AE6507" s="33"/>
      <c r="AF6507" s="33"/>
      <c r="AG6507" s="33"/>
      <c r="AH6507" s="33"/>
      <c r="AI6507" s="33"/>
      <c r="AJ6507" s="33"/>
      <c r="AK6507" s="33"/>
    </row>
    <row r="6508">
      <c r="A6508" s="33"/>
      <c r="B6508" s="33"/>
      <c r="C6508" s="33"/>
      <c r="D6508" s="33"/>
      <c r="E6508" s="33"/>
      <c r="F6508" s="33"/>
      <c r="G6508" s="33"/>
      <c r="H6508" s="33"/>
      <c r="I6508" s="33"/>
      <c r="J6508" s="33"/>
      <c r="K6508" s="33"/>
      <c r="L6508" s="33"/>
      <c r="M6508" s="33"/>
      <c r="N6508" s="33"/>
      <c r="O6508" s="33"/>
      <c r="P6508" s="33"/>
      <c r="Q6508" s="33"/>
      <c r="R6508" s="33"/>
      <c r="S6508" s="33"/>
      <c r="T6508" s="33"/>
      <c r="U6508" s="33"/>
      <c r="V6508" s="33"/>
      <c r="W6508" s="33"/>
      <c r="X6508" s="33"/>
      <c r="Y6508" s="33"/>
      <c r="Z6508" s="33"/>
      <c r="AA6508" s="33"/>
      <c r="AB6508" s="33"/>
      <c r="AC6508" s="33"/>
      <c r="AD6508" s="33"/>
      <c r="AE6508" s="33"/>
      <c r="AF6508" s="33"/>
      <c r="AG6508" s="33"/>
      <c r="AH6508" s="33"/>
      <c r="AI6508" s="33"/>
      <c r="AJ6508" s="33"/>
      <c r="AK6508" s="33"/>
    </row>
    <row r="6509">
      <c r="A6509" s="33"/>
      <c r="B6509" s="33"/>
      <c r="C6509" s="33"/>
      <c r="D6509" s="33"/>
      <c r="E6509" s="33"/>
      <c r="F6509" s="33"/>
      <c r="G6509" s="33"/>
      <c r="H6509" s="33"/>
      <c r="I6509" s="33"/>
      <c r="J6509" s="33"/>
      <c r="K6509" s="33"/>
      <c r="L6509" s="33"/>
      <c r="M6509" s="33"/>
      <c r="N6509" s="33"/>
      <c r="O6509" s="33"/>
      <c r="P6509" s="33"/>
      <c r="Q6509" s="33"/>
      <c r="R6509" s="33"/>
      <c r="S6509" s="33"/>
      <c r="T6509" s="33"/>
      <c r="U6509" s="33"/>
      <c r="V6509" s="33"/>
      <c r="W6509" s="33"/>
      <c r="X6509" s="33"/>
      <c r="Y6509" s="33"/>
      <c r="Z6509" s="33"/>
      <c r="AA6509" s="33"/>
      <c r="AB6509" s="33"/>
      <c r="AC6509" s="33"/>
      <c r="AD6509" s="33"/>
      <c r="AE6509" s="33"/>
      <c r="AF6509" s="33"/>
      <c r="AG6509" s="33"/>
      <c r="AH6509" s="33"/>
      <c r="AI6509" s="33"/>
      <c r="AJ6509" s="33"/>
      <c r="AK6509" s="33"/>
    </row>
    <row r="6510">
      <c r="A6510" s="33"/>
      <c r="B6510" s="33"/>
      <c r="C6510" s="33"/>
      <c r="D6510" s="33"/>
      <c r="E6510" s="33"/>
      <c r="F6510" s="33"/>
      <c r="G6510" s="33"/>
      <c r="H6510" s="33"/>
      <c r="I6510" s="33"/>
      <c r="J6510" s="33"/>
      <c r="K6510" s="33"/>
      <c r="L6510" s="33"/>
      <c r="M6510" s="33"/>
      <c r="N6510" s="33"/>
      <c r="O6510" s="33"/>
      <c r="P6510" s="33"/>
      <c r="Q6510" s="33"/>
      <c r="R6510" s="33"/>
      <c r="S6510" s="33"/>
      <c r="T6510" s="33"/>
      <c r="U6510" s="33"/>
      <c r="V6510" s="33"/>
      <c r="W6510" s="33"/>
      <c r="X6510" s="33"/>
      <c r="Y6510" s="33"/>
      <c r="Z6510" s="33"/>
      <c r="AA6510" s="33"/>
      <c r="AB6510" s="33"/>
      <c r="AC6510" s="33"/>
      <c r="AD6510" s="33"/>
      <c r="AE6510" s="33"/>
      <c r="AF6510" s="33"/>
      <c r="AG6510" s="33"/>
      <c r="AH6510" s="33"/>
      <c r="AI6510" s="33"/>
      <c r="AJ6510" s="33"/>
      <c r="AK6510" s="33"/>
    </row>
    <row r="6511">
      <c r="A6511" s="33"/>
      <c r="B6511" s="33"/>
      <c r="C6511" s="33"/>
      <c r="D6511" s="33"/>
      <c r="E6511" s="33"/>
      <c r="F6511" s="33"/>
      <c r="G6511" s="33"/>
      <c r="H6511" s="33"/>
      <c r="I6511" s="33"/>
      <c r="J6511" s="33"/>
      <c r="K6511" s="33"/>
      <c r="L6511" s="33"/>
      <c r="M6511" s="33"/>
      <c r="N6511" s="33"/>
      <c r="O6511" s="33"/>
      <c r="P6511" s="33"/>
      <c r="Q6511" s="33"/>
      <c r="R6511" s="33"/>
      <c r="S6511" s="33"/>
      <c r="T6511" s="33"/>
      <c r="U6511" s="33"/>
      <c r="V6511" s="33"/>
      <c r="W6511" s="33"/>
      <c r="X6511" s="33"/>
      <c r="Y6511" s="33"/>
      <c r="Z6511" s="33"/>
      <c r="AA6511" s="33"/>
      <c r="AB6511" s="33"/>
      <c r="AC6511" s="33"/>
      <c r="AD6511" s="33"/>
      <c r="AE6511" s="33"/>
      <c r="AF6511" s="33"/>
      <c r="AG6511" s="33"/>
      <c r="AH6511" s="33"/>
      <c r="AI6511" s="33"/>
      <c r="AJ6511" s="33"/>
      <c r="AK6511" s="33"/>
    </row>
    <row r="6512">
      <c r="A6512" s="33"/>
      <c r="B6512" s="33"/>
      <c r="C6512" s="33"/>
      <c r="D6512" s="33"/>
      <c r="E6512" s="33"/>
      <c r="F6512" s="33"/>
      <c r="G6512" s="33"/>
      <c r="H6512" s="33"/>
      <c r="I6512" s="33"/>
      <c r="J6512" s="33"/>
      <c r="K6512" s="33"/>
      <c r="L6512" s="33"/>
      <c r="M6512" s="33"/>
      <c r="N6512" s="33"/>
      <c r="O6512" s="33"/>
      <c r="P6512" s="33"/>
      <c r="Q6512" s="33"/>
      <c r="R6512" s="33"/>
      <c r="S6512" s="33"/>
      <c r="T6512" s="33"/>
      <c r="U6512" s="33"/>
      <c r="V6512" s="33"/>
      <c r="W6512" s="33"/>
      <c r="X6512" s="33"/>
      <c r="Y6512" s="33"/>
      <c r="Z6512" s="33"/>
      <c r="AA6512" s="33"/>
      <c r="AB6512" s="33"/>
      <c r="AC6512" s="33"/>
      <c r="AD6512" s="33"/>
      <c r="AE6512" s="33"/>
      <c r="AF6512" s="33"/>
      <c r="AG6512" s="33"/>
      <c r="AH6512" s="33"/>
      <c r="AI6512" s="33"/>
      <c r="AJ6512" s="33"/>
      <c r="AK6512" s="33"/>
    </row>
    <row r="6513">
      <c r="A6513" s="33"/>
      <c r="B6513" s="33"/>
      <c r="C6513" s="33"/>
      <c r="D6513" s="33"/>
      <c r="E6513" s="33"/>
      <c r="F6513" s="33"/>
      <c r="G6513" s="33"/>
      <c r="H6513" s="33"/>
      <c r="I6513" s="33"/>
      <c r="J6513" s="33"/>
      <c r="K6513" s="33"/>
      <c r="L6513" s="33"/>
      <c r="M6513" s="33"/>
      <c r="N6513" s="33"/>
      <c r="O6513" s="33"/>
      <c r="P6513" s="33"/>
      <c r="Q6513" s="33"/>
      <c r="R6513" s="33"/>
      <c r="S6513" s="33"/>
      <c r="T6513" s="33"/>
      <c r="U6513" s="33"/>
      <c r="V6513" s="33"/>
      <c r="W6513" s="33"/>
      <c r="X6513" s="33"/>
      <c r="Y6513" s="33"/>
      <c r="Z6513" s="33"/>
      <c r="AA6513" s="33"/>
      <c r="AB6513" s="33"/>
      <c r="AC6513" s="33"/>
      <c r="AD6513" s="33"/>
      <c r="AE6513" s="33"/>
      <c r="AF6513" s="33"/>
      <c r="AG6513" s="33"/>
      <c r="AH6513" s="33"/>
      <c r="AI6513" s="33"/>
      <c r="AJ6513" s="33"/>
      <c r="AK6513" s="33"/>
    </row>
    <row r="6514">
      <c r="A6514" s="33"/>
      <c r="B6514" s="33"/>
      <c r="C6514" s="33"/>
      <c r="D6514" s="33"/>
      <c r="E6514" s="33"/>
      <c r="F6514" s="33"/>
      <c r="G6514" s="33"/>
      <c r="H6514" s="33"/>
      <c r="I6514" s="33"/>
      <c r="J6514" s="33"/>
      <c r="K6514" s="33"/>
      <c r="L6514" s="33"/>
      <c r="M6514" s="33"/>
      <c r="N6514" s="33"/>
      <c r="O6514" s="33"/>
      <c r="P6514" s="33"/>
      <c r="Q6514" s="33"/>
      <c r="R6514" s="33"/>
      <c r="S6514" s="33"/>
      <c r="T6514" s="33"/>
      <c r="U6514" s="33"/>
      <c r="V6514" s="33"/>
      <c r="W6514" s="33"/>
      <c r="X6514" s="33"/>
      <c r="Y6514" s="33"/>
      <c r="Z6514" s="33"/>
      <c r="AA6514" s="33"/>
      <c r="AB6514" s="33"/>
      <c r="AC6514" s="33"/>
      <c r="AD6514" s="33"/>
      <c r="AE6514" s="33"/>
      <c r="AF6514" s="33"/>
      <c r="AG6514" s="33"/>
      <c r="AH6514" s="33"/>
      <c r="AI6514" s="33"/>
      <c r="AJ6514" s="33"/>
      <c r="AK6514" s="33"/>
    </row>
    <row r="6515">
      <c r="A6515" s="33"/>
      <c r="B6515" s="33"/>
      <c r="C6515" s="33"/>
      <c r="D6515" s="33"/>
      <c r="E6515" s="33"/>
      <c r="F6515" s="33"/>
      <c r="G6515" s="33"/>
      <c r="H6515" s="33"/>
      <c r="I6515" s="33"/>
      <c r="J6515" s="33"/>
      <c r="K6515" s="33"/>
      <c r="L6515" s="33"/>
      <c r="M6515" s="33"/>
      <c r="N6515" s="33"/>
      <c r="O6515" s="33"/>
      <c r="P6515" s="33"/>
      <c r="Q6515" s="33"/>
      <c r="R6515" s="33"/>
      <c r="S6515" s="33"/>
      <c r="T6515" s="33"/>
      <c r="U6515" s="33"/>
      <c r="V6515" s="33"/>
      <c r="W6515" s="33"/>
      <c r="X6515" s="33"/>
      <c r="Y6515" s="33"/>
      <c r="Z6515" s="33"/>
      <c r="AA6515" s="33"/>
      <c r="AB6515" s="33"/>
      <c r="AC6515" s="33"/>
      <c r="AD6515" s="33"/>
      <c r="AE6515" s="33"/>
      <c r="AF6515" s="33"/>
      <c r="AG6515" s="33"/>
      <c r="AH6515" s="33"/>
      <c r="AI6515" s="33"/>
      <c r="AJ6515" s="33"/>
      <c r="AK6515" s="33"/>
    </row>
    <row r="6516">
      <c r="A6516" s="33"/>
      <c r="B6516" s="33"/>
      <c r="C6516" s="33"/>
      <c r="D6516" s="33"/>
      <c r="E6516" s="33"/>
      <c r="F6516" s="33"/>
      <c r="G6516" s="33"/>
      <c r="H6516" s="33"/>
      <c r="I6516" s="33"/>
      <c r="J6516" s="33"/>
      <c r="K6516" s="33"/>
      <c r="L6516" s="33"/>
      <c r="M6516" s="33"/>
      <c r="N6516" s="33"/>
      <c r="O6516" s="33"/>
      <c r="P6516" s="33"/>
      <c r="Q6516" s="33"/>
      <c r="R6516" s="33"/>
      <c r="S6516" s="33"/>
      <c r="T6516" s="33"/>
      <c r="U6516" s="33"/>
      <c r="V6516" s="33"/>
      <c r="W6516" s="33"/>
      <c r="X6516" s="33"/>
      <c r="Y6516" s="33"/>
      <c r="Z6516" s="33"/>
      <c r="AA6516" s="33"/>
      <c r="AB6516" s="33"/>
      <c r="AC6516" s="33"/>
      <c r="AD6516" s="33"/>
      <c r="AE6516" s="33"/>
      <c r="AF6516" s="33"/>
      <c r="AG6516" s="33"/>
      <c r="AH6516" s="33"/>
      <c r="AI6516" s="33"/>
      <c r="AJ6516" s="33"/>
      <c r="AK6516" s="33"/>
    </row>
    <row r="6517">
      <c r="A6517" s="33"/>
      <c r="B6517" s="33"/>
      <c r="C6517" s="33"/>
      <c r="D6517" s="33"/>
      <c r="E6517" s="33"/>
      <c r="F6517" s="33"/>
      <c r="G6517" s="33"/>
      <c r="H6517" s="33"/>
      <c r="I6517" s="33"/>
      <c r="J6517" s="33"/>
      <c r="K6517" s="33"/>
      <c r="L6517" s="33"/>
      <c r="M6517" s="33"/>
      <c r="N6517" s="33"/>
      <c r="O6517" s="33"/>
      <c r="P6517" s="33"/>
      <c r="Q6517" s="33"/>
      <c r="R6517" s="33"/>
      <c r="S6517" s="33"/>
      <c r="T6517" s="33"/>
      <c r="U6517" s="33"/>
      <c r="V6517" s="33"/>
      <c r="W6517" s="33"/>
      <c r="X6517" s="33"/>
      <c r="Y6517" s="33"/>
      <c r="Z6517" s="33"/>
      <c r="AA6517" s="33"/>
      <c r="AB6517" s="33"/>
      <c r="AC6517" s="33"/>
      <c r="AD6517" s="33"/>
      <c r="AE6517" s="33"/>
      <c r="AF6517" s="33"/>
      <c r="AG6517" s="33"/>
      <c r="AH6517" s="33"/>
      <c r="AI6517" s="33"/>
      <c r="AJ6517" s="33"/>
      <c r="AK6517" s="33"/>
    </row>
    <row r="6518">
      <c r="A6518" s="33"/>
      <c r="B6518" s="33"/>
      <c r="C6518" s="33"/>
      <c r="D6518" s="33"/>
      <c r="E6518" s="33"/>
      <c r="F6518" s="33"/>
      <c r="G6518" s="33"/>
      <c r="H6518" s="33"/>
      <c r="I6518" s="33"/>
      <c r="J6518" s="33"/>
      <c r="K6518" s="33"/>
      <c r="L6518" s="33"/>
      <c r="M6518" s="33"/>
      <c r="N6518" s="33"/>
      <c r="O6518" s="33"/>
      <c r="P6518" s="33"/>
      <c r="Q6518" s="33"/>
      <c r="R6518" s="33"/>
      <c r="S6518" s="33"/>
      <c r="T6518" s="33"/>
      <c r="U6518" s="33"/>
      <c r="V6518" s="33"/>
      <c r="W6518" s="33"/>
      <c r="X6518" s="33"/>
      <c r="Y6518" s="33"/>
      <c r="Z6518" s="33"/>
      <c r="AA6518" s="33"/>
      <c r="AB6518" s="33"/>
      <c r="AC6518" s="33"/>
      <c r="AD6518" s="33"/>
      <c r="AE6518" s="33"/>
      <c r="AF6518" s="33"/>
      <c r="AG6518" s="33"/>
      <c r="AH6518" s="33"/>
      <c r="AI6518" s="33"/>
      <c r="AJ6518" s="33"/>
      <c r="AK6518" s="33"/>
    </row>
    <row r="6519">
      <c r="A6519" s="33"/>
      <c r="B6519" s="33"/>
      <c r="C6519" s="33"/>
      <c r="D6519" s="33"/>
      <c r="E6519" s="33"/>
      <c r="F6519" s="33"/>
      <c r="G6519" s="33"/>
      <c r="H6519" s="33"/>
      <c r="I6519" s="33"/>
      <c r="J6519" s="33"/>
      <c r="K6519" s="33"/>
      <c r="L6519" s="33"/>
      <c r="M6519" s="33"/>
      <c r="N6519" s="33"/>
      <c r="O6519" s="33"/>
      <c r="P6519" s="33"/>
      <c r="Q6519" s="33"/>
      <c r="R6519" s="33"/>
      <c r="S6519" s="33"/>
      <c r="T6519" s="33"/>
      <c r="U6519" s="33"/>
      <c r="V6519" s="33"/>
      <c r="W6519" s="33"/>
      <c r="X6519" s="33"/>
      <c r="Y6519" s="33"/>
      <c r="Z6519" s="33"/>
      <c r="AA6519" s="33"/>
      <c r="AB6519" s="33"/>
      <c r="AC6519" s="33"/>
      <c r="AD6519" s="33"/>
      <c r="AE6519" s="33"/>
      <c r="AF6519" s="33"/>
      <c r="AG6519" s="33"/>
      <c r="AH6519" s="33"/>
      <c r="AI6519" s="33"/>
      <c r="AJ6519" s="33"/>
      <c r="AK6519" s="33"/>
    </row>
    <row r="6520">
      <c r="A6520" s="33"/>
      <c r="B6520" s="33"/>
      <c r="C6520" s="33"/>
      <c r="D6520" s="33"/>
      <c r="E6520" s="33"/>
      <c r="F6520" s="33"/>
      <c r="G6520" s="33"/>
      <c r="H6520" s="33"/>
      <c r="I6520" s="33"/>
      <c r="J6520" s="33"/>
      <c r="K6520" s="33"/>
      <c r="L6520" s="33"/>
      <c r="M6520" s="33"/>
      <c r="N6520" s="33"/>
      <c r="O6520" s="33"/>
      <c r="P6520" s="33"/>
      <c r="Q6520" s="33"/>
      <c r="R6520" s="33"/>
      <c r="S6520" s="33"/>
      <c r="T6520" s="33"/>
      <c r="U6520" s="33"/>
      <c r="V6520" s="33"/>
      <c r="W6520" s="33"/>
      <c r="X6520" s="33"/>
      <c r="Y6520" s="33"/>
      <c r="Z6520" s="33"/>
      <c r="AA6520" s="33"/>
      <c r="AB6520" s="33"/>
      <c r="AC6520" s="33"/>
      <c r="AD6520" s="33"/>
      <c r="AE6520" s="33"/>
      <c r="AF6520" s="33"/>
      <c r="AG6520" s="33"/>
      <c r="AH6520" s="33"/>
      <c r="AI6520" s="33"/>
      <c r="AJ6520" s="33"/>
      <c r="AK6520" s="33"/>
    </row>
    <row r="6521">
      <c r="A6521" s="33"/>
      <c r="B6521" s="33"/>
      <c r="C6521" s="33"/>
      <c r="D6521" s="33"/>
      <c r="E6521" s="33"/>
      <c r="F6521" s="33"/>
      <c r="G6521" s="33"/>
      <c r="H6521" s="33"/>
      <c r="I6521" s="33"/>
      <c r="J6521" s="33"/>
      <c r="K6521" s="33"/>
      <c r="L6521" s="33"/>
      <c r="M6521" s="33"/>
      <c r="N6521" s="33"/>
      <c r="O6521" s="33"/>
      <c r="P6521" s="33"/>
      <c r="Q6521" s="33"/>
      <c r="R6521" s="33"/>
      <c r="S6521" s="33"/>
      <c r="T6521" s="33"/>
      <c r="U6521" s="33"/>
      <c r="V6521" s="33"/>
      <c r="W6521" s="33"/>
      <c r="X6521" s="33"/>
      <c r="Y6521" s="33"/>
      <c r="Z6521" s="33"/>
      <c r="AA6521" s="33"/>
      <c r="AB6521" s="33"/>
      <c r="AC6521" s="33"/>
      <c r="AD6521" s="33"/>
      <c r="AE6521" s="33"/>
      <c r="AF6521" s="33"/>
      <c r="AG6521" s="33"/>
      <c r="AH6521" s="33"/>
      <c r="AI6521" s="33"/>
      <c r="AJ6521" s="33"/>
      <c r="AK6521" s="33"/>
    </row>
    <row r="6522">
      <c r="A6522" s="33"/>
      <c r="B6522" s="33"/>
      <c r="C6522" s="33"/>
      <c r="D6522" s="33"/>
      <c r="E6522" s="33"/>
      <c r="F6522" s="33"/>
      <c r="G6522" s="33"/>
      <c r="H6522" s="33"/>
      <c r="I6522" s="33"/>
      <c r="J6522" s="33"/>
      <c r="K6522" s="33"/>
      <c r="L6522" s="33"/>
      <c r="M6522" s="33"/>
      <c r="N6522" s="33"/>
      <c r="O6522" s="33"/>
      <c r="P6522" s="33"/>
      <c r="Q6522" s="33"/>
      <c r="R6522" s="33"/>
      <c r="S6522" s="33"/>
      <c r="T6522" s="33"/>
      <c r="U6522" s="33"/>
      <c r="V6522" s="33"/>
      <c r="W6522" s="33"/>
      <c r="X6522" s="33"/>
      <c r="Y6522" s="33"/>
      <c r="Z6522" s="33"/>
      <c r="AA6522" s="33"/>
      <c r="AB6522" s="33"/>
      <c r="AC6522" s="33"/>
      <c r="AD6522" s="33"/>
      <c r="AE6522" s="33"/>
      <c r="AF6522" s="33"/>
      <c r="AG6522" s="33"/>
      <c r="AH6522" s="33"/>
      <c r="AI6522" s="33"/>
      <c r="AJ6522" s="33"/>
      <c r="AK6522" s="33"/>
    </row>
    <row r="6523">
      <c r="A6523" s="33"/>
      <c r="B6523" s="33"/>
      <c r="C6523" s="33"/>
      <c r="D6523" s="33"/>
      <c r="E6523" s="33"/>
      <c r="F6523" s="33"/>
      <c r="G6523" s="33"/>
      <c r="H6523" s="33"/>
      <c r="I6523" s="33"/>
      <c r="J6523" s="33"/>
      <c r="K6523" s="33"/>
      <c r="L6523" s="33"/>
      <c r="M6523" s="33"/>
      <c r="N6523" s="33"/>
      <c r="O6523" s="33"/>
      <c r="P6523" s="33"/>
      <c r="Q6523" s="33"/>
      <c r="R6523" s="33"/>
      <c r="S6523" s="33"/>
      <c r="T6523" s="33"/>
      <c r="U6523" s="33"/>
      <c r="V6523" s="33"/>
      <c r="W6523" s="33"/>
      <c r="X6523" s="33"/>
      <c r="Y6523" s="33"/>
      <c r="Z6523" s="33"/>
      <c r="AA6523" s="33"/>
      <c r="AB6523" s="33"/>
      <c r="AC6523" s="33"/>
      <c r="AD6523" s="33"/>
      <c r="AE6523" s="33"/>
      <c r="AF6523" s="33"/>
      <c r="AG6523" s="33"/>
      <c r="AH6523" s="33"/>
      <c r="AI6523" s="33"/>
      <c r="AJ6523" s="33"/>
      <c r="AK6523" s="33"/>
    </row>
    <row r="6524">
      <c r="A6524" s="33"/>
      <c r="B6524" s="33"/>
      <c r="C6524" s="33"/>
      <c r="D6524" s="33"/>
      <c r="E6524" s="33"/>
      <c r="F6524" s="33"/>
      <c r="G6524" s="33"/>
      <c r="H6524" s="33"/>
      <c r="I6524" s="33"/>
      <c r="J6524" s="33"/>
      <c r="K6524" s="33"/>
      <c r="L6524" s="33"/>
      <c r="M6524" s="33"/>
      <c r="N6524" s="33"/>
      <c r="O6524" s="33"/>
      <c r="P6524" s="33"/>
      <c r="Q6524" s="33"/>
      <c r="R6524" s="33"/>
      <c r="S6524" s="33"/>
      <c r="T6524" s="33"/>
      <c r="U6524" s="33"/>
      <c r="V6524" s="33"/>
      <c r="W6524" s="33"/>
      <c r="X6524" s="33"/>
      <c r="Y6524" s="33"/>
      <c r="Z6524" s="33"/>
      <c r="AA6524" s="33"/>
      <c r="AB6524" s="33"/>
      <c r="AC6524" s="33"/>
      <c r="AD6524" s="33"/>
      <c r="AE6524" s="33"/>
      <c r="AF6524" s="33"/>
      <c r="AG6524" s="33"/>
      <c r="AH6524" s="33"/>
      <c r="AI6524" s="33"/>
      <c r="AJ6524" s="33"/>
      <c r="AK6524" s="33"/>
    </row>
    <row r="6525">
      <c r="A6525" s="33"/>
      <c r="B6525" s="33"/>
      <c r="C6525" s="33"/>
      <c r="D6525" s="33"/>
      <c r="E6525" s="33"/>
      <c r="F6525" s="33"/>
      <c r="G6525" s="33"/>
      <c r="H6525" s="33"/>
      <c r="I6525" s="33"/>
      <c r="J6525" s="33"/>
      <c r="K6525" s="33"/>
      <c r="L6525" s="33"/>
      <c r="M6525" s="33"/>
      <c r="N6525" s="33"/>
      <c r="O6525" s="33"/>
      <c r="P6525" s="33"/>
      <c r="Q6525" s="33"/>
      <c r="R6525" s="33"/>
      <c r="S6525" s="33"/>
      <c r="T6525" s="33"/>
      <c r="U6525" s="33"/>
      <c r="V6525" s="33"/>
      <c r="W6525" s="33"/>
      <c r="X6525" s="33"/>
      <c r="Y6525" s="33"/>
      <c r="Z6525" s="33"/>
      <c r="AA6525" s="33"/>
      <c r="AB6525" s="33"/>
      <c r="AC6525" s="33"/>
      <c r="AD6525" s="33"/>
      <c r="AE6525" s="33"/>
      <c r="AF6525" s="33"/>
      <c r="AG6525" s="33"/>
      <c r="AH6525" s="33"/>
      <c r="AI6525" s="33"/>
      <c r="AJ6525" s="33"/>
      <c r="AK6525" s="33"/>
    </row>
    <row r="6526">
      <c r="A6526" s="33"/>
      <c r="B6526" s="33"/>
      <c r="C6526" s="33"/>
      <c r="D6526" s="33"/>
      <c r="E6526" s="33"/>
      <c r="F6526" s="33"/>
      <c r="G6526" s="33"/>
      <c r="H6526" s="33"/>
      <c r="I6526" s="33"/>
      <c r="J6526" s="33"/>
      <c r="K6526" s="33"/>
      <c r="L6526" s="33"/>
      <c r="M6526" s="33"/>
      <c r="N6526" s="33"/>
      <c r="O6526" s="33"/>
      <c r="P6526" s="33"/>
      <c r="Q6526" s="33"/>
      <c r="R6526" s="33"/>
      <c r="S6526" s="33"/>
      <c r="T6526" s="33"/>
      <c r="U6526" s="33"/>
      <c r="V6526" s="33"/>
      <c r="W6526" s="33"/>
      <c r="X6526" s="33"/>
      <c r="Y6526" s="33"/>
      <c r="Z6526" s="33"/>
      <c r="AA6526" s="33"/>
      <c r="AB6526" s="33"/>
      <c r="AC6526" s="33"/>
      <c r="AD6526" s="33"/>
      <c r="AE6526" s="33"/>
      <c r="AF6526" s="33"/>
      <c r="AG6526" s="33"/>
      <c r="AH6526" s="33"/>
      <c r="AI6526" s="33"/>
      <c r="AJ6526" s="33"/>
      <c r="AK6526" s="33"/>
    </row>
    <row r="6527">
      <c r="A6527" s="33"/>
      <c r="B6527" s="33"/>
      <c r="C6527" s="33"/>
      <c r="D6527" s="33"/>
      <c r="E6527" s="33"/>
      <c r="F6527" s="33"/>
      <c r="G6527" s="33"/>
      <c r="H6527" s="33"/>
      <c r="I6527" s="33"/>
      <c r="J6527" s="33"/>
      <c r="K6527" s="33"/>
      <c r="L6527" s="33"/>
      <c r="M6527" s="33"/>
      <c r="N6527" s="33"/>
      <c r="O6527" s="33"/>
      <c r="P6527" s="33"/>
      <c r="Q6527" s="33"/>
      <c r="R6527" s="33"/>
      <c r="S6527" s="33"/>
      <c r="T6527" s="33"/>
      <c r="U6527" s="33"/>
      <c r="V6527" s="33"/>
      <c r="W6527" s="33"/>
      <c r="X6527" s="33"/>
      <c r="Y6527" s="33"/>
      <c r="Z6527" s="33"/>
      <c r="AA6527" s="33"/>
      <c r="AB6527" s="33"/>
      <c r="AC6527" s="33"/>
      <c r="AD6527" s="33"/>
      <c r="AE6527" s="33"/>
      <c r="AF6527" s="33"/>
      <c r="AG6527" s="33"/>
      <c r="AH6527" s="33"/>
      <c r="AI6527" s="33"/>
      <c r="AJ6527" s="33"/>
      <c r="AK6527" s="33"/>
    </row>
    <row r="6528">
      <c r="A6528" s="33"/>
      <c r="B6528" s="33"/>
      <c r="C6528" s="33"/>
      <c r="D6528" s="33"/>
      <c r="E6528" s="33"/>
      <c r="F6528" s="33"/>
      <c r="G6528" s="33"/>
      <c r="H6528" s="33"/>
      <c r="I6528" s="33"/>
      <c r="J6528" s="33"/>
      <c r="K6528" s="33"/>
      <c r="L6528" s="33"/>
      <c r="M6528" s="33"/>
      <c r="N6528" s="33"/>
      <c r="O6528" s="33"/>
      <c r="P6528" s="33"/>
      <c r="Q6528" s="33"/>
      <c r="R6528" s="33"/>
      <c r="S6528" s="33"/>
      <c r="T6528" s="33"/>
      <c r="U6528" s="33"/>
      <c r="V6528" s="33"/>
      <c r="W6528" s="33"/>
      <c r="X6528" s="33"/>
      <c r="Y6528" s="33"/>
      <c r="Z6528" s="33"/>
      <c r="AA6528" s="33"/>
      <c r="AB6528" s="33"/>
      <c r="AC6528" s="33"/>
      <c r="AD6528" s="33"/>
      <c r="AE6528" s="33"/>
      <c r="AF6528" s="33"/>
      <c r="AG6528" s="33"/>
      <c r="AH6528" s="33"/>
      <c r="AI6528" s="33"/>
      <c r="AJ6528" s="33"/>
      <c r="AK6528" s="33"/>
    </row>
    <row r="6529">
      <c r="A6529" s="33"/>
      <c r="B6529" s="33"/>
      <c r="C6529" s="33"/>
      <c r="D6529" s="33"/>
      <c r="E6529" s="33"/>
      <c r="F6529" s="33"/>
      <c r="G6529" s="33"/>
      <c r="H6529" s="33"/>
      <c r="I6529" s="33"/>
      <c r="J6529" s="33"/>
      <c r="K6529" s="33"/>
      <c r="L6529" s="33"/>
      <c r="M6529" s="33"/>
      <c r="N6529" s="33"/>
      <c r="O6529" s="33"/>
      <c r="P6529" s="33"/>
      <c r="Q6529" s="33"/>
      <c r="R6529" s="33"/>
      <c r="S6529" s="33"/>
      <c r="T6529" s="33"/>
      <c r="U6529" s="33"/>
      <c r="V6529" s="33"/>
      <c r="W6529" s="33"/>
      <c r="X6529" s="33"/>
      <c r="Y6529" s="33"/>
      <c r="Z6529" s="33"/>
      <c r="AA6529" s="33"/>
      <c r="AB6529" s="33"/>
      <c r="AC6529" s="33"/>
      <c r="AD6529" s="33"/>
      <c r="AE6529" s="33"/>
      <c r="AF6529" s="33"/>
      <c r="AG6529" s="33"/>
      <c r="AH6529" s="33"/>
      <c r="AI6529" s="33"/>
      <c r="AJ6529" s="33"/>
      <c r="AK6529" s="33"/>
    </row>
    <row r="6530">
      <c r="A6530" s="33"/>
      <c r="B6530" s="33"/>
      <c r="C6530" s="33"/>
      <c r="D6530" s="33"/>
      <c r="E6530" s="33"/>
      <c r="F6530" s="33"/>
      <c r="G6530" s="33"/>
      <c r="H6530" s="33"/>
      <c r="I6530" s="33"/>
      <c r="J6530" s="33"/>
      <c r="K6530" s="33"/>
      <c r="L6530" s="33"/>
      <c r="M6530" s="33"/>
      <c r="N6530" s="33"/>
      <c r="O6530" s="33"/>
      <c r="P6530" s="33"/>
      <c r="Q6530" s="33"/>
      <c r="R6530" s="33"/>
      <c r="S6530" s="33"/>
      <c r="T6530" s="33"/>
      <c r="U6530" s="33"/>
      <c r="V6530" s="33"/>
      <c r="W6530" s="33"/>
      <c r="X6530" s="33"/>
      <c r="Y6530" s="33"/>
      <c r="Z6530" s="33"/>
      <c r="AA6530" s="33"/>
      <c r="AB6530" s="33"/>
      <c r="AC6530" s="33"/>
      <c r="AD6530" s="33"/>
      <c r="AE6530" s="33"/>
      <c r="AF6530" s="33"/>
      <c r="AG6530" s="33"/>
      <c r="AH6530" s="33"/>
      <c r="AI6530" s="33"/>
      <c r="AJ6530" s="33"/>
      <c r="AK6530" s="33"/>
    </row>
    <row r="6531">
      <c r="A6531" s="33"/>
      <c r="B6531" s="33"/>
      <c r="C6531" s="33"/>
      <c r="D6531" s="33"/>
      <c r="E6531" s="33"/>
      <c r="F6531" s="33"/>
      <c r="G6531" s="33"/>
      <c r="H6531" s="33"/>
      <c r="I6531" s="33"/>
      <c r="J6531" s="33"/>
      <c r="K6531" s="33"/>
      <c r="L6531" s="33"/>
      <c r="M6531" s="33"/>
      <c r="N6531" s="33"/>
      <c r="O6531" s="33"/>
      <c r="P6531" s="33"/>
      <c r="Q6531" s="33"/>
      <c r="R6531" s="33"/>
      <c r="S6531" s="33"/>
      <c r="T6531" s="33"/>
      <c r="U6531" s="33"/>
      <c r="V6531" s="33"/>
      <c r="W6531" s="33"/>
      <c r="X6531" s="33"/>
      <c r="Y6531" s="33"/>
      <c r="Z6531" s="33"/>
      <c r="AA6531" s="33"/>
      <c r="AB6531" s="33"/>
      <c r="AC6531" s="33"/>
      <c r="AD6531" s="33"/>
      <c r="AE6531" s="33"/>
      <c r="AF6531" s="33"/>
      <c r="AG6531" s="33"/>
      <c r="AH6531" s="33"/>
      <c r="AI6531" s="33"/>
      <c r="AJ6531" s="33"/>
      <c r="AK6531" s="33"/>
    </row>
    <row r="6532">
      <c r="A6532" s="33"/>
      <c r="B6532" s="33"/>
      <c r="C6532" s="33"/>
      <c r="D6532" s="33"/>
      <c r="E6532" s="33"/>
      <c r="F6532" s="33"/>
      <c r="G6532" s="33"/>
      <c r="H6532" s="33"/>
      <c r="I6532" s="33"/>
      <c r="J6532" s="33"/>
      <c r="K6532" s="33"/>
      <c r="L6532" s="33"/>
      <c r="M6532" s="33"/>
      <c r="N6532" s="33"/>
      <c r="O6532" s="33"/>
      <c r="P6532" s="33"/>
      <c r="Q6532" s="33"/>
      <c r="R6532" s="33"/>
      <c r="S6532" s="33"/>
      <c r="T6532" s="33"/>
      <c r="U6532" s="33"/>
      <c r="V6532" s="33"/>
      <c r="W6532" s="33"/>
      <c r="X6532" s="33"/>
      <c r="Y6532" s="33"/>
      <c r="Z6532" s="33"/>
      <c r="AA6532" s="33"/>
      <c r="AB6532" s="33"/>
      <c r="AC6532" s="33"/>
      <c r="AD6532" s="33"/>
      <c r="AE6532" s="33"/>
      <c r="AF6532" s="33"/>
      <c r="AG6532" s="33"/>
      <c r="AH6532" s="33"/>
      <c r="AI6532" s="33"/>
      <c r="AJ6532" s="33"/>
      <c r="AK6532" s="33"/>
    </row>
    <row r="6533">
      <c r="A6533" s="33"/>
      <c r="B6533" s="33"/>
      <c r="C6533" s="33"/>
      <c r="D6533" s="33"/>
      <c r="E6533" s="33"/>
      <c r="F6533" s="33"/>
      <c r="G6533" s="33"/>
      <c r="H6533" s="33"/>
      <c r="I6533" s="33"/>
      <c r="J6533" s="33"/>
      <c r="K6533" s="33"/>
      <c r="L6533" s="33"/>
      <c r="M6533" s="33"/>
      <c r="N6533" s="33"/>
      <c r="O6533" s="33"/>
      <c r="P6533" s="33"/>
      <c r="Q6533" s="33"/>
      <c r="R6533" s="33"/>
      <c r="S6533" s="33"/>
      <c r="T6533" s="33"/>
      <c r="U6533" s="33"/>
      <c r="V6533" s="33"/>
      <c r="W6533" s="33"/>
      <c r="X6533" s="33"/>
      <c r="Y6533" s="33"/>
      <c r="Z6533" s="33"/>
      <c r="AA6533" s="33"/>
      <c r="AB6533" s="33"/>
      <c r="AC6533" s="33"/>
      <c r="AD6533" s="33"/>
      <c r="AE6533" s="33"/>
      <c r="AF6533" s="33"/>
      <c r="AG6533" s="33"/>
      <c r="AH6533" s="33"/>
      <c r="AI6533" s="33"/>
      <c r="AJ6533" s="33"/>
      <c r="AK6533" s="33"/>
    </row>
    <row r="6534">
      <c r="A6534" s="33"/>
      <c r="B6534" s="33"/>
      <c r="C6534" s="33"/>
      <c r="D6534" s="33"/>
      <c r="E6534" s="33"/>
      <c r="F6534" s="33"/>
      <c r="G6534" s="33"/>
      <c r="H6534" s="33"/>
      <c r="I6534" s="33"/>
      <c r="J6534" s="33"/>
      <c r="K6534" s="33"/>
      <c r="L6534" s="33"/>
      <c r="M6534" s="33"/>
      <c r="N6534" s="33"/>
      <c r="O6534" s="33"/>
      <c r="P6534" s="33"/>
      <c r="Q6534" s="33"/>
      <c r="R6534" s="33"/>
      <c r="S6534" s="33"/>
      <c r="T6534" s="33"/>
      <c r="U6534" s="33"/>
      <c r="V6534" s="33"/>
      <c r="W6534" s="33"/>
      <c r="X6534" s="33"/>
      <c r="Y6534" s="33"/>
      <c r="Z6534" s="33"/>
      <c r="AA6534" s="33"/>
      <c r="AB6534" s="33"/>
      <c r="AC6534" s="33"/>
      <c r="AD6534" s="33"/>
      <c r="AE6534" s="33"/>
      <c r="AF6534" s="33"/>
      <c r="AG6534" s="33"/>
      <c r="AH6534" s="33"/>
      <c r="AI6534" s="33"/>
      <c r="AJ6534" s="33"/>
      <c r="AK6534" s="33"/>
    </row>
    <row r="6535">
      <c r="A6535" s="33"/>
      <c r="B6535" s="33"/>
      <c r="C6535" s="33"/>
      <c r="D6535" s="33"/>
      <c r="E6535" s="33"/>
      <c r="F6535" s="33"/>
      <c r="G6535" s="33"/>
      <c r="H6535" s="33"/>
      <c r="I6535" s="33"/>
      <c r="J6535" s="33"/>
      <c r="K6535" s="33"/>
      <c r="L6535" s="33"/>
      <c r="M6535" s="33"/>
      <c r="N6535" s="33"/>
      <c r="O6535" s="33"/>
      <c r="P6535" s="33"/>
      <c r="Q6535" s="33"/>
      <c r="R6535" s="33"/>
      <c r="S6535" s="33"/>
      <c r="T6535" s="33"/>
      <c r="U6535" s="33"/>
      <c r="V6535" s="33"/>
      <c r="W6535" s="33"/>
      <c r="X6535" s="33"/>
      <c r="Y6535" s="33"/>
      <c r="Z6535" s="33"/>
      <c r="AA6535" s="33"/>
      <c r="AB6535" s="33"/>
      <c r="AC6535" s="33"/>
      <c r="AD6535" s="33"/>
      <c r="AE6535" s="33"/>
      <c r="AF6535" s="33"/>
      <c r="AG6535" s="33"/>
      <c r="AH6535" s="33"/>
      <c r="AI6535" s="33"/>
      <c r="AJ6535" s="33"/>
      <c r="AK6535" s="33"/>
    </row>
    <row r="6536">
      <c r="A6536" s="33"/>
      <c r="B6536" s="33"/>
      <c r="C6536" s="33"/>
      <c r="D6536" s="33"/>
      <c r="E6536" s="33"/>
      <c r="F6536" s="33"/>
      <c r="G6536" s="33"/>
      <c r="H6536" s="33"/>
      <c r="I6536" s="33"/>
      <c r="J6536" s="33"/>
      <c r="K6536" s="33"/>
      <c r="L6536" s="33"/>
      <c r="M6536" s="33"/>
      <c r="N6536" s="33"/>
      <c r="O6536" s="33"/>
      <c r="P6536" s="33"/>
      <c r="Q6536" s="33"/>
      <c r="R6536" s="33"/>
      <c r="S6536" s="33"/>
      <c r="T6536" s="33"/>
      <c r="U6536" s="33"/>
      <c r="V6536" s="33"/>
      <c r="W6536" s="33"/>
      <c r="X6536" s="33"/>
      <c r="Y6536" s="33"/>
      <c r="Z6536" s="33"/>
      <c r="AA6536" s="33"/>
      <c r="AB6536" s="33"/>
      <c r="AC6536" s="33"/>
      <c r="AD6536" s="33"/>
      <c r="AE6536" s="33"/>
      <c r="AF6536" s="33"/>
      <c r="AG6536" s="33"/>
      <c r="AH6536" s="33"/>
      <c r="AI6536" s="33"/>
      <c r="AJ6536" s="33"/>
      <c r="AK6536" s="33"/>
    </row>
    <row r="6537">
      <c r="A6537" s="33"/>
      <c r="B6537" s="33"/>
      <c r="C6537" s="33"/>
      <c r="D6537" s="33"/>
      <c r="E6537" s="33"/>
      <c r="F6537" s="33"/>
      <c r="G6537" s="33"/>
      <c r="H6537" s="33"/>
      <c r="I6537" s="33"/>
      <c r="J6537" s="33"/>
      <c r="K6537" s="33"/>
      <c r="L6537" s="33"/>
      <c r="M6537" s="33"/>
      <c r="N6537" s="33"/>
      <c r="O6537" s="33"/>
      <c r="P6537" s="33"/>
      <c r="Q6537" s="33"/>
      <c r="R6537" s="33"/>
      <c r="S6537" s="33"/>
      <c r="T6537" s="33"/>
      <c r="U6537" s="33"/>
      <c r="V6537" s="33"/>
      <c r="W6537" s="33"/>
      <c r="X6537" s="33"/>
      <c r="Y6537" s="33"/>
      <c r="Z6537" s="33"/>
      <c r="AA6537" s="33"/>
      <c r="AB6537" s="33"/>
      <c r="AC6537" s="33"/>
      <c r="AD6537" s="33"/>
      <c r="AE6537" s="33"/>
      <c r="AF6537" s="33"/>
      <c r="AG6537" s="33"/>
      <c r="AH6537" s="33"/>
      <c r="AI6537" s="33"/>
      <c r="AJ6537" s="33"/>
      <c r="AK6537" s="33"/>
    </row>
    <row r="6538">
      <c r="A6538" s="33"/>
      <c r="B6538" s="33"/>
      <c r="C6538" s="33"/>
      <c r="D6538" s="33"/>
      <c r="E6538" s="33"/>
      <c r="F6538" s="33"/>
      <c r="G6538" s="33"/>
      <c r="H6538" s="33"/>
      <c r="I6538" s="33"/>
      <c r="J6538" s="33"/>
      <c r="K6538" s="33"/>
      <c r="L6538" s="33"/>
      <c r="M6538" s="33"/>
      <c r="N6538" s="33"/>
      <c r="O6538" s="33"/>
      <c r="P6538" s="33"/>
      <c r="Q6538" s="33"/>
      <c r="R6538" s="33"/>
      <c r="S6538" s="33"/>
      <c r="T6538" s="33"/>
      <c r="U6538" s="33"/>
      <c r="V6538" s="33"/>
      <c r="W6538" s="33"/>
      <c r="X6538" s="33"/>
      <c r="Y6538" s="33"/>
      <c r="Z6538" s="33"/>
      <c r="AA6538" s="33"/>
      <c r="AB6538" s="33"/>
      <c r="AC6538" s="33"/>
      <c r="AD6538" s="33"/>
      <c r="AE6538" s="33"/>
      <c r="AF6538" s="33"/>
      <c r="AG6538" s="33"/>
      <c r="AH6538" s="33"/>
      <c r="AI6538" s="33"/>
      <c r="AJ6538" s="33"/>
      <c r="AK6538" s="33"/>
    </row>
    <row r="6539">
      <c r="A6539" s="33"/>
      <c r="B6539" s="33"/>
      <c r="C6539" s="33"/>
      <c r="D6539" s="33"/>
      <c r="E6539" s="33"/>
      <c r="F6539" s="33"/>
      <c r="G6539" s="33"/>
      <c r="H6539" s="33"/>
      <c r="I6539" s="33"/>
      <c r="J6539" s="33"/>
      <c r="K6539" s="33"/>
      <c r="L6539" s="33"/>
      <c r="M6539" s="33"/>
      <c r="N6539" s="33"/>
      <c r="O6539" s="33"/>
      <c r="P6539" s="33"/>
      <c r="Q6539" s="33"/>
      <c r="R6539" s="33"/>
      <c r="S6539" s="33"/>
      <c r="T6539" s="33"/>
      <c r="U6539" s="33"/>
      <c r="V6539" s="33"/>
      <c r="W6539" s="33"/>
      <c r="X6539" s="33"/>
      <c r="Y6539" s="33"/>
      <c r="Z6539" s="33"/>
      <c r="AA6539" s="33"/>
      <c r="AB6539" s="33"/>
      <c r="AC6539" s="33"/>
      <c r="AD6539" s="33"/>
      <c r="AE6539" s="33"/>
      <c r="AF6539" s="33"/>
      <c r="AG6539" s="33"/>
      <c r="AH6539" s="33"/>
      <c r="AI6539" s="33"/>
      <c r="AJ6539" s="33"/>
      <c r="AK6539" s="33"/>
    </row>
    <row r="6540">
      <c r="A6540" s="33"/>
      <c r="B6540" s="33"/>
      <c r="C6540" s="33"/>
      <c r="D6540" s="33"/>
      <c r="E6540" s="33"/>
      <c r="F6540" s="33"/>
      <c r="G6540" s="33"/>
      <c r="H6540" s="33"/>
      <c r="I6540" s="33"/>
      <c r="J6540" s="33"/>
      <c r="K6540" s="33"/>
      <c r="L6540" s="33"/>
      <c r="M6540" s="33"/>
      <c r="N6540" s="33"/>
      <c r="O6540" s="33"/>
      <c r="P6540" s="33"/>
      <c r="Q6540" s="33"/>
      <c r="R6540" s="33"/>
      <c r="S6540" s="33"/>
      <c r="T6540" s="33"/>
      <c r="U6540" s="33"/>
      <c r="V6540" s="33"/>
      <c r="W6540" s="33"/>
      <c r="X6540" s="33"/>
      <c r="Y6540" s="33"/>
      <c r="Z6540" s="33"/>
      <c r="AA6540" s="33"/>
      <c r="AB6540" s="33"/>
      <c r="AC6540" s="33"/>
      <c r="AD6540" s="33"/>
      <c r="AE6540" s="33"/>
      <c r="AF6540" s="33"/>
      <c r="AG6540" s="33"/>
      <c r="AH6540" s="33"/>
      <c r="AI6540" s="33"/>
      <c r="AJ6540" s="33"/>
      <c r="AK6540" s="33"/>
    </row>
    <row r="6541">
      <c r="A6541" s="33"/>
      <c r="B6541" s="33"/>
      <c r="C6541" s="33"/>
      <c r="D6541" s="33"/>
      <c r="E6541" s="33"/>
      <c r="F6541" s="33"/>
      <c r="G6541" s="33"/>
      <c r="H6541" s="33"/>
      <c r="I6541" s="33"/>
      <c r="J6541" s="33"/>
      <c r="K6541" s="33"/>
      <c r="L6541" s="33"/>
      <c r="M6541" s="33"/>
      <c r="N6541" s="33"/>
      <c r="O6541" s="33"/>
      <c r="P6541" s="33"/>
      <c r="Q6541" s="33"/>
      <c r="R6541" s="33"/>
      <c r="S6541" s="33"/>
      <c r="T6541" s="33"/>
      <c r="U6541" s="33"/>
      <c r="V6541" s="33"/>
      <c r="W6541" s="33"/>
      <c r="X6541" s="33"/>
      <c r="Y6541" s="33"/>
      <c r="Z6541" s="33"/>
      <c r="AA6541" s="33"/>
      <c r="AB6541" s="33"/>
      <c r="AC6541" s="33"/>
      <c r="AD6541" s="33"/>
      <c r="AE6541" s="33"/>
      <c r="AF6541" s="33"/>
      <c r="AG6541" s="33"/>
      <c r="AH6541" s="33"/>
      <c r="AI6541" s="33"/>
      <c r="AJ6541" s="33"/>
      <c r="AK6541" s="33"/>
    </row>
    <row r="6542">
      <c r="A6542" s="33"/>
      <c r="B6542" s="33"/>
      <c r="C6542" s="33"/>
      <c r="D6542" s="33"/>
      <c r="E6542" s="33"/>
      <c r="F6542" s="33"/>
      <c r="G6542" s="33"/>
      <c r="H6542" s="33"/>
      <c r="I6542" s="33"/>
      <c r="J6542" s="33"/>
      <c r="K6542" s="33"/>
      <c r="L6542" s="33"/>
      <c r="M6542" s="33"/>
      <c r="N6542" s="33"/>
      <c r="O6542" s="33"/>
      <c r="P6542" s="33"/>
      <c r="Q6542" s="33"/>
      <c r="R6542" s="33"/>
      <c r="S6542" s="33"/>
      <c r="T6542" s="33"/>
      <c r="U6542" s="33"/>
      <c r="V6542" s="33"/>
      <c r="W6542" s="33"/>
      <c r="X6542" s="33"/>
      <c r="Y6542" s="33"/>
      <c r="Z6542" s="33"/>
      <c r="AA6542" s="33"/>
      <c r="AB6542" s="33"/>
      <c r="AC6542" s="33"/>
      <c r="AD6542" s="33"/>
      <c r="AE6542" s="33"/>
      <c r="AF6542" s="33"/>
      <c r="AG6542" s="33"/>
      <c r="AH6542" s="33"/>
      <c r="AI6542" s="33"/>
      <c r="AJ6542" s="33"/>
      <c r="AK6542" s="33"/>
    </row>
    <row r="6543">
      <c r="A6543" s="33"/>
      <c r="B6543" s="33"/>
      <c r="C6543" s="33"/>
      <c r="D6543" s="33"/>
      <c r="E6543" s="33"/>
      <c r="F6543" s="33"/>
      <c r="G6543" s="33"/>
      <c r="H6543" s="33"/>
      <c r="I6543" s="33"/>
      <c r="J6543" s="33"/>
      <c r="K6543" s="33"/>
      <c r="L6543" s="33"/>
      <c r="M6543" s="33"/>
      <c r="N6543" s="33"/>
      <c r="O6543" s="33"/>
      <c r="P6543" s="33"/>
      <c r="Q6543" s="33"/>
      <c r="R6543" s="33"/>
      <c r="S6543" s="33"/>
      <c r="T6543" s="33"/>
      <c r="U6543" s="33"/>
      <c r="V6543" s="33"/>
      <c r="W6543" s="33"/>
      <c r="X6543" s="33"/>
      <c r="Y6543" s="33"/>
      <c r="Z6543" s="33"/>
      <c r="AA6543" s="33"/>
      <c r="AB6543" s="33"/>
      <c r="AC6543" s="33"/>
      <c r="AD6543" s="33"/>
      <c r="AE6543" s="33"/>
      <c r="AF6543" s="33"/>
      <c r="AG6543" s="33"/>
      <c r="AH6543" s="33"/>
      <c r="AI6543" s="33"/>
      <c r="AJ6543" s="33"/>
      <c r="AK6543" s="33"/>
    </row>
    <row r="6544">
      <c r="A6544" s="33"/>
      <c r="B6544" s="33"/>
      <c r="C6544" s="33"/>
      <c r="D6544" s="33"/>
      <c r="E6544" s="33"/>
      <c r="F6544" s="33"/>
      <c r="G6544" s="33"/>
      <c r="H6544" s="33"/>
      <c r="I6544" s="33"/>
      <c r="J6544" s="33"/>
      <c r="K6544" s="33"/>
      <c r="L6544" s="33"/>
      <c r="M6544" s="33"/>
      <c r="N6544" s="33"/>
      <c r="O6544" s="33"/>
      <c r="P6544" s="33"/>
      <c r="Q6544" s="33"/>
      <c r="R6544" s="33"/>
      <c r="S6544" s="33"/>
      <c r="T6544" s="33"/>
      <c r="U6544" s="33"/>
      <c r="V6544" s="33"/>
      <c r="W6544" s="33"/>
      <c r="X6544" s="33"/>
      <c r="Y6544" s="33"/>
      <c r="Z6544" s="33"/>
      <c r="AA6544" s="33"/>
      <c r="AB6544" s="33"/>
      <c r="AC6544" s="33"/>
      <c r="AD6544" s="33"/>
      <c r="AE6544" s="33"/>
      <c r="AF6544" s="33"/>
      <c r="AG6544" s="33"/>
      <c r="AH6544" s="33"/>
      <c r="AI6544" s="33"/>
      <c r="AJ6544" s="33"/>
      <c r="AK6544" s="33"/>
    </row>
    <row r="6545">
      <c r="A6545" s="33"/>
      <c r="B6545" s="33"/>
      <c r="C6545" s="33"/>
      <c r="D6545" s="33"/>
      <c r="E6545" s="33"/>
      <c r="F6545" s="33"/>
      <c r="G6545" s="33"/>
      <c r="H6545" s="33"/>
      <c r="I6545" s="33"/>
      <c r="J6545" s="33"/>
      <c r="K6545" s="33"/>
      <c r="L6545" s="33"/>
      <c r="M6545" s="33"/>
      <c r="N6545" s="33"/>
      <c r="O6545" s="33"/>
      <c r="P6545" s="33"/>
      <c r="Q6545" s="33"/>
      <c r="R6545" s="33"/>
      <c r="S6545" s="33"/>
      <c r="T6545" s="33"/>
      <c r="U6545" s="33"/>
      <c r="V6545" s="33"/>
      <c r="W6545" s="33"/>
      <c r="X6545" s="33"/>
      <c r="Y6545" s="33"/>
      <c r="Z6545" s="33"/>
      <c r="AA6545" s="33"/>
      <c r="AB6545" s="33"/>
      <c r="AC6545" s="33"/>
      <c r="AD6545" s="33"/>
      <c r="AE6545" s="33"/>
      <c r="AF6545" s="33"/>
      <c r="AG6545" s="33"/>
      <c r="AH6545" s="33"/>
      <c r="AI6545" s="33"/>
      <c r="AJ6545" s="33"/>
      <c r="AK6545" s="33"/>
    </row>
    <row r="6546">
      <c r="A6546" s="33"/>
      <c r="B6546" s="33"/>
      <c r="C6546" s="33"/>
      <c r="D6546" s="33"/>
      <c r="E6546" s="33"/>
      <c r="F6546" s="33"/>
      <c r="G6546" s="33"/>
      <c r="H6546" s="33"/>
      <c r="I6546" s="33"/>
      <c r="J6546" s="33"/>
      <c r="K6546" s="33"/>
      <c r="L6546" s="33"/>
      <c r="M6546" s="33"/>
      <c r="N6546" s="33"/>
      <c r="O6546" s="33"/>
      <c r="P6546" s="33"/>
      <c r="Q6546" s="33"/>
      <c r="R6546" s="33"/>
      <c r="S6546" s="33"/>
      <c r="T6546" s="33"/>
      <c r="U6546" s="33"/>
      <c r="V6546" s="33"/>
      <c r="W6546" s="33"/>
      <c r="X6546" s="33"/>
      <c r="Y6546" s="33"/>
      <c r="Z6546" s="33"/>
      <c r="AA6546" s="33"/>
      <c r="AB6546" s="33"/>
      <c r="AC6546" s="33"/>
      <c r="AD6546" s="33"/>
      <c r="AE6546" s="33"/>
      <c r="AF6546" s="33"/>
      <c r="AG6546" s="33"/>
      <c r="AH6546" s="33"/>
      <c r="AI6546" s="33"/>
      <c r="AJ6546" s="33"/>
      <c r="AK6546" s="33"/>
    </row>
    <row r="6547">
      <c r="A6547" s="33"/>
      <c r="B6547" s="33"/>
      <c r="C6547" s="33"/>
      <c r="D6547" s="33"/>
      <c r="E6547" s="33"/>
      <c r="F6547" s="33"/>
      <c r="G6547" s="33"/>
      <c r="H6547" s="33"/>
      <c r="I6547" s="33"/>
      <c r="J6547" s="33"/>
      <c r="K6547" s="33"/>
      <c r="L6547" s="33"/>
      <c r="M6547" s="33"/>
      <c r="N6547" s="33"/>
      <c r="O6547" s="33"/>
      <c r="P6547" s="33"/>
      <c r="Q6547" s="33"/>
      <c r="R6547" s="33"/>
      <c r="S6547" s="33"/>
      <c r="T6547" s="33"/>
      <c r="U6547" s="33"/>
      <c r="V6547" s="33"/>
      <c r="W6547" s="33"/>
      <c r="X6547" s="33"/>
      <c r="Y6547" s="33"/>
      <c r="Z6547" s="33"/>
      <c r="AA6547" s="33"/>
      <c r="AB6547" s="33"/>
      <c r="AC6547" s="33"/>
      <c r="AD6547" s="33"/>
      <c r="AE6547" s="33"/>
      <c r="AF6547" s="33"/>
      <c r="AG6547" s="33"/>
      <c r="AH6547" s="33"/>
      <c r="AI6547" s="33"/>
      <c r="AJ6547" s="33"/>
      <c r="AK6547" s="33"/>
    </row>
    <row r="6548">
      <c r="A6548" s="33"/>
      <c r="B6548" s="33"/>
      <c r="C6548" s="33"/>
      <c r="D6548" s="33"/>
      <c r="E6548" s="33"/>
      <c r="F6548" s="33"/>
      <c r="G6548" s="33"/>
      <c r="H6548" s="33"/>
      <c r="I6548" s="33"/>
      <c r="J6548" s="33"/>
      <c r="K6548" s="33"/>
      <c r="L6548" s="33"/>
      <c r="M6548" s="33"/>
      <c r="N6548" s="33"/>
      <c r="O6548" s="33"/>
      <c r="P6548" s="33"/>
      <c r="Q6548" s="33"/>
      <c r="R6548" s="33"/>
      <c r="S6548" s="33"/>
      <c r="T6548" s="33"/>
      <c r="U6548" s="33"/>
      <c r="V6548" s="33"/>
      <c r="W6548" s="33"/>
      <c r="X6548" s="33"/>
      <c r="Y6548" s="33"/>
      <c r="Z6548" s="33"/>
      <c r="AA6548" s="33"/>
      <c r="AB6548" s="33"/>
      <c r="AC6548" s="33"/>
      <c r="AD6548" s="33"/>
      <c r="AE6548" s="33"/>
      <c r="AF6548" s="33"/>
      <c r="AG6548" s="33"/>
      <c r="AH6548" s="33"/>
      <c r="AI6548" s="33"/>
      <c r="AJ6548" s="33"/>
      <c r="AK6548" s="33"/>
    </row>
    <row r="6549">
      <c r="A6549" s="33"/>
      <c r="B6549" s="33"/>
      <c r="C6549" s="33"/>
      <c r="D6549" s="33"/>
      <c r="E6549" s="33"/>
      <c r="F6549" s="33"/>
      <c r="G6549" s="33"/>
      <c r="H6549" s="33"/>
      <c r="I6549" s="33"/>
      <c r="J6549" s="33"/>
      <c r="K6549" s="33"/>
      <c r="L6549" s="33"/>
      <c r="M6549" s="33"/>
      <c r="N6549" s="33"/>
      <c r="O6549" s="33"/>
      <c r="P6549" s="33"/>
      <c r="Q6549" s="33"/>
      <c r="R6549" s="33"/>
      <c r="S6549" s="33"/>
      <c r="T6549" s="33"/>
      <c r="U6549" s="33"/>
      <c r="V6549" s="33"/>
      <c r="W6549" s="33"/>
      <c r="X6549" s="33"/>
      <c r="Y6549" s="33"/>
      <c r="Z6549" s="33"/>
      <c r="AA6549" s="33"/>
      <c r="AB6549" s="33"/>
      <c r="AC6549" s="33"/>
      <c r="AD6549" s="33"/>
      <c r="AE6549" s="33"/>
      <c r="AF6549" s="33"/>
      <c r="AG6549" s="33"/>
      <c r="AH6549" s="33"/>
      <c r="AI6549" s="33"/>
      <c r="AJ6549" s="33"/>
      <c r="AK6549" s="33"/>
    </row>
    <row r="6550">
      <c r="A6550" s="33"/>
      <c r="B6550" s="33"/>
      <c r="C6550" s="33"/>
      <c r="D6550" s="33"/>
      <c r="E6550" s="33"/>
      <c r="F6550" s="33"/>
      <c r="G6550" s="33"/>
      <c r="H6550" s="33"/>
      <c r="I6550" s="33"/>
      <c r="J6550" s="33"/>
      <c r="K6550" s="33"/>
      <c r="L6550" s="33"/>
      <c r="M6550" s="33"/>
      <c r="N6550" s="33"/>
      <c r="O6550" s="33"/>
      <c r="P6550" s="33"/>
      <c r="Q6550" s="33"/>
      <c r="R6550" s="33"/>
      <c r="S6550" s="33"/>
      <c r="T6550" s="33"/>
      <c r="U6550" s="33"/>
      <c r="V6550" s="33"/>
      <c r="W6550" s="33"/>
      <c r="X6550" s="33"/>
      <c r="Y6550" s="33"/>
      <c r="Z6550" s="33"/>
      <c r="AA6550" s="33"/>
      <c r="AB6550" s="33"/>
      <c r="AC6550" s="33"/>
      <c r="AD6550" s="33"/>
      <c r="AE6550" s="33"/>
      <c r="AF6550" s="33"/>
      <c r="AG6550" s="33"/>
      <c r="AH6550" s="33"/>
      <c r="AI6550" s="33"/>
      <c r="AJ6550" s="33"/>
      <c r="AK6550" s="33"/>
    </row>
    <row r="6551">
      <c r="A6551" s="33"/>
      <c r="B6551" s="33"/>
      <c r="C6551" s="33"/>
      <c r="D6551" s="33"/>
      <c r="E6551" s="33"/>
      <c r="F6551" s="33"/>
      <c r="G6551" s="33"/>
      <c r="H6551" s="33"/>
      <c r="I6551" s="33"/>
      <c r="J6551" s="33"/>
      <c r="K6551" s="33"/>
      <c r="L6551" s="33"/>
      <c r="M6551" s="33"/>
      <c r="N6551" s="33"/>
      <c r="O6551" s="33"/>
      <c r="P6551" s="33"/>
      <c r="Q6551" s="33"/>
      <c r="R6551" s="33"/>
      <c r="S6551" s="33"/>
      <c r="T6551" s="33"/>
      <c r="U6551" s="33"/>
      <c r="V6551" s="33"/>
      <c r="W6551" s="33"/>
      <c r="X6551" s="33"/>
      <c r="Y6551" s="33"/>
      <c r="Z6551" s="33"/>
      <c r="AA6551" s="33"/>
      <c r="AB6551" s="33"/>
      <c r="AC6551" s="33"/>
      <c r="AD6551" s="33"/>
      <c r="AE6551" s="33"/>
      <c r="AF6551" s="33"/>
      <c r="AG6551" s="33"/>
      <c r="AH6551" s="33"/>
      <c r="AI6551" s="33"/>
      <c r="AJ6551" s="33"/>
      <c r="AK6551" s="33"/>
    </row>
    <row r="6552">
      <c r="A6552" s="33"/>
      <c r="B6552" s="33"/>
      <c r="C6552" s="33"/>
      <c r="D6552" s="33"/>
      <c r="E6552" s="33"/>
      <c r="F6552" s="33"/>
      <c r="G6552" s="33"/>
      <c r="H6552" s="33"/>
      <c r="I6552" s="33"/>
      <c r="J6552" s="33"/>
      <c r="K6552" s="33"/>
      <c r="L6552" s="33"/>
      <c r="M6552" s="33"/>
      <c r="N6552" s="33"/>
      <c r="O6552" s="33"/>
      <c r="P6552" s="33"/>
      <c r="Q6552" s="33"/>
      <c r="R6552" s="33"/>
      <c r="S6552" s="33"/>
      <c r="T6552" s="33"/>
      <c r="U6552" s="33"/>
      <c r="V6552" s="33"/>
      <c r="W6552" s="33"/>
      <c r="X6552" s="33"/>
      <c r="Y6552" s="33"/>
      <c r="Z6552" s="33"/>
      <c r="AA6552" s="33"/>
      <c r="AB6552" s="33"/>
      <c r="AC6552" s="33"/>
      <c r="AD6552" s="33"/>
      <c r="AE6552" s="33"/>
      <c r="AF6552" s="33"/>
      <c r="AG6552" s="33"/>
      <c r="AH6552" s="33"/>
      <c r="AI6552" s="33"/>
      <c r="AJ6552" s="33"/>
      <c r="AK6552" s="33"/>
    </row>
    <row r="6553">
      <c r="A6553" s="33"/>
      <c r="B6553" s="33"/>
      <c r="C6553" s="33"/>
      <c r="D6553" s="33"/>
      <c r="E6553" s="33"/>
      <c r="F6553" s="33"/>
      <c r="G6553" s="33"/>
      <c r="H6553" s="33"/>
      <c r="I6553" s="33"/>
      <c r="J6553" s="33"/>
      <c r="K6553" s="33"/>
      <c r="L6553" s="33"/>
      <c r="M6553" s="33"/>
      <c r="N6553" s="33"/>
      <c r="O6553" s="33"/>
      <c r="P6553" s="33"/>
      <c r="Q6553" s="33"/>
      <c r="R6553" s="33"/>
      <c r="S6553" s="33"/>
      <c r="T6553" s="33"/>
      <c r="U6553" s="33"/>
      <c r="V6553" s="33"/>
      <c r="W6553" s="33"/>
      <c r="X6553" s="33"/>
      <c r="Y6553" s="33"/>
      <c r="Z6553" s="33"/>
      <c r="AA6553" s="33"/>
      <c r="AB6553" s="33"/>
      <c r="AC6553" s="33"/>
      <c r="AD6553" s="33"/>
      <c r="AE6553" s="33"/>
      <c r="AF6553" s="33"/>
      <c r="AG6553" s="33"/>
      <c r="AH6553" s="33"/>
      <c r="AI6553" s="33"/>
      <c r="AJ6553" s="33"/>
      <c r="AK6553" s="33"/>
    </row>
    <row r="6554">
      <c r="A6554" s="33"/>
      <c r="B6554" s="33"/>
      <c r="C6554" s="33"/>
      <c r="D6554" s="33"/>
      <c r="E6554" s="33"/>
      <c r="F6554" s="33"/>
      <c r="G6554" s="33"/>
      <c r="H6554" s="33"/>
      <c r="I6554" s="33"/>
      <c r="J6554" s="33"/>
      <c r="K6554" s="33"/>
      <c r="L6554" s="33"/>
      <c r="M6554" s="33"/>
      <c r="N6554" s="33"/>
      <c r="O6554" s="33"/>
      <c r="P6554" s="33"/>
      <c r="Q6554" s="33"/>
      <c r="R6554" s="33"/>
      <c r="S6554" s="33"/>
      <c r="T6554" s="33"/>
      <c r="U6554" s="33"/>
      <c r="V6554" s="33"/>
      <c r="W6554" s="33"/>
      <c r="X6554" s="33"/>
      <c r="Y6554" s="33"/>
      <c r="Z6554" s="33"/>
      <c r="AA6554" s="33"/>
      <c r="AB6554" s="33"/>
      <c r="AC6554" s="33"/>
      <c r="AD6554" s="33"/>
      <c r="AE6554" s="33"/>
      <c r="AF6554" s="33"/>
      <c r="AG6554" s="33"/>
      <c r="AH6554" s="33"/>
      <c r="AI6554" s="33"/>
      <c r="AJ6554" s="33"/>
      <c r="AK6554" s="33"/>
    </row>
    <row r="6555">
      <c r="A6555" s="33"/>
      <c r="B6555" s="33"/>
      <c r="C6555" s="33"/>
      <c r="D6555" s="33"/>
      <c r="E6555" s="33"/>
      <c r="F6555" s="33"/>
      <c r="G6555" s="33"/>
      <c r="H6555" s="33"/>
      <c r="I6555" s="33"/>
      <c r="J6555" s="33"/>
      <c r="K6555" s="33"/>
      <c r="L6555" s="33"/>
      <c r="M6555" s="33"/>
      <c r="N6555" s="33"/>
      <c r="O6555" s="33"/>
      <c r="P6555" s="33"/>
      <c r="Q6555" s="33"/>
      <c r="R6555" s="33"/>
      <c r="S6555" s="33"/>
      <c r="T6555" s="33"/>
      <c r="U6555" s="33"/>
      <c r="V6555" s="33"/>
      <c r="W6555" s="33"/>
      <c r="X6555" s="33"/>
      <c r="Y6555" s="33"/>
      <c r="Z6555" s="33"/>
      <c r="AA6555" s="33"/>
      <c r="AB6555" s="33"/>
      <c r="AC6555" s="33"/>
      <c r="AD6555" s="33"/>
      <c r="AE6555" s="33"/>
      <c r="AF6555" s="33"/>
      <c r="AG6555" s="33"/>
      <c r="AH6555" s="33"/>
      <c r="AI6555" s="33"/>
      <c r="AJ6555" s="33"/>
      <c r="AK6555" s="33"/>
    </row>
    <row r="6556">
      <c r="A6556" s="33"/>
      <c r="B6556" s="33"/>
      <c r="C6556" s="33"/>
      <c r="D6556" s="33"/>
      <c r="E6556" s="33"/>
      <c r="F6556" s="33"/>
      <c r="G6556" s="33"/>
      <c r="H6556" s="33"/>
      <c r="I6556" s="33"/>
      <c r="J6556" s="33"/>
      <c r="K6556" s="33"/>
      <c r="L6556" s="33"/>
      <c r="M6556" s="33"/>
      <c r="N6556" s="33"/>
      <c r="O6556" s="33"/>
      <c r="P6556" s="33"/>
      <c r="Q6556" s="33"/>
      <c r="R6556" s="33"/>
      <c r="S6556" s="33"/>
      <c r="T6556" s="33"/>
      <c r="U6556" s="33"/>
      <c r="V6556" s="33"/>
      <c r="W6556" s="33"/>
      <c r="X6556" s="33"/>
      <c r="Y6556" s="33"/>
      <c r="Z6556" s="33"/>
      <c r="AA6556" s="33"/>
      <c r="AB6556" s="33"/>
      <c r="AC6556" s="33"/>
      <c r="AD6556" s="33"/>
      <c r="AE6556" s="33"/>
      <c r="AF6556" s="33"/>
      <c r="AG6556" s="33"/>
      <c r="AH6556" s="33"/>
      <c r="AI6556" s="33"/>
      <c r="AJ6556" s="33"/>
      <c r="AK6556" s="33"/>
    </row>
    <row r="6557">
      <c r="A6557" s="33"/>
      <c r="B6557" s="33"/>
      <c r="C6557" s="33"/>
      <c r="D6557" s="33"/>
      <c r="E6557" s="33"/>
      <c r="F6557" s="33"/>
      <c r="G6557" s="33"/>
      <c r="H6557" s="33"/>
      <c r="I6557" s="33"/>
      <c r="J6557" s="33"/>
      <c r="K6557" s="33"/>
      <c r="L6557" s="33"/>
      <c r="M6557" s="33"/>
      <c r="N6557" s="33"/>
      <c r="O6557" s="33"/>
      <c r="P6557" s="33"/>
      <c r="Q6557" s="33"/>
      <c r="R6557" s="33"/>
      <c r="S6557" s="33"/>
      <c r="T6557" s="33"/>
      <c r="U6557" s="33"/>
      <c r="V6557" s="33"/>
      <c r="W6557" s="33"/>
      <c r="X6557" s="33"/>
      <c r="Y6557" s="33"/>
      <c r="Z6557" s="33"/>
      <c r="AA6557" s="33"/>
      <c r="AB6557" s="33"/>
      <c r="AC6557" s="33"/>
      <c r="AD6557" s="33"/>
      <c r="AE6557" s="33"/>
      <c r="AF6557" s="33"/>
      <c r="AG6557" s="33"/>
      <c r="AH6557" s="33"/>
      <c r="AI6557" s="33"/>
      <c r="AJ6557" s="33"/>
      <c r="AK6557" s="33"/>
    </row>
    <row r="6558">
      <c r="A6558" s="33"/>
      <c r="B6558" s="33"/>
      <c r="C6558" s="33"/>
      <c r="D6558" s="33"/>
      <c r="E6558" s="33"/>
      <c r="F6558" s="33"/>
      <c r="G6558" s="33"/>
      <c r="H6558" s="33"/>
      <c r="I6558" s="33"/>
      <c r="J6558" s="33"/>
      <c r="K6558" s="33"/>
      <c r="L6558" s="33"/>
      <c r="M6558" s="33"/>
      <c r="N6558" s="33"/>
      <c r="O6558" s="33"/>
      <c r="P6558" s="33"/>
      <c r="Q6558" s="33"/>
      <c r="R6558" s="33"/>
      <c r="S6558" s="33"/>
      <c r="T6558" s="33"/>
      <c r="U6558" s="33"/>
      <c r="V6558" s="33"/>
      <c r="W6558" s="33"/>
      <c r="X6558" s="33"/>
      <c r="Y6558" s="33"/>
      <c r="Z6558" s="33"/>
      <c r="AA6558" s="33"/>
      <c r="AB6558" s="33"/>
      <c r="AC6558" s="33"/>
      <c r="AD6558" s="33"/>
      <c r="AE6558" s="33"/>
      <c r="AF6558" s="33"/>
      <c r="AG6558" s="33"/>
      <c r="AH6558" s="33"/>
      <c r="AI6558" s="33"/>
      <c r="AJ6558" s="33"/>
      <c r="AK6558" s="33"/>
    </row>
    <row r="6559">
      <c r="A6559" s="33"/>
      <c r="B6559" s="33"/>
      <c r="C6559" s="33"/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33"/>
      <c r="Q6559" s="33"/>
      <c r="R6559" s="33"/>
      <c r="S6559" s="33"/>
      <c r="T6559" s="33"/>
      <c r="U6559" s="33"/>
      <c r="V6559" s="33"/>
      <c r="W6559" s="33"/>
      <c r="X6559" s="33"/>
      <c r="Y6559" s="33"/>
      <c r="Z6559" s="33"/>
      <c r="AA6559" s="33"/>
      <c r="AB6559" s="33"/>
      <c r="AC6559" s="33"/>
      <c r="AD6559" s="33"/>
      <c r="AE6559" s="33"/>
      <c r="AF6559" s="33"/>
      <c r="AG6559" s="33"/>
      <c r="AH6559" s="33"/>
      <c r="AI6559" s="33"/>
      <c r="AJ6559" s="33"/>
      <c r="AK6559" s="33"/>
    </row>
    <row r="6560">
      <c r="A6560" s="33"/>
      <c r="B6560" s="33"/>
      <c r="C6560" s="33"/>
      <c r="D6560" s="33"/>
      <c r="E6560" s="33"/>
      <c r="F6560" s="33"/>
      <c r="G6560" s="33"/>
      <c r="H6560" s="33"/>
      <c r="I6560" s="33"/>
      <c r="J6560" s="33"/>
      <c r="K6560" s="33"/>
      <c r="L6560" s="33"/>
      <c r="M6560" s="33"/>
      <c r="N6560" s="33"/>
      <c r="O6560" s="33"/>
      <c r="P6560" s="33"/>
      <c r="Q6560" s="33"/>
      <c r="R6560" s="33"/>
      <c r="S6560" s="33"/>
      <c r="T6560" s="33"/>
      <c r="U6560" s="33"/>
      <c r="V6560" s="33"/>
      <c r="W6560" s="33"/>
      <c r="X6560" s="33"/>
      <c r="Y6560" s="33"/>
      <c r="Z6560" s="33"/>
      <c r="AA6560" s="33"/>
      <c r="AB6560" s="33"/>
      <c r="AC6560" s="33"/>
      <c r="AD6560" s="33"/>
      <c r="AE6560" s="33"/>
      <c r="AF6560" s="33"/>
      <c r="AG6560" s="33"/>
      <c r="AH6560" s="33"/>
      <c r="AI6560" s="33"/>
      <c r="AJ6560" s="33"/>
      <c r="AK6560" s="33"/>
    </row>
    <row r="6561">
      <c r="A6561" s="33"/>
      <c r="B6561" s="33"/>
      <c r="C6561" s="33"/>
      <c r="D6561" s="33"/>
      <c r="E6561" s="33"/>
      <c r="F6561" s="33"/>
      <c r="G6561" s="33"/>
      <c r="H6561" s="33"/>
      <c r="I6561" s="33"/>
      <c r="J6561" s="33"/>
      <c r="K6561" s="33"/>
      <c r="L6561" s="33"/>
      <c r="M6561" s="33"/>
      <c r="N6561" s="33"/>
      <c r="O6561" s="33"/>
      <c r="P6561" s="33"/>
      <c r="Q6561" s="33"/>
      <c r="R6561" s="33"/>
      <c r="S6561" s="33"/>
      <c r="T6561" s="33"/>
      <c r="U6561" s="33"/>
      <c r="V6561" s="33"/>
      <c r="W6561" s="33"/>
      <c r="X6561" s="33"/>
      <c r="Y6561" s="33"/>
      <c r="Z6561" s="33"/>
      <c r="AA6561" s="33"/>
      <c r="AB6561" s="33"/>
      <c r="AC6561" s="33"/>
      <c r="AD6561" s="33"/>
      <c r="AE6561" s="33"/>
      <c r="AF6561" s="33"/>
      <c r="AG6561" s="33"/>
      <c r="AH6561" s="33"/>
      <c r="AI6561" s="33"/>
      <c r="AJ6561" s="33"/>
      <c r="AK6561" s="33"/>
    </row>
    <row r="6562">
      <c r="A6562" s="33"/>
      <c r="B6562" s="33"/>
      <c r="C6562" s="33"/>
      <c r="D6562" s="33"/>
      <c r="E6562" s="33"/>
      <c r="F6562" s="33"/>
      <c r="G6562" s="33"/>
      <c r="H6562" s="33"/>
      <c r="I6562" s="33"/>
      <c r="J6562" s="33"/>
      <c r="K6562" s="33"/>
      <c r="L6562" s="33"/>
      <c r="M6562" s="33"/>
      <c r="N6562" s="33"/>
      <c r="O6562" s="33"/>
      <c r="P6562" s="33"/>
      <c r="Q6562" s="33"/>
      <c r="R6562" s="33"/>
      <c r="S6562" s="33"/>
      <c r="T6562" s="33"/>
      <c r="U6562" s="33"/>
      <c r="V6562" s="33"/>
      <c r="W6562" s="33"/>
      <c r="X6562" s="33"/>
      <c r="Y6562" s="33"/>
      <c r="Z6562" s="33"/>
      <c r="AA6562" s="33"/>
      <c r="AB6562" s="33"/>
      <c r="AC6562" s="33"/>
      <c r="AD6562" s="33"/>
      <c r="AE6562" s="33"/>
      <c r="AF6562" s="33"/>
      <c r="AG6562" s="33"/>
      <c r="AH6562" s="33"/>
      <c r="AI6562" s="33"/>
      <c r="AJ6562" s="33"/>
      <c r="AK6562" s="33"/>
    </row>
    <row r="6563">
      <c r="A6563" s="33"/>
      <c r="B6563" s="33"/>
      <c r="C6563" s="33"/>
      <c r="D6563" s="33"/>
      <c r="E6563" s="33"/>
      <c r="F6563" s="33"/>
      <c r="G6563" s="33"/>
      <c r="H6563" s="33"/>
      <c r="I6563" s="33"/>
      <c r="J6563" s="33"/>
      <c r="K6563" s="33"/>
      <c r="L6563" s="33"/>
      <c r="M6563" s="33"/>
      <c r="N6563" s="33"/>
      <c r="O6563" s="33"/>
      <c r="P6563" s="33"/>
      <c r="Q6563" s="33"/>
      <c r="R6563" s="33"/>
      <c r="S6563" s="33"/>
      <c r="T6563" s="33"/>
      <c r="U6563" s="33"/>
      <c r="V6563" s="33"/>
      <c r="W6563" s="33"/>
      <c r="X6563" s="33"/>
      <c r="Y6563" s="33"/>
      <c r="Z6563" s="33"/>
      <c r="AA6563" s="33"/>
      <c r="AB6563" s="33"/>
      <c r="AC6563" s="33"/>
      <c r="AD6563" s="33"/>
      <c r="AE6563" s="33"/>
      <c r="AF6563" s="33"/>
      <c r="AG6563" s="33"/>
      <c r="AH6563" s="33"/>
      <c r="AI6563" s="33"/>
      <c r="AJ6563" s="33"/>
      <c r="AK6563" s="33"/>
    </row>
    <row r="6564">
      <c r="A6564" s="33"/>
      <c r="B6564" s="33"/>
      <c r="C6564" s="33"/>
      <c r="D6564" s="33"/>
      <c r="E6564" s="33"/>
      <c r="F6564" s="33"/>
      <c r="G6564" s="33"/>
      <c r="H6564" s="33"/>
      <c r="I6564" s="33"/>
      <c r="J6564" s="33"/>
      <c r="K6564" s="33"/>
      <c r="L6564" s="33"/>
      <c r="M6564" s="33"/>
      <c r="N6564" s="33"/>
      <c r="O6564" s="33"/>
      <c r="P6564" s="33"/>
      <c r="Q6564" s="33"/>
      <c r="R6564" s="33"/>
      <c r="S6564" s="33"/>
      <c r="T6564" s="33"/>
      <c r="U6564" s="33"/>
      <c r="V6564" s="33"/>
      <c r="W6564" s="33"/>
      <c r="X6564" s="33"/>
      <c r="Y6564" s="33"/>
      <c r="Z6564" s="33"/>
      <c r="AA6564" s="33"/>
      <c r="AB6564" s="33"/>
      <c r="AC6564" s="33"/>
      <c r="AD6564" s="33"/>
      <c r="AE6564" s="33"/>
      <c r="AF6564" s="33"/>
      <c r="AG6564" s="33"/>
      <c r="AH6564" s="33"/>
      <c r="AI6564" s="33"/>
      <c r="AJ6564" s="33"/>
      <c r="AK6564" s="33"/>
    </row>
    <row r="6565">
      <c r="A6565" s="33"/>
      <c r="B6565" s="33"/>
      <c r="C6565" s="33"/>
      <c r="D6565" s="33"/>
      <c r="E6565" s="33"/>
      <c r="F6565" s="33"/>
      <c r="G6565" s="33"/>
      <c r="H6565" s="33"/>
      <c r="I6565" s="33"/>
      <c r="J6565" s="33"/>
      <c r="K6565" s="33"/>
      <c r="L6565" s="33"/>
      <c r="M6565" s="33"/>
      <c r="N6565" s="33"/>
      <c r="O6565" s="33"/>
      <c r="P6565" s="33"/>
      <c r="Q6565" s="33"/>
      <c r="R6565" s="33"/>
      <c r="S6565" s="33"/>
      <c r="T6565" s="33"/>
      <c r="U6565" s="33"/>
      <c r="V6565" s="33"/>
      <c r="W6565" s="33"/>
      <c r="X6565" s="33"/>
      <c r="Y6565" s="33"/>
      <c r="Z6565" s="33"/>
      <c r="AA6565" s="33"/>
      <c r="AB6565" s="33"/>
      <c r="AC6565" s="33"/>
      <c r="AD6565" s="33"/>
      <c r="AE6565" s="33"/>
      <c r="AF6565" s="33"/>
      <c r="AG6565" s="33"/>
      <c r="AH6565" s="33"/>
      <c r="AI6565" s="33"/>
      <c r="AJ6565" s="33"/>
      <c r="AK6565" s="33"/>
    </row>
    <row r="6566">
      <c r="A6566" s="33"/>
      <c r="B6566" s="33"/>
      <c r="C6566" s="33"/>
      <c r="D6566" s="33"/>
      <c r="E6566" s="33"/>
      <c r="F6566" s="33"/>
      <c r="G6566" s="33"/>
      <c r="H6566" s="33"/>
      <c r="I6566" s="33"/>
      <c r="J6566" s="33"/>
      <c r="K6566" s="33"/>
      <c r="L6566" s="33"/>
      <c r="M6566" s="33"/>
      <c r="N6566" s="33"/>
      <c r="O6566" s="33"/>
      <c r="P6566" s="33"/>
      <c r="Q6566" s="33"/>
      <c r="R6566" s="33"/>
      <c r="S6566" s="33"/>
      <c r="T6566" s="33"/>
      <c r="U6566" s="33"/>
      <c r="V6566" s="33"/>
      <c r="W6566" s="33"/>
      <c r="X6566" s="33"/>
      <c r="Y6566" s="33"/>
      <c r="Z6566" s="33"/>
      <c r="AA6566" s="33"/>
      <c r="AB6566" s="33"/>
      <c r="AC6566" s="33"/>
      <c r="AD6566" s="33"/>
      <c r="AE6566" s="33"/>
      <c r="AF6566" s="33"/>
      <c r="AG6566" s="33"/>
      <c r="AH6566" s="33"/>
      <c r="AI6566" s="33"/>
      <c r="AJ6566" s="33"/>
      <c r="AK6566" s="33"/>
    </row>
    <row r="6567">
      <c r="A6567" s="33"/>
      <c r="B6567" s="33"/>
      <c r="C6567" s="33"/>
      <c r="D6567" s="33"/>
      <c r="E6567" s="33"/>
      <c r="F6567" s="33"/>
      <c r="G6567" s="33"/>
      <c r="H6567" s="33"/>
      <c r="I6567" s="33"/>
      <c r="J6567" s="33"/>
      <c r="K6567" s="33"/>
      <c r="L6567" s="33"/>
      <c r="M6567" s="33"/>
      <c r="N6567" s="33"/>
      <c r="O6567" s="33"/>
      <c r="P6567" s="33"/>
      <c r="Q6567" s="33"/>
      <c r="R6567" s="33"/>
      <c r="S6567" s="33"/>
      <c r="T6567" s="33"/>
      <c r="U6567" s="33"/>
      <c r="V6567" s="33"/>
      <c r="W6567" s="33"/>
      <c r="X6567" s="33"/>
      <c r="Y6567" s="33"/>
      <c r="Z6567" s="33"/>
      <c r="AA6567" s="33"/>
      <c r="AB6567" s="33"/>
      <c r="AC6567" s="33"/>
      <c r="AD6567" s="33"/>
      <c r="AE6567" s="33"/>
      <c r="AF6567" s="33"/>
      <c r="AG6567" s="33"/>
      <c r="AH6567" s="33"/>
      <c r="AI6567" s="33"/>
      <c r="AJ6567" s="33"/>
      <c r="AK6567" s="33"/>
    </row>
    <row r="6568">
      <c r="A6568" s="33"/>
      <c r="B6568" s="33"/>
      <c r="C6568" s="33"/>
      <c r="D6568" s="33"/>
      <c r="E6568" s="33"/>
      <c r="F6568" s="33"/>
      <c r="G6568" s="33"/>
      <c r="H6568" s="33"/>
      <c r="I6568" s="33"/>
      <c r="J6568" s="33"/>
      <c r="K6568" s="33"/>
      <c r="L6568" s="33"/>
      <c r="M6568" s="33"/>
      <c r="N6568" s="33"/>
      <c r="O6568" s="33"/>
      <c r="P6568" s="33"/>
      <c r="Q6568" s="33"/>
      <c r="R6568" s="33"/>
      <c r="S6568" s="33"/>
      <c r="T6568" s="33"/>
      <c r="U6568" s="33"/>
      <c r="V6568" s="33"/>
      <c r="W6568" s="33"/>
      <c r="X6568" s="33"/>
      <c r="Y6568" s="33"/>
      <c r="Z6568" s="33"/>
      <c r="AA6568" s="33"/>
      <c r="AB6568" s="33"/>
      <c r="AC6568" s="33"/>
      <c r="AD6568" s="33"/>
      <c r="AE6568" s="33"/>
      <c r="AF6568" s="33"/>
      <c r="AG6568" s="33"/>
      <c r="AH6568" s="33"/>
      <c r="AI6568" s="33"/>
      <c r="AJ6568" s="33"/>
      <c r="AK6568" s="33"/>
    </row>
    <row r="6569">
      <c r="A6569" s="33"/>
      <c r="B6569" s="33"/>
      <c r="C6569" s="33"/>
      <c r="D6569" s="33"/>
      <c r="E6569" s="33"/>
      <c r="F6569" s="33"/>
      <c r="G6569" s="33"/>
      <c r="H6569" s="33"/>
      <c r="I6569" s="33"/>
      <c r="J6569" s="33"/>
      <c r="K6569" s="33"/>
      <c r="L6569" s="33"/>
      <c r="M6569" s="33"/>
      <c r="N6569" s="33"/>
      <c r="O6569" s="33"/>
      <c r="P6569" s="33"/>
      <c r="Q6569" s="33"/>
      <c r="R6569" s="33"/>
      <c r="S6569" s="33"/>
      <c r="T6569" s="33"/>
      <c r="U6569" s="33"/>
      <c r="V6569" s="33"/>
      <c r="W6569" s="33"/>
      <c r="X6569" s="33"/>
      <c r="Y6569" s="33"/>
      <c r="Z6569" s="33"/>
      <c r="AA6569" s="33"/>
      <c r="AB6569" s="33"/>
      <c r="AC6569" s="33"/>
      <c r="AD6569" s="33"/>
      <c r="AE6569" s="33"/>
      <c r="AF6569" s="33"/>
      <c r="AG6569" s="33"/>
      <c r="AH6569" s="33"/>
      <c r="AI6569" s="33"/>
      <c r="AJ6569" s="33"/>
      <c r="AK6569" s="33"/>
    </row>
    <row r="6570">
      <c r="A6570" s="33"/>
      <c r="B6570" s="33"/>
      <c r="C6570" s="33"/>
      <c r="D6570" s="33"/>
      <c r="E6570" s="33"/>
      <c r="F6570" s="33"/>
      <c r="G6570" s="33"/>
      <c r="H6570" s="33"/>
      <c r="I6570" s="33"/>
      <c r="J6570" s="33"/>
      <c r="K6570" s="33"/>
      <c r="L6570" s="33"/>
      <c r="M6570" s="33"/>
      <c r="N6570" s="33"/>
      <c r="O6570" s="33"/>
      <c r="P6570" s="33"/>
      <c r="Q6570" s="33"/>
      <c r="R6570" s="33"/>
      <c r="S6570" s="33"/>
      <c r="T6570" s="33"/>
      <c r="U6570" s="33"/>
      <c r="V6570" s="33"/>
      <c r="W6570" s="33"/>
      <c r="X6570" s="33"/>
      <c r="Y6570" s="33"/>
      <c r="Z6570" s="33"/>
      <c r="AA6570" s="33"/>
      <c r="AB6570" s="33"/>
      <c r="AC6570" s="33"/>
      <c r="AD6570" s="33"/>
      <c r="AE6570" s="33"/>
      <c r="AF6570" s="33"/>
      <c r="AG6570" s="33"/>
      <c r="AH6570" s="33"/>
      <c r="AI6570" s="33"/>
      <c r="AJ6570" s="33"/>
      <c r="AK6570" s="33"/>
    </row>
    <row r="6571">
      <c r="A6571" s="33"/>
      <c r="B6571" s="33"/>
      <c r="C6571" s="33"/>
      <c r="D6571" s="33"/>
      <c r="E6571" s="33"/>
      <c r="F6571" s="33"/>
      <c r="G6571" s="33"/>
      <c r="H6571" s="33"/>
      <c r="I6571" s="33"/>
      <c r="J6571" s="33"/>
      <c r="K6571" s="33"/>
      <c r="L6571" s="33"/>
      <c r="M6571" s="33"/>
      <c r="N6571" s="33"/>
      <c r="O6571" s="33"/>
      <c r="P6571" s="33"/>
      <c r="Q6571" s="33"/>
      <c r="R6571" s="33"/>
      <c r="S6571" s="33"/>
      <c r="T6571" s="33"/>
      <c r="U6571" s="33"/>
      <c r="V6571" s="33"/>
      <c r="W6571" s="33"/>
      <c r="X6571" s="33"/>
      <c r="Y6571" s="33"/>
      <c r="Z6571" s="33"/>
      <c r="AA6571" s="33"/>
      <c r="AB6571" s="33"/>
      <c r="AC6571" s="33"/>
      <c r="AD6571" s="33"/>
      <c r="AE6571" s="33"/>
      <c r="AF6571" s="33"/>
      <c r="AG6571" s="33"/>
      <c r="AH6571" s="33"/>
      <c r="AI6571" s="33"/>
      <c r="AJ6571" s="33"/>
      <c r="AK6571" s="33"/>
    </row>
    <row r="6572">
      <c r="A6572" s="33"/>
      <c r="B6572" s="33"/>
      <c r="C6572" s="33"/>
      <c r="D6572" s="33"/>
      <c r="E6572" s="33"/>
      <c r="F6572" s="33"/>
      <c r="G6572" s="33"/>
      <c r="H6572" s="33"/>
      <c r="I6572" s="33"/>
      <c r="J6572" s="33"/>
      <c r="K6572" s="33"/>
      <c r="L6572" s="33"/>
      <c r="M6572" s="33"/>
      <c r="N6572" s="33"/>
      <c r="O6572" s="33"/>
      <c r="P6572" s="33"/>
      <c r="Q6572" s="33"/>
      <c r="R6572" s="33"/>
      <c r="S6572" s="33"/>
      <c r="T6572" s="33"/>
      <c r="U6572" s="33"/>
      <c r="V6572" s="33"/>
      <c r="W6572" s="33"/>
      <c r="X6572" s="33"/>
      <c r="Y6572" s="33"/>
      <c r="Z6572" s="33"/>
      <c r="AA6572" s="33"/>
      <c r="AB6572" s="33"/>
      <c r="AC6572" s="33"/>
      <c r="AD6572" s="33"/>
      <c r="AE6572" s="33"/>
      <c r="AF6572" s="33"/>
      <c r="AG6572" s="33"/>
      <c r="AH6572" s="33"/>
      <c r="AI6572" s="33"/>
      <c r="AJ6572" s="33"/>
      <c r="AK6572" s="33"/>
    </row>
    <row r="6573">
      <c r="A6573" s="33"/>
      <c r="B6573" s="33"/>
      <c r="C6573" s="33"/>
      <c r="D6573" s="33"/>
      <c r="E6573" s="33"/>
      <c r="F6573" s="33"/>
      <c r="G6573" s="33"/>
      <c r="H6573" s="33"/>
      <c r="I6573" s="33"/>
      <c r="J6573" s="33"/>
      <c r="K6573" s="33"/>
      <c r="L6573" s="33"/>
      <c r="M6573" s="33"/>
      <c r="N6573" s="33"/>
      <c r="O6573" s="33"/>
      <c r="P6573" s="33"/>
      <c r="Q6573" s="33"/>
      <c r="R6573" s="33"/>
      <c r="S6573" s="33"/>
      <c r="T6573" s="33"/>
      <c r="U6573" s="33"/>
      <c r="V6573" s="33"/>
      <c r="W6573" s="33"/>
      <c r="X6573" s="33"/>
      <c r="Y6573" s="33"/>
      <c r="Z6573" s="33"/>
      <c r="AA6573" s="33"/>
      <c r="AB6573" s="33"/>
      <c r="AC6573" s="33"/>
      <c r="AD6573" s="33"/>
      <c r="AE6573" s="33"/>
      <c r="AF6573" s="33"/>
      <c r="AG6573" s="33"/>
      <c r="AH6573" s="33"/>
      <c r="AI6573" s="33"/>
      <c r="AJ6573" s="33"/>
      <c r="AK6573" s="33"/>
    </row>
    <row r="6574">
      <c r="A6574" s="33"/>
      <c r="B6574" s="33"/>
      <c r="C6574" s="33"/>
      <c r="D6574" s="33"/>
      <c r="E6574" s="33"/>
      <c r="F6574" s="33"/>
      <c r="G6574" s="33"/>
      <c r="H6574" s="33"/>
      <c r="I6574" s="33"/>
      <c r="J6574" s="33"/>
      <c r="K6574" s="33"/>
      <c r="L6574" s="33"/>
      <c r="M6574" s="33"/>
      <c r="N6574" s="33"/>
      <c r="O6574" s="33"/>
      <c r="P6574" s="33"/>
      <c r="Q6574" s="33"/>
      <c r="R6574" s="33"/>
      <c r="S6574" s="33"/>
      <c r="T6574" s="33"/>
      <c r="U6574" s="33"/>
      <c r="V6574" s="33"/>
      <c r="W6574" s="33"/>
      <c r="X6574" s="33"/>
      <c r="Y6574" s="33"/>
      <c r="Z6574" s="33"/>
      <c r="AA6574" s="33"/>
      <c r="AB6574" s="33"/>
      <c r="AC6574" s="33"/>
      <c r="AD6574" s="33"/>
      <c r="AE6574" s="33"/>
      <c r="AF6574" s="33"/>
      <c r="AG6574" s="33"/>
      <c r="AH6574" s="33"/>
      <c r="AI6574" s="33"/>
      <c r="AJ6574" s="33"/>
      <c r="AK6574" s="33"/>
    </row>
    <row r="6575">
      <c r="A6575" s="33"/>
      <c r="B6575" s="33"/>
      <c r="C6575" s="33"/>
      <c r="D6575" s="33"/>
      <c r="E6575" s="33"/>
      <c r="F6575" s="33"/>
      <c r="G6575" s="33"/>
      <c r="H6575" s="33"/>
      <c r="I6575" s="33"/>
      <c r="J6575" s="33"/>
      <c r="K6575" s="33"/>
      <c r="L6575" s="33"/>
      <c r="M6575" s="33"/>
      <c r="N6575" s="33"/>
      <c r="O6575" s="33"/>
      <c r="P6575" s="33"/>
      <c r="Q6575" s="33"/>
      <c r="R6575" s="33"/>
      <c r="S6575" s="33"/>
      <c r="T6575" s="33"/>
      <c r="U6575" s="33"/>
      <c r="V6575" s="33"/>
      <c r="W6575" s="33"/>
      <c r="X6575" s="33"/>
      <c r="Y6575" s="33"/>
      <c r="Z6575" s="33"/>
      <c r="AA6575" s="33"/>
      <c r="AB6575" s="33"/>
      <c r="AC6575" s="33"/>
      <c r="AD6575" s="33"/>
      <c r="AE6575" s="33"/>
      <c r="AF6575" s="33"/>
      <c r="AG6575" s="33"/>
      <c r="AH6575" s="33"/>
      <c r="AI6575" s="33"/>
      <c r="AJ6575" s="33"/>
      <c r="AK6575" s="33"/>
    </row>
    <row r="6576">
      <c r="A6576" s="33"/>
      <c r="B6576" s="33"/>
      <c r="C6576" s="33"/>
      <c r="D6576" s="33"/>
      <c r="E6576" s="33"/>
      <c r="F6576" s="33"/>
      <c r="G6576" s="33"/>
      <c r="H6576" s="33"/>
      <c r="I6576" s="33"/>
      <c r="J6576" s="33"/>
      <c r="K6576" s="33"/>
      <c r="L6576" s="33"/>
      <c r="M6576" s="33"/>
      <c r="N6576" s="33"/>
      <c r="O6576" s="33"/>
      <c r="P6576" s="33"/>
      <c r="Q6576" s="33"/>
      <c r="R6576" s="33"/>
      <c r="S6576" s="33"/>
      <c r="T6576" s="33"/>
      <c r="U6576" s="33"/>
      <c r="V6576" s="33"/>
      <c r="W6576" s="33"/>
      <c r="X6576" s="33"/>
      <c r="Y6576" s="33"/>
      <c r="Z6576" s="33"/>
      <c r="AA6576" s="33"/>
      <c r="AB6576" s="33"/>
      <c r="AC6576" s="33"/>
      <c r="AD6576" s="33"/>
      <c r="AE6576" s="33"/>
      <c r="AF6576" s="33"/>
      <c r="AG6576" s="33"/>
      <c r="AH6576" s="33"/>
      <c r="AI6576" s="33"/>
      <c r="AJ6576" s="33"/>
      <c r="AK6576" s="33"/>
    </row>
    <row r="6577">
      <c r="A6577" s="33"/>
      <c r="B6577" s="33"/>
      <c r="C6577" s="33"/>
      <c r="D6577" s="33"/>
      <c r="E6577" s="33"/>
      <c r="F6577" s="33"/>
      <c r="G6577" s="33"/>
      <c r="H6577" s="33"/>
      <c r="I6577" s="33"/>
      <c r="J6577" s="33"/>
      <c r="K6577" s="33"/>
      <c r="L6577" s="33"/>
      <c r="M6577" s="33"/>
      <c r="N6577" s="33"/>
      <c r="O6577" s="33"/>
      <c r="P6577" s="33"/>
      <c r="Q6577" s="33"/>
      <c r="R6577" s="33"/>
      <c r="S6577" s="33"/>
      <c r="T6577" s="33"/>
      <c r="U6577" s="33"/>
      <c r="V6577" s="33"/>
      <c r="W6577" s="33"/>
      <c r="X6577" s="33"/>
      <c r="Y6577" s="33"/>
      <c r="Z6577" s="33"/>
      <c r="AA6577" s="33"/>
      <c r="AB6577" s="33"/>
      <c r="AC6577" s="33"/>
      <c r="AD6577" s="33"/>
      <c r="AE6577" s="33"/>
      <c r="AF6577" s="33"/>
      <c r="AG6577" s="33"/>
      <c r="AH6577" s="33"/>
      <c r="AI6577" s="33"/>
      <c r="AJ6577" s="33"/>
      <c r="AK6577" s="33"/>
    </row>
    <row r="6578">
      <c r="A6578" s="33"/>
      <c r="B6578" s="33"/>
      <c r="C6578" s="33"/>
      <c r="D6578" s="33"/>
      <c r="E6578" s="33"/>
      <c r="F6578" s="33"/>
      <c r="G6578" s="33"/>
      <c r="H6578" s="33"/>
      <c r="I6578" s="33"/>
      <c r="J6578" s="33"/>
      <c r="K6578" s="33"/>
      <c r="L6578" s="33"/>
      <c r="M6578" s="33"/>
      <c r="N6578" s="33"/>
      <c r="O6578" s="33"/>
      <c r="P6578" s="33"/>
      <c r="Q6578" s="33"/>
      <c r="R6578" s="33"/>
      <c r="S6578" s="33"/>
      <c r="T6578" s="33"/>
      <c r="U6578" s="33"/>
      <c r="V6578" s="33"/>
      <c r="W6578" s="33"/>
      <c r="X6578" s="33"/>
      <c r="Y6578" s="33"/>
      <c r="Z6578" s="33"/>
      <c r="AA6578" s="33"/>
      <c r="AB6578" s="33"/>
      <c r="AC6578" s="33"/>
      <c r="AD6578" s="33"/>
      <c r="AE6578" s="33"/>
      <c r="AF6578" s="33"/>
      <c r="AG6578" s="33"/>
      <c r="AH6578" s="33"/>
      <c r="AI6578" s="33"/>
      <c r="AJ6578" s="33"/>
      <c r="AK6578" s="33"/>
    </row>
    <row r="6579">
      <c r="A6579" s="33"/>
      <c r="B6579" s="33"/>
      <c r="C6579" s="33"/>
      <c r="D6579" s="33"/>
      <c r="E6579" s="33"/>
      <c r="F6579" s="33"/>
      <c r="G6579" s="33"/>
      <c r="H6579" s="33"/>
      <c r="I6579" s="33"/>
      <c r="J6579" s="33"/>
      <c r="K6579" s="33"/>
      <c r="L6579" s="33"/>
      <c r="M6579" s="33"/>
      <c r="N6579" s="33"/>
      <c r="O6579" s="33"/>
      <c r="P6579" s="33"/>
      <c r="Q6579" s="33"/>
      <c r="R6579" s="33"/>
      <c r="S6579" s="33"/>
      <c r="T6579" s="33"/>
      <c r="U6579" s="33"/>
      <c r="V6579" s="33"/>
      <c r="W6579" s="33"/>
      <c r="X6579" s="33"/>
      <c r="Y6579" s="33"/>
      <c r="Z6579" s="33"/>
      <c r="AA6579" s="33"/>
      <c r="AB6579" s="33"/>
      <c r="AC6579" s="33"/>
      <c r="AD6579" s="33"/>
      <c r="AE6579" s="33"/>
      <c r="AF6579" s="33"/>
      <c r="AG6579" s="33"/>
      <c r="AH6579" s="33"/>
      <c r="AI6579" s="33"/>
      <c r="AJ6579" s="33"/>
      <c r="AK6579" s="33"/>
    </row>
    <row r="6580">
      <c r="A6580" s="33"/>
      <c r="B6580" s="33"/>
      <c r="C6580" s="33"/>
      <c r="D6580" s="33"/>
      <c r="E6580" s="33"/>
      <c r="F6580" s="33"/>
      <c r="G6580" s="33"/>
      <c r="H6580" s="33"/>
      <c r="I6580" s="33"/>
      <c r="J6580" s="33"/>
      <c r="K6580" s="33"/>
      <c r="L6580" s="33"/>
      <c r="M6580" s="33"/>
      <c r="N6580" s="33"/>
      <c r="O6580" s="33"/>
      <c r="P6580" s="33"/>
      <c r="Q6580" s="33"/>
      <c r="R6580" s="33"/>
      <c r="S6580" s="33"/>
      <c r="T6580" s="33"/>
      <c r="U6580" s="33"/>
      <c r="V6580" s="33"/>
      <c r="W6580" s="33"/>
      <c r="X6580" s="33"/>
      <c r="Y6580" s="33"/>
      <c r="Z6580" s="33"/>
      <c r="AA6580" s="33"/>
      <c r="AB6580" s="33"/>
      <c r="AC6580" s="33"/>
      <c r="AD6580" s="33"/>
      <c r="AE6580" s="33"/>
      <c r="AF6580" s="33"/>
      <c r="AG6580" s="33"/>
      <c r="AH6580" s="33"/>
      <c r="AI6580" s="33"/>
      <c r="AJ6580" s="33"/>
      <c r="AK6580" s="33"/>
    </row>
    <row r="6581">
      <c r="A6581" s="33"/>
      <c r="B6581" s="33"/>
      <c r="C6581" s="33"/>
      <c r="D6581" s="33"/>
      <c r="E6581" s="33"/>
      <c r="F6581" s="33"/>
      <c r="G6581" s="33"/>
      <c r="H6581" s="33"/>
      <c r="I6581" s="33"/>
      <c r="J6581" s="33"/>
      <c r="K6581" s="33"/>
      <c r="L6581" s="33"/>
      <c r="M6581" s="33"/>
      <c r="N6581" s="33"/>
      <c r="O6581" s="33"/>
      <c r="P6581" s="33"/>
      <c r="Q6581" s="33"/>
      <c r="R6581" s="33"/>
      <c r="S6581" s="33"/>
      <c r="T6581" s="33"/>
      <c r="U6581" s="33"/>
      <c r="V6581" s="33"/>
      <c r="W6581" s="33"/>
      <c r="X6581" s="33"/>
      <c r="Y6581" s="33"/>
      <c r="Z6581" s="33"/>
      <c r="AA6581" s="33"/>
      <c r="AB6581" s="33"/>
      <c r="AC6581" s="33"/>
      <c r="AD6581" s="33"/>
      <c r="AE6581" s="33"/>
      <c r="AF6581" s="33"/>
      <c r="AG6581" s="33"/>
      <c r="AH6581" s="33"/>
      <c r="AI6581" s="33"/>
      <c r="AJ6581" s="33"/>
      <c r="AK6581" s="33"/>
    </row>
    <row r="6582">
      <c r="A6582" s="33"/>
      <c r="B6582" s="33"/>
      <c r="C6582" s="33"/>
      <c r="D6582" s="33"/>
      <c r="E6582" s="33"/>
      <c r="F6582" s="33"/>
      <c r="G6582" s="33"/>
      <c r="H6582" s="33"/>
      <c r="I6582" s="33"/>
      <c r="J6582" s="33"/>
      <c r="K6582" s="33"/>
      <c r="L6582" s="33"/>
      <c r="M6582" s="33"/>
      <c r="N6582" s="33"/>
      <c r="O6582" s="33"/>
      <c r="P6582" s="33"/>
      <c r="Q6582" s="33"/>
      <c r="R6582" s="33"/>
      <c r="S6582" s="33"/>
      <c r="T6582" s="33"/>
      <c r="U6582" s="33"/>
      <c r="V6582" s="33"/>
      <c r="W6582" s="33"/>
      <c r="X6582" s="33"/>
      <c r="Y6582" s="33"/>
      <c r="Z6582" s="33"/>
      <c r="AA6582" s="33"/>
      <c r="AB6582" s="33"/>
      <c r="AC6582" s="33"/>
      <c r="AD6582" s="33"/>
      <c r="AE6582" s="33"/>
      <c r="AF6582" s="33"/>
      <c r="AG6582" s="33"/>
      <c r="AH6582" s="33"/>
      <c r="AI6582" s="33"/>
      <c r="AJ6582" s="33"/>
      <c r="AK6582" s="33"/>
    </row>
    <row r="6583">
      <c r="A6583" s="33"/>
      <c r="B6583" s="33"/>
      <c r="C6583" s="33"/>
      <c r="D6583" s="33"/>
      <c r="E6583" s="33"/>
      <c r="F6583" s="33"/>
      <c r="G6583" s="33"/>
      <c r="H6583" s="33"/>
      <c r="I6583" s="33"/>
      <c r="J6583" s="33"/>
      <c r="K6583" s="33"/>
      <c r="L6583" s="33"/>
      <c r="M6583" s="33"/>
      <c r="N6583" s="33"/>
      <c r="O6583" s="33"/>
      <c r="P6583" s="33"/>
      <c r="Q6583" s="33"/>
      <c r="R6583" s="33"/>
      <c r="S6583" s="33"/>
      <c r="T6583" s="33"/>
      <c r="U6583" s="33"/>
      <c r="V6583" s="33"/>
      <c r="W6583" s="33"/>
      <c r="X6583" s="33"/>
      <c r="Y6583" s="33"/>
      <c r="Z6583" s="33"/>
      <c r="AA6583" s="33"/>
      <c r="AB6583" s="33"/>
      <c r="AC6583" s="33"/>
      <c r="AD6583" s="33"/>
      <c r="AE6583" s="33"/>
      <c r="AF6583" s="33"/>
      <c r="AG6583" s="33"/>
      <c r="AH6583" s="33"/>
      <c r="AI6583" s="33"/>
      <c r="AJ6583" s="33"/>
      <c r="AK6583" s="33"/>
    </row>
    <row r="6584">
      <c r="A6584" s="33"/>
      <c r="B6584" s="33"/>
      <c r="C6584" s="33"/>
      <c r="D6584" s="33"/>
      <c r="E6584" s="33"/>
      <c r="F6584" s="33"/>
      <c r="G6584" s="33"/>
      <c r="H6584" s="33"/>
      <c r="I6584" s="33"/>
      <c r="J6584" s="33"/>
      <c r="K6584" s="33"/>
      <c r="L6584" s="33"/>
      <c r="M6584" s="33"/>
      <c r="N6584" s="33"/>
      <c r="O6584" s="33"/>
      <c r="P6584" s="33"/>
      <c r="Q6584" s="33"/>
      <c r="R6584" s="33"/>
      <c r="S6584" s="33"/>
      <c r="T6584" s="33"/>
      <c r="U6584" s="33"/>
      <c r="V6584" s="33"/>
      <c r="W6584" s="33"/>
      <c r="X6584" s="33"/>
      <c r="Y6584" s="33"/>
      <c r="Z6584" s="33"/>
      <c r="AA6584" s="33"/>
      <c r="AB6584" s="33"/>
      <c r="AC6584" s="33"/>
      <c r="AD6584" s="33"/>
      <c r="AE6584" s="33"/>
      <c r="AF6584" s="33"/>
      <c r="AG6584" s="33"/>
      <c r="AH6584" s="33"/>
      <c r="AI6584" s="33"/>
      <c r="AJ6584" s="33"/>
      <c r="AK6584" s="33"/>
    </row>
    <row r="6585">
      <c r="A6585" s="33"/>
      <c r="B6585" s="33"/>
      <c r="C6585" s="33"/>
      <c r="D6585" s="33"/>
      <c r="E6585" s="33"/>
      <c r="F6585" s="33"/>
      <c r="G6585" s="33"/>
      <c r="H6585" s="33"/>
      <c r="I6585" s="33"/>
      <c r="J6585" s="33"/>
      <c r="K6585" s="33"/>
      <c r="L6585" s="33"/>
      <c r="M6585" s="33"/>
      <c r="N6585" s="33"/>
      <c r="O6585" s="33"/>
      <c r="P6585" s="33"/>
      <c r="Q6585" s="33"/>
      <c r="R6585" s="33"/>
      <c r="S6585" s="33"/>
      <c r="T6585" s="33"/>
      <c r="U6585" s="33"/>
      <c r="V6585" s="33"/>
      <c r="W6585" s="33"/>
      <c r="X6585" s="33"/>
      <c r="Y6585" s="33"/>
      <c r="Z6585" s="33"/>
      <c r="AA6585" s="33"/>
      <c r="AB6585" s="33"/>
      <c r="AC6585" s="33"/>
      <c r="AD6585" s="33"/>
      <c r="AE6585" s="33"/>
      <c r="AF6585" s="33"/>
      <c r="AG6585" s="33"/>
      <c r="AH6585" s="33"/>
      <c r="AI6585" s="33"/>
      <c r="AJ6585" s="33"/>
      <c r="AK6585" s="33"/>
    </row>
    <row r="6586">
      <c r="A6586" s="33"/>
      <c r="B6586" s="33"/>
      <c r="C6586" s="33"/>
      <c r="D6586" s="33"/>
      <c r="E6586" s="33"/>
      <c r="F6586" s="33"/>
      <c r="G6586" s="33"/>
      <c r="H6586" s="33"/>
      <c r="I6586" s="33"/>
      <c r="J6586" s="33"/>
      <c r="K6586" s="33"/>
      <c r="L6586" s="33"/>
      <c r="M6586" s="33"/>
      <c r="N6586" s="33"/>
      <c r="O6586" s="33"/>
      <c r="P6586" s="33"/>
      <c r="Q6586" s="33"/>
      <c r="R6586" s="33"/>
      <c r="S6586" s="33"/>
      <c r="T6586" s="33"/>
      <c r="U6586" s="33"/>
      <c r="V6586" s="33"/>
      <c r="W6586" s="33"/>
      <c r="X6586" s="33"/>
      <c r="Y6586" s="33"/>
      <c r="Z6586" s="33"/>
      <c r="AA6586" s="33"/>
      <c r="AB6586" s="33"/>
      <c r="AC6586" s="33"/>
      <c r="AD6586" s="33"/>
      <c r="AE6586" s="33"/>
      <c r="AF6586" s="33"/>
      <c r="AG6586" s="33"/>
      <c r="AH6586" s="33"/>
      <c r="AI6586" s="33"/>
      <c r="AJ6586" s="33"/>
      <c r="AK6586" s="33"/>
    </row>
    <row r="6587">
      <c r="A6587" s="33"/>
      <c r="B6587" s="33"/>
      <c r="C6587" s="33"/>
      <c r="D6587" s="33"/>
      <c r="E6587" s="33"/>
      <c r="F6587" s="33"/>
      <c r="G6587" s="33"/>
      <c r="H6587" s="33"/>
      <c r="I6587" s="33"/>
      <c r="J6587" s="33"/>
      <c r="K6587" s="33"/>
      <c r="L6587" s="33"/>
      <c r="M6587" s="33"/>
      <c r="N6587" s="33"/>
      <c r="O6587" s="33"/>
      <c r="P6587" s="33"/>
      <c r="Q6587" s="33"/>
      <c r="R6587" s="33"/>
      <c r="S6587" s="33"/>
      <c r="T6587" s="33"/>
      <c r="U6587" s="33"/>
      <c r="V6587" s="33"/>
      <c r="W6587" s="33"/>
      <c r="X6587" s="33"/>
      <c r="Y6587" s="33"/>
      <c r="Z6587" s="33"/>
      <c r="AA6587" s="33"/>
      <c r="AB6587" s="33"/>
      <c r="AC6587" s="33"/>
      <c r="AD6587" s="33"/>
      <c r="AE6587" s="33"/>
      <c r="AF6587" s="33"/>
      <c r="AG6587" s="33"/>
      <c r="AH6587" s="33"/>
      <c r="AI6587" s="33"/>
      <c r="AJ6587" s="33"/>
      <c r="AK6587" s="33"/>
    </row>
    <row r="6588">
      <c r="A6588" s="33"/>
      <c r="B6588" s="33"/>
      <c r="C6588" s="33"/>
      <c r="D6588" s="33"/>
      <c r="E6588" s="33"/>
      <c r="F6588" s="33"/>
      <c r="G6588" s="33"/>
      <c r="H6588" s="33"/>
      <c r="I6588" s="33"/>
      <c r="J6588" s="33"/>
      <c r="K6588" s="33"/>
      <c r="L6588" s="33"/>
      <c r="M6588" s="33"/>
      <c r="N6588" s="33"/>
      <c r="O6588" s="33"/>
      <c r="P6588" s="33"/>
      <c r="Q6588" s="33"/>
      <c r="R6588" s="33"/>
      <c r="S6588" s="33"/>
      <c r="T6588" s="33"/>
      <c r="U6588" s="33"/>
      <c r="V6588" s="33"/>
      <c r="W6588" s="33"/>
      <c r="X6588" s="33"/>
      <c r="Y6588" s="33"/>
      <c r="Z6588" s="33"/>
      <c r="AA6588" s="33"/>
      <c r="AB6588" s="33"/>
      <c r="AC6588" s="33"/>
      <c r="AD6588" s="33"/>
      <c r="AE6588" s="33"/>
      <c r="AF6588" s="33"/>
      <c r="AG6588" s="33"/>
      <c r="AH6588" s="33"/>
      <c r="AI6588" s="33"/>
      <c r="AJ6588" s="33"/>
      <c r="AK6588" s="33"/>
    </row>
    <row r="6589">
      <c r="A6589" s="33"/>
      <c r="B6589" s="33"/>
      <c r="C6589" s="33"/>
      <c r="D6589" s="33"/>
      <c r="E6589" s="33"/>
      <c r="F6589" s="33"/>
      <c r="G6589" s="33"/>
      <c r="H6589" s="33"/>
      <c r="I6589" s="33"/>
      <c r="J6589" s="33"/>
      <c r="K6589" s="33"/>
      <c r="L6589" s="33"/>
      <c r="M6589" s="33"/>
      <c r="N6589" s="33"/>
      <c r="O6589" s="33"/>
      <c r="P6589" s="33"/>
      <c r="Q6589" s="33"/>
      <c r="R6589" s="33"/>
      <c r="S6589" s="33"/>
      <c r="T6589" s="33"/>
      <c r="U6589" s="33"/>
      <c r="V6589" s="33"/>
      <c r="W6589" s="33"/>
      <c r="X6589" s="33"/>
      <c r="Y6589" s="33"/>
      <c r="Z6589" s="33"/>
      <c r="AA6589" s="33"/>
      <c r="AB6589" s="33"/>
      <c r="AC6589" s="33"/>
      <c r="AD6589" s="33"/>
      <c r="AE6589" s="33"/>
      <c r="AF6589" s="33"/>
      <c r="AG6589" s="33"/>
      <c r="AH6589" s="33"/>
      <c r="AI6589" s="33"/>
      <c r="AJ6589" s="33"/>
      <c r="AK6589" s="33"/>
    </row>
    <row r="6590">
      <c r="A6590" s="33"/>
      <c r="B6590" s="33"/>
      <c r="C6590" s="33"/>
      <c r="D6590" s="33"/>
      <c r="E6590" s="33"/>
      <c r="F6590" s="33"/>
      <c r="G6590" s="33"/>
      <c r="H6590" s="33"/>
      <c r="I6590" s="33"/>
      <c r="J6590" s="33"/>
      <c r="K6590" s="33"/>
      <c r="L6590" s="33"/>
      <c r="M6590" s="33"/>
      <c r="N6590" s="33"/>
      <c r="O6590" s="33"/>
      <c r="P6590" s="33"/>
      <c r="Q6590" s="33"/>
      <c r="R6590" s="33"/>
      <c r="S6590" s="33"/>
      <c r="T6590" s="33"/>
      <c r="U6590" s="33"/>
      <c r="V6590" s="33"/>
      <c r="W6590" s="33"/>
      <c r="X6590" s="33"/>
      <c r="Y6590" s="33"/>
      <c r="Z6590" s="33"/>
      <c r="AA6590" s="33"/>
      <c r="AB6590" s="33"/>
      <c r="AC6590" s="33"/>
      <c r="AD6590" s="33"/>
      <c r="AE6590" s="33"/>
      <c r="AF6590" s="33"/>
      <c r="AG6590" s="33"/>
      <c r="AH6590" s="33"/>
      <c r="AI6590" s="33"/>
      <c r="AJ6590" s="33"/>
      <c r="AK6590" s="33"/>
    </row>
    <row r="6591">
      <c r="A6591" s="33"/>
      <c r="B6591" s="33"/>
      <c r="C6591" s="33"/>
      <c r="D6591" s="33"/>
      <c r="E6591" s="33"/>
      <c r="F6591" s="33"/>
      <c r="G6591" s="33"/>
      <c r="H6591" s="33"/>
      <c r="I6591" s="33"/>
      <c r="J6591" s="33"/>
      <c r="K6591" s="33"/>
      <c r="L6591" s="33"/>
      <c r="M6591" s="33"/>
      <c r="N6591" s="33"/>
      <c r="O6591" s="33"/>
      <c r="P6591" s="33"/>
      <c r="Q6591" s="33"/>
      <c r="R6591" s="33"/>
      <c r="S6591" s="33"/>
      <c r="T6591" s="33"/>
      <c r="U6591" s="33"/>
      <c r="V6591" s="33"/>
      <c r="W6591" s="33"/>
      <c r="X6591" s="33"/>
      <c r="Y6591" s="33"/>
      <c r="Z6591" s="33"/>
      <c r="AA6591" s="33"/>
      <c r="AB6591" s="33"/>
      <c r="AC6591" s="33"/>
      <c r="AD6591" s="33"/>
      <c r="AE6591" s="33"/>
      <c r="AF6591" s="33"/>
      <c r="AG6591" s="33"/>
      <c r="AH6591" s="33"/>
      <c r="AI6591" s="33"/>
      <c r="AJ6591" s="33"/>
      <c r="AK6591" s="33"/>
    </row>
    <row r="6592">
      <c r="A6592" s="33"/>
      <c r="B6592" s="33"/>
      <c r="C6592" s="33"/>
      <c r="D6592" s="33"/>
      <c r="E6592" s="33"/>
      <c r="F6592" s="33"/>
      <c r="G6592" s="33"/>
      <c r="H6592" s="33"/>
      <c r="I6592" s="33"/>
      <c r="J6592" s="33"/>
      <c r="K6592" s="33"/>
      <c r="L6592" s="33"/>
      <c r="M6592" s="33"/>
      <c r="N6592" s="33"/>
      <c r="O6592" s="33"/>
      <c r="P6592" s="33"/>
      <c r="Q6592" s="33"/>
      <c r="R6592" s="33"/>
      <c r="S6592" s="33"/>
      <c r="T6592" s="33"/>
      <c r="U6592" s="33"/>
      <c r="V6592" s="33"/>
      <c r="W6592" s="33"/>
      <c r="X6592" s="33"/>
      <c r="Y6592" s="33"/>
      <c r="Z6592" s="33"/>
      <c r="AA6592" s="33"/>
      <c r="AB6592" s="33"/>
      <c r="AC6592" s="33"/>
      <c r="AD6592" s="33"/>
      <c r="AE6592" s="33"/>
      <c r="AF6592" s="33"/>
      <c r="AG6592" s="33"/>
      <c r="AH6592" s="33"/>
      <c r="AI6592" s="33"/>
      <c r="AJ6592" s="33"/>
      <c r="AK6592" s="33"/>
    </row>
    <row r="6593">
      <c r="A6593" s="33"/>
      <c r="B6593" s="33"/>
      <c r="C6593" s="33"/>
      <c r="D6593" s="33"/>
      <c r="E6593" s="33"/>
      <c r="F6593" s="33"/>
      <c r="G6593" s="33"/>
      <c r="H6593" s="33"/>
      <c r="I6593" s="33"/>
      <c r="J6593" s="33"/>
      <c r="K6593" s="33"/>
      <c r="L6593" s="33"/>
      <c r="M6593" s="33"/>
      <c r="N6593" s="33"/>
      <c r="O6593" s="33"/>
      <c r="P6593" s="33"/>
      <c r="Q6593" s="33"/>
      <c r="R6593" s="33"/>
      <c r="S6593" s="33"/>
      <c r="T6593" s="33"/>
      <c r="U6593" s="33"/>
      <c r="V6593" s="33"/>
      <c r="W6593" s="33"/>
      <c r="X6593" s="33"/>
      <c r="Y6593" s="33"/>
      <c r="Z6593" s="33"/>
      <c r="AA6593" s="33"/>
      <c r="AB6593" s="33"/>
      <c r="AC6593" s="33"/>
      <c r="AD6593" s="33"/>
      <c r="AE6593" s="33"/>
      <c r="AF6593" s="33"/>
      <c r="AG6593" s="33"/>
      <c r="AH6593" s="33"/>
      <c r="AI6593" s="33"/>
      <c r="AJ6593" s="33"/>
      <c r="AK6593" s="33"/>
    </row>
    <row r="6594">
      <c r="A6594" s="33"/>
      <c r="B6594" s="33"/>
      <c r="C6594" s="33"/>
      <c r="D6594" s="33"/>
      <c r="E6594" s="33"/>
      <c r="F6594" s="33"/>
      <c r="G6594" s="33"/>
      <c r="H6594" s="33"/>
      <c r="I6594" s="33"/>
      <c r="J6594" s="33"/>
      <c r="K6594" s="33"/>
      <c r="L6594" s="33"/>
      <c r="M6594" s="33"/>
      <c r="N6594" s="33"/>
      <c r="O6594" s="33"/>
      <c r="P6594" s="33"/>
      <c r="Q6594" s="33"/>
      <c r="R6594" s="33"/>
      <c r="S6594" s="33"/>
      <c r="T6594" s="33"/>
      <c r="U6594" s="33"/>
      <c r="V6594" s="33"/>
      <c r="W6594" s="33"/>
      <c r="X6594" s="33"/>
      <c r="Y6594" s="33"/>
      <c r="Z6594" s="33"/>
      <c r="AA6594" s="33"/>
      <c r="AB6594" s="33"/>
      <c r="AC6594" s="33"/>
      <c r="AD6594" s="33"/>
      <c r="AE6594" s="33"/>
      <c r="AF6594" s="33"/>
      <c r="AG6594" s="33"/>
      <c r="AH6594" s="33"/>
      <c r="AI6594" s="33"/>
      <c r="AJ6594" s="33"/>
      <c r="AK6594" s="33"/>
    </row>
    <row r="6595">
      <c r="A6595" s="33"/>
      <c r="B6595" s="33"/>
      <c r="C6595" s="33"/>
      <c r="D6595" s="33"/>
      <c r="E6595" s="33"/>
      <c r="F6595" s="33"/>
      <c r="G6595" s="33"/>
      <c r="H6595" s="33"/>
      <c r="I6595" s="33"/>
      <c r="J6595" s="33"/>
      <c r="K6595" s="33"/>
      <c r="L6595" s="33"/>
      <c r="M6595" s="33"/>
      <c r="N6595" s="33"/>
      <c r="O6595" s="33"/>
      <c r="P6595" s="33"/>
      <c r="Q6595" s="33"/>
      <c r="R6595" s="33"/>
      <c r="S6595" s="33"/>
      <c r="T6595" s="33"/>
      <c r="U6595" s="33"/>
      <c r="V6595" s="33"/>
      <c r="W6595" s="33"/>
      <c r="X6595" s="33"/>
      <c r="Y6595" s="33"/>
      <c r="Z6595" s="33"/>
      <c r="AA6595" s="33"/>
      <c r="AB6595" s="33"/>
      <c r="AC6595" s="33"/>
      <c r="AD6595" s="33"/>
      <c r="AE6595" s="33"/>
      <c r="AF6595" s="33"/>
      <c r="AG6595" s="33"/>
      <c r="AH6595" s="33"/>
      <c r="AI6595" s="33"/>
      <c r="AJ6595" s="33"/>
      <c r="AK6595" s="33"/>
    </row>
    <row r="6596">
      <c r="A6596" s="33"/>
      <c r="B6596" s="33"/>
      <c r="C6596" s="33"/>
      <c r="D6596" s="33"/>
      <c r="E6596" s="33"/>
      <c r="F6596" s="33"/>
      <c r="G6596" s="33"/>
      <c r="H6596" s="33"/>
      <c r="I6596" s="33"/>
      <c r="J6596" s="33"/>
      <c r="K6596" s="33"/>
      <c r="L6596" s="33"/>
      <c r="M6596" s="33"/>
      <c r="N6596" s="33"/>
      <c r="O6596" s="33"/>
      <c r="P6596" s="33"/>
      <c r="Q6596" s="33"/>
      <c r="R6596" s="33"/>
      <c r="S6596" s="33"/>
      <c r="T6596" s="33"/>
      <c r="U6596" s="33"/>
      <c r="V6596" s="33"/>
      <c r="W6596" s="33"/>
      <c r="X6596" s="33"/>
      <c r="Y6596" s="33"/>
      <c r="Z6596" s="33"/>
      <c r="AA6596" s="33"/>
      <c r="AB6596" s="33"/>
      <c r="AC6596" s="33"/>
      <c r="AD6596" s="33"/>
      <c r="AE6596" s="33"/>
      <c r="AF6596" s="33"/>
      <c r="AG6596" s="33"/>
      <c r="AH6596" s="33"/>
      <c r="AI6596" s="33"/>
      <c r="AJ6596" s="33"/>
      <c r="AK6596" s="33"/>
    </row>
    <row r="6597">
      <c r="A6597" s="33"/>
      <c r="B6597" s="33"/>
      <c r="C6597" s="33"/>
      <c r="D6597" s="33"/>
      <c r="E6597" s="33"/>
      <c r="F6597" s="33"/>
      <c r="G6597" s="33"/>
      <c r="H6597" s="33"/>
      <c r="I6597" s="33"/>
      <c r="J6597" s="33"/>
      <c r="K6597" s="33"/>
      <c r="L6597" s="33"/>
      <c r="M6597" s="33"/>
      <c r="N6597" s="33"/>
      <c r="O6597" s="33"/>
      <c r="P6597" s="33"/>
      <c r="Q6597" s="33"/>
      <c r="R6597" s="33"/>
      <c r="S6597" s="33"/>
      <c r="T6597" s="33"/>
      <c r="U6597" s="33"/>
      <c r="V6597" s="33"/>
      <c r="W6597" s="33"/>
      <c r="X6597" s="33"/>
      <c r="Y6597" s="33"/>
      <c r="Z6597" s="33"/>
      <c r="AA6597" s="33"/>
      <c r="AB6597" s="33"/>
      <c r="AC6597" s="33"/>
      <c r="AD6597" s="33"/>
      <c r="AE6597" s="33"/>
      <c r="AF6597" s="33"/>
      <c r="AG6597" s="33"/>
      <c r="AH6597" s="33"/>
      <c r="AI6597" s="33"/>
      <c r="AJ6597" s="33"/>
      <c r="AK6597" s="33"/>
    </row>
    <row r="6598">
      <c r="A6598" s="33"/>
      <c r="B6598" s="33"/>
      <c r="C6598" s="33"/>
      <c r="D6598" s="33"/>
      <c r="E6598" s="33"/>
      <c r="F6598" s="33"/>
      <c r="G6598" s="33"/>
      <c r="H6598" s="33"/>
      <c r="I6598" s="33"/>
      <c r="J6598" s="33"/>
      <c r="K6598" s="33"/>
      <c r="L6598" s="33"/>
      <c r="M6598" s="33"/>
      <c r="N6598" s="33"/>
      <c r="O6598" s="33"/>
      <c r="P6598" s="33"/>
      <c r="Q6598" s="33"/>
      <c r="R6598" s="33"/>
      <c r="S6598" s="33"/>
      <c r="T6598" s="33"/>
      <c r="U6598" s="33"/>
      <c r="V6598" s="33"/>
      <c r="W6598" s="33"/>
      <c r="X6598" s="33"/>
      <c r="Y6598" s="33"/>
      <c r="Z6598" s="33"/>
      <c r="AA6598" s="33"/>
      <c r="AB6598" s="33"/>
      <c r="AC6598" s="33"/>
      <c r="AD6598" s="33"/>
      <c r="AE6598" s="33"/>
      <c r="AF6598" s="33"/>
      <c r="AG6598" s="33"/>
      <c r="AH6598" s="33"/>
      <c r="AI6598" s="33"/>
      <c r="AJ6598" s="33"/>
      <c r="AK6598" s="33"/>
    </row>
    <row r="6599">
      <c r="A6599" s="33"/>
      <c r="B6599" s="33"/>
      <c r="C6599" s="33"/>
      <c r="D6599" s="33"/>
      <c r="E6599" s="33"/>
      <c r="F6599" s="33"/>
      <c r="G6599" s="33"/>
      <c r="H6599" s="33"/>
      <c r="I6599" s="33"/>
      <c r="J6599" s="33"/>
      <c r="K6599" s="33"/>
      <c r="L6599" s="33"/>
      <c r="M6599" s="33"/>
      <c r="N6599" s="33"/>
      <c r="O6599" s="33"/>
      <c r="P6599" s="33"/>
      <c r="Q6599" s="33"/>
      <c r="R6599" s="33"/>
      <c r="S6599" s="33"/>
      <c r="T6599" s="33"/>
      <c r="U6599" s="33"/>
      <c r="V6599" s="33"/>
      <c r="W6599" s="33"/>
      <c r="X6599" s="33"/>
      <c r="Y6599" s="33"/>
      <c r="Z6599" s="33"/>
      <c r="AA6599" s="33"/>
      <c r="AB6599" s="33"/>
      <c r="AC6599" s="33"/>
      <c r="AD6599" s="33"/>
      <c r="AE6599" s="33"/>
      <c r="AF6599" s="33"/>
      <c r="AG6599" s="33"/>
      <c r="AH6599" s="33"/>
      <c r="AI6599" s="33"/>
      <c r="AJ6599" s="33"/>
      <c r="AK6599" s="33"/>
    </row>
    <row r="6600">
      <c r="A6600" s="33"/>
      <c r="B6600" s="33"/>
      <c r="C6600" s="33"/>
      <c r="D6600" s="33"/>
      <c r="E6600" s="33"/>
      <c r="F6600" s="33"/>
      <c r="G6600" s="33"/>
      <c r="H6600" s="33"/>
      <c r="I6600" s="33"/>
      <c r="J6600" s="33"/>
      <c r="K6600" s="33"/>
      <c r="L6600" s="33"/>
      <c r="M6600" s="33"/>
      <c r="N6600" s="33"/>
      <c r="O6600" s="33"/>
      <c r="P6600" s="33"/>
      <c r="Q6600" s="33"/>
      <c r="R6600" s="33"/>
      <c r="S6600" s="33"/>
      <c r="T6600" s="33"/>
      <c r="U6600" s="33"/>
      <c r="V6600" s="33"/>
      <c r="W6600" s="33"/>
      <c r="X6600" s="33"/>
      <c r="Y6600" s="33"/>
      <c r="Z6600" s="33"/>
      <c r="AA6600" s="33"/>
      <c r="AB6600" s="33"/>
      <c r="AC6600" s="33"/>
      <c r="AD6600" s="33"/>
      <c r="AE6600" s="33"/>
      <c r="AF6600" s="33"/>
      <c r="AG6600" s="33"/>
      <c r="AH6600" s="33"/>
      <c r="AI6600" s="33"/>
      <c r="AJ6600" s="33"/>
      <c r="AK6600" s="33"/>
    </row>
    <row r="6601">
      <c r="A6601" s="33"/>
      <c r="B6601" s="33"/>
      <c r="C6601" s="33"/>
      <c r="D6601" s="33"/>
      <c r="E6601" s="33"/>
      <c r="F6601" s="33"/>
      <c r="G6601" s="33"/>
      <c r="H6601" s="33"/>
      <c r="I6601" s="33"/>
      <c r="J6601" s="33"/>
      <c r="K6601" s="33"/>
      <c r="L6601" s="33"/>
      <c r="M6601" s="33"/>
      <c r="N6601" s="33"/>
      <c r="O6601" s="33"/>
      <c r="P6601" s="33"/>
      <c r="Q6601" s="33"/>
      <c r="R6601" s="33"/>
      <c r="S6601" s="33"/>
      <c r="T6601" s="33"/>
      <c r="U6601" s="33"/>
      <c r="V6601" s="33"/>
      <c r="W6601" s="33"/>
      <c r="X6601" s="33"/>
      <c r="Y6601" s="33"/>
      <c r="Z6601" s="33"/>
      <c r="AA6601" s="33"/>
      <c r="AB6601" s="33"/>
      <c r="AC6601" s="33"/>
      <c r="AD6601" s="33"/>
      <c r="AE6601" s="33"/>
      <c r="AF6601" s="33"/>
      <c r="AG6601" s="33"/>
      <c r="AH6601" s="33"/>
      <c r="AI6601" s="33"/>
      <c r="AJ6601" s="33"/>
      <c r="AK6601" s="33"/>
    </row>
    <row r="6602">
      <c r="A6602" s="33"/>
      <c r="B6602" s="33"/>
      <c r="C6602" s="33"/>
      <c r="D6602" s="33"/>
      <c r="E6602" s="33"/>
      <c r="F6602" s="33"/>
      <c r="G6602" s="33"/>
      <c r="H6602" s="33"/>
      <c r="I6602" s="33"/>
      <c r="J6602" s="33"/>
      <c r="K6602" s="33"/>
      <c r="L6602" s="33"/>
      <c r="M6602" s="33"/>
      <c r="N6602" s="33"/>
      <c r="O6602" s="33"/>
      <c r="P6602" s="33"/>
      <c r="Q6602" s="33"/>
      <c r="R6602" s="33"/>
      <c r="S6602" s="33"/>
      <c r="T6602" s="33"/>
      <c r="U6602" s="33"/>
      <c r="V6602" s="33"/>
      <c r="W6602" s="33"/>
      <c r="X6602" s="33"/>
      <c r="Y6602" s="33"/>
      <c r="Z6602" s="33"/>
      <c r="AA6602" s="33"/>
      <c r="AB6602" s="33"/>
      <c r="AC6602" s="33"/>
      <c r="AD6602" s="33"/>
      <c r="AE6602" s="33"/>
      <c r="AF6602" s="33"/>
      <c r="AG6602" s="33"/>
      <c r="AH6602" s="33"/>
      <c r="AI6602" s="33"/>
      <c r="AJ6602" s="33"/>
      <c r="AK6602" s="33"/>
    </row>
    <row r="6603">
      <c r="A6603" s="33"/>
      <c r="B6603" s="33"/>
      <c r="C6603" s="33"/>
      <c r="D6603" s="33"/>
      <c r="E6603" s="33"/>
      <c r="F6603" s="33"/>
      <c r="G6603" s="33"/>
      <c r="H6603" s="33"/>
      <c r="I6603" s="33"/>
      <c r="J6603" s="33"/>
      <c r="K6603" s="33"/>
      <c r="L6603" s="33"/>
      <c r="M6603" s="33"/>
      <c r="N6603" s="33"/>
      <c r="O6603" s="33"/>
      <c r="P6603" s="33"/>
      <c r="Q6603" s="33"/>
      <c r="R6603" s="33"/>
      <c r="S6603" s="33"/>
      <c r="T6603" s="33"/>
      <c r="U6603" s="33"/>
      <c r="V6603" s="33"/>
      <c r="W6603" s="33"/>
      <c r="X6603" s="33"/>
      <c r="Y6603" s="33"/>
      <c r="Z6603" s="33"/>
      <c r="AA6603" s="33"/>
      <c r="AB6603" s="33"/>
      <c r="AC6603" s="33"/>
      <c r="AD6603" s="33"/>
      <c r="AE6603" s="33"/>
      <c r="AF6603" s="33"/>
      <c r="AG6603" s="33"/>
      <c r="AH6603" s="33"/>
      <c r="AI6603" s="33"/>
      <c r="AJ6603" s="33"/>
      <c r="AK6603" s="33"/>
    </row>
    <row r="6604">
      <c r="A6604" s="33"/>
      <c r="B6604" s="33"/>
      <c r="C6604" s="33"/>
      <c r="D6604" s="33"/>
      <c r="E6604" s="33"/>
      <c r="F6604" s="33"/>
      <c r="G6604" s="33"/>
      <c r="H6604" s="33"/>
      <c r="I6604" s="33"/>
      <c r="J6604" s="33"/>
      <c r="K6604" s="33"/>
      <c r="L6604" s="33"/>
      <c r="M6604" s="33"/>
      <c r="N6604" s="33"/>
      <c r="O6604" s="33"/>
      <c r="P6604" s="33"/>
      <c r="Q6604" s="33"/>
      <c r="R6604" s="33"/>
      <c r="S6604" s="33"/>
      <c r="T6604" s="33"/>
      <c r="U6604" s="33"/>
      <c r="V6604" s="33"/>
      <c r="W6604" s="33"/>
      <c r="X6604" s="33"/>
      <c r="Y6604" s="33"/>
      <c r="Z6604" s="33"/>
      <c r="AA6604" s="33"/>
      <c r="AB6604" s="33"/>
      <c r="AC6604" s="33"/>
      <c r="AD6604" s="33"/>
      <c r="AE6604" s="33"/>
      <c r="AF6604" s="33"/>
      <c r="AG6604" s="33"/>
      <c r="AH6604" s="33"/>
      <c r="AI6604" s="33"/>
      <c r="AJ6604" s="33"/>
      <c r="AK6604" s="33"/>
    </row>
    <row r="6605">
      <c r="A6605" s="33"/>
      <c r="B6605" s="33"/>
      <c r="C6605" s="33"/>
      <c r="D6605" s="33"/>
      <c r="E6605" s="33"/>
      <c r="F6605" s="33"/>
      <c r="G6605" s="33"/>
      <c r="H6605" s="33"/>
      <c r="I6605" s="33"/>
      <c r="J6605" s="33"/>
      <c r="K6605" s="33"/>
      <c r="L6605" s="33"/>
      <c r="M6605" s="33"/>
      <c r="N6605" s="33"/>
      <c r="O6605" s="33"/>
      <c r="P6605" s="33"/>
      <c r="Q6605" s="33"/>
      <c r="R6605" s="33"/>
      <c r="S6605" s="33"/>
      <c r="T6605" s="33"/>
      <c r="U6605" s="33"/>
      <c r="V6605" s="33"/>
      <c r="W6605" s="33"/>
      <c r="X6605" s="33"/>
      <c r="Y6605" s="33"/>
      <c r="Z6605" s="33"/>
      <c r="AA6605" s="33"/>
      <c r="AB6605" s="33"/>
      <c r="AC6605" s="33"/>
      <c r="AD6605" s="33"/>
      <c r="AE6605" s="33"/>
      <c r="AF6605" s="33"/>
      <c r="AG6605" s="33"/>
      <c r="AH6605" s="33"/>
      <c r="AI6605" s="33"/>
      <c r="AJ6605" s="33"/>
      <c r="AK6605" s="33"/>
    </row>
    <row r="6606">
      <c r="A6606" s="33"/>
      <c r="B6606" s="33"/>
      <c r="C6606" s="33"/>
      <c r="D6606" s="33"/>
      <c r="E6606" s="33"/>
      <c r="F6606" s="33"/>
      <c r="G6606" s="33"/>
      <c r="H6606" s="33"/>
      <c r="I6606" s="33"/>
      <c r="J6606" s="33"/>
      <c r="K6606" s="33"/>
      <c r="L6606" s="33"/>
      <c r="M6606" s="33"/>
      <c r="N6606" s="33"/>
      <c r="O6606" s="33"/>
      <c r="P6606" s="33"/>
      <c r="Q6606" s="33"/>
      <c r="R6606" s="33"/>
      <c r="S6606" s="33"/>
      <c r="T6606" s="33"/>
      <c r="U6606" s="33"/>
      <c r="V6606" s="33"/>
      <c r="W6606" s="33"/>
      <c r="X6606" s="33"/>
      <c r="Y6606" s="33"/>
      <c r="Z6606" s="33"/>
      <c r="AA6606" s="33"/>
      <c r="AB6606" s="33"/>
      <c r="AC6606" s="33"/>
      <c r="AD6606" s="33"/>
      <c r="AE6606" s="33"/>
      <c r="AF6606" s="33"/>
      <c r="AG6606" s="33"/>
      <c r="AH6606" s="33"/>
      <c r="AI6606" s="33"/>
      <c r="AJ6606" s="33"/>
      <c r="AK6606" s="33"/>
    </row>
    <row r="6607">
      <c r="A6607" s="33"/>
      <c r="B6607" s="33"/>
      <c r="C6607" s="33"/>
      <c r="D6607" s="33"/>
      <c r="E6607" s="33"/>
      <c r="F6607" s="33"/>
      <c r="G6607" s="33"/>
      <c r="H6607" s="33"/>
      <c r="I6607" s="33"/>
      <c r="J6607" s="33"/>
      <c r="K6607" s="33"/>
      <c r="L6607" s="33"/>
      <c r="M6607" s="33"/>
      <c r="N6607" s="33"/>
      <c r="O6607" s="33"/>
      <c r="P6607" s="33"/>
      <c r="Q6607" s="33"/>
      <c r="R6607" s="33"/>
      <c r="S6607" s="33"/>
      <c r="T6607" s="33"/>
      <c r="U6607" s="33"/>
      <c r="V6607" s="33"/>
      <c r="W6607" s="33"/>
      <c r="X6607" s="33"/>
      <c r="Y6607" s="33"/>
      <c r="Z6607" s="33"/>
      <c r="AA6607" s="33"/>
      <c r="AB6607" s="33"/>
      <c r="AC6607" s="33"/>
      <c r="AD6607" s="33"/>
      <c r="AE6607" s="33"/>
      <c r="AF6607" s="33"/>
      <c r="AG6607" s="33"/>
      <c r="AH6607" s="33"/>
      <c r="AI6607" s="33"/>
      <c r="AJ6607" s="33"/>
      <c r="AK6607" s="33"/>
    </row>
    <row r="6608">
      <c r="A6608" s="33"/>
      <c r="B6608" s="33"/>
      <c r="C6608" s="33"/>
      <c r="D6608" s="33"/>
      <c r="E6608" s="33"/>
      <c r="F6608" s="33"/>
      <c r="G6608" s="33"/>
      <c r="H6608" s="33"/>
      <c r="I6608" s="33"/>
      <c r="J6608" s="33"/>
      <c r="K6608" s="33"/>
      <c r="L6608" s="33"/>
      <c r="M6608" s="33"/>
      <c r="N6608" s="33"/>
      <c r="O6608" s="33"/>
      <c r="P6608" s="33"/>
      <c r="Q6608" s="33"/>
      <c r="R6608" s="33"/>
      <c r="S6608" s="33"/>
      <c r="T6608" s="33"/>
      <c r="U6608" s="33"/>
      <c r="V6608" s="33"/>
      <c r="W6608" s="33"/>
      <c r="X6608" s="33"/>
      <c r="Y6608" s="33"/>
      <c r="Z6608" s="33"/>
      <c r="AA6608" s="33"/>
      <c r="AB6608" s="33"/>
      <c r="AC6608" s="33"/>
      <c r="AD6608" s="33"/>
      <c r="AE6608" s="33"/>
      <c r="AF6608" s="33"/>
      <c r="AG6608" s="33"/>
      <c r="AH6608" s="33"/>
      <c r="AI6608" s="33"/>
      <c r="AJ6608" s="33"/>
      <c r="AK6608" s="33"/>
    </row>
    <row r="6609">
      <c r="A6609" s="33"/>
      <c r="B6609" s="33"/>
      <c r="C6609" s="33"/>
      <c r="D6609" s="33"/>
      <c r="E6609" s="33"/>
      <c r="F6609" s="33"/>
      <c r="G6609" s="33"/>
      <c r="H6609" s="33"/>
      <c r="I6609" s="33"/>
      <c r="J6609" s="33"/>
      <c r="K6609" s="33"/>
      <c r="L6609" s="33"/>
      <c r="M6609" s="33"/>
      <c r="N6609" s="33"/>
      <c r="O6609" s="33"/>
      <c r="P6609" s="33"/>
      <c r="Q6609" s="33"/>
      <c r="R6609" s="33"/>
      <c r="S6609" s="33"/>
      <c r="T6609" s="33"/>
      <c r="U6609" s="33"/>
      <c r="V6609" s="33"/>
      <c r="W6609" s="33"/>
      <c r="X6609" s="33"/>
      <c r="Y6609" s="33"/>
      <c r="Z6609" s="33"/>
      <c r="AA6609" s="33"/>
      <c r="AB6609" s="33"/>
      <c r="AC6609" s="33"/>
      <c r="AD6609" s="33"/>
      <c r="AE6609" s="33"/>
      <c r="AF6609" s="33"/>
      <c r="AG6609" s="33"/>
      <c r="AH6609" s="33"/>
      <c r="AI6609" s="33"/>
      <c r="AJ6609" s="33"/>
      <c r="AK6609" s="33"/>
    </row>
    <row r="6610">
      <c r="A6610" s="33"/>
      <c r="B6610" s="33"/>
      <c r="C6610" s="33"/>
      <c r="D6610" s="33"/>
      <c r="E6610" s="33"/>
      <c r="F6610" s="33"/>
      <c r="G6610" s="33"/>
      <c r="H6610" s="33"/>
      <c r="I6610" s="33"/>
      <c r="J6610" s="33"/>
      <c r="K6610" s="33"/>
      <c r="L6610" s="33"/>
      <c r="M6610" s="33"/>
      <c r="N6610" s="33"/>
      <c r="O6610" s="33"/>
      <c r="P6610" s="33"/>
      <c r="Q6610" s="33"/>
      <c r="R6610" s="33"/>
      <c r="S6610" s="33"/>
      <c r="T6610" s="33"/>
      <c r="U6610" s="33"/>
      <c r="V6610" s="33"/>
      <c r="W6610" s="33"/>
      <c r="X6610" s="33"/>
      <c r="Y6610" s="33"/>
      <c r="Z6610" s="33"/>
      <c r="AA6610" s="33"/>
      <c r="AB6610" s="33"/>
      <c r="AC6610" s="33"/>
      <c r="AD6610" s="33"/>
      <c r="AE6610" s="33"/>
      <c r="AF6610" s="33"/>
      <c r="AG6610" s="33"/>
      <c r="AH6610" s="33"/>
      <c r="AI6610" s="33"/>
      <c r="AJ6610" s="33"/>
      <c r="AK6610" s="33"/>
    </row>
    <row r="6611">
      <c r="A6611" s="33"/>
      <c r="B6611" s="33"/>
      <c r="C6611" s="33"/>
      <c r="D6611" s="33"/>
      <c r="E6611" s="33"/>
      <c r="F6611" s="33"/>
      <c r="G6611" s="33"/>
      <c r="H6611" s="33"/>
      <c r="I6611" s="33"/>
      <c r="J6611" s="33"/>
      <c r="K6611" s="33"/>
      <c r="L6611" s="33"/>
      <c r="M6611" s="33"/>
      <c r="N6611" s="33"/>
      <c r="O6611" s="33"/>
      <c r="P6611" s="33"/>
      <c r="Q6611" s="33"/>
      <c r="R6611" s="33"/>
      <c r="S6611" s="33"/>
      <c r="T6611" s="33"/>
      <c r="U6611" s="33"/>
      <c r="V6611" s="33"/>
      <c r="W6611" s="33"/>
      <c r="X6611" s="33"/>
      <c r="Y6611" s="33"/>
      <c r="Z6611" s="33"/>
      <c r="AA6611" s="33"/>
      <c r="AB6611" s="33"/>
      <c r="AC6611" s="33"/>
      <c r="AD6611" s="33"/>
      <c r="AE6611" s="33"/>
      <c r="AF6611" s="33"/>
      <c r="AG6611" s="33"/>
      <c r="AH6611" s="33"/>
      <c r="AI6611" s="33"/>
      <c r="AJ6611" s="33"/>
      <c r="AK6611" s="33"/>
    </row>
    <row r="6612">
      <c r="A6612" s="33"/>
      <c r="B6612" s="33"/>
      <c r="C6612" s="33"/>
      <c r="D6612" s="33"/>
      <c r="E6612" s="33"/>
      <c r="F6612" s="33"/>
      <c r="G6612" s="33"/>
      <c r="H6612" s="33"/>
      <c r="I6612" s="33"/>
      <c r="J6612" s="33"/>
      <c r="K6612" s="33"/>
      <c r="L6612" s="33"/>
      <c r="M6612" s="33"/>
      <c r="N6612" s="33"/>
      <c r="O6612" s="33"/>
      <c r="P6612" s="33"/>
      <c r="Q6612" s="33"/>
      <c r="R6612" s="33"/>
      <c r="S6612" s="33"/>
      <c r="T6612" s="33"/>
      <c r="U6612" s="33"/>
      <c r="V6612" s="33"/>
      <c r="W6612" s="33"/>
      <c r="X6612" s="33"/>
      <c r="Y6612" s="33"/>
      <c r="Z6612" s="33"/>
      <c r="AA6612" s="33"/>
      <c r="AB6612" s="33"/>
      <c r="AC6612" s="33"/>
      <c r="AD6612" s="33"/>
      <c r="AE6612" s="33"/>
      <c r="AF6612" s="33"/>
      <c r="AG6612" s="33"/>
      <c r="AH6612" s="33"/>
      <c r="AI6612" s="33"/>
      <c r="AJ6612" s="33"/>
      <c r="AK6612" s="33"/>
    </row>
    <row r="6613">
      <c r="A6613" s="33"/>
      <c r="B6613" s="33"/>
      <c r="C6613" s="33"/>
      <c r="D6613" s="33"/>
      <c r="E6613" s="33"/>
      <c r="F6613" s="33"/>
      <c r="G6613" s="33"/>
      <c r="H6613" s="33"/>
      <c r="I6613" s="33"/>
      <c r="J6613" s="33"/>
      <c r="K6613" s="33"/>
      <c r="L6613" s="33"/>
      <c r="M6613" s="33"/>
      <c r="N6613" s="33"/>
      <c r="O6613" s="33"/>
      <c r="P6613" s="33"/>
      <c r="Q6613" s="33"/>
      <c r="R6613" s="33"/>
      <c r="S6613" s="33"/>
      <c r="T6613" s="33"/>
      <c r="U6613" s="33"/>
      <c r="V6613" s="33"/>
      <c r="W6613" s="33"/>
      <c r="X6613" s="33"/>
      <c r="Y6613" s="33"/>
      <c r="Z6613" s="33"/>
      <c r="AA6613" s="33"/>
      <c r="AB6613" s="33"/>
      <c r="AC6613" s="33"/>
      <c r="AD6613" s="33"/>
      <c r="AE6613" s="33"/>
      <c r="AF6613" s="33"/>
      <c r="AG6613" s="33"/>
      <c r="AH6613" s="33"/>
      <c r="AI6613" s="33"/>
      <c r="AJ6613" s="33"/>
      <c r="AK6613" s="33"/>
    </row>
    <row r="6614">
      <c r="A6614" s="33"/>
      <c r="B6614" s="33"/>
      <c r="C6614" s="33"/>
      <c r="D6614" s="33"/>
      <c r="E6614" s="33"/>
      <c r="F6614" s="33"/>
      <c r="G6614" s="33"/>
      <c r="H6614" s="33"/>
      <c r="I6614" s="33"/>
      <c r="J6614" s="33"/>
      <c r="K6614" s="33"/>
      <c r="L6614" s="33"/>
      <c r="M6614" s="33"/>
      <c r="N6614" s="33"/>
      <c r="O6614" s="33"/>
      <c r="P6614" s="33"/>
      <c r="Q6614" s="33"/>
      <c r="R6614" s="33"/>
      <c r="S6614" s="33"/>
      <c r="T6614" s="33"/>
      <c r="U6614" s="33"/>
      <c r="V6614" s="33"/>
      <c r="W6614" s="33"/>
      <c r="X6614" s="33"/>
      <c r="Y6614" s="33"/>
      <c r="Z6614" s="33"/>
      <c r="AA6614" s="33"/>
      <c r="AB6614" s="33"/>
      <c r="AC6614" s="33"/>
      <c r="AD6614" s="33"/>
      <c r="AE6614" s="33"/>
      <c r="AF6614" s="33"/>
      <c r="AG6614" s="33"/>
      <c r="AH6614" s="33"/>
      <c r="AI6614" s="33"/>
      <c r="AJ6614" s="33"/>
      <c r="AK6614" s="33"/>
    </row>
    <row r="6615">
      <c r="A6615" s="33"/>
      <c r="B6615" s="33"/>
      <c r="C6615" s="33"/>
      <c r="D6615" s="33"/>
      <c r="E6615" s="33"/>
      <c r="F6615" s="33"/>
      <c r="G6615" s="33"/>
      <c r="H6615" s="33"/>
      <c r="I6615" s="33"/>
      <c r="J6615" s="33"/>
      <c r="K6615" s="33"/>
      <c r="L6615" s="33"/>
      <c r="M6615" s="33"/>
      <c r="N6615" s="33"/>
      <c r="O6615" s="33"/>
      <c r="P6615" s="33"/>
      <c r="Q6615" s="33"/>
      <c r="R6615" s="33"/>
      <c r="S6615" s="33"/>
      <c r="T6615" s="33"/>
      <c r="U6615" s="33"/>
      <c r="V6615" s="33"/>
      <c r="W6615" s="33"/>
      <c r="X6615" s="33"/>
      <c r="Y6615" s="33"/>
      <c r="Z6615" s="33"/>
      <c r="AA6615" s="33"/>
      <c r="AB6615" s="33"/>
      <c r="AC6615" s="33"/>
      <c r="AD6615" s="33"/>
      <c r="AE6615" s="33"/>
      <c r="AF6615" s="33"/>
      <c r="AG6615" s="33"/>
      <c r="AH6615" s="33"/>
      <c r="AI6615" s="33"/>
      <c r="AJ6615" s="33"/>
      <c r="AK6615" s="33"/>
    </row>
    <row r="6616">
      <c r="A6616" s="33"/>
      <c r="B6616" s="33"/>
      <c r="C6616" s="33"/>
      <c r="D6616" s="33"/>
      <c r="E6616" s="33"/>
      <c r="F6616" s="33"/>
      <c r="G6616" s="33"/>
      <c r="H6616" s="33"/>
      <c r="I6616" s="33"/>
      <c r="J6616" s="33"/>
      <c r="K6616" s="33"/>
      <c r="L6616" s="33"/>
      <c r="M6616" s="33"/>
      <c r="N6616" s="33"/>
      <c r="O6616" s="33"/>
      <c r="P6616" s="33"/>
      <c r="Q6616" s="33"/>
      <c r="R6616" s="33"/>
      <c r="S6616" s="33"/>
      <c r="T6616" s="33"/>
      <c r="U6616" s="33"/>
      <c r="V6616" s="33"/>
      <c r="W6616" s="33"/>
      <c r="X6616" s="33"/>
      <c r="Y6616" s="33"/>
      <c r="Z6616" s="33"/>
      <c r="AA6616" s="33"/>
      <c r="AB6616" s="33"/>
      <c r="AC6616" s="33"/>
      <c r="AD6616" s="33"/>
      <c r="AE6616" s="33"/>
      <c r="AF6616" s="33"/>
      <c r="AG6616" s="33"/>
      <c r="AH6616" s="33"/>
      <c r="AI6616" s="33"/>
      <c r="AJ6616" s="33"/>
      <c r="AK6616" s="33"/>
    </row>
    <row r="6617">
      <c r="A6617" s="33"/>
      <c r="B6617" s="33"/>
      <c r="C6617" s="33"/>
      <c r="D6617" s="33"/>
      <c r="E6617" s="33"/>
      <c r="F6617" s="33"/>
      <c r="G6617" s="33"/>
      <c r="H6617" s="33"/>
      <c r="I6617" s="33"/>
      <c r="J6617" s="33"/>
      <c r="K6617" s="33"/>
      <c r="L6617" s="33"/>
      <c r="M6617" s="33"/>
      <c r="N6617" s="33"/>
      <c r="O6617" s="33"/>
      <c r="P6617" s="33"/>
      <c r="Q6617" s="33"/>
      <c r="R6617" s="33"/>
      <c r="S6617" s="33"/>
      <c r="T6617" s="33"/>
      <c r="U6617" s="33"/>
      <c r="V6617" s="33"/>
      <c r="W6617" s="33"/>
      <c r="X6617" s="33"/>
      <c r="Y6617" s="33"/>
      <c r="Z6617" s="33"/>
      <c r="AA6617" s="33"/>
      <c r="AB6617" s="33"/>
      <c r="AC6617" s="33"/>
      <c r="AD6617" s="33"/>
      <c r="AE6617" s="33"/>
      <c r="AF6617" s="33"/>
      <c r="AG6617" s="33"/>
      <c r="AH6617" s="33"/>
      <c r="AI6617" s="33"/>
      <c r="AJ6617" s="33"/>
      <c r="AK6617" s="33"/>
    </row>
    <row r="6618">
      <c r="A6618" s="33"/>
      <c r="B6618" s="33"/>
      <c r="C6618" s="33"/>
      <c r="D6618" s="33"/>
      <c r="E6618" s="33"/>
      <c r="F6618" s="33"/>
      <c r="G6618" s="33"/>
      <c r="H6618" s="33"/>
      <c r="I6618" s="33"/>
      <c r="J6618" s="33"/>
      <c r="K6618" s="33"/>
      <c r="L6618" s="33"/>
      <c r="M6618" s="33"/>
      <c r="N6618" s="33"/>
      <c r="O6618" s="33"/>
      <c r="P6618" s="33"/>
      <c r="Q6618" s="33"/>
      <c r="R6618" s="33"/>
      <c r="S6618" s="33"/>
      <c r="T6618" s="33"/>
      <c r="U6618" s="33"/>
      <c r="V6618" s="33"/>
      <c r="W6618" s="33"/>
      <c r="X6618" s="33"/>
      <c r="Y6618" s="33"/>
      <c r="Z6618" s="33"/>
      <c r="AA6618" s="33"/>
      <c r="AB6618" s="33"/>
      <c r="AC6618" s="33"/>
      <c r="AD6618" s="33"/>
      <c r="AE6618" s="33"/>
      <c r="AF6618" s="33"/>
      <c r="AG6618" s="33"/>
      <c r="AH6618" s="33"/>
      <c r="AI6618" s="33"/>
      <c r="AJ6618" s="33"/>
      <c r="AK6618" s="33"/>
    </row>
    <row r="6619">
      <c r="A6619" s="33"/>
      <c r="B6619" s="33"/>
      <c r="C6619" s="33"/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33"/>
      <c r="Q6619" s="33"/>
      <c r="R6619" s="33"/>
      <c r="S6619" s="33"/>
      <c r="T6619" s="33"/>
      <c r="U6619" s="33"/>
      <c r="V6619" s="33"/>
      <c r="W6619" s="33"/>
      <c r="X6619" s="33"/>
      <c r="Y6619" s="33"/>
      <c r="Z6619" s="33"/>
      <c r="AA6619" s="33"/>
      <c r="AB6619" s="33"/>
      <c r="AC6619" s="33"/>
      <c r="AD6619" s="33"/>
      <c r="AE6619" s="33"/>
      <c r="AF6619" s="33"/>
      <c r="AG6619" s="33"/>
      <c r="AH6619" s="33"/>
      <c r="AI6619" s="33"/>
      <c r="AJ6619" s="33"/>
      <c r="AK6619" s="33"/>
    </row>
    <row r="6620">
      <c r="A6620" s="33"/>
      <c r="B6620" s="33"/>
      <c r="C6620" s="33"/>
      <c r="D6620" s="33"/>
      <c r="E6620" s="33"/>
      <c r="F6620" s="33"/>
      <c r="G6620" s="33"/>
      <c r="H6620" s="33"/>
      <c r="I6620" s="33"/>
      <c r="J6620" s="33"/>
      <c r="K6620" s="33"/>
      <c r="L6620" s="33"/>
      <c r="M6620" s="33"/>
      <c r="N6620" s="33"/>
      <c r="O6620" s="33"/>
      <c r="P6620" s="33"/>
      <c r="Q6620" s="33"/>
      <c r="R6620" s="33"/>
      <c r="S6620" s="33"/>
      <c r="T6620" s="33"/>
      <c r="U6620" s="33"/>
      <c r="V6620" s="33"/>
      <c r="W6620" s="33"/>
      <c r="X6620" s="33"/>
      <c r="Y6620" s="33"/>
      <c r="Z6620" s="33"/>
      <c r="AA6620" s="33"/>
      <c r="AB6620" s="33"/>
      <c r="AC6620" s="33"/>
      <c r="AD6620" s="33"/>
      <c r="AE6620" s="33"/>
      <c r="AF6620" s="33"/>
      <c r="AG6620" s="33"/>
      <c r="AH6620" s="33"/>
      <c r="AI6620" s="33"/>
      <c r="AJ6620" s="33"/>
      <c r="AK6620" s="33"/>
    </row>
    <row r="6621">
      <c r="A6621" s="33"/>
      <c r="B6621" s="33"/>
      <c r="C6621" s="33"/>
      <c r="D6621" s="33"/>
      <c r="E6621" s="33"/>
      <c r="F6621" s="33"/>
      <c r="G6621" s="33"/>
      <c r="H6621" s="33"/>
      <c r="I6621" s="33"/>
      <c r="J6621" s="33"/>
      <c r="K6621" s="33"/>
      <c r="L6621" s="33"/>
      <c r="M6621" s="33"/>
      <c r="N6621" s="33"/>
      <c r="O6621" s="33"/>
      <c r="P6621" s="33"/>
      <c r="Q6621" s="33"/>
      <c r="R6621" s="33"/>
      <c r="S6621" s="33"/>
      <c r="T6621" s="33"/>
      <c r="U6621" s="33"/>
      <c r="V6621" s="33"/>
      <c r="W6621" s="33"/>
      <c r="X6621" s="33"/>
      <c r="Y6621" s="33"/>
      <c r="Z6621" s="33"/>
      <c r="AA6621" s="33"/>
      <c r="AB6621" s="33"/>
      <c r="AC6621" s="33"/>
      <c r="AD6621" s="33"/>
      <c r="AE6621" s="33"/>
      <c r="AF6621" s="33"/>
      <c r="AG6621" s="33"/>
      <c r="AH6621" s="33"/>
      <c r="AI6621" s="33"/>
      <c r="AJ6621" s="33"/>
      <c r="AK6621" s="33"/>
    </row>
    <row r="6622">
      <c r="A6622" s="33"/>
      <c r="B6622" s="33"/>
      <c r="C6622" s="33"/>
      <c r="D6622" s="33"/>
      <c r="E6622" s="33"/>
      <c r="F6622" s="33"/>
      <c r="G6622" s="33"/>
      <c r="H6622" s="33"/>
      <c r="I6622" s="33"/>
      <c r="J6622" s="33"/>
      <c r="K6622" s="33"/>
      <c r="L6622" s="33"/>
      <c r="M6622" s="33"/>
      <c r="N6622" s="33"/>
      <c r="O6622" s="33"/>
      <c r="P6622" s="33"/>
      <c r="Q6622" s="33"/>
      <c r="R6622" s="33"/>
      <c r="S6622" s="33"/>
      <c r="T6622" s="33"/>
      <c r="U6622" s="33"/>
      <c r="V6622" s="33"/>
      <c r="W6622" s="33"/>
      <c r="X6622" s="33"/>
      <c r="Y6622" s="33"/>
      <c r="Z6622" s="33"/>
      <c r="AA6622" s="33"/>
      <c r="AB6622" s="33"/>
      <c r="AC6622" s="33"/>
      <c r="AD6622" s="33"/>
      <c r="AE6622" s="33"/>
      <c r="AF6622" s="33"/>
      <c r="AG6622" s="33"/>
      <c r="AH6622" s="33"/>
      <c r="AI6622" s="33"/>
      <c r="AJ6622" s="33"/>
      <c r="AK6622" s="33"/>
    </row>
    <row r="6623">
      <c r="A6623" s="33"/>
      <c r="B6623" s="33"/>
      <c r="C6623" s="33"/>
      <c r="D6623" s="33"/>
      <c r="E6623" s="33"/>
      <c r="F6623" s="33"/>
      <c r="G6623" s="33"/>
      <c r="H6623" s="33"/>
      <c r="I6623" s="33"/>
      <c r="J6623" s="33"/>
      <c r="K6623" s="33"/>
      <c r="L6623" s="33"/>
      <c r="M6623" s="33"/>
      <c r="N6623" s="33"/>
      <c r="O6623" s="33"/>
      <c r="P6623" s="33"/>
      <c r="Q6623" s="33"/>
      <c r="R6623" s="33"/>
      <c r="S6623" s="33"/>
      <c r="T6623" s="33"/>
      <c r="U6623" s="33"/>
      <c r="V6623" s="33"/>
      <c r="W6623" s="33"/>
      <c r="X6623" s="33"/>
      <c r="Y6623" s="33"/>
      <c r="Z6623" s="33"/>
      <c r="AA6623" s="33"/>
      <c r="AB6623" s="33"/>
      <c r="AC6623" s="33"/>
      <c r="AD6623" s="33"/>
      <c r="AE6623" s="33"/>
      <c r="AF6623" s="33"/>
      <c r="AG6623" s="33"/>
      <c r="AH6623" s="33"/>
      <c r="AI6623" s="33"/>
      <c r="AJ6623" s="33"/>
      <c r="AK6623" s="33"/>
    </row>
    <row r="6624">
      <c r="A6624" s="33"/>
      <c r="B6624" s="33"/>
      <c r="C6624" s="33"/>
      <c r="D6624" s="33"/>
      <c r="E6624" s="33"/>
      <c r="F6624" s="33"/>
      <c r="G6624" s="33"/>
      <c r="H6624" s="33"/>
      <c r="I6624" s="33"/>
      <c r="J6624" s="33"/>
      <c r="K6624" s="33"/>
      <c r="L6624" s="33"/>
      <c r="M6624" s="33"/>
      <c r="N6624" s="33"/>
      <c r="O6624" s="33"/>
      <c r="P6624" s="33"/>
      <c r="Q6624" s="33"/>
      <c r="R6624" s="33"/>
      <c r="S6624" s="33"/>
      <c r="T6624" s="33"/>
      <c r="U6624" s="33"/>
      <c r="V6624" s="33"/>
      <c r="W6624" s="33"/>
      <c r="X6624" s="33"/>
      <c r="Y6624" s="33"/>
      <c r="Z6624" s="33"/>
      <c r="AA6624" s="33"/>
      <c r="AB6624" s="33"/>
      <c r="AC6624" s="33"/>
      <c r="AD6624" s="33"/>
      <c r="AE6624" s="33"/>
      <c r="AF6624" s="33"/>
      <c r="AG6624" s="33"/>
      <c r="AH6624" s="33"/>
      <c r="AI6624" s="33"/>
      <c r="AJ6624" s="33"/>
      <c r="AK6624" s="33"/>
    </row>
    <row r="6625">
      <c r="A6625" s="33"/>
      <c r="B6625" s="33"/>
      <c r="C6625" s="33"/>
      <c r="D6625" s="33"/>
      <c r="E6625" s="33"/>
      <c r="F6625" s="33"/>
      <c r="G6625" s="33"/>
      <c r="H6625" s="33"/>
      <c r="I6625" s="33"/>
      <c r="J6625" s="33"/>
      <c r="K6625" s="33"/>
      <c r="L6625" s="33"/>
      <c r="M6625" s="33"/>
      <c r="N6625" s="33"/>
      <c r="O6625" s="33"/>
      <c r="P6625" s="33"/>
      <c r="Q6625" s="33"/>
      <c r="R6625" s="33"/>
      <c r="S6625" s="33"/>
      <c r="T6625" s="33"/>
      <c r="U6625" s="33"/>
      <c r="V6625" s="33"/>
      <c r="W6625" s="33"/>
      <c r="X6625" s="33"/>
      <c r="Y6625" s="33"/>
      <c r="Z6625" s="33"/>
      <c r="AA6625" s="33"/>
      <c r="AB6625" s="33"/>
      <c r="AC6625" s="33"/>
      <c r="AD6625" s="33"/>
      <c r="AE6625" s="33"/>
      <c r="AF6625" s="33"/>
      <c r="AG6625" s="33"/>
      <c r="AH6625" s="33"/>
      <c r="AI6625" s="33"/>
      <c r="AJ6625" s="33"/>
      <c r="AK6625" s="33"/>
    </row>
    <row r="6626">
      <c r="A6626" s="33"/>
      <c r="B6626" s="33"/>
      <c r="C6626" s="33"/>
      <c r="D6626" s="33"/>
      <c r="E6626" s="33"/>
      <c r="F6626" s="33"/>
      <c r="G6626" s="33"/>
      <c r="H6626" s="33"/>
      <c r="I6626" s="33"/>
      <c r="J6626" s="33"/>
      <c r="K6626" s="33"/>
      <c r="L6626" s="33"/>
      <c r="M6626" s="33"/>
      <c r="N6626" s="33"/>
      <c r="O6626" s="33"/>
      <c r="P6626" s="33"/>
      <c r="Q6626" s="33"/>
      <c r="R6626" s="33"/>
      <c r="S6626" s="33"/>
      <c r="T6626" s="33"/>
      <c r="U6626" s="33"/>
      <c r="V6626" s="33"/>
      <c r="W6626" s="33"/>
      <c r="X6626" s="33"/>
      <c r="Y6626" s="33"/>
      <c r="Z6626" s="33"/>
      <c r="AA6626" s="33"/>
      <c r="AB6626" s="33"/>
      <c r="AC6626" s="33"/>
      <c r="AD6626" s="33"/>
      <c r="AE6626" s="33"/>
      <c r="AF6626" s="33"/>
      <c r="AG6626" s="33"/>
      <c r="AH6626" s="33"/>
      <c r="AI6626" s="33"/>
      <c r="AJ6626" s="33"/>
      <c r="AK6626" s="33"/>
    </row>
    <row r="6627">
      <c r="A6627" s="33"/>
      <c r="B6627" s="33"/>
      <c r="C6627" s="33"/>
      <c r="D6627" s="33"/>
      <c r="E6627" s="33"/>
      <c r="F6627" s="33"/>
      <c r="G6627" s="33"/>
      <c r="H6627" s="33"/>
      <c r="I6627" s="33"/>
      <c r="J6627" s="33"/>
      <c r="K6627" s="33"/>
      <c r="L6627" s="33"/>
      <c r="M6627" s="33"/>
      <c r="N6627" s="33"/>
      <c r="O6627" s="33"/>
      <c r="P6627" s="33"/>
      <c r="Q6627" s="33"/>
      <c r="R6627" s="33"/>
      <c r="S6627" s="33"/>
      <c r="T6627" s="33"/>
      <c r="U6627" s="33"/>
      <c r="V6627" s="33"/>
      <c r="W6627" s="33"/>
      <c r="X6627" s="33"/>
      <c r="Y6627" s="33"/>
      <c r="Z6627" s="33"/>
      <c r="AA6627" s="33"/>
      <c r="AB6627" s="33"/>
      <c r="AC6627" s="33"/>
      <c r="AD6627" s="33"/>
      <c r="AE6627" s="33"/>
      <c r="AF6627" s="33"/>
      <c r="AG6627" s="33"/>
      <c r="AH6627" s="33"/>
      <c r="AI6627" s="33"/>
      <c r="AJ6627" s="33"/>
      <c r="AK6627" s="33"/>
    </row>
    <row r="6628">
      <c r="A6628" s="33"/>
      <c r="B6628" s="33"/>
      <c r="C6628" s="33"/>
      <c r="D6628" s="33"/>
      <c r="E6628" s="33"/>
      <c r="F6628" s="33"/>
      <c r="G6628" s="33"/>
      <c r="H6628" s="33"/>
      <c r="I6628" s="33"/>
      <c r="J6628" s="33"/>
      <c r="K6628" s="33"/>
      <c r="L6628" s="33"/>
      <c r="M6628" s="33"/>
      <c r="N6628" s="33"/>
      <c r="O6628" s="33"/>
      <c r="P6628" s="33"/>
      <c r="Q6628" s="33"/>
      <c r="R6628" s="33"/>
      <c r="S6628" s="33"/>
      <c r="T6628" s="33"/>
      <c r="U6628" s="33"/>
      <c r="V6628" s="33"/>
      <c r="W6628" s="33"/>
      <c r="X6628" s="33"/>
      <c r="Y6628" s="33"/>
      <c r="Z6628" s="33"/>
      <c r="AA6628" s="33"/>
      <c r="AB6628" s="33"/>
      <c r="AC6628" s="33"/>
      <c r="AD6628" s="33"/>
      <c r="AE6628" s="33"/>
      <c r="AF6628" s="33"/>
      <c r="AG6628" s="33"/>
      <c r="AH6628" s="33"/>
      <c r="AI6628" s="33"/>
      <c r="AJ6628" s="33"/>
      <c r="AK6628" s="33"/>
    </row>
    <row r="6629">
      <c r="A6629" s="33"/>
      <c r="B6629" s="33"/>
      <c r="C6629" s="33"/>
      <c r="D6629" s="33"/>
      <c r="E6629" s="33"/>
      <c r="F6629" s="33"/>
      <c r="G6629" s="33"/>
      <c r="H6629" s="33"/>
      <c r="I6629" s="33"/>
      <c r="J6629" s="33"/>
      <c r="K6629" s="33"/>
      <c r="L6629" s="33"/>
      <c r="M6629" s="33"/>
      <c r="N6629" s="33"/>
      <c r="O6629" s="33"/>
      <c r="P6629" s="33"/>
      <c r="Q6629" s="33"/>
      <c r="R6629" s="33"/>
      <c r="S6629" s="33"/>
      <c r="T6629" s="33"/>
      <c r="U6629" s="33"/>
      <c r="V6629" s="33"/>
      <c r="W6629" s="33"/>
      <c r="X6629" s="33"/>
      <c r="Y6629" s="33"/>
      <c r="Z6629" s="33"/>
      <c r="AA6629" s="33"/>
      <c r="AB6629" s="33"/>
      <c r="AC6629" s="33"/>
      <c r="AD6629" s="33"/>
      <c r="AE6629" s="33"/>
      <c r="AF6629" s="33"/>
      <c r="AG6629" s="33"/>
      <c r="AH6629" s="33"/>
      <c r="AI6629" s="33"/>
      <c r="AJ6629" s="33"/>
      <c r="AK6629" s="33"/>
    </row>
    <row r="6630">
      <c r="A6630" s="33"/>
      <c r="B6630" s="33"/>
      <c r="C6630" s="33"/>
      <c r="D6630" s="33"/>
      <c r="E6630" s="33"/>
      <c r="F6630" s="33"/>
      <c r="G6630" s="33"/>
      <c r="H6630" s="33"/>
      <c r="I6630" s="33"/>
      <c r="J6630" s="33"/>
      <c r="K6630" s="33"/>
      <c r="L6630" s="33"/>
      <c r="M6630" s="33"/>
      <c r="N6630" s="33"/>
      <c r="O6630" s="33"/>
      <c r="P6630" s="33"/>
      <c r="Q6630" s="33"/>
      <c r="R6630" s="33"/>
      <c r="S6630" s="33"/>
      <c r="T6630" s="33"/>
      <c r="U6630" s="33"/>
      <c r="V6630" s="33"/>
      <c r="W6630" s="33"/>
      <c r="X6630" s="33"/>
      <c r="Y6630" s="33"/>
      <c r="Z6630" s="33"/>
      <c r="AA6630" s="33"/>
      <c r="AB6630" s="33"/>
      <c r="AC6630" s="33"/>
      <c r="AD6630" s="33"/>
      <c r="AE6630" s="33"/>
      <c r="AF6630" s="33"/>
      <c r="AG6630" s="33"/>
      <c r="AH6630" s="33"/>
      <c r="AI6630" s="33"/>
      <c r="AJ6630" s="33"/>
      <c r="AK6630" s="33"/>
    </row>
    <row r="6631">
      <c r="A6631" s="33"/>
      <c r="B6631" s="33"/>
      <c r="C6631" s="33"/>
      <c r="D6631" s="33"/>
      <c r="E6631" s="33"/>
      <c r="F6631" s="33"/>
      <c r="G6631" s="33"/>
      <c r="H6631" s="33"/>
      <c r="I6631" s="33"/>
      <c r="J6631" s="33"/>
      <c r="K6631" s="33"/>
      <c r="L6631" s="33"/>
      <c r="M6631" s="33"/>
      <c r="N6631" s="33"/>
      <c r="O6631" s="33"/>
      <c r="P6631" s="33"/>
      <c r="Q6631" s="33"/>
      <c r="R6631" s="33"/>
      <c r="S6631" s="33"/>
      <c r="T6631" s="33"/>
      <c r="U6631" s="33"/>
      <c r="V6631" s="33"/>
      <c r="W6631" s="33"/>
      <c r="X6631" s="33"/>
      <c r="Y6631" s="33"/>
      <c r="Z6631" s="33"/>
      <c r="AA6631" s="33"/>
      <c r="AB6631" s="33"/>
      <c r="AC6631" s="33"/>
      <c r="AD6631" s="33"/>
      <c r="AE6631" s="33"/>
      <c r="AF6631" s="33"/>
      <c r="AG6631" s="33"/>
      <c r="AH6631" s="33"/>
      <c r="AI6631" s="33"/>
      <c r="AJ6631" s="33"/>
      <c r="AK6631" s="33"/>
    </row>
    <row r="6632">
      <c r="A6632" s="33"/>
      <c r="B6632" s="33"/>
      <c r="C6632" s="33"/>
      <c r="D6632" s="33"/>
      <c r="E6632" s="33"/>
      <c r="F6632" s="33"/>
      <c r="G6632" s="33"/>
      <c r="H6632" s="33"/>
      <c r="I6632" s="33"/>
      <c r="J6632" s="33"/>
      <c r="K6632" s="33"/>
      <c r="L6632" s="33"/>
      <c r="M6632" s="33"/>
      <c r="N6632" s="33"/>
      <c r="O6632" s="33"/>
      <c r="P6632" s="33"/>
      <c r="Q6632" s="33"/>
      <c r="R6632" s="33"/>
      <c r="S6632" s="33"/>
      <c r="T6632" s="33"/>
      <c r="U6632" s="33"/>
      <c r="V6632" s="33"/>
      <c r="W6632" s="33"/>
      <c r="X6632" s="33"/>
      <c r="Y6632" s="33"/>
      <c r="Z6632" s="33"/>
      <c r="AA6632" s="33"/>
      <c r="AB6632" s="33"/>
      <c r="AC6632" s="33"/>
      <c r="AD6632" s="33"/>
      <c r="AE6632" s="33"/>
      <c r="AF6632" s="33"/>
      <c r="AG6632" s="33"/>
      <c r="AH6632" s="33"/>
      <c r="AI6632" s="33"/>
      <c r="AJ6632" s="33"/>
      <c r="AK6632" s="33"/>
    </row>
    <row r="6633">
      <c r="A6633" s="33"/>
      <c r="B6633" s="33"/>
      <c r="C6633" s="33"/>
      <c r="D6633" s="33"/>
      <c r="E6633" s="33"/>
      <c r="F6633" s="33"/>
      <c r="G6633" s="33"/>
      <c r="H6633" s="33"/>
      <c r="I6633" s="33"/>
      <c r="J6633" s="33"/>
      <c r="K6633" s="33"/>
      <c r="L6633" s="33"/>
      <c r="M6633" s="33"/>
      <c r="N6633" s="33"/>
      <c r="O6633" s="33"/>
      <c r="P6633" s="33"/>
      <c r="Q6633" s="33"/>
      <c r="R6633" s="33"/>
      <c r="S6633" s="33"/>
      <c r="T6633" s="33"/>
      <c r="U6633" s="33"/>
      <c r="V6633" s="33"/>
      <c r="W6633" s="33"/>
      <c r="X6633" s="33"/>
      <c r="Y6633" s="33"/>
      <c r="Z6633" s="33"/>
      <c r="AA6633" s="33"/>
      <c r="AB6633" s="33"/>
      <c r="AC6633" s="33"/>
      <c r="AD6633" s="33"/>
      <c r="AE6633" s="33"/>
      <c r="AF6633" s="33"/>
      <c r="AG6633" s="33"/>
      <c r="AH6633" s="33"/>
      <c r="AI6633" s="33"/>
      <c r="AJ6633" s="33"/>
      <c r="AK6633" s="33"/>
    </row>
    <row r="6634">
      <c r="A6634" s="33"/>
      <c r="B6634" s="33"/>
      <c r="C6634" s="33"/>
      <c r="D6634" s="33"/>
      <c r="E6634" s="33"/>
      <c r="F6634" s="33"/>
      <c r="G6634" s="33"/>
      <c r="H6634" s="33"/>
      <c r="I6634" s="33"/>
      <c r="J6634" s="33"/>
      <c r="K6634" s="33"/>
      <c r="L6634" s="33"/>
      <c r="M6634" s="33"/>
      <c r="N6634" s="33"/>
      <c r="O6634" s="33"/>
      <c r="P6634" s="33"/>
      <c r="Q6634" s="33"/>
      <c r="R6634" s="33"/>
      <c r="S6634" s="33"/>
      <c r="T6634" s="33"/>
      <c r="U6634" s="33"/>
      <c r="V6634" s="33"/>
      <c r="W6634" s="33"/>
      <c r="X6634" s="33"/>
      <c r="Y6634" s="33"/>
      <c r="Z6634" s="33"/>
      <c r="AA6634" s="33"/>
      <c r="AB6634" s="33"/>
      <c r="AC6634" s="33"/>
      <c r="AD6634" s="33"/>
      <c r="AE6634" s="33"/>
      <c r="AF6634" s="33"/>
      <c r="AG6634" s="33"/>
      <c r="AH6634" s="33"/>
      <c r="AI6634" s="33"/>
      <c r="AJ6634" s="33"/>
      <c r="AK6634" s="33"/>
    </row>
    <row r="6635">
      <c r="A6635" s="33"/>
      <c r="B6635" s="33"/>
      <c r="C6635" s="33"/>
      <c r="D6635" s="33"/>
      <c r="E6635" s="33"/>
      <c r="F6635" s="33"/>
      <c r="G6635" s="33"/>
      <c r="H6635" s="33"/>
      <c r="I6635" s="33"/>
      <c r="J6635" s="33"/>
      <c r="K6635" s="33"/>
      <c r="L6635" s="33"/>
      <c r="M6635" s="33"/>
      <c r="N6635" s="33"/>
      <c r="O6635" s="33"/>
      <c r="P6635" s="33"/>
      <c r="Q6635" s="33"/>
      <c r="R6635" s="33"/>
      <c r="S6635" s="33"/>
      <c r="T6635" s="33"/>
      <c r="U6635" s="33"/>
      <c r="V6635" s="33"/>
      <c r="W6635" s="33"/>
      <c r="X6635" s="33"/>
      <c r="Y6635" s="33"/>
      <c r="Z6635" s="33"/>
      <c r="AA6635" s="33"/>
      <c r="AB6635" s="33"/>
      <c r="AC6635" s="33"/>
      <c r="AD6635" s="33"/>
      <c r="AE6635" s="33"/>
      <c r="AF6635" s="33"/>
      <c r="AG6635" s="33"/>
      <c r="AH6635" s="33"/>
      <c r="AI6635" s="33"/>
      <c r="AJ6635" s="33"/>
      <c r="AK6635" s="33"/>
    </row>
    <row r="6636">
      <c r="A6636" s="33"/>
      <c r="B6636" s="33"/>
      <c r="C6636" s="33"/>
      <c r="D6636" s="33"/>
      <c r="E6636" s="33"/>
      <c r="F6636" s="33"/>
      <c r="G6636" s="33"/>
      <c r="H6636" s="33"/>
      <c r="I6636" s="33"/>
      <c r="J6636" s="33"/>
      <c r="K6636" s="33"/>
      <c r="L6636" s="33"/>
      <c r="M6636" s="33"/>
      <c r="N6636" s="33"/>
      <c r="O6636" s="33"/>
      <c r="P6636" s="33"/>
      <c r="Q6636" s="33"/>
      <c r="R6636" s="33"/>
      <c r="S6636" s="33"/>
      <c r="T6636" s="33"/>
      <c r="U6636" s="33"/>
      <c r="V6636" s="33"/>
      <c r="W6636" s="33"/>
      <c r="X6636" s="33"/>
      <c r="Y6636" s="33"/>
      <c r="Z6636" s="33"/>
      <c r="AA6636" s="33"/>
      <c r="AB6636" s="33"/>
      <c r="AC6636" s="33"/>
      <c r="AD6636" s="33"/>
      <c r="AE6636" s="33"/>
      <c r="AF6636" s="33"/>
      <c r="AG6636" s="33"/>
      <c r="AH6636" s="33"/>
      <c r="AI6636" s="33"/>
      <c r="AJ6636" s="33"/>
      <c r="AK6636" s="33"/>
    </row>
    <row r="6637">
      <c r="A6637" s="33"/>
      <c r="B6637" s="33"/>
      <c r="C6637" s="33"/>
      <c r="D6637" s="33"/>
      <c r="E6637" s="33"/>
      <c r="F6637" s="33"/>
      <c r="G6637" s="33"/>
      <c r="H6637" s="33"/>
      <c r="I6637" s="33"/>
      <c r="J6637" s="33"/>
      <c r="K6637" s="33"/>
      <c r="L6637" s="33"/>
      <c r="M6637" s="33"/>
      <c r="N6637" s="33"/>
      <c r="O6637" s="33"/>
      <c r="P6637" s="33"/>
      <c r="Q6637" s="33"/>
      <c r="R6637" s="33"/>
      <c r="S6637" s="33"/>
      <c r="T6637" s="33"/>
      <c r="U6637" s="33"/>
      <c r="V6637" s="33"/>
      <c r="W6637" s="33"/>
      <c r="X6637" s="33"/>
      <c r="Y6637" s="33"/>
      <c r="Z6637" s="33"/>
      <c r="AA6637" s="33"/>
      <c r="AB6637" s="33"/>
      <c r="AC6637" s="33"/>
      <c r="AD6637" s="33"/>
      <c r="AE6637" s="33"/>
      <c r="AF6637" s="33"/>
      <c r="AG6637" s="33"/>
      <c r="AH6637" s="33"/>
      <c r="AI6637" s="33"/>
      <c r="AJ6637" s="33"/>
      <c r="AK6637" s="33"/>
    </row>
    <row r="6638">
      <c r="A6638" s="33"/>
      <c r="B6638" s="33"/>
      <c r="C6638" s="33"/>
      <c r="D6638" s="33"/>
      <c r="E6638" s="33"/>
      <c r="F6638" s="33"/>
      <c r="G6638" s="33"/>
      <c r="H6638" s="33"/>
      <c r="I6638" s="33"/>
      <c r="J6638" s="33"/>
      <c r="K6638" s="33"/>
      <c r="L6638" s="33"/>
      <c r="M6638" s="33"/>
      <c r="N6638" s="33"/>
      <c r="O6638" s="33"/>
      <c r="P6638" s="33"/>
      <c r="Q6638" s="33"/>
      <c r="R6638" s="33"/>
      <c r="S6638" s="33"/>
      <c r="T6638" s="33"/>
      <c r="U6638" s="33"/>
      <c r="V6638" s="33"/>
      <c r="W6638" s="33"/>
      <c r="X6638" s="33"/>
      <c r="Y6638" s="33"/>
      <c r="Z6638" s="33"/>
      <c r="AA6638" s="33"/>
      <c r="AB6638" s="33"/>
      <c r="AC6638" s="33"/>
      <c r="AD6638" s="33"/>
      <c r="AE6638" s="33"/>
      <c r="AF6638" s="33"/>
      <c r="AG6638" s="33"/>
      <c r="AH6638" s="33"/>
      <c r="AI6638" s="33"/>
      <c r="AJ6638" s="33"/>
      <c r="AK6638" s="33"/>
    </row>
    <row r="6639">
      <c r="A6639" s="33"/>
      <c r="B6639" s="33"/>
      <c r="C6639" s="33"/>
      <c r="D6639" s="33"/>
      <c r="E6639" s="33"/>
      <c r="F6639" s="33"/>
      <c r="G6639" s="33"/>
      <c r="H6639" s="33"/>
      <c r="I6639" s="33"/>
      <c r="J6639" s="33"/>
      <c r="K6639" s="33"/>
      <c r="L6639" s="33"/>
      <c r="M6639" s="33"/>
      <c r="N6639" s="33"/>
      <c r="O6639" s="33"/>
      <c r="P6639" s="33"/>
      <c r="Q6639" s="33"/>
      <c r="R6639" s="33"/>
      <c r="S6639" s="33"/>
      <c r="T6639" s="33"/>
      <c r="U6639" s="33"/>
      <c r="V6639" s="33"/>
      <c r="W6639" s="33"/>
      <c r="X6639" s="33"/>
      <c r="Y6639" s="33"/>
      <c r="Z6639" s="33"/>
      <c r="AA6639" s="33"/>
      <c r="AB6639" s="33"/>
      <c r="AC6639" s="33"/>
      <c r="AD6639" s="33"/>
      <c r="AE6639" s="33"/>
      <c r="AF6639" s="33"/>
      <c r="AG6639" s="33"/>
      <c r="AH6639" s="33"/>
      <c r="AI6639" s="33"/>
      <c r="AJ6639" s="33"/>
      <c r="AK6639" s="33"/>
    </row>
    <row r="6640">
      <c r="A6640" s="33"/>
      <c r="B6640" s="33"/>
      <c r="C6640" s="33"/>
      <c r="D6640" s="33"/>
      <c r="E6640" s="33"/>
      <c r="F6640" s="33"/>
      <c r="G6640" s="33"/>
      <c r="H6640" s="33"/>
      <c r="I6640" s="33"/>
      <c r="J6640" s="33"/>
      <c r="K6640" s="33"/>
      <c r="L6640" s="33"/>
      <c r="M6640" s="33"/>
      <c r="N6640" s="33"/>
      <c r="O6640" s="33"/>
      <c r="P6640" s="33"/>
      <c r="Q6640" s="33"/>
      <c r="R6640" s="33"/>
      <c r="S6640" s="33"/>
      <c r="T6640" s="33"/>
      <c r="U6640" s="33"/>
      <c r="V6640" s="33"/>
      <c r="W6640" s="33"/>
      <c r="X6640" s="33"/>
      <c r="Y6640" s="33"/>
      <c r="Z6640" s="33"/>
      <c r="AA6640" s="33"/>
      <c r="AB6640" s="33"/>
      <c r="AC6640" s="33"/>
      <c r="AD6640" s="33"/>
      <c r="AE6640" s="33"/>
      <c r="AF6640" s="33"/>
      <c r="AG6640" s="33"/>
      <c r="AH6640" s="33"/>
      <c r="AI6640" s="33"/>
      <c r="AJ6640" s="33"/>
      <c r="AK6640" s="33"/>
    </row>
    <row r="6641">
      <c r="A6641" s="33"/>
      <c r="B6641" s="33"/>
      <c r="C6641" s="33"/>
      <c r="D6641" s="33"/>
      <c r="E6641" s="33"/>
      <c r="F6641" s="33"/>
      <c r="G6641" s="33"/>
      <c r="H6641" s="33"/>
      <c r="I6641" s="33"/>
      <c r="J6641" s="33"/>
      <c r="K6641" s="33"/>
      <c r="L6641" s="33"/>
      <c r="M6641" s="33"/>
      <c r="N6641" s="33"/>
      <c r="O6641" s="33"/>
      <c r="P6641" s="33"/>
      <c r="Q6641" s="33"/>
      <c r="R6641" s="33"/>
      <c r="S6641" s="33"/>
      <c r="T6641" s="33"/>
      <c r="U6641" s="33"/>
      <c r="V6641" s="33"/>
      <c r="W6641" s="33"/>
      <c r="X6641" s="33"/>
      <c r="Y6641" s="33"/>
      <c r="Z6641" s="33"/>
      <c r="AA6641" s="33"/>
      <c r="AB6641" s="33"/>
      <c r="AC6641" s="33"/>
      <c r="AD6641" s="33"/>
      <c r="AE6641" s="33"/>
      <c r="AF6641" s="33"/>
      <c r="AG6641" s="33"/>
      <c r="AH6641" s="33"/>
      <c r="AI6641" s="33"/>
      <c r="AJ6641" s="33"/>
      <c r="AK6641" s="33"/>
    </row>
    <row r="6642">
      <c r="A6642" s="33"/>
      <c r="B6642" s="33"/>
      <c r="C6642" s="33"/>
      <c r="D6642" s="33"/>
      <c r="E6642" s="33"/>
      <c r="F6642" s="33"/>
      <c r="G6642" s="33"/>
      <c r="H6642" s="33"/>
      <c r="I6642" s="33"/>
      <c r="J6642" s="33"/>
      <c r="K6642" s="33"/>
      <c r="L6642" s="33"/>
      <c r="M6642" s="33"/>
      <c r="N6642" s="33"/>
      <c r="O6642" s="33"/>
      <c r="P6642" s="33"/>
      <c r="Q6642" s="33"/>
      <c r="R6642" s="33"/>
      <c r="S6642" s="33"/>
      <c r="T6642" s="33"/>
      <c r="U6642" s="33"/>
      <c r="V6642" s="33"/>
      <c r="W6642" s="33"/>
      <c r="X6642" s="33"/>
      <c r="Y6642" s="33"/>
      <c r="Z6642" s="33"/>
      <c r="AA6642" s="33"/>
      <c r="AB6642" s="33"/>
      <c r="AC6642" s="33"/>
      <c r="AD6642" s="33"/>
      <c r="AE6642" s="33"/>
      <c r="AF6642" s="33"/>
      <c r="AG6642" s="33"/>
      <c r="AH6642" s="33"/>
      <c r="AI6642" s="33"/>
      <c r="AJ6642" s="33"/>
      <c r="AK6642" s="33"/>
    </row>
    <row r="6643">
      <c r="A6643" s="33"/>
      <c r="B6643" s="33"/>
      <c r="C6643" s="33"/>
      <c r="D6643" s="33"/>
      <c r="E6643" s="33"/>
      <c r="F6643" s="33"/>
      <c r="G6643" s="33"/>
      <c r="H6643" s="33"/>
      <c r="I6643" s="33"/>
      <c r="J6643" s="33"/>
      <c r="K6643" s="33"/>
      <c r="L6643" s="33"/>
      <c r="M6643" s="33"/>
      <c r="N6643" s="33"/>
      <c r="O6643" s="33"/>
      <c r="P6643" s="33"/>
      <c r="Q6643" s="33"/>
      <c r="R6643" s="33"/>
      <c r="S6643" s="33"/>
      <c r="T6643" s="33"/>
      <c r="U6643" s="33"/>
      <c r="V6643" s="33"/>
      <c r="W6643" s="33"/>
      <c r="X6643" s="33"/>
      <c r="Y6643" s="33"/>
      <c r="Z6643" s="33"/>
      <c r="AA6643" s="33"/>
      <c r="AB6643" s="33"/>
      <c r="AC6643" s="33"/>
      <c r="AD6643" s="33"/>
      <c r="AE6643" s="33"/>
      <c r="AF6643" s="33"/>
      <c r="AG6643" s="33"/>
      <c r="AH6643" s="33"/>
      <c r="AI6643" s="33"/>
      <c r="AJ6643" s="33"/>
      <c r="AK6643" s="33"/>
    </row>
    <row r="6644">
      <c r="A6644" s="33"/>
      <c r="B6644" s="33"/>
      <c r="C6644" s="33"/>
      <c r="D6644" s="33"/>
      <c r="E6644" s="33"/>
      <c r="F6644" s="33"/>
      <c r="G6644" s="33"/>
      <c r="H6644" s="33"/>
      <c r="I6644" s="33"/>
      <c r="J6644" s="33"/>
      <c r="K6644" s="33"/>
      <c r="L6644" s="33"/>
      <c r="M6644" s="33"/>
      <c r="N6644" s="33"/>
      <c r="O6644" s="33"/>
      <c r="P6644" s="33"/>
      <c r="Q6644" s="33"/>
      <c r="R6644" s="33"/>
      <c r="S6644" s="33"/>
      <c r="T6644" s="33"/>
      <c r="U6644" s="33"/>
      <c r="V6644" s="33"/>
      <c r="W6644" s="33"/>
      <c r="X6644" s="33"/>
      <c r="Y6644" s="33"/>
      <c r="Z6644" s="33"/>
      <c r="AA6644" s="33"/>
      <c r="AB6644" s="33"/>
      <c r="AC6644" s="33"/>
      <c r="AD6644" s="33"/>
      <c r="AE6644" s="33"/>
      <c r="AF6644" s="33"/>
      <c r="AG6644" s="33"/>
      <c r="AH6644" s="33"/>
      <c r="AI6644" s="33"/>
      <c r="AJ6644" s="33"/>
      <c r="AK6644" s="33"/>
    </row>
    <row r="6645">
      <c r="A6645" s="33"/>
      <c r="B6645" s="33"/>
      <c r="C6645" s="33"/>
      <c r="D6645" s="33"/>
      <c r="E6645" s="33"/>
      <c r="F6645" s="33"/>
      <c r="G6645" s="33"/>
      <c r="H6645" s="33"/>
      <c r="I6645" s="33"/>
      <c r="J6645" s="33"/>
      <c r="K6645" s="33"/>
      <c r="L6645" s="33"/>
      <c r="M6645" s="33"/>
      <c r="N6645" s="33"/>
      <c r="O6645" s="33"/>
      <c r="P6645" s="33"/>
      <c r="Q6645" s="33"/>
      <c r="R6645" s="33"/>
      <c r="S6645" s="33"/>
      <c r="T6645" s="33"/>
      <c r="U6645" s="33"/>
      <c r="V6645" s="33"/>
      <c r="W6645" s="33"/>
      <c r="X6645" s="33"/>
      <c r="Y6645" s="33"/>
      <c r="Z6645" s="33"/>
      <c r="AA6645" s="33"/>
      <c r="AB6645" s="33"/>
      <c r="AC6645" s="33"/>
      <c r="AD6645" s="33"/>
      <c r="AE6645" s="33"/>
      <c r="AF6645" s="33"/>
      <c r="AG6645" s="33"/>
      <c r="AH6645" s="33"/>
      <c r="AI6645" s="33"/>
      <c r="AJ6645" s="33"/>
      <c r="AK6645" s="33"/>
    </row>
    <row r="6646">
      <c r="A6646" s="33"/>
      <c r="B6646" s="33"/>
      <c r="C6646" s="33"/>
      <c r="D6646" s="33"/>
      <c r="E6646" s="33"/>
      <c r="F6646" s="33"/>
      <c r="G6646" s="33"/>
      <c r="H6646" s="33"/>
      <c r="I6646" s="33"/>
      <c r="J6646" s="33"/>
      <c r="K6646" s="33"/>
      <c r="L6646" s="33"/>
      <c r="M6646" s="33"/>
      <c r="N6646" s="33"/>
      <c r="O6646" s="33"/>
      <c r="P6646" s="33"/>
      <c r="Q6646" s="33"/>
      <c r="R6646" s="33"/>
      <c r="S6646" s="33"/>
      <c r="T6646" s="33"/>
      <c r="U6646" s="33"/>
      <c r="V6646" s="33"/>
      <c r="W6646" s="33"/>
      <c r="X6646" s="33"/>
      <c r="Y6646" s="33"/>
      <c r="Z6646" s="33"/>
      <c r="AA6646" s="33"/>
      <c r="AB6646" s="33"/>
      <c r="AC6646" s="33"/>
      <c r="AD6646" s="33"/>
      <c r="AE6646" s="33"/>
      <c r="AF6646" s="33"/>
      <c r="AG6646" s="33"/>
      <c r="AH6646" s="33"/>
      <c r="AI6646" s="33"/>
      <c r="AJ6646" s="33"/>
      <c r="AK6646" s="33"/>
    </row>
    <row r="6647">
      <c r="A6647" s="33"/>
      <c r="B6647" s="33"/>
      <c r="C6647" s="33"/>
      <c r="D6647" s="33"/>
      <c r="E6647" s="33"/>
      <c r="F6647" s="33"/>
      <c r="G6647" s="33"/>
      <c r="H6647" s="33"/>
      <c r="I6647" s="33"/>
      <c r="J6647" s="33"/>
      <c r="K6647" s="33"/>
      <c r="L6647" s="33"/>
      <c r="M6647" s="33"/>
      <c r="N6647" s="33"/>
      <c r="O6647" s="33"/>
      <c r="P6647" s="33"/>
      <c r="Q6647" s="33"/>
      <c r="R6647" s="33"/>
      <c r="S6647" s="33"/>
      <c r="T6647" s="33"/>
      <c r="U6647" s="33"/>
      <c r="V6647" s="33"/>
      <c r="W6647" s="33"/>
      <c r="X6647" s="33"/>
      <c r="Y6647" s="33"/>
      <c r="Z6647" s="33"/>
      <c r="AA6647" s="33"/>
      <c r="AB6647" s="33"/>
      <c r="AC6647" s="33"/>
      <c r="AD6647" s="33"/>
      <c r="AE6647" s="33"/>
      <c r="AF6647" s="33"/>
      <c r="AG6647" s="33"/>
      <c r="AH6647" s="33"/>
      <c r="AI6647" s="33"/>
      <c r="AJ6647" s="33"/>
      <c r="AK6647" s="33"/>
    </row>
    <row r="6648">
      <c r="A6648" s="33"/>
      <c r="B6648" s="33"/>
      <c r="C6648" s="33"/>
      <c r="D6648" s="33"/>
      <c r="E6648" s="33"/>
      <c r="F6648" s="33"/>
      <c r="G6648" s="33"/>
      <c r="H6648" s="33"/>
      <c r="I6648" s="33"/>
      <c r="J6648" s="33"/>
      <c r="K6648" s="33"/>
      <c r="L6648" s="33"/>
      <c r="M6648" s="33"/>
      <c r="N6648" s="33"/>
      <c r="O6648" s="33"/>
      <c r="P6648" s="33"/>
      <c r="Q6648" s="33"/>
      <c r="R6648" s="33"/>
      <c r="S6648" s="33"/>
      <c r="T6648" s="33"/>
      <c r="U6648" s="33"/>
      <c r="V6648" s="33"/>
      <c r="W6648" s="33"/>
      <c r="X6648" s="33"/>
      <c r="Y6648" s="33"/>
      <c r="Z6648" s="33"/>
      <c r="AA6648" s="33"/>
      <c r="AB6648" s="33"/>
      <c r="AC6648" s="33"/>
      <c r="AD6648" s="33"/>
      <c r="AE6648" s="33"/>
      <c r="AF6648" s="33"/>
      <c r="AG6648" s="33"/>
      <c r="AH6648" s="33"/>
      <c r="AI6648" s="33"/>
      <c r="AJ6648" s="33"/>
      <c r="AK6648" s="33"/>
    </row>
    <row r="6649">
      <c r="A6649" s="33"/>
      <c r="B6649" s="33"/>
      <c r="C6649" s="33"/>
      <c r="D6649" s="33"/>
      <c r="E6649" s="33"/>
      <c r="F6649" s="33"/>
      <c r="G6649" s="33"/>
      <c r="H6649" s="33"/>
      <c r="I6649" s="33"/>
      <c r="J6649" s="33"/>
      <c r="K6649" s="33"/>
      <c r="L6649" s="33"/>
      <c r="M6649" s="33"/>
      <c r="N6649" s="33"/>
      <c r="O6649" s="33"/>
      <c r="P6649" s="33"/>
      <c r="Q6649" s="33"/>
      <c r="R6649" s="33"/>
      <c r="S6649" s="33"/>
      <c r="T6649" s="33"/>
      <c r="U6649" s="33"/>
      <c r="V6649" s="33"/>
      <c r="W6649" s="33"/>
      <c r="X6649" s="33"/>
      <c r="Y6649" s="33"/>
      <c r="Z6649" s="33"/>
      <c r="AA6649" s="33"/>
      <c r="AB6649" s="33"/>
      <c r="AC6649" s="33"/>
      <c r="AD6649" s="33"/>
      <c r="AE6649" s="33"/>
      <c r="AF6649" s="33"/>
      <c r="AG6649" s="33"/>
      <c r="AH6649" s="33"/>
      <c r="AI6649" s="33"/>
      <c r="AJ6649" s="33"/>
      <c r="AK6649" s="33"/>
    </row>
    <row r="6650">
      <c r="A6650" s="33"/>
      <c r="B6650" s="33"/>
      <c r="C6650" s="33"/>
      <c r="D6650" s="33"/>
      <c r="E6650" s="33"/>
      <c r="F6650" s="33"/>
      <c r="G6650" s="33"/>
      <c r="H6650" s="33"/>
      <c r="I6650" s="33"/>
      <c r="J6650" s="33"/>
      <c r="K6650" s="33"/>
      <c r="L6650" s="33"/>
      <c r="M6650" s="33"/>
      <c r="N6650" s="33"/>
      <c r="O6650" s="33"/>
      <c r="P6650" s="33"/>
      <c r="Q6650" s="33"/>
      <c r="R6650" s="33"/>
      <c r="S6650" s="33"/>
      <c r="T6650" s="33"/>
      <c r="U6650" s="33"/>
      <c r="V6650" s="33"/>
      <c r="W6650" s="33"/>
      <c r="X6650" s="33"/>
      <c r="Y6650" s="33"/>
      <c r="Z6650" s="33"/>
      <c r="AA6650" s="33"/>
      <c r="AB6650" s="33"/>
      <c r="AC6650" s="33"/>
      <c r="AD6650" s="33"/>
      <c r="AE6650" s="33"/>
      <c r="AF6650" s="33"/>
      <c r="AG6650" s="33"/>
      <c r="AH6650" s="33"/>
      <c r="AI6650" s="33"/>
      <c r="AJ6650" s="33"/>
      <c r="AK6650" s="33"/>
    </row>
    <row r="6651">
      <c r="A6651" s="33"/>
      <c r="B6651" s="33"/>
      <c r="C6651" s="33"/>
      <c r="D6651" s="33"/>
      <c r="E6651" s="33"/>
      <c r="F6651" s="33"/>
      <c r="G6651" s="33"/>
      <c r="H6651" s="33"/>
      <c r="I6651" s="33"/>
      <c r="J6651" s="33"/>
      <c r="K6651" s="33"/>
      <c r="L6651" s="33"/>
      <c r="M6651" s="33"/>
      <c r="N6651" s="33"/>
      <c r="O6651" s="33"/>
      <c r="P6651" s="33"/>
      <c r="Q6651" s="33"/>
      <c r="R6651" s="33"/>
      <c r="S6651" s="33"/>
      <c r="T6651" s="33"/>
      <c r="U6651" s="33"/>
      <c r="V6651" s="33"/>
      <c r="W6651" s="33"/>
      <c r="X6651" s="33"/>
      <c r="Y6651" s="33"/>
      <c r="Z6651" s="33"/>
      <c r="AA6651" s="33"/>
      <c r="AB6651" s="33"/>
      <c r="AC6651" s="33"/>
      <c r="AD6651" s="33"/>
      <c r="AE6651" s="33"/>
      <c r="AF6651" s="33"/>
      <c r="AG6651" s="33"/>
      <c r="AH6651" s="33"/>
      <c r="AI6651" s="33"/>
      <c r="AJ6651" s="33"/>
      <c r="AK6651" s="33"/>
    </row>
    <row r="6652">
      <c r="A6652" s="33"/>
      <c r="B6652" s="33"/>
      <c r="C6652" s="33"/>
      <c r="D6652" s="33"/>
      <c r="E6652" s="33"/>
      <c r="F6652" s="33"/>
      <c r="G6652" s="33"/>
      <c r="H6652" s="33"/>
      <c r="I6652" s="33"/>
      <c r="J6652" s="33"/>
      <c r="K6652" s="33"/>
      <c r="L6652" s="33"/>
      <c r="M6652" s="33"/>
      <c r="N6652" s="33"/>
      <c r="O6652" s="33"/>
      <c r="P6652" s="33"/>
      <c r="Q6652" s="33"/>
      <c r="R6652" s="33"/>
      <c r="S6652" s="33"/>
      <c r="T6652" s="33"/>
      <c r="U6652" s="33"/>
      <c r="V6652" s="33"/>
      <c r="W6652" s="33"/>
      <c r="X6652" s="33"/>
      <c r="Y6652" s="33"/>
      <c r="Z6652" s="33"/>
      <c r="AA6652" s="33"/>
      <c r="AB6652" s="33"/>
      <c r="AC6652" s="33"/>
      <c r="AD6652" s="33"/>
      <c r="AE6652" s="33"/>
      <c r="AF6652" s="33"/>
      <c r="AG6652" s="33"/>
      <c r="AH6652" s="33"/>
      <c r="AI6652" s="33"/>
      <c r="AJ6652" s="33"/>
      <c r="AK6652" s="33"/>
    </row>
    <row r="6653">
      <c r="A6653" s="33"/>
      <c r="B6653" s="33"/>
      <c r="C6653" s="33"/>
      <c r="D6653" s="33"/>
      <c r="E6653" s="33"/>
      <c r="F6653" s="33"/>
      <c r="G6653" s="33"/>
      <c r="H6653" s="33"/>
      <c r="I6653" s="33"/>
      <c r="J6653" s="33"/>
      <c r="K6653" s="33"/>
      <c r="L6653" s="33"/>
      <c r="M6653" s="33"/>
      <c r="N6653" s="33"/>
      <c r="O6653" s="33"/>
      <c r="P6653" s="33"/>
      <c r="Q6653" s="33"/>
      <c r="R6653" s="33"/>
      <c r="S6653" s="33"/>
      <c r="T6653" s="33"/>
      <c r="U6653" s="33"/>
      <c r="V6653" s="33"/>
      <c r="W6653" s="33"/>
      <c r="X6653" s="33"/>
      <c r="Y6653" s="33"/>
      <c r="Z6653" s="33"/>
      <c r="AA6653" s="33"/>
      <c r="AB6653" s="33"/>
      <c r="AC6653" s="33"/>
      <c r="AD6653" s="33"/>
      <c r="AE6653" s="33"/>
      <c r="AF6653" s="33"/>
      <c r="AG6653" s="33"/>
      <c r="AH6653" s="33"/>
      <c r="AI6653" s="33"/>
      <c r="AJ6653" s="33"/>
      <c r="AK6653" s="33"/>
    </row>
    <row r="6654">
      <c r="A6654" s="33"/>
      <c r="B6654" s="33"/>
      <c r="C6654" s="33"/>
      <c r="D6654" s="33"/>
      <c r="E6654" s="33"/>
      <c r="F6654" s="33"/>
      <c r="G6654" s="33"/>
      <c r="H6654" s="33"/>
      <c r="I6654" s="33"/>
      <c r="J6654" s="33"/>
      <c r="K6654" s="33"/>
      <c r="L6654" s="33"/>
      <c r="M6654" s="33"/>
      <c r="N6654" s="33"/>
      <c r="O6654" s="33"/>
      <c r="P6654" s="33"/>
      <c r="Q6654" s="33"/>
      <c r="R6654" s="33"/>
      <c r="S6654" s="33"/>
      <c r="T6654" s="33"/>
      <c r="U6654" s="33"/>
      <c r="V6654" s="33"/>
      <c r="W6654" s="33"/>
      <c r="X6654" s="33"/>
      <c r="Y6654" s="33"/>
      <c r="Z6654" s="33"/>
      <c r="AA6654" s="33"/>
      <c r="AB6654" s="33"/>
      <c r="AC6654" s="33"/>
      <c r="AD6654" s="33"/>
      <c r="AE6654" s="33"/>
      <c r="AF6654" s="33"/>
      <c r="AG6654" s="33"/>
      <c r="AH6654" s="33"/>
      <c r="AI6654" s="33"/>
      <c r="AJ6654" s="33"/>
      <c r="AK6654" s="33"/>
    </row>
    <row r="6655">
      <c r="A6655" s="33"/>
      <c r="B6655" s="33"/>
      <c r="C6655" s="33"/>
      <c r="D6655" s="33"/>
      <c r="E6655" s="33"/>
      <c r="F6655" s="33"/>
      <c r="G6655" s="33"/>
      <c r="H6655" s="33"/>
      <c r="I6655" s="33"/>
      <c r="J6655" s="33"/>
      <c r="K6655" s="33"/>
      <c r="L6655" s="33"/>
      <c r="M6655" s="33"/>
      <c r="N6655" s="33"/>
      <c r="O6655" s="33"/>
      <c r="P6655" s="33"/>
      <c r="Q6655" s="33"/>
      <c r="R6655" s="33"/>
      <c r="S6655" s="33"/>
      <c r="T6655" s="33"/>
      <c r="U6655" s="33"/>
      <c r="V6655" s="33"/>
      <c r="W6655" s="33"/>
      <c r="X6655" s="33"/>
      <c r="Y6655" s="33"/>
      <c r="Z6655" s="33"/>
      <c r="AA6655" s="33"/>
      <c r="AB6655" s="33"/>
      <c r="AC6655" s="33"/>
      <c r="AD6655" s="33"/>
      <c r="AE6655" s="33"/>
      <c r="AF6655" s="33"/>
      <c r="AG6655" s="33"/>
      <c r="AH6655" s="33"/>
      <c r="AI6655" s="33"/>
      <c r="AJ6655" s="33"/>
      <c r="AK6655" s="33"/>
    </row>
    <row r="6656">
      <c r="A6656" s="33"/>
      <c r="B6656" s="33"/>
      <c r="C6656" s="33"/>
      <c r="D6656" s="33"/>
      <c r="E6656" s="33"/>
      <c r="F6656" s="33"/>
      <c r="G6656" s="33"/>
      <c r="H6656" s="33"/>
      <c r="I6656" s="33"/>
      <c r="J6656" s="33"/>
      <c r="K6656" s="33"/>
      <c r="L6656" s="33"/>
      <c r="M6656" s="33"/>
      <c r="N6656" s="33"/>
      <c r="O6656" s="33"/>
      <c r="P6656" s="33"/>
      <c r="Q6656" s="33"/>
      <c r="R6656" s="33"/>
      <c r="S6656" s="33"/>
      <c r="T6656" s="33"/>
      <c r="U6656" s="33"/>
      <c r="V6656" s="33"/>
      <c r="W6656" s="33"/>
      <c r="X6656" s="33"/>
      <c r="Y6656" s="33"/>
      <c r="Z6656" s="33"/>
      <c r="AA6656" s="33"/>
      <c r="AB6656" s="33"/>
      <c r="AC6656" s="33"/>
      <c r="AD6656" s="33"/>
      <c r="AE6656" s="33"/>
      <c r="AF6656" s="33"/>
      <c r="AG6656" s="33"/>
      <c r="AH6656" s="33"/>
      <c r="AI6656" s="33"/>
      <c r="AJ6656" s="33"/>
      <c r="AK6656" s="33"/>
    </row>
    <row r="6657">
      <c r="A6657" s="33"/>
      <c r="B6657" s="33"/>
      <c r="C6657" s="33"/>
      <c r="D6657" s="33"/>
      <c r="E6657" s="33"/>
      <c r="F6657" s="33"/>
      <c r="G6657" s="33"/>
      <c r="H6657" s="33"/>
      <c r="I6657" s="33"/>
      <c r="J6657" s="33"/>
      <c r="K6657" s="33"/>
      <c r="L6657" s="33"/>
      <c r="M6657" s="33"/>
      <c r="N6657" s="33"/>
      <c r="O6657" s="33"/>
      <c r="P6657" s="33"/>
      <c r="Q6657" s="33"/>
      <c r="R6657" s="33"/>
      <c r="S6657" s="33"/>
      <c r="T6657" s="33"/>
      <c r="U6657" s="33"/>
      <c r="V6657" s="33"/>
      <c r="W6657" s="33"/>
      <c r="X6657" s="33"/>
      <c r="Y6657" s="33"/>
      <c r="Z6657" s="33"/>
      <c r="AA6657" s="33"/>
      <c r="AB6657" s="33"/>
      <c r="AC6657" s="33"/>
      <c r="AD6657" s="33"/>
      <c r="AE6657" s="33"/>
      <c r="AF6657" s="33"/>
      <c r="AG6657" s="33"/>
      <c r="AH6657" s="33"/>
      <c r="AI6657" s="33"/>
      <c r="AJ6657" s="33"/>
      <c r="AK6657" s="33"/>
    </row>
    <row r="6658">
      <c r="A6658" s="33"/>
      <c r="B6658" s="33"/>
      <c r="C6658" s="33"/>
      <c r="D6658" s="33"/>
      <c r="E6658" s="33"/>
      <c r="F6658" s="33"/>
      <c r="G6658" s="33"/>
      <c r="H6658" s="33"/>
      <c r="I6658" s="33"/>
      <c r="J6658" s="33"/>
      <c r="K6658" s="33"/>
      <c r="L6658" s="33"/>
      <c r="M6658" s="33"/>
      <c r="N6658" s="33"/>
      <c r="O6658" s="33"/>
      <c r="P6658" s="33"/>
      <c r="Q6658" s="33"/>
      <c r="R6658" s="33"/>
      <c r="S6658" s="33"/>
      <c r="T6658" s="33"/>
      <c r="U6658" s="33"/>
      <c r="V6658" s="33"/>
      <c r="W6658" s="33"/>
      <c r="X6658" s="33"/>
      <c r="Y6658" s="33"/>
      <c r="Z6658" s="33"/>
      <c r="AA6658" s="33"/>
      <c r="AB6658" s="33"/>
      <c r="AC6658" s="33"/>
      <c r="AD6658" s="33"/>
      <c r="AE6658" s="33"/>
      <c r="AF6658" s="33"/>
      <c r="AG6658" s="33"/>
      <c r="AH6658" s="33"/>
      <c r="AI6658" s="33"/>
      <c r="AJ6658" s="33"/>
      <c r="AK6658" s="33"/>
    </row>
    <row r="6659">
      <c r="A6659" s="33"/>
      <c r="B6659" s="33"/>
      <c r="C6659" s="33"/>
      <c r="D6659" s="33"/>
      <c r="E6659" s="33"/>
      <c r="F6659" s="33"/>
      <c r="G6659" s="33"/>
      <c r="H6659" s="33"/>
      <c r="I6659" s="33"/>
      <c r="J6659" s="33"/>
      <c r="K6659" s="33"/>
      <c r="L6659" s="33"/>
      <c r="M6659" s="33"/>
      <c r="N6659" s="33"/>
      <c r="O6659" s="33"/>
      <c r="P6659" s="33"/>
      <c r="Q6659" s="33"/>
      <c r="R6659" s="33"/>
      <c r="S6659" s="33"/>
      <c r="T6659" s="33"/>
      <c r="U6659" s="33"/>
      <c r="V6659" s="33"/>
      <c r="W6659" s="33"/>
      <c r="X6659" s="33"/>
      <c r="Y6659" s="33"/>
      <c r="Z6659" s="33"/>
      <c r="AA6659" s="33"/>
      <c r="AB6659" s="33"/>
      <c r="AC6659" s="33"/>
      <c r="AD6659" s="33"/>
      <c r="AE6659" s="33"/>
      <c r="AF6659" s="33"/>
      <c r="AG6659" s="33"/>
      <c r="AH6659" s="33"/>
      <c r="AI6659" s="33"/>
      <c r="AJ6659" s="33"/>
      <c r="AK6659" s="33"/>
    </row>
    <row r="6660">
      <c r="A6660" s="33"/>
      <c r="B6660" s="33"/>
      <c r="C6660" s="33"/>
      <c r="D6660" s="33"/>
      <c r="E6660" s="33"/>
      <c r="F6660" s="33"/>
      <c r="G6660" s="33"/>
      <c r="H6660" s="33"/>
      <c r="I6660" s="33"/>
      <c r="J6660" s="33"/>
      <c r="K6660" s="33"/>
      <c r="L6660" s="33"/>
      <c r="M6660" s="33"/>
      <c r="N6660" s="33"/>
      <c r="O6660" s="33"/>
      <c r="P6660" s="33"/>
      <c r="Q6660" s="33"/>
      <c r="R6660" s="33"/>
      <c r="S6660" s="33"/>
      <c r="T6660" s="33"/>
      <c r="U6660" s="33"/>
      <c r="V6660" s="33"/>
      <c r="W6660" s="33"/>
      <c r="X6660" s="33"/>
      <c r="Y6660" s="33"/>
      <c r="Z6660" s="33"/>
      <c r="AA6660" s="33"/>
      <c r="AB6660" s="33"/>
      <c r="AC6660" s="33"/>
      <c r="AD6660" s="33"/>
      <c r="AE6660" s="33"/>
      <c r="AF6660" s="33"/>
      <c r="AG6660" s="33"/>
      <c r="AH6660" s="33"/>
      <c r="AI6660" s="33"/>
      <c r="AJ6660" s="33"/>
      <c r="AK6660" s="33"/>
    </row>
    <row r="6661">
      <c r="A6661" s="33"/>
      <c r="B6661" s="33"/>
      <c r="C6661" s="33"/>
      <c r="D6661" s="33"/>
      <c r="E6661" s="33"/>
      <c r="F6661" s="33"/>
      <c r="G6661" s="33"/>
      <c r="H6661" s="33"/>
      <c r="I6661" s="33"/>
      <c r="J6661" s="33"/>
      <c r="K6661" s="33"/>
      <c r="L6661" s="33"/>
      <c r="M6661" s="33"/>
      <c r="N6661" s="33"/>
      <c r="O6661" s="33"/>
      <c r="P6661" s="33"/>
      <c r="Q6661" s="33"/>
      <c r="R6661" s="33"/>
      <c r="S6661" s="33"/>
      <c r="T6661" s="33"/>
      <c r="U6661" s="33"/>
      <c r="V6661" s="33"/>
      <c r="W6661" s="33"/>
      <c r="X6661" s="33"/>
      <c r="Y6661" s="33"/>
      <c r="Z6661" s="33"/>
      <c r="AA6661" s="33"/>
      <c r="AB6661" s="33"/>
      <c r="AC6661" s="33"/>
      <c r="AD6661" s="33"/>
      <c r="AE6661" s="33"/>
      <c r="AF6661" s="33"/>
      <c r="AG6661" s="33"/>
      <c r="AH6661" s="33"/>
      <c r="AI6661" s="33"/>
      <c r="AJ6661" s="33"/>
      <c r="AK6661" s="33"/>
    </row>
    <row r="6662">
      <c r="A6662" s="33"/>
      <c r="B6662" s="33"/>
      <c r="C6662" s="33"/>
      <c r="D6662" s="33"/>
      <c r="E6662" s="33"/>
      <c r="F6662" s="33"/>
      <c r="G6662" s="33"/>
      <c r="H6662" s="33"/>
      <c r="I6662" s="33"/>
      <c r="J6662" s="33"/>
      <c r="K6662" s="33"/>
      <c r="L6662" s="33"/>
      <c r="M6662" s="33"/>
      <c r="N6662" s="33"/>
      <c r="O6662" s="33"/>
      <c r="P6662" s="33"/>
      <c r="Q6662" s="33"/>
      <c r="R6662" s="33"/>
      <c r="S6662" s="33"/>
      <c r="T6662" s="33"/>
      <c r="U6662" s="33"/>
      <c r="V6662" s="33"/>
      <c r="W6662" s="33"/>
      <c r="X6662" s="33"/>
      <c r="Y6662" s="33"/>
      <c r="Z6662" s="33"/>
      <c r="AA6662" s="33"/>
      <c r="AB6662" s="33"/>
      <c r="AC6662" s="33"/>
      <c r="AD6662" s="33"/>
      <c r="AE6662" s="33"/>
      <c r="AF6662" s="33"/>
      <c r="AG6662" s="33"/>
      <c r="AH6662" s="33"/>
      <c r="AI6662" s="33"/>
      <c r="AJ6662" s="33"/>
      <c r="AK6662" s="33"/>
    </row>
    <row r="6663">
      <c r="A6663" s="33"/>
      <c r="B6663" s="33"/>
      <c r="C6663" s="33"/>
      <c r="D6663" s="33"/>
      <c r="E6663" s="33"/>
      <c r="F6663" s="33"/>
      <c r="G6663" s="33"/>
      <c r="H6663" s="33"/>
      <c r="I6663" s="33"/>
      <c r="J6663" s="33"/>
      <c r="K6663" s="33"/>
      <c r="L6663" s="33"/>
      <c r="M6663" s="33"/>
      <c r="N6663" s="33"/>
      <c r="O6663" s="33"/>
      <c r="P6663" s="33"/>
      <c r="Q6663" s="33"/>
      <c r="R6663" s="33"/>
      <c r="S6663" s="33"/>
      <c r="T6663" s="33"/>
      <c r="U6663" s="33"/>
      <c r="V6663" s="33"/>
      <c r="W6663" s="33"/>
      <c r="X6663" s="33"/>
      <c r="Y6663" s="33"/>
      <c r="Z6663" s="33"/>
      <c r="AA6663" s="33"/>
      <c r="AB6663" s="33"/>
      <c r="AC6663" s="33"/>
      <c r="AD6663" s="33"/>
      <c r="AE6663" s="33"/>
      <c r="AF6663" s="33"/>
      <c r="AG6663" s="33"/>
      <c r="AH6663" s="33"/>
      <c r="AI6663" s="33"/>
      <c r="AJ6663" s="33"/>
      <c r="AK6663" s="33"/>
    </row>
    <row r="6664">
      <c r="A6664" s="33"/>
      <c r="B6664" s="33"/>
      <c r="C6664" s="33"/>
      <c r="D6664" s="33"/>
      <c r="E6664" s="33"/>
      <c r="F6664" s="33"/>
      <c r="G6664" s="33"/>
      <c r="H6664" s="33"/>
      <c r="I6664" s="33"/>
      <c r="J6664" s="33"/>
      <c r="K6664" s="33"/>
      <c r="L6664" s="33"/>
      <c r="M6664" s="33"/>
      <c r="N6664" s="33"/>
      <c r="O6664" s="33"/>
      <c r="P6664" s="33"/>
      <c r="Q6664" s="33"/>
      <c r="R6664" s="33"/>
      <c r="S6664" s="33"/>
      <c r="T6664" s="33"/>
      <c r="U6664" s="33"/>
      <c r="V6664" s="33"/>
      <c r="W6664" s="33"/>
      <c r="X6664" s="33"/>
      <c r="Y6664" s="33"/>
      <c r="Z6664" s="33"/>
      <c r="AA6664" s="33"/>
      <c r="AB6664" s="33"/>
      <c r="AC6664" s="33"/>
      <c r="AD6664" s="33"/>
      <c r="AE6664" s="33"/>
      <c r="AF6664" s="33"/>
      <c r="AG6664" s="33"/>
      <c r="AH6664" s="33"/>
      <c r="AI6664" s="33"/>
      <c r="AJ6664" s="33"/>
      <c r="AK6664" s="33"/>
    </row>
    <row r="6665">
      <c r="A6665" s="33"/>
      <c r="B6665" s="33"/>
      <c r="C6665" s="33"/>
      <c r="D6665" s="33"/>
      <c r="E6665" s="33"/>
      <c r="F6665" s="33"/>
      <c r="G6665" s="33"/>
      <c r="H6665" s="33"/>
      <c r="I6665" s="33"/>
      <c r="J6665" s="33"/>
      <c r="K6665" s="33"/>
      <c r="L6665" s="33"/>
      <c r="M6665" s="33"/>
      <c r="N6665" s="33"/>
      <c r="O6665" s="33"/>
      <c r="P6665" s="33"/>
      <c r="Q6665" s="33"/>
      <c r="R6665" s="33"/>
      <c r="S6665" s="33"/>
      <c r="T6665" s="33"/>
      <c r="U6665" s="33"/>
      <c r="V6665" s="33"/>
      <c r="W6665" s="33"/>
      <c r="X6665" s="33"/>
      <c r="Y6665" s="33"/>
      <c r="Z6665" s="33"/>
      <c r="AA6665" s="33"/>
      <c r="AB6665" s="33"/>
      <c r="AC6665" s="33"/>
      <c r="AD6665" s="33"/>
      <c r="AE6665" s="33"/>
      <c r="AF6665" s="33"/>
      <c r="AG6665" s="33"/>
      <c r="AH6665" s="33"/>
      <c r="AI6665" s="33"/>
      <c r="AJ6665" s="33"/>
      <c r="AK6665" s="33"/>
    </row>
    <row r="6666">
      <c r="A6666" s="33"/>
      <c r="B6666" s="33"/>
      <c r="C6666" s="33"/>
      <c r="D6666" s="33"/>
      <c r="E6666" s="33"/>
      <c r="F6666" s="33"/>
      <c r="G6666" s="33"/>
      <c r="H6666" s="33"/>
      <c r="I6666" s="33"/>
      <c r="J6666" s="33"/>
      <c r="K6666" s="33"/>
      <c r="L6666" s="33"/>
      <c r="M6666" s="33"/>
      <c r="N6666" s="33"/>
      <c r="O6666" s="33"/>
      <c r="P6666" s="33"/>
      <c r="Q6666" s="33"/>
      <c r="R6666" s="33"/>
      <c r="S6666" s="33"/>
      <c r="T6666" s="33"/>
      <c r="U6666" s="33"/>
      <c r="V6666" s="33"/>
      <c r="W6666" s="33"/>
      <c r="X6666" s="33"/>
      <c r="Y6666" s="33"/>
      <c r="Z6666" s="33"/>
      <c r="AA6666" s="33"/>
      <c r="AB6666" s="33"/>
      <c r="AC6666" s="33"/>
      <c r="AD6666" s="33"/>
      <c r="AE6666" s="33"/>
      <c r="AF6666" s="33"/>
      <c r="AG6666" s="33"/>
      <c r="AH6666" s="33"/>
      <c r="AI6666" s="33"/>
      <c r="AJ6666" s="33"/>
      <c r="AK6666" s="33"/>
    </row>
    <row r="6667">
      <c r="A6667" s="33"/>
      <c r="B6667" s="33"/>
      <c r="C6667" s="33"/>
      <c r="D6667" s="33"/>
      <c r="E6667" s="33"/>
      <c r="F6667" s="33"/>
      <c r="G6667" s="33"/>
      <c r="H6667" s="33"/>
      <c r="I6667" s="33"/>
      <c r="J6667" s="33"/>
      <c r="K6667" s="33"/>
      <c r="L6667" s="33"/>
      <c r="M6667" s="33"/>
      <c r="N6667" s="33"/>
      <c r="O6667" s="33"/>
      <c r="P6667" s="33"/>
      <c r="Q6667" s="33"/>
      <c r="R6667" s="33"/>
      <c r="S6667" s="33"/>
      <c r="T6667" s="33"/>
      <c r="U6667" s="33"/>
      <c r="V6667" s="33"/>
      <c r="W6667" s="33"/>
      <c r="X6667" s="33"/>
      <c r="Y6667" s="33"/>
      <c r="Z6667" s="33"/>
      <c r="AA6667" s="33"/>
      <c r="AB6667" s="33"/>
      <c r="AC6667" s="33"/>
      <c r="AD6667" s="33"/>
      <c r="AE6667" s="33"/>
      <c r="AF6667" s="33"/>
      <c r="AG6667" s="33"/>
      <c r="AH6667" s="33"/>
      <c r="AI6667" s="33"/>
      <c r="AJ6667" s="33"/>
      <c r="AK6667" s="33"/>
    </row>
    <row r="6668">
      <c r="A6668" s="33"/>
      <c r="B6668" s="33"/>
      <c r="C6668" s="33"/>
      <c r="D6668" s="33"/>
      <c r="E6668" s="33"/>
      <c r="F6668" s="33"/>
      <c r="G6668" s="33"/>
      <c r="H6668" s="33"/>
      <c r="I6668" s="33"/>
      <c r="J6668" s="33"/>
      <c r="K6668" s="33"/>
      <c r="L6668" s="33"/>
      <c r="M6668" s="33"/>
      <c r="N6668" s="33"/>
      <c r="O6668" s="33"/>
      <c r="P6668" s="33"/>
      <c r="Q6668" s="33"/>
      <c r="R6668" s="33"/>
      <c r="S6668" s="33"/>
      <c r="T6668" s="33"/>
      <c r="U6668" s="33"/>
      <c r="V6668" s="33"/>
      <c r="W6668" s="33"/>
      <c r="X6668" s="33"/>
      <c r="Y6668" s="33"/>
      <c r="Z6668" s="33"/>
      <c r="AA6668" s="33"/>
      <c r="AB6668" s="33"/>
      <c r="AC6668" s="33"/>
      <c r="AD6668" s="33"/>
      <c r="AE6668" s="33"/>
      <c r="AF6668" s="33"/>
      <c r="AG6668" s="33"/>
      <c r="AH6668" s="33"/>
      <c r="AI6668" s="33"/>
      <c r="AJ6668" s="33"/>
      <c r="AK6668" s="33"/>
    </row>
    <row r="6669">
      <c r="A6669" s="33"/>
      <c r="B6669" s="33"/>
      <c r="C6669" s="33"/>
      <c r="D6669" s="33"/>
      <c r="E6669" s="33"/>
      <c r="F6669" s="33"/>
      <c r="G6669" s="33"/>
      <c r="H6669" s="33"/>
      <c r="I6669" s="33"/>
      <c r="J6669" s="33"/>
      <c r="K6669" s="33"/>
      <c r="L6669" s="33"/>
      <c r="M6669" s="33"/>
      <c r="N6669" s="33"/>
      <c r="O6669" s="33"/>
      <c r="P6669" s="33"/>
      <c r="Q6669" s="33"/>
      <c r="R6669" s="33"/>
      <c r="S6669" s="33"/>
      <c r="T6669" s="33"/>
      <c r="U6669" s="33"/>
      <c r="V6669" s="33"/>
      <c r="W6669" s="33"/>
      <c r="X6669" s="33"/>
      <c r="Y6669" s="33"/>
      <c r="Z6669" s="33"/>
      <c r="AA6669" s="33"/>
      <c r="AB6669" s="33"/>
      <c r="AC6669" s="33"/>
      <c r="AD6669" s="33"/>
      <c r="AE6669" s="33"/>
      <c r="AF6669" s="33"/>
      <c r="AG6669" s="33"/>
      <c r="AH6669" s="33"/>
      <c r="AI6669" s="33"/>
      <c r="AJ6669" s="33"/>
      <c r="AK6669" s="33"/>
    </row>
    <row r="6670">
      <c r="A6670" s="33"/>
      <c r="B6670" s="33"/>
      <c r="C6670" s="33"/>
      <c r="D6670" s="33"/>
      <c r="E6670" s="33"/>
      <c r="F6670" s="33"/>
      <c r="G6670" s="33"/>
      <c r="H6670" s="33"/>
      <c r="I6670" s="33"/>
      <c r="J6670" s="33"/>
      <c r="K6670" s="33"/>
      <c r="L6670" s="33"/>
      <c r="M6670" s="33"/>
      <c r="N6670" s="33"/>
      <c r="O6670" s="33"/>
      <c r="P6670" s="33"/>
      <c r="Q6670" s="33"/>
      <c r="R6670" s="33"/>
      <c r="S6670" s="33"/>
      <c r="T6670" s="33"/>
      <c r="U6670" s="33"/>
      <c r="V6670" s="33"/>
      <c r="W6670" s="33"/>
      <c r="X6670" s="33"/>
      <c r="Y6670" s="33"/>
      <c r="Z6670" s="33"/>
      <c r="AA6670" s="33"/>
      <c r="AB6670" s="33"/>
      <c r="AC6670" s="33"/>
      <c r="AD6670" s="33"/>
      <c r="AE6670" s="33"/>
      <c r="AF6670" s="33"/>
      <c r="AG6670" s="33"/>
      <c r="AH6670" s="33"/>
      <c r="AI6670" s="33"/>
      <c r="AJ6670" s="33"/>
      <c r="AK6670" s="33"/>
    </row>
    <row r="6671">
      <c r="A6671" s="33"/>
      <c r="B6671" s="33"/>
      <c r="C6671" s="33"/>
      <c r="D6671" s="33"/>
      <c r="E6671" s="33"/>
      <c r="F6671" s="33"/>
      <c r="G6671" s="33"/>
      <c r="H6671" s="33"/>
      <c r="I6671" s="33"/>
      <c r="J6671" s="33"/>
      <c r="K6671" s="33"/>
      <c r="L6671" s="33"/>
      <c r="M6671" s="33"/>
      <c r="N6671" s="33"/>
      <c r="O6671" s="33"/>
      <c r="P6671" s="33"/>
      <c r="Q6671" s="33"/>
      <c r="R6671" s="33"/>
      <c r="S6671" s="33"/>
      <c r="T6671" s="33"/>
      <c r="U6671" s="33"/>
      <c r="V6671" s="33"/>
      <c r="W6671" s="33"/>
      <c r="X6671" s="33"/>
      <c r="Y6671" s="33"/>
      <c r="Z6671" s="33"/>
      <c r="AA6671" s="33"/>
      <c r="AB6671" s="33"/>
      <c r="AC6671" s="33"/>
      <c r="AD6671" s="33"/>
      <c r="AE6671" s="33"/>
      <c r="AF6671" s="33"/>
      <c r="AG6671" s="33"/>
      <c r="AH6671" s="33"/>
      <c r="AI6671" s="33"/>
      <c r="AJ6671" s="33"/>
      <c r="AK6671" s="33"/>
    </row>
    <row r="6672">
      <c r="A6672" s="33"/>
      <c r="B6672" s="33"/>
      <c r="C6672" s="33"/>
      <c r="D6672" s="33"/>
      <c r="E6672" s="33"/>
      <c r="F6672" s="33"/>
      <c r="G6672" s="33"/>
      <c r="H6672" s="33"/>
      <c r="I6672" s="33"/>
      <c r="J6672" s="33"/>
      <c r="K6672" s="33"/>
      <c r="L6672" s="33"/>
      <c r="M6672" s="33"/>
      <c r="N6672" s="33"/>
      <c r="O6672" s="33"/>
      <c r="P6672" s="33"/>
      <c r="Q6672" s="33"/>
      <c r="R6672" s="33"/>
      <c r="S6672" s="33"/>
      <c r="T6672" s="33"/>
      <c r="U6672" s="33"/>
      <c r="V6672" s="33"/>
      <c r="W6672" s="33"/>
      <c r="X6672" s="33"/>
      <c r="Y6672" s="33"/>
      <c r="Z6672" s="33"/>
      <c r="AA6672" s="33"/>
      <c r="AB6672" s="33"/>
      <c r="AC6672" s="33"/>
      <c r="AD6672" s="33"/>
      <c r="AE6672" s="33"/>
      <c r="AF6672" s="33"/>
      <c r="AG6672" s="33"/>
      <c r="AH6672" s="33"/>
      <c r="AI6672" s="33"/>
      <c r="AJ6672" s="33"/>
      <c r="AK6672" s="33"/>
    </row>
    <row r="6673">
      <c r="A6673" s="33"/>
      <c r="B6673" s="33"/>
      <c r="C6673" s="33"/>
      <c r="D6673" s="33"/>
      <c r="E6673" s="33"/>
      <c r="F6673" s="33"/>
      <c r="G6673" s="33"/>
      <c r="H6673" s="33"/>
      <c r="I6673" s="33"/>
      <c r="J6673" s="33"/>
      <c r="K6673" s="33"/>
      <c r="L6673" s="33"/>
      <c r="M6673" s="33"/>
      <c r="N6673" s="33"/>
      <c r="O6673" s="33"/>
      <c r="P6673" s="33"/>
      <c r="Q6673" s="33"/>
      <c r="R6673" s="33"/>
      <c r="S6673" s="33"/>
      <c r="T6673" s="33"/>
      <c r="U6673" s="33"/>
      <c r="V6673" s="33"/>
      <c r="W6673" s="33"/>
      <c r="X6673" s="33"/>
      <c r="Y6673" s="33"/>
      <c r="Z6673" s="33"/>
      <c r="AA6673" s="33"/>
      <c r="AB6673" s="33"/>
      <c r="AC6673" s="33"/>
      <c r="AD6673" s="33"/>
      <c r="AE6673" s="33"/>
      <c r="AF6673" s="33"/>
      <c r="AG6673" s="33"/>
      <c r="AH6673" s="33"/>
      <c r="AI6673" s="33"/>
      <c r="AJ6673" s="33"/>
      <c r="AK6673" s="33"/>
    </row>
    <row r="6674">
      <c r="A6674" s="33"/>
      <c r="B6674" s="33"/>
      <c r="C6674" s="33"/>
      <c r="D6674" s="33"/>
      <c r="E6674" s="33"/>
      <c r="F6674" s="33"/>
      <c r="G6674" s="33"/>
      <c r="H6674" s="33"/>
      <c r="I6674" s="33"/>
      <c r="J6674" s="33"/>
      <c r="K6674" s="33"/>
      <c r="L6674" s="33"/>
      <c r="M6674" s="33"/>
      <c r="N6674" s="33"/>
      <c r="O6674" s="33"/>
      <c r="P6674" s="33"/>
      <c r="Q6674" s="33"/>
      <c r="R6674" s="33"/>
      <c r="S6674" s="33"/>
      <c r="T6674" s="33"/>
      <c r="U6674" s="33"/>
      <c r="V6674" s="33"/>
      <c r="W6674" s="33"/>
      <c r="X6674" s="33"/>
      <c r="Y6674" s="33"/>
      <c r="Z6674" s="33"/>
      <c r="AA6674" s="33"/>
      <c r="AB6674" s="33"/>
      <c r="AC6674" s="33"/>
      <c r="AD6674" s="33"/>
      <c r="AE6674" s="33"/>
      <c r="AF6674" s="33"/>
      <c r="AG6674" s="33"/>
      <c r="AH6674" s="33"/>
      <c r="AI6674" s="33"/>
      <c r="AJ6674" s="33"/>
      <c r="AK6674" s="33"/>
    </row>
    <row r="6675">
      <c r="A6675" s="33"/>
      <c r="B6675" s="33"/>
      <c r="C6675" s="33"/>
      <c r="D6675" s="33"/>
      <c r="E6675" s="33"/>
      <c r="F6675" s="33"/>
      <c r="G6675" s="33"/>
      <c r="H6675" s="33"/>
      <c r="I6675" s="33"/>
      <c r="J6675" s="33"/>
      <c r="K6675" s="33"/>
      <c r="L6675" s="33"/>
      <c r="M6675" s="33"/>
      <c r="N6675" s="33"/>
      <c r="O6675" s="33"/>
      <c r="P6675" s="33"/>
      <c r="Q6675" s="33"/>
      <c r="R6675" s="33"/>
      <c r="S6675" s="33"/>
      <c r="T6675" s="33"/>
      <c r="U6675" s="33"/>
      <c r="V6675" s="33"/>
      <c r="W6675" s="33"/>
      <c r="X6675" s="33"/>
      <c r="Y6675" s="33"/>
      <c r="Z6675" s="33"/>
      <c r="AA6675" s="33"/>
      <c r="AB6675" s="33"/>
      <c r="AC6675" s="33"/>
      <c r="AD6675" s="33"/>
      <c r="AE6675" s="33"/>
      <c r="AF6675" s="33"/>
      <c r="AG6675" s="33"/>
      <c r="AH6675" s="33"/>
      <c r="AI6675" s="33"/>
      <c r="AJ6675" s="33"/>
      <c r="AK6675" s="33"/>
    </row>
    <row r="6676">
      <c r="A6676" s="33"/>
      <c r="B6676" s="33"/>
      <c r="C6676" s="33"/>
      <c r="D6676" s="33"/>
      <c r="E6676" s="33"/>
      <c r="F6676" s="33"/>
      <c r="G6676" s="33"/>
      <c r="H6676" s="33"/>
      <c r="I6676" s="33"/>
      <c r="J6676" s="33"/>
      <c r="K6676" s="33"/>
      <c r="L6676" s="33"/>
      <c r="M6676" s="33"/>
      <c r="N6676" s="33"/>
      <c r="O6676" s="33"/>
      <c r="P6676" s="33"/>
      <c r="Q6676" s="33"/>
      <c r="R6676" s="33"/>
      <c r="S6676" s="33"/>
      <c r="T6676" s="33"/>
      <c r="U6676" s="33"/>
      <c r="V6676" s="33"/>
      <c r="W6676" s="33"/>
      <c r="X6676" s="33"/>
      <c r="Y6676" s="33"/>
      <c r="Z6676" s="33"/>
      <c r="AA6676" s="33"/>
      <c r="AB6676" s="33"/>
      <c r="AC6676" s="33"/>
      <c r="AD6676" s="33"/>
      <c r="AE6676" s="33"/>
      <c r="AF6676" s="33"/>
      <c r="AG6676" s="33"/>
      <c r="AH6676" s="33"/>
      <c r="AI6676" s="33"/>
      <c r="AJ6676" s="33"/>
      <c r="AK6676" s="33"/>
    </row>
    <row r="6677">
      <c r="A6677" s="33"/>
      <c r="B6677" s="33"/>
      <c r="C6677" s="33"/>
      <c r="D6677" s="33"/>
      <c r="E6677" s="33"/>
      <c r="F6677" s="33"/>
      <c r="G6677" s="33"/>
      <c r="H6677" s="33"/>
      <c r="I6677" s="33"/>
      <c r="J6677" s="33"/>
      <c r="K6677" s="33"/>
      <c r="L6677" s="33"/>
      <c r="M6677" s="33"/>
      <c r="N6677" s="33"/>
      <c r="O6677" s="33"/>
      <c r="P6677" s="33"/>
      <c r="Q6677" s="33"/>
      <c r="R6677" s="33"/>
      <c r="S6677" s="33"/>
      <c r="T6677" s="33"/>
      <c r="U6677" s="33"/>
      <c r="V6677" s="33"/>
      <c r="W6677" s="33"/>
      <c r="X6677" s="33"/>
      <c r="Y6677" s="33"/>
      <c r="Z6677" s="33"/>
      <c r="AA6677" s="33"/>
      <c r="AB6677" s="33"/>
      <c r="AC6677" s="33"/>
      <c r="AD6677" s="33"/>
      <c r="AE6677" s="33"/>
      <c r="AF6677" s="33"/>
      <c r="AG6677" s="33"/>
      <c r="AH6677" s="33"/>
      <c r="AI6677" s="33"/>
      <c r="AJ6677" s="33"/>
      <c r="AK6677" s="33"/>
    </row>
    <row r="6678">
      <c r="A6678" s="33"/>
      <c r="B6678" s="33"/>
      <c r="C6678" s="33"/>
      <c r="D6678" s="33"/>
      <c r="E6678" s="33"/>
      <c r="F6678" s="33"/>
      <c r="G6678" s="33"/>
      <c r="H6678" s="33"/>
      <c r="I6678" s="33"/>
      <c r="J6678" s="33"/>
      <c r="K6678" s="33"/>
      <c r="L6678" s="33"/>
      <c r="M6678" s="33"/>
      <c r="N6678" s="33"/>
      <c r="O6678" s="33"/>
      <c r="P6678" s="33"/>
      <c r="Q6678" s="33"/>
      <c r="R6678" s="33"/>
      <c r="S6678" s="33"/>
      <c r="T6678" s="33"/>
      <c r="U6678" s="33"/>
      <c r="V6678" s="33"/>
      <c r="W6678" s="33"/>
      <c r="X6678" s="33"/>
      <c r="Y6678" s="33"/>
      <c r="Z6678" s="33"/>
      <c r="AA6678" s="33"/>
      <c r="AB6678" s="33"/>
      <c r="AC6678" s="33"/>
      <c r="AD6678" s="33"/>
      <c r="AE6678" s="33"/>
      <c r="AF6678" s="33"/>
      <c r="AG6678" s="33"/>
      <c r="AH6678" s="33"/>
      <c r="AI6678" s="33"/>
      <c r="AJ6678" s="33"/>
      <c r="AK6678" s="33"/>
    </row>
    <row r="6679">
      <c r="A6679" s="33"/>
      <c r="B6679" s="33"/>
      <c r="C6679" s="33"/>
      <c r="D6679" s="33"/>
      <c r="E6679" s="33"/>
      <c r="F6679" s="33"/>
      <c r="G6679" s="33"/>
      <c r="H6679" s="33"/>
      <c r="I6679" s="33"/>
      <c r="J6679" s="33"/>
      <c r="K6679" s="33"/>
      <c r="L6679" s="33"/>
      <c r="M6679" s="33"/>
      <c r="N6679" s="33"/>
      <c r="O6679" s="33"/>
      <c r="P6679" s="33"/>
      <c r="Q6679" s="33"/>
      <c r="R6679" s="33"/>
      <c r="S6679" s="33"/>
      <c r="T6679" s="33"/>
      <c r="U6679" s="33"/>
      <c r="V6679" s="33"/>
      <c r="W6679" s="33"/>
      <c r="X6679" s="33"/>
      <c r="Y6679" s="33"/>
      <c r="Z6679" s="33"/>
      <c r="AA6679" s="33"/>
      <c r="AB6679" s="33"/>
      <c r="AC6679" s="33"/>
      <c r="AD6679" s="33"/>
      <c r="AE6679" s="33"/>
      <c r="AF6679" s="33"/>
      <c r="AG6679" s="33"/>
      <c r="AH6679" s="33"/>
      <c r="AI6679" s="33"/>
      <c r="AJ6679" s="33"/>
      <c r="AK6679" s="33"/>
    </row>
    <row r="6680">
      <c r="A6680" s="33"/>
      <c r="B6680" s="33"/>
      <c r="C6680" s="33"/>
      <c r="D6680" s="33"/>
      <c r="E6680" s="33"/>
      <c r="F6680" s="33"/>
      <c r="G6680" s="33"/>
      <c r="H6680" s="33"/>
      <c r="I6680" s="33"/>
      <c r="J6680" s="33"/>
      <c r="K6680" s="33"/>
      <c r="L6680" s="33"/>
      <c r="M6680" s="33"/>
      <c r="N6680" s="33"/>
      <c r="O6680" s="33"/>
      <c r="P6680" s="33"/>
      <c r="Q6680" s="33"/>
      <c r="R6680" s="33"/>
      <c r="S6680" s="33"/>
      <c r="T6680" s="33"/>
      <c r="U6680" s="33"/>
      <c r="V6680" s="33"/>
      <c r="W6680" s="33"/>
      <c r="X6680" s="33"/>
      <c r="Y6680" s="33"/>
      <c r="Z6680" s="33"/>
      <c r="AA6680" s="33"/>
      <c r="AB6680" s="33"/>
      <c r="AC6680" s="33"/>
      <c r="AD6680" s="33"/>
      <c r="AE6680" s="33"/>
      <c r="AF6680" s="33"/>
      <c r="AG6680" s="33"/>
      <c r="AH6680" s="33"/>
      <c r="AI6680" s="33"/>
      <c r="AJ6680" s="33"/>
      <c r="AK6680" s="33"/>
    </row>
    <row r="6681">
      <c r="A6681" s="33"/>
      <c r="B6681" s="33"/>
      <c r="C6681" s="33"/>
      <c r="D6681" s="33"/>
      <c r="E6681" s="33"/>
      <c r="F6681" s="33"/>
      <c r="G6681" s="33"/>
      <c r="H6681" s="33"/>
      <c r="I6681" s="33"/>
      <c r="J6681" s="33"/>
      <c r="K6681" s="33"/>
      <c r="L6681" s="33"/>
      <c r="M6681" s="33"/>
      <c r="N6681" s="33"/>
      <c r="O6681" s="33"/>
      <c r="P6681" s="33"/>
      <c r="Q6681" s="33"/>
      <c r="R6681" s="33"/>
      <c r="S6681" s="33"/>
      <c r="T6681" s="33"/>
      <c r="U6681" s="33"/>
      <c r="V6681" s="33"/>
      <c r="W6681" s="33"/>
      <c r="X6681" s="33"/>
      <c r="Y6681" s="33"/>
      <c r="Z6681" s="33"/>
      <c r="AA6681" s="33"/>
      <c r="AB6681" s="33"/>
      <c r="AC6681" s="33"/>
      <c r="AD6681" s="33"/>
      <c r="AE6681" s="33"/>
      <c r="AF6681" s="33"/>
      <c r="AG6681" s="33"/>
      <c r="AH6681" s="33"/>
      <c r="AI6681" s="33"/>
      <c r="AJ6681" s="33"/>
      <c r="AK6681" s="33"/>
    </row>
    <row r="6682">
      <c r="A6682" s="33"/>
      <c r="B6682" s="33"/>
      <c r="C6682" s="33"/>
      <c r="D6682" s="33"/>
      <c r="E6682" s="33"/>
      <c r="F6682" s="33"/>
      <c r="G6682" s="33"/>
      <c r="H6682" s="33"/>
      <c r="I6682" s="33"/>
      <c r="J6682" s="33"/>
      <c r="K6682" s="33"/>
      <c r="L6682" s="33"/>
      <c r="M6682" s="33"/>
      <c r="N6682" s="33"/>
      <c r="O6682" s="33"/>
      <c r="P6682" s="33"/>
      <c r="Q6682" s="33"/>
      <c r="R6682" s="33"/>
      <c r="S6682" s="33"/>
      <c r="T6682" s="33"/>
      <c r="U6682" s="33"/>
      <c r="V6682" s="33"/>
      <c r="W6682" s="33"/>
      <c r="X6682" s="33"/>
      <c r="Y6682" s="33"/>
      <c r="Z6682" s="33"/>
      <c r="AA6682" s="33"/>
      <c r="AB6682" s="33"/>
      <c r="AC6682" s="33"/>
      <c r="AD6682" s="33"/>
      <c r="AE6682" s="33"/>
      <c r="AF6682" s="33"/>
      <c r="AG6682" s="33"/>
      <c r="AH6682" s="33"/>
      <c r="AI6682" s="33"/>
      <c r="AJ6682" s="33"/>
      <c r="AK6682" s="33"/>
    </row>
    <row r="6683">
      <c r="A6683" s="33"/>
      <c r="B6683" s="33"/>
      <c r="C6683" s="33"/>
      <c r="D6683" s="33"/>
      <c r="E6683" s="33"/>
      <c r="F6683" s="33"/>
      <c r="G6683" s="33"/>
      <c r="H6683" s="33"/>
      <c r="I6683" s="33"/>
      <c r="J6683" s="33"/>
      <c r="K6683" s="33"/>
      <c r="L6683" s="33"/>
      <c r="M6683" s="33"/>
      <c r="N6683" s="33"/>
      <c r="O6683" s="33"/>
      <c r="P6683" s="33"/>
      <c r="Q6683" s="33"/>
      <c r="R6683" s="33"/>
      <c r="S6683" s="33"/>
      <c r="T6683" s="33"/>
      <c r="U6683" s="33"/>
      <c r="V6683" s="33"/>
      <c r="W6683" s="33"/>
      <c r="X6683" s="33"/>
      <c r="Y6683" s="33"/>
      <c r="Z6683" s="33"/>
      <c r="AA6683" s="33"/>
      <c r="AB6683" s="33"/>
      <c r="AC6683" s="33"/>
      <c r="AD6683" s="33"/>
      <c r="AE6683" s="33"/>
      <c r="AF6683" s="33"/>
      <c r="AG6683" s="33"/>
      <c r="AH6683" s="33"/>
      <c r="AI6683" s="33"/>
      <c r="AJ6683" s="33"/>
      <c r="AK6683" s="33"/>
    </row>
    <row r="6684">
      <c r="A6684" s="33"/>
      <c r="B6684" s="33"/>
      <c r="C6684" s="33"/>
      <c r="D6684" s="33"/>
      <c r="E6684" s="33"/>
      <c r="F6684" s="33"/>
      <c r="G6684" s="33"/>
      <c r="H6684" s="33"/>
      <c r="I6684" s="33"/>
      <c r="J6684" s="33"/>
      <c r="K6684" s="33"/>
      <c r="L6684" s="33"/>
      <c r="M6684" s="33"/>
      <c r="N6684" s="33"/>
      <c r="O6684" s="33"/>
      <c r="P6684" s="33"/>
      <c r="Q6684" s="33"/>
      <c r="R6684" s="33"/>
      <c r="S6684" s="33"/>
      <c r="T6684" s="33"/>
      <c r="U6684" s="33"/>
      <c r="V6684" s="33"/>
      <c r="W6684" s="33"/>
      <c r="X6684" s="33"/>
      <c r="Y6684" s="33"/>
      <c r="Z6684" s="33"/>
      <c r="AA6684" s="33"/>
      <c r="AB6684" s="33"/>
      <c r="AC6684" s="33"/>
      <c r="AD6684" s="33"/>
      <c r="AE6684" s="33"/>
      <c r="AF6684" s="33"/>
      <c r="AG6684" s="33"/>
      <c r="AH6684" s="33"/>
      <c r="AI6684" s="33"/>
      <c r="AJ6684" s="33"/>
      <c r="AK6684" s="33"/>
    </row>
    <row r="6685">
      <c r="A6685" s="33"/>
      <c r="B6685" s="33"/>
      <c r="C6685" s="33"/>
      <c r="D6685" s="33"/>
      <c r="E6685" s="33"/>
      <c r="F6685" s="33"/>
      <c r="G6685" s="33"/>
      <c r="H6685" s="33"/>
      <c r="I6685" s="33"/>
      <c r="J6685" s="33"/>
      <c r="K6685" s="33"/>
      <c r="L6685" s="33"/>
      <c r="M6685" s="33"/>
      <c r="N6685" s="33"/>
      <c r="O6685" s="33"/>
      <c r="P6685" s="33"/>
      <c r="Q6685" s="33"/>
      <c r="R6685" s="33"/>
      <c r="S6685" s="33"/>
      <c r="T6685" s="33"/>
      <c r="U6685" s="33"/>
      <c r="V6685" s="33"/>
      <c r="W6685" s="33"/>
      <c r="X6685" s="33"/>
      <c r="Y6685" s="33"/>
      <c r="Z6685" s="33"/>
      <c r="AA6685" s="33"/>
      <c r="AB6685" s="33"/>
      <c r="AC6685" s="33"/>
      <c r="AD6685" s="33"/>
      <c r="AE6685" s="33"/>
      <c r="AF6685" s="33"/>
      <c r="AG6685" s="33"/>
      <c r="AH6685" s="33"/>
      <c r="AI6685" s="33"/>
      <c r="AJ6685" s="33"/>
      <c r="AK6685" s="33"/>
    </row>
    <row r="6686">
      <c r="A6686" s="33"/>
      <c r="B6686" s="33"/>
      <c r="C6686" s="33"/>
      <c r="D6686" s="33"/>
      <c r="E6686" s="33"/>
      <c r="F6686" s="33"/>
      <c r="G6686" s="33"/>
      <c r="H6686" s="33"/>
      <c r="I6686" s="33"/>
      <c r="J6686" s="33"/>
      <c r="K6686" s="33"/>
      <c r="L6686" s="33"/>
      <c r="M6686" s="33"/>
      <c r="N6686" s="33"/>
      <c r="O6686" s="33"/>
      <c r="P6686" s="33"/>
      <c r="Q6686" s="33"/>
      <c r="R6686" s="33"/>
      <c r="S6686" s="33"/>
      <c r="T6686" s="33"/>
      <c r="U6686" s="33"/>
      <c r="V6686" s="33"/>
      <c r="W6686" s="33"/>
      <c r="X6686" s="33"/>
      <c r="Y6686" s="33"/>
      <c r="Z6686" s="33"/>
      <c r="AA6686" s="33"/>
      <c r="AB6686" s="33"/>
      <c r="AC6686" s="33"/>
      <c r="AD6686" s="33"/>
      <c r="AE6686" s="33"/>
      <c r="AF6686" s="33"/>
      <c r="AG6686" s="33"/>
      <c r="AH6686" s="33"/>
      <c r="AI6686" s="33"/>
      <c r="AJ6686" s="33"/>
      <c r="AK6686" s="33"/>
    </row>
    <row r="6687">
      <c r="A6687" s="33"/>
      <c r="B6687" s="33"/>
      <c r="C6687" s="33"/>
      <c r="D6687" s="33"/>
      <c r="E6687" s="33"/>
      <c r="F6687" s="33"/>
      <c r="G6687" s="33"/>
      <c r="H6687" s="33"/>
      <c r="I6687" s="33"/>
      <c r="J6687" s="33"/>
      <c r="K6687" s="33"/>
      <c r="L6687" s="33"/>
      <c r="M6687" s="33"/>
      <c r="N6687" s="33"/>
      <c r="O6687" s="33"/>
      <c r="P6687" s="33"/>
      <c r="Q6687" s="33"/>
      <c r="R6687" s="33"/>
      <c r="S6687" s="33"/>
      <c r="T6687" s="33"/>
      <c r="U6687" s="33"/>
      <c r="V6687" s="33"/>
      <c r="W6687" s="33"/>
      <c r="X6687" s="33"/>
      <c r="Y6687" s="33"/>
      <c r="Z6687" s="33"/>
      <c r="AA6687" s="33"/>
      <c r="AB6687" s="33"/>
      <c r="AC6687" s="33"/>
      <c r="AD6687" s="33"/>
      <c r="AE6687" s="33"/>
      <c r="AF6687" s="33"/>
      <c r="AG6687" s="33"/>
      <c r="AH6687" s="33"/>
      <c r="AI6687" s="33"/>
      <c r="AJ6687" s="33"/>
      <c r="AK6687" s="33"/>
    </row>
    <row r="6688">
      <c r="A6688" s="33"/>
      <c r="B6688" s="33"/>
      <c r="C6688" s="33"/>
      <c r="D6688" s="33"/>
      <c r="E6688" s="33"/>
      <c r="F6688" s="33"/>
      <c r="G6688" s="33"/>
      <c r="H6688" s="33"/>
      <c r="I6688" s="33"/>
      <c r="J6688" s="33"/>
      <c r="K6688" s="33"/>
      <c r="L6688" s="33"/>
      <c r="M6688" s="33"/>
      <c r="N6688" s="33"/>
      <c r="O6688" s="33"/>
      <c r="P6688" s="33"/>
      <c r="Q6688" s="33"/>
      <c r="R6688" s="33"/>
      <c r="S6688" s="33"/>
      <c r="T6688" s="33"/>
      <c r="U6688" s="33"/>
      <c r="V6688" s="33"/>
      <c r="W6688" s="33"/>
      <c r="X6688" s="33"/>
      <c r="Y6688" s="33"/>
      <c r="Z6688" s="33"/>
      <c r="AA6688" s="33"/>
      <c r="AB6688" s="33"/>
      <c r="AC6688" s="33"/>
      <c r="AD6688" s="33"/>
      <c r="AE6688" s="33"/>
      <c r="AF6688" s="33"/>
      <c r="AG6688" s="33"/>
      <c r="AH6688" s="33"/>
      <c r="AI6688" s="33"/>
      <c r="AJ6688" s="33"/>
      <c r="AK6688" s="33"/>
    </row>
    <row r="6689">
      <c r="A6689" s="33"/>
      <c r="B6689" s="33"/>
      <c r="C6689" s="33"/>
      <c r="D6689" s="33"/>
      <c r="E6689" s="33"/>
      <c r="F6689" s="33"/>
      <c r="G6689" s="33"/>
      <c r="H6689" s="33"/>
      <c r="I6689" s="33"/>
      <c r="J6689" s="33"/>
      <c r="K6689" s="33"/>
      <c r="L6689" s="33"/>
      <c r="M6689" s="33"/>
      <c r="N6689" s="33"/>
      <c r="O6689" s="33"/>
      <c r="P6689" s="33"/>
      <c r="Q6689" s="33"/>
      <c r="R6689" s="33"/>
      <c r="S6689" s="33"/>
      <c r="T6689" s="33"/>
      <c r="U6689" s="33"/>
      <c r="V6689" s="33"/>
      <c r="W6689" s="33"/>
      <c r="X6689" s="33"/>
      <c r="Y6689" s="33"/>
      <c r="Z6689" s="33"/>
      <c r="AA6689" s="33"/>
      <c r="AB6689" s="33"/>
      <c r="AC6689" s="33"/>
      <c r="AD6689" s="33"/>
      <c r="AE6689" s="33"/>
      <c r="AF6689" s="33"/>
      <c r="AG6689" s="33"/>
      <c r="AH6689" s="33"/>
      <c r="AI6689" s="33"/>
      <c r="AJ6689" s="33"/>
      <c r="AK6689" s="33"/>
    </row>
    <row r="6690">
      <c r="A6690" s="33"/>
      <c r="B6690" s="33"/>
      <c r="C6690" s="33"/>
      <c r="D6690" s="33"/>
      <c r="E6690" s="33"/>
      <c r="F6690" s="33"/>
      <c r="G6690" s="33"/>
      <c r="H6690" s="33"/>
      <c r="I6690" s="33"/>
      <c r="J6690" s="33"/>
      <c r="K6690" s="33"/>
      <c r="L6690" s="33"/>
      <c r="M6690" s="33"/>
      <c r="N6690" s="33"/>
      <c r="O6690" s="33"/>
      <c r="P6690" s="33"/>
      <c r="Q6690" s="33"/>
      <c r="R6690" s="33"/>
      <c r="S6690" s="33"/>
      <c r="T6690" s="33"/>
      <c r="U6690" s="33"/>
      <c r="V6690" s="33"/>
      <c r="W6690" s="33"/>
      <c r="X6690" s="33"/>
      <c r="Y6690" s="33"/>
      <c r="Z6690" s="33"/>
      <c r="AA6690" s="33"/>
      <c r="AB6690" s="33"/>
      <c r="AC6690" s="33"/>
      <c r="AD6690" s="33"/>
      <c r="AE6690" s="33"/>
      <c r="AF6690" s="33"/>
      <c r="AG6690" s="33"/>
      <c r="AH6690" s="33"/>
      <c r="AI6690" s="33"/>
      <c r="AJ6690" s="33"/>
      <c r="AK6690" s="33"/>
    </row>
    <row r="6691">
      <c r="A6691" s="33"/>
      <c r="B6691" s="33"/>
      <c r="C6691" s="33"/>
      <c r="D6691" s="33"/>
      <c r="E6691" s="33"/>
      <c r="F6691" s="33"/>
      <c r="G6691" s="33"/>
      <c r="H6691" s="33"/>
      <c r="I6691" s="33"/>
      <c r="J6691" s="33"/>
      <c r="K6691" s="33"/>
      <c r="L6691" s="33"/>
      <c r="M6691" s="33"/>
      <c r="N6691" s="33"/>
      <c r="O6691" s="33"/>
      <c r="P6691" s="33"/>
      <c r="Q6691" s="33"/>
      <c r="R6691" s="33"/>
      <c r="S6691" s="33"/>
      <c r="T6691" s="33"/>
      <c r="U6691" s="33"/>
      <c r="V6691" s="33"/>
      <c r="W6691" s="33"/>
      <c r="X6691" s="33"/>
      <c r="Y6691" s="33"/>
      <c r="Z6691" s="33"/>
      <c r="AA6691" s="33"/>
      <c r="AB6691" s="33"/>
      <c r="AC6691" s="33"/>
      <c r="AD6691" s="33"/>
      <c r="AE6691" s="33"/>
      <c r="AF6691" s="33"/>
      <c r="AG6691" s="33"/>
      <c r="AH6691" s="33"/>
      <c r="AI6691" s="33"/>
      <c r="AJ6691" s="33"/>
      <c r="AK6691" s="33"/>
    </row>
    <row r="6692">
      <c r="A6692" s="33"/>
      <c r="B6692" s="33"/>
      <c r="C6692" s="33"/>
      <c r="D6692" s="33"/>
      <c r="E6692" s="33"/>
      <c r="F6692" s="33"/>
      <c r="G6692" s="33"/>
      <c r="H6692" s="33"/>
      <c r="I6692" s="33"/>
      <c r="J6692" s="33"/>
      <c r="K6692" s="33"/>
      <c r="L6692" s="33"/>
      <c r="M6692" s="33"/>
      <c r="N6692" s="33"/>
      <c r="O6692" s="33"/>
      <c r="P6692" s="33"/>
      <c r="Q6692" s="33"/>
      <c r="R6692" s="33"/>
      <c r="S6692" s="33"/>
      <c r="T6692" s="33"/>
      <c r="U6692" s="33"/>
      <c r="V6692" s="33"/>
      <c r="W6692" s="33"/>
      <c r="X6692" s="33"/>
      <c r="Y6692" s="33"/>
      <c r="Z6692" s="33"/>
      <c r="AA6692" s="33"/>
      <c r="AB6692" s="33"/>
      <c r="AC6692" s="33"/>
      <c r="AD6692" s="33"/>
      <c r="AE6692" s="33"/>
      <c r="AF6692" s="33"/>
      <c r="AG6692" s="33"/>
      <c r="AH6692" s="33"/>
      <c r="AI6692" s="33"/>
      <c r="AJ6692" s="33"/>
      <c r="AK6692" s="33"/>
    </row>
    <row r="6693">
      <c r="A6693" s="33"/>
      <c r="B6693" s="33"/>
      <c r="C6693" s="33"/>
      <c r="D6693" s="33"/>
      <c r="E6693" s="33"/>
      <c r="F6693" s="33"/>
      <c r="G6693" s="33"/>
      <c r="H6693" s="33"/>
      <c r="I6693" s="33"/>
      <c r="J6693" s="33"/>
      <c r="K6693" s="33"/>
      <c r="L6693" s="33"/>
      <c r="M6693" s="33"/>
      <c r="N6693" s="33"/>
      <c r="O6693" s="33"/>
      <c r="P6693" s="33"/>
      <c r="Q6693" s="33"/>
      <c r="R6693" s="33"/>
      <c r="S6693" s="33"/>
      <c r="T6693" s="33"/>
      <c r="U6693" s="33"/>
      <c r="V6693" s="33"/>
      <c r="W6693" s="33"/>
      <c r="X6693" s="33"/>
      <c r="Y6693" s="33"/>
      <c r="Z6693" s="33"/>
      <c r="AA6693" s="33"/>
      <c r="AB6693" s="33"/>
      <c r="AC6693" s="33"/>
      <c r="AD6693" s="33"/>
      <c r="AE6693" s="33"/>
      <c r="AF6693" s="33"/>
      <c r="AG6693" s="33"/>
      <c r="AH6693" s="33"/>
      <c r="AI6693" s="33"/>
      <c r="AJ6693" s="33"/>
      <c r="AK6693" s="33"/>
    </row>
    <row r="6694">
      <c r="A6694" s="33"/>
      <c r="B6694" s="33"/>
      <c r="C6694" s="33"/>
      <c r="D6694" s="33"/>
      <c r="E6694" s="33"/>
      <c r="F6694" s="33"/>
      <c r="G6694" s="33"/>
      <c r="H6694" s="33"/>
      <c r="I6694" s="33"/>
      <c r="J6694" s="33"/>
      <c r="K6694" s="33"/>
      <c r="L6694" s="33"/>
      <c r="M6694" s="33"/>
      <c r="N6694" s="33"/>
      <c r="O6694" s="33"/>
      <c r="P6694" s="33"/>
      <c r="Q6694" s="33"/>
      <c r="R6694" s="33"/>
      <c r="S6694" s="33"/>
      <c r="T6694" s="33"/>
      <c r="U6694" s="33"/>
      <c r="V6694" s="33"/>
      <c r="W6694" s="33"/>
      <c r="X6694" s="33"/>
      <c r="Y6694" s="33"/>
      <c r="Z6694" s="33"/>
      <c r="AA6694" s="33"/>
      <c r="AB6694" s="33"/>
      <c r="AC6694" s="33"/>
      <c r="AD6694" s="33"/>
      <c r="AE6694" s="33"/>
      <c r="AF6694" s="33"/>
      <c r="AG6694" s="33"/>
      <c r="AH6694" s="33"/>
      <c r="AI6694" s="33"/>
      <c r="AJ6694" s="33"/>
      <c r="AK6694" s="33"/>
    </row>
    <row r="6695">
      <c r="A6695" s="33"/>
      <c r="B6695" s="33"/>
      <c r="C6695" s="33"/>
      <c r="D6695" s="33"/>
      <c r="E6695" s="33"/>
      <c r="F6695" s="33"/>
      <c r="G6695" s="33"/>
      <c r="H6695" s="33"/>
      <c r="I6695" s="33"/>
      <c r="J6695" s="33"/>
      <c r="K6695" s="33"/>
      <c r="L6695" s="33"/>
      <c r="M6695" s="33"/>
      <c r="N6695" s="33"/>
      <c r="O6695" s="33"/>
      <c r="P6695" s="33"/>
      <c r="Q6695" s="33"/>
      <c r="R6695" s="33"/>
      <c r="S6695" s="33"/>
      <c r="T6695" s="33"/>
      <c r="U6695" s="33"/>
      <c r="V6695" s="33"/>
      <c r="W6695" s="33"/>
      <c r="X6695" s="33"/>
      <c r="Y6695" s="33"/>
      <c r="Z6695" s="33"/>
      <c r="AA6695" s="33"/>
      <c r="AB6695" s="33"/>
      <c r="AC6695" s="33"/>
      <c r="AD6695" s="33"/>
      <c r="AE6695" s="33"/>
      <c r="AF6695" s="33"/>
      <c r="AG6695" s="33"/>
      <c r="AH6695" s="33"/>
      <c r="AI6695" s="33"/>
      <c r="AJ6695" s="33"/>
      <c r="AK6695" s="33"/>
    </row>
    <row r="6696">
      <c r="A6696" s="33"/>
      <c r="B6696" s="33"/>
      <c r="C6696" s="33"/>
      <c r="D6696" s="33"/>
      <c r="E6696" s="33"/>
      <c r="F6696" s="33"/>
      <c r="G6696" s="33"/>
      <c r="H6696" s="33"/>
      <c r="I6696" s="33"/>
      <c r="J6696" s="33"/>
      <c r="K6696" s="33"/>
      <c r="L6696" s="33"/>
      <c r="M6696" s="33"/>
      <c r="N6696" s="33"/>
      <c r="O6696" s="33"/>
      <c r="P6696" s="33"/>
      <c r="Q6696" s="33"/>
      <c r="R6696" s="33"/>
      <c r="S6696" s="33"/>
      <c r="T6696" s="33"/>
      <c r="U6696" s="33"/>
      <c r="V6696" s="33"/>
      <c r="W6696" s="33"/>
      <c r="X6696" s="33"/>
      <c r="Y6696" s="33"/>
      <c r="Z6696" s="33"/>
      <c r="AA6696" s="33"/>
      <c r="AB6696" s="33"/>
      <c r="AC6696" s="33"/>
      <c r="AD6696" s="33"/>
      <c r="AE6696" s="33"/>
      <c r="AF6696" s="33"/>
      <c r="AG6696" s="33"/>
      <c r="AH6696" s="33"/>
      <c r="AI6696" s="33"/>
      <c r="AJ6696" s="33"/>
      <c r="AK6696" s="33"/>
    </row>
    <row r="6697">
      <c r="A6697" s="33"/>
      <c r="B6697" s="33"/>
      <c r="C6697" s="33"/>
      <c r="D6697" s="33"/>
      <c r="E6697" s="33"/>
      <c r="F6697" s="33"/>
      <c r="G6697" s="33"/>
      <c r="H6697" s="33"/>
      <c r="I6697" s="33"/>
      <c r="J6697" s="33"/>
      <c r="K6697" s="33"/>
      <c r="L6697" s="33"/>
      <c r="M6697" s="33"/>
      <c r="N6697" s="33"/>
      <c r="O6697" s="33"/>
      <c r="P6697" s="33"/>
      <c r="Q6697" s="33"/>
      <c r="R6697" s="33"/>
      <c r="S6697" s="33"/>
      <c r="T6697" s="33"/>
      <c r="U6697" s="33"/>
      <c r="V6697" s="33"/>
      <c r="W6697" s="33"/>
      <c r="X6697" s="33"/>
      <c r="Y6697" s="33"/>
      <c r="Z6697" s="33"/>
      <c r="AA6697" s="33"/>
      <c r="AB6697" s="33"/>
      <c r="AC6697" s="33"/>
      <c r="AD6697" s="33"/>
      <c r="AE6697" s="33"/>
      <c r="AF6697" s="33"/>
      <c r="AG6697" s="33"/>
      <c r="AH6697" s="33"/>
      <c r="AI6697" s="33"/>
      <c r="AJ6697" s="33"/>
      <c r="AK6697" s="33"/>
    </row>
    <row r="6698">
      <c r="A6698" s="33"/>
      <c r="B6698" s="33"/>
      <c r="C6698" s="33"/>
      <c r="D6698" s="33"/>
      <c r="E6698" s="33"/>
      <c r="F6698" s="33"/>
      <c r="G6698" s="33"/>
      <c r="H6698" s="33"/>
      <c r="I6698" s="33"/>
      <c r="J6698" s="33"/>
      <c r="K6698" s="33"/>
      <c r="L6698" s="33"/>
      <c r="M6698" s="33"/>
      <c r="N6698" s="33"/>
      <c r="O6698" s="33"/>
      <c r="P6698" s="33"/>
      <c r="Q6698" s="33"/>
      <c r="R6698" s="33"/>
      <c r="S6698" s="33"/>
      <c r="T6698" s="33"/>
      <c r="U6698" s="33"/>
      <c r="V6698" s="33"/>
      <c r="W6698" s="33"/>
      <c r="X6698" s="33"/>
      <c r="Y6698" s="33"/>
      <c r="Z6698" s="33"/>
      <c r="AA6698" s="33"/>
      <c r="AB6698" s="33"/>
      <c r="AC6698" s="33"/>
      <c r="AD6698" s="33"/>
      <c r="AE6698" s="33"/>
      <c r="AF6698" s="33"/>
      <c r="AG6698" s="33"/>
      <c r="AH6698" s="33"/>
      <c r="AI6698" s="33"/>
      <c r="AJ6698" s="33"/>
      <c r="AK6698" s="33"/>
    </row>
    <row r="6699">
      <c r="A6699" s="33"/>
      <c r="B6699" s="33"/>
      <c r="C6699" s="33"/>
      <c r="D6699" s="33"/>
      <c r="E6699" s="33"/>
      <c r="F6699" s="33"/>
      <c r="G6699" s="33"/>
      <c r="H6699" s="33"/>
      <c r="I6699" s="33"/>
      <c r="J6699" s="33"/>
      <c r="K6699" s="33"/>
      <c r="L6699" s="33"/>
      <c r="M6699" s="33"/>
      <c r="N6699" s="33"/>
      <c r="O6699" s="33"/>
      <c r="P6699" s="33"/>
      <c r="Q6699" s="33"/>
      <c r="R6699" s="33"/>
      <c r="S6699" s="33"/>
      <c r="T6699" s="33"/>
      <c r="U6699" s="33"/>
      <c r="V6699" s="33"/>
      <c r="W6699" s="33"/>
      <c r="X6699" s="33"/>
      <c r="Y6699" s="33"/>
      <c r="Z6699" s="33"/>
      <c r="AA6699" s="33"/>
      <c r="AB6699" s="33"/>
      <c r="AC6699" s="33"/>
      <c r="AD6699" s="33"/>
      <c r="AE6699" s="33"/>
      <c r="AF6699" s="33"/>
      <c r="AG6699" s="33"/>
      <c r="AH6699" s="33"/>
      <c r="AI6699" s="33"/>
      <c r="AJ6699" s="33"/>
      <c r="AK6699" s="33"/>
    </row>
    <row r="6700">
      <c r="A6700" s="33"/>
      <c r="B6700" s="33"/>
      <c r="C6700" s="33"/>
      <c r="D6700" s="33"/>
      <c r="E6700" s="33"/>
      <c r="F6700" s="33"/>
      <c r="G6700" s="33"/>
      <c r="H6700" s="33"/>
      <c r="I6700" s="33"/>
      <c r="J6700" s="33"/>
      <c r="K6700" s="33"/>
      <c r="L6700" s="33"/>
      <c r="M6700" s="33"/>
      <c r="N6700" s="33"/>
      <c r="O6700" s="33"/>
      <c r="P6700" s="33"/>
      <c r="Q6700" s="33"/>
      <c r="R6700" s="33"/>
      <c r="S6700" s="33"/>
      <c r="T6700" s="33"/>
      <c r="U6700" s="33"/>
      <c r="V6700" s="33"/>
      <c r="W6700" s="33"/>
      <c r="X6700" s="33"/>
      <c r="Y6700" s="33"/>
      <c r="Z6700" s="33"/>
      <c r="AA6700" s="33"/>
      <c r="AB6700" s="33"/>
      <c r="AC6700" s="33"/>
      <c r="AD6700" s="33"/>
      <c r="AE6700" s="33"/>
      <c r="AF6700" s="33"/>
      <c r="AG6700" s="33"/>
      <c r="AH6700" s="33"/>
      <c r="AI6700" s="33"/>
      <c r="AJ6700" s="33"/>
      <c r="AK6700" s="33"/>
    </row>
    <row r="6701">
      <c r="A6701" s="33"/>
      <c r="B6701" s="33"/>
      <c r="C6701" s="33"/>
      <c r="D6701" s="33"/>
      <c r="E6701" s="33"/>
      <c r="F6701" s="33"/>
      <c r="G6701" s="33"/>
      <c r="H6701" s="33"/>
      <c r="I6701" s="33"/>
      <c r="J6701" s="33"/>
      <c r="K6701" s="33"/>
      <c r="L6701" s="33"/>
      <c r="M6701" s="33"/>
      <c r="N6701" s="33"/>
      <c r="O6701" s="33"/>
      <c r="P6701" s="33"/>
      <c r="Q6701" s="33"/>
      <c r="R6701" s="33"/>
      <c r="S6701" s="33"/>
      <c r="T6701" s="33"/>
      <c r="U6701" s="33"/>
      <c r="V6701" s="33"/>
      <c r="W6701" s="33"/>
      <c r="X6701" s="33"/>
      <c r="Y6701" s="33"/>
      <c r="Z6701" s="33"/>
      <c r="AA6701" s="33"/>
      <c r="AB6701" s="33"/>
      <c r="AC6701" s="33"/>
      <c r="AD6701" s="33"/>
      <c r="AE6701" s="33"/>
      <c r="AF6701" s="33"/>
      <c r="AG6701" s="33"/>
      <c r="AH6701" s="33"/>
      <c r="AI6701" s="33"/>
      <c r="AJ6701" s="33"/>
      <c r="AK6701" s="33"/>
    </row>
    <row r="6702">
      <c r="A6702" s="33"/>
      <c r="B6702" s="33"/>
      <c r="C6702" s="33"/>
      <c r="D6702" s="33"/>
      <c r="E6702" s="33"/>
      <c r="F6702" s="33"/>
      <c r="G6702" s="33"/>
      <c r="H6702" s="33"/>
      <c r="I6702" s="33"/>
      <c r="J6702" s="33"/>
      <c r="K6702" s="33"/>
      <c r="L6702" s="33"/>
      <c r="M6702" s="33"/>
      <c r="N6702" s="33"/>
      <c r="O6702" s="33"/>
      <c r="P6702" s="33"/>
      <c r="Q6702" s="33"/>
      <c r="R6702" s="33"/>
      <c r="S6702" s="33"/>
      <c r="T6702" s="33"/>
      <c r="U6702" s="33"/>
      <c r="V6702" s="33"/>
      <c r="W6702" s="33"/>
      <c r="X6702" s="33"/>
      <c r="Y6702" s="33"/>
      <c r="Z6702" s="33"/>
      <c r="AA6702" s="33"/>
      <c r="AB6702" s="33"/>
      <c r="AC6702" s="33"/>
      <c r="AD6702" s="33"/>
      <c r="AE6702" s="33"/>
      <c r="AF6702" s="33"/>
      <c r="AG6702" s="33"/>
      <c r="AH6702" s="33"/>
      <c r="AI6702" s="33"/>
      <c r="AJ6702" s="33"/>
      <c r="AK6702" s="33"/>
    </row>
    <row r="6703">
      <c r="A6703" s="33"/>
      <c r="B6703" s="33"/>
      <c r="C6703" s="33"/>
      <c r="D6703" s="33"/>
      <c r="E6703" s="33"/>
      <c r="F6703" s="33"/>
      <c r="G6703" s="33"/>
      <c r="H6703" s="33"/>
      <c r="I6703" s="33"/>
      <c r="J6703" s="33"/>
      <c r="K6703" s="33"/>
      <c r="L6703" s="33"/>
      <c r="M6703" s="33"/>
      <c r="N6703" s="33"/>
      <c r="O6703" s="33"/>
      <c r="P6703" s="33"/>
      <c r="Q6703" s="33"/>
      <c r="R6703" s="33"/>
      <c r="S6703" s="33"/>
      <c r="T6703" s="33"/>
      <c r="U6703" s="33"/>
      <c r="V6703" s="33"/>
      <c r="W6703" s="33"/>
      <c r="X6703" s="33"/>
      <c r="Y6703" s="33"/>
      <c r="Z6703" s="33"/>
      <c r="AA6703" s="33"/>
      <c r="AB6703" s="33"/>
      <c r="AC6703" s="33"/>
      <c r="AD6703" s="33"/>
      <c r="AE6703" s="33"/>
      <c r="AF6703" s="33"/>
      <c r="AG6703" s="33"/>
      <c r="AH6703" s="33"/>
      <c r="AI6703" s="33"/>
      <c r="AJ6703" s="33"/>
      <c r="AK6703" s="33"/>
    </row>
    <row r="6704">
      <c r="A6704" s="33"/>
      <c r="B6704" s="33"/>
      <c r="C6704" s="33"/>
      <c r="D6704" s="33"/>
      <c r="E6704" s="33"/>
      <c r="F6704" s="33"/>
      <c r="G6704" s="33"/>
      <c r="H6704" s="33"/>
      <c r="I6704" s="33"/>
      <c r="J6704" s="33"/>
      <c r="K6704" s="33"/>
      <c r="L6704" s="33"/>
      <c r="M6704" s="33"/>
      <c r="N6704" s="33"/>
      <c r="O6704" s="33"/>
      <c r="P6704" s="33"/>
      <c r="Q6704" s="33"/>
      <c r="R6704" s="33"/>
      <c r="S6704" s="33"/>
      <c r="T6704" s="33"/>
      <c r="U6704" s="33"/>
      <c r="V6704" s="33"/>
      <c r="W6704" s="33"/>
      <c r="X6704" s="33"/>
      <c r="Y6704" s="33"/>
      <c r="Z6704" s="33"/>
      <c r="AA6704" s="33"/>
      <c r="AB6704" s="33"/>
      <c r="AC6704" s="33"/>
      <c r="AD6704" s="33"/>
      <c r="AE6704" s="33"/>
      <c r="AF6704" s="33"/>
      <c r="AG6704" s="33"/>
      <c r="AH6704" s="33"/>
      <c r="AI6704" s="33"/>
      <c r="AJ6704" s="33"/>
      <c r="AK6704" s="33"/>
    </row>
    <row r="6705">
      <c r="A6705" s="33"/>
      <c r="B6705" s="33"/>
      <c r="C6705" s="33"/>
      <c r="D6705" s="33"/>
      <c r="E6705" s="33"/>
      <c r="F6705" s="33"/>
      <c r="G6705" s="33"/>
      <c r="H6705" s="33"/>
      <c r="I6705" s="33"/>
      <c r="J6705" s="33"/>
      <c r="K6705" s="33"/>
      <c r="L6705" s="33"/>
      <c r="M6705" s="33"/>
      <c r="N6705" s="33"/>
      <c r="O6705" s="33"/>
      <c r="P6705" s="33"/>
      <c r="Q6705" s="33"/>
      <c r="R6705" s="33"/>
      <c r="S6705" s="33"/>
      <c r="T6705" s="33"/>
      <c r="U6705" s="33"/>
      <c r="V6705" s="33"/>
      <c r="W6705" s="33"/>
      <c r="X6705" s="33"/>
      <c r="Y6705" s="33"/>
      <c r="Z6705" s="33"/>
      <c r="AA6705" s="33"/>
      <c r="AB6705" s="33"/>
      <c r="AC6705" s="33"/>
      <c r="AD6705" s="33"/>
      <c r="AE6705" s="33"/>
      <c r="AF6705" s="33"/>
      <c r="AG6705" s="33"/>
      <c r="AH6705" s="33"/>
      <c r="AI6705" s="33"/>
      <c r="AJ6705" s="33"/>
      <c r="AK6705" s="33"/>
    </row>
    <row r="6706">
      <c r="A6706" s="33"/>
      <c r="B6706" s="33"/>
      <c r="C6706" s="33"/>
      <c r="D6706" s="33"/>
      <c r="E6706" s="33"/>
      <c r="F6706" s="33"/>
      <c r="G6706" s="33"/>
      <c r="H6706" s="33"/>
      <c r="I6706" s="33"/>
      <c r="J6706" s="33"/>
      <c r="K6706" s="33"/>
      <c r="L6706" s="33"/>
      <c r="M6706" s="33"/>
      <c r="N6706" s="33"/>
      <c r="O6706" s="33"/>
      <c r="P6706" s="33"/>
      <c r="Q6706" s="33"/>
      <c r="R6706" s="33"/>
      <c r="S6706" s="33"/>
      <c r="T6706" s="33"/>
      <c r="U6706" s="33"/>
      <c r="V6706" s="33"/>
      <c r="W6706" s="33"/>
      <c r="X6706" s="33"/>
      <c r="Y6706" s="33"/>
      <c r="Z6706" s="33"/>
      <c r="AA6706" s="33"/>
      <c r="AB6706" s="33"/>
      <c r="AC6706" s="33"/>
      <c r="AD6706" s="33"/>
      <c r="AE6706" s="33"/>
      <c r="AF6706" s="33"/>
      <c r="AG6706" s="33"/>
      <c r="AH6706" s="33"/>
      <c r="AI6706" s="33"/>
      <c r="AJ6706" s="33"/>
      <c r="AK6706" s="33"/>
    </row>
    <row r="6707">
      <c r="A6707" s="33"/>
      <c r="B6707" s="33"/>
      <c r="C6707" s="33"/>
      <c r="D6707" s="33"/>
      <c r="E6707" s="33"/>
      <c r="F6707" s="33"/>
      <c r="G6707" s="33"/>
      <c r="H6707" s="33"/>
      <c r="I6707" s="33"/>
      <c r="J6707" s="33"/>
      <c r="K6707" s="33"/>
      <c r="L6707" s="33"/>
      <c r="M6707" s="33"/>
      <c r="N6707" s="33"/>
      <c r="O6707" s="33"/>
      <c r="P6707" s="33"/>
      <c r="Q6707" s="33"/>
      <c r="R6707" s="33"/>
      <c r="S6707" s="33"/>
      <c r="T6707" s="33"/>
      <c r="U6707" s="33"/>
      <c r="V6707" s="33"/>
      <c r="W6707" s="33"/>
      <c r="X6707" s="33"/>
      <c r="Y6707" s="33"/>
      <c r="Z6707" s="33"/>
      <c r="AA6707" s="33"/>
      <c r="AB6707" s="33"/>
      <c r="AC6707" s="33"/>
      <c r="AD6707" s="33"/>
      <c r="AE6707" s="33"/>
      <c r="AF6707" s="33"/>
      <c r="AG6707" s="33"/>
      <c r="AH6707" s="33"/>
      <c r="AI6707" s="33"/>
      <c r="AJ6707" s="33"/>
      <c r="AK6707" s="33"/>
    </row>
    <row r="6708">
      <c r="A6708" s="33"/>
      <c r="B6708" s="33"/>
      <c r="C6708" s="33"/>
      <c r="D6708" s="33"/>
      <c r="E6708" s="33"/>
      <c r="F6708" s="33"/>
      <c r="G6708" s="33"/>
      <c r="H6708" s="33"/>
      <c r="I6708" s="33"/>
      <c r="J6708" s="33"/>
      <c r="K6708" s="33"/>
      <c r="L6708" s="33"/>
      <c r="M6708" s="33"/>
      <c r="N6708" s="33"/>
      <c r="O6708" s="33"/>
      <c r="P6708" s="33"/>
      <c r="Q6708" s="33"/>
      <c r="R6708" s="33"/>
      <c r="S6708" s="33"/>
      <c r="T6708" s="33"/>
      <c r="U6708" s="33"/>
      <c r="V6708" s="33"/>
      <c r="W6708" s="33"/>
      <c r="X6708" s="33"/>
      <c r="Y6708" s="33"/>
      <c r="Z6708" s="33"/>
      <c r="AA6708" s="33"/>
      <c r="AB6708" s="33"/>
      <c r="AC6708" s="33"/>
      <c r="AD6708" s="33"/>
      <c r="AE6708" s="33"/>
      <c r="AF6708" s="33"/>
      <c r="AG6708" s="33"/>
      <c r="AH6708" s="33"/>
      <c r="AI6708" s="33"/>
      <c r="AJ6708" s="33"/>
      <c r="AK6708" s="33"/>
    </row>
    <row r="6709">
      <c r="A6709" s="33"/>
      <c r="B6709" s="33"/>
      <c r="C6709" s="33"/>
      <c r="D6709" s="33"/>
      <c r="E6709" s="33"/>
      <c r="F6709" s="33"/>
      <c r="G6709" s="33"/>
      <c r="H6709" s="33"/>
      <c r="I6709" s="33"/>
      <c r="J6709" s="33"/>
      <c r="K6709" s="33"/>
      <c r="L6709" s="33"/>
      <c r="M6709" s="33"/>
      <c r="N6709" s="33"/>
      <c r="O6709" s="33"/>
      <c r="P6709" s="33"/>
      <c r="Q6709" s="33"/>
      <c r="R6709" s="33"/>
      <c r="S6709" s="33"/>
      <c r="T6709" s="33"/>
      <c r="U6709" s="33"/>
      <c r="V6709" s="33"/>
      <c r="W6709" s="33"/>
      <c r="X6709" s="33"/>
      <c r="Y6709" s="33"/>
      <c r="Z6709" s="33"/>
      <c r="AA6709" s="33"/>
      <c r="AB6709" s="33"/>
      <c r="AC6709" s="33"/>
      <c r="AD6709" s="33"/>
      <c r="AE6709" s="33"/>
      <c r="AF6709" s="33"/>
      <c r="AG6709" s="33"/>
      <c r="AH6709" s="33"/>
      <c r="AI6709" s="33"/>
      <c r="AJ6709" s="33"/>
      <c r="AK6709" s="33"/>
    </row>
    <row r="6710">
      <c r="A6710" s="33"/>
      <c r="B6710" s="33"/>
      <c r="C6710" s="33"/>
      <c r="D6710" s="33"/>
      <c r="E6710" s="33"/>
      <c r="F6710" s="33"/>
      <c r="G6710" s="33"/>
      <c r="H6710" s="33"/>
      <c r="I6710" s="33"/>
      <c r="J6710" s="33"/>
      <c r="K6710" s="33"/>
      <c r="L6710" s="33"/>
      <c r="M6710" s="33"/>
      <c r="N6710" s="33"/>
      <c r="O6710" s="33"/>
      <c r="P6710" s="33"/>
      <c r="Q6710" s="33"/>
      <c r="R6710" s="33"/>
      <c r="S6710" s="33"/>
      <c r="T6710" s="33"/>
      <c r="U6710" s="33"/>
      <c r="V6710" s="33"/>
      <c r="W6710" s="33"/>
      <c r="X6710" s="33"/>
      <c r="Y6710" s="33"/>
      <c r="Z6710" s="33"/>
      <c r="AA6710" s="33"/>
      <c r="AB6710" s="33"/>
      <c r="AC6710" s="33"/>
      <c r="AD6710" s="33"/>
      <c r="AE6710" s="33"/>
      <c r="AF6710" s="33"/>
      <c r="AG6710" s="33"/>
      <c r="AH6710" s="33"/>
      <c r="AI6710" s="33"/>
      <c r="AJ6710" s="33"/>
      <c r="AK6710" s="33"/>
    </row>
    <row r="6711">
      <c r="A6711" s="33"/>
      <c r="B6711" s="33"/>
      <c r="C6711" s="33"/>
      <c r="D6711" s="33"/>
      <c r="E6711" s="33"/>
      <c r="F6711" s="33"/>
      <c r="G6711" s="33"/>
      <c r="H6711" s="33"/>
      <c r="I6711" s="33"/>
      <c r="J6711" s="33"/>
      <c r="K6711" s="33"/>
      <c r="L6711" s="33"/>
      <c r="M6711" s="33"/>
      <c r="N6711" s="33"/>
      <c r="O6711" s="33"/>
      <c r="P6711" s="33"/>
      <c r="Q6711" s="33"/>
      <c r="R6711" s="33"/>
      <c r="S6711" s="33"/>
      <c r="T6711" s="33"/>
      <c r="U6711" s="33"/>
      <c r="V6711" s="33"/>
      <c r="W6711" s="33"/>
      <c r="X6711" s="33"/>
      <c r="Y6711" s="33"/>
      <c r="Z6711" s="33"/>
      <c r="AA6711" s="33"/>
      <c r="AB6711" s="33"/>
      <c r="AC6711" s="33"/>
      <c r="AD6711" s="33"/>
      <c r="AE6711" s="33"/>
      <c r="AF6711" s="33"/>
      <c r="AG6711" s="33"/>
      <c r="AH6711" s="33"/>
      <c r="AI6711" s="33"/>
      <c r="AJ6711" s="33"/>
      <c r="AK6711" s="33"/>
    </row>
    <row r="6712">
      <c r="A6712" s="33"/>
      <c r="B6712" s="33"/>
      <c r="C6712" s="33"/>
      <c r="D6712" s="33"/>
      <c r="E6712" s="33"/>
      <c r="F6712" s="33"/>
      <c r="G6712" s="33"/>
      <c r="H6712" s="33"/>
      <c r="I6712" s="33"/>
      <c r="J6712" s="33"/>
      <c r="K6712" s="33"/>
      <c r="L6712" s="33"/>
      <c r="M6712" s="33"/>
      <c r="N6712" s="33"/>
      <c r="O6712" s="33"/>
      <c r="P6712" s="33"/>
      <c r="Q6712" s="33"/>
      <c r="R6712" s="33"/>
      <c r="S6712" s="33"/>
      <c r="T6712" s="33"/>
      <c r="U6712" s="33"/>
      <c r="V6712" s="33"/>
      <c r="W6712" s="33"/>
      <c r="X6712" s="33"/>
      <c r="Y6712" s="33"/>
      <c r="Z6712" s="33"/>
      <c r="AA6712" s="33"/>
      <c r="AB6712" s="33"/>
      <c r="AC6712" s="33"/>
      <c r="AD6712" s="33"/>
      <c r="AE6712" s="33"/>
      <c r="AF6712" s="33"/>
      <c r="AG6712" s="33"/>
      <c r="AH6712" s="33"/>
      <c r="AI6712" s="33"/>
      <c r="AJ6712" s="33"/>
      <c r="AK6712" s="33"/>
    </row>
    <row r="6713">
      <c r="A6713" s="33"/>
      <c r="B6713" s="33"/>
      <c r="C6713" s="33"/>
      <c r="D6713" s="33"/>
      <c r="E6713" s="33"/>
      <c r="F6713" s="33"/>
      <c r="G6713" s="33"/>
      <c r="H6713" s="33"/>
      <c r="I6713" s="33"/>
      <c r="J6713" s="33"/>
      <c r="K6713" s="33"/>
      <c r="L6713" s="33"/>
      <c r="M6713" s="33"/>
      <c r="N6713" s="33"/>
      <c r="O6713" s="33"/>
      <c r="P6713" s="33"/>
      <c r="Q6713" s="33"/>
      <c r="R6713" s="33"/>
      <c r="S6713" s="33"/>
      <c r="T6713" s="33"/>
      <c r="U6713" s="33"/>
      <c r="V6713" s="33"/>
      <c r="W6713" s="33"/>
      <c r="X6713" s="33"/>
      <c r="Y6713" s="33"/>
      <c r="Z6713" s="33"/>
      <c r="AA6713" s="33"/>
      <c r="AB6713" s="33"/>
      <c r="AC6713" s="33"/>
      <c r="AD6713" s="33"/>
      <c r="AE6713" s="33"/>
      <c r="AF6713" s="33"/>
      <c r="AG6713" s="33"/>
      <c r="AH6713" s="33"/>
      <c r="AI6713" s="33"/>
      <c r="AJ6713" s="33"/>
      <c r="AK6713" s="33"/>
    </row>
    <row r="6714">
      <c r="A6714" s="33"/>
      <c r="B6714" s="33"/>
      <c r="C6714" s="33"/>
      <c r="D6714" s="33"/>
      <c r="E6714" s="33"/>
      <c r="F6714" s="33"/>
      <c r="G6714" s="33"/>
      <c r="H6714" s="33"/>
      <c r="I6714" s="33"/>
      <c r="J6714" s="33"/>
      <c r="K6714" s="33"/>
      <c r="L6714" s="33"/>
      <c r="M6714" s="33"/>
      <c r="N6714" s="33"/>
      <c r="O6714" s="33"/>
      <c r="P6714" s="33"/>
      <c r="Q6714" s="33"/>
      <c r="R6714" s="33"/>
      <c r="S6714" s="33"/>
      <c r="T6714" s="33"/>
      <c r="U6714" s="33"/>
      <c r="V6714" s="33"/>
      <c r="W6714" s="33"/>
      <c r="X6714" s="33"/>
      <c r="Y6714" s="33"/>
      <c r="Z6714" s="33"/>
      <c r="AA6714" s="33"/>
      <c r="AB6714" s="33"/>
      <c r="AC6714" s="33"/>
      <c r="AD6714" s="33"/>
      <c r="AE6714" s="33"/>
      <c r="AF6714" s="33"/>
      <c r="AG6714" s="33"/>
      <c r="AH6714" s="33"/>
      <c r="AI6714" s="33"/>
      <c r="AJ6714" s="33"/>
      <c r="AK6714" s="33"/>
    </row>
    <row r="6715">
      <c r="A6715" s="33"/>
      <c r="B6715" s="33"/>
      <c r="C6715" s="33"/>
      <c r="D6715" s="33"/>
      <c r="E6715" s="33"/>
      <c r="F6715" s="33"/>
      <c r="G6715" s="33"/>
      <c r="H6715" s="33"/>
      <c r="I6715" s="33"/>
      <c r="J6715" s="33"/>
      <c r="K6715" s="33"/>
      <c r="L6715" s="33"/>
      <c r="M6715" s="33"/>
      <c r="N6715" s="33"/>
      <c r="O6715" s="33"/>
      <c r="P6715" s="33"/>
      <c r="Q6715" s="33"/>
      <c r="R6715" s="33"/>
      <c r="S6715" s="33"/>
      <c r="T6715" s="33"/>
      <c r="U6715" s="33"/>
      <c r="V6715" s="33"/>
      <c r="W6715" s="33"/>
      <c r="X6715" s="33"/>
      <c r="Y6715" s="33"/>
      <c r="Z6715" s="33"/>
      <c r="AA6715" s="33"/>
      <c r="AB6715" s="33"/>
      <c r="AC6715" s="33"/>
      <c r="AD6715" s="33"/>
      <c r="AE6715" s="33"/>
      <c r="AF6715" s="33"/>
      <c r="AG6715" s="33"/>
      <c r="AH6715" s="33"/>
      <c r="AI6715" s="33"/>
      <c r="AJ6715" s="33"/>
      <c r="AK6715" s="33"/>
    </row>
    <row r="6716">
      <c r="A6716" s="33"/>
      <c r="B6716" s="33"/>
      <c r="C6716" s="33"/>
      <c r="D6716" s="33"/>
      <c r="E6716" s="33"/>
      <c r="F6716" s="33"/>
      <c r="G6716" s="33"/>
      <c r="H6716" s="33"/>
      <c r="I6716" s="33"/>
      <c r="J6716" s="33"/>
      <c r="K6716" s="33"/>
      <c r="L6716" s="33"/>
      <c r="M6716" s="33"/>
      <c r="N6716" s="33"/>
      <c r="O6716" s="33"/>
      <c r="P6716" s="33"/>
      <c r="Q6716" s="33"/>
      <c r="R6716" s="33"/>
      <c r="S6716" s="33"/>
      <c r="T6716" s="33"/>
      <c r="U6716" s="33"/>
      <c r="V6716" s="33"/>
      <c r="W6716" s="33"/>
      <c r="X6716" s="33"/>
      <c r="Y6716" s="33"/>
      <c r="Z6716" s="33"/>
      <c r="AA6716" s="33"/>
      <c r="AB6716" s="33"/>
      <c r="AC6716" s="33"/>
      <c r="AD6716" s="33"/>
      <c r="AE6716" s="33"/>
      <c r="AF6716" s="33"/>
      <c r="AG6716" s="33"/>
      <c r="AH6716" s="33"/>
      <c r="AI6716" s="33"/>
      <c r="AJ6716" s="33"/>
      <c r="AK6716" s="33"/>
    </row>
    <row r="6717">
      <c r="A6717" s="33"/>
      <c r="B6717" s="33"/>
      <c r="C6717" s="33"/>
      <c r="D6717" s="33"/>
      <c r="E6717" s="33"/>
      <c r="F6717" s="33"/>
      <c r="G6717" s="33"/>
      <c r="H6717" s="33"/>
      <c r="I6717" s="33"/>
      <c r="J6717" s="33"/>
      <c r="K6717" s="33"/>
      <c r="L6717" s="33"/>
      <c r="M6717" s="33"/>
      <c r="N6717" s="33"/>
      <c r="O6717" s="33"/>
      <c r="P6717" s="33"/>
      <c r="Q6717" s="33"/>
      <c r="R6717" s="33"/>
      <c r="S6717" s="33"/>
      <c r="T6717" s="33"/>
      <c r="U6717" s="33"/>
      <c r="V6717" s="33"/>
      <c r="W6717" s="33"/>
      <c r="X6717" s="33"/>
      <c r="Y6717" s="33"/>
      <c r="Z6717" s="33"/>
      <c r="AA6717" s="33"/>
      <c r="AB6717" s="33"/>
      <c r="AC6717" s="33"/>
      <c r="AD6717" s="33"/>
      <c r="AE6717" s="33"/>
      <c r="AF6717" s="33"/>
      <c r="AG6717" s="33"/>
      <c r="AH6717" s="33"/>
      <c r="AI6717" s="33"/>
      <c r="AJ6717" s="33"/>
      <c r="AK6717" s="33"/>
    </row>
    <row r="6718">
      <c r="A6718" s="33"/>
      <c r="B6718" s="33"/>
      <c r="C6718" s="33"/>
      <c r="D6718" s="33"/>
      <c r="E6718" s="33"/>
      <c r="F6718" s="33"/>
      <c r="G6718" s="33"/>
      <c r="H6718" s="33"/>
      <c r="I6718" s="33"/>
      <c r="J6718" s="33"/>
      <c r="K6718" s="33"/>
      <c r="L6718" s="33"/>
      <c r="M6718" s="33"/>
      <c r="N6718" s="33"/>
      <c r="O6718" s="33"/>
      <c r="P6718" s="33"/>
      <c r="Q6718" s="33"/>
      <c r="R6718" s="33"/>
      <c r="S6718" s="33"/>
      <c r="T6718" s="33"/>
      <c r="U6718" s="33"/>
      <c r="V6718" s="33"/>
      <c r="W6718" s="33"/>
      <c r="X6718" s="33"/>
      <c r="Y6718" s="33"/>
      <c r="Z6718" s="33"/>
      <c r="AA6718" s="33"/>
      <c r="AB6718" s="33"/>
      <c r="AC6718" s="33"/>
      <c r="AD6718" s="33"/>
      <c r="AE6718" s="33"/>
      <c r="AF6718" s="33"/>
      <c r="AG6718" s="33"/>
      <c r="AH6718" s="33"/>
      <c r="AI6718" s="33"/>
      <c r="AJ6718" s="33"/>
      <c r="AK6718" s="33"/>
    </row>
    <row r="6719">
      <c r="A6719" s="33"/>
      <c r="B6719" s="33"/>
      <c r="C6719" s="33"/>
      <c r="D6719" s="33"/>
      <c r="E6719" s="33"/>
      <c r="F6719" s="33"/>
      <c r="G6719" s="33"/>
      <c r="H6719" s="33"/>
      <c r="I6719" s="33"/>
      <c r="J6719" s="33"/>
      <c r="K6719" s="33"/>
      <c r="L6719" s="33"/>
      <c r="M6719" s="33"/>
      <c r="N6719" s="33"/>
      <c r="O6719" s="33"/>
      <c r="P6719" s="33"/>
      <c r="Q6719" s="33"/>
      <c r="R6719" s="33"/>
      <c r="S6719" s="33"/>
      <c r="T6719" s="33"/>
      <c r="U6719" s="33"/>
      <c r="V6719" s="33"/>
      <c r="W6719" s="33"/>
      <c r="X6719" s="33"/>
      <c r="Y6719" s="33"/>
      <c r="Z6719" s="33"/>
      <c r="AA6719" s="33"/>
      <c r="AB6719" s="33"/>
      <c r="AC6719" s="33"/>
      <c r="AD6719" s="33"/>
      <c r="AE6719" s="33"/>
      <c r="AF6719" s="33"/>
      <c r="AG6719" s="33"/>
      <c r="AH6719" s="33"/>
      <c r="AI6719" s="33"/>
      <c r="AJ6719" s="33"/>
      <c r="AK6719" s="33"/>
    </row>
    <row r="6720">
      <c r="A6720" s="33"/>
      <c r="B6720" s="33"/>
      <c r="C6720" s="33"/>
      <c r="D6720" s="33"/>
      <c r="E6720" s="33"/>
      <c r="F6720" s="33"/>
      <c r="G6720" s="33"/>
      <c r="H6720" s="33"/>
      <c r="I6720" s="33"/>
      <c r="J6720" s="33"/>
      <c r="K6720" s="33"/>
      <c r="L6720" s="33"/>
      <c r="M6720" s="33"/>
      <c r="N6720" s="33"/>
      <c r="O6720" s="33"/>
      <c r="P6720" s="33"/>
      <c r="Q6720" s="33"/>
      <c r="R6720" s="33"/>
      <c r="S6720" s="33"/>
      <c r="T6720" s="33"/>
      <c r="U6720" s="33"/>
      <c r="V6720" s="33"/>
      <c r="W6720" s="33"/>
      <c r="X6720" s="33"/>
      <c r="Y6720" s="33"/>
      <c r="Z6720" s="33"/>
      <c r="AA6720" s="33"/>
      <c r="AB6720" s="33"/>
      <c r="AC6720" s="33"/>
      <c r="AD6720" s="33"/>
      <c r="AE6720" s="33"/>
      <c r="AF6720" s="33"/>
      <c r="AG6720" s="33"/>
      <c r="AH6720" s="33"/>
      <c r="AI6720" s="33"/>
      <c r="AJ6720" s="33"/>
      <c r="AK6720" s="33"/>
    </row>
    <row r="6721">
      <c r="A6721" s="33"/>
      <c r="B6721" s="33"/>
      <c r="C6721" s="33"/>
      <c r="D6721" s="33"/>
      <c r="E6721" s="33"/>
      <c r="F6721" s="33"/>
      <c r="G6721" s="33"/>
      <c r="H6721" s="33"/>
      <c r="I6721" s="33"/>
      <c r="J6721" s="33"/>
      <c r="K6721" s="33"/>
      <c r="L6721" s="33"/>
      <c r="M6721" s="33"/>
      <c r="N6721" s="33"/>
      <c r="O6721" s="33"/>
      <c r="P6721" s="33"/>
      <c r="Q6721" s="33"/>
      <c r="R6721" s="33"/>
      <c r="S6721" s="33"/>
      <c r="T6721" s="33"/>
      <c r="U6721" s="33"/>
      <c r="V6721" s="33"/>
      <c r="W6721" s="33"/>
      <c r="X6721" s="33"/>
      <c r="Y6721" s="33"/>
      <c r="Z6721" s="33"/>
      <c r="AA6721" s="33"/>
      <c r="AB6721" s="33"/>
      <c r="AC6721" s="33"/>
      <c r="AD6721" s="33"/>
      <c r="AE6721" s="33"/>
      <c r="AF6721" s="33"/>
      <c r="AG6721" s="33"/>
      <c r="AH6721" s="33"/>
      <c r="AI6721" s="33"/>
      <c r="AJ6721" s="33"/>
      <c r="AK6721" s="33"/>
    </row>
    <row r="6722">
      <c r="A6722" s="33"/>
      <c r="B6722" s="33"/>
      <c r="C6722" s="33"/>
      <c r="D6722" s="33"/>
      <c r="E6722" s="33"/>
      <c r="F6722" s="33"/>
      <c r="G6722" s="33"/>
      <c r="H6722" s="33"/>
      <c r="I6722" s="33"/>
      <c r="J6722" s="33"/>
      <c r="K6722" s="33"/>
      <c r="L6722" s="33"/>
      <c r="M6722" s="33"/>
      <c r="N6722" s="33"/>
      <c r="O6722" s="33"/>
      <c r="P6722" s="33"/>
      <c r="Q6722" s="33"/>
      <c r="R6722" s="33"/>
      <c r="S6722" s="33"/>
      <c r="T6722" s="33"/>
      <c r="U6722" s="33"/>
      <c r="V6722" s="33"/>
      <c r="W6722" s="33"/>
      <c r="X6722" s="33"/>
      <c r="Y6722" s="33"/>
      <c r="Z6722" s="33"/>
      <c r="AA6722" s="33"/>
      <c r="AB6722" s="33"/>
      <c r="AC6722" s="33"/>
      <c r="AD6722" s="33"/>
      <c r="AE6722" s="33"/>
      <c r="AF6722" s="33"/>
      <c r="AG6722" s="33"/>
      <c r="AH6722" s="33"/>
      <c r="AI6722" s="33"/>
      <c r="AJ6722" s="33"/>
      <c r="AK6722" s="33"/>
    </row>
    <row r="6723">
      <c r="A6723" s="33"/>
      <c r="B6723" s="33"/>
      <c r="C6723" s="33"/>
      <c r="D6723" s="33"/>
      <c r="E6723" s="33"/>
      <c r="F6723" s="33"/>
      <c r="G6723" s="33"/>
      <c r="H6723" s="33"/>
      <c r="I6723" s="33"/>
      <c r="J6723" s="33"/>
      <c r="K6723" s="33"/>
      <c r="L6723" s="33"/>
      <c r="M6723" s="33"/>
      <c r="N6723" s="33"/>
      <c r="O6723" s="33"/>
      <c r="P6723" s="33"/>
      <c r="Q6723" s="33"/>
      <c r="R6723" s="33"/>
      <c r="S6723" s="33"/>
      <c r="T6723" s="33"/>
      <c r="U6723" s="33"/>
      <c r="V6723" s="33"/>
      <c r="W6723" s="33"/>
      <c r="X6723" s="33"/>
      <c r="Y6723" s="33"/>
      <c r="Z6723" s="33"/>
      <c r="AA6723" s="33"/>
      <c r="AB6723" s="33"/>
      <c r="AC6723" s="33"/>
      <c r="AD6723" s="33"/>
      <c r="AE6723" s="33"/>
      <c r="AF6723" s="33"/>
      <c r="AG6723" s="33"/>
      <c r="AH6723" s="33"/>
      <c r="AI6723" s="33"/>
      <c r="AJ6723" s="33"/>
      <c r="AK6723" s="33"/>
    </row>
    <row r="6724">
      <c r="A6724" s="33"/>
      <c r="B6724" s="33"/>
      <c r="C6724" s="33"/>
      <c r="D6724" s="33"/>
      <c r="E6724" s="33"/>
      <c r="F6724" s="33"/>
      <c r="G6724" s="33"/>
      <c r="H6724" s="33"/>
      <c r="I6724" s="33"/>
      <c r="J6724" s="33"/>
      <c r="K6724" s="33"/>
      <c r="L6724" s="33"/>
      <c r="M6724" s="33"/>
      <c r="N6724" s="33"/>
      <c r="O6724" s="33"/>
      <c r="P6724" s="33"/>
      <c r="Q6724" s="33"/>
      <c r="R6724" s="33"/>
      <c r="S6724" s="33"/>
      <c r="T6724" s="33"/>
      <c r="U6724" s="33"/>
      <c r="V6724" s="33"/>
      <c r="W6724" s="33"/>
      <c r="X6724" s="33"/>
      <c r="Y6724" s="33"/>
      <c r="Z6724" s="33"/>
      <c r="AA6724" s="33"/>
      <c r="AB6724" s="33"/>
      <c r="AC6724" s="33"/>
      <c r="AD6724" s="33"/>
      <c r="AE6724" s="33"/>
      <c r="AF6724" s="33"/>
      <c r="AG6724" s="33"/>
      <c r="AH6724" s="33"/>
      <c r="AI6724" s="33"/>
      <c r="AJ6724" s="33"/>
      <c r="AK6724" s="33"/>
    </row>
    <row r="6725">
      <c r="A6725" s="33"/>
      <c r="B6725" s="33"/>
      <c r="C6725" s="33"/>
      <c r="D6725" s="33"/>
      <c r="E6725" s="33"/>
      <c r="F6725" s="33"/>
      <c r="G6725" s="33"/>
      <c r="H6725" s="33"/>
      <c r="I6725" s="33"/>
      <c r="J6725" s="33"/>
      <c r="K6725" s="33"/>
      <c r="L6725" s="33"/>
      <c r="M6725" s="33"/>
      <c r="N6725" s="33"/>
      <c r="O6725" s="33"/>
      <c r="P6725" s="33"/>
      <c r="Q6725" s="33"/>
      <c r="R6725" s="33"/>
      <c r="S6725" s="33"/>
      <c r="T6725" s="33"/>
      <c r="U6725" s="33"/>
      <c r="V6725" s="33"/>
      <c r="W6725" s="33"/>
      <c r="X6725" s="33"/>
      <c r="Y6725" s="33"/>
      <c r="Z6725" s="33"/>
      <c r="AA6725" s="33"/>
      <c r="AB6725" s="33"/>
      <c r="AC6725" s="33"/>
      <c r="AD6725" s="33"/>
      <c r="AE6725" s="33"/>
      <c r="AF6725" s="33"/>
      <c r="AG6725" s="33"/>
      <c r="AH6725" s="33"/>
      <c r="AI6725" s="33"/>
      <c r="AJ6725" s="33"/>
      <c r="AK6725" s="33"/>
    </row>
    <row r="6726">
      <c r="A6726" s="33"/>
      <c r="B6726" s="33"/>
      <c r="C6726" s="33"/>
      <c r="D6726" s="33"/>
      <c r="E6726" s="33"/>
      <c r="F6726" s="33"/>
      <c r="G6726" s="33"/>
      <c r="H6726" s="33"/>
      <c r="I6726" s="33"/>
      <c r="J6726" s="33"/>
      <c r="K6726" s="33"/>
      <c r="L6726" s="33"/>
      <c r="M6726" s="33"/>
      <c r="N6726" s="33"/>
      <c r="O6726" s="33"/>
      <c r="P6726" s="33"/>
      <c r="Q6726" s="33"/>
      <c r="R6726" s="33"/>
      <c r="S6726" s="33"/>
      <c r="T6726" s="33"/>
      <c r="U6726" s="33"/>
      <c r="V6726" s="33"/>
      <c r="W6726" s="33"/>
      <c r="X6726" s="33"/>
      <c r="Y6726" s="33"/>
      <c r="Z6726" s="33"/>
      <c r="AA6726" s="33"/>
      <c r="AB6726" s="33"/>
      <c r="AC6726" s="33"/>
      <c r="AD6726" s="33"/>
      <c r="AE6726" s="33"/>
      <c r="AF6726" s="33"/>
      <c r="AG6726" s="33"/>
      <c r="AH6726" s="33"/>
      <c r="AI6726" s="33"/>
      <c r="AJ6726" s="33"/>
      <c r="AK6726" s="33"/>
    </row>
    <row r="6727">
      <c r="A6727" s="33"/>
      <c r="B6727" s="33"/>
      <c r="C6727" s="33"/>
      <c r="D6727" s="33"/>
      <c r="E6727" s="33"/>
      <c r="F6727" s="33"/>
      <c r="G6727" s="33"/>
      <c r="H6727" s="33"/>
      <c r="I6727" s="33"/>
      <c r="J6727" s="33"/>
      <c r="K6727" s="33"/>
      <c r="L6727" s="33"/>
      <c r="M6727" s="33"/>
      <c r="N6727" s="33"/>
      <c r="O6727" s="33"/>
      <c r="P6727" s="33"/>
      <c r="Q6727" s="33"/>
      <c r="R6727" s="33"/>
      <c r="S6727" s="33"/>
      <c r="T6727" s="33"/>
      <c r="U6727" s="33"/>
      <c r="V6727" s="33"/>
      <c r="W6727" s="33"/>
      <c r="X6727" s="33"/>
      <c r="Y6727" s="33"/>
      <c r="Z6727" s="33"/>
      <c r="AA6727" s="33"/>
      <c r="AB6727" s="33"/>
      <c r="AC6727" s="33"/>
      <c r="AD6727" s="33"/>
      <c r="AE6727" s="33"/>
      <c r="AF6727" s="33"/>
      <c r="AG6727" s="33"/>
      <c r="AH6727" s="33"/>
      <c r="AI6727" s="33"/>
      <c r="AJ6727" s="33"/>
      <c r="AK6727" s="33"/>
    </row>
    <row r="6728">
      <c r="A6728" s="33"/>
      <c r="B6728" s="33"/>
      <c r="C6728" s="33"/>
      <c r="D6728" s="33"/>
      <c r="E6728" s="33"/>
      <c r="F6728" s="33"/>
      <c r="G6728" s="33"/>
      <c r="H6728" s="33"/>
      <c r="I6728" s="33"/>
      <c r="J6728" s="33"/>
      <c r="K6728" s="33"/>
      <c r="L6728" s="33"/>
      <c r="M6728" s="33"/>
      <c r="N6728" s="33"/>
      <c r="O6728" s="33"/>
      <c r="P6728" s="33"/>
      <c r="Q6728" s="33"/>
      <c r="R6728" s="33"/>
      <c r="S6728" s="33"/>
      <c r="T6728" s="33"/>
      <c r="U6728" s="33"/>
      <c r="V6728" s="33"/>
      <c r="W6728" s="33"/>
      <c r="X6728" s="33"/>
      <c r="Y6728" s="33"/>
      <c r="Z6728" s="33"/>
      <c r="AA6728" s="33"/>
      <c r="AB6728" s="33"/>
      <c r="AC6728" s="33"/>
      <c r="AD6728" s="33"/>
      <c r="AE6728" s="33"/>
      <c r="AF6728" s="33"/>
      <c r="AG6728" s="33"/>
      <c r="AH6728" s="33"/>
      <c r="AI6728" s="33"/>
      <c r="AJ6728" s="33"/>
      <c r="AK6728" s="33"/>
    </row>
    <row r="6729">
      <c r="A6729" s="33"/>
      <c r="B6729" s="33"/>
      <c r="C6729" s="33"/>
      <c r="D6729" s="33"/>
      <c r="E6729" s="33"/>
      <c r="F6729" s="33"/>
      <c r="G6729" s="33"/>
      <c r="H6729" s="33"/>
      <c r="I6729" s="33"/>
      <c r="J6729" s="33"/>
      <c r="K6729" s="33"/>
      <c r="L6729" s="33"/>
      <c r="M6729" s="33"/>
      <c r="N6729" s="33"/>
      <c r="O6729" s="33"/>
      <c r="P6729" s="33"/>
      <c r="Q6729" s="33"/>
      <c r="R6729" s="33"/>
      <c r="S6729" s="33"/>
      <c r="T6729" s="33"/>
      <c r="U6729" s="33"/>
      <c r="V6729" s="33"/>
      <c r="W6729" s="33"/>
      <c r="X6729" s="33"/>
      <c r="Y6729" s="33"/>
      <c r="Z6729" s="33"/>
      <c r="AA6729" s="33"/>
      <c r="AB6729" s="33"/>
      <c r="AC6729" s="33"/>
      <c r="AD6729" s="33"/>
      <c r="AE6729" s="33"/>
      <c r="AF6729" s="33"/>
      <c r="AG6729" s="33"/>
      <c r="AH6729" s="33"/>
      <c r="AI6729" s="33"/>
      <c r="AJ6729" s="33"/>
      <c r="AK6729" s="33"/>
    </row>
    <row r="6730">
      <c r="A6730" s="33"/>
      <c r="B6730" s="33"/>
      <c r="C6730" s="33"/>
      <c r="D6730" s="33"/>
      <c r="E6730" s="33"/>
      <c r="F6730" s="33"/>
      <c r="G6730" s="33"/>
      <c r="H6730" s="33"/>
      <c r="I6730" s="33"/>
      <c r="J6730" s="33"/>
      <c r="K6730" s="33"/>
      <c r="L6730" s="33"/>
      <c r="M6730" s="33"/>
      <c r="N6730" s="33"/>
      <c r="O6730" s="33"/>
      <c r="P6730" s="33"/>
      <c r="Q6730" s="33"/>
      <c r="R6730" s="33"/>
      <c r="S6730" s="33"/>
      <c r="T6730" s="33"/>
      <c r="U6730" s="33"/>
      <c r="V6730" s="33"/>
      <c r="W6730" s="33"/>
      <c r="X6730" s="33"/>
      <c r="Y6730" s="33"/>
      <c r="Z6730" s="33"/>
      <c r="AA6730" s="33"/>
      <c r="AB6730" s="33"/>
      <c r="AC6730" s="33"/>
      <c r="AD6730" s="33"/>
      <c r="AE6730" s="33"/>
      <c r="AF6730" s="33"/>
      <c r="AG6730" s="33"/>
      <c r="AH6730" s="33"/>
      <c r="AI6730" s="33"/>
      <c r="AJ6730" s="33"/>
      <c r="AK6730" s="33"/>
    </row>
    <row r="6731">
      <c r="A6731" s="33"/>
      <c r="B6731" s="33"/>
      <c r="C6731" s="33"/>
      <c r="D6731" s="33"/>
      <c r="E6731" s="33"/>
      <c r="F6731" s="33"/>
      <c r="G6731" s="33"/>
      <c r="H6731" s="33"/>
      <c r="I6731" s="33"/>
      <c r="J6731" s="33"/>
      <c r="K6731" s="33"/>
      <c r="L6731" s="33"/>
      <c r="M6731" s="33"/>
      <c r="N6731" s="33"/>
      <c r="O6731" s="33"/>
      <c r="P6731" s="33"/>
      <c r="Q6731" s="33"/>
      <c r="R6731" s="33"/>
      <c r="S6731" s="33"/>
      <c r="T6731" s="33"/>
      <c r="U6731" s="33"/>
      <c r="V6731" s="33"/>
      <c r="W6731" s="33"/>
      <c r="X6731" s="33"/>
      <c r="Y6731" s="33"/>
      <c r="Z6731" s="33"/>
      <c r="AA6731" s="33"/>
      <c r="AB6731" s="33"/>
      <c r="AC6731" s="33"/>
      <c r="AD6731" s="33"/>
      <c r="AE6731" s="33"/>
      <c r="AF6731" s="33"/>
      <c r="AG6731" s="33"/>
      <c r="AH6731" s="33"/>
      <c r="AI6731" s="33"/>
      <c r="AJ6731" s="33"/>
      <c r="AK6731" s="33"/>
    </row>
    <row r="6732">
      <c r="A6732" s="33"/>
      <c r="B6732" s="33"/>
      <c r="C6732" s="33"/>
      <c r="D6732" s="33"/>
      <c r="E6732" s="33"/>
      <c r="F6732" s="33"/>
      <c r="G6732" s="33"/>
      <c r="H6732" s="33"/>
      <c r="I6732" s="33"/>
      <c r="J6732" s="33"/>
      <c r="K6732" s="33"/>
      <c r="L6732" s="33"/>
      <c r="M6732" s="33"/>
      <c r="N6732" s="33"/>
      <c r="O6732" s="33"/>
      <c r="P6732" s="33"/>
      <c r="Q6732" s="33"/>
      <c r="R6732" s="33"/>
      <c r="S6732" s="33"/>
      <c r="T6732" s="33"/>
      <c r="U6732" s="33"/>
      <c r="V6732" s="33"/>
      <c r="W6732" s="33"/>
      <c r="X6732" s="33"/>
      <c r="Y6732" s="33"/>
      <c r="Z6732" s="33"/>
      <c r="AA6732" s="33"/>
      <c r="AB6732" s="33"/>
      <c r="AC6732" s="33"/>
      <c r="AD6732" s="33"/>
      <c r="AE6732" s="33"/>
      <c r="AF6732" s="33"/>
      <c r="AG6732" s="33"/>
      <c r="AH6732" s="33"/>
      <c r="AI6732" s="33"/>
      <c r="AJ6732" s="33"/>
      <c r="AK6732" s="33"/>
    </row>
    <row r="6733">
      <c r="A6733" s="33"/>
      <c r="B6733" s="33"/>
      <c r="C6733" s="33"/>
      <c r="D6733" s="33"/>
      <c r="E6733" s="33"/>
      <c r="F6733" s="33"/>
      <c r="G6733" s="33"/>
      <c r="H6733" s="33"/>
      <c r="I6733" s="33"/>
      <c r="J6733" s="33"/>
      <c r="K6733" s="33"/>
      <c r="L6733" s="33"/>
      <c r="M6733" s="33"/>
      <c r="N6733" s="33"/>
      <c r="O6733" s="33"/>
      <c r="P6733" s="33"/>
      <c r="Q6733" s="33"/>
      <c r="R6733" s="33"/>
      <c r="S6733" s="33"/>
      <c r="T6733" s="33"/>
      <c r="U6733" s="33"/>
      <c r="V6733" s="33"/>
      <c r="W6733" s="33"/>
      <c r="X6733" s="33"/>
      <c r="Y6733" s="33"/>
      <c r="Z6733" s="33"/>
      <c r="AA6733" s="33"/>
      <c r="AB6733" s="33"/>
      <c r="AC6733" s="33"/>
      <c r="AD6733" s="33"/>
      <c r="AE6733" s="33"/>
      <c r="AF6733" s="33"/>
      <c r="AG6733" s="33"/>
      <c r="AH6733" s="33"/>
      <c r="AI6733" s="33"/>
      <c r="AJ6733" s="33"/>
      <c r="AK6733" s="33"/>
    </row>
    <row r="6734">
      <c r="A6734" s="33"/>
      <c r="B6734" s="33"/>
      <c r="C6734" s="33"/>
      <c r="D6734" s="33"/>
      <c r="E6734" s="33"/>
      <c r="F6734" s="33"/>
      <c r="G6734" s="33"/>
      <c r="H6734" s="33"/>
      <c r="I6734" s="33"/>
      <c r="J6734" s="33"/>
      <c r="K6734" s="33"/>
      <c r="L6734" s="33"/>
      <c r="M6734" s="33"/>
      <c r="N6734" s="33"/>
      <c r="O6734" s="33"/>
      <c r="P6734" s="33"/>
      <c r="Q6734" s="33"/>
      <c r="R6734" s="33"/>
      <c r="S6734" s="33"/>
      <c r="T6734" s="33"/>
      <c r="U6734" s="33"/>
      <c r="V6734" s="33"/>
      <c r="W6734" s="33"/>
      <c r="X6734" s="33"/>
      <c r="Y6734" s="33"/>
      <c r="Z6734" s="33"/>
      <c r="AA6734" s="33"/>
      <c r="AB6734" s="33"/>
      <c r="AC6734" s="33"/>
      <c r="AD6734" s="33"/>
      <c r="AE6734" s="33"/>
      <c r="AF6734" s="33"/>
      <c r="AG6734" s="33"/>
      <c r="AH6734" s="33"/>
      <c r="AI6734" s="33"/>
      <c r="AJ6734" s="33"/>
      <c r="AK6734" s="33"/>
    </row>
    <row r="6735">
      <c r="A6735" s="33"/>
      <c r="B6735" s="33"/>
      <c r="C6735" s="33"/>
      <c r="D6735" s="33"/>
      <c r="E6735" s="33"/>
      <c r="F6735" s="33"/>
      <c r="G6735" s="33"/>
      <c r="H6735" s="33"/>
      <c r="I6735" s="33"/>
      <c r="J6735" s="33"/>
      <c r="K6735" s="33"/>
      <c r="L6735" s="33"/>
      <c r="M6735" s="33"/>
      <c r="N6735" s="33"/>
      <c r="O6735" s="33"/>
      <c r="P6735" s="33"/>
      <c r="Q6735" s="33"/>
      <c r="R6735" s="33"/>
      <c r="S6735" s="33"/>
      <c r="T6735" s="33"/>
      <c r="U6735" s="33"/>
      <c r="V6735" s="33"/>
      <c r="W6735" s="33"/>
      <c r="X6735" s="33"/>
      <c r="Y6735" s="33"/>
      <c r="Z6735" s="33"/>
      <c r="AA6735" s="33"/>
      <c r="AB6735" s="33"/>
      <c r="AC6735" s="33"/>
      <c r="AD6735" s="33"/>
      <c r="AE6735" s="33"/>
      <c r="AF6735" s="33"/>
      <c r="AG6735" s="33"/>
      <c r="AH6735" s="33"/>
      <c r="AI6735" s="33"/>
      <c r="AJ6735" s="33"/>
      <c r="AK6735" s="33"/>
    </row>
    <row r="6736">
      <c r="A6736" s="33"/>
      <c r="B6736" s="33"/>
      <c r="C6736" s="33"/>
      <c r="D6736" s="33"/>
      <c r="E6736" s="33"/>
      <c r="F6736" s="33"/>
      <c r="G6736" s="33"/>
      <c r="H6736" s="33"/>
      <c r="I6736" s="33"/>
      <c r="J6736" s="33"/>
      <c r="K6736" s="33"/>
      <c r="L6736" s="33"/>
      <c r="M6736" s="33"/>
      <c r="N6736" s="33"/>
      <c r="O6736" s="33"/>
      <c r="P6736" s="33"/>
      <c r="Q6736" s="33"/>
      <c r="R6736" s="33"/>
      <c r="S6736" s="33"/>
      <c r="T6736" s="33"/>
      <c r="U6736" s="33"/>
      <c r="V6736" s="33"/>
      <c r="W6736" s="33"/>
      <c r="X6736" s="33"/>
      <c r="Y6736" s="33"/>
      <c r="Z6736" s="33"/>
      <c r="AA6736" s="33"/>
      <c r="AB6736" s="33"/>
      <c r="AC6736" s="33"/>
      <c r="AD6736" s="33"/>
      <c r="AE6736" s="33"/>
      <c r="AF6736" s="33"/>
      <c r="AG6736" s="33"/>
      <c r="AH6736" s="33"/>
      <c r="AI6736" s="33"/>
      <c r="AJ6736" s="33"/>
      <c r="AK6736" s="33"/>
    </row>
    <row r="6737">
      <c r="A6737" s="33"/>
      <c r="B6737" s="33"/>
      <c r="C6737" s="33"/>
      <c r="D6737" s="33"/>
      <c r="E6737" s="33"/>
      <c r="F6737" s="33"/>
      <c r="G6737" s="33"/>
      <c r="H6737" s="33"/>
      <c r="I6737" s="33"/>
      <c r="J6737" s="33"/>
      <c r="K6737" s="33"/>
      <c r="L6737" s="33"/>
      <c r="M6737" s="33"/>
      <c r="N6737" s="33"/>
      <c r="O6737" s="33"/>
      <c r="P6737" s="33"/>
      <c r="Q6737" s="33"/>
      <c r="R6737" s="33"/>
      <c r="S6737" s="33"/>
      <c r="T6737" s="33"/>
      <c r="U6737" s="33"/>
      <c r="V6737" s="33"/>
      <c r="W6737" s="33"/>
      <c r="X6737" s="33"/>
      <c r="Y6737" s="33"/>
      <c r="Z6737" s="33"/>
      <c r="AA6737" s="33"/>
      <c r="AB6737" s="33"/>
      <c r="AC6737" s="33"/>
      <c r="AD6737" s="33"/>
      <c r="AE6737" s="33"/>
      <c r="AF6737" s="33"/>
      <c r="AG6737" s="33"/>
      <c r="AH6737" s="33"/>
      <c r="AI6737" s="33"/>
      <c r="AJ6737" s="33"/>
      <c r="AK6737" s="33"/>
    </row>
    <row r="6738">
      <c r="A6738" s="33"/>
      <c r="B6738" s="33"/>
      <c r="C6738" s="33"/>
      <c r="D6738" s="33"/>
      <c r="E6738" s="33"/>
      <c r="F6738" s="33"/>
      <c r="G6738" s="33"/>
      <c r="H6738" s="33"/>
      <c r="I6738" s="33"/>
      <c r="J6738" s="33"/>
      <c r="K6738" s="33"/>
      <c r="L6738" s="33"/>
      <c r="M6738" s="33"/>
      <c r="N6738" s="33"/>
      <c r="O6738" s="33"/>
      <c r="P6738" s="33"/>
      <c r="Q6738" s="33"/>
      <c r="R6738" s="33"/>
      <c r="S6738" s="33"/>
      <c r="T6738" s="33"/>
      <c r="U6738" s="33"/>
      <c r="V6738" s="33"/>
      <c r="W6738" s="33"/>
      <c r="X6738" s="33"/>
      <c r="Y6738" s="33"/>
      <c r="Z6738" s="33"/>
      <c r="AA6738" s="33"/>
      <c r="AB6738" s="33"/>
      <c r="AC6738" s="33"/>
      <c r="AD6738" s="33"/>
      <c r="AE6738" s="33"/>
      <c r="AF6738" s="33"/>
      <c r="AG6738" s="33"/>
      <c r="AH6738" s="33"/>
      <c r="AI6738" s="33"/>
      <c r="AJ6738" s="33"/>
      <c r="AK6738" s="33"/>
    </row>
    <row r="6739">
      <c r="A6739" s="33"/>
      <c r="B6739" s="33"/>
      <c r="C6739" s="33"/>
      <c r="D6739" s="33"/>
      <c r="E6739" s="33"/>
      <c r="F6739" s="33"/>
      <c r="G6739" s="33"/>
      <c r="H6739" s="33"/>
      <c r="I6739" s="33"/>
      <c r="J6739" s="33"/>
      <c r="K6739" s="33"/>
      <c r="L6739" s="33"/>
      <c r="M6739" s="33"/>
      <c r="N6739" s="33"/>
      <c r="O6739" s="33"/>
      <c r="P6739" s="33"/>
      <c r="Q6739" s="33"/>
      <c r="R6739" s="33"/>
      <c r="S6739" s="33"/>
      <c r="T6739" s="33"/>
      <c r="U6739" s="33"/>
      <c r="V6739" s="33"/>
      <c r="W6739" s="33"/>
      <c r="X6739" s="33"/>
      <c r="Y6739" s="33"/>
      <c r="Z6739" s="33"/>
      <c r="AA6739" s="33"/>
      <c r="AB6739" s="33"/>
      <c r="AC6739" s="33"/>
      <c r="AD6739" s="33"/>
      <c r="AE6739" s="33"/>
      <c r="AF6739" s="33"/>
      <c r="AG6739" s="33"/>
      <c r="AH6739" s="33"/>
      <c r="AI6739" s="33"/>
      <c r="AJ6739" s="33"/>
      <c r="AK6739" s="33"/>
    </row>
    <row r="6740">
      <c r="A6740" s="33"/>
      <c r="B6740" s="33"/>
      <c r="C6740" s="33"/>
      <c r="D6740" s="33"/>
      <c r="E6740" s="33"/>
      <c r="F6740" s="33"/>
      <c r="G6740" s="33"/>
      <c r="H6740" s="33"/>
      <c r="I6740" s="33"/>
      <c r="J6740" s="33"/>
      <c r="K6740" s="33"/>
      <c r="L6740" s="33"/>
      <c r="M6740" s="33"/>
      <c r="N6740" s="33"/>
      <c r="O6740" s="33"/>
      <c r="P6740" s="33"/>
      <c r="Q6740" s="33"/>
      <c r="R6740" s="33"/>
      <c r="S6740" s="33"/>
      <c r="T6740" s="33"/>
      <c r="U6740" s="33"/>
      <c r="V6740" s="33"/>
      <c r="W6740" s="33"/>
      <c r="X6740" s="33"/>
      <c r="Y6740" s="33"/>
      <c r="Z6740" s="33"/>
      <c r="AA6740" s="33"/>
      <c r="AB6740" s="33"/>
      <c r="AC6740" s="33"/>
      <c r="AD6740" s="33"/>
      <c r="AE6740" s="33"/>
      <c r="AF6740" s="33"/>
      <c r="AG6740" s="33"/>
      <c r="AH6740" s="33"/>
      <c r="AI6740" s="33"/>
      <c r="AJ6740" s="33"/>
      <c r="AK6740" s="33"/>
    </row>
    <row r="6741">
      <c r="A6741" s="33"/>
      <c r="B6741" s="33"/>
      <c r="C6741" s="33"/>
      <c r="D6741" s="33"/>
      <c r="E6741" s="33"/>
      <c r="F6741" s="33"/>
      <c r="G6741" s="33"/>
      <c r="H6741" s="33"/>
      <c r="I6741" s="33"/>
      <c r="J6741" s="33"/>
      <c r="K6741" s="33"/>
      <c r="L6741" s="33"/>
      <c r="M6741" s="33"/>
      <c r="N6741" s="33"/>
      <c r="O6741" s="33"/>
      <c r="P6741" s="33"/>
      <c r="Q6741" s="33"/>
      <c r="R6741" s="33"/>
      <c r="S6741" s="33"/>
      <c r="T6741" s="33"/>
      <c r="U6741" s="33"/>
      <c r="V6741" s="33"/>
      <c r="W6741" s="33"/>
      <c r="X6741" s="33"/>
      <c r="Y6741" s="33"/>
      <c r="Z6741" s="33"/>
      <c r="AA6741" s="33"/>
      <c r="AB6741" s="33"/>
      <c r="AC6741" s="33"/>
      <c r="AD6741" s="33"/>
      <c r="AE6741" s="33"/>
      <c r="AF6741" s="33"/>
      <c r="AG6741" s="33"/>
      <c r="AH6741" s="33"/>
      <c r="AI6741" s="33"/>
      <c r="AJ6741" s="33"/>
      <c r="AK6741" s="33"/>
    </row>
    <row r="6742">
      <c r="A6742" s="33"/>
      <c r="B6742" s="33"/>
      <c r="C6742" s="33"/>
      <c r="D6742" s="33"/>
      <c r="E6742" s="33"/>
      <c r="F6742" s="33"/>
      <c r="G6742" s="33"/>
      <c r="H6742" s="33"/>
      <c r="I6742" s="33"/>
      <c r="J6742" s="33"/>
      <c r="K6742" s="33"/>
      <c r="L6742" s="33"/>
      <c r="M6742" s="33"/>
      <c r="N6742" s="33"/>
      <c r="O6742" s="33"/>
      <c r="P6742" s="33"/>
      <c r="Q6742" s="33"/>
      <c r="R6742" s="33"/>
      <c r="S6742" s="33"/>
      <c r="T6742" s="33"/>
      <c r="U6742" s="33"/>
      <c r="V6742" s="33"/>
      <c r="W6742" s="33"/>
      <c r="X6742" s="33"/>
      <c r="Y6742" s="33"/>
      <c r="Z6742" s="33"/>
      <c r="AA6742" s="33"/>
      <c r="AB6742" s="33"/>
      <c r="AC6742" s="33"/>
      <c r="AD6742" s="33"/>
      <c r="AE6742" s="33"/>
      <c r="AF6742" s="33"/>
      <c r="AG6742" s="33"/>
      <c r="AH6742" s="33"/>
      <c r="AI6742" s="33"/>
      <c r="AJ6742" s="33"/>
      <c r="AK6742" s="33"/>
    </row>
    <row r="6743">
      <c r="A6743" s="33"/>
      <c r="B6743" s="33"/>
      <c r="C6743" s="33"/>
      <c r="D6743" s="33"/>
      <c r="E6743" s="33"/>
      <c r="F6743" s="33"/>
      <c r="G6743" s="33"/>
      <c r="H6743" s="33"/>
      <c r="I6743" s="33"/>
      <c r="J6743" s="33"/>
      <c r="K6743" s="33"/>
      <c r="L6743" s="33"/>
      <c r="M6743" s="33"/>
      <c r="N6743" s="33"/>
      <c r="O6743" s="33"/>
      <c r="P6743" s="33"/>
      <c r="Q6743" s="33"/>
      <c r="R6743" s="33"/>
      <c r="S6743" s="33"/>
      <c r="T6743" s="33"/>
      <c r="U6743" s="33"/>
      <c r="V6743" s="33"/>
      <c r="W6743" s="33"/>
      <c r="X6743" s="33"/>
      <c r="Y6743" s="33"/>
      <c r="Z6743" s="33"/>
      <c r="AA6743" s="33"/>
      <c r="AB6743" s="33"/>
      <c r="AC6743" s="33"/>
      <c r="AD6743" s="33"/>
      <c r="AE6743" s="33"/>
      <c r="AF6743" s="33"/>
      <c r="AG6743" s="33"/>
      <c r="AH6743" s="33"/>
      <c r="AI6743" s="33"/>
      <c r="AJ6743" s="33"/>
      <c r="AK6743" s="33"/>
    </row>
    <row r="6744">
      <c r="A6744" s="33"/>
      <c r="B6744" s="33"/>
      <c r="C6744" s="33"/>
      <c r="D6744" s="33"/>
      <c r="E6744" s="33"/>
      <c r="F6744" s="33"/>
      <c r="G6744" s="33"/>
      <c r="H6744" s="33"/>
      <c r="I6744" s="33"/>
      <c r="J6744" s="33"/>
      <c r="K6744" s="33"/>
      <c r="L6744" s="33"/>
      <c r="M6744" s="33"/>
      <c r="N6744" s="33"/>
      <c r="O6744" s="33"/>
      <c r="P6744" s="33"/>
      <c r="Q6744" s="33"/>
      <c r="R6744" s="33"/>
      <c r="S6744" s="33"/>
      <c r="T6744" s="33"/>
      <c r="U6744" s="33"/>
      <c r="V6744" s="33"/>
      <c r="W6744" s="33"/>
      <c r="X6744" s="33"/>
      <c r="Y6744" s="33"/>
      <c r="Z6744" s="33"/>
      <c r="AA6744" s="33"/>
      <c r="AB6744" s="33"/>
      <c r="AC6744" s="33"/>
      <c r="AD6744" s="33"/>
      <c r="AE6744" s="33"/>
      <c r="AF6744" s="33"/>
      <c r="AG6744" s="33"/>
      <c r="AH6744" s="33"/>
      <c r="AI6744" s="33"/>
      <c r="AJ6744" s="33"/>
      <c r="AK6744" s="33"/>
    </row>
    <row r="6745">
      <c r="A6745" s="33"/>
      <c r="B6745" s="33"/>
      <c r="C6745" s="33"/>
      <c r="D6745" s="33"/>
      <c r="E6745" s="33"/>
      <c r="F6745" s="33"/>
      <c r="G6745" s="33"/>
      <c r="H6745" s="33"/>
      <c r="I6745" s="33"/>
      <c r="J6745" s="33"/>
      <c r="K6745" s="33"/>
      <c r="L6745" s="33"/>
      <c r="M6745" s="33"/>
      <c r="N6745" s="33"/>
      <c r="O6745" s="33"/>
      <c r="P6745" s="33"/>
      <c r="Q6745" s="33"/>
      <c r="R6745" s="33"/>
      <c r="S6745" s="33"/>
      <c r="T6745" s="33"/>
      <c r="U6745" s="33"/>
      <c r="V6745" s="33"/>
      <c r="W6745" s="33"/>
      <c r="X6745" s="33"/>
      <c r="Y6745" s="33"/>
      <c r="Z6745" s="33"/>
      <c r="AA6745" s="33"/>
      <c r="AB6745" s="33"/>
      <c r="AC6745" s="33"/>
      <c r="AD6745" s="33"/>
      <c r="AE6745" s="33"/>
      <c r="AF6745" s="33"/>
      <c r="AG6745" s="33"/>
      <c r="AH6745" s="33"/>
      <c r="AI6745" s="33"/>
      <c r="AJ6745" s="33"/>
      <c r="AK6745" s="33"/>
    </row>
    <row r="6746">
      <c r="A6746" s="33"/>
      <c r="B6746" s="33"/>
      <c r="C6746" s="33"/>
      <c r="D6746" s="33"/>
      <c r="E6746" s="33"/>
      <c r="F6746" s="33"/>
      <c r="G6746" s="33"/>
      <c r="H6746" s="33"/>
      <c r="I6746" s="33"/>
      <c r="J6746" s="33"/>
      <c r="K6746" s="33"/>
      <c r="L6746" s="33"/>
      <c r="M6746" s="33"/>
      <c r="N6746" s="33"/>
      <c r="O6746" s="33"/>
      <c r="P6746" s="33"/>
      <c r="Q6746" s="33"/>
      <c r="R6746" s="33"/>
      <c r="S6746" s="33"/>
      <c r="T6746" s="33"/>
      <c r="U6746" s="33"/>
      <c r="V6746" s="33"/>
      <c r="W6746" s="33"/>
      <c r="X6746" s="33"/>
      <c r="Y6746" s="33"/>
      <c r="Z6746" s="33"/>
      <c r="AA6746" s="33"/>
      <c r="AB6746" s="33"/>
      <c r="AC6746" s="33"/>
      <c r="AD6746" s="33"/>
      <c r="AE6746" s="33"/>
      <c r="AF6746" s="33"/>
      <c r="AG6746" s="33"/>
      <c r="AH6746" s="33"/>
      <c r="AI6746" s="33"/>
      <c r="AJ6746" s="33"/>
      <c r="AK6746" s="33"/>
    </row>
    <row r="6747">
      <c r="A6747" s="33"/>
      <c r="B6747" s="33"/>
      <c r="C6747" s="33"/>
      <c r="D6747" s="33"/>
      <c r="E6747" s="33"/>
      <c r="F6747" s="33"/>
      <c r="G6747" s="33"/>
      <c r="H6747" s="33"/>
      <c r="I6747" s="33"/>
      <c r="J6747" s="33"/>
      <c r="K6747" s="33"/>
      <c r="L6747" s="33"/>
      <c r="M6747" s="33"/>
      <c r="N6747" s="33"/>
      <c r="O6747" s="33"/>
      <c r="P6747" s="33"/>
      <c r="Q6747" s="33"/>
      <c r="R6747" s="33"/>
      <c r="S6747" s="33"/>
      <c r="T6747" s="33"/>
      <c r="U6747" s="33"/>
      <c r="V6747" s="33"/>
      <c r="W6747" s="33"/>
      <c r="X6747" s="33"/>
      <c r="Y6747" s="33"/>
      <c r="Z6747" s="33"/>
      <c r="AA6747" s="33"/>
      <c r="AB6747" s="33"/>
      <c r="AC6747" s="33"/>
      <c r="AD6747" s="33"/>
      <c r="AE6747" s="33"/>
      <c r="AF6747" s="33"/>
      <c r="AG6747" s="33"/>
      <c r="AH6747" s="33"/>
      <c r="AI6747" s="33"/>
      <c r="AJ6747" s="33"/>
      <c r="AK6747" s="33"/>
    </row>
    <row r="6748">
      <c r="A6748" s="33"/>
      <c r="B6748" s="33"/>
      <c r="C6748" s="33"/>
      <c r="D6748" s="33"/>
      <c r="E6748" s="33"/>
      <c r="F6748" s="33"/>
      <c r="G6748" s="33"/>
      <c r="H6748" s="33"/>
      <c r="I6748" s="33"/>
      <c r="J6748" s="33"/>
      <c r="K6748" s="33"/>
      <c r="L6748" s="33"/>
      <c r="M6748" s="33"/>
      <c r="N6748" s="33"/>
      <c r="O6748" s="33"/>
      <c r="P6748" s="33"/>
      <c r="Q6748" s="33"/>
      <c r="R6748" s="33"/>
      <c r="S6748" s="33"/>
      <c r="T6748" s="33"/>
      <c r="U6748" s="33"/>
      <c r="V6748" s="33"/>
      <c r="W6748" s="33"/>
      <c r="X6748" s="33"/>
      <c r="Y6748" s="33"/>
      <c r="Z6748" s="33"/>
      <c r="AA6748" s="33"/>
      <c r="AB6748" s="33"/>
      <c r="AC6748" s="33"/>
      <c r="AD6748" s="33"/>
      <c r="AE6748" s="33"/>
      <c r="AF6748" s="33"/>
      <c r="AG6748" s="33"/>
      <c r="AH6748" s="33"/>
      <c r="AI6748" s="33"/>
      <c r="AJ6748" s="33"/>
      <c r="AK6748" s="33"/>
    </row>
    <row r="6749">
      <c r="A6749" s="33"/>
      <c r="B6749" s="33"/>
      <c r="C6749" s="33"/>
      <c r="D6749" s="33"/>
      <c r="E6749" s="33"/>
      <c r="F6749" s="33"/>
      <c r="G6749" s="33"/>
      <c r="H6749" s="33"/>
      <c r="I6749" s="33"/>
      <c r="J6749" s="33"/>
      <c r="K6749" s="33"/>
      <c r="L6749" s="33"/>
      <c r="M6749" s="33"/>
      <c r="N6749" s="33"/>
      <c r="O6749" s="33"/>
      <c r="P6749" s="33"/>
      <c r="Q6749" s="33"/>
      <c r="R6749" s="33"/>
      <c r="S6749" s="33"/>
      <c r="T6749" s="33"/>
      <c r="U6749" s="33"/>
      <c r="V6749" s="33"/>
      <c r="W6749" s="33"/>
      <c r="X6749" s="33"/>
      <c r="Y6749" s="33"/>
      <c r="Z6749" s="33"/>
      <c r="AA6749" s="33"/>
      <c r="AB6749" s="33"/>
      <c r="AC6749" s="33"/>
      <c r="AD6749" s="33"/>
      <c r="AE6749" s="33"/>
      <c r="AF6749" s="33"/>
      <c r="AG6749" s="33"/>
      <c r="AH6749" s="33"/>
      <c r="AI6749" s="33"/>
      <c r="AJ6749" s="33"/>
      <c r="AK6749" s="33"/>
    </row>
    <row r="6750">
      <c r="A6750" s="33"/>
      <c r="B6750" s="33"/>
      <c r="C6750" s="33"/>
      <c r="D6750" s="33"/>
      <c r="E6750" s="33"/>
      <c r="F6750" s="33"/>
      <c r="G6750" s="33"/>
      <c r="H6750" s="33"/>
      <c r="I6750" s="33"/>
      <c r="J6750" s="33"/>
      <c r="K6750" s="33"/>
      <c r="L6750" s="33"/>
      <c r="M6750" s="33"/>
      <c r="N6750" s="33"/>
      <c r="O6750" s="33"/>
      <c r="P6750" s="33"/>
      <c r="Q6750" s="33"/>
      <c r="R6750" s="33"/>
      <c r="S6750" s="33"/>
      <c r="T6750" s="33"/>
      <c r="U6750" s="33"/>
      <c r="V6750" s="33"/>
      <c r="W6750" s="33"/>
      <c r="X6750" s="33"/>
      <c r="Y6750" s="33"/>
      <c r="Z6750" s="33"/>
      <c r="AA6750" s="33"/>
      <c r="AB6750" s="33"/>
      <c r="AC6750" s="33"/>
      <c r="AD6750" s="33"/>
      <c r="AE6750" s="33"/>
      <c r="AF6750" s="33"/>
      <c r="AG6750" s="33"/>
      <c r="AH6750" s="33"/>
      <c r="AI6750" s="33"/>
      <c r="AJ6750" s="33"/>
      <c r="AK6750" s="33"/>
    </row>
    <row r="6751">
      <c r="A6751" s="33"/>
      <c r="B6751" s="33"/>
      <c r="C6751" s="33"/>
      <c r="D6751" s="33"/>
      <c r="E6751" s="33"/>
      <c r="F6751" s="33"/>
      <c r="G6751" s="33"/>
      <c r="H6751" s="33"/>
      <c r="I6751" s="33"/>
      <c r="J6751" s="33"/>
      <c r="K6751" s="33"/>
      <c r="L6751" s="33"/>
      <c r="M6751" s="33"/>
      <c r="N6751" s="33"/>
      <c r="O6751" s="33"/>
      <c r="P6751" s="33"/>
      <c r="Q6751" s="33"/>
      <c r="R6751" s="33"/>
      <c r="S6751" s="33"/>
      <c r="T6751" s="33"/>
      <c r="U6751" s="33"/>
      <c r="V6751" s="33"/>
      <c r="W6751" s="33"/>
      <c r="X6751" s="33"/>
      <c r="Y6751" s="33"/>
      <c r="Z6751" s="33"/>
      <c r="AA6751" s="33"/>
      <c r="AB6751" s="33"/>
      <c r="AC6751" s="33"/>
      <c r="AD6751" s="33"/>
      <c r="AE6751" s="33"/>
      <c r="AF6751" s="33"/>
      <c r="AG6751" s="33"/>
      <c r="AH6751" s="33"/>
      <c r="AI6751" s="33"/>
      <c r="AJ6751" s="33"/>
      <c r="AK6751" s="33"/>
    </row>
    <row r="6752">
      <c r="A6752" s="33"/>
      <c r="B6752" s="33"/>
      <c r="C6752" s="33"/>
      <c r="D6752" s="33"/>
      <c r="E6752" s="33"/>
      <c r="F6752" s="33"/>
      <c r="G6752" s="33"/>
      <c r="H6752" s="33"/>
      <c r="I6752" s="33"/>
      <c r="J6752" s="33"/>
      <c r="K6752" s="33"/>
      <c r="L6752" s="33"/>
      <c r="M6752" s="33"/>
      <c r="N6752" s="33"/>
      <c r="O6752" s="33"/>
      <c r="P6752" s="33"/>
      <c r="Q6752" s="33"/>
      <c r="R6752" s="33"/>
      <c r="S6752" s="33"/>
      <c r="T6752" s="33"/>
      <c r="U6752" s="33"/>
      <c r="V6752" s="33"/>
      <c r="W6752" s="33"/>
      <c r="X6752" s="33"/>
      <c r="Y6752" s="33"/>
      <c r="Z6752" s="33"/>
      <c r="AA6752" s="33"/>
      <c r="AB6752" s="33"/>
      <c r="AC6752" s="33"/>
      <c r="AD6752" s="33"/>
      <c r="AE6752" s="33"/>
      <c r="AF6752" s="33"/>
      <c r="AG6752" s="33"/>
      <c r="AH6752" s="33"/>
      <c r="AI6752" s="33"/>
      <c r="AJ6752" s="33"/>
      <c r="AK6752" s="33"/>
    </row>
    <row r="6753">
      <c r="A6753" s="33"/>
      <c r="B6753" s="33"/>
      <c r="C6753" s="33"/>
      <c r="D6753" s="33"/>
      <c r="E6753" s="33"/>
      <c r="F6753" s="33"/>
      <c r="G6753" s="33"/>
      <c r="H6753" s="33"/>
      <c r="I6753" s="33"/>
      <c r="J6753" s="33"/>
      <c r="K6753" s="33"/>
      <c r="L6753" s="33"/>
      <c r="M6753" s="33"/>
      <c r="N6753" s="33"/>
      <c r="O6753" s="33"/>
      <c r="P6753" s="33"/>
      <c r="Q6753" s="33"/>
      <c r="R6753" s="33"/>
      <c r="S6753" s="33"/>
      <c r="T6753" s="33"/>
      <c r="U6753" s="33"/>
      <c r="V6753" s="33"/>
      <c r="W6753" s="33"/>
      <c r="X6753" s="33"/>
      <c r="Y6753" s="33"/>
      <c r="Z6753" s="33"/>
      <c r="AA6753" s="33"/>
      <c r="AB6753" s="33"/>
      <c r="AC6753" s="33"/>
      <c r="AD6753" s="33"/>
      <c r="AE6753" s="33"/>
      <c r="AF6753" s="33"/>
      <c r="AG6753" s="33"/>
      <c r="AH6753" s="33"/>
      <c r="AI6753" s="33"/>
      <c r="AJ6753" s="33"/>
      <c r="AK6753" s="33"/>
    </row>
    <row r="6754">
      <c r="A6754" s="33"/>
      <c r="B6754" s="33"/>
      <c r="C6754" s="33"/>
      <c r="D6754" s="33"/>
      <c r="E6754" s="33"/>
      <c r="F6754" s="33"/>
      <c r="G6754" s="33"/>
      <c r="H6754" s="33"/>
      <c r="I6754" s="33"/>
      <c r="J6754" s="33"/>
      <c r="K6754" s="33"/>
      <c r="L6754" s="33"/>
      <c r="M6754" s="33"/>
      <c r="N6754" s="33"/>
      <c r="O6754" s="33"/>
      <c r="P6754" s="33"/>
      <c r="Q6754" s="33"/>
      <c r="R6754" s="33"/>
      <c r="S6754" s="33"/>
      <c r="T6754" s="33"/>
      <c r="U6754" s="33"/>
      <c r="V6754" s="33"/>
      <c r="W6754" s="33"/>
      <c r="X6754" s="33"/>
      <c r="Y6754" s="33"/>
      <c r="Z6754" s="33"/>
      <c r="AA6754" s="33"/>
      <c r="AB6754" s="33"/>
      <c r="AC6754" s="33"/>
      <c r="AD6754" s="33"/>
      <c r="AE6754" s="33"/>
      <c r="AF6754" s="33"/>
      <c r="AG6754" s="33"/>
      <c r="AH6754" s="33"/>
      <c r="AI6754" s="33"/>
      <c r="AJ6754" s="33"/>
      <c r="AK6754" s="33"/>
    </row>
    <row r="6755">
      <c r="A6755" s="33"/>
      <c r="B6755" s="33"/>
      <c r="C6755" s="33"/>
      <c r="D6755" s="33"/>
      <c r="E6755" s="33"/>
      <c r="F6755" s="33"/>
      <c r="G6755" s="33"/>
      <c r="H6755" s="33"/>
      <c r="I6755" s="33"/>
      <c r="J6755" s="33"/>
      <c r="K6755" s="33"/>
      <c r="L6755" s="33"/>
      <c r="M6755" s="33"/>
      <c r="N6755" s="33"/>
      <c r="O6755" s="33"/>
      <c r="P6755" s="33"/>
      <c r="Q6755" s="33"/>
      <c r="R6755" s="33"/>
      <c r="S6755" s="33"/>
      <c r="T6755" s="33"/>
      <c r="U6755" s="33"/>
      <c r="V6755" s="33"/>
      <c r="W6755" s="33"/>
      <c r="X6755" s="33"/>
      <c r="Y6755" s="33"/>
      <c r="Z6755" s="33"/>
      <c r="AA6755" s="33"/>
      <c r="AB6755" s="33"/>
      <c r="AC6755" s="33"/>
      <c r="AD6755" s="33"/>
      <c r="AE6755" s="33"/>
      <c r="AF6755" s="33"/>
      <c r="AG6755" s="33"/>
      <c r="AH6755" s="33"/>
      <c r="AI6755" s="33"/>
      <c r="AJ6755" s="33"/>
      <c r="AK6755" s="33"/>
    </row>
    <row r="6756">
      <c r="A6756" s="33"/>
      <c r="B6756" s="33"/>
      <c r="C6756" s="33"/>
      <c r="D6756" s="33"/>
      <c r="E6756" s="33"/>
      <c r="F6756" s="33"/>
      <c r="G6756" s="33"/>
      <c r="H6756" s="33"/>
      <c r="I6756" s="33"/>
      <c r="J6756" s="33"/>
      <c r="K6756" s="33"/>
      <c r="L6756" s="33"/>
      <c r="M6756" s="33"/>
      <c r="N6756" s="33"/>
      <c r="O6756" s="33"/>
      <c r="P6756" s="33"/>
      <c r="Q6756" s="33"/>
      <c r="R6756" s="33"/>
      <c r="S6756" s="33"/>
      <c r="T6756" s="33"/>
      <c r="U6756" s="33"/>
      <c r="V6756" s="33"/>
      <c r="W6756" s="33"/>
      <c r="X6756" s="33"/>
      <c r="Y6756" s="33"/>
      <c r="Z6756" s="33"/>
      <c r="AA6756" s="33"/>
      <c r="AB6756" s="33"/>
      <c r="AC6756" s="33"/>
      <c r="AD6756" s="33"/>
      <c r="AE6756" s="33"/>
      <c r="AF6756" s="33"/>
      <c r="AG6756" s="33"/>
      <c r="AH6756" s="33"/>
      <c r="AI6756" s="33"/>
      <c r="AJ6756" s="33"/>
      <c r="AK6756" s="33"/>
    </row>
    <row r="6757">
      <c r="A6757" s="33"/>
      <c r="B6757" s="33"/>
      <c r="C6757" s="33"/>
      <c r="D6757" s="33"/>
      <c r="E6757" s="33"/>
      <c r="F6757" s="33"/>
      <c r="G6757" s="33"/>
      <c r="H6757" s="33"/>
      <c r="I6757" s="33"/>
      <c r="J6757" s="33"/>
      <c r="K6757" s="33"/>
      <c r="L6757" s="33"/>
      <c r="M6757" s="33"/>
      <c r="N6757" s="33"/>
      <c r="O6757" s="33"/>
      <c r="P6757" s="33"/>
      <c r="Q6757" s="33"/>
      <c r="R6757" s="33"/>
      <c r="S6757" s="33"/>
      <c r="T6757" s="33"/>
      <c r="U6757" s="33"/>
      <c r="V6757" s="33"/>
      <c r="W6757" s="33"/>
      <c r="X6757" s="33"/>
      <c r="Y6757" s="33"/>
      <c r="Z6757" s="33"/>
      <c r="AA6757" s="33"/>
      <c r="AB6757" s="33"/>
      <c r="AC6757" s="33"/>
      <c r="AD6757" s="33"/>
      <c r="AE6757" s="33"/>
      <c r="AF6757" s="33"/>
      <c r="AG6757" s="33"/>
      <c r="AH6757" s="33"/>
      <c r="AI6757" s="33"/>
      <c r="AJ6757" s="33"/>
      <c r="AK6757" s="33"/>
    </row>
    <row r="6758">
      <c r="A6758" s="33"/>
      <c r="B6758" s="33"/>
      <c r="C6758" s="33"/>
      <c r="D6758" s="33"/>
      <c r="E6758" s="33"/>
      <c r="F6758" s="33"/>
      <c r="G6758" s="33"/>
      <c r="H6758" s="33"/>
      <c r="I6758" s="33"/>
      <c r="J6758" s="33"/>
      <c r="K6758" s="33"/>
      <c r="L6758" s="33"/>
      <c r="M6758" s="33"/>
      <c r="N6758" s="33"/>
      <c r="O6758" s="33"/>
      <c r="P6758" s="33"/>
      <c r="Q6758" s="33"/>
      <c r="R6758" s="33"/>
      <c r="S6758" s="33"/>
      <c r="T6758" s="33"/>
      <c r="U6758" s="33"/>
      <c r="V6758" s="33"/>
      <c r="W6758" s="33"/>
      <c r="X6758" s="33"/>
      <c r="Y6758" s="33"/>
      <c r="Z6758" s="33"/>
      <c r="AA6758" s="33"/>
      <c r="AB6758" s="33"/>
      <c r="AC6758" s="33"/>
      <c r="AD6758" s="33"/>
      <c r="AE6758" s="33"/>
      <c r="AF6758" s="33"/>
      <c r="AG6758" s="33"/>
      <c r="AH6758" s="33"/>
      <c r="AI6758" s="33"/>
      <c r="AJ6758" s="33"/>
      <c r="AK6758" s="33"/>
    </row>
    <row r="6759">
      <c r="A6759" s="33"/>
      <c r="B6759" s="33"/>
      <c r="C6759" s="33"/>
      <c r="D6759" s="33"/>
      <c r="E6759" s="33"/>
      <c r="F6759" s="33"/>
      <c r="G6759" s="33"/>
      <c r="H6759" s="33"/>
      <c r="I6759" s="33"/>
      <c r="J6759" s="33"/>
      <c r="K6759" s="33"/>
      <c r="L6759" s="33"/>
      <c r="M6759" s="33"/>
      <c r="N6759" s="33"/>
      <c r="O6759" s="33"/>
      <c r="P6759" s="33"/>
      <c r="Q6759" s="33"/>
      <c r="R6759" s="33"/>
      <c r="S6759" s="33"/>
      <c r="T6759" s="33"/>
      <c r="U6759" s="33"/>
      <c r="V6759" s="33"/>
      <c r="W6759" s="33"/>
      <c r="X6759" s="33"/>
      <c r="Y6759" s="33"/>
      <c r="Z6759" s="33"/>
      <c r="AA6759" s="33"/>
      <c r="AB6759" s="33"/>
      <c r="AC6759" s="33"/>
      <c r="AD6759" s="33"/>
      <c r="AE6759" s="33"/>
      <c r="AF6759" s="33"/>
      <c r="AG6759" s="33"/>
      <c r="AH6759" s="33"/>
      <c r="AI6759" s="33"/>
      <c r="AJ6759" s="33"/>
      <c r="AK6759" s="33"/>
    </row>
    <row r="6760">
      <c r="A6760" s="33"/>
      <c r="B6760" s="33"/>
      <c r="C6760" s="33"/>
      <c r="D6760" s="33"/>
      <c r="E6760" s="33"/>
      <c r="F6760" s="33"/>
      <c r="G6760" s="33"/>
      <c r="H6760" s="33"/>
      <c r="I6760" s="33"/>
      <c r="J6760" s="33"/>
      <c r="K6760" s="33"/>
      <c r="L6760" s="33"/>
      <c r="M6760" s="33"/>
      <c r="N6760" s="33"/>
      <c r="O6760" s="33"/>
      <c r="P6760" s="33"/>
      <c r="Q6760" s="33"/>
      <c r="R6760" s="33"/>
      <c r="S6760" s="33"/>
      <c r="T6760" s="33"/>
      <c r="U6760" s="33"/>
      <c r="V6760" s="33"/>
      <c r="W6760" s="33"/>
      <c r="X6760" s="33"/>
      <c r="Y6760" s="33"/>
      <c r="Z6760" s="33"/>
      <c r="AA6760" s="33"/>
      <c r="AB6760" s="33"/>
      <c r="AC6760" s="33"/>
      <c r="AD6760" s="33"/>
      <c r="AE6760" s="33"/>
      <c r="AF6760" s="33"/>
      <c r="AG6760" s="33"/>
      <c r="AH6760" s="33"/>
      <c r="AI6760" s="33"/>
      <c r="AJ6760" s="33"/>
      <c r="AK6760" s="33"/>
    </row>
    <row r="6761">
      <c r="A6761" s="33"/>
      <c r="B6761" s="33"/>
      <c r="C6761" s="33"/>
      <c r="D6761" s="33"/>
      <c r="E6761" s="33"/>
      <c r="F6761" s="33"/>
      <c r="G6761" s="33"/>
      <c r="H6761" s="33"/>
      <c r="I6761" s="33"/>
      <c r="J6761" s="33"/>
      <c r="K6761" s="33"/>
      <c r="L6761" s="33"/>
      <c r="M6761" s="33"/>
      <c r="N6761" s="33"/>
      <c r="O6761" s="33"/>
      <c r="P6761" s="33"/>
      <c r="Q6761" s="33"/>
      <c r="R6761" s="33"/>
      <c r="S6761" s="33"/>
      <c r="T6761" s="33"/>
      <c r="U6761" s="33"/>
      <c r="V6761" s="33"/>
      <c r="W6761" s="33"/>
      <c r="X6761" s="33"/>
      <c r="Y6761" s="33"/>
      <c r="Z6761" s="33"/>
      <c r="AA6761" s="33"/>
      <c r="AB6761" s="33"/>
      <c r="AC6761" s="33"/>
      <c r="AD6761" s="33"/>
      <c r="AE6761" s="33"/>
      <c r="AF6761" s="33"/>
      <c r="AG6761" s="33"/>
      <c r="AH6761" s="33"/>
      <c r="AI6761" s="33"/>
      <c r="AJ6761" s="33"/>
      <c r="AK6761" s="33"/>
    </row>
    <row r="6762">
      <c r="A6762" s="33"/>
      <c r="B6762" s="33"/>
      <c r="C6762" s="33"/>
      <c r="D6762" s="33"/>
      <c r="E6762" s="33"/>
      <c r="F6762" s="33"/>
      <c r="G6762" s="33"/>
      <c r="H6762" s="33"/>
      <c r="I6762" s="33"/>
      <c r="J6762" s="33"/>
      <c r="K6762" s="33"/>
      <c r="L6762" s="33"/>
      <c r="M6762" s="33"/>
      <c r="N6762" s="33"/>
      <c r="O6762" s="33"/>
      <c r="P6762" s="33"/>
      <c r="Q6762" s="33"/>
      <c r="R6762" s="33"/>
      <c r="S6762" s="33"/>
      <c r="T6762" s="33"/>
      <c r="U6762" s="33"/>
      <c r="V6762" s="33"/>
      <c r="W6762" s="33"/>
      <c r="X6762" s="33"/>
      <c r="Y6762" s="33"/>
      <c r="Z6762" s="33"/>
      <c r="AA6762" s="33"/>
      <c r="AB6762" s="33"/>
      <c r="AC6762" s="33"/>
      <c r="AD6762" s="33"/>
      <c r="AE6762" s="33"/>
      <c r="AF6762" s="33"/>
      <c r="AG6762" s="33"/>
      <c r="AH6762" s="33"/>
      <c r="AI6762" s="33"/>
      <c r="AJ6762" s="33"/>
      <c r="AK6762" s="33"/>
    </row>
    <row r="6763">
      <c r="A6763" s="33"/>
      <c r="B6763" s="33"/>
      <c r="C6763" s="33"/>
      <c r="D6763" s="33"/>
      <c r="E6763" s="33"/>
      <c r="F6763" s="33"/>
      <c r="G6763" s="33"/>
      <c r="H6763" s="33"/>
      <c r="I6763" s="33"/>
      <c r="J6763" s="33"/>
      <c r="K6763" s="33"/>
      <c r="L6763" s="33"/>
      <c r="M6763" s="33"/>
      <c r="N6763" s="33"/>
      <c r="O6763" s="33"/>
      <c r="P6763" s="33"/>
      <c r="Q6763" s="33"/>
      <c r="R6763" s="33"/>
      <c r="S6763" s="33"/>
      <c r="T6763" s="33"/>
      <c r="U6763" s="33"/>
      <c r="V6763" s="33"/>
      <c r="W6763" s="33"/>
      <c r="X6763" s="33"/>
      <c r="Y6763" s="33"/>
      <c r="Z6763" s="33"/>
      <c r="AA6763" s="33"/>
      <c r="AB6763" s="33"/>
      <c r="AC6763" s="33"/>
      <c r="AD6763" s="33"/>
      <c r="AE6763" s="33"/>
      <c r="AF6763" s="33"/>
      <c r="AG6763" s="33"/>
      <c r="AH6763" s="33"/>
      <c r="AI6763" s="33"/>
      <c r="AJ6763" s="33"/>
      <c r="AK6763" s="33"/>
    </row>
    <row r="6764">
      <c r="A6764" s="33"/>
      <c r="B6764" s="33"/>
      <c r="C6764" s="33"/>
      <c r="D6764" s="33"/>
      <c r="E6764" s="33"/>
      <c r="F6764" s="33"/>
      <c r="G6764" s="33"/>
      <c r="H6764" s="33"/>
      <c r="I6764" s="33"/>
      <c r="J6764" s="33"/>
      <c r="K6764" s="33"/>
      <c r="L6764" s="33"/>
      <c r="M6764" s="33"/>
      <c r="N6764" s="33"/>
      <c r="O6764" s="33"/>
      <c r="P6764" s="33"/>
      <c r="Q6764" s="33"/>
      <c r="R6764" s="33"/>
      <c r="S6764" s="33"/>
      <c r="T6764" s="33"/>
      <c r="U6764" s="33"/>
      <c r="V6764" s="33"/>
      <c r="W6764" s="33"/>
      <c r="X6764" s="33"/>
      <c r="Y6764" s="33"/>
      <c r="Z6764" s="33"/>
      <c r="AA6764" s="33"/>
      <c r="AB6764" s="33"/>
      <c r="AC6764" s="33"/>
      <c r="AD6764" s="33"/>
      <c r="AE6764" s="33"/>
      <c r="AF6764" s="33"/>
      <c r="AG6764" s="33"/>
      <c r="AH6764" s="33"/>
      <c r="AI6764" s="33"/>
      <c r="AJ6764" s="33"/>
      <c r="AK6764" s="33"/>
    </row>
    <row r="6765">
      <c r="A6765" s="33"/>
      <c r="B6765" s="33"/>
      <c r="C6765" s="33"/>
      <c r="D6765" s="33"/>
      <c r="E6765" s="33"/>
      <c r="F6765" s="33"/>
      <c r="G6765" s="33"/>
      <c r="H6765" s="33"/>
      <c r="I6765" s="33"/>
      <c r="J6765" s="33"/>
      <c r="K6765" s="33"/>
      <c r="L6765" s="33"/>
      <c r="M6765" s="33"/>
      <c r="N6765" s="33"/>
      <c r="O6765" s="33"/>
      <c r="P6765" s="33"/>
      <c r="Q6765" s="33"/>
      <c r="R6765" s="33"/>
      <c r="S6765" s="33"/>
      <c r="T6765" s="33"/>
      <c r="U6765" s="33"/>
      <c r="V6765" s="33"/>
      <c r="W6765" s="33"/>
      <c r="X6765" s="33"/>
      <c r="Y6765" s="33"/>
      <c r="Z6765" s="33"/>
      <c r="AA6765" s="33"/>
      <c r="AB6765" s="33"/>
      <c r="AC6765" s="33"/>
      <c r="AD6765" s="33"/>
      <c r="AE6765" s="33"/>
      <c r="AF6765" s="33"/>
      <c r="AG6765" s="33"/>
      <c r="AH6765" s="33"/>
      <c r="AI6765" s="33"/>
      <c r="AJ6765" s="33"/>
      <c r="AK6765" s="33"/>
    </row>
    <row r="6766">
      <c r="A6766" s="33"/>
      <c r="B6766" s="33"/>
      <c r="C6766" s="33"/>
      <c r="D6766" s="33"/>
      <c r="E6766" s="33"/>
      <c r="F6766" s="33"/>
      <c r="G6766" s="33"/>
      <c r="H6766" s="33"/>
      <c r="I6766" s="33"/>
      <c r="J6766" s="33"/>
      <c r="K6766" s="33"/>
      <c r="L6766" s="33"/>
      <c r="M6766" s="33"/>
      <c r="N6766" s="33"/>
      <c r="O6766" s="33"/>
      <c r="P6766" s="33"/>
      <c r="Q6766" s="33"/>
      <c r="R6766" s="33"/>
      <c r="S6766" s="33"/>
      <c r="T6766" s="33"/>
      <c r="U6766" s="33"/>
      <c r="V6766" s="33"/>
      <c r="W6766" s="33"/>
      <c r="X6766" s="33"/>
      <c r="Y6766" s="33"/>
      <c r="Z6766" s="33"/>
      <c r="AA6766" s="33"/>
      <c r="AB6766" s="33"/>
      <c r="AC6766" s="33"/>
      <c r="AD6766" s="33"/>
      <c r="AE6766" s="33"/>
      <c r="AF6766" s="33"/>
      <c r="AG6766" s="33"/>
      <c r="AH6766" s="33"/>
      <c r="AI6766" s="33"/>
      <c r="AJ6766" s="33"/>
      <c r="AK6766" s="33"/>
    </row>
    <row r="6767">
      <c r="A6767" s="33"/>
      <c r="B6767" s="33"/>
      <c r="C6767" s="33"/>
      <c r="D6767" s="33"/>
      <c r="E6767" s="33"/>
      <c r="F6767" s="33"/>
      <c r="G6767" s="33"/>
      <c r="H6767" s="33"/>
      <c r="I6767" s="33"/>
      <c r="J6767" s="33"/>
      <c r="K6767" s="33"/>
      <c r="L6767" s="33"/>
      <c r="M6767" s="33"/>
      <c r="N6767" s="33"/>
      <c r="O6767" s="33"/>
      <c r="P6767" s="33"/>
      <c r="Q6767" s="33"/>
      <c r="R6767" s="33"/>
      <c r="S6767" s="33"/>
      <c r="T6767" s="33"/>
      <c r="U6767" s="33"/>
      <c r="V6767" s="33"/>
      <c r="W6767" s="33"/>
      <c r="X6767" s="33"/>
      <c r="Y6767" s="33"/>
      <c r="Z6767" s="33"/>
      <c r="AA6767" s="33"/>
      <c r="AB6767" s="33"/>
      <c r="AC6767" s="33"/>
      <c r="AD6767" s="33"/>
      <c r="AE6767" s="33"/>
      <c r="AF6767" s="33"/>
      <c r="AG6767" s="33"/>
      <c r="AH6767" s="33"/>
      <c r="AI6767" s="33"/>
      <c r="AJ6767" s="33"/>
      <c r="AK6767" s="33"/>
    </row>
    <row r="6768">
      <c r="A6768" s="33"/>
      <c r="B6768" s="33"/>
      <c r="C6768" s="33"/>
      <c r="D6768" s="33"/>
      <c r="E6768" s="33"/>
      <c r="F6768" s="33"/>
      <c r="G6768" s="33"/>
      <c r="H6768" s="33"/>
      <c r="I6768" s="33"/>
      <c r="J6768" s="33"/>
      <c r="K6768" s="33"/>
      <c r="L6768" s="33"/>
      <c r="M6768" s="33"/>
      <c r="N6768" s="33"/>
      <c r="O6768" s="33"/>
      <c r="P6768" s="33"/>
      <c r="Q6768" s="33"/>
      <c r="R6768" s="33"/>
      <c r="S6768" s="33"/>
      <c r="T6768" s="33"/>
      <c r="U6768" s="33"/>
      <c r="V6768" s="33"/>
      <c r="W6768" s="33"/>
      <c r="X6768" s="33"/>
      <c r="Y6768" s="33"/>
      <c r="Z6768" s="33"/>
      <c r="AA6768" s="33"/>
      <c r="AB6768" s="33"/>
      <c r="AC6768" s="33"/>
      <c r="AD6768" s="33"/>
      <c r="AE6768" s="33"/>
      <c r="AF6768" s="33"/>
      <c r="AG6768" s="33"/>
      <c r="AH6768" s="33"/>
      <c r="AI6768" s="33"/>
      <c r="AJ6768" s="33"/>
      <c r="AK6768" s="33"/>
    </row>
    <row r="6769">
      <c r="A6769" s="33"/>
      <c r="B6769" s="33"/>
      <c r="C6769" s="33"/>
      <c r="D6769" s="33"/>
      <c r="E6769" s="33"/>
      <c r="F6769" s="33"/>
      <c r="G6769" s="33"/>
      <c r="H6769" s="33"/>
      <c r="I6769" s="33"/>
      <c r="J6769" s="33"/>
      <c r="K6769" s="33"/>
      <c r="L6769" s="33"/>
      <c r="M6769" s="33"/>
      <c r="N6769" s="33"/>
      <c r="O6769" s="33"/>
      <c r="P6769" s="33"/>
      <c r="Q6769" s="33"/>
      <c r="R6769" s="33"/>
      <c r="S6769" s="33"/>
      <c r="T6769" s="33"/>
      <c r="U6769" s="33"/>
      <c r="V6769" s="33"/>
      <c r="W6769" s="33"/>
      <c r="X6769" s="33"/>
      <c r="Y6769" s="33"/>
      <c r="Z6769" s="33"/>
      <c r="AA6769" s="33"/>
      <c r="AB6769" s="33"/>
      <c r="AC6769" s="33"/>
      <c r="AD6769" s="33"/>
      <c r="AE6769" s="33"/>
      <c r="AF6769" s="33"/>
      <c r="AG6769" s="33"/>
      <c r="AH6769" s="33"/>
      <c r="AI6769" s="33"/>
      <c r="AJ6769" s="33"/>
      <c r="AK6769" s="33"/>
    </row>
    <row r="6770">
      <c r="A6770" s="33"/>
      <c r="B6770" s="33"/>
      <c r="C6770" s="33"/>
      <c r="D6770" s="33"/>
      <c r="E6770" s="33"/>
      <c r="F6770" s="33"/>
      <c r="G6770" s="33"/>
      <c r="H6770" s="33"/>
      <c r="I6770" s="33"/>
      <c r="J6770" s="33"/>
      <c r="K6770" s="33"/>
      <c r="L6770" s="33"/>
      <c r="M6770" s="33"/>
      <c r="N6770" s="33"/>
      <c r="O6770" s="33"/>
      <c r="P6770" s="33"/>
      <c r="Q6770" s="33"/>
      <c r="R6770" s="33"/>
      <c r="S6770" s="33"/>
      <c r="T6770" s="33"/>
      <c r="U6770" s="33"/>
      <c r="V6770" s="33"/>
      <c r="W6770" s="33"/>
      <c r="X6770" s="33"/>
      <c r="Y6770" s="33"/>
      <c r="Z6770" s="33"/>
      <c r="AA6770" s="33"/>
      <c r="AB6770" s="33"/>
      <c r="AC6770" s="33"/>
      <c r="AD6770" s="33"/>
      <c r="AE6770" s="33"/>
      <c r="AF6770" s="33"/>
      <c r="AG6770" s="33"/>
      <c r="AH6770" s="33"/>
      <c r="AI6770" s="33"/>
      <c r="AJ6770" s="33"/>
      <c r="AK6770" s="33"/>
    </row>
    <row r="6771">
      <c r="A6771" s="33"/>
      <c r="B6771" s="33"/>
      <c r="C6771" s="33"/>
      <c r="D6771" s="33"/>
      <c r="E6771" s="33"/>
      <c r="F6771" s="33"/>
      <c r="G6771" s="33"/>
      <c r="H6771" s="33"/>
      <c r="I6771" s="33"/>
      <c r="J6771" s="33"/>
      <c r="K6771" s="33"/>
      <c r="L6771" s="33"/>
      <c r="M6771" s="33"/>
      <c r="N6771" s="33"/>
      <c r="O6771" s="33"/>
      <c r="P6771" s="33"/>
      <c r="Q6771" s="33"/>
      <c r="R6771" s="33"/>
      <c r="S6771" s="33"/>
      <c r="T6771" s="33"/>
      <c r="U6771" s="33"/>
      <c r="V6771" s="33"/>
      <c r="W6771" s="33"/>
      <c r="X6771" s="33"/>
      <c r="Y6771" s="33"/>
      <c r="Z6771" s="33"/>
      <c r="AA6771" s="33"/>
      <c r="AB6771" s="33"/>
      <c r="AC6771" s="33"/>
      <c r="AD6771" s="33"/>
      <c r="AE6771" s="33"/>
      <c r="AF6771" s="33"/>
      <c r="AG6771" s="33"/>
      <c r="AH6771" s="33"/>
      <c r="AI6771" s="33"/>
      <c r="AJ6771" s="33"/>
      <c r="AK6771" s="33"/>
    </row>
    <row r="6772">
      <c r="A6772" s="33"/>
      <c r="B6772" s="33"/>
      <c r="C6772" s="33"/>
      <c r="D6772" s="33"/>
      <c r="E6772" s="33"/>
      <c r="F6772" s="33"/>
      <c r="G6772" s="33"/>
      <c r="H6772" s="33"/>
      <c r="I6772" s="33"/>
      <c r="J6772" s="33"/>
      <c r="K6772" s="33"/>
      <c r="L6772" s="33"/>
      <c r="M6772" s="33"/>
      <c r="N6772" s="33"/>
      <c r="O6772" s="33"/>
      <c r="P6772" s="33"/>
      <c r="Q6772" s="33"/>
      <c r="R6772" s="33"/>
      <c r="S6772" s="33"/>
      <c r="T6772" s="33"/>
      <c r="U6772" s="33"/>
      <c r="V6772" s="33"/>
      <c r="W6772" s="33"/>
      <c r="X6772" s="33"/>
      <c r="Y6772" s="33"/>
      <c r="Z6772" s="33"/>
      <c r="AA6772" s="33"/>
      <c r="AB6772" s="33"/>
      <c r="AC6772" s="33"/>
      <c r="AD6772" s="33"/>
      <c r="AE6772" s="33"/>
      <c r="AF6772" s="33"/>
      <c r="AG6772" s="33"/>
      <c r="AH6772" s="33"/>
      <c r="AI6772" s="33"/>
      <c r="AJ6772" s="33"/>
      <c r="AK6772" s="33"/>
    </row>
    <row r="6773">
      <c r="A6773" s="33"/>
      <c r="B6773" s="33"/>
      <c r="C6773" s="33"/>
      <c r="D6773" s="33"/>
      <c r="E6773" s="33"/>
      <c r="F6773" s="33"/>
      <c r="G6773" s="33"/>
      <c r="H6773" s="33"/>
      <c r="I6773" s="33"/>
      <c r="J6773" s="33"/>
      <c r="K6773" s="33"/>
      <c r="L6773" s="33"/>
      <c r="M6773" s="33"/>
      <c r="N6773" s="33"/>
      <c r="O6773" s="33"/>
      <c r="P6773" s="33"/>
      <c r="Q6773" s="33"/>
      <c r="R6773" s="33"/>
      <c r="S6773" s="33"/>
      <c r="T6773" s="33"/>
      <c r="U6773" s="33"/>
      <c r="V6773" s="33"/>
      <c r="W6773" s="33"/>
      <c r="X6773" s="33"/>
      <c r="Y6773" s="33"/>
      <c r="Z6773" s="33"/>
      <c r="AA6773" s="33"/>
      <c r="AB6773" s="33"/>
      <c r="AC6773" s="33"/>
      <c r="AD6773" s="33"/>
      <c r="AE6773" s="33"/>
      <c r="AF6773" s="33"/>
      <c r="AG6773" s="33"/>
      <c r="AH6773" s="33"/>
      <c r="AI6773" s="33"/>
      <c r="AJ6773" s="33"/>
      <c r="AK6773" s="33"/>
    </row>
    <row r="6774">
      <c r="A6774" s="33"/>
      <c r="B6774" s="33"/>
      <c r="C6774" s="33"/>
      <c r="D6774" s="33"/>
      <c r="E6774" s="33"/>
      <c r="F6774" s="33"/>
      <c r="G6774" s="33"/>
      <c r="H6774" s="33"/>
      <c r="I6774" s="33"/>
      <c r="J6774" s="33"/>
      <c r="K6774" s="33"/>
      <c r="L6774" s="33"/>
      <c r="M6774" s="33"/>
      <c r="N6774" s="33"/>
      <c r="O6774" s="33"/>
      <c r="P6774" s="33"/>
      <c r="Q6774" s="33"/>
      <c r="R6774" s="33"/>
      <c r="S6774" s="33"/>
      <c r="T6774" s="33"/>
      <c r="U6774" s="33"/>
      <c r="V6774" s="33"/>
      <c r="W6774" s="33"/>
      <c r="X6774" s="33"/>
      <c r="Y6774" s="33"/>
      <c r="Z6774" s="33"/>
      <c r="AA6774" s="33"/>
      <c r="AB6774" s="33"/>
      <c r="AC6774" s="33"/>
      <c r="AD6774" s="33"/>
      <c r="AE6774" s="33"/>
      <c r="AF6774" s="33"/>
      <c r="AG6774" s="33"/>
      <c r="AH6774" s="33"/>
      <c r="AI6774" s="33"/>
      <c r="AJ6774" s="33"/>
      <c r="AK6774" s="33"/>
    </row>
    <row r="6775">
      <c r="A6775" s="33"/>
      <c r="B6775" s="33"/>
      <c r="C6775" s="33"/>
      <c r="D6775" s="33"/>
      <c r="E6775" s="33"/>
      <c r="F6775" s="33"/>
      <c r="G6775" s="33"/>
      <c r="H6775" s="33"/>
      <c r="I6775" s="33"/>
      <c r="J6775" s="33"/>
      <c r="K6775" s="33"/>
      <c r="L6775" s="33"/>
      <c r="M6775" s="33"/>
      <c r="N6775" s="33"/>
      <c r="O6775" s="33"/>
      <c r="P6775" s="33"/>
      <c r="Q6775" s="33"/>
      <c r="R6775" s="33"/>
      <c r="S6775" s="33"/>
      <c r="T6775" s="33"/>
      <c r="U6775" s="33"/>
      <c r="V6775" s="33"/>
      <c r="W6775" s="33"/>
      <c r="X6775" s="33"/>
      <c r="Y6775" s="33"/>
      <c r="Z6775" s="33"/>
      <c r="AA6775" s="33"/>
      <c r="AB6775" s="33"/>
      <c r="AC6775" s="33"/>
      <c r="AD6775" s="33"/>
      <c r="AE6775" s="33"/>
      <c r="AF6775" s="33"/>
      <c r="AG6775" s="33"/>
      <c r="AH6775" s="33"/>
      <c r="AI6775" s="33"/>
      <c r="AJ6775" s="33"/>
      <c r="AK6775" s="33"/>
    </row>
    <row r="6776">
      <c r="A6776" s="33"/>
      <c r="B6776" s="33"/>
      <c r="C6776" s="33"/>
      <c r="D6776" s="33"/>
      <c r="E6776" s="33"/>
      <c r="F6776" s="33"/>
      <c r="G6776" s="33"/>
      <c r="H6776" s="33"/>
      <c r="I6776" s="33"/>
      <c r="J6776" s="33"/>
      <c r="K6776" s="33"/>
      <c r="L6776" s="33"/>
      <c r="M6776" s="33"/>
      <c r="N6776" s="33"/>
      <c r="O6776" s="33"/>
      <c r="P6776" s="33"/>
      <c r="Q6776" s="33"/>
      <c r="R6776" s="33"/>
      <c r="S6776" s="33"/>
      <c r="T6776" s="33"/>
      <c r="U6776" s="33"/>
      <c r="V6776" s="33"/>
      <c r="W6776" s="33"/>
      <c r="X6776" s="33"/>
      <c r="Y6776" s="33"/>
      <c r="Z6776" s="33"/>
      <c r="AA6776" s="33"/>
      <c r="AB6776" s="33"/>
      <c r="AC6776" s="33"/>
      <c r="AD6776" s="33"/>
      <c r="AE6776" s="33"/>
      <c r="AF6776" s="33"/>
      <c r="AG6776" s="33"/>
      <c r="AH6776" s="33"/>
      <c r="AI6776" s="33"/>
      <c r="AJ6776" s="33"/>
      <c r="AK6776" s="33"/>
    </row>
    <row r="6777">
      <c r="A6777" s="33"/>
      <c r="B6777" s="33"/>
      <c r="C6777" s="33"/>
      <c r="D6777" s="33"/>
      <c r="E6777" s="33"/>
      <c r="F6777" s="33"/>
      <c r="G6777" s="33"/>
      <c r="H6777" s="33"/>
      <c r="I6777" s="33"/>
      <c r="J6777" s="33"/>
      <c r="K6777" s="33"/>
      <c r="L6777" s="33"/>
      <c r="M6777" s="33"/>
      <c r="N6777" s="33"/>
      <c r="O6777" s="33"/>
      <c r="P6777" s="33"/>
      <c r="Q6777" s="33"/>
      <c r="R6777" s="33"/>
      <c r="S6777" s="33"/>
      <c r="T6777" s="33"/>
      <c r="U6777" s="33"/>
      <c r="V6777" s="33"/>
      <c r="W6777" s="33"/>
      <c r="X6777" s="33"/>
      <c r="Y6777" s="33"/>
      <c r="Z6777" s="33"/>
      <c r="AA6777" s="33"/>
      <c r="AB6777" s="33"/>
      <c r="AC6777" s="33"/>
      <c r="AD6777" s="33"/>
      <c r="AE6777" s="33"/>
      <c r="AF6777" s="33"/>
      <c r="AG6777" s="33"/>
      <c r="AH6777" s="33"/>
      <c r="AI6777" s="33"/>
      <c r="AJ6777" s="33"/>
      <c r="AK6777" s="33"/>
    </row>
    <row r="6778">
      <c r="A6778" s="33"/>
      <c r="B6778" s="33"/>
      <c r="C6778" s="33"/>
      <c r="D6778" s="33"/>
      <c r="E6778" s="33"/>
      <c r="F6778" s="33"/>
      <c r="G6778" s="33"/>
      <c r="H6778" s="33"/>
      <c r="I6778" s="33"/>
      <c r="J6778" s="33"/>
      <c r="K6778" s="33"/>
      <c r="L6778" s="33"/>
      <c r="M6778" s="33"/>
      <c r="N6778" s="33"/>
      <c r="O6778" s="33"/>
      <c r="P6778" s="33"/>
      <c r="Q6778" s="33"/>
      <c r="R6778" s="33"/>
      <c r="S6778" s="33"/>
      <c r="T6778" s="33"/>
      <c r="U6778" s="33"/>
      <c r="V6778" s="33"/>
      <c r="W6778" s="33"/>
      <c r="X6778" s="33"/>
      <c r="Y6778" s="33"/>
      <c r="Z6778" s="33"/>
      <c r="AA6778" s="33"/>
      <c r="AB6778" s="33"/>
      <c r="AC6778" s="33"/>
      <c r="AD6778" s="33"/>
      <c r="AE6778" s="33"/>
      <c r="AF6778" s="33"/>
      <c r="AG6778" s="33"/>
      <c r="AH6778" s="33"/>
      <c r="AI6778" s="33"/>
      <c r="AJ6778" s="33"/>
      <c r="AK6778" s="33"/>
    </row>
    <row r="6779">
      <c r="A6779" s="33"/>
      <c r="B6779" s="33"/>
      <c r="C6779" s="33"/>
      <c r="D6779" s="33"/>
      <c r="E6779" s="33"/>
      <c r="F6779" s="33"/>
      <c r="G6779" s="33"/>
      <c r="H6779" s="33"/>
      <c r="I6779" s="33"/>
      <c r="J6779" s="33"/>
      <c r="K6779" s="33"/>
      <c r="L6779" s="33"/>
      <c r="M6779" s="33"/>
      <c r="N6779" s="33"/>
      <c r="O6779" s="33"/>
      <c r="P6779" s="33"/>
      <c r="Q6779" s="33"/>
      <c r="R6779" s="33"/>
      <c r="S6779" s="33"/>
      <c r="T6779" s="33"/>
      <c r="U6779" s="33"/>
      <c r="V6779" s="33"/>
      <c r="W6779" s="33"/>
      <c r="X6779" s="33"/>
      <c r="Y6779" s="33"/>
      <c r="Z6779" s="33"/>
      <c r="AA6779" s="33"/>
      <c r="AB6779" s="33"/>
      <c r="AC6779" s="33"/>
      <c r="AD6779" s="33"/>
      <c r="AE6779" s="33"/>
      <c r="AF6779" s="33"/>
      <c r="AG6779" s="33"/>
      <c r="AH6779" s="33"/>
      <c r="AI6779" s="33"/>
      <c r="AJ6779" s="33"/>
      <c r="AK6779" s="33"/>
    </row>
    <row r="6780">
      <c r="A6780" s="33"/>
      <c r="B6780" s="33"/>
      <c r="C6780" s="33"/>
      <c r="D6780" s="33"/>
      <c r="E6780" s="33"/>
      <c r="F6780" s="33"/>
      <c r="G6780" s="33"/>
      <c r="H6780" s="33"/>
      <c r="I6780" s="33"/>
      <c r="J6780" s="33"/>
      <c r="K6780" s="33"/>
      <c r="L6780" s="33"/>
      <c r="M6780" s="33"/>
      <c r="N6780" s="33"/>
      <c r="O6780" s="33"/>
      <c r="P6780" s="33"/>
      <c r="Q6780" s="33"/>
      <c r="R6780" s="33"/>
      <c r="S6780" s="33"/>
      <c r="T6780" s="33"/>
      <c r="U6780" s="33"/>
      <c r="V6780" s="33"/>
      <c r="W6780" s="33"/>
      <c r="X6780" s="33"/>
      <c r="Y6780" s="33"/>
      <c r="Z6780" s="33"/>
      <c r="AA6780" s="33"/>
      <c r="AB6780" s="33"/>
      <c r="AC6780" s="33"/>
      <c r="AD6780" s="33"/>
      <c r="AE6780" s="33"/>
      <c r="AF6780" s="33"/>
      <c r="AG6780" s="33"/>
      <c r="AH6780" s="33"/>
      <c r="AI6780" s="33"/>
      <c r="AJ6780" s="33"/>
      <c r="AK6780" s="33"/>
    </row>
    <row r="6781">
      <c r="A6781" s="33"/>
      <c r="B6781" s="33"/>
      <c r="C6781" s="33"/>
      <c r="D6781" s="33"/>
      <c r="E6781" s="33"/>
      <c r="F6781" s="33"/>
      <c r="G6781" s="33"/>
      <c r="H6781" s="33"/>
      <c r="I6781" s="33"/>
      <c r="J6781" s="33"/>
      <c r="K6781" s="33"/>
      <c r="L6781" s="33"/>
      <c r="M6781" s="33"/>
      <c r="N6781" s="33"/>
      <c r="O6781" s="33"/>
      <c r="P6781" s="33"/>
      <c r="Q6781" s="33"/>
      <c r="R6781" s="33"/>
      <c r="S6781" s="33"/>
      <c r="T6781" s="33"/>
      <c r="U6781" s="33"/>
      <c r="V6781" s="33"/>
      <c r="W6781" s="33"/>
      <c r="X6781" s="33"/>
      <c r="Y6781" s="33"/>
      <c r="Z6781" s="33"/>
      <c r="AA6781" s="33"/>
      <c r="AB6781" s="33"/>
      <c r="AC6781" s="33"/>
      <c r="AD6781" s="33"/>
      <c r="AE6781" s="33"/>
      <c r="AF6781" s="33"/>
      <c r="AG6781" s="33"/>
      <c r="AH6781" s="33"/>
      <c r="AI6781" s="33"/>
      <c r="AJ6781" s="33"/>
      <c r="AK6781" s="33"/>
    </row>
    <row r="6782">
      <c r="A6782" s="33"/>
      <c r="B6782" s="33"/>
      <c r="C6782" s="33"/>
      <c r="D6782" s="33"/>
      <c r="E6782" s="33"/>
      <c r="F6782" s="33"/>
      <c r="G6782" s="33"/>
      <c r="H6782" s="33"/>
      <c r="I6782" s="33"/>
      <c r="J6782" s="33"/>
      <c r="K6782" s="33"/>
      <c r="L6782" s="33"/>
      <c r="M6782" s="33"/>
      <c r="N6782" s="33"/>
      <c r="O6782" s="33"/>
      <c r="P6782" s="33"/>
      <c r="Q6782" s="33"/>
      <c r="R6782" s="33"/>
      <c r="S6782" s="33"/>
      <c r="T6782" s="33"/>
      <c r="U6782" s="33"/>
      <c r="V6782" s="33"/>
      <c r="W6782" s="33"/>
      <c r="X6782" s="33"/>
      <c r="Y6782" s="33"/>
      <c r="Z6782" s="33"/>
      <c r="AA6782" s="33"/>
      <c r="AB6782" s="33"/>
      <c r="AC6782" s="33"/>
      <c r="AD6782" s="33"/>
      <c r="AE6782" s="33"/>
      <c r="AF6782" s="33"/>
      <c r="AG6782" s="33"/>
      <c r="AH6782" s="33"/>
      <c r="AI6782" s="33"/>
      <c r="AJ6782" s="33"/>
      <c r="AK6782" s="33"/>
    </row>
    <row r="6783">
      <c r="A6783" s="33"/>
      <c r="B6783" s="33"/>
      <c r="C6783" s="33"/>
      <c r="D6783" s="33"/>
      <c r="E6783" s="33"/>
      <c r="F6783" s="33"/>
      <c r="G6783" s="33"/>
      <c r="H6783" s="33"/>
      <c r="I6783" s="33"/>
      <c r="J6783" s="33"/>
      <c r="K6783" s="33"/>
      <c r="L6783" s="33"/>
      <c r="M6783" s="33"/>
      <c r="N6783" s="33"/>
      <c r="O6783" s="33"/>
      <c r="P6783" s="33"/>
      <c r="Q6783" s="33"/>
      <c r="R6783" s="33"/>
      <c r="S6783" s="33"/>
      <c r="T6783" s="33"/>
      <c r="U6783" s="33"/>
      <c r="V6783" s="33"/>
      <c r="W6783" s="33"/>
      <c r="X6783" s="33"/>
      <c r="Y6783" s="33"/>
      <c r="Z6783" s="33"/>
      <c r="AA6783" s="33"/>
      <c r="AB6783" s="33"/>
      <c r="AC6783" s="33"/>
      <c r="AD6783" s="33"/>
      <c r="AE6783" s="33"/>
      <c r="AF6783" s="33"/>
      <c r="AG6783" s="33"/>
      <c r="AH6783" s="33"/>
      <c r="AI6783" s="33"/>
      <c r="AJ6783" s="33"/>
      <c r="AK6783" s="33"/>
    </row>
    <row r="6784">
      <c r="A6784" s="33"/>
      <c r="B6784" s="33"/>
      <c r="C6784" s="33"/>
      <c r="D6784" s="33"/>
      <c r="E6784" s="33"/>
      <c r="F6784" s="33"/>
      <c r="G6784" s="33"/>
      <c r="H6784" s="33"/>
      <c r="I6784" s="33"/>
      <c r="J6784" s="33"/>
      <c r="K6784" s="33"/>
      <c r="L6784" s="33"/>
      <c r="M6784" s="33"/>
      <c r="N6784" s="33"/>
      <c r="O6784" s="33"/>
      <c r="P6784" s="33"/>
      <c r="Q6784" s="33"/>
      <c r="R6784" s="33"/>
      <c r="S6784" s="33"/>
      <c r="T6784" s="33"/>
      <c r="U6784" s="33"/>
      <c r="V6784" s="33"/>
      <c r="W6784" s="33"/>
      <c r="X6784" s="33"/>
      <c r="Y6784" s="33"/>
      <c r="Z6784" s="33"/>
      <c r="AA6784" s="33"/>
      <c r="AB6784" s="33"/>
      <c r="AC6784" s="33"/>
      <c r="AD6784" s="33"/>
      <c r="AE6784" s="33"/>
      <c r="AF6784" s="33"/>
      <c r="AG6784" s="33"/>
      <c r="AH6784" s="33"/>
      <c r="AI6784" s="33"/>
      <c r="AJ6784" s="33"/>
      <c r="AK6784" s="33"/>
    </row>
    <row r="6785">
      <c r="A6785" s="33"/>
      <c r="B6785" s="33"/>
      <c r="C6785" s="33"/>
      <c r="D6785" s="33"/>
      <c r="E6785" s="33"/>
      <c r="F6785" s="33"/>
      <c r="G6785" s="33"/>
      <c r="H6785" s="33"/>
      <c r="I6785" s="33"/>
      <c r="J6785" s="33"/>
      <c r="K6785" s="33"/>
      <c r="L6785" s="33"/>
      <c r="M6785" s="33"/>
      <c r="N6785" s="33"/>
      <c r="O6785" s="33"/>
      <c r="P6785" s="33"/>
      <c r="Q6785" s="33"/>
      <c r="R6785" s="33"/>
      <c r="S6785" s="33"/>
      <c r="T6785" s="33"/>
      <c r="U6785" s="33"/>
      <c r="V6785" s="33"/>
      <c r="W6785" s="33"/>
      <c r="X6785" s="33"/>
      <c r="Y6785" s="33"/>
      <c r="Z6785" s="33"/>
      <c r="AA6785" s="33"/>
      <c r="AB6785" s="33"/>
      <c r="AC6785" s="33"/>
      <c r="AD6785" s="33"/>
      <c r="AE6785" s="33"/>
      <c r="AF6785" s="33"/>
      <c r="AG6785" s="33"/>
      <c r="AH6785" s="33"/>
      <c r="AI6785" s="33"/>
      <c r="AJ6785" s="33"/>
      <c r="AK6785" s="33"/>
    </row>
    <row r="6786">
      <c r="A6786" s="33"/>
      <c r="B6786" s="33"/>
      <c r="C6786" s="33"/>
      <c r="D6786" s="33"/>
      <c r="E6786" s="33"/>
      <c r="F6786" s="33"/>
      <c r="G6786" s="33"/>
      <c r="H6786" s="33"/>
      <c r="I6786" s="33"/>
      <c r="J6786" s="33"/>
      <c r="K6786" s="33"/>
      <c r="L6786" s="33"/>
      <c r="M6786" s="33"/>
      <c r="N6786" s="33"/>
      <c r="O6786" s="33"/>
      <c r="P6786" s="33"/>
      <c r="Q6786" s="33"/>
      <c r="R6786" s="33"/>
      <c r="S6786" s="33"/>
      <c r="T6786" s="33"/>
      <c r="U6786" s="33"/>
      <c r="V6786" s="33"/>
      <c r="W6786" s="33"/>
      <c r="X6786" s="33"/>
      <c r="Y6786" s="33"/>
      <c r="Z6786" s="33"/>
      <c r="AA6786" s="33"/>
      <c r="AB6786" s="33"/>
      <c r="AC6786" s="33"/>
      <c r="AD6786" s="33"/>
      <c r="AE6786" s="33"/>
      <c r="AF6786" s="33"/>
      <c r="AG6786" s="33"/>
      <c r="AH6786" s="33"/>
      <c r="AI6786" s="33"/>
      <c r="AJ6786" s="33"/>
      <c r="AK6786" s="33"/>
    </row>
    <row r="6787">
      <c r="A6787" s="33"/>
      <c r="B6787" s="33"/>
      <c r="C6787" s="33"/>
      <c r="D6787" s="33"/>
      <c r="E6787" s="33"/>
      <c r="F6787" s="33"/>
      <c r="G6787" s="33"/>
      <c r="H6787" s="33"/>
      <c r="I6787" s="33"/>
      <c r="J6787" s="33"/>
      <c r="K6787" s="33"/>
      <c r="L6787" s="33"/>
      <c r="M6787" s="33"/>
      <c r="N6787" s="33"/>
      <c r="O6787" s="33"/>
      <c r="P6787" s="33"/>
      <c r="Q6787" s="33"/>
      <c r="R6787" s="33"/>
      <c r="S6787" s="33"/>
      <c r="T6787" s="33"/>
      <c r="U6787" s="33"/>
      <c r="V6787" s="33"/>
      <c r="W6787" s="33"/>
      <c r="X6787" s="33"/>
      <c r="Y6787" s="33"/>
      <c r="Z6787" s="33"/>
      <c r="AA6787" s="33"/>
      <c r="AB6787" s="33"/>
      <c r="AC6787" s="33"/>
      <c r="AD6787" s="33"/>
      <c r="AE6787" s="33"/>
      <c r="AF6787" s="33"/>
      <c r="AG6787" s="33"/>
      <c r="AH6787" s="33"/>
      <c r="AI6787" s="33"/>
      <c r="AJ6787" s="33"/>
      <c r="AK6787" s="33"/>
    </row>
    <row r="6788">
      <c r="A6788" s="33"/>
      <c r="B6788" s="33"/>
      <c r="C6788" s="33"/>
      <c r="D6788" s="33"/>
      <c r="E6788" s="33"/>
      <c r="F6788" s="33"/>
      <c r="G6788" s="33"/>
      <c r="H6788" s="33"/>
      <c r="I6788" s="33"/>
      <c r="J6788" s="33"/>
      <c r="K6788" s="33"/>
      <c r="L6788" s="33"/>
      <c r="M6788" s="33"/>
      <c r="N6788" s="33"/>
      <c r="O6788" s="33"/>
      <c r="P6788" s="33"/>
      <c r="Q6788" s="33"/>
      <c r="R6788" s="33"/>
      <c r="S6788" s="33"/>
      <c r="T6788" s="33"/>
      <c r="U6788" s="33"/>
      <c r="V6788" s="33"/>
      <c r="W6788" s="33"/>
      <c r="X6788" s="33"/>
      <c r="Y6788" s="33"/>
      <c r="Z6788" s="33"/>
      <c r="AA6788" s="33"/>
      <c r="AB6788" s="33"/>
      <c r="AC6788" s="33"/>
      <c r="AD6788" s="33"/>
      <c r="AE6788" s="33"/>
      <c r="AF6788" s="33"/>
      <c r="AG6788" s="33"/>
      <c r="AH6788" s="33"/>
      <c r="AI6788" s="33"/>
      <c r="AJ6788" s="33"/>
      <c r="AK6788" s="33"/>
    </row>
    <row r="6789">
      <c r="A6789" s="33"/>
      <c r="B6789" s="33"/>
      <c r="C6789" s="33"/>
      <c r="D6789" s="33"/>
      <c r="E6789" s="33"/>
      <c r="F6789" s="33"/>
      <c r="G6789" s="33"/>
      <c r="H6789" s="33"/>
      <c r="I6789" s="33"/>
      <c r="J6789" s="33"/>
      <c r="K6789" s="33"/>
      <c r="L6789" s="33"/>
      <c r="M6789" s="33"/>
      <c r="N6789" s="33"/>
      <c r="O6789" s="33"/>
      <c r="P6789" s="33"/>
      <c r="Q6789" s="33"/>
      <c r="R6789" s="33"/>
      <c r="S6789" s="33"/>
      <c r="T6789" s="33"/>
      <c r="U6789" s="33"/>
      <c r="V6789" s="33"/>
      <c r="W6789" s="33"/>
      <c r="X6789" s="33"/>
      <c r="Y6789" s="33"/>
      <c r="Z6789" s="33"/>
      <c r="AA6789" s="33"/>
      <c r="AB6789" s="33"/>
      <c r="AC6789" s="33"/>
      <c r="AD6789" s="33"/>
      <c r="AE6789" s="33"/>
      <c r="AF6789" s="33"/>
      <c r="AG6789" s="33"/>
      <c r="AH6789" s="33"/>
      <c r="AI6789" s="33"/>
      <c r="AJ6789" s="33"/>
      <c r="AK6789" s="33"/>
    </row>
    <row r="6790">
      <c r="A6790" s="33"/>
      <c r="B6790" s="33"/>
      <c r="C6790" s="33"/>
      <c r="D6790" s="33"/>
      <c r="E6790" s="33"/>
      <c r="F6790" s="33"/>
      <c r="G6790" s="33"/>
      <c r="H6790" s="33"/>
      <c r="I6790" s="33"/>
      <c r="J6790" s="33"/>
      <c r="K6790" s="33"/>
      <c r="L6790" s="33"/>
      <c r="M6790" s="33"/>
      <c r="N6790" s="33"/>
      <c r="O6790" s="33"/>
      <c r="P6790" s="33"/>
      <c r="Q6790" s="33"/>
      <c r="R6790" s="33"/>
      <c r="S6790" s="33"/>
      <c r="T6790" s="33"/>
      <c r="U6790" s="33"/>
      <c r="V6790" s="33"/>
      <c r="W6790" s="33"/>
      <c r="X6790" s="33"/>
      <c r="Y6790" s="33"/>
      <c r="Z6790" s="33"/>
      <c r="AA6790" s="33"/>
      <c r="AB6790" s="33"/>
      <c r="AC6790" s="33"/>
      <c r="AD6790" s="33"/>
      <c r="AE6790" s="33"/>
      <c r="AF6790" s="33"/>
      <c r="AG6790" s="33"/>
      <c r="AH6790" s="33"/>
      <c r="AI6790" s="33"/>
      <c r="AJ6790" s="33"/>
      <c r="AK6790" s="33"/>
    </row>
    <row r="6791">
      <c r="A6791" s="33"/>
      <c r="B6791" s="33"/>
      <c r="C6791" s="33"/>
      <c r="D6791" s="33"/>
      <c r="E6791" s="33"/>
      <c r="F6791" s="33"/>
      <c r="G6791" s="33"/>
      <c r="H6791" s="33"/>
      <c r="I6791" s="33"/>
      <c r="J6791" s="33"/>
      <c r="K6791" s="33"/>
      <c r="L6791" s="33"/>
      <c r="M6791" s="33"/>
      <c r="N6791" s="33"/>
      <c r="O6791" s="33"/>
      <c r="P6791" s="33"/>
      <c r="Q6791" s="33"/>
      <c r="R6791" s="33"/>
      <c r="S6791" s="33"/>
      <c r="T6791" s="33"/>
      <c r="U6791" s="33"/>
      <c r="V6791" s="33"/>
      <c r="W6791" s="33"/>
      <c r="X6791" s="33"/>
      <c r="Y6791" s="33"/>
      <c r="Z6791" s="33"/>
      <c r="AA6791" s="33"/>
      <c r="AB6791" s="33"/>
      <c r="AC6791" s="33"/>
      <c r="AD6791" s="33"/>
      <c r="AE6791" s="33"/>
      <c r="AF6791" s="33"/>
      <c r="AG6791" s="33"/>
      <c r="AH6791" s="33"/>
      <c r="AI6791" s="33"/>
      <c r="AJ6791" s="33"/>
      <c r="AK6791" s="33"/>
    </row>
    <row r="6792">
      <c r="A6792" s="33"/>
      <c r="B6792" s="33"/>
      <c r="C6792" s="33"/>
      <c r="D6792" s="33"/>
      <c r="E6792" s="33"/>
      <c r="F6792" s="33"/>
      <c r="G6792" s="33"/>
      <c r="H6792" s="33"/>
      <c r="I6792" s="33"/>
      <c r="J6792" s="33"/>
      <c r="K6792" s="33"/>
      <c r="L6792" s="33"/>
      <c r="M6792" s="33"/>
      <c r="N6792" s="33"/>
      <c r="O6792" s="33"/>
      <c r="P6792" s="33"/>
      <c r="Q6792" s="33"/>
      <c r="R6792" s="33"/>
      <c r="S6792" s="33"/>
      <c r="T6792" s="33"/>
      <c r="U6792" s="33"/>
      <c r="V6792" s="33"/>
      <c r="W6792" s="33"/>
      <c r="X6792" s="33"/>
      <c r="Y6792" s="33"/>
      <c r="Z6792" s="33"/>
      <c r="AA6792" s="33"/>
      <c r="AB6792" s="33"/>
      <c r="AC6792" s="33"/>
      <c r="AD6792" s="33"/>
      <c r="AE6792" s="33"/>
      <c r="AF6792" s="33"/>
      <c r="AG6792" s="33"/>
      <c r="AH6792" s="33"/>
      <c r="AI6792" s="33"/>
      <c r="AJ6792" s="33"/>
      <c r="AK6792" s="33"/>
    </row>
    <row r="6793">
      <c r="A6793" s="33"/>
      <c r="B6793" s="33"/>
      <c r="C6793" s="33"/>
      <c r="D6793" s="33"/>
      <c r="E6793" s="33"/>
      <c r="F6793" s="33"/>
      <c r="G6793" s="33"/>
      <c r="H6793" s="33"/>
      <c r="I6793" s="33"/>
      <c r="J6793" s="33"/>
      <c r="K6793" s="33"/>
      <c r="L6793" s="33"/>
      <c r="M6793" s="33"/>
      <c r="N6793" s="33"/>
      <c r="O6793" s="33"/>
      <c r="P6793" s="33"/>
      <c r="Q6793" s="33"/>
      <c r="R6793" s="33"/>
      <c r="S6793" s="33"/>
      <c r="T6793" s="33"/>
      <c r="U6793" s="33"/>
      <c r="V6793" s="33"/>
      <c r="W6793" s="33"/>
      <c r="X6793" s="33"/>
      <c r="Y6793" s="33"/>
      <c r="Z6793" s="33"/>
      <c r="AA6793" s="33"/>
      <c r="AB6793" s="33"/>
      <c r="AC6793" s="33"/>
      <c r="AD6793" s="33"/>
      <c r="AE6793" s="33"/>
      <c r="AF6793" s="33"/>
      <c r="AG6793" s="33"/>
      <c r="AH6793" s="33"/>
      <c r="AI6793" s="33"/>
      <c r="AJ6793" s="33"/>
      <c r="AK6793" s="33"/>
    </row>
    <row r="6794">
      <c r="A6794" s="33"/>
      <c r="B6794" s="33"/>
      <c r="C6794" s="33"/>
      <c r="D6794" s="33"/>
      <c r="E6794" s="33"/>
      <c r="F6794" s="33"/>
      <c r="G6794" s="33"/>
      <c r="H6794" s="33"/>
      <c r="I6794" s="33"/>
      <c r="J6794" s="33"/>
      <c r="K6794" s="33"/>
      <c r="L6794" s="33"/>
      <c r="M6794" s="33"/>
      <c r="N6794" s="33"/>
      <c r="O6794" s="33"/>
      <c r="P6794" s="33"/>
      <c r="Q6794" s="33"/>
      <c r="R6794" s="33"/>
      <c r="S6794" s="33"/>
      <c r="T6794" s="33"/>
      <c r="U6794" s="33"/>
      <c r="V6794" s="33"/>
      <c r="W6794" s="33"/>
      <c r="X6794" s="33"/>
      <c r="Y6794" s="33"/>
      <c r="Z6794" s="33"/>
      <c r="AA6794" s="33"/>
      <c r="AB6794" s="33"/>
      <c r="AC6794" s="33"/>
      <c r="AD6794" s="33"/>
      <c r="AE6794" s="33"/>
      <c r="AF6794" s="33"/>
      <c r="AG6794" s="33"/>
      <c r="AH6794" s="33"/>
      <c r="AI6794" s="33"/>
      <c r="AJ6794" s="33"/>
      <c r="AK6794" s="33"/>
    </row>
    <row r="6795">
      <c r="A6795" s="33"/>
      <c r="B6795" s="33"/>
      <c r="C6795" s="33"/>
      <c r="D6795" s="33"/>
      <c r="E6795" s="33"/>
      <c r="F6795" s="33"/>
      <c r="G6795" s="33"/>
      <c r="H6795" s="33"/>
      <c r="I6795" s="33"/>
      <c r="J6795" s="33"/>
      <c r="K6795" s="33"/>
      <c r="L6795" s="33"/>
      <c r="M6795" s="33"/>
      <c r="N6795" s="33"/>
      <c r="O6795" s="33"/>
      <c r="P6795" s="33"/>
      <c r="Q6795" s="33"/>
      <c r="R6795" s="33"/>
      <c r="S6795" s="33"/>
      <c r="T6795" s="33"/>
      <c r="U6795" s="33"/>
      <c r="V6795" s="33"/>
      <c r="W6795" s="33"/>
      <c r="X6795" s="33"/>
      <c r="Y6795" s="33"/>
      <c r="Z6795" s="33"/>
      <c r="AA6795" s="33"/>
      <c r="AB6795" s="33"/>
      <c r="AC6795" s="33"/>
      <c r="AD6795" s="33"/>
      <c r="AE6795" s="33"/>
      <c r="AF6795" s="33"/>
      <c r="AG6795" s="33"/>
      <c r="AH6795" s="33"/>
      <c r="AI6795" s="33"/>
      <c r="AJ6795" s="33"/>
      <c r="AK6795" s="33"/>
    </row>
    <row r="6796">
      <c r="A6796" s="33"/>
      <c r="B6796" s="33"/>
      <c r="C6796" s="33"/>
      <c r="D6796" s="33"/>
      <c r="E6796" s="33"/>
      <c r="F6796" s="33"/>
      <c r="G6796" s="33"/>
      <c r="H6796" s="33"/>
      <c r="I6796" s="33"/>
      <c r="J6796" s="33"/>
      <c r="K6796" s="33"/>
      <c r="L6796" s="33"/>
      <c r="M6796" s="33"/>
      <c r="N6796" s="33"/>
      <c r="O6796" s="33"/>
      <c r="P6796" s="33"/>
      <c r="Q6796" s="33"/>
      <c r="R6796" s="33"/>
      <c r="S6796" s="33"/>
      <c r="T6796" s="33"/>
      <c r="U6796" s="33"/>
      <c r="V6796" s="33"/>
      <c r="W6796" s="33"/>
      <c r="X6796" s="33"/>
      <c r="Y6796" s="33"/>
      <c r="Z6796" s="33"/>
      <c r="AA6796" s="33"/>
      <c r="AB6796" s="33"/>
      <c r="AC6796" s="33"/>
      <c r="AD6796" s="33"/>
      <c r="AE6796" s="33"/>
      <c r="AF6796" s="33"/>
      <c r="AG6796" s="33"/>
      <c r="AH6796" s="33"/>
      <c r="AI6796" s="33"/>
      <c r="AJ6796" s="33"/>
      <c r="AK6796" s="33"/>
    </row>
    <row r="6797">
      <c r="A6797" s="33"/>
      <c r="B6797" s="33"/>
      <c r="C6797" s="33"/>
      <c r="D6797" s="33"/>
      <c r="E6797" s="33"/>
      <c r="F6797" s="33"/>
      <c r="G6797" s="33"/>
      <c r="H6797" s="33"/>
      <c r="I6797" s="33"/>
      <c r="J6797" s="33"/>
      <c r="K6797" s="33"/>
      <c r="L6797" s="33"/>
      <c r="M6797" s="33"/>
      <c r="N6797" s="33"/>
      <c r="O6797" s="33"/>
      <c r="P6797" s="33"/>
      <c r="Q6797" s="33"/>
      <c r="R6797" s="33"/>
      <c r="S6797" s="33"/>
      <c r="T6797" s="33"/>
      <c r="U6797" s="33"/>
      <c r="V6797" s="33"/>
      <c r="W6797" s="33"/>
      <c r="X6797" s="33"/>
      <c r="Y6797" s="33"/>
      <c r="Z6797" s="33"/>
      <c r="AA6797" s="33"/>
      <c r="AB6797" s="33"/>
      <c r="AC6797" s="33"/>
      <c r="AD6797" s="33"/>
      <c r="AE6797" s="33"/>
      <c r="AF6797" s="33"/>
      <c r="AG6797" s="33"/>
      <c r="AH6797" s="33"/>
      <c r="AI6797" s="33"/>
      <c r="AJ6797" s="33"/>
      <c r="AK6797" s="33"/>
    </row>
    <row r="6798">
      <c r="A6798" s="33"/>
      <c r="B6798" s="33"/>
      <c r="C6798" s="33"/>
      <c r="D6798" s="33"/>
      <c r="E6798" s="33"/>
      <c r="F6798" s="33"/>
      <c r="G6798" s="33"/>
      <c r="H6798" s="33"/>
      <c r="I6798" s="33"/>
      <c r="J6798" s="33"/>
      <c r="K6798" s="33"/>
      <c r="L6798" s="33"/>
      <c r="M6798" s="33"/>
      <c r="N6798" s="33"/>
      <c r="O6798" s="33"/>
      <c r="P6798" s="33"/>
      <c r="Q6798" s="33"/>
      <c r="R6798" s="33"/>
      <c r="S6798" s="33"/>
      <c r="T6798" s="33"/>
      <c r="U6798" s="33"/>
      <c r="V6798" s="33"/>
      <c r="W6798" s="33"/>
      <c r="X6798" s="33"/>
      <c r="Y6798" s="33"/>
      <c r="Z6798" s="33"/>
      <c r="AA6798" s="33"/>
      <c r="AB6798" s="33"/>
      <c r="AC6798" s="33"/>
      <c r="AD6798" s="33"/>
      <c r="AE6798" s="33"/>
      <c r="AF6798" s="33"/>
      <c r="AG6798" s="33"/>
      <c r="AH6798" s="33"/>
      <c r="AI6798" s="33"/>
      <c r="AJ6798" s="33"/>
      <c r="AK6798" s="33"/>
    </row>
    <row r="6799">
      <c r="A6799" s="33"/>
      <c r="B6799" s="33"/>
      <c r="C6799" s="33"/>
      <c r="D6799" s="33"/>
      <c r="E6799" s="33"/>
      <c r="F6799" s="33"/>
      <c r="G6799" s="33"/>
      <c r="H6799" s="33"/>
      <c r="I6799" s="33"/>
      <c r="J6799" s="33"/>
      <c r="K6799" s="33"/>
      <c r="L6799" s="33"/>
      <c r="M6799" s="33"/>
      <c r="N6799" s="33"/>
      <c r="O6799" s="33"/>
      <c r="P6799" s="33"/>
      <c r="Q6799" s="33"/>
      <c r="R6799" s="33"/>
      <c r="S6799" s="33"/>
      <c r="T6799" s="33"/>
      <c r="U6799" s="33"/>
      <c r="V6799" s="33"/>
      <c r="W6799" s="33"/>
      <c r="X6799" s="33"/>
      <c r="Y6799" s="33"/>
      <c r="Z6799" s="33"/>
      <c r="AA6799" s="33"/>
      <c r="AB6799" s="33"/>
      <c r="AC6799" s="33"/>
      <c r="AD6799" s="33"/>
      <c r="AE6799" s="33"/>
      <c r="AF6799" s="33"/>
      <c r="AG6799" s="33"/>
      <c r="AH6799" s="33"/>
      <c r="AI6799" s="33"/>
      <c r="AJ6799" s="33"/>
      <c r="AK6799" s="33"/>
    </row>
    <row r="6800">
      <c r="A6800" s="33"/>
      <c r="B6800" s="33"/>
      <c r="C6800" s="33"/>
      <c r="D6800" s="33"/>
      <c r="E6800" s="33"/>
      <c r="F6800" s="33"/>
      <c r="G6800" s="33"/>
      <c r="H6800" s="33"/>
      <c r="I6800" s="33"/>
      <c r="J6800" s="33"/>
      <c r="K6800" s="33"/>
      <c r="L6800" s="33"/>
      <c r="M6800" s="33"/>
      <c r="N6800" s="33"/>
      <c r="O6800" s="33"/>
      <c r="P6800" s="33"/>
      <c r="Q6800" s="33"/>
      <c r="R6800" s="33"/>
      <c r="S6800" s="33"/>
      <c r="T6800" s="33"/>
      <c r="U6800" s="33"/>
      <c r="V6800" s="33"/>
      <c r="W6800" s="33"/>
      <c r="X6800" s="33"/>
      <c r="Y6800" s="33"/>
      <c r="Z6800" s="33"/>
      <c r="AA6800" s="33"/>
      <c r="AB6800" s="33"/>
      <c r="AC6800" s="33"/>
      <c r="AD6800" s="33"/>
      <c r="AE6800" s="33"/>
      <c r="AF6800" s="33"/>
      <c r="AG6800" s="33"/>
      <c r="AH6800" s="33"/>
      <c r="AI6800" s="33"/>
      <c r="AJ6800" s="33"/>
      <c r="AK6800" s="33"/>
    </row>
    <row r="6801">
      <c r="A6801" s="33"/>
      <c r="B6801" s="33"/>
      <c r="C6801" s="33"/>
      <c r="D6801" s="33"/>
      <c r="E6801" s="33"/>
      <c r="F6801" s="33"/>
      <c r="G6801" s="33"/>
      <c r="H6801" s="33"/>
      <c r="I6801" s="33"/>
      <c r="J6801" s="33"/>
      <c r="K6801" s="33"/>
      <c r="L6801" s="33"/>
      <c r="M6801" s="33"/>
      <c r="N6801" s="33"/>
      <c r="O6801" s="33"/>
      <c r="P6801" s="33"/>
      <c r="Q6801" s="33"/>
      <c r="R6801" s="33"/>
      <c r="S6801" s="33"/>
      <c r="T6801" s="33"/>
      <c r="U6801" s="33"/>
      <c r="V6801" s="33"/>
      <c r="W6801" s="33"/>
      <c r="X6801" s="33"/>
      <c r="Y6801" s="33"/>
      <c r="Z6801" s="33"/>
      <c r="AA6801" s="33"/>
      <c r="AB6801" s="33"/>
      <c r="AC6801" s="33"/>
      <c r="AD6801" s="33"/>
      <c r="AE6801" s="33"/>
      <c r="AF6801" s="33"/>
      <c r="AG6801" s="33"/>
      <c r="AH6801" s="33"/>
      <c r="AI6801" s="33"/>
      <c r="AJ6801" s="33"/>
      <c r="AK6801" s="33"/>
    </row>
    <row r="6802">
      <c r="A6802" s="33"/>
      <c r="B6802" s="33"/>
      <c r="C6802" s="33"/>
      <c r="D6802" s="33"/>
      <c r="E6802" s="33"/>
      <c r="F6802" s="33"/>
      <c r="G6802" s="33"/>
      <c r="H6802" s="33"/>
      <c r="I6802" s="33"/>
      <c r="J6802" s="33"/>
      <c r="K6802" s="33"/>
      <c r="L6802" s="33"/>
      <c r="M6802" s="33"/>
      <c r="N6802" s="33"/>
      <c r="O6802" s="33"/>
      <c r="P6802" s="33"/>
      <c r="Q6802" s="33"/>
      <c r="R6802" s="33"/>
      <c r="S6802" s="33"/>
      <c r="T6802" s="33"/>
      <c r="U6802" s="33"/>
      <c r="V6802" s="33"/>
      <c r="W6802" s="33"/>
      <c r="X6802" s="33"/>
      <c r="Y6802" s="33"/>
      <c r="Z6802" s="33"/>
      <c r="AA6802" s="33"/>
      <c r="AB6802" s="33"/>
      <c r="AC6802" s="33"/>
      <c r="AD6802" s="33"/>
      <c r="AE6802" s="33"/>
      <c r="AF6802" s="33"/>
      <c r="AG6802" s="33"/>
      <c r="AH6802" s="33"/>
      <c r="AI6802" s="33"/>
      <c r="AJ6802" s="33"/>
      <c r="AK6802" s="33"/>
    </row>
    <row r="6803">
      <c r="A6803" s="33"/>
      <c r="B6803" s="33"/>
      <c r="C6803" s="33"/>
      <c r="D6803" s="33"/>
      <c r="E6803" s="33"/>
      <c r="F6803" s="33"/>
      <c r="G6803" s="33"/>
      <c r="H6803" s="33"/>
      <c r="I6803" s="33"/>
      <c r="J6803" s="33"/>
      <c r="K6803" s="33"/>
      <c r="L6803" s="33"/>
      <c r="M6803" s="33"/>
      <c r="N6803" s="33"/>
      <c r="O6803" s="33"/>
      <c r="P6803" s="33"/>
      <c r="Q6803" s="33"/>
      <c r="R6803" s="33"/>
      <c r="S6803" s="33"/>
      <c r="T6803" s="33"/>
      <c r="U6803" s="33"/>
      <c r="V6803" s="33"/>
      <c r="W6803" s="33"/>
      <c r="X6803" s="33"/>
      <c r="Y6803" s="33"/>
      <c r="Z6803" s="33"/>
      <c r="AA6803" s="33"/>
      <c r="AB6803" s="33"/>
      <c r="AC6803" s="33"/>
      <c r="AD6803" s="33"/>
      <c r="AE6803" s="33"/>
      <c r="AF6803" s="33"/>
      <c r="AG6803" s="33"/>
      <c r="AH6803" s="33"/>
      <c r="AI6803" s="33"/>
      <c r="AJ6803" s="33"/>
      <c r="AK6803" s="33"/>
    </row>
    <row r="6804">
      <c r="A6804" s="33"/>
      <c r="B6804" s="33"/>
      <c r="C6804" s="33"/>
      <c r="D6804" s="33"/>
      <c r="E6804" s="33"/>
      <c r="F6804" s="33"/>
      <c r="G6804" s="33"/>
      <c r="H6804" s="33"/>
      <c r="I6804" s="33"/>
      <c r="J6804" s="33"/>
      <c r="K6804" s="33"/>
      <c r="L6804" s="33"/>
      <c r="M6804" s="33"/>
      <c r="N6804" s="33"/>
      <c r="O6804" s="33"/>
      <c r="P6804" s="33"/>
      <c r="Q6804" s="33"/>
      <c r="R6804" s="33"/>
      <c r="S6804" s="33"/>
      <c r="T6804" s="33"/>
      <c r="U6804" s="33"/>
      <c r="V6804" s="33"/>
      <c r="W6804" s="33"/>
      <c r="X6804" s="33"/>
      <c r="Y6804" s="33"/>
      <c r="Z6804" s="33"/>
      <c r="AA6804" s="33"/>
      <c r="AB6804" s="33"/>
      <c r="AC6804" s="33"/>
      <c r="AD6804" s="33"/>
      <c r="AE6804" s="33"/>
      <c r="AF6804" s="33"/>
      <c r="AG6804" s="33"/>
      <c r="AH6804" s="33"/>
      <c r="AI6804" s="33"/>
      <c r="AJ6804" s="33"/>
      <c r="AK6804" s="33"/>
    </row>
    <row r="6805">
      <c r="A6805" s="33"/>
      <c r="B6805" s="33"/>
      <c r="C6805" s="33"/>
      <c r="D6805" s="33"/>
      <c r="E6805" s="33"/>
      <c r="F6805" s="33"/>
      <c r="G6805" s="33"/>
      <c r="H6805" s="33"/>
      <c r="I6805" s="33"/>
      <c r="J6805" s="33"/>
      <c r="K6805" s="33"/>
      <c r="L6805" s="33"/>
      <c r="M6805" s="33"/>
      <c r="N6805" s="33"/>
      <c r="O6805" s="33"/>
      <c r="P6805" s="33"/>
      <c r="Q6805" s="33"/>
      <c r="R6805" s="33"/>
      <c r="S6805" s="33"/>
      <c r="T6805" s="33"/>
      <c r="U6805" s="33"/>
      <c r="V6805" s="33"/>
      <c r="W6805" s="33"/>
      <c r="X6805" s="33"/>
      <c r="Y6805" s="33"/>
      <c r="Z6805" s="33"/>
      <c r="AA6805" s="33"/>
      <c r="AB6805" s="33"/>
      <c r="AC6805" s="33"/>
      <c r="AD6805" s="33"/>
      <c r="AE6805" s="33"/>
      <c r="AF6805" s="33"/>
      <c r="AG6805" s="33"/>
      <c r="AH6805" s="33"/>
      <c r="AI6805" s="33"/>
      <c r="AJ6805" s="33"/>
      <c r="AK6805" s="33"/>
    </row>
    <row r="6806">
      <c r="A6806" s="33"/>
      <c r="B6806" s="33"/>
      <c r="C6806" s="33"/>
      <c r="D6806" s="33"/>
      <c r="E6806" s="33"/>
      <c r="F6806" s="33"/>
      <c r="G6806" s="33"/>
      <c r="H6806" s="33"/>
      <c r="I6806" s="33"/>
      <c r="J6806" s="33"/>
      <c r="K6806" s="33"/>
      <c r="L6806" s="33"/>
      <c r="M6806" s="33"/>
      <c r="N6806" s="33"/>
      <c r="O6806" s="33"/>
      <c r="P6806" s="33"/>
      <c r="Q6806" s="33"/>
      <c r="R6806" s="33"/>
      <c r="S6806" s="33"/>
      <c r="T6806" s="33"/>
      <c r="U6806" s="33"/>
      <c r="V6806" s="33"/>
      <c r="W6806" s="33"/>
      <c r="X6806" s="33"/>
      <c r="Y6806" s="33"/>
      <c r="Z6806" s="33"/>
      <c r="AA6806" s="33"/>
      <c r="AB6806" s="33"/>
      <c r="AC6806" s="33"/>
      <c r="AD6806" s="33"/>
      <c r="AE6806" s="33"/>
      <c r="AF6806" s="33"/>
      <c r="AG6806" s="33"/>
      <c r="AH6806" s="33"/>
      <c r="AI6806" s="33"/>
      <c r="AJ6806" s="33"/>
      <c r="AK6806" s="33"/>
    </row>
    <row r="6807">
      <c r="A6807" s="33"/>
      <c r="B6807" s="33"/>
      <c r="C6807" s="33"/>
      <c r="D6807" s="33"/>
      <c r="E6807" s="33"/>
      <c r="F6807" s="33"/>
      <c r="G6807" s="33"/>
      <c r="H6807" s="33"/>
      <c r="I6807" s="33"/>
      <c r="J6807" s="33"/>
      <c r="K6807" s="33"/>
      <c r="L6807" s="33"/>
      <c r="M6807" s="33"/>
      <c r="N6807" s="33"/>
      <c r="O6807" s="33"/>
      <c r="P6807" s="33"/>
      <c r="Q6807" s="33"/>
      <c r="R6807" s="33"/>
      <c r="S6807" s="33"/>
      <c r="T6807" s="33"/>
      <c r="U6807" s="33"/>
      <c r="V6807" s="33"/>
      <c r="W6807" s="33"/>
      <c r="X6807" s="33"/>
      <c r="Y6807" s="33"/>
      <c r="Z6807" s="33"/>
      <c r="AA6807" s="33"/>
      <c r="AB6807" s="33"/>
      <c r="AC6807" s="33"/>
      <c r="AD6807" s="33"/>
      <c r="AE6807" s="33"/>
      <c r="AF6807" s="33"/>
      <c r="AG6807" s="33"/>
      <c r="AH6807" s="33"/>
      <c r="AI6807" s="33"/>
      <c r="AJ6807" s="33"/>
      <c r="AK6807" s="33"/>
    </row>
    <row r="6808">
      <c r="A6808" s="33"/>
      <c r="B6808" s="33"/>
      <c r="C6808" s="33"/>
      <c r="D6808" s="33"/>
      <c r="E6808" s="33"/>
      <c r="F6808" s="33"/>
      <c r="G6808" s="33"/>
      <c r="H6808" s="33"/>
      <c r="I6808" s="33"/>
      <c r="J6808" s="33"/>
      <c r="K6808" s="33"/>
      <c r="L6808" s="33"/>
      <c r="M6808" s="33"/>
      <c r="N6808" s="33"/>
      <c r="O6808" s="33"/>
      <c r="P6808" s="33"/>
      <c r="Q6808" s="33"/>
      <c r="R6808" s="33"/>
      <c r="S6808" s="33"/>
      <c r="T6808" s="33"/>
      <c r="U6808" s="33"/>
      <c r="V6808" s="33"/>
      <c r="W6808" s="33"/>
      <c r="X6808" s="33"/>
      <c r="Y6808" s="33"/>
      <c r="Z6808" s="33"/>
      <c r="AA6808" s="33"/>
      <c r="AB6808" s="33"/>
      <c r="AC6808" s="33"/>
      <c r="AD6808" s="33"/>
      <c r="AE6808" s="33"/>
      <c r="AF6808" s="33"/>
      <c r="AG6808" s="33"/>
      <c r="AH6808" s="33"/>
      <c r="AI6808" s="33"/>
      <c r="AJ6808" s="33"/>
      <c r="AK6808" s="33"/>
    </row>
    <row r="6809">
      <c r="A6809" s="33"/>
      <c r="B6809" s="33"/>
      <c r="C6809" s="33"/>
      <c r="D6809" s="33"/>
      <c r="E6809" s="33"/>
      <c r="F6809" s="33"/>
      <c r="G6809" s="33"/>
      <c r="H6809" s="33"/>
      <c r="I6809" s="33"/>
      <c r="J6809" s="33"/>
      <c r="K6809" s="33"/>
      <c r="L6809" s="33"/>
      <c r="M6809" s="33"/>
      <c r="N6809" s="33"/>
      <c r="O6809" s="33"/>
      <c r="P6809" s="33"/>
      <c r="Q6809" s="33"/>
      <c r="R6809" s="33"/>
      <c r="S6809" s="33"/>
      <c r="T6809" s="33"/>
      <c r="U6809" s="33"/>
      <c r="V6809" s="33"/>
      <c r="W6809" s="33"/>
      <c r="X6809" s="33"/>
      <c r="Y6809" s="33"/>
      <c r="Z6809" s="33"/>
      <c r="AA6809" s="33"/>
      <c r="AB6809" s="33"/>
      <c r="AC6809" s="33"/>
      <c r="AD6809" s="33"/>
      <c r="AE6809" s="33"/>
      <c r="AF6809" s="33"/>
      <c r="AG6809" s="33"/>
      <c r="AH6809" s="33"/>
      <c r="AI6809" s="33"/>
      <c r="AJ6809" s="33"/>
      <c r="AK6809" s="33"/>
    </row>
    <row r="6810">
      <c r="A6810" s="33"/>
      <c r="B6810" s="33"/>
      <c r="C6810" s="33"/>
      <c r="D6810" s="33"/>
      <c r="E6810" s="33"/>
      <c r="F6810" s="33"/>
      <c r="G6810" s="33"/>
      <c r="H6810" s="33"/>
      <c r="I6810" s="33"/>
      <c r="J6810" s="33"/>
      <c r="K6810" s="33"/>
      <c r="L6810" s="33"/>
      <c r="M6810" s="33"/>
      <c r="N6810" s="33"/>
      <c r="O6810" s="33"/>
      <c r="P6810" s="33"/>
      <c r="Q6810" s="33"/>
      <c r="R6810" s="33"/>
      <c r="S6810" s="33"/>
      <c r="T6810" s="33"/>
      <c r="U6810" s="33"/>
      <c r="V6810" s="33"/>
      <c r="W6810" s="33"/>
      <c r="X6810" s="33"/>
      <c r="Y6810" s="33"/>
      <c r="Z6810" s="33"/>
      <c r="AA6810" s="33"/>
      <c r="AB6810" s="33"/>
      <c r="AC6810" s="33"/>
      <c r="AD6810" s="33"/>
      <c r="AE6810" s="33"/>
      <c r="AF6810" s="33"/>
      <c r="AG6810" s="33"/>
      <c r="AH6810" s="33"/>
      <c r="AI6810" s="33"/>
      <c r="AJ6810" s="33"/>
      <c r="AK6810" s="33"/>
    </row>
    <row r="6811">
      <c r="A6811" s="33"/>
      <c r="B6811" s="33"/>
      <c r="C6811" s="33"/>
      <c r="D6811" s="33"/>
      <c r="E6811" s="33"/>
      <c r="F6811" s="33"/>
      <c r="G6811" s="33"/>
      <c r="H6811" s="33"/>
      <c r="I6811" s="33"/>
      <c r="J6811" s="33"/>
      <c r="K6811" s="33"/>
      <c r="L6811" s="33"/>
      <c r="M6811" s="33"/>
      <c r="N6811" s="33"/>
      <c r="O6811" s="33"/>
      <c r="P6811" s="33"/>
      <c r="Q6811" s="33"/>
      <c r="R6811" s="33"/>
      <c r="S6811" s="33"/>
      <c r="T6811" s="33"/>
      <c r="U6811" s="33"/>
      <c r="V6811" s="33"/>
      <c r="W6811" s="33"/>
      <c r="X6811" s="33"/>
      <c r="Y6811" s="33"/>
      <c r="Z6811" s="33"/>
      <c r="AA6811" s="33"/>
      <c r="AB6811" s="33"/>
      <c r="AC6811" s="33"/>
      <c r="AD6811" s="33"/>
      <c r="AE6811" s="33"/>
      <c r="AF6811" s="33"/>
      <c r="AG6811" s="33"/>
      <c r="AH6811" s="33"/>
      <c r="AI6811" s="33"/>
      <c r="AJ6811" s="33"/>
      <c r="AK6811" s="33"/>
    </row>
    <row r="6812">
      <c r="A6812" s="33"/>
      <c r="B6812" s="33"/>
      <c r="C6812" s="33"/>
      <c r="D6812" s="33"/>
      <c r="E6812" s="33"/>
      <c r="F6812" s="33"/>
      <c r="G6812" s="33"/>
      <c r="H6812" s="33"/>
      <c r="I6812" s="33"/>
      <c r="J6812" s="33"/>
      <c r="K6812" s="33"/>
      <c r="L6812" s="33"/>
      <c r="M6812" s="33"/>
      <c r="N6812" s="33"/>
      <c r="O6812" s="33"/>
      <c r="P6812" s="33"/>
      <c r="Q6812" s="33"/>
      <c r="R6812" s="33"/>
      <c r="S6812" s="33"/>
      <c r="T6812" s="33"/>
      <c r="U6812" s="33"/>
      <c r="V6812" s="33"/>
      <c r="W6812" s="33"/>
      <c r="X6812" s="33"/>
      <c r="Y6812" s="33"/>
      <c r="Z6812" s="33"/>
      <c r="AA6812" s="33"/>
      <c r="AB6812" s="33"/>
      <c r="AC6812" s="33"/>
      <c r="AD6812" s="33"/>
      <c r="AE6812" s="33"/>
      <c r="AF6812" s="33"/>
      <c r="AG6812" s="33"/>
      <c r="AH6812" s="33"/>
      <c r="AI6812" s="33"/>
      <c r="AJ6812" s="33"/>
      <c r="AK6812" s="33"/>
    </row>
    <row r="6813">
      <c r="A6813" s="33"/>
      <c r="B6813" s="33"/>
      <c r="C6813" s="33"/>
      <c r="D6813" s="33"/>
      <c r="E6813" s="33"/>
      <c r="F6813" s="33"/>
      <c r="G6813" s="33"/>
      <c r="H6813" s="33"/>
      <c r="I6813" s="33"/>
      <c r="J6813" s="33"/>
      <c r="K6813" s="33"/>
      <c r="L6813" s="33"/>
      <c r="M6813" s="33"/>
      <c r="N6813" s="33"/>
      <c r="O6813" s="33"/>
      <c r="P6813" s="33"/>
      <c r="Q6813" s="33"/>
      <c r="R6813" s="33"/>
      <c r="S6813" s="33"/>
      <c r="T6813" s="33"/>
      <c r="U6813" s="33"/>
      <c r="V6813" s="33"/>
      <c r="W6813" s="33"/>
      <c r="X6813" s="33"/>
      <c r="Y6813" s="33"/>
      <c r="Z6813" s="33"/>
      <c r="AA6813" s="33"/>
      <c r="AB6813" s="33"/>
      <c r="AC6813" s="33"/>
      <c r="AD6813" s="33"/>
      <c r="AE6813" s="33"/>
      <c r="AF6813" s="33"/>
      <c r="AG6813" s="33"/>
      <c r="AH6813" s="33"/>
      <c r="AI6813" s="33"/>
      <c r="AJ6813" s="33"/>
      <c r="AK6813" s="33"/>
    </row>
    <row r="6814">
      <c r="A6814" s="33"/>
      <c r="B6814" s="33"/>
      <c r="C6814" s="33"/>
      <c r="D6814" s="33"/>
      <c r="E6814" s="33"/>
      <c r="F6814" s="33"/>
      <c r="G6814" s="33"/>
      <c r="H6814" s="33"/>
      <c r="I6814" s="33"/>
      <c r="J6814" s="33"/>
      <c r="K6814" s="33"/>
      <c r="L6814" s="33"/>
      <c r="M6814" s="33"/>
      <c r="N6814" s="33"/>
      <c r="O6814" s="33"/>
      <c r="P6814" s="33"/>
      <c r="Q6814" s="33"/>
      <c r="R6814" s="33"/>
      <c r="S6814" s="33"/>
      <c r="T6814" s="33"/>
      <c r="U6814" s="33"/>
      <c r="V6814" s="33"/>
      <c r="W6814" s="33"/>
      <c r="X6814" s="33"/>
      <c r="Y6814" s="33"/>
      <c r="Z6814" s="33"/>
      <c r="AA6814" s="33"/>
      <c r="AB6814" s="33"/>
      <c r="AC6814" s="33"/>
      <c r="AD6814" s="33"/>
      <c r="AE6814" s="33"/>
      <c r="AF6814" s="33"/>
      <c r="AG6814" s="33"/>
      <c r="AH6814" s="33"/>
      <c r="AI6814" s="33"/>
      <c r="AJ6814" s="33"/>
      <c r="AK6814" s="33"/>
    </row>
    <row r="6815">
      <c r="A6815" s="33"/>
      <c r="B6815" s="33"/>
      <c r="C6815" s="33"/>
      <c r="D6815" s="33"/>
      <c r="E6815" s="33"/>
      <c r="F6815" s="33"/>
      <c r="G6815" s="33"/>
      <c r="H6815" s="33"/>
      <c r="I6815" s="33"/>
      <c r="J6815" s="33"/>
      <c r="K6815" s="33"/>
      <c r="L6815" s="33"/>
      <c r="M6815" s="33"/>
      <c r="N6815" s="33"/>
      <c r="O6815" s="33"/>
      <c r="P6815" s="33"/>
      <c r="Q6815" s="33"/>
      <c r="R6815" s="33"/>
      <c r="S6815" s="33"/>
      <c r="T6815" s="33"/>
      <c r="U6815" s="33"/>
      <c r="V6815" s="33"/>
      <c r="W6815" s="33"/>
      <c r="X6815" s="33"/>
      <c r="Y6815" s="33"/>
      <c r="Z6815" s="33"/>
      <c r="AA6815" s="33"/>
      <c r="AB6815" s="33"/>
      <c r="AC6815" s="33"/>
      <c r="AD6815" s="33"/>
      <c r="AE6815" s="33"/>
      <c r="AF6815" s="33"/>
      <c r="AG6815" s="33"/>
      <c r="AH6815" s="33"/>
      <c r="AI6815" s="33"/>
      <c r="AJ6815" s="33"/>
      <c r="AK6815" s="33"/>
    </row>
    <row r="6816">
      <c r="A6816" s="33"/>
      <c r="B6816" s="33"/>
      <c r="C6816" s="33"/>
      <c r="D6816" s="33"/>
      <c r="E6816" s="33"/>
      <c r="F6816" s="33"/>
      <c r="G6816" s="33"/>
      <c r="H6816" s="33"/>
      <c r="I6816" s="33"/>
      <c r="J6816" s="33"/>
      <c r="K6816" s="33"/>
      <c r="L6816" s="33"/>
      <c r="M6816" s="33"/>
      <c r="N6816" s="33"/>
      <c r="O6816" s="33"/>
      <c r="P6816" s="33"/>
      <c r="Q6816" s="33"/>
      <c r="R6816" s="33"/>
      <c r="S6816" s="33"/>
      <c r="T6816" s="33"/>
      <c r="U6816" s="33"/>
      <c r="V6816" s="33"/>
      <c r="W6816" s="33"/>
      <c r="X6816" s="33"/>
      <c r="Y6816" s="33"/>
      <c r="Z6816" s="33"/>
      <c r="AA6816" s="33"/>
      <c r="AB6816" s="33"/>
      <c r="AC6816" s="33"/>
      <c r="AD6816" s="33"/>
      <c r="AE6816" s="33"/>
      <c r="AF6816" s="33"/>
      <c r="AG6816" s="33"/>
      <c r="AH6816" s="33"/>
      <c r="AI6816" s="33"/>
      <c r="AJ6816" s="33"/>
      <c r="AK6816" s="33"/>
    </row>
    <row r="6817">
      <c r="A6817" s="33"/>
      <c r="B6817" s="33"/>
      <c r="C6817" s="33"/>
      <c r="D6817" s="33"/>
      <c r="E6817" s="33"/>
      <c r="F6817" s="33"/>
      <c r="G6817" s="33"/>
      <c r="H6817" s="33"/>
      <c r="I6817" s="33"/>
      <c r="J6817" s="33"/>
      <c r="K6817" s="33"/>
      <c r="L6817" s="33"/>
      <c r="M6817" s="33"/>
      <c r="N6817" s="33"/>
      <c r="O6817" s="33"/>
      <c r="P6817" s="33"/>
      <c r="Q6817" s="33"/>
      <c r="R6817" s="33"/>
      <c r="S6817" s="33"/>
      <c r="T6817" s="33"/>
      <c r="U6817" s="33"/>
      <c r="V6817" s="33"/>
      <c r="W6817" s="33"/>
      <c r="X6817" s="33"/>
      <c r="Y6817" s="33"/>
      <c r="Z6817" s="33"/>
      <c r="AA6817" s="33"/>
      <c r="AB6817" s="33"/>
      <c r="AC6817" s="33"/>
      <c r="AD6817" s="33"/>
      <c r="AE6817" s="33"/>
      <c r="AF6817" s="33"/>
      <c r="AG6817" s="33"/>
      <c r="AH6817" s="33"/>
      <c r="AI6817" s="33"/>
      <c r="AJ6817" s="33"/>
      <c r="AK6817" s="33"/>
    </row>
    <row r="6818">
      <c r="A6818" s="33"/>
      <c r="B6818" s="33"/>
      <c r="C6818" s="33"/>
      <c r="D6818" s="33"/>
      <c r="E6818" s="33"/>
      <c r="F6818" s="33"/>
      <c r="G6818" s="33"/>
      <c r="H6818" s="33"/>
      <c r="I6818" s="33"/>
      <c r="J6818" s="33"/>
      <c r="K6818" s="33"/>
      <c r="L6818" s="33"/>
      <c r="M6818" s="33"/>
      <c r="N6818" s="33"/>
      <c r="O6818" s="33"/>
      <c r="P6818" s="33"/>
      <c r="Q6818" s="33"/>
      <c r="R6818" s="33"/>
      <c r="S6818" s="33"/>
      <c r="T6818" s="33"/>
      <c r="U6818" s="33"/>
      <c r="V6818" s="33"/>
      <c r="W6818" s="33"/>
      <c r="X6818" s="33"/>
      <c r="Y6818" s="33"/>
      <c r="Z6818" s="33"/>
      <c r="AA6818" s="33"/>
      <c r="AB6818" s="33"/>
      <c r="AC6818" s="33"/>
      <c r="AD6818" s="33"/>
      <c r="AE6818" s="33"/>
      <c r="AF6818" s="33"/>
      <c r="AG6818" s="33"/>
      <c r="AH6818" s="33"/>
      <c r="AI6818" s="33"/>
      <c r="AJ6818" s="33"/>
      <c r="AK6818" s="33"/>
    </row>
    <row r="6819">
      <c r="A6819" s="33"/>
      <c r="B6819" s="33"/>
      <c r="C6819" s="33"/>
      <c r="D6819" s="33"/>
      <c r="E6819" s="33"/>
      <c r="F6819" s="33"/>
      <c r="G6819" s="33"/>
      <c r="H6819" s="33"/>
      <c r="I6819" s="33"/>
      <c r="J6819" s="33"/>
      <c r="K6819" s="33"/>
      <c r="L6819" s="33"/>
      <c r="M6819" s="33"/>
      <c r="N6819" s="33"/>
      <c r="O6819" s="33"/>
      <c r="P6819" s="33"/>
      <c r="Q6819" s="33"/>
      <c r="R6819" s="33"/>
      <c r="S6819" s="33"/>
      <c r="T6819" s="33"/>
      <c r="U6819" s="33"/>
      <c r="V6819" s="33"/>
      <c r="W6819" s="33"/>
      <c r="X6819" s="33"/>
      <c r="Y6819" s="33"/>
      <c r="Z6819" s="33"/>
      <c r="AA6819" s="33"/>
      <c r="AB6819" s="33"/>
      <c r="AC6819" s="33"/>
      <c r="AD6819" s="33"/>
      <c r="AE6819" s="33"/>
      <c r="AF6819" s="33"/>
      <c r="AG6819" s="33"/>
      <c r="AH6819" s="33"/>
      <c r="AI6819" s="33"/>
      <c r="AJ6819" s="33"/>
      <c r="AK6819" s="33"/>
    </row>
    <row r="6820">
      <c r="A6820" s="33"/>
      <c r="B6820" s="33"/>
      <c r="C6820" s="33"/>
      <c r="D6820" s="33"/>
      <c r="E6820" s="33"/>
      <c r="F6820" s="33"/>
      <c r="G6820" s="33"/>
      <c r="H6820" s="33"/>
      <c r="I6820" s="33"/>
      <c r="J6820" s="33"/>
      <c r="K6820" s="33"/>
      <c r="L6820" s="33"/>
      <c r="M6820" s="33"/>
      <c r="N6820" s="33"/>
      <c r="O6820" s="33"/>
      <c r="P6820" s="33"/>
      <c r="Q6820" s="33"/>
      <c r="R6820" s="33"/>
      <c r="S6820" s="33"/>
      <c r="T6820" s="33"/>
      <c r="U6820" s="33"/>
      <c r="V6820" s="33"/>
      <c r="W6820" s="33"/>
      <c r="X6820" s="33"/>
      <c r="Y6820" s="33"/>
      <c r="Z6820" s="33"/>
      <c r="AA6820" s="33"/>
      <c r="AB6820" s="33"/>
      <c r="AC6820" s="33"/>
      <c r="AD6820" s="33"/>
      <c r="AE6820" s="33"/>
      <c r="AF6820" s="33"/>
      <c r="AG6820" s="33"/>
      <c r="AH6820" s="33"/>
      <c r="AI6820" s="33"/>
      <c r="AJ6820" s="33"/>
      <c r="AK6820" s="33"/>
    </row>
    <row r="6821">
      <c r="A6821" s="33"/>
      <c r="B6821" s="33"/>
      <c r="C6821" s="33"/>
      <c r="D6821" s="33"/>
      <c r="E6821" s="33"/>
      <c r="F6821" s="33"/>
      <c r="G6821" s="33"/>
      <c r="H6821" s="33"/>
      <c r="I6821" s="33"/>
      <c r="J6821" s="33"/>
      <c r="K6821" s="33"/>
      <c r="L6821" s="33"/>
      <c r="M6821" s="33"/>
      <c r="N6821" s="33"/>
      <c r="O6821" s="33"/>
      <c r="P6821" s="33"/>
      <c r="Q6821" s="33"/>
      <c r="R6821" s="33"/>
      <c r="S6821" s="33"/>
      <c r="T6821" s="33"/>
      <c r="U6821" s="33"/>
      <c r="V6821" s="33"/>
      <c r="W6821" s="33"/>
      <c r="X6821" s="33"/>
      <c r="Y6821" s="33"/>
      <c r="Z6821" s="33"/>
      <c r="AA6821" s="33"/>
      <c r="AB6821" s="33"/>
      <c r="AC6821" s="33"/>
      <c r="AD6821" s="33"/>
      <c r="AE6821" s="33"/>
      <c r="AF6821" s="33"/>
      <c r="AG6821" s="33"/>
      <c r="AH6821" s="33"/>
      <c r="AI6821" s="33"/>
      <c r="AJ6821" s="33"/>
      <c r="AK6821" s="33"/>
    </row>
    <row r="6822">
      <c r="A6822" s="33"/>
      <c r="B6822" s="33"/>
      <c r="C6822" s="33"/>
      <c r="D6822" s="33"/>
      <c r="E6822" s="33"/>
      <c r="F6822" s="33"/>
      <c r="G6822" s="33"/>
      <c r="H6822" s="33"/>
      <c r="I6822" s="33"/>
      <c r="J6822" s="33"/>
      <c r="K6822" s="33"/>
      <c r="L6822" s="33"/>
      <c r="M6822" s="33"/>
      <c r="N6822" s="33"/>
      <c r="O6822" s="33"/>
      <c r="P6822" s="33"/>
      <c r="Q6822" s="33"/>
      <c r="R6822" s="33"/>
      <c r="S6822" s="33"/>
      <c r="T6822" s="33"/>
      <c r="U6822" s="33"/>
      <c r="V6822" s="33"/>
      <c r="W6822" s="33"/>
      <c r="X6822" s="33"/>
      <c r="Y6822" s="33"/>
      <c r="Z6822" s="33"/>
      <c r="AA6822" s="33"/>
      <c r="AB6822" s="33"/>
      <c r="AC6822" s="33"/>
      <c r="AD6822" s="33"/>
      <c r="AE6822" s="33"/>
      <c r="AF6822" s="33"/>
      <c r="AG6822" s="33"/>
      <c r="AH6822" s="33"/>
      <c r="AI6822" s="33"/>
      <c r="AJ6822" s="33"/>
      <c r="AK6822" s="33"/>
    </row>
    <row r="6823">
      <c r="A6823" s="33"/>
      <c r="B6823" s="33"/>
      <c r="C6823" s="33"/>
      <c r="D6823" s="33"/>
      <c r="E6823" s="33"/>
      <c r="F6823" s="33"/>
      <c r="G6823" s="33"/>
      <c r="H6823" s="33"/>
      <c r="I6823" s="33"/>
      <c r="J6823" s="33"/>
      <c r="K6823" s="33"/>
      <c r="L6823" s="33"/>
      <c r="M6823" s="33"/>
      <c r="N6823" s="33"/>
      <c r="O6823" s="33"/>
      <c r="P6823" s="33"/>
      <c r="Q6823" s="33"/>
      <c r="R6823" s="33"/>
      <c r="S6823" s="33"/>
      <c r="T6823" s="33"/>
      <c r="U6823" s="33"/>
      <c r="V6823" s="33"/>
      <c r="W6823" s="33"/>
      <c r="X6823" s="33"/>
      <c r="Y6823" s="33"/>
      <c r="Z6823" s="33"/>
      <c r="AA6823" s="33"/>
      <c r="AB6823" s="33"/>
      <c r="AC6823" s="33"/>
      <c r="AD6823" s="33"/>
      <c r="AE6823" s="33"/>
      <c r="AF6823" s="33"/>
      <c r="AG6823" s="33"/>
      <c r="AH6823" s="33"/>
      <c r="AI6823" s="33"/>
      <c r="AJ6823" s="33"/>
      <c r="AK6823" s="33"/>
    </row>
    <row r="6824">
      <c r="A6824" s="33"/>
      <c r="B6824" s="33"/>
      <c r="C6824" s="33"/>
      <c r="D6824" s="33"/>
      <c r="E6824" s="33"/>
      <c r="F6824" s="33"/>
      <c r="G6824" s="33"/>
      <c r="H6824" s="33"/>
      <c r="I6824" s="33"/>
      <c r="J6824" s="33"/>
      <c r="K6824" s="33"/>
      <c r="L6824" s="33"/>
      <c r="M6824" s="33"/>
      <c r="N6824" s="33"/>
      <c r="O6824" s="33"/>
      <c r="P6824" s="33"/>
      <c r="Q6824" s="33"/>
      <c r="R6824" s="33"/>
      <c r="S6824" s="33"/>
      <c r="T6824" s="33"/>
      <c r="U6824" s="33"/>
      <c r="V6824" s="33"/>
      <c r="W6824" s="33"/>
      <c r="X6824" s="33"/>
      <c r="Y6824" s="33"/>
      <c r="Z6824" s="33"/>
      <c r="AA6824" s="33"/>
      <c r="AB6824" s="33"/>
      <c r="AC6824" s="33"/>
      <c r="AD6824" s="33"/>
      <c r="AE6824" s="33"/>
      <c r="AF6824" s="33"/>
      <c r="AG6824" s="33"/>
      <c r="AH6824" s="33"/>
      <c r="AI6824" s="33"/>
      <c r="AJ6824" s="33"/>
      <c r="AK6824" s="33"/>
    </row>
    <row r="6825">
      <c r="A6825" s="33"/>
      <c r="B6825" s="33"/>
      <c r="C6825" s="33"/>
      <c r="D6825" s="33"/>
      <c r="E6825" s="33"/>
      <c r="F6825" s="33"/>
      <c r="G6825" s="33"/>
      <c r="H6825" s="33"/>
      <c r="I6825" s="33"/>
      <c r="J6825" s="33"/>
      <c r="K6825" s="33"/>
      <c r="L6825" s="33"/>
      <c r="M6825" s="33"/>
      <c r="N6825" s="33"/>
      <c r="O6825" s="33"/>
      <c r="P6825" s="33"/>
      <c r="Q6825" s="33"/>
      <c r="R6825" s="33"/>
      <c r="S6825" s="33"/>
      <c r="T6825" s="33"/>
      <c r="U6825" s="33"/>
      <c r="V6825" s="33"/>
      <c r="W6825" s="33"/>
      <c r="X6825" s="33"/>
      <c r="Y6825" s="33"/>
      <c r="Z6825" s="33"/>
      <c r="AA6825" s="33"/>
      <c r="AB6825" s="33"/>
      <c r="AC6825" s="33"/>
      <c r="AD6825" s="33"/>
      <c r="AE6825" s="33"/>
      <c r="AF6825" s="33"/>
      <c r="AG6825" s="33"/>
      <c r="AH6825" s="33"/>
      <c r="AI6825" s="33"/>
      <c r="AJ6825" s="33"/>
      <c r="AK6825" s="33"/>
    </row>
    <row r="6826">
      <c r="A6826" s="33"/>
      <c r="B6826" s="33"/>
      <c r="C6826" s="33"/>
      <c r="D6826" s="33"/>
      <c r="E6826" s="33"/>
      <c r="F6826" s="33"/>
      <c r="G6826" s="33"/>
      <c r="H6826" s="33"/>
      <c r="I6826" s="33"/>
      <c r="J6826" s="33"/>
      <c r="K6826" s="33"/>
      <c r="L6826" s="33"/>
      <c r="M6826" s="33"/>
      <c r="N6826" s="33"/>
      <c r="O6826" s="33"/>
      <c r="P6826" s="33"/>
      <c r="Q6826" s="33"/>
      <c r="R6826" s="33"/>
      <c r="S6826" s="33"/>
      <c r="T6826" s="33"/>
      <c r="U6826" s="33"/>
      <c r="V6826" s="33"/>
      <c r="W6826" s="33"/>
      <c r="X6826" s="33"/>
      <c r="Y6826" s="33"/>
      <c r="Z6826" s="33"/>
      <c r="AA6826" s="33"/>
      <c r="AB6826" s="33"/>
      <c r="AC6826" s="33"/>
      <c r="AD6826" s="33"/>
      <c r="AE6826" s="33"/>
      <c r="AF6826" s="33"/>
      <c r="AG6826" s="33"/>
      <c r="AH6826" s="33"/>
      <c r="AI6826" s="33"/>
      <c r="AJ6826" s="33"/>
      <c r="AK6826" s="33"/>
    </row>
    <row r="6827">
      <c r="A6827" s="33"/>
      <c r="B6827" s="33"/>
      <c r="C6827" s="33"/>
      <c r="D6827" s="33"/>
      <c r="E6827" s="33"/>
      <c r="F6827" s="33"/>
      <c r="G6827" s="33"/>
      <c r="H6827" s="33"/>
      <c r="I6827" s="33"/>
      <c r="J6827" s="33"/>
      <c r="K6827" s="33"/>
      <c r="L6827" s="33"/>
      <c r="M6827" s="33"/>
      <c r="N6827" s="33"/>
      <c r="O6827" s="33"/>
      <c r="P6827" s="33"/>
      <c r="Q6827" s="33"/>
      <c r="R6827" s="33"/>
      <c r="S6827" s="33"/>
      <c r="T6827" s="33"/>
      <c r="U6827" s="33"/>
      <c r="V6827" s="33"/>
      <c r="W6827" s="33"/>
      <c r="X6827" s="33"/>
      <c r="Y6827" s="33"/>
      <c r="Z6827" s="33"/>
      <c r="AA6827" s="33"/>
      <c r="AB6827" s="33"/>
      <c r="AC6827" s="33"/>
      <c r="AD6827" s="33"/>
      <c r="AE6827" s="33"/>
      <c r="AF6827" s="33"/>
      <c r="AG6827" s="33"/>
      <c r="AH6827" s="33"/>
      <c r="AI6827" s="33"/>
      <c r="AJ6827" s="33"/>
      <c r="AK6827" s="33"/>
    </row>
    <row r="6828">
      <c r="A6828" s="33"/>
      <c r="B6828" s="33"/>
      <c r="C6828" s="33"/>
      <c r="D6828" s="33"/>
      <c r="E6828" s="33"/>
      <c r="F6828" s="33"/>
      <c r="G6828" s="33"/>
      <c r="H6828" s="33"/>
      <c r="I6828" s="33"/>
      <c r="J6828" s="33"/>
      <c r="K6828" s="33"/>
      <c r="L6828" s="33"/>
      <c r="M6828" s="33"/>
      <c r="N6828" s="33"/>
      <c r="O6828" s="33"/>
      <c r="P6828" s="33"/>
      <c r="Q6828" s="33"/>
      <c r="R6828" s="33"/>
      <c r="S6828" s="33"/>
      <c r="T6828" s="33"/>
      <c r="U6828" s="33"/>
      <c r="V6828" s="33"/>
      <c r="W6828" s="33"/>
      <c r="X6828" s="33"/>
      <c r="Y6828" s="33"/>
      <c r="Z6828" s="33"/>
      <c r="AA6828" s="33"/>
      <c r="AB6828" s="33"/>
      <c r="AC6828" s="33"/>
      <c r="AD6828" s="33"/>
      <c r="AE6828" s="33"/>
      <c r="AF6828" s="33"/>
      <c r="AG6828" s="33"/>
      <c r="AH6828" s="33"/>
      <c r="AI6828" s="33"/>
      <c r="AJ6828" s="33"/>
      <c r="AK6828" s="33"/>
    </row>
    <row r="6829">
      <c r="A6829" s="33"/>
      <c r="B6829" s="33"/>
      <c r="C6829" s="33"/>
      <c r="D6829" s="33"/>
      <c r="E6829" s="33"/>
      <c r="F6829" s="33"/>
      <c r="G6829" s="33"/>
      <c r="H6829" s="33"/>
      <c r="I6829" s="33"/>
      <c r="J6829" s="33"/>
      <c r="K6829" s="33"/>
      <c r="L6829" s="33"/>
      <c r="M6829" s="33"/>
      <c r="N6829" s="33"/>
      <c r="O6829" s="33"/>
      <c r="P6829" s="33"/>
      <c r="Q6829" s="33"/>
      <c r="R6829" s="33"/>
      <c r="S6829" s="33"/>
      <c r="T6829" s="33"/>
      <c r="U6829" s="33"/>
      <c r="V6829" s="33"/>
      <c r="W6829" s="33"/>
      <c r="X6829" s="33"/>
      <c r="Y6829" s="33"/>
      <c r="Z6829" s="33"/>
      <c r="AA6829" s="33"/>
      <c r="AB6829" s="33"/>
      <c r="AC6829" s="33"/>
      <c r="AD6829" s="33"/>
      <c r="AE6829" s="33"/>
      <c r="AF6829" s="33"/>
      <c r="AG6829" s="33"/>
      <c r="AH6829" s="33"/>
      <c r="AI6829" s="33"/>
      <c r="AJ6829" s="33"/>
      <c r="AK6829" s="33"/>
    </row>
    <row r="6830">
      <c r="A6830" s="33"/>
      <c r="B6830" s="33"/>
      <c r="C6830" s="33"/>
      <c r="D6830" s="33"/>
      <c r="E6830" s="33"/>
      <c r="F6830" s="33"/>
      <c r="G6830" s="33"/>
      <c r="H6830" s="33"/>
      <c r="I6830" s="33"/>
      <c r="J6830" s="33"/>
      <c r="K6830" s="33"/>
      <c r="L6830" s="33"/>
      <c r="M6830" s="33"/>
      <c r="N6830" s="33"/>
      <c r="O6830" s="33"/>
      <c r="P6830" s="33"/>
      <c r="Q6830" s="33"/>
      <c r="R6830" s="33"/>
      <c r="S6830" s="33"/>
      <c r="T6830" s="33"/>
      <c r="U6830" s="33"/>
      <c r="V6830" s="33"/>
      <c r="W6830" s="33"/>
      <c r="X6830" s="33"/>
      <c r="Y6830" s="33"/>
      <c r="Z6830" s="33"/>
      <c r="AA6830" s="33"/>
      <c r="AB6830" s="33"/>
      <c r="AC6830" s="33"/>
      <c r="AD6830" s="33"/>
      <c r="AE6830" s="33"/>
      <c r="AF6830" s="33"/>
      <c r="AG6830" s="33"/>
      <c r="AH6830" s="33"/>
      <c r="AI6830" s="33"/>
      <c r="AJ6830" s="33"/>
      <c r="AK6830" s="33"/>
    </row>
    <row r="6831">
      <c r="A6831" s="33"/>
      <c r="B6831" s="33"/>
      <c r="C6831" s="33"/>
      <c r="D6831" s="33"/>
      <c r="E6831" s="33"/>
      <c r="F6831" s="33"/>
      <c r="G6831" s="33"/>
      <c r="H6831" s="33"/>
      <c r="I6831" s="33"/>
      <c r="J6831" s="33"/>
      <c r="K6831" s="33"/>
      <c r="L6831" s="33"/>
      <c r="M6831" s="33"/>
      <c r="N6831" s="33"/>
      <c r="O6831" s="33"/>
      <c r="P6831" s="33"/>
      <c r="Q6831" s="33"/>
      <c r="R6831" s="33"/>
      <c r="S6831" s="33"/>
      <c r="T6831" s="33"/>
      <c r="U6831" s="33"/>
      <c r="V6831" s="33"/>
      <c r="W6831" s="33"/>
      <c r="X6831" s="33"/>
      <c r="Y6831" s="33"/>
      <c r="Z6831" s="33"/>
      <c r="AA6831" s="33"/>
      <c r="AB6831" s="33"/>
      <c r="AC6831" s="33"/>
      <c r="AD6831" s="33"/>
      <c r="AE6831" s="33"/>
      <c r="AF6831" s="33"/>
      <c r="AG6831" s="33"/>
      <c r="AH6831" s="33"/>
      <c r="AI6831" s="33"/>
      <c r="AJ6831" s="33"/>
      <c r="AK6831" s="33"/>
    </row>
    <row r="6832">
      <c r="A6832" s="33"/>
      <c r="B6832" s="33"/>
      <c r="C6832" s="33"/>
      <c r="D6832" s="33"/>
      <c r="E6832" s="33"/>
      <c r="F6832" s="33"/>
      <c r="G6832" s="33"/>
      <c r="H6832" s="33"/>
      <c r="I6832" s="33"/>
      <c r="J6832" s="33"/>
      <c r="K6832" s="33"/>
      <c r="L6832" s="33"/>
      <c r="M6832" s="33"/>
      <c r="N6832" s="33"/>
      <c r="O6832" s="33"/>
      <c r="P6832" s="33"/>
      <c r="Q6832" s="33"/>
      <c r="R6832" s="33"/>
      <c r="S6832" s="33"/>
      <c r="T6832" s="33"/>
      <c r="U6832" s="33"/>
      <c r="V6832" s="33"/>
      <c r="W6832" s="33"/>
      <c r="X6832" s="33"/>
      <c r="Y6832" s="33"/>
      <c r="Z6832" s="33"/>
      <c r="AA6832" s="33"/>
      <c r="AB6832" s="33"/>
      <c r="AC6832" s="33"/>
      <c r="AD6832" s="33"/>
      <c r="AE6832" s="33"/>
      <c r="AF6832" s="33"/>
      <c r="AG6832" s="33"/>
      <c r="AH6832" s="33"/>
      <c r="AI6832" s="33"/>
      <c r="AJ6832" s="33"/>
      <c r="AK6832" s="33"/>
    </row>
    <row r="6833">
      <c r="A6833" s="33"/>
      <c r="B6833" s="33"/>
      <c r="C6833" s="33"/>
      <c r="D6833" s="33"/>
      <c r="E6833" s="33"/>
      <c r="F6833" s="33"/>
      <c r="G6833" s="33"/>
      <c r="H6833" s="33"/>
      <c r="I6833" s="33"/>
      <c r="J6833" s="33"/>
      <c r="K6833" s="33"/>
      <c r="L6833" s="33"/>
      <c r="M6833" s="33"/>
      <c r="N6833" s="33"/>
      <c r="O6833" s="33"/>
      <c r="P6833" s="33"/>
      <c r="Q6833" s="33"/>
      <c r="R6833" s="33"/>
      <c r="S6833" s="33"/>
      <c r="T6833" s="33"/>
      <c r="U6833" s="33"/>
      <c r="V6833" s="33"/>
      <c r="W6833" s="33"/>
      <c r="X6833" s="33"/>
      <c r="Y6833" s="33"/>
      <c r="Z6833" s="33"/>
      <c r="AA6833" s="33"/>
      <c r="AB6833" s="33"/>
      <c r="AC6833" s="33"/>
      <c r="AD6833" s="33"/>
      <c r="AE6833" s="33"/>
      <c r="AF6833" s="33"/>
      <c r="AG6833" s="33"/>
      <c r="AH6833" s="33"/>
      <c r="AI6833" s="33"/>
      <c r="AJ6833" s="33"/>
      <c r="AK6833" s="33"/>
    </row>
    <row r="6834">
      <c r="A6834" s="33"/>
      <c r="B6834" s="33"/>
      <c r="C6834" s="33"/>
      <c r="D6834" s="33"/>
      <c r="E6834" s="33"/>
      <c r="F6834" s="33"/>
      <c r="G6834" s="33"/>
      <c r="H6834" s="33"/>
      <c r="I6834" s="33"/>
      <c r="J6834" s="33"/>
      <c r="K6834" s="33"/>
      <c r="L6834" s="33"/>
      <c r="M6834" s="33"/>
      <c r="N6834" s="33"/>
      <c r="O6834" s="33"/>
      <c r="P6834" s="33"/>
      <c r="Q6834" s="33"/>
      <c r="R6834" s="33"/>
      <c r="S6834" s="33"/>
      <c r="T6834" s="33"/>
      <c r="U6834" s="33"/>
      <c r="V6834" s="33"/>
      <c r="W6834" s="33"/>
      <c r="X6834" s="33"/>
      <c r="Y6834" s="33"/>
      <c r="Z6834" s="33"/>
      <c r="AA6834" s="33"/>
      <c r="AB6834" s="33"/>
      <c r="AC6834" s="33"/>
      <c r="AD6834" s="33"/>
      <c r="AE6834" s="33"/>
      <c r="AF6834" s="33"/>
      <c r="AG6834" s="33"/>
      <c r="AH6834" s="33"/>
      <c r="AI6834" s="33"/>
      <c r="AJ6834" s="33"/>
      <c r="AK6834" s="33"/>
    </row>
    <row r="6835">
      <c r="A6835" s="33"/>
      <c r="B6835" s="33"/>
      <c r="C6835" s="33"/>
      <c r="D6835" s="33"/>
      <c r="E6835" s="33"/>
      <c r="F6835" s="33"/>
      <c r="G6835" s="33"/>
      <c r="H6835" s="33"/>
      <c r="I6835" s="33"/>
      <c r="J6835" s="33"/>
      <c r="K6835" s="33"/>
      <c r="L6835" s="33"/>
      <c r="M6835" s="33"/>
      <c r="N6835" s="33"/>
      <c r="O6835" s="33"/>
      <c r="P6835" s="33"/>
      <c r="Q6835" s="33"/>
      <c r="R6835" s="33"/>
      <c r="S6835" s="33"/>
      <c r="T6835" s="33"/>
      <c r="U6835" s="33"/>
      <c r="V6835" s="33"/>
      <c r="W6835" s="33"/>
      <c r="X6835" s="33"/>
      <c r="Y6835" s="33"/>
      <c r="Z6835" s="33"/>
      <c r="AA6835" s="33"/>
      <c r="AB6835" s="33"/>
      <c r="AC6835" s="33"/>
      <c r="AD6835" s="33"/>
      <c r="AE6835" s="33"/>
      <c r="AF6835" s="33"/>
      <c r="AG6835" s="33"/>
      <c r="AH6835" s="33"/>
      <c r="AI6835" s="33"/>
      <c r="AJ6835" s="33"/>
      <c r="AK6835" s="33"/>
    </row>
    <row r="6836">
      <c r="A6836" s="33"/>
      <c r="B6836" s="33"/>
      <c r="C6836" s="33"/>
      <c r="D6836" s="33"/>
      <c r="E6836" s="33"/>
      <c r="F6836" s="33"/>
      <c r="G6836" s="33"/>
      <c r="H6836" s="33"/>
      <c r="I6836" s="33"/>
      <c r="J6836" s="33"/>
      <c r="K6836" s="33"/>
      <c r="L6836" s="33"/>
      <c r="M6836" s="33"/>
      <c r="N6836" s="33"/>
      <c r="O6836" s="33"/>
      <c r="P6836" s="33"/>
      <c r="Q6836" s="33"/>
      <c r="R6836" s="33"/>
      <c r="S6836" s="33"/>
      <c r="T6836" s="33"/>
      <c r="U6836" s="33"/>
      <c r="V6836" s="33"/>
      <c r="W6836" s="33"/>
      <c r="X6836" s="33"/>
      <c r="Y6836" s="33"/>
      <c r="Z6836" s="33"/>
      <c r="AA6836" s="33"/>
      <c r="AB6836" s="33"/>
      <c r="AC6836" s="33"/>
      <c r="AD6836" s="33"/>
      <c r="AE6836" s="33"/>
      <c r="AF6836" s="33"/>
      <c r="AG6836" s="33"/>
      <c r="AH6836" s="33"/>
      <c r="AI6836" s="33"/>
      <c r="AJ6836" s="33"/>
      <c r="AK6836" s="33"/>
    </row>
    <row r="6837">
      <c r="A6837" s="33"/>
      <c r="B6837" s="33"/>
      <c r="C6837" s="33"/>
      <c r="D6837" s="33"/>
      <c r="E6837" s="33"/>
      <c r="F6837" s="33"/>
      <c r="G6837" s="33"/>
      <c r="H6837" s="33"/>
      <c r="I6837" s="33"/>
      <c r="J6837" s="33"/>
      <c r="K6837" s="33"/>
      <c r="L6837" s="33"/>
      <c r="M6837" s="33"/>
      <c r="N6837" s="33"/>
      <c r="O6837" s="33"/>
      <c r="P6837" s="33"/>
      <c r="Q6837" s="33"/>
      <c r="R6837" s="33"/>
      <c r="S6837" s="33"/>
      <c r="T6837" s="33"/>
      <c r="U6837" s="33"/>
      <c r="V6837" s="33"/>
      <c r="W6837" s="33"/>
      <c r="X6837" s="33"/>
      <c r="Y6837" s="33"/>
      <c r="Z6837" s="33"/>
      <c r="AA6837" s="33"/>
      <c r="AB6837" s="33"/>
      <c r="AC6837" s="33"/>
      <c r="AD6837" s="33"/>
      <c r="AE6837" s="33"/>
      <c r="AF6837" s="33"/>
      <c r="AG6837" s="33"/>
      <c r="AH6837" s="33"/>
      <c r="AI6837" s="33"/>
      <c r="AJ6837" s="33"/>
      <c r="AK6837" s="33"/>
    </row>
    <row r="6838">
      <c r="A6838" s="33"/>
      <c r="B6838" s="33"/>
      <c r="C6838" s="33"/>
      <c r="D6838" s="33"/>
      <c r="E6838" s="33"/>
      <c r="F6838" s="33"/>
      <c r="G6838" s="33"/>
      <c r="H6838" s="33"/>
      <c r="I6838" s="33"/>
      <c r="J6838" s="33"/>
      <c r="K6838" s="33"/>
      <c r="L6838" s="33"/>
      <c r="M6838" s="33"/>
      <c r="N6838" s="33"/>
      <c r="O6838" s="33"/>
      <c r="P6838" s="33"/>
      <c r="Q6838" s="33"/>
      <c r="R6838" s="33"/>
      <c r="S6838" s="33"/>
      <c r="T6838" s="33"/>
      <c r="U6838" s="33"/>
      <c r="V6838" s="33"/>
      <c r="W6838" s="33"/>
      <c r="X6838" s="33"/>
      <c r="Y6838" s="33"/>
      <c r="Z6838" s="33"/>
      <c r="AA6838" s="33"/>
      <c r="AB6838" s="33"/>
      <c r="AC6838" s="33"/>
      <c r="AD6838" s="33"/>
      <c r="AE6838" s="33"/>
      <c r="AF6838" s="33"/>
      <c r="AG6838" s="33"/>
      <c r="AH6838" s="33"/>
      <c r="AI6838" s="33"/>
      <c r="AJ6838" s="33"/>
      <c r="AK6838" s="33"/>
    </row>
    <row r="6839">
      <c r="A6839" s="33"/>
      <c r="B6839" s="33"/>
      <c r="C6839" s="33"/>
      <c r="D6839" s="33"/>
      <c r="E6839" s="33"/>
      <c r="F6839" s="33"/>
      <c r="G6839" s="33"/>
      <c r="H6839" s="33"/>
      <c r="I6839" s="33"/>
      <c r="J6839" s="33"/>
      <c r="K6839" s="33"/>
      <c r="L6839" s="33"/>
      <c r="M6839" s="33"/>
      <c r="N6839" s="33"/>
      <c r="O6839" s="33"/>
      <c r="P6839" s="33"/>
      <c r="Q6839" s="33"/>
      <c r="R6839" s="33"/>
      <c r="S6839" s="33"/>
      <c r="T6839" s="33"/>
      <c r="U6839" s="33"/>
      <c r="V6839" s="33"/>
      <c r="W6839" s="33"/>
      <c r="X6839" s="33"/>
      <c r="Y6839" s="33"/>
      <c r="Z6839" s="33"/>
      <c r="AA6839" s="33"/>
      <c r="AB6839" s="33"/>
      <c r="AC6839" s="33"/>
      <c r="AD6839" s="33"/>
      <c r="AE6839" s="33"/>
      <c r="AF6839" s="33"/>
      <c r="AG6839" s="33"/>
      <c r="AH6839" s="33"/>
      <c r="AI6839" s="33"/>
      <c r="AJ6839" s="33"/>
      <c r="AK6839" s="33"/>
    </row>
    <row r="6840">
      <c r="A6840" s="33"/>
      <c r="B6840" s="33"/>
      <c r="C6840" s="33"/>
      <c r="D6840" s="33"/>
      <c r="E6840" s="33"/>
      <c r="F6840" s="33"/>
      <c r="G6840" s="33"/>
      <c r="H6840" s="33"/>
      <c r="I6840" s="33"/>
      <c r="J6840" s="33"/>
      <c r="K6840" s="33"/>
      <c r="L6840" s="33"/>
      <c r="M6840" s="33"/>
      <c r="N6840" s="33"/>
      <c r="O6840" s="33"/>
      <c r="P6840" s="33"/>
      <c r="Q6840" s="33"/>
      <c r="R6840" s="33"/>
      <c r="S6840" s="33"/>
      <c r="T6840" s="33"/>
      <c r="U6840" s="33"/>
      <c r="V6840" s="33"/>
      <c r="W6840" s="33"/>
      <c r="X6840" s="33"/>
      <c r="Y6840" s="33"/>
      <c r="Z6840" s="33"/>
      <c r="AA6840" s="33"/>
      <c r="AB6840" s="33"/>
      <c r="AC6840" s="33"/>
      <c r="AD6840" s="33"/>
      <c r="AE6840" s="33"/>
      <c r="AF6840" s="33"/>
      <c r="AG6840" s="33"/>
      <c r="AH6840" s="33"/>
      <c r="AI6840" s="33"/>
      <c r="AJ6840" s="33"/>
      <c r="AK6840" s="33"/>
    </row>
    <row r="6841">
      <c r="A6841" s="33"/>
      <c r="B6841" s="33"/>
      <c r="C6841" s="33"/>
      <c r="D6841" s="33"/>
      <c r="E6841" s="33"/>
      <c r="F6841" s="33"/>
      <c r="G6841" s="33"/>
      <c r="H6841" s="33"/>
      <c r="I6841" s="33"/>
      <c r="J6841" s="33"/>
      <c r="K6841" s="33"/>
      <c r="L6841" s="33"/>
      <c r="M6841" s="33"/>
      <c r="N6841" s="33"/>
      <c r="O6841" s="33"/>
      <c r="P6841" s="33"/>
      <c r="Q6841" s="33"/>
      <c r="R6841" s="33"/>
      <c r="S6841" s="33"/>
      <c r="T6841" s="33"/>
      <c r="U6841" s="33"/>
      <c r="V6841" s="33"/>
      <c r="W6841" s="33"/>
      <c r="X6841" s="33"/>
      <c r="Y6841" s="33"/>
      <c r="Z6841" s="33"/>
      <c r="AA6841" s="33"/>
      <c r="AB6841" s="33"/>
      <c r="AC6841" s="33"/>
      <c r="AD6841" s="33"/>
      <c r="AE6841" s="33"/>
      <c r="AF6841" s="33"/>
      <c r="AG6841" s="33"/>
      <c r="AH6841" s="33"/>
      <c r="AI6841" s="33"/>
      <c r="AJ6841" s="33"/>
      <c r="AK6841" s="33"/>
    </row>
    <row r="6842">
      <c r="A6842" s="33"/>
      <c r="B6842" s="33"/>
      <c r="C6842" s="33"/>
      <c r="D6842" s="33"/>
      <c r="E6842" s="33"/>
      <c r="F6842" s="33"/>
      <c r="G6842" s="33"/>
      <c r="H6842" s="33"/>
      <c r="I6842" s="33"/>
      <c r="J6842" s="33"/>
      <c r="K6842" s="33"/>
      <c r="L6842" s="33"/>
      <c r="M6842" s="33"/>
      <c r="N6842" s="33"/>
      <c r="O6842" s="33"/>
      <c r="P6842" s="33"/>
      <c r="Q6842" s="33"/>
      <c r="R6842" s="33"/>
      <c r="S6842" s="33"/>
      <c r="T6842" s="33"/>
      <c r="U6842" s="33"/>
      <c r="V6842" s="33"/>
      <c r="W6842" s="33"/>
      <c r="X6842" s="33"/>
      <c r="Y6842" s="33"/>
      <c r="Z6842" s="33"/>
      <c r="AA6842" s="33"/>
      <c r="AB6842" s="33"/>
      <c r="AC6842" s="33"/>
      <c r="AD6842" s="33"/>
      <c r="AE6842" s="33"/>
      <c r="AF6842" s="33"/>
      <c r="AG6842" s="33"/>
      <c r="AH6842" s="33"/>
      <c r="AI6842" s="33"/>
      <c r="AJ6842" s="33"/>
      <c r="AK6842" s="33"/>
    </row>
    <row r="6843">
      <c r="A6843" s="33"/>
      <c r="B6843" s="33"/>
      <c r="C6843" s="33"/>
      <c r="D6843" s="33"/>
      <c r="E6843" s="33"/>
      <c r="F6843" s="33"/>
      <c r="G6843" s="33"/>
      <c r="H6843" s="33"/>
      <c r="I6843" s="33"/>
      <c r="J6843" s="33"/>
      <c r="K6843" s="33"/>
      <c r="L6843" s="33"/>
      <c r="M6843" s="33"/>
      <c r="N6843" s="33"/>
      <c r="O6843" s="33"/>
      <c r="P6843" s="33"/>
      <c r="Q6843" s="33"/>
      <c r="R6843" s="33"/>
      <c r="S6843" s="33"/>
      <c r="T6843" s="33"/>
      <c r="U6843" s="33"/>
      <c r="V6843" s="33"/>
      <c r="W6843" s="33"/>
      <c r="X6843" s="33"/>
      <c r="Y6843" s="33"/>
      <c r="Z6843" s="33"/>
      <c r="AA6843" s="33"/>
      <c r="AB6843" s="33"/>
      <c r="AC6843" s="33"/>
      <c r="AD6843" s="33"/>
      <c r="AE6843" s="33"/>
      <c r="AF6843" s="33"/>
      <c r="AG6843" s="33"/>
      <c r="AH6843" s="33"/>
      <c r="AI6843" s="33"/>
      <c r="AJ6843" s="33"/>
      <c r="AK6843" s="33"/>
    </row>
    <row r="6844">
      <c r="A6844" s="33"/>
      <c r="B6844" s="33"/>
      <c r="C6844" s="33"/>
      <c r="D6844" s="33"/>
      <c r="E6844" s="33"/>
      <c r="F6844" s="33"/>
      <c r="G6844" s="33"/>
      <c r="H6844" s="33"/>
      <c r="I6844" s="33"/>
      <c r="J6844" s="33"/>
      <c r="K6844" s="33"/>
      <c r="L6844" s="33"/>
      <c r="M6844" s="33"/>
      <c r="N6844" s="33"/>
      <c r="O6844" s="33"/>
      <c r="P6844" s="33"/>
      <c r="Q6844" s="33"/>
      <c r="R6844" s="33"/>
      <c r="S6844" s="33"/>
      <c r="T6844" s="33"/>
      <c r="U6844" s="33"/>
      <c r="V6844" s="33"/>
      <c r="W6844" s="33"/>
      <c r="X6844" s="33"/>
      <c r="Y6844" s="33"/>
      <c r="Z6844" s="33"/>
      <c r="AA6844" s="33"/>
      <c r="AB6844" s="33"/>
      <c r="AC6844" s="33"/>
      <c r="AD6844" s="33"/>
      <c r="AE6844" s="33"/>
      <c r="AF6844" s="33"/>
      <c r="AG6844" s="33"/>
      <c r="AH6844" s="33"/>
      <c r="AI6844" s="33"/>
      <c r="AJ6844" s="33"/>
      <c r="AK6844" s="33"/>
    </row>
    <row r="6845">
      <c r="A6845" s="33"/>
      <c r="B6845" s="33"/>
      <c r="C6845" s="33"/>
      <c r="D6845" s="33"/>
      <c r="E6845" s="33"/>
      <c r="F6845" s="33"/>
      <c r="G6845" s="33"/>
      <c r="H6845" s="33"/>
      <c r="I6845" s="33"/>
      <c r="J6845" s="33"/>
      <c r="K6845" s="33"/>
      <c r="L6845" s="33"/>
      <c r="M6845" s="33"/>
      <c r="N6845" s="33"/>
      <c r="O6845" s="33"/>
      <c r="P6845" s="33"/>
      <c r="Q6845" s="33"/>
      <c r="R6845" s="33"/>
      <c r="S6845" s="33"/>
      <c r="T6845" s="33"/>
      <c r="U6845" s="33"/>
      <c r="V6845" s="33"/>
      <c r="W6845" s="33"/>
      <c r="X6845" s="33"/>
      <c r="Y6845" s="33"/>
      <c r="Z6845" s="33"/>
      <c r="AA6845" s="33"/>
      <c r="AB6845" s="33"/>
      <c r="AC6845" s="33"/>
      <c r="AD6845" s="33"/>
      <c r="AE6845" s="33"/>
      <c r="AF6845" s="33"/>
      <c r="AG6845" s="33"/>
      <c r="AH6845" s="33"/>
      <c r="AI6845" s="33"/>
      <c r="AJ6845" s="33"/>
      <c r="AK6845" s="33"/>
    </row>
    <row r="6846">
      <c r="A6846" s="33"/>
      <c r="B6846" s="33"/>
      <c r="C6846" s="33"/>
      <c r="D6846" s="33"/>
      <c r="E6846" s="33"/>
      <c r="F6846" s="33"/>
      <c r="G6846" s="33"/>
      <c r="H6846" s="33"/>
      <c r="I6846" s="33"/>
      <c r="J6846" s="33"/>
      <c r="K6846" s="33"/>
      <c r="L6846" s="33"/>
      <c r="M6846" s="33"/>
      <c r="N6846" s="33"/>
      <c r="O6846" s="33"/>
      <c r="P6846" s="33"/>
      <c r="Q6846" s="33"/>
      <c r="R6846" s="33"/>
      <c r="S6846" s="33"/>
      <c r="T6846" s="33"/>
      <c r="U6846" s="33"/>
      <c r="V6846" s="33"/>
      <c r="W6846" s="33"/>
      <c r="X6846" s="33"/>
      <c r="Y6846" s="33"/>
      <c r="Z6846" s="33"/>
      <c r="AA6846" s="33"/>
      <c r="AB6846" s="33"/>
      <c r="AC6846" s="33"/>
      <c r="AD6846" s="33"/>
      <c r="AE6846" s="33"/>
      <c r="AF6846" s="33"/>
      <c r="AG6846" s="33"/>
      <c r="AH6846" s="33"/>
      <c r="AI6846" s="33"/>
      <c r="AJ6846" s="33"/>
      <c r="AK6846" s="33"/>
    </row>
    <row r="6847">
      <c r="A6847" s="33"/>
      <c r="B6847" s="33"/>
      <c r="C6847" s="33"/>
      <c r="D6847" s="33"/>
      <c r="E6847" s="33"/>
      <c r="F6847" s="33"/>
      <c r="G6847" s="33"/>
      <c r="H6847" s="33"/>
      <c r="I6847" s="33"/>
      <c r="J6847" s="33"/>
      <c r="K6847" s="33"/>
      <c r="L6847" s="33"/>
      <c r="M6847" s="33"/>
      <c r="N6847" s="33"/>
      <c r="O6847" s="33"/>
      <c r="P6847" s="33"/>
      <c r="Q6847" s="33"/>
      <c r="R6847" s="33"/>
      <c r="S6847" s="33"/>
      <c r="T6847" s="33"/>
      <c r="U6847" s="33"/>
      <c r="V6847" s="33"/>
      <c r="W6847" s="33"/>
      <c r="X6847" s="33"/>
      <c r="Y6847" s="33"/>
      <c r="Z6847" s="33"/>
      <c r="AA6847" s="33"/>
      <c r="AB6847" s="33"/>
      <c r="AC6847" s="33"/>
      <c r="AD6847" s="33"/>
      <c r="AE6847" s="33"/>
      <c r="AF6847" s="33"/>
      <c r="AG6847" s="33"/>
      <c r="AH6847" s="33"/>
      <c r="AI6847" s="33"/>
      <c r="AJ6847" s="33"/>
      <c r="AK6847" s="33"/>
    </row>
    <row r="6848">
      <c r="A6848" s="33"/>
      <c r="B6848" s="33"/>
      <c r="C6848" s="33"/>
      <c r="D6848" s="33"/>
      <c r="E6848" s="33"/>
      <c r="F6848" s="33"/>
      <c r="G6848" s="33"/>
      <c r="H6848" s="33"/>
      <c r="I6848" s="33"/>
      <c r="J6848" s="33"/>
      <c r="K6848" s="33"/>
      <c r="L6848" s="33"/>
      <c r="M6848" s="33"/>
      <c r="N6848" s="33"/>
      <c r="O6848" s="33"/>
      <c r="P6848" s="33"/>
      <c r="Q6848" s="33"/>
      <c r="R6848" s="33"/>
      <c r="S6848" s="33"/>
      <c r="T6848" s="33"/>
      <c r="U6848" s="33"/>
      <c r="V6848" s="33"/>
      <c r="W6848" s="33"/>
      <c r="X6848" s="33"/>
      <c r="Y6848" s="33"/>
      <c r="Z6848" s="33"/>
      <c r="AA6848" s="33"/>
      <c r="AB6848" s="33"/>
      <c r="AC6848" s="33"/>
      <c r="AD6848" s="33"/>
      <c r="AE6848" s="33"/>
      <c r="AF6848" s="33"/>
      <c r="AG6848" s="33"/>
      <c r="AH6848" s="33"/>
      <c r="AI6848" s="33"/>
      <c r="AJ6848" s="33"/>
      <c r="AK6848" s="33"/>
    </row>
    <row r="6849">
      <c r="A6849" s="33"/>
      <c r="B6849" s="33"/>
      <c r="C6849" s="33"/>
      <c r="D6849" s="33"/>
      <c r="E6849" s="33"/>
      <c r="F6849" s="33"/>
      <c r="G6849" s="33"/>
      <c r="H6849" s="33"/>
      <c r="I6849" s="33"/>
      <c r="J6849" s="33"/>
      <c r="K6849" s="33"/>
      <c r="L6849" s="33"/>
      <c r="M6849" s="33"/>
      <c r="N6849" s="33"/>
      <c r="O6849" s="33"/>
      <c r="P6849" s="33"/>
      <c r="Q6849" s="33"/>
      <c r="R6849" s="33"/>
      <c r="S6849" s="33"/>
      <c r="T6849" s="33"/>
      <c r="U6849" s="33"/>
      <c r="V6849" s="33"/>
      <c r="W6849" s="33"/>
      <c r="X6849" s="33"/>
      <c r="Y6849" s="33"/>
      <c r="Z6849" s="33"/>
      <c r="AA6849" s="33"/>
      <c r="AB6849" s="33"/>
      <c r="AC6849" s="33"/>
      <c r="AD6849" s="33"/>
      <c r="AE6849" s="33"/>
      <c r="AF6849" s="33"/>
      <c r="AG6849" s="33"/>
      <c r="AH6849" s="33"/>
      <c r="AI6849" s="33"/>
      <c r="AJ6849" s="33"/>
      <c r="AK6849" s="33"/>
    </row>
    <row r="6850">
      <c r="A6850" s="33"/>
      <c r="B6850" s="33"/>
      <c r="C6850" s="33"/>
      <c r="D6850" s="33"/>
      <c r="E6850" s="33"/>
      <c r="F6850" s="33"/>
      <c r="G6850" s="33"/>
      <c r="H6850" s="33"/>
      <c r="I6850" s="33"/>
      <c r="J6850" s="33"/>
      <c r="K6850" s="33"/>
      <c r="L6850" s="33"/>
      <c r="M6850" s="33"/>
      <c r="N6850" s="33"/>
      <c r="O6850" s="33"/>
      <c r="P6850" s="33"/>
      <c r="Q6850" s="33"/>
      <c r="R6850" s="33"/>
      <c r="S6850" s="33"/>
      <c r="T6850" s="33"/>
      <c r="U6850" s="33"/>
      <c r="V6850" s="33"/>
      <c r="W6850" s="33"/>
      <c r="X6850" s="33"/>
      <c r="Y6850" s="33"/>
      <c r="Z6850" s="33"/>
      <c r="AA6850" s="33"/>
      <c r="AB6850" s="33"/>
      <c r="AC6850" s="33"/>
      <c r="AD6850" s="33"/>
      <c r="AE6850" s="33"/>
      <c r="AF6850" s="33"/>
      <c r="AG6850" s="33"/>
      <c r="AH6850" s="33"/>
      <c r="AI6850" s="33"/>
      <c r="AJ6850" s="33"/>
      <c r="AK6850" s="33"/>
    </row>
    <row r="6851">
      <c r="A6851" s="33"/>
      <c r="B6851" s="33"/>
      <c r="C6851" s="33"/>
      <c r="D6851" s="33"/>
      <c r="E6851" s="33"/>
      <c r="F6851" s="33"/>
      <c r="G6851" s="33"/>
      <c r="H6851" s="33"/>
      <c r="I6851" s="33"/>
      <c r="J6851" s="33"/>
      <c r="K6851" s="33"/>
      <c r="L6851" s="33"/>
      <c r="M6851" s="33"/>
      <c r="N6851" s="33"/>
      <c r="O6851" s="33"/>
      <c r="P6851" s="33"/>
      <c r="Q6851" s="33"/>
      <c r="R6851" s="33"/>
      <c r="S6851" s="33"/>
      <c r="T6851" s="33"/>
      <c r="U6851" s="33"/>
      <c r="V6851" s="33"/>
      <c r="W6851" s="33"/>
      <c r="X6851" s="33"/>
      <c r="Y6851" s="33"/>
      <c r="Z6851" s="33"/>
      <c r="AA6851" s="33"/>
      <c r="AB6851" s="33"/>
      <c r="AC6851" s="33"/>
      <c r="AD6851" s="33"/>
      <c r="AE6851" s="33"/>
      <c r="AF6851" s="33"/>
      <c r="AG6851" s="33"/>
      <c r="AH6851" s="33"/>
      <c r="AI6851" s="33"/>
      <c r="AJ6851" s="33"/>
      <c r="AK6851" s="33"/>
    </row>
    <row r="6852">
      <c r="A6852" s="33"/>
      <c r="B6852" s="33"/>
      <c r="C6852" s="33"/>
      <c r="D6852" s="33"/>
      <c r="E6852" s="33"/>
      <c r="F6852" s="33"/>
      <c r="G6852" s="33"/>
      <c r="H6852" s="33"/>
      <c r="I6852" s="33"/>
      <c r="J6852" s="33"/>
      <c r="K6852" s="33"/>
      <c r="L6852" s="33"/>
      <c r="M6852" s="33"/>
      <c r="N6852" s="33"/>
      <c r="O6852" s="33"/>
      <c r="P6852" s="33"/>
      <c r="Q6852" s="33"/>
      <c r="R6852" s="33"/>
      <c r="S6852" s="33"/>
      <c r="T6852" s="33"/>
      <c r="U6852" s="33"/>
      <c r="V6852" s="33"/>
      <c r="W6852" s="33"/>
      <c r="X6852" s="33"/>
      <c r="Y6852" s="33"/>
      <c r="Z6852" s="33"/>
      <c r="AA6852" s="33"/>
      <c r="AB6852" s="33"/>
      <c r="AC6852" s="33"/>
      <c r="AD6852" s="33"/>
      <c r="AE6852" s="33"/>
      <c r="AF6852" s="33"/>
      <c r="AG6852" s="33"/>
      <c r="AH6852" s="33"/>
      <c r="AI6852" s="33"/>
      <c r="AJ6852" s="33"/>
      <c r="AK6852" s="33"/>
    </row>
    <row r="6853">
      <c r="A6853" s="33"/>
      <c r="B6853" s="33"/>
      <c r="C6853" s="33"/>
      <c r="D6853" s="33"/>
      <c r="E6853" s="33"/>
      <c r="F6853" s="33"/>
      <c r="G6853" s="33"/>
      <c r="H6853" s="33"/>
      <c r="I6853" s="33"/>
      <c r="J6853" s="33"/>
      <c r="K6853" s="33"/>
      <c r="L6853" s="33"/>
      <c r="M6853" s="33"/>
      <c r="N6853" s="33"/>
      <c r="O6853" s="33"/>
      <c r="P6853" s="33"/>
      <c r="Q6853" s="33"/>
      <c r="R6853" s="33"/>
      <c r="S6853" s="33"/>
      <c r="T6853" s="33"/>
      <c r="U6853" s="33"/>
      <c r="V6853" s="33"/>
      <c r="W6853" s="33"/>
      <c r="X6853" s="33"/>
      <c r="Y6853" s="33"/>
      <c r="Z6853" s="33"/>
      <c r="AA6853" s="33"/>
      <c r="AB6853" s="33"/>
      <c r="AC6853" s="33"/>
      <c r="AD6853" s="33"/>
      <c r="AE6853" s="33"/>
      <c r="AF6853" s="33"/>
      <c r="AG6853" s="33"/>
      <c r="AH6853" s="33"/>
      <c r="AI6853" s="33"/>
      <c r="AJ6853" s="33"/>
      <c r="AK6853" s="33"/>
    </row>
    <row r="6854">
      <c r="A6854" s="33"/>
      <c r="B6854" s="33"/>
      <c r="C6854" s="33"/>
      <c r="D6854" s="33"/>
      <c r="E6854" s="33"/>
      <c r="F6854" s="33"/>
      <c r="G6854" s="33"/>
      <c r="H6854" s="33"/>
      <c r="I6854" s="33"/>
      <c r="J6854" s="33"/>
      <c r="K6854" s="33"/>
      <c r="L6854" s="33"/>
      <c r="M6854" s="33"/>
      <c r="N6854" s="33"/>
      <c r="O6854" s="33"/>
      <c r="P6854" s="33"/>
      <c r="Q6854" s="33"/>
      <c r="R6854" s="33"/>
      <c r="S6854" s="33"/>
      <c r="T6854" s="33"/>
      <c r="U6854" s="33"/>
      <c r="V6854" s="33"/>
      <c r="W6854" s="33"/>
      <c r="X6854" s="33"/>
      <c r="Y6854" s="33"/>
      <c r="Z6854" s="33"/>
      <c r="AA6854" s="33"/>
      <c r="AB6854" s="33"/>
      <c r="AC6854" s="33"/>
      <c r="AD6854" s="33"/>
      <c r="AE6854" s="33"/>
      <c r="AF6854" s="33"/>
      <c r="AG6854" s="33"/>
      <c r="AH6854" s="33"/>
      <c r="AI6854" s="33"/>
      <c r="AJ6854" s="33"/>
      <c r="AK6854" s="33"/>
    </row>
    <row r="6855">
      <c r="A6855" s="33"/>
      <c r="B6855" s="33"/>
      <c r="C6855" s="33"/>
      <c r="D6855" s="33"/>
      <c r="E6855" s="33"/>
      <c r="F6855" s="33"/>
      <c r="G6855" s="33"/>
      <c r="H6855" s="33"/>
      <c r="I6855" s="33"/>
      <c r="J6855" s="33"/>
      <c r="K6855" s="33"/>
      <c r="L6855" s="33"/>
      <c r="M6855" s="33"/>
      <c r="N6855" s="33"/>
      <c r="O6855" s="33"/>
      <c r="P6855" s="33"/>
      <c r="Q6855" s="33"/>
      <c r="R6855" s="33"/>
      <c r="S6855" s="33"/>
      <c r="T6855" s="33"/>
      <c r="U6855" s="33"/>
      <c r="V6855" s="33"/>
      <c r="W6855" s="33"/>
      <c r="X6855" s="33"/>
      <c r="Y6855" s="33"/>
      <c r="Z6855" s="33"/>
      <c r="AA6855" s="33"/>
      <c r="AB6855" s="33"/>
      <c r="AC6855" s="33"/>
      <c r="AD6855" s="33"/>
      <c r="AE6855" s="33"/>
      <c r="AF6855" s="33"/>
      <c r="AG6855" s="33"/>
      <c r="AH6855" s="33"/>
      <c r="AI6855" s="33"/>
      <c r="AJ6855" s="33"/>
      <c r="AK6855" s="33"/>
    </row>
    <row r="6856">
      <c r="A6856" s="33"/>
      <c r="B6856" s="33"/>
      <c r="C6856" s="33"/>
      <c r="D6856" s="33"/>
      <c r="E6856" s="33"/>
      <c r="F6856" s="33"/>
      <c r="G6856" s="33"/>
      <c r="H6856" s="33"/>
      <c r="I6856" s="33"/>
      <c r="J6856" s="33"/>
      <c r="K6856" s="33"/>
      <c r="L6856" s="33"/>
      <c r="M6856" s="33"/>
      <c r="N6856" s="33"/>
      <c r="O6856" s="33"/>
      <c r="P6856" s="33"/>
      <c r="Q6856" s="33"/>
      <c r="R6856" s="33"/>
      <c r="S6856" s="33"/>
      <c r="T6856" s="33"/>
      <c r="U6856" s="33"/>
      <c r="V6856" s="33"/>
      <c r="W6856" s="33"/>
      <c r="X6856" s="33"/>
      <c r="Y6856" s="33"/>
      <c r="Z6856" s="33"/>
      <c r="AA6856" s="33"/>
      <c r="AB6856" s="33"/>
      <c r="AC6856" s="33"/>
      <c r="AD6856" s="33"/>
      <c r="AE6856" s="33"/>
      <c r="AF6856" s="33"/>
      <c r="AG6856" s="33"/>
      <c r="AH6856" s="33"/>
      <c r="AI6856" s="33"/>
      <c r="AJ6856" s="33"/>
      <c r="AK6856" s="33"/>
    </row>
    <row r="6857">
      <c r="A6857" s="33"/>
      <c r="B6857" s="33"/>
      <c r="C6857" s="33"/>
      <c r="D6857" s="33"/>
      <c r="E6857" s="33"/>
      <c r="F6857" s="33"/>
      <c r="G6857" s="33"/>
      <c r="H6857" s="33"/>
      <c r="I6857" s="33"/>
      <c r="J6857" s="33"/>
      <c r="K6857" s="33"/>
      <c r="L6857" s="33"/>
      <c r="M6857" s="33"/>
      <c r="N6857" s="33"/>
      <c r="O6857" s="33"/>
      <c r="P6857" s="33"/>
      <c r="Q6857" s="33"/>
      <c r="R6857" s="33"/>
      <c r="S6857" s="33"/>
      <c r="T6857" s="33"/>
      <c r="U6857" s="33"/>
      <c r="V6857" s="33"/>
      <c r="W6857" s="33"/>
      <c r="X6857" s="33"/>
      <c r="Y6857" s="33"/>
      <c r="Z6857" s="33"/>
      <c r="AA6857" s="33"/>
      <c r="AB6857" s="33"/>
      <c r="AC6857" s="33"/>
      <c r="AD6857" s="33"/>
      <c r="AE6857" s="33"/>
      <c r="AF6857" s="33"/>
      <c r="AG6857" s="33"/>
      <c r="AH6857" s="33"/>
      <c r="AI6857" s="33"/>
      <c r="AJ6857" s="33"/>
      <c r="AK6857" s="33"/>
    </row>
    <row r="6858">
      <c r="A6858" s="33"/>
      <c r="B6858" s="33"/>
      <c r="C6858" s="33"/>
      <c r="D6858" s="33"/>
      <c r="E6858" s="33"/>
      <c r="F6858" s="33"/>
      <c r="G6858" s="33"/>
      <c r="H6858" s="33"/>
      <c r="I6858" s="33"/>
      <c r="J6858" s="33"/>
      <c r="K6858" s="33"/>
      <c r="L6858" s="33"/>
      <c r="M6858" s="33"/>
      <c r="N6858" s="33"/>
      <c r="O6858" s="33"/>
      <c r="P6858" s="33"/>
      <c r="Q6858" s="33"/>
      <c r="R6858" s="33"/>
      <c r="S6858" s="33"/>
      <c r="T6858" s="33"/>
      <c r="U6858" s="33"/>
      <c r="V6858" s="33"/>
      <c r="W6858" s="33"/>
      <c r="X6858" s="33"/>
      <c r="Y6858" s="33"/>
      <c r="Z6858" s="33"/>
      <c r="AA6858" s="33"/>
      <c r="AB6858" s="33"/>
      <c r="AC6858" s="33"/>
      <c r="AD6858" s="33"/>
      <c r="AE6858" s="33"/>
      <c r="AF6858" s="33"/>
      <c r="AG6858" s="33"/>
      <c r="AH6858" s="33"/>
      <c r="AI6858" s="33"/>
      <c r="AJ6858" s="33"/>
      <c r="AK6858" s="33"/>
    </row>
    <row r="6859">
      <c r="A6859" s="33"/>
      <c r="B6859" s="33"/>
      <c r="C6859" s="33"/>
      <c r="D6859" s="33"/>
      <c r="E6859" s="33"/>
      <c r="F6859" s="33"/>
      <c r="G6859" s="33"/>
      <c r="H6859" s="33"/>
      <c r="I6859" s="33"/>
      <c r="J6859" s="33"/>
      <c r="K6859" s="33"/>
      <c r="L6859" s="33"/>
      <c r="M6859" s="33"/>
      <c r="N6859" s="33"/>
      <c r="O6859" s="33"/>
      <c r="P6859" s="33"/>
      <c r="Q6859" s="33"/>
      <c r="R6859" s="33"/>
      <c r="S6859" s="33"/>
      <c r="T6859" s="33"/>
      <c r="U6859" s="33"/>
      <c r="V6859" s="33"/>
      <c r="W6859" s="33"/>
      <c r="X6859" s="33"/>
      <c r="Y6859" s="33"/>
      <c r="Z6859" s="33"/>
      <c r="AA6859" s="33"/>
      <c r="AB6859" s="33"/>
      <c r="AC6859" s="33"/>
      <c r="AD6859" s="33"/>
      <c r="AE6859" s="33"/>
      <c r="AF6859" s="33"/>
      <c r="AG6859" s="33"/>
      <c r="AH6859" s="33"/>
      <c r="AI6859" s="33"/>
      <c r="AJ6859" s="33"/>
      <c r="AK6859" s="33"/>
    </row>
    <row r="6860">
      <c r="A6860" s="33"/>
      <c r="B6860" s="33"/>
      <c r="C6860" s="33"/>
      <c r="D6860" s="33"/>
      <c r="E6860" s="33"/>
      <c r="F6860" s="33"/>
      <c r="G6860" s="33"/>
      <c r="H6860" s="33"/>
      <c r="I6860" s="33"/>
      <c r="J6860" s="33"/>
      <c r="K6860" s="33"/>
      <c r="L6860" s="33"/>
      <c r="M6860" s="33"/>
      <c r="N6860" s="33"/>
      <c r="O6860" s="33"/>
      <c r="P6860" s="33"/>
      <c r="Q6860" s="33"/>
      <c r="R6860" s="33"/>
      <c r="S6860" s="33"/>
      <c r="T6860" s="33"/>
      <c r="U6860" s="33"/>
      <c r="V6860" s="33"/>
      <c r="W6860" s="33"/>
      <c r="X6860" s="33"/>
      <c r="Y6860" s="33"/>
      <c r="Z6860" s="33"/>
      <c r="AA6860" s="33"/>
      <c r="AB6860" s="33"/>
      <c r="AC6860" s="33"/>
      <c r="AD6860" s="33"/>
      <c r="AE6860" s="33"/>
      <c r="AF6860" s="33"/>
      <c r="AG6860" s="33"/>
      <c r="AH6860" s="33"/>
      <c r="AI6860" s="33"/>
      <c r="AJ6860" s="33"/>
      <c r="AK6860" s="33"/>
    </row>
    <row r="6861">
      <c r="A6861" s="33"/>
      <c r="B6861" s="33"/>
      <c r="C6861" s="33"/>
      <c r="D6861" s="33"/>
      <c r="E6861" s="33"/>
      <c r="F6861" s="33"/>
      <c r="G6861" s="33"/>
      <c r="H6861" s="33"/>
      <c r="I6861" s="33"/>
      <c r="J6861" s="33"/>
      <c r="K6861" s="33"/>
      <c r="L6861" s="33"/>
      <c r="M6861" s="33"/>
      <c r="N6861" s="33"/>
      <c r="O6861" s="33"/>
      <c r="P6861" s="33"/>
      <c r="Q6861" s="33"/>
      <c r="R6861" s="33"/>
      <c r="S6861" s="33"/>
      <c r="T6861" s="33"/>
      <c r="U6861" s="33"/>
      <c r="V6861" s="33"/>
      <c r="W6861" s="33"/>
      <c r="X6861" s="33"/>
      <c r="Y6861" s="33"/>
      <c r="Z6861" s="33"/>
      <c r="AA6861" s="33"/>
      <c r="AB6861" s="33"/>
      <c r="AC6861" s="33"/>
      <c r="AD6861" s="33"/>
      <c r="AE6861" s="33"/>
      <c r="AF6861" s="33"/>
      <c r="AG6861" s="33"/>
      <c r="AH6861" s="33"/>
      <c r="AI6861" s="33"/>
      <c r="AJ6861" s="33"/>
      <c r="AK6861" s="33"/>
    </row>
    <row r="6862">
      <c r="A6862" s="33"/>
      <c r="B6862" s="33"/>
      <c r="C6862" s="33"/>
      <c r="D6862" s="33"/>
      <c r="E6862" s="33"/>
      <c r="F6862" s="33"/>
      <c r="G6862" s="33"/>
      <c r="H6862" s="33"/>
      <c r="I6862" s="33"/>
      <c r="J6862" s="33"/>
      <c r="K6862" s="33"/>
      <c r="L6862" s="33"/>
      <c r="M6862" s="33"/>
      <c r="N6862" s="33"/>
      <c r="O6862" s="33"/>
      <c r="P6862" s="33"/>
      <c r="Q6862" s="33"/>
      <c r="R6862" s="33"/>
      <c r="S6862" s="33"/>
      <c r="T6862" s="33"/>
      <c r="U6862" s="33"/>
      <c r="V6862" s="33"/>
      <c r="W6862" s="33"/>
      <c r="X6862" s="33"/>
      <c r="Y6862" s="33"/>
      <c r="Z6862" s="33"/>
      <c r="AA6862" s="33"/>
      <c r="AB6862" s="33"/>
      <c r="AC6862" s="33"/>
      <c r="AD6862" s="33"/>
      <c r="AE6862" s="33"/>
      <c r="AF6862" s="33"/>
      <c r="AG6862" s="33"/>
      <c r="AH6862" s="33"/>
      <c r="AI6862" s="33"/>
      <c r="AJ6862" s="33"/>
      <c r="AK6862" s="33"/>
    </row>
    <row r="6863">
      <c r="A6863" s="33"/>
      <c r="B6863" s="33"/>
      <c r="C6863" s="33"/>
      <c r="D6863" s="33"/>
      <c r="E6863" s="33"/>
      <c r="F6863" s="33"/>
      <c r="G6863" s="33"/>
      <c r="H6863" s="33"/>
      <c r="I6863" s="33"/>
      <c r="J6863" s="33"/>
      <c r="K6863" s="33"/>
      <c r="L6863" s="33"/>
      <c r="M6863" s="33"/>
      <c r="N6863" s="33"/>
      <c r="O6863" s="33"/>
      <c r="P6863" s="33"/>
      <c r="Q6863" s="33"/>
      <c r="R6863" s="33"/>
      <c r="S6863" s="33"/>
      <c r="T6863" s="33"/>
      <c r="U6863" s="33"/>
      <c r="V6863" s="33"/>
      <c r="W6863" s="33"/>
      <c r="X6863" s="33"/>
      <c r="Y6863" s="33"/>
      <c r="Z6863" s="33"/>
      <c r="AA6863" s="33"/>
      <c r="AB6863" s="33"/>
      <c r="AC6863" s="33"/>
      <c r="AD6863" s="33"/>
      <c r="AE6863" s="33"/>
      <c r="AF6863" s="33"/>
      <c r="AG6863" s="33"/>
      <c r="AH6863" s="33"/>
      <c r="AI6863" s="33"/>
      <c r="AJ6863" s="33"/>
      <c r="AK6863" s="33"/>
    </row>
    <row r="6864">
      <c r="A6864" s="33"/>
      <c r="B6864" s="33"/>
      <c r="C6864" s="33"/>
      <c r="D6864" s="33"/>
      <c r="E6864" s="33"/>
      <c r="F6864" s="33"/>
      <c r="G6864" s="33"/>
      <c r="H6864" s="33"/>
      <c r="I6864" s="33"/>
      <c r="J6864" s="33"/>
      <c r="K6864" s="33"/>
      <c r="L6864" s="33"/>
      <c r="M6864" s="33"/>
      <c r="N6864" s="33"/>
      <c r="O6864" s="33"/>
      <c r="P6864" s="33"/>
      <c r="Q6864" s="33"/>
      <c r="R6864" s="33"/>
      <c r="S6864" s="33"/>
      <c r="T6864" s="33"/>
      <c r="U6864" s="33"/>
      <c r="V6864" s="33"/>
      <c r="W6864" s="33"/>
      <c r="X6864" s="33"/>
      <c r="Y6864" s="33"/>
      <c r="Z6864" s="33"/>
      <c r="AA6864" s="33"/>
      <c r="AB6864" s="33"/>
      <c r="AC6864" s="33"/>
      <c r="AD6864" s="33"/>
      <c r="AE6864" s="33"/>
      <c r="AF6864" s="33"/>
      <c r="AG6864" s="33"/>
      <c r="AH6864" s="33"/>
      <c r="AI6864" s="33"/>
      <c r="AJ6864" s="33"/>
      <c r="AK6864" s="33"/>
    </row>
    <row r="6865">
      <c r="A6865" s="33"/>
      <c r="B6865" s="33"/>
      <c r="C6865" s="33"/>
      <c r="D6865" s="33"/>
      <c r="E6865" s="33"/>
      <c r="F6865" s="33"/>
      <c r="G6865" s="33"/>
      <c r="H6865" s="33"/>
      <c r="I6865" s="33"/>
      <c r="J6865" s="33"/>
      <c r="K6865" s="33"/>
      <c r="L6865" s="33"/>
      <c r="M6865" s="33"/>
      <c r="N6865" s="33"/>
      <c r="O6865" s="33"/>
      <c r="P6865" s="33"/>
      <c r="Q6865" s="33"/>
      <c r="R6865" s="33"/>
      <c r="S6865" s="33"/>
      <c r="T6865" s="33"/>
      <c r="U6865" s="33"/>
      <c r="V6865" s="33"/>
      <c r="W6865" s="33"/>
      <c r="X6865" s="33"/>
      <c r="Y6865" s="33"/>
      <c r="Z6865" s="33"/>
      <c r="AA6865" s="33"/>
      <c r="AB6865" s="33"/>
      <c r="AC6865" s="33"/>
      <c r="AD6865" s="33"/>
      <c r="AE6865" s="33"/>
      <c r="AF6865" s="33"/>
      <c r="AG6865" s="33"/>
      <c r="AH6865" s="33"/>
      <c r="AI6865" s="33"/>
      <c r="AJ6865" s="33"/>
      <c r="AK6865" s="33"/>
    </row>
    <row r="6866">
      <c r="A6866" s="33"/>
      <c r="B6866" s="33"/>
      <c r="C6866" s="33"/>
      <c r="D6866" s="33"/>
      <c r="E6866" s="33"/>
      <c r="F6866" s="33"/>
      <c r="G6866" s="33"/>
      <c r="H6866" s="33"/>
      <c r="I6866" s="33"/>
      <c r="J6866" s="33"/>
      <c r="K6866" s="33"/>
      <c r="L6866" s="33"/>
      <c r="M6866" s="33"/>
      <c r="N6866" s="33"/>
      <c r="O6866" s="33"/>
      <c r="P6866" s="33"/>
      <c r="Q6866" s="33"/>
      <c r="R6866" s="33"/>
      <c r="S6866" s="33"/>
      <c r="T6866" s="33"/>
      <c r="U6866" s="33"/>
      <c r="V6866" s="33"/>
      <c r="W6866" s="33"/>
      <c r="X6866" s="33"/>
      <c r="Y6866" s="33"/>
      <c r="Z6866" s="33"/>
      <c r="AA6866" s="33"/>
      <c r="AB6866" s="33"/>
      <c r="AC6866" s="33"/>
      <c r="AD6866" s="33"/>
      <c r="AE6866" s="33"/>
      <c r="AF6866" s="33"/>
      <c r="AG6866" s="33"/>
      <c r="AH6866" s="33"/>
      <c r="AI6866" s="33"/>
      <c r="AJ6866" s="33"/>
      <c r="AK6866" s="33"/>
    </row>
    <row r="6867">
      <c r="A6867" s="33"/>
      <c r="B6867" s="33"/>
      <c r="C6867" s="33"/>
      <c r="D6867" s="33"/>
      <c r="E6867" s="33"/>
      <c r="F6867" s="33"/>
      <c r="G6867" s="33"/>
      <c r="H6867" s="33"/>
      <c r="I6867" s="33"/>
      <c r="J6867" s="33"/>
      <c r="K6867" s="33"/>
      <c r="L6867" s="33"/>
      <c r="M6867" s="33"/>
      <c r="N6867" s="33"/>
      <c r="O6867" s="33"/>
      <c r="P6867" s="33"/>
      <c r="Q6867" s="33"/>
      <c r="R6867" s="33"/>
      <c r="S6867" s="33"/>
      <c r="T6867" s="33"/>
      <c r="U6867" s="33"/>
      <c r="V6867" s="33"/>
      <c r="W6867" s="33"/>
      <c r="X6867" s="33"/>
      <c r="Y6867" s="33"/>
      <c r="Z6867" s="33"/>
      <c r="AA6867" s="33"/>
      <c r="AB6867" s="33"/>
      <c r="AC6867" s="33"/>
      <c r="AD6867" s="33"/>
      <c r="AE6867" s="33"/>
      <c r="AF6867" s="33"/>
      <c r="AG6867" s="33"/>
      <c r="AH6867" s="33"/>
      <c r="AI6867" s="33"/>
      <c r="AJ6867" s="33"/>
      <c r="AK6867" s="33"/>
    </row>
    <row r="6868">
      <c r="A6868" s="33"/>
      <c r="B6868" s="33"/>
      <c r="C6868" s="33"/>
      <c r="D6868" s="33"/>
      <c r="E6868" s="33"/>
      <c r="F6868" s="33"/>
      <c r="G6868" s="33"/>
      <c r="H6868" s="33"/>
      <c r="I6868" s="33"/>
      <c r="J6868" s="33"/>
      <c r="K6868" s="33"/>
      <c r="L6868" s="33"/>
      <c r="M6868" s="33"/>
      <c r="N6868" s="33"/>
      <c r="O6868" s="33"/>
      <c r="P6868" s="33"/>
      <c r="Q6868" s="33"/>
      <c r="R6868" s="33"/>
      <c r="S6868" s="33"/>
      <c r="T6868" s="33"/>
      <c r="U6868" s="33"/>
      <c r="V6868" s="33"/>
      <c r="W6868" s="33"/>
      <c r="X6868" s="33"/>
      <c r="Y6868" s="33"/>
      <c r="Z6868" s="33"/>
      <c r="AA6868" s="33"/>
      <c r="AB6868" s="33"/>
      <c r="AC6868" s="33"/>
      <c r="AD6868" s="33"/>
      <c r="AE6868" s="33"/>
      <c r="AF6868" s="33"/>
      <c r="AG6868" s="33"/>
      <c r="AH6868" s="33"/>
      <c r="AI6868" s="33"/>
      <c r="AJ6868" s="33"/>
      <c r="AK6868" s="33"/>
    </row>
    <row r="6869">
      <c r="A6869" s="33"/>
      <c r="B6869" s="33"/>
      <c r="C6869" s="33"/>
      <c r="D6869" s="33"/>
      <c r="E6869" s="33"/>
      <c r="F6869" s="33"/>
      <c r="G6869" s="33"/>
      <c r="H6869" s="33"/>
      <c r="I6869" s="33"/>
      <c r="J6869" s="33"/>
      <c r="K6869" s="33"/>
      <c r="L6869" s="33"/>
      <c r="M6869" s="33"/>
      <c r="N6869" s="33"/>
      <c r="O6869" s="33"/>
      <c r="P6869" s="33"/>
      <c r="Q6869" s="33"/>
      <c r="R6869" s="33"/>
      <c r="S6869" s="33"/>
      <c r="T6869" s="33"/>
      <c r="U6869" s="33"/>
      <c r="V6869" s="33"/>
      <c r="W6869" s="33"/>
      <c r="X6869" s="33"/>
      <c r="Y6869" s="33"/>
      <c r="Z6869" s="33"/>
      <c r="AA6869" s="33"/>
      <c r="AB6869" s="33"/>
      <c r="AC6869" s="33"/>
      <c r="AD6869" s="33"/>
      <c r="AE6869" s="33"/>
      <c r="AF6869" s="33"/>
      <c r="AG6869" s="33"/>
      <c r="AH6869" s="33"/>
      <c r="AI6869" s="33"/>
      <c r="AJ6869" s="33"/>
      <c r="AK6869" s="33"/>
    </row>
    <row r="6870">
      <c r="A6870" s="33"/>
      <c r="B6870" s="33"/>
      <c r="C6870" s="33"/>
      <c r="D6870" s="33"/>
      <c r="E6870" s="33"/>
      <c r="F6870" s="33"/>
      <c r="G6870" s="33"/>
      <c r="H6870" s="33"/>
      <c r="I6870" s="33"/>
      <c r="J6870" s="33"/>
      <c r="K6870" s="33"/>
      <c r="L6870" s="33"/>
      <c r="M6870" s="33"/>
      <c r="N6870" s="33"/>
      <c r="O6870" s="33"/>
      <c r="P6870" s="33"/>
      <c r="Q6870" s="33"/>
      <c r="R6870" s="33"/>
      <c r="S6870" s="33"/>
      <c r="T6870" s="33"/>
      <c r="U6870" s="33"/>
      <c r="V6870" s="33"/>
      <c r="W6870" s="33"/>
      <c r="X6870" s="33"/>
      <c r="Y6870" s="33"/>
      <c r="Z6870" s="33"/>
      <c r="AA6870" s="33"/>
      <c r="AB6870" s="33"/>
      <c r="AC6870" s="33"/>
      <c r="AD6870" s="33"/>
      <c r="AE6870" s="33"/>
      <c r="AF6870" s="33"/>
      <c r="AG6870" s="33"/>
      <c r="AH6870" s="33"/>
      <c r="AI6870" s="33"/>
      <c r="AJ6870" s="33"/>
      <c r="AK6870" s="33"/>
    </row>
    <row r="6871">
      <c r="A6871" s="33"/>
      <c r="B6871" s="33"/>
      <c r="C6871" s="33"/>
      <c r="D6871" s="33"/>
      <c r="E6871" s="33"/>
      <c r="F6871" s="33"/>
      <c r="G6871" s="33"/>
      <c r="H6871" s="33"/>
      <c r="I6871" s="33"/>
      <c r="J6871" s="33"/>
      <c r="K6871" s="33"/>
      <c r="L6871" s="33"/>
      <c r="M6871" s="33"/>
      <c r="N6871" s="33"/>
      <c r="O6871" s="33"/>
      <c r="P6871" s="33"/>
      <c r="Q6871" s="33"/>
      <c r="R6871" s="33"/>
      <c r="S6871" s="33"/>
      <c r="T6871" s="33"/>
      <c r="U6871" s="33"/>
      <c r="V6871" s="33"/>
      <c r="W6871" s="33"/>
      <c r="X6871" s="33"/>
      <c r="Y6871" s="33"/>
      <c r="Z6871" s="33"/>
      <c r="AA6871" s="33"/>
      <c r="AB6871" s="33"/>
      <c r="AC6871" s="33"/>
      <c r="AD6871" s="33"/>
      <c r="AE6871" s="33"/>
      <c r="AF6871" s="33"/>
      <c r="AG6871" s="33"/>
      <c r="AH6871" s="33"/>
      <c r="AI6871" s="33"/>
      <c r="AJ6871" s="33"/>
      <c r="AK6871" s="33"/>
    </row>
    <row r="6872">
      <c r="A6872" s="33"/>
      <c r="B6872" s="33"/>
      <c r="C6872" s="33"/>
      <c r="D6872" s="33"/>
      <c r="E6872" s="33"/>
      <c r="F6872" s="33"/>
      <c r="G6872" s="33"/>
      <c r="H6872" s="33"/>
      <c r="I6872" s="33"/>
      <c r="J6872" s="33"/>
      <c r="K6872" s="33"/>
      <c r="L6872" s="33"/>
      <c r="M6872" s="33"/>
      <c r="N6872" s="33"/>
      <c r="O6872" s="33"/>
      <c r="P6872" s="33"/>
      <c r="Q6872" s="33"/>
      <c r="R6872" s="33"/>
      <c r="S6872" s="33"/>
      <c r="T6872" s="33"/>
      <c r="U6872" s="33"/>
      <c r="V6872" s="33"/>
      <c r="W6872" s="33"/>
      <c r="X6872" s="33"/>
      <c r="Y6872" s="33"/>
      <c r="Z6872" s="33"/>
      <c r="AA6872" s="33"/>
      <c r="AB6872" s="33"/>
      <c r="AC6872" s="33"/>
      <c r="AD6872" s="33"/>
      <c r="AE6872" s="33"/>
      <c r="AF6872" s="33"/>
      <c r="AG6872" s="33"/>
      <c r="AH6872" s="33"/>
      <c r="AI6872" s="33"/>
      <c r="AJ6872" s="33"/>
      <c r="AK6872" s="33"/>
    </row>
    <row r="6873">
      <c r="A6873" s="33"/>
      <c r="B6873" s="33"/>
      <c r="C6873" s="33"/>
      <c r="D6873" s="33"/>
      <c r="E6873" s="33"/>
      <c r="F6873" s="33"/>
      <c r="G6873" s="33"/>
      <c r="H6873" s="33"/>
      <c r="I6873" s="33"/>
      <c r="J6873" s="33"/>
      <c r="K6873" s="33"/>
      <c r="L6873" s="33"/>
      <c r="M6873" s="33"/>
      <c r="N6873" s="33"/>
      <c r="O6873" s="33"/>
      <c r="P6873" s="33"/>
      <c r="Q6873" s="33"/>
      <c r="R6873" s="33"/>
      <c r="S6873" s="33"/>
      <c r="T6873" s="33"/>
      <c r="U6873" s="33"/>
      <c r="V6873" s="33"/>
      <c r="W6873" s="33"/>
      <c r="X6873" s="33"/>
      <c r="Y6873" s="33"/>
      <c r="Z6873" s="33"/>
      <c r="AA6873" s="33"/>
      <c r="AB6873" s="33"/>
      <c r="AC6873" s="33"/>
      <c r="AD6873" s="33"/>
      <c r="AE6873" s="33"/>
      <c r="AF6873" s="33"/>
      <c r="AG6873" s="33"/>
      <c r="AH6873" s="33"/>
      <c r="AI6873" s="33"/>
      <c r="AJ6873" s="33"/>
      <c r="AK6873" s="33"/>
    </row>
    <row r="6874">
      <c r="A6874" s="33"/>
      <c r="B6874" s="33"/>
      <c r="C6874" s="33"/>
      <c r="D6874" s="33"/>
      <c r="E6874" s="33"/>
      <c r="F6874" s="33"/>
      <c r="G6874" s="33"/>
      <c r="H6874" s="33"/>
      <c r="I6874" s="33"/>
      <c r="J6874" s="33"/>
      <c r="K6874" s="33"/>
      <c r="L6874" s="33"/>
      <c r="M6874" s="33"/>
      <c r="N6874" s="33"/>
      <c r="O6874" s="33"/>
      <c r="P6874" s="33"/>
      <c r="Q6874" s="33"/>
      <c r="R6874" s="33"/>
      <c r="S6874" s="33"/>
      <c r="T6874" s="33"/>
      <c r="U6874" s="33"/>
      <c r="V6874" s="33"/>
      <c r="W6874" s="33"/>
      <c r="X6874" s="33"/>
      <c r="Y6874" s="33"/>
      <c r="Z6874" s="33"/>
      <c r="AA6874" s="33"/>
      <c r="AB6874" s="33"/>
      <c r="AC6874" s="33"/>
      <c r="AD6874" s="33"/>
      <c r="AE6874" s="33"/>
      <c r="AF6874" s="33"/>
      <c r="AG6874" s="33"/>
      <c r="AH6874" s="33"/>
      <c r="AI6874" s="33"/>
      <c r="AJ6874" s="33"/>
      <c r="AK6874" s="33"/>
    </row>
    <row r="6875">
      <c r="A6875" s="33"/>
      <c r="B6875" s="33"/>
      <c r="C6875" s="33"/>
      <c r="D6875" s="33"/>
      <c r="E6875" s="33"/>
      <c r="F6875" s="33"/>
      <c r="G6875" s="33"/>
      <c r="H6875" s="33"/>
      <c r="I6875" s="33"/>
      <c r="J6875" s="33"/>
      <c r="K6875" s="33"/>
      <c r="L6875" s="33"/>
      <c r="M6875" s="33"/>
      <c r="N6875" s="33"/>
      <c r="O6875" s="33"/>
      <c r="P6875" s="33"/>
      <c r="Q6875" s="33"/>
      <c r="R6875" s="33"/>
      <c r="S6875" s="33"/>
      <c r="T6875" s="33"/>
      <c r="U6875" s="33"/>
      <c r="V6875" s="33"/>
      <c r="W6875" s="33"/>
      <c r="X6875" s="33"/>
      <c r="Y6875" s="33"/>
      <c r="Z6875" s="33"/>
      <c r="AA6875" s="33"/>
      <c r="AB6875" s="33"/>
      <c r="AC6875" s="33"/>
      <c r="AD6875" s="33"/>
      <c r="AE6875" s="33"/>
      <c r="AF6875" s="33"/>
      <c r="AG6875" s="33"/>
      <c r="AH6875" s="33"/>
      <c r="AI6875" s="33"/>
      <c r="AJ6875" s="33"/>
      <c r="AK6875" s="33"/>
    </row>
    <row r="6876">
      <c r="A6876" s="33"/>
      <c r="B6876" s="33"/>
      <c r="C6876" s="33"/>
      <c r="D6876" s="33"/>
      <c r="E6876" s="33"/>
      <c r="F6876" s="33"/>
      <c r="G6876" s="33"/>
      <c r="H6876" s="33"/>
      <c r="I6876" s="33"/>
      <c r="J6876" s="33"/>
      <c r="K6876" s="33"/>
      <c r="L6876" s="33"/>
      <c r="M6876" s="33"/>
      <c r="N6876" s="33"/>
      <c r="O6876" s="33"/>
      <c r="P6876" s="33"/>
      <c r="Q6876" s="33"/>
      <c r="R6876" s="33"/>
      <c r="S6876" s="33"/>
      <c r="T6876" s="33"/>
      <c r="U6876" s="33"/>
      <c r="V6876" s="33"/>
      <c r="W6876" s="33"/>
      <c r="X6876" s="33"/>
      <c r="Y6876" s="33"/>
      <c r="Z6876" s="33"/>
      <c r="AA6876" s="33"/>
      <c r="AB6876" s="33"/>
      <c r="AC6876" s="33"/>
      <c r="AD6876" s="33"/>
      <c r="AE6876" s="33"/>
      <c r="AF6876" s="33"/>
      <c r="AG6876" s="33"/>
      <c r="AH6876" s="33"/>
      <c r="AI6876" s="33"/>
      <c r="AJ6876" s="33"/>
      <c r="AK6876" s="33"/>
    </row>
    <row r="6877">
      <c r="A6877" s="33"/>
      <c r="B6877" s="33"/>
      <c r="C6877" s="33"/>
      <c r="D6877" s="33"/>
      <c r="E6877" s="33"/>
      <c r="F6877" s="33"/>
      <c r="G6877" s="33"/>
      <c r="H6877" s="33"/>
      <c r="I6877" s="33"/>
      <c r="J6877" s="33"/>
      <c r="K6877" s="33"/>
      <c r="L6877" s="33"/>
      <c r="M6877" s="33"/>
      <c r="N6877" s="33"/>
      <c r="O6877" s="33"/>
      <c r="P6877" s="33"/>
      <c r="Q6877" s="33"/>
      <c r="R6877" s="33"/>
      <c r="S6877" s="33"/>
      <c r="T6877" s="33"/>
      <c r="U6877" s="33"/>
      <c r="V6877" s="33"/>
      <c r="W6877" s="33"/>
      <c r="X6877" s="33"/>
      <c r="Y6877" s="33"/>
      <c r="Z6877" s="33"/>
      <c r="AA6877" s="33"/>
      <c r="AB6877" s="33"/>
      <c r="AC6877" s="33"/>
      <c r="AD6877" s="33"/>
      <c r="AE6877" s="33"/>
      <c r="AF6877" s="33"/>
      <c r="AG6877" s="33"/>
      <c r="AH6877" s="33"/>
      <c r="AI6877" s="33"/>
      <c r="AJ6877" s="33"/>
      <c r="AK6877" s="33"/>
    </row>
    <row r="6878">
      <c r="A6878" s="33"/>
      <c r="B6878" s="33"/>
      <c r="C6878" s="33"/>
      <c r="D6878" s="33"/>
      <c r="E6878" s="33"/>
      <c r="F6878" s="33"/>
      <c r="G6878" s="33"/>
      <c r="H6878" s="33"/>
      <c r="I6878" s="33"/>
      <c r="J6878" s="33"/>
      <c r="K6878" s="33"/>
      <c r="L6878" s="33"/>
      <c r="M6878" s="33"/>
      <c r="N6878" s="33"/>
      <c r="O6878" s="33"/>
      <c r="P6878" s="33"/>
      <c r="Q6878" s="33"/>
      <c r="R6878" s="33"/>
      <c r="S6878" s="33"/>
      <c r="T6878" s="33"/>
      <c r="U6878" s="33"/>
      <c r="V6878" s="33"/>
      <c r="W6878" s="33"/>
      <c r="X6878" s="33"/>
      <c r="Y6878" s="33"/>
      <c r="Z6878" s="33"/>
      <c r="AA6878" s="33"/>
      <c r="AB6878" s="33"/>
      <c r="AC6878" s="33"/>
      <c r="AD6878" s="33"/>
      <c r="AE6878" s="33"/>
      <c r="AF6878" s="33"/>
      <c r="AG6878" s="33"/>
      <c r="AH6878" s="33"/>
      <c r="AI6878" s="33"/>
      <c r="AJ6878" s="33"/>
      <c r="AK6878" s="33"/>
    </row>
    <row r="6879">
      <c r="A6879" s="33"/>
      <c r="B6879" s="33"/>
      <c r="C6879" s="33"/>
      <c r="D6879" s="33"/>
      <c r="E6879" s="33"/>
      <c r="F6879" s="33"/>
      <c r="G6879" s="33"/>
      <c r="H6879" s="33"/>
      <c r="I6879" s="33"/>
      <c r="J6879" s="33"/>
      <c r="K6879" s="33"/>
      <c r="L6879" s="33"/>
      <c r="M6879" s="33"/>
      <c r="N6879" s="33"/>
      <c r="O6879" s="33"/>
      <c r="P6879" s="33"/>
      <c r="Q6879" s="33"/>
      <c r="R6879" s="33"/>
      <c r="S6879" s="33"/>
      <c r="T6879" s="33"/>
      <c r="U6879" s="33"/>
      <c r="V6879" s="33"/>
      <c r="W6879" s="33"/>
      <c r="X6879" s="33"/>
      <c r="Y6879" s="33"/>
      <c r="Z6879" s="33"/>
      <c r="AA6879" s="33"/>
      <c r="AB6879" s="33"/>
      <c r="AC6879" s="33"/>
      <c r="AD6879" s="33"/>
      <c r="AE6879" s="33"/>
      <c r="AF6879" s="33"/>
      <c r="AG6879" s="33"/>
      <c r="AH6879" s="33"/>
      <c r="AI6879" s="33"/>
      <c r="AJ6879" s="33"/>
      <c r="AK6879" s="33"/>
    </row>
    <row r="6880">
      <c r="A6880" s="33"/>
      <c r="B6880" s="33"/>
      <c r="C6880" s="33"/>
      <c r="D6880" s="33"/>
      <c r="E6880" s="33"/>
      <c r="F6880" s="33"/>
      <c r="G6880" s="33"/>
      <c r="H6880" s="33"/>
      <c r="I6880" s="33"/>
      <c r="J6880" s="33"/>
      <c r="K6880" s="33"/>
      <c r="L6880" s="33"/>
      <c r="M6880" s="33"/>
      <c r="N6880" s="33"/>
      <c r="O6880" s="33"/>
      <c r="P6880" s="33"/>
      <c r="Q6880" s="33"/>
      <c r="R6880" s="33"/>
      <c r="S6880" s="33"/>
      <c r="T6880" s="33"/>
      <c r="U6880" s="33"/>
      <c r="V6880" s="33"/>
      <c r="W6880" s="33"/>
      <c r="X6880" s="33"/>
      <c r="Y6880" s="33"/>
      <c r="Z6880" s="33"/>
      <c r="AA6880" s="33"/>
      <c r="AB6880" s="33"/>
      <c r="AC6880" s="33"/>
      <c r="AD6880" s="33"/>
      <c r="AE6880" s="33"/>
      <c r="AF6880" s="33"/>
      <c r="AG6880" s="33"/>
      <c r="AH6880" s="33"/>
      <c r="AI6880" s="33"/>
      <c r="AJ6880" s="33"/>
      <c r="AK6880" s="33"/>
    </row>
    <row r="6881">
      <c r="A6881" s="33"/>
      <c r="B6881" s="33"/>
      <c r="C6881" s="33"/>
      <c r="D6881" s="33"/>
      <c r="E6881" s="33"/>
      <c r="F6881" s="33"/>
      <c r="G6881" s="33"/>
      <c r="H6881" s="33"/>
      <c r="I6881" s="33"/>
      <c r="J6881" s="33"/>
      <c r="K6881" s="33"/>
      <c r="L6881" s="33"/>
      <c r="M6881" s="33"/>
      <c r="N6881" s="33"/>
      <c r="O6881" s="33"/>
      <c r="P6881" s="33"/>
      <c r="Q6881" s="33"/>
      <c r="R6881" s="33"/>
      <c r="S6881" s="33"/>
      <c r="T6881" s="33"/>
      <c r="U6881" s="33"/>
      <c r="V6881" s="33"/>
      <c r="W6881" s="33"/>
      <c r="X6881" s="33"/>
      <c r="Y6881" s="33"/>
      <c r="Z6881" s="33"/>
      <c r="AA6881" s="33"/>
      <c r="AB6881" s="33"/>
      <c r="AC6881" s="33"/>
      <c r="AD6881" s="33"/>
      <c r="AE6881" s="33"/>
      <c r="AF6881" s="33"/>
      <c r="AG6881" s="33"/>
      <c r="AH6881" s="33"/>
      <c r="AI6881" s="33"/>
      <c r="AJ6881" s="33"/>
      <c r="AK6881" s="33"/>
    </row>
    <row r="6882">
      <c r="A6882" s="33"/>
      <c r="B6882" s="33"/>
      <c r="C6882" s="33"/>
      <c r="D6882" s="33"/>
      <c r="E6882" s="33"/>
      <c r="F6882" s="33"/>
      <c r="G6882" s="33"/>
      <c r="H6882" s="33"/>
      <c r="I6882" s="33"/>
      <c r="J6882" s="33"/>
      <c r="K6882" s="33"/>
      <c r="L6882" s="33"/>
      <c r="M6882" s="33"/>
      <c r="N6882" s="33"/>
      <c r="O6882" s="33"/>
      <c r="P6882" s="33"/>
      <c r="Q6882" s="33"/>
      <c r="R6882" s="33"/>
      <c r="S6882" s="33"/>
      <c r="T6882" s="33"/>
      <c r="U6882" s="33"/>
      <c r="V6882" s="33"/>
      <c r="W6882" s="33"/>
      <c r="X6882" s="33"/>
      <c r="Y6882" s="33"/>
      <c r="Z6882" s="33"/>
      <c r="AA6882" s="33"/>
      <c r="AB6882" s="33"/>
      <c r="AC6882" s="33"/>
      <c r="AD6882" s="33"/>
      <c r="AE6882" s="33"/>
      <c r="AF6882" s="33"/>
      <c r="AG6882" s="33"/>
      <c r="AH6882" s="33"/>
      <c r="AI6882" s="33"/>
      <c r="AJ6882" s="33"/>
      <c r="AK6882" s="33"/>
    </row>
    <row r="6883">
      <c r="A6883" s="33"/>
      <c r="B6883" s="33"/>
      <c r="C6883" s="33"/>
      <c r="D6883" s="33"/>
      <c r="E6883" s="33"/>
      <c r="F6883" s="33"/>
      <c r="G6883" s="33"/>
      <c r="H6883" s="33"/>
      <c r="I6883" s="33"/>
      <c r="J6883" s="33"/>
      <c r="K6883" s="33"/>
      <c r="L6883" s="33"/>
      <c r="M6883" s="33"/>
      <c r="N6883" s="33"/>
      <c r="O6883" s="33"/>
      <c r="P6883" s="33"/>
      <c r="Q6883" s="33"/>
      <c r="R6883" s="33"/>
      <c r="S6883" s="33"/>
      <c r="T6883" s="33"/>
      <c r="U6883" s="33"/>
      <c r="V6883" s="33"/>
      <c r="W6883" s="33"/>
      <c r="X6883" s="33"/>
      <c r="Y6883" s="33"/>
      <c r="Z6883" s="33"/>
      <c r="AA6883" s="33"/>
      <c r="AB6883" s="33"/>
      <c r="AC6883" s="33"/>
      <c r="AD6883" s="33"/>
      <c r="AE6883" s="33"/>
      <c r="AF6883" s="33"/>
      <c r="AG6883" s="33"/>
      <c r="AH6883" s="33"/>
      <c r="AI6883" s="33"/>
      <c r="AJ6883" s="33"/>
      <c r="AK6883" s="33"/>
    </row>
    <row r="6884">
      <c r="A6884" s="33"/>
      <c r="B6884" s="33"/>
      <c r="C6884" s="33"/>
      <c r="D6884" s="33"/>
      <c r="E6884" s="33"/>
      <c r="F6884" s="33"/>
      <c r="G6884" s="33"/>
      <c r="H6884" s="33"/>
      <c r="I6884" s="33"/>
      <c r="J6884" s="33"/>
      <c r="K6884" s="33"/>
      <c r="L6884" s="33"/>
      <c r="M6884" s="33"/>
      <c r="N6884" s="33"/>
      <c r="O6884" s="33"/>
      <c r="P6884" s="33"/>
      <c r="Q6884" s="33"/>
      <c r="R6884" s="33"/>
      <c r="S6884" s="33"/>
      <c r="T6884" s="33"/>
      <c r="U6884" s="33"/>
      <c r="V6884" s="33"/>
      <c r="W6884" s="33"/>
      <c r="X6884" s="33"/>
      <c r="Y6884" s="33"/>
      <c r="Z6884" s="33"/>
      <c r="AA6884" s="33"/>
      <c r="AB6884" s="33"/>
      <c r="AC6884" s="33"/>
      <c r="AD6884" s="33"/>
      <c r="AE6884" s="33"/>
      <c r="AF6884" s="33"/>
      <c r="AG6884" s="33"/>
      <c r="AH6884" s="33"/>
      <c r="AI6884" s="33"/>
      <c r="AJ6884" s="33"/>
      <c r="AK6884" s="33"/>
    </row>
    <row r="6885">
      <c r="A6885" s="33"/>
      <c r="B6885" s="33"/>
      <c r="C6885" s="33"/>
      <c r="D6885" s="33"/>
      <c r="E6885" s="33"/>
      <c r="F6885" s="33"/>
      <c r="G6885" s="33"/>
      <c r="H6885" s="33"/>
      <c r="I6885" s="33"/>
      <c r="J6885" s="33"/>
      <c r="K6885" s="33"/>
      <c r="L6885" s="33"/>
      <c r="M6885" s="33"/>
      <c r="N6885" s="33"/>
      <c r="O6885" s="33"/>
      <c r="P6885" s="33"/>
      <c r="Q6885" s="33"/>
      <c r="R6885" s="33"/>
      <c r="S6885" s="33"/>
      <c r="T6885" s="33"/>
      <c r="U6885" s="33"/>
      <c r="V6885" s="33"/>
      <c r="W6885" s="33"/>
      <c r="X6885" s="33"/>
      <c r="Y6885" s="33"/>
      <c r="Z6885" s="33"/>
      <c r="AA6885" s="33"/>
      <c r="AB6885" s="33"/>
      <c r="AC6885" s="33"/>
      <c r="AD6885" s="33"/>
      <c r="AE6885" s="33"/>
      <c r="AF6885" s="33"/>
      <c r="AG6885" s="33"/>
      <c r="AH6885" s="33"/>
      <c r="AI6885" s="33"/>
      <c r="AJ6885" s="33"/>
      <c r="AK6885" s="33"/>
    </row>
    <row r="6886">
      <c r="A6886" s="33"/>
      <c r="B6886" s="33"/>
      <c r="C6886" s="33"/>
      <c r="D6886" s="33"/>
      <c r="E6886" s="33"/>
      <c r="F6886" s="33"/>
      <c r="G6886" s="33"/>
      <c r="H6886" s="33"/>
      <c r="I6886" s="33"/>
      <c r="J6886" s="33"/>
      <c r="K6886" s="33"/>
      <c r="L6886" s="33"/>
      <c r="M6886" s="33"/>
      <c r="N6886" s="33"/>
      <c r="O6886" s="33"/>
      <c r="P6886" s="33"/>
      <c r="Q6886" s="33"/>
      <c r="R6886" s="33"/>
      <c r="S6886" s="33"/>
      <c r="T6886" s="33"/>
      <c r="U6886" s="33"/>
      <c r="V6886" s="33"/>
      <c r="W6886" s="33"/>
      <c r="X6886" s="33"/>
      <c r="Y6886" s="33"/>
      <c r="Z6886" s="33"/>
      <c r="AA6886" s="33"/>
      <c r="AB6886" s="33"/>
      <c r="AC6886" s="33"/>
      <c r="AD6886" s="33"/>
      <c r="AE6886" s="33"/>
      <c r="AF6886" s="33"/>
      <c r="AG6886" s="33"/>
      <c r="AH6886" s="33"/>
      <c r="AI6886" s="33"/>
      <c r="AJ6886" s="33"/>
      <c r="AK6886" s="33"/>
    </row>
    <row r="6887">
      <c r="A6887" s="33"/>
      <c r="B6887" s="33"/>
      <c r="C6887" s="33"/>
      <c r="D6887" s="33"/>
      <c r="E6887" s="33"/>
      <c r="F6887" s="33"/>
      <c r="G6887" s="33"/>
      <c r="H6887" s="33"/>
      <c r="I6887" s="33"/>
      <c r="J6887" s="33"/>
      <c r="K6887" s="33"/>
      <c r="L6887" s="33"/>
      <c r="M6887" s="33"/>
      <c r="N6887" s="33"/>
      <c r="O6887" s="33"/>
      <c r="P6887" s="33"/>
      <c r="Q6887" s="33"/>
      <c r="R6887" s="33"/>
      <c r="S6887" s="33"/>
      <c r="T6887" s="33"/>
      <c r="U6887" s="33"/>
      <c r="V6887" s="33"/>
      <c r="W6887" s="33"/>
      <c r="X6887" s="33"/>
      <c r="Y6887" s="33"/>
      <c r="Z6887" s="33"/>
      <c r="AA6887" s="33"/>
      <c r="AB6887" s="33"/>
      <c r="AC6887" s="33"/>
      <c r="AD6887" s="33"/>
      <c r="AE6887" s="33"/>
      <c r="AF6887" s="33"/>
      <c r="AG6887" s="33"/>
      <c r="AH6887" s="33"/>
      <c r="AI6887" s="33"/>
      <c r="AJ6887" s="33"/>
      <c r="AK6887" s="33"/>
    </row>
    <row r="6888">
      <c r="A6888" s="33"/>
      <c r="B6888" s="33"/>
      <c r="C6888" s="33"/>
      <c r="D6888" s="33"/>
      <c r="E6888" s="33"/>
      <c r="F6888" s="33"/>
      <c r="G6888" s="33"/>
      <c r="H6888" s="33"/>
      <c r="I6888" s="33"/>
      <c r="J6888" s="33"/>
      <c r="K6888" s="33"/>
      <c r="L6888" s="33"/>
      <c r="M6888" s="33"/>
      <c r="N6888" s="33"/>
      <c r="O6888" s="33"/>
      <c r="P6888" s="33"/>
      <c r="Q6888" s="33"/>
      <c r="R6888" s="33"/>
      <c r="S6888" s="33"/>
      <c r="T6888" s="33"/>
      <c r="U6888" s="33"/>
      <c r="V6888" s="33"/>
      <c r="W6888" s="33"/>
      <c r="X6888" s="33"/>
      <c r="Y6888" s="33"/>
      <c r="Z6888" s="33"/>
      <c r="AA6888" s="33"/>
      <c r="AB6888" s="33"/>
      <c r="AC6888" s="33"/>
      <c r="AD6888" s="33"/>
      <c r="AE6888" s="33"/>
      <c r="AF6888" s="33"/>
      <c r="AG6888" s="33"/>
      <c r="AH6888" s="33"/>
      <c r="AI6888" s="33"/>
      <c r="AJ6888" s="33"/>
      <c r="AK6888" s="33"/>
    </row>
    <row r="6889">
      <c r="A6889" s="33"/>
      <c r="B6889" s="33"/>
      <c r="C6889" s="33"/>
      <c r="D6889" s="33"/>
      <c r="E6889" s="33"/>
      <c r="F6889" s="33"/>
      <c r="G6889" s="33"/>
      <c r="H6889" s="33"/>
      <c r="I6889" s="33"/>
      <c r="J6889" s="33"/>
      <c r="K6889" s="33"/>
      <c r="L6889" s="33"/>
      <c r="M6889" s="33"/>
      <c r="N6889" s="33"/>
      <c r="O6889" s="33"/>
      <c r="P6889" s="33"/>
      <c r="Q6889" s="33"/>
      <c r="R6889" s="33"/>
      <c r="S6889" s="33"/>
      <c r="T6889" s="33"/>
      <c r="U6889" s="33"/>
      <c r="V6889" s="33"/>
      <c r="W6889" s="33"/>
      <c r="X6889" s="33"/>
      <c r="Y6889" s="33"/>
      <c r="Z6889" s="33"/>
      <c r="AA6889" s="33"/>
      <c r="AB6889" s="33"/>
      <c r="AC6889" s="33"/>
      <c r="AD6889" s="33"/>
      <c r="AE6889" s="33"/>
      <c r="AF6889" s="33"/>
      <c r="AG6889" s="33"/>
      <c r="AH6889" s="33"/>
      <c r="AI6889" s="33"/>
      <c r="AJ6889" s="33"/>
      <c r="AK6889" s="33"/>
    </row>
    <row r="6890">
      <c r="A6890" s="33"/>
      <c r="B6890" s="33"/>
      <c r="C6890" s="33"/>
      <c r="D6890" s="33"/>
      <c r="E6890" s="33"/>
      <c r="F6890" s="33"/>
      <c r="G6890" s="33"/>
      <c r="H6890" s="33"/>
      <c r="I6890" s="33"/>
      <c r="J6890" s="33"/>
      <c r="K6890" s="33"/>
      <c r="L6890" s="33"/>
      <c r="M6890" s="33"/>
      <c r="N6890" s="33"/>
      <c r="O6890" s="33"/>
      <c r="P6890" s="33"/>
      <c r="Q6890" s="33"/>
      <c r="R6890" s="33"/>
      <c r="S6890" s="33"/>
      <c r="T6890" s="33"/>
      <c r="U6890" s="33"/>
      <c r="V6890" s="33"/>
      <c r="W6890" s="33"/>
      <c r="X6890" s="33"/>
      <c r="Y6890" s="33"/>
      <c r="Z6890" s="33"/>
      <c r="AA6890" s="33"/>
      <c r="AB6890" s="33"/>
      <c r="AC6890" s="33"/>
      <c r="AD6890" s="33"/>
      <c r="AE6890" s="33"/>
      <c r="AF6890" s="33"/>
      <c r="AG6890" s="33"/>
      <c r="AH6890" s="33"/>
      <c r="AI6890" s="33"/>
      <c r="AJ6890" s="33"/>
      <c r="AK6890" s="33"/>
    </row>
    <row r="6891">
      <c r="A6891" s="33"/>
      <c r="B6891" s="33"/>
      <c r="C6891" s="33"/>
      <c r="D6891" s="33"/>
      <c r="E6891" s="33"/>
      <c r="F6891" s="33"/>
      <c r="G6891" s="33"/>
      <c r="H6891" s="33"/>
      <c r="I6891" s="33"/>
      <c r="J6891" s="33"/>
      <c r="K6891" s="33"/>
      <c r="L6891" s="33"/>
      <c r="M6891" s="33"/>
      <c r="N6891" s="33"/>
      <c r="O6891" s="33"/>
      <c r="P6891" s="33"/>
      <c r="Q6891" s="33"/>
      <c r="R6891" s="33"/>
      <c r="S6891" s="33"/>
      <c r="T6891" s="33"/>
      <c r="U6891" s="33"/>
      <c r="V6891" s="33"/>
      <c r="W6891" s="33"/>
      <c r="X6891" s="33"/>
      <c r="Y6891" s="33"/>
      <c r="Z6891" s="33"/>
      <c r="AA6891" s="33"/>
      <c r="AB6891" s="33"/>
      <c r="AC6891" s="33"/>
      <c r="AD6891" s="33"/>
      <c r="AE6891" s="33"/>
      <c r="AF6891" s="33"/>
      <c r="AG6891" s="33"/>
      <c r="AH6891" s="33"/>
      <c r="AI6891" s="33"/>
      <c r="AJ6891" s="33"/>
      <c r="AK6891" s="33"/>
    </row>
    <row r="6892">
      <c r="A6892" s="33"/>
      <c r="B6892" s="33"/>
      <c r="C6892" s="33"/>
      <c r="D6892" s="33"/>
      <c r="E6892" s="33"/>
      <c r="F6892" s="33"/>
      <c r="G6892" s="33"/>
      <c r="H6892" s="33"/>
      <c r="I6892" s="33"/>
      <c r="J6892" s="33"/>
      <c r="K6892" s="33"/>
      <c r="L6892" s="33"/>
      <c r="M6892" s="33"/>
      <c r="N6892" s="33"/>
      <c r="O6892" s="33"/>
      <c r="P6892" s="33"/>
      <c r="Q6892" s="33"/>
      <c r="R6892" s="33"/>
      <c r="S6892" s="33"/>
      <c r="T6892" s="33"/>
      <c r="U6892" s="33"/>
      <c r="V6892" s="33"/>
      <c r="W6892" s="33"/>
      <c r="X6892" s="33"/>
      <c r="Y6892" s="33"/>
      <c r="Z6892" s="33"/>
      <c r="AA6892" s="33"/>
      <c r="AB6892" s="33"/>
      <c r="AC6892" s="33"/>
      <c r="AD6892" s="33"/>
      <c r="AE6892" s="33"/>
      <c r="AF6892" s="33"/>
      <c r="AG6892" s="33"/>
      <c r="AH6892" s="33"/>
      <c r="AI6892" s="33"/>
      <c r="AJ6892" s="33"/>
      <c r="AK6892" s="33"/>
    </row>
    <row r="6893">
      <c r="A6893" s="33"/>
      <c r="B6893" s="33"/>
      <c r="C6893" s="33"/>
      <c r="D6893" s="33"/>
      <c r="E6893" s="33"/>
      <c r="F6893" s="33"/>
      <c r="G6893" s="33"/>
      <c r="H6893" s="33"/>
      <c r="I6893" s="33"/>
      <c r="J6893" s="33"/>
      <c r="K6893" s="33"/>
      <c r="L6893" s="33"/>
      <c r="M6893" s="33"/>
      <c r="N6893" s="33"/>
      <c r="O6893" s="33"/>
      <c r="P6893" s="33"/>
      <c r="Q6893" s="33"/>
      <c r="R6893" s="33"/>
      <c r="S6893" s="33"/>
      <c r="T6893" s="33"/>
      <c r="U6893" s="33"/>
      <c r="V6893" s="33"/>
      <c r="W6893" s="33"/>
      <c r="X6893" s="33"/>
      <c r="Y6893" s="33"/>
      <c r="Z6893" s="33"/>
      <c r="AA6893" s="33"/>
      <c r="AB6893" s="33"/>
      <c r="AC6893" s="33"/>
      <c r="AD6893" s="33"/>
      <c r="AE6893" s="33"/>
      <c r="AF6893" s="33"/>
      <c r="AG6893" s="33"/>
      <c r="AH6893" s="33"/>
      <c r="AI6893" s="33"/>
      <c r="AJ6893" s="33"/>
      <c r="AK6893" s="33"/>
    </row>
    <row r="6894">
      <c r="A6894" s="33"/>
      <c r="B6894" s="33"/>
      <c r="C6894" s="33"/>
      <c r="D6894" s="33"/>
      <c r="E6894" s="33"/>
      <c r="F6894" s="33"/>
      <c r="G6894" s="33"/>
      <c r="H6894" s="33"/>
      <c r="I6894" s="33"/>
      <c r="J6894" s="33"/>
      <c r="K6894" s="33"/>
      <c r="L6894" s="33"/>
      <c r="M6894" s="33"/>
      <c r="N6894" s="33"/>
      <c r="O6894" s="33"/>
      <c r="P6894" s="33"/>
      <c r="Q6894" s="33"/>
      <c r="R6894" s="33"/>
      <c r="S6894" s="33"/>
      <c r="T6894" s="33"/>
      <c r="U6894" s="33"/>
      <c r="V6894" s="33"/>
      <c r="W6894" s="33"/>
      <c r="X6894" s="33"/>
      <c r="Y6894" s="33"/>
      <c r="Z6894" s="33"/>
      <c r="AA6894" s="33"/>
      <c r="AB6894" s="33"/>
      <c r="AC6894" s="33"/>
      <c r="AD6894" s="33"/>
      <c r="AE6894" s="33"/>
      <c r="AF6894" s="33"/>
      <c r="AG6894" s="33"/>
      <c r="AH6894" s="33"/>
      <c r="AI6894" s="33"/>
      <c r="AJ6894" s="33"/>
      <c r="AK6894" s="33"/>
    </row>
    <row r="6895">
      <c r="A6895" s="33"/>
      <c r="B6895" s="33"/>
      <c r="C6895" s="33"/>
      <c r="D6895" s="33"/>
      <c r="E6895" s="33"/>
      <c r="F6895" s="33"/>
      <c r="G6895" s="33"/>
      <c r="H6895" s="33"/>
      <c r="I6895" s="33"/>
      <c r="J6895" s="33"/>
      <c r="K6895" s="33"/>
      <c r="L6895" s="33"/>
      <c r="M6895" s="33"/>
      <c r="N6895" s="33"/>
      <c r="O6895" s="33"/>
      <c r="P6895" s="33"/>
      <c r="Q6895" s="33"/>
      <c r="R6895" s="33"/>
      <c r="S6895" s="33"/>
      <c r="T6895" s="33"/>
      <c r="U6895" s="33"/>
      <c r="V6895" s="33"/>
      <c r="W6895" s="33"/>
      <c r="X6895" s="33"/>
      <c r="Y6895" s="33"/>
      <c r="Z6895" s="33"/>
      <c r="AA6895" s="33"/>
      <c r="AB6895" s="33"/>
      <c r="AC6895" s="33"/>
      <c r="AD6895" s="33"/>
      <c r="AE6895" s="33"/>
      <c r="AF6895" s="33"/>
      <c r="AG6895" s="33"/>
      <c r="AH6895" s="33"/>
      <c r="AI6895" s="33"/>
      <c r="AJ6895" s="33"/>
      <c r="AK6895" s="33"/>
    </row>
    <row r="6896">
      <c r="A6896" s="33"/>
      <c r="B6896" s="33"/>
      <c r="C6896" s="33"/>
      <c r="D6896" s="33"/>
      <c r="E6896" s="33"/>
      <c r="F6896" s="33"/>
      <c r="G6896" s="33"/>
      <c r="H6896" s="33"/>
      <c r="I6896" s="33"/>
      <c r="J6896" s="33"/>
      <c r="K6896" s="33"/>
      <c r="L6896" s="33"/>
      <c r="M6896" s="33"/>
      <c r="N6896" s="33"/>
      <c r="O6896" s="33"/>
      <c r="P6896" s="33"/>
      <c r="Q6896" s="33"/>
      <c r="R6896" s="33"/>
      <c r="S6896" s="33"/>
      <c r="T6896" s="33"/>
      <c r="U6896" s="33"/>
      <c r="V6896" s="33"/>
      <c r="W6896" s="33"/>
      <c r="X6896" s="33"/>
      <c r="Y6896" s="33"/>
      <c r="Z6896" s="33"/>
      <c r="AA6896" s="33"/>
      <c r="AB6896" s="33"/>
      <c r="AC6896" s="33"/>
      <c r="AD6896" s="33"/>
      <c r="AE6896" s="33"/>
      <c r="AF6896" s="33"/>
      <c r="AG6896" s="33"/>
      <c r="AH6896" s="33"/>
      <c r="AI6896" s="33"/>
      <c r="AJ6896" s="33"/>
      <c r="AK6896" s="33"/>
    </row>
    <row r="6897">
      <c r="A6897" s="33"/>
      <c r="B6897" s="33"/>
      <c r="C6897" s="33"/>
      <c r="D6897" s="33"/>
      <c r="E6897" s="33"/>
      <c r="F6897" s="33"/>
      <c r="G6897" s="33"/>
      <c r="H6897" s="33"/>
      <c r="I6897" s="33"/>
      <c r="J6897" s="33"/>
      <c r="K6897" s="33"/>
      <c r="L6897" s="33"/>
      <c r="M6897" s="33"/>
      <c r="N6897" s="33"/>
      <c r="O6897" s="33"/>
      <c r="P6897" s="33"/>
      <c r="Q6897" s="33"/>
      <c r="R6897" s="33"/>
      <c r="S6897" s="33"/>
      <c r="T6897" s="33"/>
      <c r="U6897" s="33"/>
      <c r="V6897" s="33"/>
      <c r="W6897" s="33"/>
      <c r="X6897" s="33"/>
      <c r="Y6897" s="33"/>
      <c r="Z6897" s="33"/>
      <c r="AA6897" s="33"/>
      <c r="AB6897" s="33"/>
      <c r="AC6897" s="33"/>
      <c r="AD6897" s="33"/>
      <c r="AE6897" s="33"/>
      <c r="AF6897" s="33"/>
      <c r="AG6897" s="33"/>
      <c r="AH6897" s="33"/>
      <c r="AI6897" s="33"/>
      <c r="AJ6897" s="33"/>
      <c r="AK6897" s="33"/>
    </row>
    <row r="6898">
      <c r="A6898" s="33"/>
      <c r="B6898" s="33"/>
      <c r="C6898" s="33"/>
      <c r="D6898" s="33"/>
      <c r="E6898" s="33"/>
      <c r="F6898" s="33"/>
      <c r="G6898" s="33"/>
      <c r="H6898" s="33"/>
      <c r="I6898" s="33"/>
      <c r="J6898" s="33"/>
      <c r="K6898" s="33"/>
      <c r="L6898" s="33"/>
      <c r="M6898" s="33"/>
      <c r="N6898" s="33"/>
      <c r="O6898" s="33"/>
      <c r="P6898" s="33"/>
      <c r="Q6898" s="33"/>
      <c r="R6898" s="33"/>
      <c r="S6898" s="33"/>
      <c r="T6898" s="33"/>
      <c r="U6898" s="33"/>
      <c r="V6898" s="33"/>
      <c r="W6898" s="33"/>
      <c r="X6898" s="33"/>
      <c r="Y6898" s="33"/>
      <c r="Z6898" s="33"/>
      <c r="AA6898" s="33"/>
      <c r="AB6898" s="33"/>
      <c r="AC6898" s="33"/>
      <c r="AD6898" s="33"/>
      <c r="AE6898" s="33"/>
      <c r="AF6898" s="33"/>
      <c r="AG6898" s="33"/>
      <c r="AH6898" s="33"/>
      <c r="AI6898" s="33"/>
      <c r="AJ6898" s="33"/>
      <c r="AK6898" s="33"/>
    </row>
    <row r="6899">
      <c r="A6899" s="33"/>
      <c r="B6899" s="33"/>
      <c r="C6899" s="33"/>
      <c r="D6899" s="33"/>
      <c r="E6899" s="33"/>
      <c r="F6899" s="33"/>
      <c r="G6899" s="33"/>
      <c r="H6899" s="33"/>
      <c r="I6899" s="33"/>
      <c r="J6899" s="33"/>
      <c r="K6899" s="33"/>
      <c r="L6899" s="33"/>
      <c r="M6899" s="33"/>
      <c r="N6899" s="33"/>
      <c r="O6899" s="33"/>
      <c r="P6899" s="33"/>
      <c r="Q6899" s="33"/>
      <c r="R6899" s="33"/>
      <c r="S6899" s="33"/>
      <c r="T6899" s="33"/>
      <c r="U6899" s="33"/>
      <c r="V6899" s="33"/>
      <c r="W6899" s="33"/>
      <c r="X6899" s="33"/>
      <c r="Y6899" s="33"/>
      <c r="Z6899" s="33"/>
      <c r="AA6899" s="33"/>
      <c r="AB6899" s="33"/>
      <c r="AC6899" s="33"/>
      <c r="AD6899" s="33"/>
      <c r="AE6899" s="33"/>
      <c r="AF6899" s="33"/>
      <c r="AG6899" s="33"/>
      <c r="AH6899" s="33"/>
      <c r="AI6899" s="33"/>
      <c r="AJ6899" s="33"/>
      <c r="AK6899" s="33"/>
    </row>
    <row r="6900">
      <c r="A6900" s="33"/>
      <c r="B6900" s="33"/>
      <c r="C6900" s="33"/>
      <c r="D6900" s="33"/>
      <c r="E6900" s="33"/>
      <c r="F6900" s="33"/>
      <c r="G6900" s="33"/>
      <c r="H6900" s="33"/>
      <c r="I6900" s="33"/>
      <c r="J6900" s="33"/>
      <c r="K6900" s="33"/>
      <c r="L6900" s="33"/>
      <c r="M6900" s="33"/>
      <c r="N6900" s="33"/>
      <c r="O6900" s="33"/>
      <c r="P6900" s="33"/>
      <c r="Q6900" s="33"/>
      <c r="R6900" s="33"/>
      <c r="S6900" s="33"/>
      <c r="T6900" s="33"/>
      <c r="U6900" s="33"/>
      <c r="V6900" s="33"/>
      <c r="W6900" s="33"/>
      <c r="X6900" s="33"/>
      <c r="Y6900" s="33"/>
      <c r="Z6900" s="33"/>
      <c r="AA6900" s="33"/>
      <c r="AB6900" s="33"/>
      <c r="AC6900" s="33"/>
      <c r="AD6900" s="33"/>
      <c r="AE6900" s="33"/>
      <c r="AF6900" s="33"/>
      <c r="AG6900" s="33"/>
      <c r="AH6900" s="33"/>
      <c r="AI6900" s="33"/>
      <c r="AJ6900" s="33"/>
      <c r="AK6900" s="33"/>
    </row>
    <row r="6901">
      <c r="A6901" s="33"/>
      <c r="B6901" s="33"/>
      <c r="C6901" s="33"/>
      <c r="D6901" s="33"/>
      <c r="E6901" s="33"/>
      <c r="F6901" s="33"/>
      <c r="G6901" s="33"/>
      <c r="H6901" s="33"/>
      <c r="I6901" s="33"/>
      <c r="J6901" s="33"/>
      <c r="K6901" s="33"/>
      <c r="L6901" s="33"/>
      <c r="M6901" s="33"/>
      <c r="N6901" s="33"/>
      <c r="O6901" s="33"/>
      <c r="P6901" s="33"/>
      <c r="Q6901" s="33"/>
      <c r="R6901" s="33"/>
      <c r="S6901" s="33"/>
      <c r="T6901" s="33"/>
      <c r="U6901" s="33"/>
      <c r="V6901" s="33"/>
      <c r="W6901" s="33"/>
      <c r="X6901" s="33"/>
      <c r="Y6901" s="33"/>
      <c r="Z6901" s="33"/>
      <c r="AA6901" s="33"/>
      <c r="AB6901" s="33"/>
      <c r="AC6901" s="33"/>
      <c r="AD6901" s="33"/>
      <c r="AE6901" s="33"/>
      <c r="AF6901" s="33"/>
      <c r="AG6901" s="33"/>
      <c r="AH6901" s="33"/>
      <c r="AI6901" s="33"/>
      <c r="AJ6901" s="33"/>
      <c r="AK6901" s="33"/>
    </row>
    <row r="6902">
      <c r="A6902" s="33"/>
      <c r="B6902" s="33"/>
      <c r="C6902" s="33"/>
      <c r="D6902" s="33"/>
      <c r="E6902" s="33"/>
      <c r="F6902" s="33"/>
      <c r="G6902" s="33"/>
      <c r="H6902" s="33"/>
      <c r="I6902" s="33"/>
      <c r="J6902" s="33"/>
      <c r="K6902" s="33"/>
      <c r="L6902" s="33"/>
      <c r="M6902" s="33"/>
      <c r="N6902" s="33"/>
      <c r="O6902" s="33"/>
      <c r="P6902" s="33"/>
      <c r="Q6902" s="33"/>
      <c r="R6902" s="33"/>
      <c r="S6902" s="33"/>
      <c r="T6902" s="33"/>
      <c r="U6902" s="33"/>
      <c r="V6902" s="33"/>
      <c r="W6902" s="33"/>
      <c r="X6902" s="33"/>
      <c r="Y6902" s="33"/>
      <c r="Z6902" s="33"/>
      <c r="AA6902" s="33"/>
      <c r="AB6902" s="33"/>
      <c r="AC6902" s="33"/>
      <c r="AD6902" s="33"/>
      <c r="AE6902" s="33"/>
      <c r="AF6902" s="33"/>
      <c r="AG6902" s="33"/>
      <c r="AH6902" s="33"/>
      <c r="AI6902" s="33"/>
      <c r="AJ6902" s="33"/>
      <c r="AK6902" s="33"/>
    </row>
    <row r="6903">
      <c r="A6903" s="33"/>
      <c r="B6903" s="33"/>
      <c r="C6903" s="33"/>
      <c r="D6903" s="33"/>
      <c r="E6903" s="33"/>
      <c r="F6903" s="33"/>
      <c r="G6903" s="33"/>
      <c r="H6903" s="33"/>
      <c r="I6903" s="33"/>
      <c r="J6903" s="33"/>
      <c r="K6903" s="33"/>
      <c r="L6903" s="33"/>
      <c r="M6903" s="33"/>
      <c r="N6903" s="33"/>
      <c r="O6903" s="33"/>
      <c r="P6903" s="33"/>
      <c r="Q6903" s="33"/>
      <c r="R6903" s="33"/>
      <c r="S6903" s="33"/>
      <c r="T6903" s="33"/>
      <c r="U6903" s="33"/>
      <c r="V6903" s="33"/>
      <c r="W6903" s="33"/>
      <c r="X6903" s="33"/>
      <c r="Y6903" s="33"/>
      <c r="Z6903" s="33"/>
      <c r="AA6903" s="33"/>
      <c r="AB6903" s="33"/>
      <c r="AC6903" s="33"/>
      <c r="AD6903" s="33"/>
      <c r="AE6903" s="33"/>
      <c r="AF6903" s="33"/>
      <c r="AG6903" s="33"/>
      <c r="AH6903" s="33"/>
      <c r="AI6903" s="33"/>
      <c r="AJ6903" s="33"/>
      <c r="AK6903" s="33"/>
    </row>
    <row r="6904">
      <c r="A6904" s="33"/>
      <c r="B6904" s="33"/>
      <c r="C6904" s="33"/>
      <c r="D6904" s="33"/>
      <c r="E6904" s="33"/>
      <c r="F6904" s="33"/>
      <c r="G6904" s="33"/>
      <c r="H6904" s="33"/>
      <c r="I6904" s="33"/>
      <c r="J6904" s="33"/>
      <c r="K6904" s="33"/>
      <c r="L6904" s="33"/>
      <c r="M6904" s="33"/>
      <c r="N6904" s="33"/>
      <c r="O6904" s="33"/>
      <c r="P6904" s="33"/>
      <c r="Q6904" s="33"/>
      <c r="R6904" s="33"/>
      <c r="S6904" s="33"/>
      <c r="T6904" s="33"/>
      <c r="U6904" s="33"/>
      <c r="V6904" s="33"/>
      <c r="W6904" s="33"/>
      <c r="X6904" s="33"/>
      <c r="Y6904" s="33"/>
      <c r="Z6904" s="33"/>
      <c r="AA6904" s="33"/>
      <c r="AB6904" s="33"/>
      <c r="AC6904" s="33"/>
      <c r="AD6904" s="33"/>
      <c r="AE6904" s="33"/>
      <c r="AF6904" s="33"/>
      <c r="AG6904" s="33"/>
      <c r="AH6904" s="33"/>
      <c r="AI6904" s="33"/>
      <c r="AJ6904" s="33"/>
      <c r="AK6904" s="33"/>
    </row>
    <row r="6905">
      <c r="A6905" s="33"/>
      <c r="B6905" s="33"/>
      <c r="C6905" s="33"/>
      <c r="D6905" s="33"/>
      <c r="E6905" s="33"/>
      <c r="F6905" s="33"/>
      <c r="G6905" s="33"/>
      <c r="H6905" s="33"/>
      <c r="I6905" s="33"/>
      <c r="J6905" s="33"/>
      <c r="K6905" s="33"/>
      <c r="L6905" s="33"/>
      <c r="M6905" s="33"/>
      <c r="N6905" s="33"/>
      <c r="O6905" s="33"/>
      <c r="P6905" s="33"/>
      <c r="Q6905" s="33"/>
      <c r="R6905" s="33"/>
      <c r="S6905" s="33"/>
      <c r="T6905" s="33"/>
      <c r="U6905" s="33"/>
      <c r="V6905" s="33"/>
      <c r="W6905" s="33"/>
      <c r="X6905" s="33"/>
      <c r="Y6905" s="33"/>
      <c r="Z6905" s="33"/>
      <c r="AA6905" s="33"/>
      <c r="AB6905" s="33"/>
      <c r="AC6905" s="33"/>
      <c r="AD6905" s="33"/>
      <c r="AE6905" s="33"/>
      <c r="AF6905" s="33"/>
      <c r="AG6905" s="33"/>
      <c r="AH6905" s="33"/>
      <c r="AI6905" s="33"/>
      <c r="AJ6905" s="33"/>
      <c r="AK6905" s="33"/>
    </row>
    <row r="6906">
      <c r="A6906" s="33"/>
      <c r="B6906" s="33"/>
      <c r="C6906" s="33"/>
      <c r="D6906" s="33"/>
      <c r="E6906" s="33"/>
      <c r="F6906" s="33"/>
      <c r="G6906" s="33"/>
      <c r="H6906" s="33"/>
      <c r="I6906" s="33"/>
      <c r="J6906" s="33"/>
      <c r="K6906" s="33"/>
      <c r="L6906" s="33"/>
      <c r="M6906" s="33"/>
      <c r="N6906" s="33"/>
      <c r="O6906" s="33"/>
      <c r="P6906" s="33"/>
      <c r="Q6906" s="33"/>
      <c r="R6906" s="33"/>
      <c r="S6906" s="33"/>
      <c r="T6906" s="33"/>
      <c r="U6906" s="33"/>
      <c r="V6906" s="33"/>
      <c r="W6906" s="33"/>
      <c r="X6906" s="33"/>
      <c r="Y6906" s="33"/>
      <c r="Z6906" s="33"/>
      <c r="AA6906" s="33"/>
      <c r="AB6906" s="33"/>
      <c r="AC6906" s="33"/>
      <c r="AD6906" s="33"/>
      <c r="AE6906" s="33"/>
      <c r="AF6906" s="33"/>
      <c r="AG6906" s="33"/>
      <c r="AH6906" s="33"/>
      <c r="AI6906" s="33"/>
      <c r="AJ6906" s="33"/>
      <c r="AK6906" s="33"/>
    </row>
    <row r="6907">
      <c r="A6907" s="33"/>
      <c r="B6907" s="33"/>
      <c r="C6907" s="33"/>
      <c r="D6907" s="33"/>
      <c r="E6907" s="33"/>
      <c r="F6907" s="33"/>
      <c r="G6907" s="33"/>
      <c r="H6907" s="33"/>
      <c r="I6907" s="33"/>
      <c r="J6907" s="33"/>
      <c r="K6907" s="33"/>
      <c r="L6907" s="33"/>
      <c r="M6907" s="33"/>
      <c r="N6907" s="33"/>
      <c r="O6907" s="33"/>
      <c r="P6907" s="33"/>
      <c r="Q6907" s="33"/>
      <c r="R6907" s="33"/>
      <c r="S6907" s="33"/>
      <c r="T6907" s="33"/>
      <c r="U6907" s="33"/>
      <c r="V6907" s="33"/>
      <c r="W6907" s="33"/>
      <c r="X6907" s="33"/>
      <c r="Y6907" s="33"/>
      <c r="Z6907" s="33"/>
      <c r="AA6907" s="33"/>
      <c r="AB6907" s="33"/>
      <c r="AC6907" s="33"/>
      <c r="AD6907" s="33"/>
      <c r="AE6907" s="33"/>
      <c r="AF6907" s="33"/>
      <c r="AG6907" s="33"/>
      <c r="AH6907" s="33"/>
      <c r="AI6907" s="33"/>
      <c r="AJ6907" s="33"/>
      <c r="AK6907" s="33"/>
    </row>
    <row r="6908">
      <c r="A6908" s="33"/>
      <c r="B6908" s="33"/>
      <c r="C6908" s="33"/>
      <c r="D6908" s="33"/>
      <c r="E6908" s="33"/>
      <c r="F6908" s="33"/>
      <c r="G6908" s="33"/>
      <c r="H6908" s="33"/>
      <c r="I6908" s="33"/>
      <c r="J6908" s="33"/>
      <c r="K6908" s="33"/>
      <c r="L6908" s="33"/>
      <c r="M6908" s="33"/>
      <c r="N6908" s="33"/>
      <c r="O6908" s="33"/>
      <c r="P6908" s="33"/>
      <c r="Q6908" s="33"/>
      <c r="R6908" s="33"/>
      <c r="S6908" s="33"/>
      <c r="T6908" s="33"/>
      <c r="U6908" s="33"/>
      <c r="V6908" s="33"/>
      <c r="W6908" s="33"/>
      <c r="X6908" s="33"/>
      <c r="Y6908" s="33"/>
      <c r="Z6908" s="33"/>
      <c r="AA6908" s="33"/>
      <c r="AB6908" s="33"/>
      <c r="AC6908" s="33"/>
      <c r="AD6908" s="33"/>
      <c r="AE6908" s="33"/>
      <c r="AF6908" s="33"/>
      <c r="AG6908" s="33"/>
      <c r="AH6908" s="33"/>
      <c r="AI6908" s="33"/>
      <c r="AJ6908" s="33"/>
      <c r="AK6908" s="33"/>
    </row>
    <row r="6909">
      <c r="A6909" s="33"/>
      <c r="B6909" s="33"/>
      <c r="C6909" s="33"/>
      <c r="D6909" s="33"/>
      <c r="E6909" s="33"/>
      <c r="F6909" s="33"/>
      <c r="G6909" s="33"/>
      <c r="H6909" s="33"/>
      <c r="I6909" s="33"/>
      <c r="J6909" s="33"/>
      <c r="K6909" s="33"/>
      <c r="L6909" s="33"/>
      <c r="M6909" s="33"/>
      <c r="N6909" s="33"/>
      <c r="O6909" s="33"/>
      <c r="P6909" s="33"/>
      <c r="Q6909" s="33"/>
      <c r="R6909" s="33"/>
      <c r="S6909" s="33"/>
      <c r="T6909" s="33"/>
      <c r="U6909" s="33"/>
      <c r="V6909" s="33"/>
      <c r="W6909" s="33"/>
      <c r="X6909" s="33"/>
      <c r="Y6909" s="33"/>
      <c r="Z6909" s="33"/>
      <c r="AA6909" s="33"/>
      <c r="AB6909" s="33"/>
      <c r="AC6909" s="33"/>
      <c r="AD6909" s="33"/>
      <c r="AE6909" s="33"/>
      <c r="AF6909" s="33"/>
      <c r="AG6909" s="33"/>
      <c r="AH6909" s="33"/>
      <c r="AI6909" s="33"/>
      <c r="AJ6909" s="33"/>
      <c r="AK6909" s="33"/>
    </row>
    <row r="6910">
      <c r="A6910" s="33"/>
      <c r="B6910" s="33"/>
      <c r="C6910" s="33"/>
      <c r="D6910" s="33"/>
      <c r="E6910" s="33"/>
      <c r="F6910" s="33"/>
      <c r="G6910" s="33"/>
      <c r="H6910" s="33"/>
      <c r="I6910" s="33"/>
      <c r="J6910" s="33"/>
      <c r="K6910" s="33"/>
      <c r="L6910" s="33"/>
      <c r="M6910" s="33"/>
      <c r="N6910" s="33"/>
      <c r="O6910" s="33"/>
      <c r="P6910" s="33"/>
      <c r="Q6910" s="33"/>
      <c r="R6910" s="33"/>
      <c r="S6910" s="33"/>
      <c r="T6910" s="33"/>
      <c r="U6910" s="33"/>
      <c r="V6910" s="33"/>
      <c r="W6910" s="33"/>
      <c r="X6910" s="33"/>
      <c r="Y6910" s="33"/>
      <c r="Z6910" s="33"/>
      <c r="AA6910" s="33"/>
      <c r="AB6910" s="33"/>
      <c r="AC6910" s="33"/>
      <c r="AD6910" s="33"/>
      <c r="AE6910" s="33"/>
      <c r="AF6910" s="33"/>
      <c r="AG6910" s="33"/>
      <c r="AH6910" s="33"/>
      <c r="AI6910" s="33"/>
      <c r="AJ6910" s="33"/>
      <c r="AK6910" s="33"/>
    </row>
    <row r="6911">
      <c r="A6911" s="33"/>
      <c r="B6911" s="33"/>
      <c r="C6911" s="33"/>
      <c r="D6911" s="33"/>
      <c r="E6911" s="33"/>
      <c r="F6911" s="33"/>
      <c r="G6911" s="33"/>
      <c r="H6911" s="33"/>
      <c r="I6911" s="33"/>
      <c r="J6911" s="33"/>
      <c r="K6911" s="33"/>
      <c r="L6911" s="33"/>
      <c r="M6911" s="33"/>
      <c r="N6911" s="33"/>
      <c r="O6911" s="33"/>
      <c r="P6911" s="33"/>
      <c r="Q6911" s="33"/>
      <c r="R6911" s="33"/>
      <c r="S6911" s="33"/>
      <c r="T6911" s="33"/>
      <c r="U6911" s="33"/>
      <c r="V6911" s="33"/>
      <c r="W6911" s="33"/>
      <c r="X6911" s="33"/>
      <c r="Y6911" s="33"/>
      <c r="Z6911" s="33"/>
      <c r="AA6911" s="33"/>
      <c r="AB6911" s="33"/>
      <c r="AC6911" s="33"/>
      <c r="AD6911" s="33"/>
      <c r="AE6911" s="33"/>
      <c r="AF6911" s="33"/>
      <c r="AG6911" s="33"/>
      <c r="AH6911" s="33"/>
      <c r="AI6911" s="33"/>
      <c r="AJ6911" s="33"/>
      <c r="AK6911" s="33"/>
    </row>
    <row r="6912">
      <c r="A6912" s="33"/>
      <c r="B6912" s="33"/>
      <c r="C6912" s="33"/>
      <c r="D6912" s="33"/>
      <c r="E6912" s="33"/>
      <c r="F6912" s="33"/>
      <c r="G6912" s="33"/>
      <c r="H6912" s="33"/>
      <c r="I6912" s="33"/>
      <c r="J6912" s="33"/>
      <c r="K6912" s="33"/>
      <c r="L6912" s="33"/>
      <c r="M6912" s="33"/>
      <c r="N6912" s="33"/>
      <c r="O6912" s="33"/>
      <c r="P6912" s="33"/>
      <c r="Q6912" s="33"/>
      <c r="R6912" s="33"/>
      <c r="S6912" s="33"/>
      <c r="T6912" s="33"/>
      <c r="U6912" s="33"/>
      <c r="V6912" s="33"/>
      <c r="W6912" s="33"/>
      <c r="X6912" s="33"/>
      <c r="Y6912" s="33"/>
      <c r="Z6912" s="33"/>
      <c r="AA6912" s="33"/>
      <c r="AB6912" s="33"/>
      <c r="AC6912" s="33"/>
      <c r="AD6912" s="33"/>
      <c r="AE6912" s="33"/>
      <c r="AF6912" s="33"/>
      <c r="AG6912" s="33"/>
      <c r="AH6912" s="33"/>
      <c r="AI6912" s="33"/>
      <c r="AJ6912" s="33"/>
      <c r="AK6912" s="33"/>
    </row>
    <row r="6913">
      <c r="A6913" s="33"/>
      <c r="B6913" s="33"/>
      <c r="C6913" s="33"/>
      <c r="D6913" s="33"/>
      <c r="E6913" s="33"/>
      <c r="F6913" s="33"/>
      <c r="G6913" s="33"/>
      <c r="H6913" s="33"/>
      <c r="I6913" s="33"/>
      <c r="J6913" s="33"/>
      <c r="K6913" s="33"/>
      <c r="L6913" s="33"/>
      <c r="M6913" s="33"/>
      <c r="N6913" s="33"/>
      <c r="O6913" s="33"/>
      <c r="P6913" s="33"/>
      <c r="Q6913" s="33"/>
      <c r="R6913" s="33"/>
      <c r="S6913" s="33"/>
      <c r="T6913" s="33"/>
      <c r="U6913" s="33"/>
      <c r="V6913" s="33"/>
      <c r="W6913" s="33"/>
      <c r="X6913" s="33"/>
      <c r="Y6913" s="33"/>
      <c r="Z6913" s="33"/>
      <c r="AA6913" s="33"/>
      <c r="AB6913" s="33"/>
      <c r="AC6913" s="33"/>
      <c r="AD6913" s="33"/>
      <c r="AE6913" s="33"/>
      <c r="AF6913" s="33"/>
      <c r="AG6913" s="33"/>
      <c r="AH6913" s="33"/>
      <c r="AI6913" s="33"/>
      <c r="AJ6913" s="33"/>
      <c r="AK6913" s="33"/>
    </row>
    <row r="6914">
      <c r="A6914" s="33"/>
      <c r="B6914" s="33"/>
      <c r="C6914" s="33"/>
      <c r="D6914" s="33"/>
      <c r="E6914" s="33"/>
      <c r="F6914" s="33"/>
      <c r="G6914" s="33"/>
      <c r="H6914" s="33"/>
      <c r="I6914" s="33"/>
      <c r="J6914" s="33"/>
      <c r="K6914" s="33"/>
      <c r="L6914" s="33"/>
      <c r="M6914" s="33"/>
      <c r="N6914" s="33"/>
      <c r="O6914" s="33"/>
      <c r="P6914" s="33"/>
      <c r="Q6914" s="33"/>
      <c r="R6914" s="33"/>
      <c r="S6914" s="33"/>
      <c r="T6914" s="33"/>
      <c r="U6914" s="33"/>
      <c r="V6914" s="33"/>
      <c r="W6914" s="33"/>
      <c r="X6914" s="33"/>
      <c r="Y6914" s="33"/>
      <c r="Z6914" s="33"/>
      <c r="AA6914" s="33"/>
      <c r="AB6914" s="33"/>
      <c r="AC6914" s="33"/>
      <c r="AD6914" s="33"/>
      <c r="AE6914" s="33"/>
      <c r="AF6914" s="33"/>
      <c r="AG6914" s="33"/>
      <c r="AH6914" s="33"/>
      <c r="AI6914" s="33"/>
      <c r="AJ6914" s="33"/>
      <c r="AK6914" s="33"/>
    </row>
    <row r="6915">
      <c r="A6915" s="33"/>
      <c r="B6915" s="33"/>
      <c r="C6915" s="33"/>
      <c r="D6915" s="33"/>
      <c r="E6915" s="33"/>
      <c r="F6915" s="33"/>
      <c r="G6915" s="33"/>
      <c r="H6915" s="33"/>
      <c r="I6915" s="33"/>
      <c r="J6915" s="33"/>
      <c r="K6915" s="33"/>
      <c r="L6915" s="33"/>
      <c r="M6915" s="33"/>
      <c r="N6915" s="33"/>
      <c r="O6915" s="33"/>
      <c r="P6915" s="33"/>
      <c r="Q6915" s="33"/>
      <c r="R6915" s="33"/>
      <c r="S6915" s="33"/>
      <c r="T6915" s="33"/>
      <c r="U6915" s="33"/>
      <c r="V6915" s="33"/>
      <c r="W6915" s="33"/>
      <c r="X6915" s="33"/>
      <c r="Y6915" s="33"/>
      <c r="Z6915" s="33"/>
      <c r="AA6915" s="33"/>
      <c r="AB6915" s="33"/>
      <c r="AC6915" s="33"/>
      <c r="AD6915" s="33"/>
      <c r="AE6915" s="33"/>
      <c r="AF6915" s="33"/>
      <c r="AG6915" s="33"/>
      <c r="AH6915" s="33"/>
      <c r="AI6915" s="33"/>
      <c r="AJ6915" s="33"/>
      <c r="AK6915" s="33"/>
    </row>
    <row r="6916">
      <c r="A6916" s="33"/>
      <c r="B6916" s="33"/>
      <c r="C6916" s="33"/>
      <c r="D6916" s="33"/>
      <c r="E6916" s="33"/>
      <c r="F6916" s="33"/>
      <c r="G6916" s="33"/>
      <c r="H6916" s="33"/>
      <c r="I6916" s="33"/>
      <c r="J6916" s="33"/>
      <c r="K6916" s="33"/>
      <c r="L6916" s="33"/>
      <c r="M6916" s="33"/>
      <c r="N6916" s="33"/>
      <c r="O6916" s="33"/>
      <c r="P6916" s="33"/>
      <c r="Q6916" s="33"/>
      <c r="R6916" s="33"/>
      <c r="S6916" s="33"/>
      <c r="T6916" s="33"/>
      <c r="U6916" s="33"/>
      <c r="V6916" s="33"/>
      <c r="W6916" s="33"/>
      <c r="X6916" s="33"/>
      <c r="Y6916" s="33"/>
      <c r="Z6916" s="33"/>
      <c r="AA6916" s="33"/>
      <c r="AB6916" s="33"/>
      <c r="AC6916" s="33"/>
      <c r="AD6916" s="33"/>
      <c r="AE6916" s="33"/>
      <c r="AF6916" s="33"/>
      <c r="AG6916" s="33"/>
      <c r="AH6916" s="33"/>
      <c r="AI6916" s="33"/>
      <c r="AJ6916" s="33"/>
      <c r="AK6916" s="33"/>
    </row>
    <row r="6917">
      <c r="A6917" s="33"/>
      <c r="B6917" s="33"/>
      <c r="C6917" s="33"/>
      <c r="D6917" s="33"/>
      <c r="E6917" s="33"/>
      <c r="F6917" s="33"/>
      <c r="G6917" s="33"/>
      <c r="H6917" s="33"/>
      <c r="I6917" s="33"/>
      <c r="J6917" s="33"/>
      <c r="K6917" s="33"/>
      <c r="L6917" s="33"/>
      <c r="M6917" s="33"/>
      <c r="N6917" s="33"/>
      <c r="O6917" s="33"/>
      <c r="P6917" s="33"/>
      <c r="Q6917" s="33"/>
      <c r="R6917" s="33"/>
      <c r="S6917" s="33"/>
      <c r="T6917" s="33"/>
      <c r="U6917" s="33"/>
      <c r="V6917" s="33"/>
      <c r="W6917" s="33"/>
      <c r="X6917" s="33"/>
      <c r="Y6917" s="33"/>
      <c r="Z6917" s="33"/>
      <c r="AA6917" s="33"/>
      <c r="AB6917" s="33"/>
      <c r="AC6917" s="33"/>
      <c r="AD6917" s="33"/>
      <c r="AE6917" s="33"/>
      <c r="AF6917" s="33"/>
      <c r="AG6917" s="33"/>
      <c r="AH6917" s="33"/>
      <c r="AI6917" s="33"/>
      <c r="AJ6917" s="33"/>
      <c r="AK6917" s="33"/>
    </row>
    <row r="6918">
      <c r="A6918" s="33"/>
      <c r="B6918" s="33"/>
      <c r="C6918" s="33"/>
      <c r="D6918" s="33"/>
      <c r="E6918" s="33"/>
      <c r="F6918" s="33"/>
      <c r="G6918" s="33"/>
      <c r="H6918" s="33"/>
      <c r="I6918" s="33"/>
      <c r="J6918" s="33"/>
      <c r="K6918" s="33"/>
      <c r="L6918" s="33"/>
      <c r="M6918" s="33"/>
      <c r="N6918" s="33"/>
      <c r="O6918" s="33"/>
      <c r="P6918" s="33"/>
      <c r="Q6918" s="33"/>
      <c r="R6918" s="33"/>
      <c r="S6918" s="33"/>
      <c r="T6918" s="33"/>
      <c r="U6918" s="33"/>
      <c r="V6918" s="33"/>
      <c r="W6918" s="33"/>
      <c r="X6918" s="33"/>
      <c r="Y6918" s="33"/>
      <c r="Z6918" s="33"/>
      <c r="AA6918" s="33"/>
      <c r="AB6918" s="33"/>
      <c r="AC6918" s="33"/>
      <c r="AD6918" s="33"/>
      <c r="AE6918" s="33"/>
      <c r="AF6918" s="33"/>
      <c r="AG6918" s="33"/>
      <c r="AH6918" s="33"/>
      <c r="AI6918" s="33"/>
      <c r="AJ6918" s="33"/>
      <c r="AK6918" s="33"/>
    </row>
    <row r="6919">
      <c r="A6919" s="33"/>
      <c r="B6919" s="33"/>
      <c r="C6919" s="33"/>
      <c r="D6919" s="33"/>
      <c r="E6919" s="33"/>
      <c r="F6919" s="33"/>
      <c r="G6919" s="33"/>
      <c r="H6919" s="33"/>
      <c r="I6919" s="33"/>
      <c r="J6919" s="33"/>
      <c r="K6919" s="33"/>
      <c r="L6919" s="33"/>
      <c r="M6919" s="33"/>
      <c r="N6919" s="33"/>
      <c r="O6919" s="33"/>
      <c r="P6919" s="33"/>
      <c r="Q6919" s="33"/>
      <c r="R6919" s="33"/>
      <c r="S6919" s="33"/>
      <c r="T6919" s="33"/>
      <c r="U6919" s="33"/>
      <c r="V6919" s="33"/>
      <c r="W6919" s="33"/>
      <c r="X6919" s="33"/>
      <c r="Y6919" s="33"/>
      <c r="Z6919" s="33"/>
      <c r="AA6919" s="33"/>
      <c r="AB6919" s="33"/>
      <c r="AC6919" s="33"/>
      <c r="AD6919" s="33"/>
      <c r="AE6919" s="33"/>
      <c r="AF6919" s="33"/>
      <c r="AG6919" s="33"/>
      <c r="AH6919" s="33"/>
      <c r="AI6919" s="33"/>
      <c r="AJ6919" s="33"/>
      <c r="AK6919" s="33"/>
    </row>
    <row r="6920">
      <c r="A6920" s="33"/>
      <c r="B6920" s="33"/>
      <c r="C6920" s="33"/>
      <c r="D6920" s="33"/>
      <c r="E6920" s="33"/>
      <c r="F6920" s="33"/>
      <c r="G6920" s="33"/>
      <c r="H6920" s="33"/>
      <c r="I6920" s="33"/>
      <c r="J6920" s="33"/>
      <c r="K6920" s="33"/>
      <c r="L6920" s="33"/>
      <c r="M6920" s="33"/>
      <c r="N6920" s="33"/>
      <c r="O6920" s="33"/>
      <c r="P6920" s="33"/>
      <c r="Q6920" s="33"/>
      <c r="R6920" s="33"/>
      <c r="S6920" s="33"/>
      <c r="T6920" s="33"/>
      <c r="U6920" s="33"/>
      <c r="V6920" s="33"/>
      <c r="W6920" s="33"/>
      <c r="X6920" s="33"/>
      <c r="Y6920" s="33"/>
      <c r="Z6920" s="33"/>
      <c r="AA6920" s="33"/>
      <c r="AB6920" s="33"/>
      <c r="AC6920" s="33"/>
      <c r="AD6920" s="33"/>
      <c r="AE6920" s="33"/>
      <c r="AF6920" s="33"/>
      <c r="AG6920" s="33"/>
      <c r="AH6920" s="33"/>
      <c r="AI6920" s="33"/>
      <c r="AJ6920" s="33"/>
      <c r="AK6920" s="33"/>
    </row>
    <row r="6921">
      <c r="A6921" s="33"/>
      <c r="B6921" s="33"/>
      <c r="C6921" s="33"/>
      <c r="D6921" s="33"/>
      <c r="E6921" s="33"/>
      <c r="F6921" s="33"/>
      <c r="G6921" s="33"/>
      <c r="H6921" s="33"/>
      <c r="I6921" s="33"/>
      <c r="J6921" s="33"/>
      <c r="K6921" s="33"/>
      <c r="L6921" s="33"/>
      <c r="M6921" s="33"/>
      <c r="N6921" s="33"/>
      <c r="O6921" s="33"/>
      <c r="P6921" s="33"/>
      <c r="Q6921" s="33"/>
      <c r="R6921" s="33"/>
      <c r="S6921" s="33"/>
      <c r="T6921" s="33"/>
      <c r="U6921" s="33"/>
      <c r="V6921" s="33"/>
      <c r="W6921" s="33"/>
      <c r="X6921" s="33"/>
      <c r="Y6921" s="33"/>
      <c r="Z6921" s="33"/>
      <c r="AA6921" s="33"/>
      <c r="AB6921" s="33"/>
      <c r="AC6921" s="33"/>
      <c r="AD6921" s="33"/>
      <c r="AE6921" s="33"/>
      <c r="AF6921" s="33"/>
      <c r="AG6921" s="33"/>
      <c r="AH6921" s="33"/>
      <c r="AI6921" s="33"/>
      <c r="AJ6921" s="33"/>
      <c r="AK6921" s="33"/>
    </row>
    <row r="6922">
      <c r="A6922" s="33"/>
      <c r="B6922" s="33"/>
      <c r="C6922" s="33"/>
      <c r="D6922" s="33"/>
      <c r="E6922" s="33"/>
      <c r="F6922" s="33"/>
      <c r="G6922" s="33"/>
      <c r="H6922" s="33"/>
      <c r="I6922" s="33"/>
      <c r="J6922" s="33"/>
      <c r="K6922" s="33"/>
      <c r="L6922" s="33"/>
      <c r="M6922" s="33"/>
      <c r="N6922" s="33"/>
      <c r="O6922" s="33"/>
      <c r="P6922" s="33"/>
      <c r="Q6922" s="33"/>
      <c r="R6922" s="33"/>
      <c r="S6922" s="33"/>
      <c r="T6922" s="33"/>
      <c r="U6922" s="33"/>
      <c r="V6922" s="33"/>
      <c r="W6922" s="33"/>
      <c r="X6922" s="33"/>
      <c r="Y6922" s="33"/>
      <c r="Z6922" s="33"/>
      <c r="AA6922" s="33"/>
      <c r="AB6922" s="33"/>
      <c r="AC6922" s="33"/>
      <c r="AD6922" s="33"/>
      <c r="AE6922" s="33"/>
      <c r="AF6922" s="33"/>
      <c r="AG6922" s="33"/>
      <c r="AH6922" s="33"/>
      <c r="AI6922" s="33"/>
      <c r="AJ6922" s="33"/>
      <c r="AK6922" s="33"/>
    </row>
    <row r="6923">
      <c r="A6923" s="33"/>
      <c r="B6923" s="33"/>
      <c r="C6923" s="33"/>
      <c r="D6923" s="33"/>
      <c r="E6923" s="33"/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33"/>
      <c r="Q6923" s="33"/>
      <c r="R6923" s="33"/>
      <c r="S6923" s="33"/>
      <c r="T6923" s="33"/>
      <c r="U6923" s="33"/>
      <c r="V6923" s="33"/>
      <c r="W6923" s="33"/>
      <c r="X6923" s="33"/>
      <c r="Y6923" s="33"/>
      <c r="Z6923" s="33"/>
      <c r="AA6923" s="33"/>
      <c r="AB6923" s="33"/>
      <c r="AC6923" s="33"/>
      <c r="AD6923" s="33"/>
      <c r="AE6923" s="33"/>
      <c r="AF6923" s="33"/>
      <c r="AG6923" s="33"/>
      <c r="AH6923" s="33"/>
      <c r="AI6923" s="33"/>
      <c r="AJ6923" s="33"/>
      <c r="AK6923" s="33"/>
    </row>
    <row r="6924">
      <c r="A6924" s="33"/>
      <c r="B6924" s="33"/>
      <c r="C6924" s="33"/>
      <c r="D6924" s="33"/>
      <c r="E6924" s="33"/>
      <c r="F6924" s="33"/>
      <c r="G6924" s="33"/>
      <c r="H6924" s="33"/>
      <c r="I6924" s="33"/>
      <c r="J6924" s="33"/>
      <c r="K6924" s="33"/>
      <c r="L6924" s="33"/>
      <c r="M6924" s="33"/>
      <c r="N6924" s="33"/>
      <c r="O6924" s="33"/>
      <c r="P6924" s="33"/>
      <c r="Q6924" s="33"/>
      <c r="R6924" s="33"/>
      <c r="S6924" s="33"/>
      <c r="T6924" s="33"/>
      <c r="U6924" s="33"/>
      <c r="V6924" s="33"/>
      <c r="W6924" s="33"/>
      <c r="X6924" s="33"/>
      <c r="Y6924" s="33"/>
      <c r="Z6924" s="33"/>
      <c r="AA6924" s="33"/>
      <c r="AB6924" s="33"/>
      <c r="AC6924" s="33"/>
      <c r="AD6924" s="33"/>
      <c r="AE6924" s="33"/>
      <c r="AF6924" s="33"/>
      <c r="AG6924" s="33"/>
      <c r="AH6924" s="33"/>
      <c r="AI6924" s="33"/>
      <c r="AJ6924" s="33"/>
      <c r="AK6924" s="33"/>
    </row>
    <row r="6925">
      <c r="A6925" s="33"/>
      <c r="B6925" s="33"/>
      <c r="C6925" s="33"/>
      <c r="D6925" s="33"/>
      <c r="E6925" s="33"/>
      <c r="F6925" s="33"/>
      <c r="G6925" s="33"/>
      <c r="H6925" s="33"/>
      <c r="I6925" s="33"/>
      <c r="J6925" s="33"/>
      <c r="K6925" s="33"/>
      <c r="L6925" s="33"/>
      <c r="M6925" s="33"/>
      <c r="N6925" s="33"/>
      <c r="O6925" s="33"/>
      <c r="P6925" s="33"/>
      <c r="Q6925" s="33"/>
      <c r="R6925" s="33"/>
      <c r="S6925" s="33"/>
      <c r="T6925" s="33"/>
      <c r="U6925" s="33"/>
      <c r="V6925" s="33"/>
      <c r="W6925" s="33"/>
      <c r="X6925" s="33"/>
      <c r="Y6925" s="33"/>
      <c r="Z6925" s="33"/>
      <c r="AA6925" s="33"/>
      <c r="AB6925" s="33"/>
      <c r="AC6925" s="33"/>
      <c r="AD6925" s="33"/>
      <c r="AE6925" s="33"/>
      <c r="AF6925" s="33"/>
      <c r="AG6925" s="33"/>
      <c r="AH6925" s="33"/>
      <c r="AI6925" s="33"/>
      <c r="AJ6925" s="33"/>
      <c r="AK6925" s="33"/>
    </row>
    <row r="6926">
      <c r="A6926" s="33"/>
      <c r="B6926" s="33"/>
      <c r="C6926" s="33"/>
      <c r="D6926" s="33"/>
      <c r="E6926" s="33"/>
      <c r="F6926" s="33"/>
      <c r="G6926" s="33"/>
      <c r="H6926" s="33"/>
      <c r="I6926" s="33"/>
      <c r="J6926" s="33"/>
      <c r="K6926" s="33"/>
      <c r="L6926" s="33"/>
      <c r="M6926" s="33"/>
      <c r="N6926" s="33"/>
      <c r="O6926" s="33"/>
      <c r="P6926" s="33"/>
      <c r="Q6926" s="33"/>
      <c r="R6926" s="33"/>
      <c r="S6926" s="33"/>
      <c r="T6926" s="33"/>
      <c r="U6926" s="33"/>
      <c r="V6926" s="33"/>
      <c r="W6926" s="33"/>
      <c r="X6926" s="33"/>
      <c r="Y6926" s="33"/>
      <c r="Z6926" s="33"/>
      <c r="AA6926" s="33"/>
      <c r="AB6926" s="33"/>
      <c r="AC6926" s="33"/>
      <c r="AD6926" s="33"/>
      <c r="AE6926" s="33"/>
      <c r="AF6926" s="33"/>
      <c r="AG6926" s="33"/>
      <c r="AH6926" s="33"/>
      <c r="AI6926" s="33"/>
      <c r="AJ6926" s="33"/>
      <c r="AK6926" s="33"/>
    </row>
    <row r="6927">
      <c r="A6927" s="33"/>
      <c r="B6927" s="33"/>
      <c r="C6927" s="33"/>
      <c r="D6927" s="33"/>
      <c r="E6927" s="33"/>
      <c r="F6927" s="33"/>
      <c r="G6927" s="33"/>
      <c r="H6927" s="33"/>
      <c r="I6927" s="33"/>
      <c r="J6927" s="33"/>
      <c r="K6927" s="33"/>
      <c r="L6927" s="33"/>
      <c r="M6927" s="33"/>
      <c r="N6927" s="33"/>
      <c r="O6927" s="33"/>
      <c r="P6927" s="33"/>
      <c r="Q6927" s="33"/>
      <c r="R6927" s="33"/>
      <c r="S6927" s="33"/>
      <c r="T6927" s="33"/>
      <c r="U6927" s="33"/>
      <c r="V6927" s="33"/>
      <c r="W6927" s="33"/>
      <c r="X6927" s="33"/>
      <c r="Y6927" s="33"/>
      <c r="Z6927" s="33"/>
      <c r="AA6927" s="33"/>
      <c r="AB6927" s="33"/>
      <c r="AC6927" s="33"/>
      <c r="AD6927" s="33"/>
      <c r="AE6927" s="33"/>
      <c r="AF6927" s="33"/>
      <c r="AG6927" s="33"/>
      <c r="AH6927" s="33"/>
      <c r="AI6927" s="33"/>
      <c r="AJ6927" s="33"/>
      <c r="AK6927" s="33"/>
    </row>
    <row r="6928">
      <c r="A6928" s="33"/>
      <c r="B6928" s="33"/>
      <c r="C6928" s="33"/>
      <c r="D6928" s="33"/>
      <c r="E6928" s="33"/>
      <c r="F6928" s="33"/>
      <c r="G6928" s="33"/>
      <c r="H6928" s="33"/>
      <c r="I6928" s="33"/>
      <c r="J6928" s="33"/>
      <c r="K6928" s="33"/>
      <c r="L6928" s="33"/>
      <c r="M6928" s="33"/>
      <c r="N6928" s="33"/>
      <c r="O6928" s="33"/>
      <c r="P6928" s="33"/>
      <c r="Q6928" s="33"/>
      <c r="R6928" s="33"/>
      <c r="S6928" s="33"/>
      <c r="T6928" s="33"/>
      <c r="U6928" s="33"/>
      <c r="V6928" s="33"/>
      <c r="W6928" s="33"/>
      <c r="X6928" s="33"/>
      <c r="Y6928" s="33"/>
      <c r="Z6928" s="33"/>
      <c r="AA6928" s="33"/>
      <c r="AB6928" s="33"/>
      <c r="AC6928" s="33"/>
      <c r="AD6928" s="33"/>
      <c r="AE6928" s="33"/>
      <c r="AF6928" s="33"/>
      <c r="AG6928" s="33"/>
      <c r="AH6928" s="33"/>
      <c r="AI6928" s="33"/>
      <c r="AJ6928" s="33"/>
      <c r="AK6928" s="33"/>
    </row>
    <row r="6929">
      <c r="A6929" s="33"/>
      <c r="B6929" s="33"/>
      <c r="C6929" s="33"/>
      <c r="D6929" s="33"/>
      <c r="E6929" s="33"/>
      <c r="F6929" s="33"/>
      <c r="G6929" s="33"/>
      <c r="H6929" s="33"/>
      <c r="I6929" s="33"/>
      <c r="J6929" s="33"/>
      <c r="K6929" s="33"/>
      <c r="L6929" s="33"/>
      <c r="M6929" s="33"/>
      <c r="N6929" s="33"/>
      <c r="O6929" s="33"/>
      <c r="P6929" s="33"/>
      <c r="Q6929" s="33"/>
      <c r="R6929" s="33"/>
      <c r="S6929" s="33"/>
      <c r="T6929" s="33"/>
      <c r="U6929" s="33"/>
      <c r="V6929" s="33"/>
      <c r="W6929" s="33"/>
      <c r="X6929" s="33"/>
      <c r="Y6929" s="33"/>
      <c r="Z6929" s="33"/>
      <c r="AA6929" s="33"/>
      <c r="AB6929" s="33"/>
      <c r="AC6929" s="33"/>
      <c r="AD6929" s="33"/>
      <c r="AE6929" s="33"/>
      <c r="AF6929" s="33"/>
      <c r="AG6929" s="33"/>
      <c r="AH6929" s="33"/>
      <c r="AI6929" s="33"/>
      <c r="AJ6929" s="33"/>
      <c r="AK6929" s="33"/>
    </row>
    <row r="6930">
      <c r="A6930" s="33"/>
      <c r="B6930" s="33"/>
      <c r="C6930" s="33"/>
      <c r="D6930" s="33"/>
      <c r="E6930" s="33"/>
      <c r="F6930" s="33"/>
      <c r="G6930" s="33"/>
      <c r="H6930" s="33"/>
      <c r="I6930" s="33"/>
      <c r="J6930" s="33"/>
      <c r="K6930" s="33"/>
      <c r="L6930" s="33"/>
      <c r="M6930" s="33"/>
      <c r="N6930" s="33"/>
      <c r="O6930" s="33"/>
      <c r="P6930" s="33"/>
      <c r="Q6930" s="33"/>
      <c r="R6930" s="33"/>
      <c r="S6930" s="33"/>
      <c r="T6930" s="33"/>
      <c r="U6930" s="33"/>
      <c r="V6930" s="33"/>
      <c r="W6930" s="33"/>
      <c r="X6930" s="33"/>
      <c r="Y6930" s="33"/>
      <c r="Z6930" s="33"/>
      <c r="AA6930" s="33"/>
      <c r="AB6930" s="33"/>
      <c r="AC6930" s="33"/>
      <c r="AD6930" s="33"/>
      <c r="AE6930" s="33"/>
      <c r="AF6930" s="33"/>
      <c r="AG6930" s="33"/>
      <c r="AH6930" s="33"/>
      <c r="AI6930" s="33"/>
      <c r="AJ6930" s="33"/>
      <c r="AK6930" s="33"/>
    </row>
    <row r="6931">
      <c r="A6931" s="33"/>
      <c r="B6931" s="33"/>
      <c r="C6931" s="33"/>
      <c r="D6931" s="33"/>
      <c r="E6931" s="33"/>
      <c r="F6931" s="33"/>
      <c r="G6931" s="33"/>
      <c r="H6931" s="33"/>
      <c r="I6931" s="33"/>
      <c r="J6931" s="33"/>
      <c r="K6931" s="33"/>
      <c r="L6931" s="33"/>
      <c r="M6931" s="33"/>
      <c r="N6931" s="33"/>
      <c r="O6931" s="33"/>
      <c r="P6931" s="33"/>
      <c r="Q6931" s="33"/>
      <c r="R6931" s="33"/>
      <c r="S6931" s="33"/>
      <c r="T6931" s="33"/>
      <c r="U6931" s="33"/>
      <c r="V6931" s="33"/>
      <c r="W6931" s="33"/>
      <c r="X6931" s="33"/>
      <c r="Y6931" s="33"/>
      <c r="Z6931" s="33"/>
      <c r="AA6931" s="33"/>
      <c r="AB6931" s="33"/>
      <c r="AC6931" s="33"/>
      <c r="AD6931" s="33"/>
      <c r="AE6931" s="33"/>
      <c r="AF6931" s="33"/>
      <c r="AG6931" s="33"/>
      <c r="AH6931" s="33"/>
      <c r="AI6931" s="33"/>
      <c r="AJ6931" s="33"/>
      <c r="AK6931" s="33"/>
    </row>
    <row r="6932">
      <c r="A6932" s="33"/>
      <c r="B6932" s="33"/>
      <c r="C6932" s="33"/>
      <c r="D6932" s="33"/>
      <c r="E6932" s="33"/>
      <c r="F6932" s="33"/>
      <c r="G6932" s="33"/>
      <c r="H6932" s="33"/>
      <c r="I6932" s="33"/>
      <c r="J6932" s="33"/>
      <c r="K6932" s="33"/>
      <c r="L6932" s="33"/>
      <c r="M6932" s="33"/>
      <c r="N6932" s="33"/>
      <c r="O6932" s="33"/>
      <c r="P6932" s="33"/>
      <c r="Q6932" s="33"/>
      <c r="R6932" s="33"/>
      <c r="S6932" s="33"/>
      <c r="T6932" s="33"/>
      <c r="U6932" s="33"/>
      <c r="V6932" s="33"/>
      <c r="W6932" s="33"/>
      <c r="X6932" s="33"/>
      <c r="Y6932" s="33"/>
      <c r="Z6932" s="33"/>
      <c r="AA6932" s="33"/>
      <c r="AB6932" s="33"/>
      <c r="AC6932" s="33"/>
      <c r="AD6932" s="33"/>
      <c r="AE6932" s="33"/>
      <c r="AF6932" s="33"/>
      <c r="AG6932" s="33"/>
      <c r="AH6932" s="33"/>
      <c r="AI6932" s="33"/>
      <c r="AJ6932" s="33"/>
      <c r="AK6932" s="33"/>
    </row>
    <row r="6933">
      <c r="A6933" s="33"/>
      <c r="B6933" s="33"/>
      <c r="C6933" s="33"/>
      <c r="D6933" s="33"/>
      <c r="E6933" s="33"/>
      <c r="F6933" s="33"/>
      <c r="G6933" s="33"/>
      <c r="H6933" s="33"/>
      <c r="I6933" s="33"/>
      <c r="J6933" s="33"/>
      <c r="K6933" s="33"/>
      <c r="L6933" s="33"/>
      <c r="M6933" s="33"/>
      <c r="N6933" s="33"/>
      <c r="O6933" s="33"/>
      <c r="P6933" s="33"/>
      <c r="Q6933" s="33"/>
      <c r="R6933" s="33"/>
      <c r="S6933" s="33"/>
      <c r="T6933" s="33"/>
      <c r="U6933" s="33"/>
      <c r="V6933" s="33"/>
      <c r="W6933" s="33"/>
      <c r="X6933" s="33"/>
      <c r="Y6933" s="33"/>
      <c r="Z6933" s="33"/>
      <c r="AA6933" s="33"/>
      <c r="AB6933" s="33"/>
      <c r="AC6933" s="33"/>
      <c r="AD6933" s="33"/>
      <c r="AE6933" s="33"/>
      <c r="AF6933" s="33"/>
      <c r="AG6933" s="33"/>
      <c r="AH6933" s="33"/>
      <c r="AI6933" s="33"/>
      <c r="AJ6933" s="33"/>
      <c r="AK6933" s="33"/>
    </row>
    <row r="6934">
      <c r="A6934" s="33"/>
      <c r="B6934" s="33"/>
      <c r="C6934" s="33"/>
      <c r="D6934" s="33"/>
      <c r="E6934" s="33"/>
      <c r="F6934" s="33"/>
      <c r="G6934" s="33"/>
      <c r="H6934" s="33"/>
      <c r="I6934" s="33"/>
      <c r="J6934" s="33"/>
      <c r="K6934" s="33"/>
      <c r="L6934" s="33"/>
      <c r="M6934" s="33"/>
      <c r="N6934" s="33"/>
      <c r="O6934" s="33"/>
      <c r="P6934" s="33"/>
      <c r="Q6934" s="33"/>
      <c r="R6934" s="33"/>
      <c r="S6934" s="33"/>
      <c r="T6934" s="33"/>
      <c r="U6934" s="33"/>
      <c r="V6934" s="33"/>
      <c r="W6934" s="33"/>
      <c r="X6934" s="33"/>
      <c r="Y6934" s="33"/>
      <c r="Z6934" s="33"/>
      <c r="AA6934" s="33"/>
      <c r="AB6934" s="33"/>
      <c r="AC6934" s="33"/>
      <c r="AD6934" s="33"/>
      <c r="AE6934" s="33"/>
      <c r="AF6934" s="33"/>
      <c r="AG6934" s="33"/>
      <c r="AH6934" s="33"/>
      <c r="AI6934" s="33"/>
      <c r="AJ6934" s="33"/>
      <c r="AK6934" s="33"/>
    </row>
    <row r="6935">
      <c r="A6935" s="33"/>
      <c r="B6935" s="33"/>
      <c r="C6935" s="33"/>
      <c r="D6935" s="33"/>
      <c r="E6935" s="33"/>
      <c r="F6935" s="33"/>
      <c r="G6935" s="33"/>
      <c r="H6935" s="33"/>
      <c r="I6935" s="33"/>
      <c r="J6935" s="33"/>
      <c r="K6935" s="33"/>
      <c r="L6935" s="33"/>
      <c r="M6935" s="33"/>
      <c r="N6935" s="33"/>
      <c r="O6935" s="33"/>
      <c r="P6935" s="33"/>
      <c r="Q6935" s="33"/>
      <c r="R6935" s="33"/>
      <c r="S6935" s="33"/>
      <c r="T6935" s="33"/>
      <c r="U6935" s="33"/>
      <c r="V6935" s="33"/>
      <c r="W6935" s="33"/>
      <c r="X6935" s="33"/>
      <c r="Y6935" s="33"/>
      <c r="Z6935" s="33"/>
      <c r="AA6935" s="33"/>
      <c r="AB6935" s="33"/>
      <c r="AC6935" s="33"/>
      <c r="AD6935" s="33"/>
      <c r="AE6935" s="33"/>
      <c r="AF6935" s="33"/>
      <c r="AG6935" s="33"/>
      <c r="AH6935" s="33"/>
      <c r="AI6935" s="33"/>
      <c r="AJ6935" s="33"/>
      <c r="AK6935" s="33"/>
    </row>
    <row r="6936">
      <c r="A6936" s="33"/>
      <c r="B6936" s="33"/>
      <c r="C6936" s="33"/>
      <c r="D6936" s="33"/>
      <c r="E6936" s="33"/>
      <c r="F6936" s="33"/>
      <c r="G6936" s="33"/>
      <c r="H6936" s="33"/>
      <c r="I6936" s="33"/>
      <c r="J6936" s="33"/>
      <c r="K6936" s="33"/>
      <c r="L6936" s="33"/>
      <c r="M6936" s="33"/>
      <c r="N6936" s="33"/>
      <c r="O6936" s="33"/>
      <c r="P6936" s="33"/>
      <c r="Q6936" s="33"/>
      <c r="R6936" s="33"/>
      <c r="S6936" s="33"/>
      <c r="T6936" s="33"/>
      <c r="U6936" s="33"/>
      <c r="V6936" s="33"/>
      <c r="W6936" s="33"/>
      <c r="X6936" s="33"/>
      <c r="Y6936" s="33"/>
      <c r="Z6936" s="33"/>
      <c r="AA6936" s="33"/>
      <c r="AB6936" s="33"/>
      <c r="AC6936" s="33"/>
      <c r="AD6936" s="33"/>
      <c r="AE6936" s="33"/>
      <c r="AF6936" s="33"/>
      <c r="AG6936" s="33"/>
      <c r="AH6936" s="33"/>
      <c r="AI6936" s="33"/>
      <c r="AJ6936" s="33"/>
      <c r="AK6936" s="33"/>
    </row>
    <row r="6937">
      <c r="A6937" s="33"/>
      <c r="B6937" s="33"/>
      <c r="C6937" s="33"/>
      <c r="D6937" s="33"/>
      <c r="E6937" s="33"/>
      <c r="F6937" s="33"/>
      <c r="G6937" s="33"/>
      <c r="H6937" s="33"/>
      <c r="I6937" s="33"/>
      <c r="J6937" s="33"/>
      <c r="K6937" s="33"/>
      <c r="L6937" s="33"/>
      <c r="M6937" s="33"/>
      <c r="N6937" s="33"/>
      <c r="O6937" s="33"/>
      <c r="P6937" s="33"/>
      <c r="Q6937" s="33"/>
      <c r="R6937" s="33"/>
      <c r="S6937" s="33"/>
      <c r="T6937" s="33"/>
      <c r="U6937" s="33"/>
      <c r="V6937" s="33"/>
      <c r="W6937" s="33"/>
      <c r="X6937" s="33"/>
      <c r="Y6937" s="33"/>
      <c r="Z6937" s="33"/>
      <c r="AA6937" s="33"/>
      <c r="AB6937" s="33"/>
      <c r="AC6937" s="33"/>
      <c r="AD6937" s="33"/>
      <c r="AE6937" s="33"/>
      <c r="AF6937" s="33"/>
      <c r="AG6937" s="33"/>
      <c r="AH6937" s="33"/>
      <c r="AI6937" s="33"/>
      <c r="AJ6937" s="33"/>
      <c r="AK6937" s="33"/>
    </row>
    <row r="6938">
      <c r="A6938" s="33"/>
      <c r="B6938" s="33"/>
      <c r="C6938" s="33"/>
      <c r="D6938" s="33"/>
      <c r="E6938" s="33"/>
      <c r="F6938" s="33"/>
      <c r="G6938" s="33"/>
      <c r="H6938" s="33"/>
      <c r="I6938" s="33"/>
      <c r="J6938" s="33"/>
      <c r="K6938" s="33"/>
      <c r="L6938" s="33"/>
      <c r="M6938" s="33"/>
      <c r="N6938" s="33"/>
      <c r="O6938" s="33"/>
      <c r="P6938" s="33"/>
      <c r="Q6938" s="33"/>
      <c r="R6938" s="33"/>
      <c r="S6938" s="33"/>
      <c r="T6938" s="33"/>
      <c r="U6938" s="33"/>
      <c r="V6938" s="33"/>
      <c r="W6938" s="33"/>
      <c r="X6938" s="33"/>
      <c r="Y6938" s="33"/>
      <c r="Z6938" s="33"/>
      <c r="AA6938" s="33"/>
      <c r="AB6938" s="33"/>
      <c r="AC6938" s="33"/>
      <c r="AD6938" s="33"/>
      <c r="AE6938" s="33"/>
      <c r="AF6938" s="33"/>
      <c r="AG6938" s="33"/>
      <c r="AH6938" s="33"/>
      <c r="AI6938" s="33"/>
      <c r="AJ6938" s="33"/>
      <c r="AK6938" s="33"/>
    </row>
    <row r="6939">
      <c r="A6939" s="33"/>
      <c r="B6939" s="33"/>
      <c r="C6939" s="33"/>
      <c r="D6939" s="33"/>
      <c r="E6939" s="33"/>
      <c r="F6939" s="33"/>
      <c r="G6939" s="33"/>
      <c r="H6939" s="33"/>
      <c r="I6939" s="33"/>
      <c r="J6939" s="33"/>
      <c r="K6939" s="33"/>
      <c r="L6939" s="33"/>
      <c r="M6939" s="33"/>
      <c r="N6939" s="33"/>
      <c r="O6939" s="33"/>
      <c r="P6939" s="33"/>
      <c r="Q6939" s="33"/>
      <c r="R6939" s="33"/>
      <c r="S6939" s="33"/>
      <c r="T6939" s="33"/>
      <c r="U6939" s="33"/>
      <c r="V6939" s="33"/>
      <c r="W6939" s="33"/>
      <c r="X6939" s="33"/>
      <c r="Y6939" s="33"/>
      <c r="Z6939" s="33"/>
      <c r="AA6939" s="33"/>
      <c r="AB6939" s="33"/>
      <c r="AC6939" s="33"/>
      <c r="AD6939" s="33"/>
      <c r="AE6939" s="33"/>
      <c r="AF6939" s="33"/>
      <c r="AG6939" s="33"/>
      <c r="AH6939" s="33"/>
      <c r="AI6939" s="33"/>
      <c r="AJ6939" s="33"/>
      <c r="AK6939" s="33"/>
    </row>
    <row r="6940">
      <c r="A6940" s="33"/>
      <c r="B6940" s="33"/>
      <c r="C6940" s="33"/>
      <c r="D6940" s="33"/>
      <c r="E6940" s="33"/>
      <c r="F6940" s="33"/>
      <c r="G6940" s="33"/>
      <c r="H6940" s="33"/>
      <c r="I6940" s="33"/>
      <c r="J6940" s="33"/>
      <c r="K6940" s="33"/>
      <c r="L6940" s="33"/>
      <c r="M6940" s="33"/>
      <c r="N6940" s="33"/>
      <c r="O6940" s="33"/>
      <c r="P6940" s="33"/>
      <c r="Q6940" s="33"/>
      <c r="R6940" s="33"/>
      <c r="S6940" s="33"/>
      <c r="T6940" s="33"/>
      <c r="U6940" s="33"/>
      <c r="V6940" s="33"/>
      <c r="W6940" s="33"/>
      <c r="X6940" s="33"/>
      <c r="Y6940" s="33"/>
      <c r="Z6940" s="33"/>
      <c r="AA6940" s="33"/>
      <c r="AB6940" s="33"/>
      <c r="AC6940" s="33"/>
      <c r="AD6940" s="33"/>
      <c r="AE6940" s="33"/>
      <c r="AF6940" s="33"/>
      <c r="AG6940" s="33"/>
      <c r="AH6940" s="33"/>
      <c r="AI6940" s="33"/>
      <c r="AJ6940" s="33"/>
      <c r="AK6940" s="33"/>
    </row>
    <row r="6941">
      <c r="A6941" s="33"/>
      <c r="B6941" s="33"/>
      <c r="C6941" s="33"/>
      <c r="D6941" s="33"/>
      <c r="E6941" s="33"/>
      <c r="F6941" s="33"/>
      <c r="G6941" s="33"/>
      <c r="H6941" s="33"/>
      <c r="I6941" s="33"/>
      <c r="J6941" s="33"/>
      <c r="K6941" s="33"/>
      <c r="L6941" s="33"/>
      <c r="M6941" s="33"/>
      <c r="N6941" s="33"/>
      <c r="O6941" s="33"/>
      <c r="P6941" s="33"/>
      <c r="Q6941" s="33"/>
      <c r="R6941" s="33"/>
      <c r="S6941" s="33"/>
      <c r="T6941" s="33"/>
      <c r="U6941" s="33"/>
      <c r="V6941" s="33"/>
      <c r="W6941" s="33"/>
      <c r="X6941" s="33"/>
      <c r="Y6941" s="33"/>
      <c r="Z6941" s="33"/>
      <c r="AA6941" s="33"/>
      <c r="AB6941" s="33"/>
      <c r="AC6941" s="33"/>
      <c r="AD6941" s="33"/>
      <c r="AE6941" s="33"/>
      <c r="AF6941" s="33"/>
      <c r="AG6941" s="33"/>
      <c r="AH6941" s="33"/>
      <c r="AI6941" s="33"/>
      <c r="AJ6941" s="33"/>
      <c r="AK6941" s="33"/>
    </row>
    <row r="6942">
      <c r="A6942" s="33"/>
      <c r="B6942" s="33"/>
      <c r="C6942" s="33"/>
      <c r="D6942" s="33"/>
      <c r="E6942" s="33"/>
      <c r="F6942" s="33"/>
      <c r="G6942" s="33"/>
      <c r="H6942" s="33"/>
      <c r="I6942" s="33"/>
      <c r="J6942" s="33"/>
      <c r="K6942" s="33"/>
      <c r="L6942" s="33"/>
      <c r="M6942" s="33"/>
      <c r="N6942" s="33"/>
      <c r="O6942" s="33"/>
      <c r="P6942" s="33"/>
      <c r="Q6942" s="33"/>
      <c r="R6942" s="33"/>
      <c r="S6942" s="33"/>
      <c r="T6942" s="33"/>
      <c r="U6942" s="33"/>
      <c r="V6942" s="33"/>
      <c r="W6942" s="33"/>
      <c r="X6942" s="33"/>
      <c r="Y6942" s="33"/>
      <c r="Z6942" s="33"/>
      <c r="AA6942" s="33"/>
      <c r="AB6942" s="33"/>
      <c r="AC6942" s="33"/>
      <c r="AD6942" s="33"/>
      <c r="AE6942" s="33"/>
      <c r="AF6942" s="33"/>
      <c r="AG6942" s="33"/>
      <c r="AH6942" s="33"/>
      <c r="AI6942" s="33"/>
      <c r="AJ6942" s="33"/>
      <c r="AK6942" s="33"/>
    </row>
    <row r="6943">
      <c r="A6943" s="33"/>
      <c r="B6943" s="33"/>
      <c r="C6943" s="33"/>
      <c r="D6943" s="33"/>
      <c r="E6943" s="33"/>
      <c r="F6943" s="33"/>
      <c r="G6943" s="33"/>
      <c r="H6943" s="33"/>
      <c r="I6943" s="33"/>
      <c r="J6943" s="33"/>
      <c r="K6943" s="33"/>
      <c r="L6943" s="33"/>
      <c r="M6943" s="33"/>
      <c r="N6943" s="33"/>
      <c r="O6943" s="33"/>
      <c r="P6943" s="33"/>
      <c r="Q6943" s="33"/>
      <c r="R6943" s="33"/>
      <c r="S6943" s="33"/>
      <c r="T6943" s="33"/>
      <c r="U6943" s="33"/>
      <c r="V6943" s="33"/>
      <c r="W6943" s="33"/>
      <c r="X6943" s="33"/>
      <c r="Y6943" s="33"/>
      <c r="Z6943" s="33"/>
      <c r="AA6943" s="33"/>
      <c r="AB6943" s="33"/>
      <c r="AC6943" s="33"/>
      <c r="AD6943" s="33"/>
      <c r="AE6943" s="33"/>
      <c r="AF6943" s="33"/>
      <c r="AG6943" s="33"/>
      <c r="AH6943" s="33"/>
      <c r="AI6943" s="33"/>
      <c r="AJ6943" s="33"/>
      <c r="AK6943" s="33"/>
    </row>
    <row r="6944">
      <c r="A6944" s="33"/>
      <c r="B6944" s="33"/>
      <c r="C6944" s="33"/>
      <c r="D6944" s="33"/>
      <c r="E6944" s="33"/>
      <c r="F6944" s="33"/>
      <c r="G6944" s="33"/>
      <c r="H6944" s="33"/>
      <c r="I6944" s="33"/>
      <c r="J6944" s="33"/>
      <c r="K6944" s="33"/>
      <c r="L6944" s="33"/>
      <c r="M6944" s="33"/>
      <c r="N6944" s="33"/>
      <c r="O6944" s="33"/>
      <c r="P6944" s="33"/>
      <c r="Q6944" s="33"/>
      <c r="R6944" s="33"/>
      <c r="S6944" s="33"/>
      <c r="T6944" s="33"/>
      <c r="U6944" s="33"/>
      <c r="V6944" s="33"/>
      <c r="W6944" s="33"/>
      <c r="X6944" s="33"/>
      <c r="Y6944" s="33"/>
      <c r="Z6944" s="33"/>
      <c r="AA6944" s="33"/>
      <c r="AB6944" s="33"/>
      <c r="AC6944" s="33"/>
      <c r="AD6944" s="33"/>
      <c r="AE6944" s="33"/>
      <c r="AF6944" s="33"/>
      <c r="AG6944" s="33"/>
      <c r="AH6944" s="33"/>
      <c r="AI6944" s="33"/>
      <c r="AJ6944" s="33"/>
      <c r="AK6944" s="33"/>
    </row>
    <row r="6945">
      <c r="A6945" s="33"/>
      <c r="B6945" s="33"/>
      <c r="C6945" s="33"/>
      <c r="D6945" s="33"/>
      <c r="E6945" s="33"/>
      <c r="F6945" s="33"/>
      <c r="G6945" s="33"/>
      <c r="H6945" s="33"/>
      <c r="I6945" s="33"/>
      <c r="J6945" s="33"/>
      <c r="K6945" s="33"/>
      <c r="L6945" s="33"/>
      <c r="M6945" s="33"/>
      <c r="N6945" s="33"/>
      <c r="O6945" s="33"/>
      <c r="P6945" s="33"/>
      <c r="Q6945" s="33"/>
      <c r="R6945" s="33"/>
      <c r="S6945" s="33"/>
      <c r="T6945" s="33"/>
      <c r="U6945" s="33"/>
      <c r="V6945" s="33"/>
      <c r="W6945" s="33"/>
      <c r="X6945" s="33"/>
      <c r="Y6945" s="33"/>
      <c r="Z6945" s="33"/>
      <c r="AA6945" s="33"/>
      <c r="AB6945" s="33"/>
      <c r="AC6945" s="33"/>
      <c r="AD6945" s="33"/>
      <c r="AE6945" s="33"/>
      <c r="AF6945" s="33"/>
      <c r="AG6945" s="33"/>
      <c r="AH6945" s="33"/>
      <c r="AI6945" s="33"/>
      <c r="AJ6945" s="33"/>
      <c r="AK6945" s="33"/>
    </row>
    <row r="6946">
      <c r="A6946" s="33"/>
      <c r="B6946" s="33"/>
      <c r="C6946" s="33"/>
      <c r="D6946" s="33"/>
      <c r="E6946" s="33"/>
      <c r="F6946" s="33"/>
      <c r="G6946" s="33"/>
      <c r="H6946" s="33"/>
      <c r="I6946" s="33"/>
      <c r="J6946" s="33"/>
      <c r="K6946" s="33"/>
      <c r="L6946" s="33"/>
      <c r="M6946" s="33"/>
      <c r="N6946" s="33"/>
      <c r="O6946" s="33"/>
      <c r="P6946" s="33"/>
      <c r="Q6946" s="33"/>
      <c r="R6946" s="33"/>
      <c r="S6946" s="33"/>
      <c r="T6946" s="33"/>
      <c r="U6946" s="33"/>
      <c r="V6946" s="33"/>
      <c r="W6946" s="33"/>
      <c r="X6946" s="33"/>
      <c r="Y6946" s="33"/>
      <c r="Z6946" s="33"/>
      <c r="AA6946" s="33"/>
      <c r="AB6946" s="33"/>
      <c r="AC6946" s="33"/>
      <c r="AD6946" s="33"/>
      <c r="AE6946" s="33"/>
      <c r="AF6946" s="33"/>
      <c r="AG6946" s="33"/>
      <c r="AH6946" s="33"/>
      <c r="AI6946" s="33"/>
      <c r="AJ6946" s="33"/>
      <c r="AK6946" s="33"/>
    </row>
    <row r="6947">
      <c r="A6947" s="33"/>
      <c r="B6947" s="33"/>
      <c r="C6947" s="33"/>
      <c r="D6947" s="33"/>
      <c r="E6947" s="33"/>
      <c r="F6947" s="33"/>
      <c r="G6947" s="33"/>
      <c r="H6947" s="33"/>
      <c r="I6947" s="33"/>
      <c r="J6947" s="33"/>
      <c r="K6947" s="33"/>
      <c r="L6947" s="33"/>
      <c r="M6947" s="33"/>
      <c r="N6947" s="33"/>
      <c r="O6947" s="33"/>
      <c r="P6947" s="33"/>
      <c r="Q6947" s="33"/>
      <c r="R6947" s="33"/>
      <c r="S6947" s="33"/>
      <c r="T6947" s="33"/>
      <c r="U6947" s="33"/>
      <c r="V6947" s="33"/>
      <c r="W6947" s="33"/>
      <c r="X6947" s="33"/>
      <c r="Y6947" s="33"/>
      <c r="Z6947" s="33"/>
      <c r="AA6947" s="33"/>
      <c r="AB6947" s="33"/>
      <c r="AC6947" s="33"/>
      <c r="AD6947" s="33"/>
      <c r="AE6947" s="33"/>
      <c r="AF6947" s="33"/>
      <c r="AG6947" s="33"/>
      <c r="AH6947" s="33"/>
      <c r="AI6947" s="33"/>
      <c r="AJ6947" s="33"/>
      <c r="AK6947" s="33"/>
    </row>
    <row r="6948">
      <c r="A6948" s="33"/>
      <c r="B6948" s="33"/>
      <c r="C6948" s="33"/>
      <c r="D6948" s="33"/>
      <c r="E6948" s="33"/>
      <c r="F6948" s="33"/>
      <c r="G6948" s="33"/>
      <c r="H6948" s="33"/>
      <c r="I6948" s="33"/>
      <c r="J6948" s="33"/>
      <c r="K6948" s="33"/>
      <c r="L6948" s="33"/>
      <c r="M6948" s="33"/>
      <c r="N6948" s="33"/>
      <c r="O6948" s="33"/>
      <c r="P6948" s="33"/>
      <c r="Q6948" s="33"/>
      <c r="R6948" s="33"/>
      <c r="S6948" s="33"/>
      <c r="T6948" s="33"/>
      <c r="U6948" s="33"/>
      <c r="V6948" s="33"/>
      <c r="W6948" s="33"/>
      <c r="X6948" s="33"/>
      <c r="Y6948" s="33"/>
      <c r="Z6948" s="33"/>
      <c r="AA6948" s="33"/>
      <c r="AB6948" s="33"/>
      <c r="AC6948" s="33"/>
      <c r="AD6948" s="33"/>
      <c r="AE6948" s="33"/>
      <c r="AF6948" s="33"/>
      <c r="AG6948" s="33"/>
      <c r="AH6948" s="33"/>
      <c r="AI6948" s="33"/>
      <c r="AJ6948" s="33"/>
      <c r="AK6948" s="33"/>
    </row>
    <row r="6949">
      <c r="A6949" s="33"/>
      <c r="B6949" s="33"/>
      <c r="C6949" s="33"/>
      <c r="D6949" s="33"/>
      <c r="E6949" s="33"/>
      <c r="F6949" s="33"/>
      <c r="G6949" s="33"/>
      <c r="H6949" s="33"/>
      <c r="I6949" s="33"/>
      <c r="J6949" s="33"/>
      <c r="K6949" s="33"/>
      <c r="L6949" s="33"/>
      <c r="M6949" s="33"/>
      <c r="N6949" s="33"/>
      <c r="O6949" s="33"/>
      <c r="P6949" s="33"/>
      <c r="Q6949" s="33"/>
      <c r="R6949" s="33"/>
      <c r="S6949" s="33"/>
      <c r="T6949" s="33"/>
      <c r="U6949" s="33"/>
      <c r="V6949" s="33"/>
      <c r="W6949" s="33"/>
      <c r="X6949" s="33"/>
      <c r="Y6949" s="33"/>
      <c r="Z6949" s="33"/>
      <c r="AA6949" s="33"/>
      <c r="AB6949" s="33"/>
      <c r="AC6949" s="33"/>
      <c r="AD6949" s="33"/>
      <c r="AE6949" s="33"/>
      <c r="AF6949" s="33"/>
      <c r="AG6949" s="33"/>
      <c r="AH6949" s="33"/>
      <c r="AI6949" s="33"/>
      <c r="AJ6949" s="33"/>
      <c r="AK6949" s="33"/>
    </row>
    <row r="6950">
      <c r="A6950" s="33"/>
      <c r="B6950" s="33"/>
      <c r="C6950" s="33"/>
      <c r="D6950" s="33"/>
      <c r="E6950" s="33"/>
      <c r="F6950" s="33"/>
      <c r="G6950" s="33"/>
      <c r="H6950" s="33"/>
      <c r="I6950" s="33"/>
      <c r="J6950" s="33"/>
      <c r="K6950" s="33"/>
      <c r="L6950" s="33"/>
      <c r="M6950" s="33"/>
      <c r="N6950" s="33"/>
      <c r="O6950" s="33"/>
      <c r="P6950" s="33"/>
      <c r="Q6950" s="33"/>
      <c r="R6950" s="33"/>
      <c r="S6950" s="33"/>
      <c r="T6950" s="33"/>
      <c r="U6950" s="33"/>
      <c r="V6950" s="33"/>
      <c r="W6950" s="33"/>
      <c r="X6950" s="33"/>
      <c r="Y6950" s="33"/>
      <c r="Z6950" s="33"/>
      <c r="AA6950" s="33"/>
      <c r="AB6950" s="33"/>
      <c r="AC6950" s="33"/>
      <c r="AD6950" s="33"/>
      <c r="AE6950" s="33"/>
      <c r="AF6950" s="33"/>
      <c r="AG6950" s="33"/>
      <c r="AH6950" s="33"/>
      <c r="AI6950" s="33"/>
      <c r="AJ6950" s="33"/>
      <c r="AK6950" s="33"/>
    </row>
    <row r="6951">
      <c r="A6951" s="33"/>
      <c r="B6951" s="33"/>
      <c r="C6951" s="33"/>
      <c r="D6951" s="33"/>
      <c r="E6951" s="33"/>
      <c r="F6951" s="33"/>
      <c r="G6951" s="33"/>
      <c r="H6951" s="33"/>
      <c r="I6951" s="33"/>
      <c r="J6951" s="33"/>
      <c r="K6951" s="33"/>
      <c r="L6951" s="33"/>
      <c r="M6951" s="33"/>
      <c r="N6951" s="33"/>
      <c r="O6951" s="33"/>
      <c r="P6951" s="33"/>
      <c r="Q6951" s="33"/>
      <c r="R6951" s="33"/>
      <c r="S6951" s="33"/>
      <c r="T6951" s="33"/>
      <c r="U6951" s="33"/>
      <c r="V6951" s="33"/>
      <c r="W6951" s="33"/>
      <c r="X6951" s="33"/>
      <c r="Y6951" s="33"/>
      <c r="Z6951" s="33"/>
      <c r="AA6951" s="33"/>
      <c r="AB6951" s="33"/>
      <c r="AC6951" s="33"/>
      <c r="AD6951" s="33"/>
      <c r="AE6951" s="33"/>
      <c r="AF6951" s="33"/>
      <c r="AG6951" s="33"/>
      <c r="AH6951" s="33"/>
      <c r="AI6951" s="33"/>
      <c r="AJ6951" s="33"/>
      <c r="AK6951" s="33"/>
    </row>
    <row r="6952">
      <c r="A6952" s="33"/>
      <c r="B6952" s="33"/>
      <c r="C6952" s="33"/>
      <c r="D6952" s="33"/>
      <c r="E6952" s="33"/>
      <c r="F6952" s="33"/>
      <c r="G6952" s="33"/>
      <c r="H6952" s="33"/>
      <c r="I6952" s="33"/>
      <c r="J6952" s="33"/>
      <c r="K6952" s="33"/>
      <c r="L6952" s="33"/>
      <c r="M6952" s="33"/>
      <c r="N6952" s="33"/>
      <c r="O6952" s="33"/>
      <c r="P6952" s="33"/>
      <c r="Q6952" s="33"/>
      <c r="R6952" s="33"/>
      <c r="S6952" s="33"/>
      <c r="T6952" s="33"/>
      <c r="U6952" s="33"/>
      <c r="V6952" s="33"/>
      <c r="W6952" s="33"/>
      <c r="X6952" s="33"/>
      <c r="Y6952" s="33"/>
      <c r="Z6952" s="33"/>
      <c r="AA6952" s="33"/>
      <c r="AB6952" s="33"/>
      <c r="AC6952" s="33"/>
      <c r="AD6952" s="33"/>
      <c r="AE6952" s="33"/>
      <c r="AF6952" s="33"/>
      <c r="AG6952" s="33"/>
      <c r="AH6952" s="33"/>
      <c r="AI6952" s="33"/>
      <c r="AJ6952" s="33"/>
      <c r="AK6952" s="33"/>
    </row>
    <row r="6953">
      <c r="A6953" s="33"/>
      <c r="B6953" s="33"/>
      <c r="C6953" s="33"/>
      <c r="D6953" s="33"/>
      <c r="E6953" s="33"/>
      <c r="F6953" s="33"/>
      <c r="G6953" s="33"/>
      <c r="H6953" s="33"/>
      <c r="I6953" s="33"/>
      <c r="J6953" s="33"/>
      <c r="K6953" s="33"/>
      <c r="L6953" s="33"/>
      <c r="M6953" s="33"/>
      <c r="N6953" s="33"/>
      <c r="O6953" s="33"/>
      <c r="P6953" s="33"/>
      <c r="Q6953" s="33"/>
      <c r="R6953" s="33"/>
      <c r="S6953" s="33"/>
      <c r="T6953" s="33"/>
      <c r="U6953" s="33"/>
      <c r="V6953" s="33"/>
      <c r="W6953" s="33"/>
      <c r="X6953" s="33"/>
      <c r="Y6953" s="33"/>
      <c r="Z6953" s="33"/>
      <c r="AA6953" s="33"/>
      <c r="AB6953" s="33"/>
      <c r="AC6953" s="33"/>
      <c r="AD6953" s="33"/>
      <c r="AE6953" s="33"/>
      <c r="AF6953" s="33"/>
      <c r="AG6953" s="33"/>
      <c r="AH6953" s="33"/>
      <c r="AI6953" s="33"/>
      <c r="AJ6953" s="33"/>
      <c r="AK6953" s="33"/>
    </row>
    <row r="6954">
      <c r="A6954" s="33"/>
      <c r="B6954" s="33"/>
      <c r="C6954" s="33"/>
      <c r="D6954" s="33"/>
      <c r="E6954" s="33"/>
      <c r="F6954" s="33"/>
      <c r="G6954" s="33"/>
      <c r="H6954" s="33"/>
      <c r="I6954" s="33"/>
      <c r="J6954" s="33"/>
      <c r="K6954" s="33"/>
      <c r="L6954" s="33"/>
      <c r="M6954" s="33"/>
      <c r="N6954" s="33"/>
      <c r="O6954" s="33"/>
      <c r="P6954" s="33"/>
      <c r="Q6954" s="33"/>
      <c r="R6954" s="33"/>
      <c r="S6954" s="33"/>
      <c r="T6954" s="33"/>
      <c r="U6954" s="33"/>
      <c r="V6954" s="33"/>
      <c r="W6954" s="33"/>
      <c r="X6954" s="33"/>
      <c r="Y6954" s="33"/>
      <c r="Z6954" s="33"/>
      <c r="AA6954" s="33"/>
      <c r="AB6954" s="33"/>
      <c r="AC6954" s="33"/>
      <c r="AD6954" s="33"/>
      <c r="AE6954" s="33"/>
      <c r="AF6954" s="33"/>
      <c r="AG6954" s="33"/>
      <c r="AH6954" s="33"/>
      <c r="AI6954" s="33"/>
      <c r="AJ6954" s="33"/>
      <c r="AK6954" s="33"/>
    </row>
    <row r="6955">
      <c r="A6955" s="33"/>
      <c r="B6955" s="33"/>
      <c r="C6955" s="33"/>
      <c r="D6955" s="33"/>
      <c r="E6955" s="33"/>
      <c r="F6955" s="33"/>
      <c r="G6955" s="33"/>
      <c r="H6955" s="33"/>
      <c r="I6955" s="33"/>
      <c r="J6955" s="33"/>
      <c r="K6955" s="33"/>
      <c r="L6955" s="33"/>
      <c r="M6955" s="33"/>
      <c r="N6955" s="33"/>
      <c r="O6955" s="33"/>
      <c r="P6955" s="33"/>
      <c r="Q6955" s="33"/>
      <c r="R6955" s="33"/>
      <c r="S6955" s="33"/>
      <c r="T6955" s="33"/>
      <c r="U6955" s="33"/>
      <c r="V6955" s="33"/>
      <c r="W6955" s="33"/>
      <c r="X6955" s="33"/>
      <c r="Y6955" s="33"/>
      <c r="Z6955" s="33"/>
      <c r="AA6955" s="33"/>
      <c r="AB6955" s="33"/>
      <c r="AC6955" s="33"/>
      <c r="AD6955" s="33"/>
      <c r="AE6955" s="33"/>
      <c r="AF6955" s="33"/>
      <c r="AG6955" s="33"/>
      <c r="AH6955" s="33"/>
      <c r="AI6955" s="33"/>
      <c r="AJ6955" s="33"/>
      <c r="AK6955" s="33"/>
    </row>
    <row r="6956">
      <c r="A6956" s="33"/>
      <c r="B6956" s="33"/>
      <c r="C6956" s="33"/>
      <c r="D6956" s="33"/>
      <c r="E6956" s="33"/>
      <c r="F6956" s="33"/>
      <c r="G6956" s="33"/>
      <c r="H6956" s="33"/>
      <c r="I6956" s="33"/>
      <c r="J6956" s="33"/>
      <c r="K6956" s="33"/>
      <c r="L6956" s="33"/>
      <c r="M6956" s="33"/>
      <c r="N6956" s="33"/>
      <c r="O6956" s="33"/>
      <c r="P6956" s="33"/>
      <c r="Q6956" s="33"/>
      <c r="R6956" s="33"/>
      <c r="S6956" s="33"/>
      <c r="T6956" s="33"/>
      <c r="U6956" s="33"/>
      <c r="V6956" s="33"/>
      <c r="W6956" s="33"/>
      <c r="X6956" s="33"/>
      <c r="Y6956" s="33"/>
      <c r="Z6956" s="33"/>
      <c r="AA6956" s="33"/>
      <c r="AB6956" s="33"/>
      <c r="AC6956" s="33"/>
      <c r="AD6956" s="33"/>
      <c r="AE6956" s="33"/>
      <c r="AF6956" s="33"/>
      <c r="AG6956" s="33"/>
      <c r="AH6956" s="33"/>
      <c r="AI6956" s="33"/>
      <c r="AJ6956" s="33"/>
      <c r="AK6956" s="33"/>
    </row>
    <row r="6957">
      <c r="A6957" s="33"/>
      <c r="B6957" s="33"/>
      <c r="C6957" s="33"/>
      <c r="D6957" s="33"/>
      <c r="E6957" s="33"/>
      <c r="F6957" s="33"/>
      <c r="G6957" s="33"/>
      <c r="H6957" s="33"/>
      <c r="I6957" s="33"/>
      <c r="J6957" s="33"/>
      <c r="K6957" s="33"/>
      <c r="L6957" s="33"/>
      <c r="M6957" s="33"/>
      <c r="N6957" s="33"/>
      <c r="O6957" s="33"/>
      <c r="P6957" s="33"/>
      <c r="Q6957" s="33"/>
      <c r="R6957" s="33"/>
      <c r="S6957" s="33"/>
      <c r="T6957" s="33"/>
      <c r="U6957" s="33"/>
      <c r="V6957" s="33"/>
      <c r="W6957" s="33"/>
      <c r="X6957" s="33"/>
      <c r="Y6957" s="33"/>
      <c r="Z6957" s="33"/>
      <c r="AA6957" s="33"/>
      <c r="AB6957" s="33"/>
      <c r="AC6957" s="33"/>
      <c r="AD6957" s="33"/>
      <c r="AE6957" s="33"/>
      <c r="AF6957" s="33"/>
      <c r="AG6957" s="33"/>
      <c r="AH6957" s="33"/>
      <c r="AI6957" s="33"/>
      <c r="AJ6957" s="33"/>
      <c r="AK6957" s="33"/>
    </row>
    <row r="6958">
      <c r="A6958" s="33"/>
      <c r="B6958" s="33"/>
      <c r="C6958" s="33"/>
      <c r="D6958" s="33"/>
      <c r="E6958" s="33"/>
      <c r="F6958" s="33"/>
      <c r="G6958" s="33"/>
      <c r="H6958" s="33"/>
      <c r="I6958" s="33"/>
      <c r="J6958" s="33"/>
      <c r="K6958" s="33"/>
      <c r="L6958" s="33"/>
      <c r="M6958" s="33"/>
      <c r="N6958" s="33"/>
      <c r="O6958" s="33"/>
      <c r="P6958" s="33"/>
      <c r="Q6958" s="33"/>
      <c r="R6958" s="33"/>
      <c r="S6958" s="33"/>
      <c r="T6958" s="33"/>
      <c r="U6958" s="33"/>
      <c r="V6958" s="33"/>
      <c r="W6958" s="33"/>
      <c r="X6958" s="33"/>
      <c r="Y6958" s="33"/>
      <c r="Z6958" s="33"/>
      <c r="AA6958" s="33"/>
      <c r="AB6958" s="33"/>
      <c r="AC6958" s="33"/>
      <c r="AD6958" s="33"/>
      <c r="AE6958" s="33"/>
      <c r="AF6958" s="33"/>
      <c r="AG6958" s="33"/>
      <c r="AH6958" s="33"/>
      <c r="AI6958" s="33"/>
      <c r="AJ6958" s="33"/>
      <c r="AK6958" s="33"/>
    </row>
    <row r="6959">
      <c r="A6959" s="33"/>
      <c r="B6959" s="33"/>
      <c r="C6959" s="33"/>
      <c r="D6959" s="33"/>
      <c r="E6959" s="33"/>
      <c r="F6959" s="33"/>
      <c r="G6959" s="33"/>
      <c r="H6959" s="33"/>
      <c r="I6959" s="33"/>
      <c r="J6959" s="33"/>
      <c r="K6959" s="33"/>
      <c r="L6959" s="33"/>
      <c r="M6959" s="33"/>
      <c r="N6959" s="33"/>
      <c r="O6959" s="33"/>
      <c r="P6959" s="33"/>
      <c r="Q6959" s="33"/>
      <c r="R6959" s="33"/>
      <c r="S6959" s="33"/>
      <c r="T6959" s="33"/>
      <c r="U6959" s="33"/>
      <c r="V6959" s="33"/>
      <c r="W6959" s="33"/>
      <c r="X6959" s="33"/>
      <c r="Y6959" s="33"/>
      <c r="Z6959" s="33"/>
      <c r="AA6959" s="33"/>
      <c r="AB6959" s="33"/>
      <c r="AC6959" s="33"/>
      <c r="AD6959" s="33"/>
      <c r="AE6959" s="33"/>
      <c r="AF6959" s="33"/>
      <c r="AG6959" s="33"/>
      <c r="AH6959" s="33"/>
      <c r="AI6959" s="33"/>
      <c r="AJ6959" s="33"/>
      <c r="AK6959" s="33"/>
    </row>
    <row r="6960">
      <c r="A6960" s="33"/>
      <c r="B6960" s="33"/>
      <c r="C6960" s="33"/>
      <c r="D6960" s="33"/>
      <c r="E6960" s="33"/>
      <c r="F6960" s="33"/>
      <c r="G6960" s="33"/>
      <c r="H6960" s="33"/>
      <c r="I6960" s="33"/>
      <c r="J6960" s="33"/>
      <c r="K6960" s="33"/>
      <c r="L6960" s="33"/>
      <c r="M6960" s="33"/>
      <c r="N6960" s="33"/>
      <c r="O6960" s="33"/>
      <c r="P6960" s="33"/>
      <c r="Q6960" s="33"/>
      <c r="R6960" s="33"/>
      <c r="S6960" s="33"/>
      <c r="T6960" s="33"/>
      <c r="U6960" s="33"/>
      <c r="V6960" s="33"/>
      <c r="W6960" s="33"/>
      <c r="X6960" s="33"/>
      <c r="Y6960" s="33"/>
      <c r="Z6960" s="33"/>
      <c r="AA6960" s="33"/>
      <c r="AB6960" s="33"/>
      <c r="AC6960" s="33"/>
      <c r="AD6960" s="33"/>
      <c r="AE6960" s="33"/>
      <c r="AF6960" s="33"/>
      <c r="AG6960" s="33"/>
      <c r="AH6960" s="33"/>
      <c r="AI6960" s="33"/>
      <c r="AJ6960" s="33"/>
      <c r="AK6960" s="33"/>
    </row>
    <row r="6961">
      <c r="A6961" s="33"/>
      <c r="B6961" s="33"/>
      <c r="C6961" s="33"/>
      <c r="D6961" s="33"/>
      <c r="E6961" s="33"/>
      <c r="F6961" s="33"/>
      <c r="G6961" s="33"/>
      <c r="H6961" s="33"/>
      <c r="I6961" s="33"/>
      <c r="J6961" s="33"/>
      <c r="K6961" s="33"/>
      <c r="L6961" s="33"/>
      <c r="M6961" s="33"/>
      <c r="N6961" s="33"/>
      <c r="O6961" s="33"/>
      <c r="P6961" s="33"/>
      <c r="Q6961" s="33"/>
      <c r="R6961" s="33"/>
      <c r="S6961" s="33"/>
      <c r="T6961" s="33"/>
      <c r="U6961" s="33"/>
      <c r="V6961" s="33"/>
      <c r="W6961" s="33"/>
      <c r="X6961" s="33"/>
      <c r="Y6961" s="33"/>
      <c r="Z6961" s="33"/>
      <c r="AA6961" s="33"/>
      <c r="AB6961" s="33"/>
      <c r="AC6961" s="33"/>
      <c r="AD6961" s="33"/>
      <c r="AE6961" s="33"/>
      <c r="AF6961" s="33"/>
      <c r="AG6961" s="33"/>
      <c r="AH6961" s="33"/>
      <c r="AI6961" s="33"/>
      <c r="AJ6961" s="33"/>
      <c r="AK6961" s="33"/>
    </row>
    <row r="6962">
      <c r="A6962" s="33"/>
      <c r="B6962" s="33"/>
      <c r="C6962" s="33"/>
      <c r="D6962" s="33"/>
      <c r="E6962" s="33"/>
      <c r="F6962" s="33"/>
      <c r="G6962" s="33"/>
      <c r="H6962" s="33"/>
      <c r="I6962" s="33"/>
      <c r="J6962" s="33"/>
      <c r="K6962" s="33"/>
      <c r="L6962" s="33"/>
      <c r="M6962" s="33"/>
      <c r="N6962" s="33"/>
      <c r="O6962" s="33"/>
      <c r="P6962" s="33"/>
      <c r="Q6962" s="33"/>
      <c r="R6962" s="33"/>
      <c r="S6962" s="33"/>
      <c r="T6962" s="33"/>
      <c r="U6962" s="33"/>
      <c r="V6962" s="33"/>
      <c r="W6962" s="33"/>
      <c r="X6962" s="33"/>
      <c r="Y6962" s="33"/>
      <c r="Z6962" s="33"/>
      <c r="AA6962" s="33"/>
      <c r="AB6962" s="33"/>
      <c r="AC6962" s="33"/>
      <c r="AD6962" s="33"/>
      <c r="AE6962" s="33"/>
      <c r="AF6962" s="33"/>
      <c r="AG6962" s="33"/>
      <c r="AH6962" s="33"/>
      <c r="AI6962" s="33"/>
      <c r="AJ6962" s="33"/>
      <c r="AK6962" s="33"/>
    </row>
    <row r="6963">
      <c r="A6963" s="33"/>
      <c r="B6963" s="33"/>
      <c r="C6963" s="33"/>
      <c r="D6963" s="33"/>
      <c r="E6963" s="33"/>
      <c r="F6963" s="33"/>
      <c r="G6963" s="33"/>
      <c r="H6963" s="33"/>
      <c r="I6963" s="33"/>
      <c r="J6963" s="33"/>
      <c r="K6963" s="33"/>
      <c r="L6963" s="33"/>
      <c r="M6963" s="33"/>
      <c r="N6963" s="33"/>
      <c r="O6963" s="33"/>
      <c r="P6963" s="33"/>
      <c r="Q6963" s="33"/>
      <c r="R6963" s="33"/>
      <c r="S6963" s="33"/>
      <c r="T6963" s="33"/>
      <c r="U6963" s="33"/>
      <c r="V6963" s="33"/>
      <c r="W6963" s="33"/>
      <c r="X6963" s="33"/>
      <c r="Y6963" s="33"/>
      <c r="Z6963" s="33"/>
      <c r="AA6963" s="33"/>
      <c r="AB6963" s="33"/>
      <c r="AC6963" s="33"/>
      <c r="AD6963" s="33"/>
      <c r="AE6963" s="33"/>
      <c r="AF6963" s="33"/>
      <c r="AG6963" s="33"/>
      <c r="AH6963" s="33"/>
      <c r="AI6963" s="33"/>
      <c r="AJ6963" s="33"/>
      <c r="AK6963" s="33"/>
    </row>
    <row r="6964">
      <c r="A6964" s="33"/>
      <c r="B6964" s="33"/>
      <c r="C6964" s="33"/>
      <c r="D6964" s="33"/>
      <c r="E6964" s="33"/>
      <c r="F6964" s="33"/>
      <c r="G6964" s="33"/>
      <c r="H6964" s="33"/>
      <c r="I6964" s="33"/>
      <c r="J6964" s="33"/>
      <c r="K6964" s="33"/>
      <c r="L6964" s="33"/>
      <c r="M6964" s="33"/>
      <c r="N6964" s="33"/>
      <c r="O6964" s="33"/>
      <c r="P6964" s="33"/>
      <c r="Q6964" s="33"/>
      <c r="R6964" s="33"/>
      <c r="S6964" s="33"/>
      <c r="T6964" s="33"/>
      <c r="U6964" s="33"/>
      <c r="V6964" s="33"/>
      <c r="W6964" s="33"/>
      <c r="X6964" s="33"/>
      <c r="Y6964" s="33"/>
      <c r="Z6964" s="33"/>
      <c r="AA6964" s="33"/>
      <c r="AB6964" s="33"/>
      <c r="AC6964" s="33"/>
      <c r="AD6964" s="33"/>
      <c r="AE6964" s="33"/>
      <c r="AF6964" s="33"/>
      <c r="AG6964" s="33"/>
      <c r="AH6964" s="33"/>
      <c r="AI6964" s="33"/>
      <c r="AJ6964" s="33"/>
      <c r="AK6964" s="33"/>
    </row>
    <row r="6965">
      <c r="A6965" s="33"/>
      <c r="B6965" s="33"/>
      <c r="C6965" s="33"/>
      <c r="D6965" s="33"/>
      <c r="E6965" s="33"/>
      <c r="F6965" s="33"/>
      <c r="G6965" s="33"/>
      <c r="H6965" s="33"/>
      <c r="I6965" s="33"/>
      <c r="J6965" s="33"/>
      <c r="K6965" s="33"/>
      <c r="L6965" s="33"/>
      <c r="M6965" s="33"/>
      <c r="N6965" s="33"/>
      <c r="O6965" s="33"/>
      <c r="P6965" s="33"/>
      <c r="Q6965" s="33"/>
      <c r="R6965" s="33"/>
      <c r="S6965" s="33"/>
      <c r="T6965" s="33"/>
      <c r="U6965" s="33"/>
      <c r="V6965" s="33"/>
      <c r="W6965" s="33"/>
      <c r="X6965" s="33"/>
      <c r="Y6965" s="33"/>
      <c r="Z6965" s="33"/>
      <c r="AA6965" s="33"/>
      <c r="AB6965" s="33"/>
      <c r="AC6965" s="33"/>
      <c r="AD6965" s="33"/>
      <c r="AE6965" s="33"/>
      <c r="AF6965" s="33"/>
      <c r="AG6965" s="33"/>
      <c r="AH6965" s="33"/>
      <c r="AI6965" s="33"/>
      <c r="AJ6965" s="33"/>
      <c r="AK6965" s="33"/>
    </row>
    <row r="6966">
      <c r="A6966" s="33"/>
      <c r="B6966" s="33"/>
      <c r="C6966" s="33"/>
      <c r="D6966" s="33"/>
      <c r="E6966" s="33"/>
      <c r="F6966" s="33"/>
      <c r="G6966" s="33"/>
      <c r="H6966" s="33"/>
      <c r="I6966" s="33"/>
      <c r="J6966" s="33"/>
      <c r="K6966" s="33"/>
      <c r="L6966" s="33"/>
      <c r="M6966" s="33"/>
      <c r="N6966" s="33"/>
      <c r="O6966" s="33"/>
      <c r="P6966" s="33"/>
      <c r="Q6966" s="33"/>
      <c r="R6966" s="33"/>
      <c r="S6966" s="33"/>
      <c r="T6966" s="33"/>
      <c r="U6966" s="33"/>
      <c r="V6966" s="33"/>
      <c r="W6966" s="33"/>
      <c r="X6966" s="33"/>
      <c r="Y6966" s="33"/>
      <c r="Z6966" s="33"/>
      <c r="AA6966" s="33"/>
      <c r="AB6966" s="33"/>
      <c r="AC6966" s="33"/>
      <c r="AD6966" s="33"/>
      <c r="AE6966" s="33"/>
      <c r="AF6966" s="33"/>
      <c r="AG6966" s="33"/>
      <c r="AH6966" s="33"/>
      <c r="AI6966" s="33"/>
      <c r="AJ6966" s="33"/>
      <c r="AK6966" s="33"/>
    </row>
    <row r="6967">
      <c r="A6967" s="33"/>
      <c r="B6967" s="33"/>
      <c r="C6967" s="33"/>
      <c r="D6967" s="33"/>
      <c r="E6967" s="33"/>
      <c r="F6967" s="33"/>
      <c r="G6967" s="33"/>
      <c r="H6967" s="33"/>
      <c r="I6967" s="33"/>
      <c r="J6967" s="33"/>
      <c r="K6967" s="33"/>
      <c r="L6967" s="33"/>
      <c r="M6967" s="33"/>
      <c r="N6967" s="33"/>
      <c r="O6967" s="33"/>
      <c r="P6967" s="33"/>
      <c r="Q6967" s="33"/>
      <c r="R6967" s="33"/>
      <c r="S6967" s="33"/>
      <c r="T6967" s="33"/>
      <c r="U6967" s="33"/>
      <c r="V6967" s="33"/>
      <c r="W6967" s="33"/>
      <c r="X6967" s="33"/>
      <c r="Y6967" s="33"/>
      <c r="Z6967" s="33"/>
      <c r="AA6967" s="33"/>
      <c r="AB6967" s="33"/>
      <c r="AC6967" s="33"/>
      <c r="AD6967" s="33"/>
      <c r="AE6967" s="33"/>
      <c r="AF6967" s="33"/>
      <c r="AG6967" s="33"/>
      <c r="AH6967" s="33"/>
      <c r="AI6967" s="33"/>
      <c r="AJ6967" s="33"/>
      <c r="AK6967" s="33"/>
    </row>
    <row r="6968">
      <c r="A6968" s="33"/>
      <c r="B6968" s="33"/>
      <c r="C6968" s="33"/>
      <c r="D6968" s="33"/>
      <c r="E6968" s="33"/>
      <c r="F6968" s="33"/>
      <c r="G6968" s="33"/>
      <c r="H6968" s="33"/>
      <c r="I6968" s="33"/>
      <c r="J6968" s="33"/>
      <c r="K6968" s="33"/>
      <c r="L6968" s="33"/>
      <c r="M6968" s="33"/>
      <c r="N6968" s="33"/>
      <c r="O6968" s="33"/>
      <c r="P6968" s="33"/>
      <c r="Q6968" s="33"/>
      <c r="R6968" s="33"/>
      <c r="S6968" s="33"/>
      <c r="T6968" s="33"/>
      <c r="U6968" s="33"/>
      <c r="V6968" s="33"/>
      <c r="W6968" s="33"/>
      <c r="X6968" s="33"/>
      <c r="Y6968" s="33"/>
      <c r="Z6968" s="33"/>
      <c r="AA6968" s="33"/>
      <c r="AB6968" s="33"/>
      <c r="AC6968" s="33"/>
      <c r="AD6968" s="33"/>
      <c r="AE6968" s="33"/>
      <c r="AF6968" s="33"/>
      <c r="AG6968" s="33"/>
      <c r="AH6968" s="33"/>
      <c r="AI6968" s="33"/>
      <c r="AJ6968" s="33"/>
      <c r="AK6968" s="33"/>
    </row>
    <row r="6969">
      <c r="A6969" s="33"/>
      <c r="B6969" s="33"/>
      <c r="C6969" s="33"/>
      <c r="D6969" s="33"/>
      <c r="E6969" s="33"/>
      <c r="F6969" s="33"/>
      <c r="G6969" s="33"/>
      <c r="H6969" s="33"/>
      <c r="I6969" s="33"/>
      <c r="J6969" s="33"/>
      <c r="K6969" s="33"/>
      <c r="L6969" s="33"/>
      <c r="M6969" s="33"/>
      <c r="N6969" s="33"/>
      <c r="O6969" s="33"/>
      <c r="P6969" s="33"/>
      <c r="Q6969" s="33"/>
      <c r="R6969" s="33"/>
      <c r="S6969" s="33"/>
      <c r="T6969" s="33"/>
      <c r="U6969" s="33"/>
      <c r="V6969" s="33"/>
      <c r="W6969" s="33"/>
      <c r="X6969" s="33"/>
      <c r="Y6969" s="33"/>
      <c r="Z6969" s="33"/>
      <c r="AA6969" s="33"/>
      <c r="AB6969" s="33"/>
      <c r="AC6969" s="33"/>
      <c r="AD6969" s="33"/>
      <c r="AE6969" s="33"/>
      <c r="AF6969" s="33"/>
      <c r="AG6969" s="33"/>
      <c r="AH6969" s="33"/>
      <c r="AI6969" s="33"/>
      <c r="AJ6969" s="33"/>
      <c r="AK6969" s="33"/>
    </row>
    <row r="6970">
      <c r="A6970" s="33"/>
      <c r="B6970" s="33"/>
      <c r="C6970" s="33"/>
      <c r="D6970" s="33"/>
      <c r="E6970" s="33"/>
      <c r="F6970" s="33"/>
      <c r="G6970" s="33"/>
      <c r="H6970" s="33"/>
      <c r="I6970" s="33"/>
      <c r="J6970" s="33"/>
      <c r="K6970" s="33"/>
      <c r="L6970" s="33"/>
      <c r="M6970" s="33"/>
      <c r="N6970" s="33"/>
      <c r="O6970" s="33"/>
      <c r="P6970" s="33"/>
      <c r="Q6970" s="33"/>
      <c r="R6970" s="33"/>
      <c r="S6970" s="33"/>
      <c r="T6970" s="33"/>
      <c r="U6970" s="33"/>
      <c r="V6970" s="33"/>
      <c r="W6970" s="33"/>
      <c r="X6970" s="33"/>
      <c r="Y6970" s="33"/>
      <c r="Z6970" s="33"/>
      <c r="AA6970" s="33"/>
      <c r="AB6970" s="33"/>
      <c r="AC6970" s="33"/>
      <c r="AD6970" s="33"/>
      <c r="AE6970" s="33"/>
      <c r="AF6970" s="33"/>
      <c r="AG6970" s="33"/>
      <c r="AH6970" s="33"/>
      <c r="AI6970" s="33"/>
      <c r="AJ6970" s="33"/>
      <c r="AK6970" s="33"/>
    </row>
    <row r="6971">
      <c r="A6971" s="33"/>
      <c r="B6971" s="33"/>
      <c r="C6971" s="33"/>
      <c r="D6971" s="33"/>
      <c r="E6971" s="33"/>
      <c r="F6971" s="33"/>
      <c r="G6971" s="33"/>
      <c r="H6971" s="33"/>
      <c r="I6971" s="33"/>
      <c r="J6971" s="33"/>
      <c r="K6971" s="33"/>
      <c r="L6971" s="33"/>
      <c r="M6971" s="33"/>
      <c r="N6971" s="33"/>
      <c r="O6971" s="33"/>
      <c r="P6971" s="33"/>
      <c r="Q6971" s="33"/>
      <c r="R6971" s="33"/>
      <c r="S6971" s="33"/>
      <c r="T6971" s="33"/>
      <c r="U6971" s="33"/>
      <c r="V6971" s="33"/>
      <c r="W6971" s="33"/>
      <c r="X6971" s="33"/>
      <c r="Y6971" s="33"/>
      <c r="Z6971" s="33"/>
      <c r="AA6971" s="33"/>
      <c r="AB6971" s="33"/>
      <c r="AC6971" s="33"/>
      <c r="AD6971" s="33"/>
      <c r="AE6971" s="33"/>
      <c r="AF6971" s="33"/>
      <c r="AG6971" s="33"/>
      <c r="AH6971" s="33"/>
      <c r="AI6971" s="33"/>
      <c r="AJ6971" s="33"/>
      <c r="AK6971" s="33"/>
    </row>
    <row r="6972">
      <c r="A6972" s="33"/>
      <c r="B6972" s="33"/>
      <c r="C6972" s="33"/>
      <c r="D6972" s="33"/>
      <c r="E6972" s="33"/>
      <c r="F6972" s="33"/>
      <c r="G6972" s="33"/>
      <c r="H6972" s="33"/>
      <c r="I6972" s="33"/>
      <c r="J6972" s="33"/>
      <c r="K6972" s="33"/>
      <c r="L6972" s="33"/>
      <c r="M6972" s="33"/>
      <c r="N6972" s="33"/>
      <c r="O6972" s="33"/>
      <c r="P6972" s="33"/>
      <c r="Q6972" s="33"/>
      <c r="R6972" s="33"/>
      <c r="S6972" s="33"/>
      <c r="T6972" s="33"/>
      <c r="U6972" s="33"/>
      <c r="V6972" s="33"/>
      <c r="W6972" s="33"/>
      <c r="X6972" s="33"/>
      <c r="Y6972" s="33"/>
      <c r="Z6972" s="33"/>
      <c r="AA6972" s="33"/>
      <c r="AB6972" s="33"/>
      <c r="AC6972" s="33"/>
      <c r="AD6972" s="33"/>
      <c r="AE6972" s="33"/>
      <c r="AF6972" s="33"/>
      <c r="AG6972" s="33"/>
      <c r="AH6972" s="33"/>
      <c r="AI6972" s="33"/>
      <c r="AJ6972" s="33"/>
      <c r="AK6972" s="33"/>
    </row>
    <row r="6973">
      <c r="A6973" s="33"/>
      <c r="B6973" s="33"/>
      <c r="C6973" s="33"/>
      <c r="D6973" s="33"/>
      <c r="E6973" s="33"/>
      <c r="F6973" s="33"/>
      <c r="G6973" s="33"/>
      <c r="H6973" s="33"/>
      <c r="I6973" s="33"/>
      <c r="J6973" s="33"/>
      <c r="K6973" s="33"/>
      <c r="L6973" s="33"/>
      <c r="M6973" s="33"/>
      <c r="N6973" s="33"/>
      <c r="O6973" s="33"/>
      <c r="P6973" s="33"/>
      <c r="Q6973" s="33"/>
      <c r="R6973" s="33"/>
      <c r="S6973" s="33"/>
      <c r="T6973" s="33"/>
      <c r="U6973" s="33"/>
      <c r="V6973" s="33"/>
      <c r="W6973" s="33"/>
      <c r="X6973" s="33"/>
      <c r="Y6973" s="33"/>
      <c r="Z6973" s="33"/>
      <c r="AA6973" s="33"/>
      <c r="AB6973" s="33"/>
      <c r="AC6973" s="33"/>
      <c r="AD6973" s="33"/>
      <c r="AE6973" s="33"/>
      <c r="AF6973" s="33"/>
      <c r="AG6973" s="33"/>
      <c r="AH6973" s="33"/>
      <c r="AI6973" s="33"/>
      <c r="AJ6973" s="33"/>
      <c r="AK6973" s="33"/>
    </row>
    <row r="6974">
      <c r="A6974" s="33"/>
      <c r="B6974" s="33"/>
      <c r="C6974" s="33"/>
      <c r="D6974" s="33"/>
      <c r="E6974" s="33"/>
      <c r="F6974" s="33"/>
      <c r="G6974" s="33"/>
      <c r="H6974" s="33"/>
      <c r="I6974" s="33"/>
      <c r="J6974" s="33"/>
      <c r="K6974" s="33"/>
      <c r="L6974" s="33"/>
      <c r="M6974" s="33"/>
      <c r="N6974" s="33"/>
      <c r="O6974" s="33"/>
      <c r="P6974" s="33"/>
      <c r="Q6974" s="33"/>
      <c r="R6974" s="33"/>
      <c r="S6974" s="33"/>
      <c r="T6974" s="33"/>
      <c r="U6974" s="33"/>
      <c r="V6974" s="33"/>
      <c r="W6974" s="33"/>
      <c r="X6974" s="33"/>
      <c r="Y6974" s="33"/>
      <c r="Z6974" s="33"/>
      <c r="AA6974" s="33"/>
      <c r="AB6974" s="33"/>
      <c r="AC6974" s="33"/>
      <c r="AD6974" s="33"/>
      <c r="AE6974" s="33"/>
      <c r="AF6974" s="33"/>
      <c r="AG6974" s="33"/>
      <c r="AH6974" s="33"/>
      <c r="AI6974" s="33"/>
      <c r="AJ6974" s="33"/>
      <c r="AK6974" s="33"/>
    </row>
    <row r="6975">
      <c r="A6975" s="33"/>
      <c r="B6975" s="33"/>
      <c r="C6975" s="33"/>
      <c r="D6975" s="33"/>
      <c r="E6975" s="33"/>
      <c r="F6975" s="33"/>
      <c r="G6975" s="33"/>
      <c r="H6975" s="33"/>
      <c r="I6975" s="33"/>
      <c r="J6975" s="33"/>
      <c r="K6975" s="33"/>
      <c r="L6975" s="33"/>
      <c r="M6975" s="33"/>
      <c r="N6975" s="33"/>
      <c r="O6975" s="33"/>
      <c r="P6975" s="33"/>
      <c r="Q6975" s="33"/>
      <c r="R6975" s="33"/>
      <c r="S6975" s="33"/>
      <c r="T6975" s="33"/>
      <c r="U6975" s="33"/>
      <c r="V6975" s="33"/>
      <c r="W6975" s="33"/>
      <c r="X6975" s="33"/>
      <c r="Y6975" s="33"/>
      <c r="Z6975" s="33"/>
      <c r="AA6975" s="33"/>
      <c r="AB6975" s="33"/>
      <c r="AC6975" s="33"/>
      <c r="AD6975" s="33"/>
      <c r="AE6975" s="33"/>
      <c r="AF6975" s="33"/>
      <c r="AG6975" s="33"/>
      <c r="AH6975" s="33"/>
      <c r="AI6975" s="33"/>
      <c r="AJ6975" s="33"/>
      <c r="AK6975" s="33"/>
    </row>
    <row r="6976">
      <c r="A6976" s="33"/>
      <c r="B6976" s="33"/>
      <c r="C6976" s="33"/>
      <c r="D6976" s="33"/>
      <c r="E6976" s="33"/>
      <c r="F6976" s="33"/>
      <c r="G6976" s="33"/>
      <c r="H6976" s="33"/>
      <c r="I6976" s="33"/>
      <c r="J6976" s="33"/>
      <c r="K6976" s="33"/>
      <c r="L6976" s="33"/>
      <c r="M6976" s="33"/>
      <c r="N6976" s="33"/>
      <c r="O6976" s="33"/>
      <c r="P6976" s="33"/>
      <c r="Q6976" s="33"/>
      <c r="R6976" s="33"/>
      <c r="S6976" s="33"/>
      <c r="T6976" s="33"/>
      <c r="U6976" s="33"/>
      <c r="V6976" s="33"/>
      <c r="W6976" s="33"/>
      <c r="X6976" s="33"/>
      <c r="Y6976" s="33"/>
      <c r="Z6976" s="33"/>
      <c r="AA6976" s="33"/>
      <c r="AB6976" s="33"/>
      <c r="AC6976" s="33"/>
      <c r="AD6976" s="33"/>
      <c r="AE6976" s="33"/>
      <c r="AF6976" s="33"/>
      <c r="AG6976" s="33"/>
      <c r="AH6976" s="33"/>
      <c r="AI6976" s="33"/>
      <c r="AJ6976" s="33"/>
      <c r="AK6976" s="33"/>
    </row>
    <row r="6977">
      <c r="A6977" s="33"/>
      <c r="B6977" s="33"/>
      <c r="C6977" s="33"/>
      <c r="D6977" s="33"/>
      <c r="E6977" s="33"/>
      <c r="F6977" s="33"/>
      <c r="G6977" s="33"/>
      <c r="H6977" s="33"/>
      <c r="I6977" s="33"/>
      <c r="J6977" s="33"/>
      <c r="K6977" s="33"/>
      <c r="L6977" s="33"/>
      <c r="M6977" s="33"/>
      <c r="N6977" s="33"/>
      <c r="O6977" s="33"/>
      <c r="P6977" s="33"/>
      <c r="Q6977" s="33"/>
      <c r="R6977" s="33"/>
      <c r="S6977" s="33"/>
      <c r="T6977" s="33"/>
      <c r="U6977" s="33"/>
      <c r="V6977" s="33"/>
      <c r="W6977" s="33"/>
      <c r="X6977" s="33"/>
      <c r="Y6977" s="33"/>
      <c r="Z6977" s="33"/>
      <c r="AA6977" s="33"/>
      <c r="AB6977" s="33"/>
      <c r="AC6977" s="33"/>
      <c r="AD6977" s="33"/>
      <c r="AE6977" s="33"/>
      <c r="AF6977" s="33"/>
      <c r="AG6977" s="33"/>
      <c r="AH6977" s="33"/>
      <c r="AI6977" s="33"/>
      <c r="AJ6977" s="33"/>
      <c r="AK6977" s="33"/>
    </row>
    <row r="6978">
      <c r="A6978" s="33"/>
      <c r="B6978" s="33"/>
      <c r="C6978" s="33"/>
      <c r="D6978" s="33"/>
      <c r="E6978" s="33"/>
      <c r="F6978" s="33"/>
      <c r="G6978" s="33"/>
      <c r="H6978" s="33"/>
      <c r="I6978" s="33"/>
      <c r="J6978" s="33"/>
      <c r="K6978" s="33"/>
      <c r="L6978" s="33"/>
      <c r="M6978" s="33"/>
      <c r="N6978" s="33"/>
      <c r="O6978" s="33"/>
      <c r="P6978" s="33"/>
      <c r="Q6978" s="33"/>
      <c r="R6978" s="33"/>
      <c r="S6978" s="33"/>
      <c r="T6978" s="33"/>
      <c r="U6978" s="33"/>
      <c r="V6978" s="33"/>
      <c r="W6978" s="33"/>
      <c r="X6978" s="33"/>
      <c r="Y6978" s="33"/>
      <c r="Z6978" s="33"/>
      <c r="AA6978" s="33"/>
      <c r="AB6978" s="33"/>
      <c r="AC6978" s="33"/>
      <c r="AD6978" s="33"/>
      <c r="AE6978" s="33"/>
      <c r="AF6978" s="33"/>
      <c r="AG6978" s="33"/>
      <c r="AH6978" s="33"/>
      <c r="AI6978" s="33"/>
      <c r="AJ6978" s="33"/>
      <c r="AK6978" s="33"/>
    </row>
    <row r="6979">
      <c r="A6979" s="33"/>
      <c r="B6979" s="33"/>
      <c r="C6979" s="33"/>
      <c r="D6979" s="33"/>
      <c r="E6979" s="33"/>
      <c r="F6979" s="33"/>
      <c r="G6979" s="33"/>
      <c r="H6979" s="33"/>
      <c r="I6979" s="33"/>
      <c r="J6979" s="33"/>
      <c r="K6979" s="33"/>
      <c r="L6979" s="33"/>
      <c r="M6979" s="33"/>
      <c r="N6979" s="33"/>
      <c r="O6979" s="33"/>
      <c r="P6979" s="33"/>
      <c r="Q6979" s="33"/>
      <c r="R6979" s="33"/>
      <c r="S6979" s="33"/>
      <c r="T6979" s="33"/>
      <c r="U6979" s="33"/>
      <c r="V6979" s="33"/>
      <c r="W6979" s="33"/>
      <c r="X6979" s="33"/>
      <c r="Y6979" s="33"/>
      <c r="Z6979" s="33"/>
      <c r="AA6979" s="33"/>
      <c r="AB6979" s="33"/>
      <c r="AC6979" s="33"/>
      <c r="AD6979" s="33"/>
      <c r="AE6979" s="33"/>
      <c r="AF6979" s="33"/>
      <c r="AG6979" s="33"/>
      <c r="AH6979" s="33"/>
      <c r="AI6979" s="33"/>
      <c r="AJ6979" s="33"/>
      <c r="AK6979" s="33"/>
    </row>
    <row r="6980">
      <c r="A6980" s="33"/>
      <c r="B6980" s="33"/>
      <c r="C6980" s="33"/>
      <c r="D6980" s="33"/>
      <c r="E6980" s="33"/>
      <c r="F6980" s="33"/>
      <c r="G6980" s="33"/>
      <c r="H6980" s="33"/>
      <c r="I6980" s="33"/>
      <c r="J6980" s="33"/>
      <c r="K6980" s="33"/>
      <c r="L6980" s="33"/>
      <c r="M6980" s="33"/>
      <c r="N6980" s="33"/>
      <c r="O6980" s="33"/>
      <c r="P6980" s="33"/>
      <c r="Q6980" s="33"/>
      <c r="R6980" s="33"/>
      <c r="S6980" s="33"/>
      <c r="T6980" s="33"/>
      <c r="U6980" s="33"/>
      <c r="V6980" s="33"/>
      <c r="W6980" s="33"/>
      <c r="X6980" s="33"/>
      <c r="Y6980" s="33"/>
      <c r="Z6980" s="33"/>
      <c r="AA6980" s="33"/>
      <c r="AB6980" s="33"/>
      <c r="AC6980" s="33"/>
      <c r="AD6980" s="33"/>
      <c r="AE6980" s="33"/>
      <c r="AF6980" s="33"/>
      <c r="AG6980" s="33"/>
      <c r="AH6980" s="33"/>
      <c r="AI6980" s="33"/>
      <c r="AJ6980" s="33"/>
      <c r="AK6980" s="33"/>
    </row>
    <row r="6981">
      <c r="A6981" s="33"/>
      <c r="B6981" s="33"/>
      <c r="C6981" s="33"/>
      <c r="D6981" s="33"/>
      <c r="E6981" s="33"/>
      <c r="F6981" s="33"/>
      <c r="G6981" s="33"/>
      <c r="H6981" s="33"/>
      <c r="I6981" s="33"/>
      <c r="J6981" s="33"/>
      <c r="K6981" s="33"/>
      <c r="L6981" s="33"/>
      <c r="M6981" s="33"/>
      <c r="N6981" s="33"/>
      <c r="O6981" s="33"/>
      <c r="P6981" s="33"/>
      <c r="Q6981" s="33"/>
      <c r="R6981" s="33"/>
      <c r="S6981" s="33"/>
      <c r="T6981" s="33"/>
      <c r="U6981" s="33"/>
      <c r="V6981" s="33"/>
      <c r="W6981" s="33"/>
      <c r="X6981" s="33"/>
      <c r="Y6981" s="33"/>
      <c r="Z6981" s="33"/>
      <c r="AA6981" s="33"/>
      <c r="AB6981" s="33"/>
      <c r="AC6981" s="33"/>
      <c r="AD6981" s="33"/>
      <c r="AE6981" s="33"/>
      <c r="AF6981" s="33"/>
      <c r="AG6981" s="33"/>
      <c r="AH6981" s="33"/>
      <c r="AI6981" s="33"/>
      <c r="AJ6981" s="33"/>
      <c r="AK6981" s="33"/>
    </row>
    <row r="6982">
      <c r="A6982" s="33"/>
      <c r="B6982" s="33"/>
      <c r="C6982" s="33"/>
      <c r="D6982" s="33"/>
      <c r="E6982" s="33"/>
      <c r="F6982" s="33"/>
      <c r="G6982" s="33"/>
      <c r="H6982" s="33"/>
      <c r="I6982" s="33"/>
      <c r="J6982" s="33"/>
      <c r="K6982" s="33"/>
      <c r="L6982" s="33"/>
      <c r="M6982" s="33"/>
      <c r="N6982" s="33"/>
      <c r="O6982" s="33"/>
      <c r="P6982" s="33"/>
      <c r="Q6982" s="33"/>
      <c r="R6982" s="33"/>
      <c r="S6982" s="33"/>
      <c r="T6982" s="33"/>
      <c r="U6982" s="33"/>
      <c r="V6982" s="33"/>
      <c r="W6982" s="33"/>
      <c r="X6982" s="33"/>
      <c r="Y6982" s="33"/>
      <c r="Z6982" s="33"/>
      <c r="AA6982" s="33"/>
      <c r="AB6982" s="33"/>
      <c r="AC6982" s="33"/>
      <c r="AD6982" s="33"/>
      <c r="AE6982" s="33"/>
      <c r="AF6982" s="33"/>
      <c r="AG6982" s="33"/>
      <c r="AH6982" s="33"/>
      <c r="AI6982" s="33"/>
      <c r="AJ6982" s="33"/>
      <c r="AK6982" s="33"/>
    </row>
    <row r="6983">
      <c r="A6983" s="33"/>
      <c r="B6983" s="33"/>
      <c r="C6983" s="33"/>
      <c r="D6983" s="33"/>
      <c r="E6983" s="33"/>
      <c r="F6983" s="33"/>
      <c r="G6983" s="33"/>
      <c r="H6983" s="33"/>
      <c r="I6983" s="33"/>
      <c r="J6983" s="33"/>
      <c r="K6983" s="33"/>
      <c r="L6983" s="33"/>
      <c r="M6983" s="33"/>
      <c r="N6983" s="33"/>
      <c r="O6983" s="33"/>
      <c r="P6983" s="33"/>
      <c r="Q6983" s="33"/>
      <c r="R6983" s="33"/>
      <c r="S6983" s="33"/>
      <c r="T6983" s="33"/>
      <c r="U6983" s="33"/>
      <c r="V6983" s="33"/>
      <c r="W6983" s="33"/>
      <c r="X6983" s="33"/>
      <c r="Y6983" s="33"/>
      <c r="Z6983" s="33"/>
      <c r="AA6983" s="33"/>
      <c r="AB6983" s="33"/>
      <c r="AC6983" s="33"/>
      <c r="AD6983" s="33"/>
      <c r="AE6983" s="33"/>
      <c r="AF6983" s="33"/>
      <c r="AG6983" s="33"/>
      <c r="AH6983" s="33"/>
      <c r="AI6983" s="33"/>
      <c r="AJ6983" s="33"/>
      <c r="AK6983" s="33"/>
    </row>
    <row r="6984">
      <c r="A6984" s="33"/>
      <c r="B6984" s="33"/>
      <c r="C6984" s="33"/>
      <c r="D6984" s="33"/>
      <c r="E6984" s="33"/>
      <c r="F6984" s="33"/>
      <c r="G6984" s="33"/>
      <c r="H6984" s="33"/>
      <c r="I6984" s="33"/>
      <c r="J6984" s="33"/>
      <c r="K6984" s="33"/>
      <c r="L6984" s="33"/>
      <c r="M6984" s="33"/>
      <c r="N6984" s="33"/>
      <c r="O6984" s="33"/>
      <c r="P6984" s="33"/>
      <c r="Q6984" s="33"/>
      <c r="R6984" s="33"/>
      <c r="S6984" s="33"/>
      <c r="T6984" s="33"/>
      <c r="U6984" s="33"/>
      <c r="V6984" s="33"/>
      <c r="W6984" s="33"/>
      <c r="X6984" s="33"/>
      <c r="Y6984" s="33"/>
      <c r="Z6984" s="33"/>
      <c r="AA6984" s="33"/>
      <c r="AB6984" s="33"/>
      <c r="AC6984" s="33"/>
      <c r="AD6984" s="33"/>
      <c r="AE6984" s="33"/>
      <c r="AF6984" s="33"/>
      <c r="AG6984" s="33"/>
      <c r="AH6984" s="33"/>
      <c r="AI6984" s="33"/>
      <c r="AJ6984" s="33"/>
      <c r="AK6984" s="33"/>
    </row>
    <row r="6985">
      <c r="A6985" s="33"/>
      <c r="B6985" s="33"/>
      <c r="C6985" s="33"/>
      <c r="D6985" s="33"/>
      <c r="E6985" s="33"/>
      <c r="F6985" s="33"/>
      <c r="G6985" s="33"/>
      <c r="H6985" s="33"/>
      <c r="I6985" s="33"/>
      <c r="J6985" s="33"/>
      <c r="K6985" s="33"/>
      <c r="L6985" s="33"/>
      <c r="M6985" s="33"/>
      <c r="N6985" s="33"/>
      <c r="O6985" s="33"/>
      <c r="P6985" s="33"/>
      <c r="Q6985" s="33"/>
      <c r="R6985" s="33"/>
      <c r="S6985" s="33"/>
      <c r="T6985" s="33"/>
      <c r="U6985" s="33"/>
      <c r="V6985" s="33"/>
      <c r="W6985" s="33"/>
      <c r="X6985" s="33"/>
      <c r="Y6985" s="33"/>
      <c r="Z6985" s="33"/>
      <c r="AA6985" s="33"/>
      <c r="AB6985" s="33"/>
      <c r="AC6985" s="33"/>
      <c r="AD6985" s="33"/>
      <c r="AE6985" s="33"/>
      <c r="AF6985" s="33"/>
      <c r="AG6985" s="33"/>
      <c r="AH6985" s="33"/>
      <c r="AI6985" s="33"/>
      <c r="AJ6985" s="33"/>
      <c r="AK6985" s="33"/>
    </row>
    <row r="6986">
      <c r="A6986" s="33"/>
      <c r="B6986" s="33"/>
      <c r="C6986" s="33"/>
      <c r="D6986" s="33"/>
      <c r="E6986" s="33"/>
      <c r="F6986" s="33"/>
      <c r="G6986" s="33"/>
      <c r="H6986" s="33"/>
      <c r="I6986" s="33"/>
      <c r="J6986" s="33"/>
      <c r="K6986" s="33"/>
      <c r="L6986" s="33"/>
      <c r="M6986" s="33"/>
      <c r="N6986" s="33"/>
      <c r="O6986" s="33"/>
      <c r="P6986" s="33"/>
      <c r="Q6986" s="33"/>
      <c r="R6986" s="33"/>
      <c r="S6986" s="33"/>
      <c r="T6986" s="33"/>
      <c r="U6986" s="33"/>
      <c r="V6986" s="33"/>
      <c r="W6986" s="33"/>
      <c r="X6986" s="33"/>
      <c r="Y6986" s="33"/>
      <c r="Z6986" s="33"/>
      <c r="AA6986" s="33"/>
      <c r="AB6986" s="33"/>
      <c r="AC6986" s="33"/>
      <c r="AD6986" s="33"/>
      <c r="AE6986" s="33"/>
      <c r="AF6986" s="33"/>
      <c r="AG6986" s="33"/>
      <c r="AH6986" s="33"/>
      <c r="AI6986" s="33"/>
      <c r="AJ6986" s="33"/>
      <c r="AK6986" s="33"/>
    </row>
    <row r="6987">
      <c r="A6987" s="33"/>
      <c r="B6987" s="33"/>
      <c r="C6987" s="33"/>
      <c r="D6987" s="33"/>
      <c r="E6987" s="33"/>
      <c r="F6987" s="33"/>
      <c r="G6987" s="33"/>
      <c r="H6987" s="33"/>
      <c r="I6987" s="33"/>
      <c r="J6987" s="33"/>
      <c r="K6987" s="33"/>
      <c r="L6987" s="33"/>
      <c r="M6987" s="33"/>
      <c r="N6987" s="33"/>
      <c r="O6987" s="33"/>
      <c r="P6987" s="33"/>
      <c r="Q6987" s="33"/>
      <c r="R6987" s="33"/>
      <c r="S6987" s="33"/>
      <c r="T6987" s="33"/>
      <c r="U6987" s="33"/>
      <c r="V6987" s="33"/>
      <c r="W6987" s="33"/>
      <c r="X6987" s="33"/>
      <c r="Y6987" s="33"/>
      <c r="Z6987" s="33"/>
      <c r="AA6987" s="33"/>
      <c r="AB6987" s="33"/>
      <c r="AC6987" s="33"/>
      <c r="AD6987" s="33"/>
      <c r="AE6987" s="33"/>
      <c r="AF6987" s="33"/>
      <c r="AG6987" s="33"/>
      <c r="AH6987" s="33"/>
      <c r="AI6987" s="33"/>
      <c r="AJ6987" s="33"/>
      <c r="AK6987" s="33"/>
    </row>
    <row r="6988">
      <c r="A6988" s="33"/>
      <c r="B6988" s="33"/>
      <c r="C6988" s="33"/>
      <c r="D6988" s="33"/>
      <c r="E6988" s="33"/>
      <c r="F6988" s="33"/>
      <c r="G6988" s="33"/>
      <c r="H6988" s="33"/>
      <c r="I6988" s="33"/>
      <c r="J6988" s="33"/>
      <c r="K6988" s="33"/>
      <c r="L6988" s="33"/>
      <c r="M6988" s="33"/>
      <c r="N6988" s="33"/>
      <c r="O6988" s="33"/>
      <c r="P6988" s="33"/>
      <c r="Q6988" s="33"/>
      <c r="R6988" s="33"/>
      <c r="S6988" s="33"/>
      <c r="T6988" s="33"/>
      <c r="U6988" s="33"/>
      <c r="V6988" s="33"/>
      <c r="W6988" s="33"/>
      <c r="X6988" s="33"/>
      <c r="Y6988" s="33"/>
      <c r="Z6988" s="33"/>
      <c r="AA6988" s="33"/>
      <c r="AB6988" s="33"/>
      <c r="AC6988" s="33"/>
      <c r="AD6988" s="33"/>
      <c r="AE6988" s="33"/>
      <c r="AF6988" s="33"/>
      <c r="AG6988" s="33"/>
      <c r="AH6988" s="33"/>
      <c r="AI6988" s="33"/>
      <c r="AJ6988" s="33"/>
      <c r="AK6988" s="33"/>
    </row>
    <row r="6989">
      <c r="A6989" s="33"/>
      <c r="B6989" s="33"/>
      <c r="C6989" s="33"/>
      <c r="D6989" s="33"/>
      <c r="E6989" s="33"/>
      <c r="F6989" s="33"/>
      <c r="G6989" s="33"/>
      <c r="H6989" s="33"/>
      <c r="I6989" s="33"/>
      <c r="J6989" s="33"/>
      <c r="K6989" s="33"/>
      <c r="L6989" s="33"/>
      <c r="M6989" s="33"/>
      <c r="N6989" s="33"/>
      <c r="O6989" s="33"/>
      <c r="P6989" s="33"/>
      <c r="Q6989" s="33"/>
      <c r="R6989" s="33"/>
      <c r="S6989" s="33"/>
      <c r="T6989" s="33"/>
      <c r="U6989" s="33"/>
      <c r="V6989" s="33"/>
      <c r="W6989" s="33"/>
      <c r="X6989" s="33"/>
      <c r="Y6989" s="33"/>
      <c r="Z6989" s="33"/>
      <c r="AA6989" s="33"/>
      <c r="AB6989" s="33"/>
      <c r="AC6989" s="33"/>
      <c r="AD6989" s="33"/>
      <c r="AE6989" s="33"/>
      <c r="AF6989" s="33"/>
      <c r="AG6989" s="33"/>
      <c r="AH6989" s="33"/>
      <c r="AI6989" s="33"/>
      <c r="AJ6989" s="33"/>
      <c r="AK6989" s="33"/>
    </row>
    <row r="6990">
      <c r="A6990" s="33"/>
      <c r="B6990" s="33"/>
      <c r="C6990" s="33"/>
      <c r="D6990" s="33"/>
      <c r="E6990" s="33"/>
      <c r="F6990" s="33"/>
      <c r="G6990" s="33"/>
      <c r="H6990" s="33"/>
      <c r="I6990" s="33"/>
      <c r="J6990" s="33"/>
      <c r="K6990" s="33"/>
      <c r="L6990" s="33"/>
      <c r="M6990" s="33"/>
      <c r="N6990" s="33"/>
      <c r="O6990" s="33"/>
      <c r="P6990" s="33"/>
      <c r="Q6990" s="33"/>
      <c r="R6990" s="33"/>
      <c r="S6990" s="33"/>
      <c r="T6990" s="33"/>
      <c r="U6990" s="33"/>
      <c r="V6990" s="33"/>
      <c r="W6990" s="33"/>
      <c r="X6990" s="33"/>
      <c r="Y6990" s="33"/>
      <c r="Z6990" s="33"/>
      <c r="AA6990" s="33"/>
      <c r="AB6990" s="33"/>
      <c r="AC6990" s="33"/>
      <c r="AD6990" s="33"/>
      <c r="AE6990" s="33"/>
      <c r="AF6990" s="33"/>
      <c r="AG6990" s="33"/>
      <c r="AH6990" s="33"/>
      <c r="AI6990" s="33"/>
      <c r="AJ6990" s="33"/>
      <c r="AK6990" s="33"/>
    </row>
    <row r="6991">
      <c r="A6991" s="33"/>
      <c r="B6991" s="33"/>
      <c r="C6991" s="33"/>
      <c r="D6991" s="33"/>
      <c r="E6991" s="33"/>
      <c r="F6991" s="33"/>
      <c r="G6991" s="33"/>
      <c r="H6991" s="33"/>
      <c r="I6991" s="33"/>
      <c r="J6991" s="33"/>
      <c r="K6991" s="33"/>
      <c r="L6991" s="33"/>
      <c r="M6991" s="33"/>
      <c r="N6991" s="33"/>
      <c r="O6991" s="33"/>
      <c r="P6991" s="33"/>
      <c r="Q6991" s="33"/>
      <c r="R6991" s="33"/>
      <c r="S6991" s="33"/>
      <c r="T6991" s="33"/>
      <c r="U6991" s="33"/>
      <c r="V6991" s="33"/>
      <c r="W6991" s="33"/>
      <c r="X6991" s="33"/>
      <c r="Y6991" s="33"/>
      <c r="Z6991" s="33"/>
      <c r="AA6991" s="33"/>
      <c r="AB6991" s="33"/>
      <c r="AC6991" s="33"/>
      <c r="AD6991" s="33"/>
      <c r="AE6991" s="33"/>
      <c r="AF6991" s="33"/>
      <c r="AG6991" s="33"/>
      <c r="AH6991" s="33"/>
      <c r="AI6991" s="33"/>
      <c r="AJ6991" s="33"/>
      <c r="AK6991" s="33"/>
    </row>
    <row r="6992">
      <c r="A6992" s="33"/>
      <c r="B6992" s="33"/>
      <c r="C6992" s="33"/>
      <c r="D6992" s="33"/>
      <c r="E6992" s="33"/>
      <c r="F6992" s="33"/>
      <c r="G6992" s="33"/>
      <c r="H6992" s="33"/>
      <c r="I6992" s="33"/>
      <c r="J6992" s="33"/>
      <c r="K6992" s="33"/>
      <c r="L6992" s="33"/>
      <c r="M6992" s="33"/>
      <c r="N6992" s="33"/>
      <c r="O6992" s="33"/>
      <c r="P6992" s="33"/>
      <c r="Q6992" s="33"/>
      <c r="R6992" s="33"/>
      <c r="S6992" s="33"/>
      <c r="T6992" s="33"/>
      <c r="U6992" s="33"/>
      <c r="V6992" s="33"/>
      <c r="W6992" s="33"/>
      <c r="X6992" s="33"/>
      <c r="Y6992" s="33"/>
      <c r="Z6992" s="33"/>
      <c r="AA6992" s="33"/>
      <c r="AB6992" s="33"/>
      <c r="AC6992" s="33"/>
      <c r="AD6992" s="33"/>
      <c r="AE6992" s="33"/>
      <c r="AF6992" s="33"/>
      <c r="AG6992" s="33"/>
      <c r="AH6992" s="33"/>
      <c r="AI6992" s="33"/>
      <c r="AJ6992" s="33"/>
      <c r="AK6992" s="33"/>
    </row>
    <row r="6993">
      <c r="A6993" s="33"/>
      <c r="B6993" s="33"/>
      <c r="C6993" s="33"/>
      <c r="D6993" s="33"/>
      <c r="E6993" s="33"/>
      <c r="F6993" s="33"/>
      <c r="G6993" s="33"/>
      <c r="H6993" s="33"/>
      <c r="I6993" s="33"/>
      <c r="J6993" s="33"/>
      <c r="K6993" s="33"/>
      <c r="L6993" s="33"/>
      <c r="M6993" s="33"/>
      <c r="N6993" s="33"/>
      <c r="O6993" s="33"/>
      <c r="P6993" s="33"/>
      <c r="Q6993" s="33"/>
      <c r="R6993" s="33"/>
      <c r="S6993" s="33"/>
      <c r="T6993" s="33"/>
      <c r="U6993" s="33"/>
      <c r="V6993" s="33"/>
      <c r="W6993" s="33"/>
      <c r="X6993" s="33"/>
      <c r="Y6993" s="33"/>
      <c r="Z6993" s="33"/>
      <c r="AA6993" s="33"/>
      <c r="AB6993" s="33"/>
      <c r="AC6993" s="33"/>
      <c r="AD6993" s="33"/>
      <c r="AE6993" s="33"/>
      <c r="AF6993" s="33"/>
      <c r="AG6993" s="33"/>
      <c r="AH6993" s="33"/>
      <c r="AI6993" s="33"/>
      <c r="AJ6993" s="33"/>
      <c r="AK6993" s="33"/>
    </row>
    <row r="6994">
      <c r="A6994" s="33"/>
      <c r="B6994" s="33"/>
      <c r="C6994" s="33"/>
      <c r="D6994" s="33"/>
      <c r="E6994" s="33"/>
      <c r="F6994" s="33"/>
      <c r="G6994" s="33"/>
      <c r="H6994" s="33"/>
      <c r="I6994" s="33"/>
      <c r="J6994" s="33"/>
      <c r="K6994" s="33"/>
      <c r="L6994" s="33"/>
      <c r="M6994" s="33"/>
      <c r="N6994" s="33"/>
      <c r="O6994" s="33"/>
      <c r="P6994" s="33"/>
      <c r="Q6994" s="33"/>
      <c r="R6994" s="33"/>
      <c r="S6994" s="33"/>
      <c r="T6994" s="33"/>
      <c r="U6994" s="33"/>
      <c r="V6994" s="33"/>
      <c r="W6994" s="33"/>
      <c r="X6994" s="33"/>
      <c r="Y6994" s="33"/>
      <c r="Z6994" s="33"/>
      <c r="AA6994" s="33"/>
      <c r="AB6994" s="33"/>
      <c r="AC6994" s="33"/>
      <c r="AD6994" s="33"/>
      <c r="AE6994" s="33"/>
      <c r="AF6994" s="33"/>
      <c r="AG6994" s="33"/>
      <c r="AH6994" s="33"/>
      <c r="AI6994" s="33"/>
      <c r="AJ6994" s="33"/>
      <c r="AK6994" s="33"/>
    </row>
    <row r="6995">
      <c r="A6995" s="33"/>
      <c r="B6995" s="33"/>
      <c r="C6995" s="33"/>
      <c r="D6995" s="33"/>
      <c r="E6995" s="33"/>
      <c r="F6995" s="33"/>
      <c r="G6995" s="33"/>
      <c r="H6995" s="33"/>
      <c r="I6995" s="33"/>
      <c r="J6995" s="33"/>
      <c r="K6995" s="33"/>
      <c r="L6995" s="33"/>
      <c r="M6995" s="33"/>
      <c r="N6995" s="33"/>
      <c r="O6995" s="33"/>
      <c r="P6995" s="33"/>
      <c r="Q6995" s="33"/>
      <c r="R6995" s="33"/>
      <c r="S6995" s="33"/>
      <c r="T6995" s="33"/>
      <c r="U6995" s="33"/>
      <c r="V6995" s="33"/>
      <c r="W6995" s="33"/>
      <c r="X6995" s="33"/>
      <c r="Y6995" s="33"/>
      <c r="Z6995" s="33"/>
      <c r="AA6995" s="33"/>
      <c r="AB6995" s="33"/>
      <c r="AC6995" s="33"/>
      <c r="AD6995" s="33"/>
      <c r="AE6995" s="33"/>
      <c r="AF6995" s="33"/>
      <c r="AG6995" s="33"/>
      <c r="AH6995" s="33"/>
      <c r="AI6995" s="33"/>
      <c r="AJ6995" s="33"/>
      <c r="AK6995" s="33"/>
    </row>
    <row r="6996">
      <c r="A6996" s="33"/>
      <c r="B6996" s="33"/>
      <c r="C6996" s="33"/>
      <c r="D6996" s="33"/>
      <c r="E6996" s="33"/>
      <c r="F6996" s="33"/>
      <c r="G6996" s="33"/>
      <c r="H6996" s="33"/>
      <c r="I6996" s="33"/>
      <c r="J6996" s="33"/>
      <c r="K6996" s="33"/>
      <c r="L6996" s="33"/>
      <c r="M6996" s="33"/>
      <c r="N6996" s="33"/>
      <c r="O6996" s="33"/>
      <c r="P6996" s="33"/>
      <c r="Q6996" s="33"/>
      <c r="R6996" s="33"/>
      <c r="S6996" s="33"/>
      <c r="T6996" s="33"/>
      <c r="U6996" s="33"/>
      <c r="V6996" s="33"/>
      <c r="W6996" s="33"/>
      <c r="X6996" s="33"/>
      <c r="Y6996" s="33"/>
      <c r="Z6996" s="33"/>
      <c r="AA6996" s="33"/>
      <c r="AB6996" s="33"/>
      <c r="AC6996" s="33"/>
      <c r="AD6996" s="33"/>
      <c r="AE6996" s="33"/>
      <c r="AF6996" s="33"/>
      <c r="AG6996" s="33"/>
      <c r="AH6996" s="33"/>
      <c r="AI6996" s="33"/>
      <c r="AJ6996" s="33"/>
      <c r="AK6996" s="33"/>
    </row>
    <row r="6997">
      <c r="A6997" s="33"/>
      <c r="B6997" s="33"/>
      <c r="C6997" s="33"/>
      <c r="D6997" s="33"/>
      <c r="E6997" s="33"/>
      <c r="F6997" s="33"/>
      <c r="G6997" s="33"/>
      <c r="H6997" s="33"/>
      <c r="I6997" s="33"/>
      <c r="J6997" s="33"/>
      <c r="K6997" s="33"/>
      <c r="L6997" s="33"/>
      <c r="M6997" s="33"/>
      <c r="N6997" s="33"/>
      <c r="O6997" s="33"/>
      <c r="P6997" s="33"/>
      <c r="Q6997" s="33"/>
      <c r="R6997" s="33"/>
      <c r="S6997" s="33"/>
      <c r="T6997" s="33"/>
      <c r="U6997" s="33"/>
      <c r="V6997" s="33"/>
      <c r="W6997" s="33"/>
      <c r="X6997" s="33"/>
      <c r="Y6997" s="33"/>
      <c r="Z6997" s="33"/>
      <c r="AA6997" s="33"/>
      <c r="AB6997" s="33"/>
      <c r="AC6997" s="33"/>
      <c r="AD6997" s="33"/>
      <c r="AE6997" s="33"/>
      <c r="AF6997" s="33"/>
      <c r="AG6997" s="33"/>
      <c r="AH6997" s="33"/>
      <c r="AI6997" s="33"/>
      <c r="AJ6997" s="33"/>
      <c r="AK6997" s="33"/>
    </row>
    <row r="6998">
      <c r="A6998" s="33"/>
      <c r="B6998" s="33"/>
      <c r="C6998" s="33"/>
      <c r="D6998" s="33"/>
      <c r="E6998" s="33"/>
      <c r="F6998" s="33"/>
      <c r="G6998" s="33"/>
      <c r="H6998" s="33"/>
      <c r="I6998" s="33"/>
      <c r="J6998" s="33"/>
      <c r="K6998" s="33"/>
      <c r="L6998" s="33"/>
      <c r="M6998" s="33"/>
      <c r="N6998" s="33"/>
      <c r="O6998" s="33"/>
      <c r="P6998" s="33"/>
      <c r="Q6998" s="33"/>
      <c r="R6998" s="33"/>
      <c r="S6998" s="33"/>
      <c r="T6998" s="33"/>
      <c r="U6998" s="33"/>
      <c r="V6998" s="33"/>
      <c r="W6998" s="33"/>
      <c r="X6998" s="33"/>
      <c r="Y6998" s="33"/>
      <c r="Z6998" s="33"/>
      <c r="AA6998" s="33"/>
      <c r="AB6998" s="33"/>
      <c r="AC6998" s="33"/>
      <c r="AD6998" s="33"/>
      <c r="AE6998" s="33"/>
      <c r="AF6998" s="33"/>
      <c r="AG6998" s="33"/>
      <c r="AH6998" s="33"/>
      <c r="AI6998" s="33"/>
      <c r="AJ6998" s="33"/>
      <c r="AK6998" s="33"/>
    </row>
    <row r="6999">
      <c r="A6999" s="33"/>
      <c r="B6999" s="33"/>
      <c r="C6999" s="33"/>
      <c r="D6999" s="33"/>
      <c r="E6999" s="33"/>
      <c r="F6999" s="33"/>
      <c r="G6999" s="33"/>
      <c r="H6999" s="33"/>
      <c r="I6999" s="33"/>
      <c r="J6999" s="33"/>
      <c r="K6999" s="33"/>
      <c r="L6999" s="33"/>
      <c r="M6999" s="33"/>
      <c r="N6999" s="33"/>
      <c r="O6999" s="33"/>
      <c r="P6999" s="33"/>
      <c r="Q6999" s="33"/>
      <c r="R6999" s="33"/>
      <c r="S6999" s="33"/>
      <c r="T6999" s="33"/>
      <c r="U6999" s="33"/>
      <c r="V6999" s="33"/>
      <c r="W6999" s="33"/>
      <c r="X6999" s="33"/>
      <c r="Y6999" s="33"/>
      <c r="Z6999" s="33"/>
      <c r="AA6999" s="33"/>
      <c r="AB6999" s="33"/>
      <c r="AC6999" s="33"/>
      <c r="AD6999" s="33"/>
      <c r="AE6999" s="33"/>
      <c r="AF6999" s="33"/>
      <c r="AG6999" s="33"/>
      <c r="AH6999" s="33"/>
      <c r="AI6999" s="33"/>
      <c r="AJ6999" s="33"/>
      <c r="AK6999" s="33"/>
    </row>
    <row r="7000">
      <c r="A7000" s="33"/>
      <c r="B7000" s="33"/>
      <c r="C7000" s="33"/>
      <c r="D7000" s="33"/>
      <c r="E7000" s="33"/>
      <c r="F7000" s="33"/>
      <c r="G7000" s="33"/>
      <c r="H7000" s="33"/>
      <c r="I7000" s="33"/>
      <c r="J7000" s="33"/>
      <c r="K7000" s="33"/>
      <c r="L7000" s="33"/>
      <c r="M7000" s="33"/>
      <c r="N7000" s="33"/>
      <c r="O7000" s="33"/>
      <c r="P7000" s="33"/>
      <c r="Q7000" s="33"/>
      <c r="R7000" s="33"/>
      <c r="S7000" s="33"/>
      <c r="T7000" s="33"/>
      <c r="U7000" s="33"/>
      <c r="V7000" s="33"/>
      <c r="W7000" s="33"/>
      <c r="X7000" s="33"/>
      <c r="Y7000" s="33"/>
      <c r="Z7000" s="33"/>
      <c r="AA7000" s="33"/>
      <c r="AB7000" s="33"/>
      <c r="AC7000" s="33"/>
      <c r="AD7000" s="33"/>
      <c r="AE7000" s="33"/>
      <c r="AF7000" s="33"/>
      <c r="AG7000" s="33"/>
      <c r="AH7000" s="33"/>
      <c r="AI7000" s="33"/>
      <c r="AJ7000" s="33"/>
      <c r="AK7000" s="33"/>
    </row>
    <row r="7001">
      <c r="A7001" s="33"/>
      <c r="B7001" s="33"/>
      <c r="C7001" s="33"/>
      <c r="D7001" s="33"/>
      <c r="E7001" s="33"/>
      <c r="F7001" s="33"/>
      <c r="G7001" s="33"/>
      <c r="H7001" s="33"/>
      <c r="I7001" s="33"/>
      <c r="J7001" s="33"/>
      <c r="K7001" s="33"/>
      <c r="L7001" s="33"/>
      <c r="M7001" s="33"/>
      <c r="N7001" s="33"/>
      <c r="O7001" s="33"/>
      <c r="P7001" s="33"/>
      <c r="Q7001" s="33"/>
      <c r="R7001" s="33"/>
      <c r="S7001" s="33"/>
      <c r="T7001" s="33"/>
      <c r="U7001" s="33"/>
      <c r="V7001" s="33"/>
      <c r="W7001" s="33"/>
      <c r="X7001" s="33"/>
      <c r="Y7001" s="33"/>
      <c r="Z7001" s="33"/>
      <c r="AA7001" s="33"/>
      <c r="AB7001" s="33"/>
      <c r="AC7001" s="33"/>
      <c r="AD7001" s="33"/>
      <c r="AE7001" s="33"/>
      <c r="AF7001" s="33"/>
      <c r="AG7001" s="33"/>
      <c r="AH7001" s="33"/>
      <c r="AI7001" s="33"/>
      <c r="AJ7001" s="33"/>
      <c r="AK7001" s="33"/>
    </row>
    <row r="7002">
      <c r="A7002" s="33"/>
      <c r="B7002" s="33"/>
      <c r="C7002" s="33"/>
      <c r="D7002" s="33"/>
      <c r="E7002" s="33"/>
      <c r="F7002" s="33"/>
      <c r="G7002" s="33"/>
      <c r="H7002" s="33"/>
      <c r="I7002" s="33"/>
      <c r="J7002" s="33"/>
      <c r="K7002" s="33"/>
      <c r="L7002" s="33"/>
      <c r="M7002" s="33"/>
      <c r="N7002" s="33"/>
      <c r="O7002" s="33"/>
      <c r="P7002" s="33"/>
      <c r="Q7002" s="33"/>
      <c r="R7002" s="33"/>
      <c r="S7002" s="33"/>
      <c r="T7002" s="33"/>
      <c r="U7002" s="33"/>
      <c r="V7002" s="33"/>
      <c r="W7002" s="33"/>
      <c r="X7002" s="33"/>
      <c r="Y7002" s="33"/>
      <c r="Z7002" s="33"/>
      <c r="AA7002" s="33"/>
      <c r="AB7002" s="33"/>
      <c r="AC7002" s="33"/>
      <c r="AD7002" s="33"/>
      <c r="AE7002" s="33"/>
      <c r="AF7002" s="33"/>
      <c r="AG7002" s="33"/>
      <c r="AH7002" s="33"/>
      <c r="AI7002" s="33"/>
      <c r="AJ7002" s="33"/>
      <c r="AK7002" s="33"/>
    </row>
    <row r="7003">
      <c r="A7003" s="33"/>
      <c r="B7003" s="33"/>
      <c r="C7003" s="33"/>
      <c r="D7003" s="33"/>
      <c r="E7003" s="33"/>
      <c r="F7003" s="33"/>
      <c r="G7003" s="33"/>
      <c r="H7003" s="33"/>
      <c r="I7003" s="33"/>
      <c r="J7003" s="33"/>
      <c r="K7003" s="33"/>
      <c r="L7003" s="33"/>
      <c r="M7003" s="33"/>
      <c r="N7003" s="33"/>
      <c r="O7003" s="33"/>
      <c r="P7003" s="33"/>
      <c r="Q7003" s="33"/>
      <c r="R7003" s="33"/>
      <c r="S7003" s="33"/>
      <c r="T7003" s="33"/>
      <c r="U7003" s="33"/>
      <c r="V7003" s="33"/>
      <c r="W7003" s="33"/>
      <c r="X7003" s="33"/>
      <c r="Y7003" s="33"/>
      <c r="Z7003" s="33"/>
      <c r="AA7003" s="33"/>
      <c r="AB7003" s="33"/>
      <c r="AC7003" s="33"/>
      <c r="AD7003" s="33"/>
      <c r="AE7003" s="33"/>
      <c r="AF7003" s="33"/>
      <c r="AG7003" s="33"/>
      <c r="AH7003" s="33"/>
      <c r="AI7003" s="33"/>
      <c r="AJ7003" s="33"/>
      <c r="AK7003" s="33"/>
    </row>
    <row r="7004">
      <c r="A7004" s="33"/>
      <c r="B7004" s="33"/>
      <c r="C7004" s="33"/>
      <c r="D7004" s="33"/>
      <c r="E7004" s="33"/>
      <c r="F7004" s="33"/>
      <c r="G7004" s="33"/>
      <c r="H7004" s="33"/>
      <c r="I7004" s="33"/>
      <c r="J7004" s="33"/>
      <c r="K7004" s="33"/>
      <c r="L7004" s="33"/>
      <c r="M7004" s="33"/>
      <c r="N7004" s="33"/>
      <c r="O7004" s="33"/>
      <c r="P7004" s="33"/>
      <c r="Q7004" s="33"/>
      <c r="R7004" s="33"/>
      <c r="S7004" s="33"/>
      <c r="T7004" s="33"/>
      <c r="U7004" s="33"/>
      <c r="V7004" s="33"/>
      <c r="W7004" s="33"/>
      <c r="X7004" s="33"/>
      <c r="Y7004" s="33"/>
      <c r="Z7004" s="33"/>
      <c r="AA7004" s="33"/>
      <c r="AB7004" s="33"/>
      <c r="AC7004" s="33"/>
      <c r="AD7004" s="33"/>
      <c r="AE7004" s="33"/>
      <c r="AF7004" s="33"/>
      <c r="AG7004" s="33"/>
      <c r="AH7004" s="33"/>
      <c r="AI7004" s="33"/>
      <c r="AJ7004" s="33"/>
      <c r="AK7004" s="33"/>
    </row>
    <row r="7005">
      <c r="A7005" s="33"/>
      <c r="B7005" s="33"/>
      <c r="C7005" s="33"/>
      <c r="D7005" s="33"/>
      <c r="E7005" s="33"/>
      <c r="F7005" s="33"/>
      <c r="G7005" s="33"/>
      <c r="H7005" s="33"/>
      <c r="I7005" s="33"/>
      <c r="J7005" s="33"/>
      <c r="K7005" s="33"/>
      <c r="L7005" s="33"/>
      <c r="M7005" s="33"/>
      <c r="N7005" s="33"/>
      <c r="O7005" s="33"/>
      <c r="P7005" s="33"/>
      <c r="Q7005" s="33"/>
      <c r="R7005" s="33"/>
      <c r="S7005" s="33"/>
      <c r="T7005" s="33"/>
      <c r="U7005" s="33"/>
      <c r="V7005" s="33"/>
      <c r="W7005" s="33"/>
      <c r="X7005" s="33"/>
      <c r="Y7005" s="33"/>
      <c r="Z7005" s="33"/>
      <c r="AA7005" s="33"/>
      <c r="AB7005" s="33"/>
      <c r="AC7005" s="33"/>
      <c r="AD7005" s="33"/>
      <c r="AE7005" s="33"/>
      <c r="AF7005" s="33"/>
      <c r="AG7005" s="33"/>
      <c r="AH7005" s="33"/>
      <c r="AI7005" s="33"/>
      <c r="AJ7005" s="33"/>
      <c r="AK7005" s="33"/>
    </row>
    <row r="7006">
      <c r="A7006" s="33"/>
      <c r="B7006" s="33"/>
      <c r="C7006" s="33"/>
      <c r="D7006" s="33"/>
      <c r="E7006" s="33"/>
      <c r="F7006" s="33"/>
      <c r="G7006" s="33"/>
      <c r="H7006" s="33"/>
      <c r="I7006" s="33"/>
      <c r="J7006" s="33"/>
      <c r="K7006" s="33"/>
      <c r="L7006" s="33"/>
      <c r="M7006" s="33"/>
      <c r="N7006" s="33"/>
      <c r="O7006" s="33"/>
      <c r="P7006" s="33"/>
      <c r="Q7006" s="33"/>
      <c r="R7006" s="33"/>
      <c r="S7006" s="33"/>
      <c r="T7006" s="33"/>
      <c r="U7006" s="33"/>
      <c r="V7006" s="33"/>
      <c r="W7006" s="33"/>
      <c r="X7006" s="33"/>
      <c r="Y7006" s="33"/>
      <c r="Z7006" s="33"/>
      <c r="AA7006" s="33"/>
      <c r="AB7006" s="33"/>
      <c r="AC7006" s="33"/>
      <c r="AD7006" s="33"/>
      <c r="AE7006" s="33"/>
      <c r="AF7006" s="33"/>
      <c r="AG7006" s="33"/>
      <c r="AH7006" s="33"/>
      <c r="AI7006" s="33"/>
      <c r="AJ7006" s="33"/>
      <c r="AK7006" s="33"/>
    </row>
    <row r="7007">
      <c r="A7007" s="33"/>
      <c r="B7007" s="33"/>
      <c r="C7007" s="33"/>
      <c r="D7007" s="33"/>
      <c r="E7007" s="33"/>
      <c r="F7007" s="33"/>
      <c r="G7007" s="33"/>
      <c r="H7007" s="33"/>
      <c r="I7007" s="33"/>
      <c r="J7007" s="33"/>
      <c r="K7007" s="33"/>
      <c r="L7007" s="33"/>
      <c r="M7007" s="33"/>
      <c r="N7007" s="33"/>
      <c r="O7007" s="33"/>
      <c r="P7007" s="33"/>
      <c r="Q7007" s="33"/>
      <c r="R7007" s="33"/>
      <c r="S7007" s="33"/>
      <c r="T7007" s="33"/>
      <c r="U7007" s="33"/>
      <c r="V7007" s="33"/>
      <c r="W7007" s="33"/>
      <c r="X7007" s="33"/>
      <c r="Y7007" s="33"/>
      <c r="Z7007" s="33"/>
      <c r="AA7007" s="33"/>
      <c r="AB7007" s="33"/>
      <c r="AC7007" s="33"/>
      <c r="AD7007" s="33"/>
      <c r="AE7007" s="33"/>
      <c r="AF7007" s="33"/>
      <c r="AG7007" s="33"/>
      <c r="AH7007" s="33"/>
      <c r="AI7007" s="33"/>
      <c r="AJ7007" s="33"/>
      <c r="AK7007" s="33"/>
    </row>
    <row r="7008">
      <c r="A7008" s="33"/>
      <c r="B7008" s="33"/>
      <c r="C7008" s="33"/>
      <c r="D7008" s="33"/>
      <c r="E7008" s="33"/>
      <c r="F7008" s="33"/>
      <c r="G7008" s="33"/>
      <c r="H7008" s="33"/>
      <c r="I7008" s="33"/>
      <c r="J7008" s="33"/>
      <c r="K7008" s="33"/>
      <c r="L7008" s="33"/>
      <c r="M7008" s="33"/>
      <c r="N7008" s="33"/>
      <c r="O7008" s="33"/>
      <c r="P7008" s="33"/>
      <c r="Q7008" s="33"/>
      <c r="R7008" s="33"/>
      <c r="S7008" s="33"/>
      <c r="T7008" s="33"/>
      <c r="U7008" s="33"/>
      <c r="V7008" s="33"/>
      <c r="W7008" s="33"/>
      <c r="X7008" s="33"/>
      <c r="Y7008" s="33"/>
      <c r="Z7008" s="33"/>
      <c r="AA7008" s="33"/>
      <c r="AB7008" s="33"/>
      <c r="AC7008" s="33"/>
      <c r="AD7008" s="33"/>
      <c r="AE7008" s="33"/>
      <c r="AF7008" s="33"/>
      <c r="AG7008" s="33"/>
      <c r="AH7008" s="33"/>
      <c r="AI7008" s="33"/>
      <c r="AJ7008" s="33"/>
      <c r="AK7008" s="33"/>
    </row>
    <row r="7009">
      <c r="A7009" s="33"/>
      <c r="B7009" s="33"/>
      <c r="C7009" s="33"/>
      <c r="D7009" s="33"/>
      <c r="E7009" s="33"/>
      <c r="F7009" s="33"/>
      <c r="G7009" s="33"/>
      <c r="H7009" s="33"/>
      <c r="I7009" s="33"/>
      <c r="J7009" s="33"/>
      <c r="K7009" s="33"/>
      <c r="L7009" s="33"/>
      <c r="M7009" s="33"/>
      <c r="N7009" s="33"/>
      <c r="O7009" s="33"/>
      <c r="P7009" s="33"/>
      <c r="Q7009" s="33"/>
      <c r="R7009" s="33"/>
      <c r="S7009" s="33"/>
      <c r="T7009" s="33"/>
      <c r="U7009" s="33"/>
      <c r="V7009" s="33"/>
      <c r="W7009" s="33"/>
      <c r="X7009" s="33"/>
      <c r="Y7009" s="33"/>
      <c r="Z7009" s="33"/>
      <c r="AA7009" s="33"/>
      <c r="AB7009" s="33"/>
      <c r="AC7009" s="33"/>
      <c r="AD7009" s="33"/>
      <c r="AE7009" s="33"/>
      <c r="AF7009" s="33"/>
      <c r="AG7009" s="33"/>
      <c r="AH7009" s="33"/>
      <c r="AI7009" s="33"/>
      <c r="AJ7009" s="33"/>
      <c r="AK7009" s="33"/>
    </row>
    <row r="7010">
      <c r="A7010" s="33"/>
      <c r="B7010" s="33"/>
      <c r="C7010" s="33"/>
      <c r="D7010" s="33"/>
      <c r="E7010" s="33"/>
      <c r="F7010" s="33"/>
      <c r="G7010" s="33"/>
      <c r="H7010" s="33"/>
      <c r="I7010" s="33"/>
      <c r="J7010" s="33"/>
      <c r="K7010" s="33"/>
      <c r="L7010" s="33"/>
      <c r="M7010" s="33"/>
      <c r="N7010" s="33"/>
      <c r="O7010" s="33"/>
      <c r="P7010" s="33"/>
      <c r="Q7010" s="33"/>
      <c r="R7010" s="33"/>
      <c r="S7010" s="33"/>
      <c r="T7010" s="33"/>
      <c r="U7010" s="33"/>
      <c r="V7010" s="33"/>
      <c r="W7010" s="33"/>
      <c r="X7010" s="33"/>
      <c r="Y7010" s="33"/>
      <c r="Z7010" s="33"/>
      <c r="AA7010" s="33"/>
      <c r="AB7010" s="33"/>
      <c r="AC7010" s="33"/>
      <c r="AD7010" s="33"/>
      <c r="AE7010" s="33"/>
      <c r="AF7010" s="33"/>
      <c r="AG7010" s="33"/>
      <c r="AH7010" s="33"/>
      <c r="AI7010" s="33"/>
      <c r="AJ7010" s="33"/>
      <c r="AK7010" s="33"/>
    </row>
    <row r="7011">
      <c r="A7011" s="33"/>
      <c r="B7011" s="33"/>
      <c r="C7011" s="33"/>
      <c r="D7011" s="33"/>
      <c r="E7011" s="33"/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33"/>
      <c r="Q7011" s="33"/>
      <c r="R7011" s="33"/>
      <c r="S7011" s="33"/>
      <c r="T7011" s="33"/>
      <c r="U7011" s="33"/>
      <c r="V7011" s="33"/>
      <c r="W7011" s="33"/>
      <c r="X7011" s="33"/>
      <c r="Y7011" s="33"/>
      <c r="Z7011" s="33"/>
      <c r="AA7011" s="33"/>
      <c r="AB7011" s="33"/>
      <c r="AC7011" s="33"/>
      <c r="AD7011" s="33"/>
      <c r="AE7011" s="33"/>
      <c r="AF7011" s="33"/>
      <c r="AG7011" s="33"/>
      <c r="AH7011" s="33"/>
      <c r="AI7011" s="33"/>
      <c r="AJ7011" s="33"/>
      <c r="AK7011" s="33"/>
    </row>
    <row r="7012">
      <c r="A7012" s="33"/>
      <c r="B7012" s="33"/>
      <c r="C7012" s="33"/>
      <c r="D7012" s="33"/>
      <c r="E7012" s="33"/>
      <c r="F7012" s="33"/>
      <c r="G7012" s="33"/>
      <c r="H7012" s="33"/>
      <c r="I7012" s="33"/>
      <c r="J7012" s="33"/>
      <c r="K7012" s="33"/>
      <c r="L7012" s="33"/>
      <c r="M7012" s="33"/>
      <c r="N7012" s="33"/>
      <c r="O7012" s="33"/>
      <c r="P7012" s="33"/>
      <c r="Q7012" s="33"/>
      <c r="R7012" s="33"/>
      <c r="S7012" s="33"/>
      <c r="T7012" s="33"/>
      <c r="U7012" s="33"/>
      <c r="V7012" s="33"/>
      <c r="W7012" s="33"/>
      <c r="X7012" s="33"/>
      <c r="Y7012" s="33"/>
      <c r="Z7012" s="33"/>
      <c r="AA7012" s="33"/>
      <c r="AB7012" s="33"/>
      <c r="AC7012" s="33"/>
      <c r="AD7012" s="33"/>
      <c r="AE7012" s="33"/>
      <c r="AF7012" s="33"/>
      <c r="AG7012" s="33"/>
      <c r="AH7012" s="33"/>
      <c r="AI7012" s="33"/>
      <c r="AJ7012" s="33"/>
      <c r="AK7012" s="33"/>
    </row>
    <row r="7013">
      <c r="A7013" s="33"/>
      <c r="B7013" s="33"/>
      <c r="C7013" s="33"/>
      <c r="D7013" s="33"/>
      <c r="E7013" s="33"/>
      <c r="F7013" s="33"/>
      <c r="G7013" s="33"/>
      <c r="H7013" s="33"/>
      <c r="I7013" s="33"/>
      <c r="J7013" s="33"/>
      <c r="K7013" s="33"/>
      <c r="L7013" s="33"/>
      <c r="M7013" s="33"/>
      <c r="N7013" s="33"/>
      <c r="O7013" s="33"/>
      <c r="P7013" s="33"/>
      <c r="Q7013" s="33"/>
      <c r="R7013" s="33"/>
      <c r="S7013" s="33"/>
      <c r="T7013" s="33"/>
      <c r="U7013" s="33"/>
      <c r="V7013" s="33"/>
      <c r="W7013" s="33"/>
      <c r="X7013" s="33"/>
      <c r="Y7013" s="33"/>
      <c r="Z7013" s="33"/>
      <c r="AA7013" s="33"/>
      <c r="AB7013" s="33"/>
      <c r="AC7013" s="33"/>
      <c r="AD7013" s="33"/>
      <c r="AE7013" s="33"/>
      <c r="AF7013" s="33"/>
      <c r="AG7013" s="33"/>
      <c r="AH7013" s="33"/>
      <c r="AI7013" s="33"/>
      <c r="AJ7013" s="33"/>
      <c r="AK7013" s="33"/>
    </row>
    <row r="7014">
      <c r="A7014" s="33"/>
      <c r="B7014" s="33"/>
      <c r="C7014" s="33"/>
      <c r="D7014" s="33"/>
      <c r="E7014" s="33"/>
      <c r="F7014" s="33"/>
      <c r="G7014" s="33"/>
      <c r="H7014" s="33"/>
      <c r="I7014" s="33"/>
      <c r="J7014" s="33"/>
      <c r="K7014" s="33"/>
      <c r="L7014" s="33"/>
      <c r="M7014" s="33"/>
      <c r="N7014" s="33"/>
      <c r="O7014" s="33"/>
      <c r="P7014" s="33"/>
      <c r="Q7014" s="33"/>
      <c r="R7014" s="33"/>
      <c r="S7014" s="33"/>
      <c r="T7014" s="33"/>
      <c r="U7014" s="33"/>
      <c r="V7014" s="33"/>
      <c r="W7014" s="33"/>
      <c r="X7014" s="33"/>
      <c r="Y7014" s="33"/>
      <c r="Z7014" s="33"/>
      <c r="AA7014" s="33"/>
      <c r="AB7014" s="33"/>
      <c r="AC7014" s="33"/>
      <c r="AD7014" s="33"/>
      <c r="AE7014" s="33"/>
      <c r="AF7014" s="33"/>
      <c r="AG7014" s="33"/>
      <c r="AH7014" s="33"/>
      <c r="AI7014" s="33"/>
      <c r="AJ7014" s="33"/>
      <c r="AK7014" s="33"/>
    </row>
    <row r="7015">
      <c r="A7015" s="33"/>
      <c r="B7015" s="33"/>
      <c r="C7015" s="33"/>
      <c r="D7015" s="33"/>
      <c r="E7015" s="33"/>
      <c r="F7015" s="33"/>
      <c r="G7015" s="33"/>
      <c r="H7015" s="33"/>
      <c r="I7015" s="33"/>
      <c r="J7015" s="33"/>
      <c r="K7015" s="33"/>
      <c r="L7015" s="33"/>
      <c r="M7015" s="33"/>
      <c r="N7015" s="33"/>
      <c r="O7015" s="33"/>
      <c r="P7015" s="33"/>
      <c r="Q7015" s="33"/>
      <c r="R7015" s="33"/>
      <c r="S7015" s="33"/>
      <c r="T7015" s="33"/>
      <c r="U7015" s="33"/>
      <c r="V7015" s="33"/>
      <c r="W7015" s="33"/>
      <c r="X7015" s="33"/>
      <c r="Y7015" s="33"/>
      <c r="Z7015" s="33"/>
      <c r="AA7015" s="33"/>
      <c r="AB7015" s="33"/>
      <c r="AC7015" s="33"/>
      <c r="AD7015" s="33"/>
      <c r="AE7015" s="33"/>
      <c r="AF7015" s="33"/>
      <c r="AG7015" s="33"/>
      <c r="AH7015" s="33"/>
      <c r="AI7015" s="33"/>
      <c r="AJ7015" s="33"/>
      <c r="AK7015" s="33"/>
    </row>
    <row r="7016">
      <c r="A7016" s="33"/>
      <c r="B7016" s="33"/>
      <c r="C7016" s="33"/>
      <c r="D7016" s="33"/>
      <c r="E7016" s="33"/>
      <c r="F7016" s="33"/>
      <c r="G7016" s="33"/>
      <c r="H7016" s="33"/>
      <c r="I7016" s="33"/>
      <c r="J7016" s="33"/>
      <c r="K7016" s="33"/>
      <c r="L7016" s="33"/>
      <c r="M7016" s="33"/>
      <c r="N7016" s="33"/>
      <c r="O7016" s="33"/>
      <c r="P7016" s="33"/>
      <c r="Q7016" s="33"/>
      <c r="R7016" s="33"/>
      <c r="S7016" s="33"/>
      <c r="T7016" s="33"/>
      <c r="U7016" s="33"/>
      <c r="V7016" s="33"/>
      <c r="W7016" s="33"/>
      <c r="X7016" s="33"/>
      <c r="Y7016" s="33"/>
      <c r="Z7016" s="33"/>
      <c r="AA7016" s="33"/>
      <c r="AB7016" s="33"/>
      <c r="AC7016" s="33"/>
      <c r="AD7016" s="33"/>
      <c r="AE7016" s="33"/>
      <c r="AF7016" s="33"/>
      <c r="AG7016" s="33"/>
      <c r="AH7016" s="33"/>
      <c r="AI7016" s="33"/>
      <c r="AJ7016" s="33"/>
      <c r="AK7016" s="33"/>
    </row>
    <row r="7017">
      <c r="A7017" s="33"/>
      <c r="B7017" s="33"/>
      <c r="C7017" s="33"/>
      <c r="D7017" s="33"/>
      <c r="E7017" s="33"/>
      <c r="F7017" s="33"/>
      <c r="G7017" s="33"/>
      <c r="H7017" s="33"/>
      <c r="I7017" s="33"/>
      <c r="J7017" s="33"/>
      <c r="K7017" s="33"/>
      <c r="L7017" s="33"/>
      <c r="M7017" s="33"/>
      <c r="N7017" s="33"/>
      <c r="O7017" s="33"/>
      <c r="P7017" s="33"/>
      <c r="Q7017" s="33"/>
      <c r="R7017" s="33"/>
      <c r="S7017" s="33"/>
      <c r="T7017" s="33"/>
      <c r="U7017" s="33"/>
      <c r="V7017" s="33"/>
      <c r="W7017" s="33"/>
      <c r="X7017" s="33"/>
      <c r="Y7017" s="33"/>
      <c r="Z7017" s="33"/>
      <c r="AA7017" s="33"/>
      <c r="AB7017" s="33"/>
      <c r="AC7017" s="33"/>
      <c r="AD7017" s="33"/>
      <c r="AE7017" s="33"/>
      <c r="AF7017" s="33"/>
      <c r="AG7017" s="33"/>
      <c r="AH7017" s="33"/>
      <c r="AI7017" s="33"/>
      <c r="AJ7017" s="33"/>
      <c r="AK7017" s="33"/>
    </row>
    <row r="7018">
      <c r="A7018" s="33"/>
      <c r="B7018" s="33"/>
      <c r="C7018" s="33"/>
      <c r="D7018" s="33"/>
      <c r="E7018" s="33"/>
      <c r="F7018" s="33"/>
      <c r="G7018" s="33"/>
      <c r="H7018" s="33"/>
      <c r="I7018" s="33"/>
      <c r="J7018" s="33"/>
      <c r="K7018" s="33"/>
      <c r="L7018" s="33"/>
      <c r="M7018" s="33"/>
      <c r="N7018" s="33"/>
      <c r="O7018" s="33"/>
      <c r="P7018" s="33"/>
      <c r="Q7018" s="33"/>
      <c r="R7018" s="33"/>
      <c r="S7018" s="33"/>
      <c r="T7018" s="33"/>
      <c r="U7018" s="33"/>
      <c r="V7018" s="33"/>
      <c r="W7018" s="33"/>
      <c r="X7018" s="33"/>
      <c r="Y7018" s="33"/>
      <c r="Z7018" s="33"/>
      <c r="AA7018" s="33"/>
      <c r="AB7018" s="33"/>
      <c r="AC7018" s="33"/>
      <c r="AD7018" s="33"/>
      <c r="AE7018" s="33"/>
      <c r="AF7018" s="33"/>
      <c r="AG7018" s="33"/>
      <c r="AH7018" s="33"/>
      <c r="AI7018" s="33"/>
      <c r="AJ7018" s="33"/>
      <c r="AK7018" s="33"/>
    </row>
    <row r="7019">
      <c r="A7019" s="33"/>
      <c r="B7019" s="33"/>
      <c r="C7019" s="33"/>
      <c r="D7019" s="33"/>
      <c r="E7019" s="33"/>
      <c r="F7019" s="33"/>
      <c r="G7019" s="33"/>
      <c r="H7019" s="33"/>
      <c r="I7019" s="33"/>
      <c r="J7019" s="33"/>
      <c r="K7019" s="33"/>
      <c r="L7019" s="33"/>
      <c r="M7019" s="33"/>
      <c r="N7019" s="33"/>
      <c r="O7019" s="33"/>
      <c r="P7019" s="33"/>
      <c r="Q7019" s="33"/>
      <c r="R7019" s="33"/>
      <c r="S7019" s="33"/>
      <c r="T7019" s="33"/>
      <c r="U7019" s="33"/>
      <c r="V7019" s="33"/>
      <c r="W7019" s="33"/>
      <c r="X7019" s="33"/>
      <c r="Y7019" s="33"/>
      <c r="Z7019" s="33"/>
      <c r="AA7019" s="33"/>
      <c r="AB7019" s="33"/>
      <c r="AC7019" s="33"/>
      <c r="AD7019" s="33"/>
      <c r="AE7019" s="33"/>
      <c r="AF7019" s="33"/>
      <c r="AG7019" s="33"/>
      <c r="AH7019" s="33"/>
      <c r="AI7019" s="33"/>
      <c r="AJ7019" s="33"/>
      <c r="AK7019" s="33"/>
    </row>
    <row r="7020">
      <c r="A7020" s="33"/>
      <c r="B7020" s="33"/>
      <c r="C7020" s="33"/>
      <c r="D7020" s="33"/>
      <c r="E7020" s="33"/>
      <c r="F7020" s="33"/>
      <c r="G7020" s="33"/>
      <c r="H7020" s="33"/>
      <c r="I7020" s="33"/>
      <c r="J7020" s="33"/>
      <c r="K7020" s="33"/>
      <c r="L7020" s="33"/>
      <c r="M7020" s="33"/>
      <c r="N7020" s="33"/>
      <c r="O7020" s="33"/>
      <c r="P7020" s="33"/>
      <c r="Q7020" s="33"/>
      <c r="R7020" s="33"/>
      <c r="S7020" s="33"/>
      <c r="T7020" s="33"/>
      <c r="U7020" s="33"/>
      <c r="V7020" s="33"/>
      <c r="W7020" s="33"/>
      <c r="X7020" s="33"/>
      <c r="Y7020" s="33"/>
      <c r="Z7020" s="33"/>
      <c r="AA7020" s="33"/>
      <c r="AB7020" s="33"/>
      <c r="AC7020" s="33"/>
      <c r="AD7020" s="33"/>
      <c r="AE7020" s="33"/>
      <c r="AF7020" s="33"/>
      <c r="AG7020" s="33"/>
      <c r="AH7020" s="33"/>
      <c r="AI7020" s="33"/>
      <c r="AJ7020" s="33"/>
      <c r="AK7020" s="33"/>
    </row>
    <row r="7021">
      <c r="A7021" s="33"/>
      <c r="B7021" s="33"/>
      <c r="C7021" s="33"/>
      <c r="D7021" s="33"/>
      <c r="E7021" s="33"/>
      <c r="F7021" s="33"/>
      <c r="G7021" s="33"/>
      <c r="H7021" s="33"/>
      <c r="I7021" s="33"/>
      <c r="J7021" s="33"/>
      <c r="K7021" s="33"/>
      <c r="L7021" s="33"/>
      <c r="M7021" s="33"/>
      <c r="N7021" s="33"/>
      <c r="O7021" s="33"/>
      <c r="P7021" s="33"/>
      <c r="Q7021" s="33"/>
      <c r="R7021" s="33"/>
      <c r="S7021" s="33"/>
      <c r="T7021" s="33"/>
      <c r="U7021" s="33"/>
      <c r="V7021" s="33"/>
      <c r="W7021" s="33"/>
      <c r="X7021" s="33"/>
      <c r="Y7021" s="33"/>
      <c r="Z7021" s="33"/>
      <c r="AA7021" s="33"/>
      <c r="AB7021" s="33"/>
      <c r="AC7021" s="33"/>
      <c r="AD7021" s="33"/>
      <c r="AE7021" s="33"/>
      <c r="AF7021" s="33"/>
      <c r="AG7021" s="33"/>
      <c r="AH7021" s="33"/>
      <c r="AI7021" s="33"/>
      <c r="AJ7021" s="33"/>
      <c r="AK7021" s="33"/>
    </row>
    <row r="7022">
      <c r="A7022" s="33"/>
      <c r="B7022" s="33"/>
      <c r="C7022" s="33"/>
      <c r="D7022" s="33"/>
      <c r="E7022" s="33"/>
      <c r="F7022" s="33"/>
      <c r="G7022" s="33"/>
      <c r="H7022" s="33"/>
      <c r="I7022" s="33"/>
      <c r="J7022" s="33"/>
      <c r="K7022" s="33"/>
      <c r="L7022" s="33"/>
      <c r="M7022" s="33"/>
      <c r="N7022" s="33"/>
      <c r="O7022" s="33"/>
      <c r="P7022" s="33"/>
      <c r="Q7022" s="33"/>
      <c r="R7022" s="33"/>
      <c r="S7022" s="33"/>
      <c r="T7022" s="33"/>
      <c r="U7022" s="33"/>
      <c r="V7022" s="33"/>
      <c r="W7022" s="33"/>
      <c r="X7022" s="33"/>
      <c r="Y7022" s="33"/>
      <c r="Z7022" s="33"/>
      <c r="AA7022" s="33"/>
      <c r="AB7022" s="33"/>
      <c r="AC7022" s="33"/>
      <c r="AD7022" s="33"/>
      <c r="AE7022" s="33"/>
      <c r="AF7022" s="33"/>
      <c r="AG7022" s="33"/>
      <c r="AH7022" s="33"/>
      <c r="AI7022" s="33"/>
      <c r="AJ7022" s="33"/>
      <c r="AK7022" s="33"/>
    </row>
    <row r="7023">
      <c r="A7023" s="33"/>
      <c r="B7023" s="33"/>
      <c r="C7023" s="33"/>
      <c r="D7023" s="33"/>
      <c r="E7023" s="33"/>
      <c r="F7023" s="33"/>
      <c r="G7023" s="33"/>
      <c r="H7023" s="33"/>
      <c r="I7023" s="33"/>
      <c r="J7023" s="33"/>
      <c r="K7023" s="33"/>
      <c r="L7023" s="33"/>
      <c r="M7023" s="33"/>
      <c r="N7023" s="33"/>
      <c r="O7023" s="33"/>
      <c r="P7023" s="33"/>
      <c r="Q7023" s="33"/>
      <c r="R7023" s="33"/>
      <c r="S7023" s="33"/>
      <c r="T7023" s="33"/>
      <c r="U7023" s="33"/>
      <c r="V7023" s="33"/>
      <c r="W7023" s="33"/>
      <c r="X7023" s="33"/>
      <c r="Y7023" s="33"/>
      <c r="Z7023" s="33"/>
      <c r="AA7023" s="33"/>
      <c r="AB7023" s="33"/>
      <c r="AC7023" s="33"/>
      <c r="AD7023" s="33"/>
      <c r="AE7023" s="33"/>
      <c r="AF7023" s="33"/>
      <c r="AG7023" s="33"/>
      <c r="AH7023" s="33"/>
      <c r="AI7023" s="33"/>
      <c r="AJ7023" s="33"/>
      <c r="AK7023" s="33"/>
    </row>
    <row r="7024">
      <c r="A7024" s="33"/>
      <c r="B7024" s="33"/>
      <c r="C7024" s="33"/>
      <c r="D7024" s="33"/>
      <c r="E7024" s="33"/>
      <c r="F7024" s="33"/>
      <c r="G7024" s="33"/>
      <c r="H7024" s="33"/>
      <c r="I7024" s="33"/>
      <c r="J7024" s="33"/>
      <c r="K7024" s="33"/>
      <c r="L7024" s="33"/>
      <c r="M7024" s="33"/>
      <c r="N7024" s="33"/>
      <c r="O7024" s="33"/>
      <c r="P7024" s="33"/>
      <c r="Q7024" s="33"/>
      <c r="R7024" s="33"/>
      <c r="S7024" s="33"/>
      <c r="T7024" s="33"/>
      <c r="U7024" s="33"/>
      <c r="V7024" s="33"/>
      <c r="W7024" s="33"/>
      <c r="X7024" s="33"/>
      <c r="Y7024" s="33"/>
      <c r="Z7024" s="33"/>
      <c r="AA7024" s="33"/>
      <c r="AB7024" s="33"/>
      <c r="AC7024" s="33"/>
      <c r="AD7024" s="33"/>
      <c r="AE7024" s="33"/>
      <c r="AF7024" s="33"/>
      <c r="AG7024" s="33"/>
      <c r="AH7024" s="33"/>
      <c r="AI7024" s="33"/>
      <c r="AJ7024" s="33"/>
      <c r="AK7024" s="33"/>
    </row>
    <row r="7025">
      <c r="A7025" s="33"/>
      <c r="B7025" s="33"/>
      <c r="C7025" s="33"/>
      <c r="D7025" s="33"/>
      <c r="E7025" s="33"/>
      <c r="F7025" s="33"/>
      <c r="G7025" s="33"/>
      <c r="H7025" s="33"/>
      <c r="I7025" s="33"/>
      <c r="J7025" s="33"/>
      <c r="K7025" s="33"/>
      <c r="L7025" s="33"/>
      <c r="M7025" s="33"/>
      <c r="N7025" s="33"/>
      <c r="O7025" s="33"/>
      <c r="P7025" s="33"/>
      <c r="Q7025" s="33"/>
      <c r="R7025" s="33"/>
      <c r="S7025" s="33"/>
      <c r="T7025" s="33"/>
      <c r="U7025" s="33"/>
      <c r="V7025" s="33"/>
      <c r="W7025" s="33"/>
      <c r="X7025" s="33"/>
      <c r="Y7025" s="33"/>
      <c r="Z7025" s="33"/>
      <c r="AA7025" s="33"/>
      <c r="AB7025" s="33"/>
      <c r="AC7025" s="33"/>
      <c r="AD7025" s="33"/>
      <c r="AE7025" s="33"/>
      <c r="AF7025" s="33"/>
      <c r="AG7025" s="33"/>
      <c r="AH7025" s="33"/>
      <c r="AI7025" s="33"/>
      <c r="AJ7025" s="33"/>
      <c r="AK7025" s="33"/>
    </row>
    <row r="7026">
      <c r="A7026" s="33"/>
      <c r="B7026" s="33"/>
      <c r="C7026" s="33"/>
      <c r="D7026" s="33"/>
      <c r="E7026" s="33"/>
      <c r="F7026" s="33"/>
      <c r="G7026" s="33"/>
      <c r="H7026" s="33"/>
      <c r="I7026" s="33"/>
      <c r="J7026" s="33"/>
      <c r="K7026" s="33"/>
      <c r="L7026" s="33"/>
      <c r="M7026" s="33"/>
      <c r="N7026" s="33"/>
      <c r="O7026" s="33"/>
      <c r="P7026" s="33"/>
      <c r="Q7026" s="33"/>
      <c r="R7026" s="33"/>
      <c r="S7026" s="33"/>
      <c r="T7026" s="33"/>
      <c r="U7026" s="33"/>
      <c r="V7026" s="33"/>
      <c r="W7026" s="33"/>
      <c r="X7026" s="33"/>
      <c r="Y7026" s="33"/>
      <c r="Z7026" s="33"/>
      <c r="AA7026" s="33"/>
      <c r="AB7026" s="33"/>
      <c r="AC7026" s="33"/>
      <c r="AD7026" s="33"/>
      <c r="AE7026" s="33"/>
      <c r="AF7026" s="33"/>
      <c r="AG7026" s="33"/>
      <c r="AH7026" s="33"/>
      <c r="AI7026" s="33"/>
      <c r="AJ7026" s="33"/>
      <c r="AK7026" s="33"/>
    </row>
    <row r="7027">
      <c r="A7027" s="33"/>
      <c r="B7027" s="33"/>
      <c r="C7027" s="33"/>
      <c r="D7027" s="33"/>
      <c r="E7027" s="33"/>
      <c r="F7027" s="33"/>
      <c r="G7027" s="33"/>
      <c r="H7027" s="33"/>
      <c r="I7027" s="33"/>
      <c r="J7027" s="33"/>
      <c r="K7027" s="33"/>
      <c r="L7027" s="33"/>
      <c r="M7027" s="33"/>
      <c r="N7027" s="33"/>
      <c r="O7027" s="33"/>
      <c r="P7027" s="33"/>
      <c r="Q7027" s="33"/>
      <c r="R7027" s="33"/>
      <c r="S7027" s="33"/>
      <c r="T7027" s="33"/>
      <c r="U7027" s="33"/>
      <c r="V7027" s="33"/>
      <c r="W7027" s="33"/>
      <c r="X7027" s="33"/>
      <c r="Y7027" s="33"/>
      <c r="Z7027" s="33"/>
      <c r="AA7027" s="33"/>
      <c r="AB7027" s="33"/>
      <c r="AC7027" s="33"/>
      <c r="AD7027" s="33"/>
      <c r="AE7027" s="33"/>
      <c r="AF7027" s="33"/>
      <c r="AG7027" s="33"/>
      <c r="AH7027" s="33"/>
      <c r="AI7027" s="33"/>
      <c r="AJ7027" s="33"/>
      <c r="AK7027" s="33"/>
    </row>
    <row r="7028">
      <c r="A7028" s="33"/>
      <c r="B7028" s="33"/>
      <c r="C7028" s="33"/>
      <c r="D7028" s="33"/>
      <c r="E7028" s="33"/>
      <c r="F7028" s="33"/>
      <c r="G7028" s="33"/>
      <c r="H7028" s="33"/>
      <c r="I7028" s="33"/>
      <c r="J7028" s="33"/>
      <c r="K7028" s="33"/>
      <c r="L7028" s="33"/>
      <c r="M7028" s="33"/>
      <c r="N7028" s="33"/>
      <c r="O7028" s="33"/>
      <c r="P7028" s="33"/>
      <c r="Q7028" s="33"/>
      <c r="R7028" s="33"/>
      <c r="S7028" s="33"/>
      <c r="T7028" s="33"/>
      <c r="U7028" s="33"/>
      <c r="V7028" s="33"/>
      <c r="W7028" s="33"/>
      <c r="X7028" s="33"/>
      <c r="Y7028" s="33"/>
      <c r="Z7028" s="33"/>
      <c r="AA7028" s="33"/>
      <c r="AB7028" s="33"/>
      <c r="AC7028" s="33"/>
      <c r="AD7028" s="33"/>
      <c r="AE7028" s="33"/>
      <c r="AF7028" s="33"/>
      <c r="AG7028" s="33"/>
      <c r="AH7028" s="33"/>
      <c r="AI7028" s="33"/>
      <c r="AJ7028" s="33"/>
      <c r="AK7028" s="33"/>
    </row>
    <row r="7029">
      <c r="A7029" s="33"/>
      <c r="B7029" s="33"/>
      <c r="C7029" s="33"/>
      <c r="D7029" s="33"/>
      <c r="E7029" s="33"/>
      <c r="F7029" s="33"/>
      <c r="G7029" s="33"/>
      <c r="H7029" s="33"/>
      <c r="I7029" s="33"/>
      <c r="J7029" s="33"/>
      <c r="K7029" s="33"/>
      <c r="L7029" s="33"/>
      <c r="M7029" s="33"/>
      <c r="N7029" s="33"/>
      <c r="O7029" s="33"/>
      <c r="P7029" s="33"/>
      <c r="Q7029" s="33"/>
      <c r="R7029" s="33"/>
      <c r="S7029" s="33"/>
      <c r="T7029" s="33"/>
      <c r="U7029" s="33"/>
      <c r="V7029" s="33"/>
      <c r="W7029" s="33"/>
      <c r="X7029" s="33"/>
      <c r="Y7029" s="33"/>
      <c r="Z7029" s="33"/>
      <c r="AA7029" s="33"/>
      <c r="AB7029" s="33"/>
      <c r="AC7029" s="33"/>
      <c r="AD7029" s="33"/>
      <c r="AE7029" s="33"/>
      <c r="AF7029" s="33"/>
      <c r="AG7029" s="33"/>
      <c r="AH7029" s="33"/>
      <c r="AI7029" s="33"/>
      <c r="AJ7029" s="33"/>
      <c r="AK7029" s="33"/>
    </row>
    <row r="7030">
      <c r="A7030" s="33"/>
      <c r="B7030" s="33"/>
      <c r="C7030" s="33"/>
      <c r="D7030" s="33"/>
      <c r="E7030" s="33"/>
      <c r="F7030" s="33"/>
      <c r="G7030" s="33"/>
      <c r="H7030" s="33"/>
      <c r="I7030" s="33"/>
      <c r="J7030" s="33"/>
      <c r="K7030" s="33"/>
      <c r="L7030" s="33"/>
      <c r="M7030" s="33"/>
      <c r="N7030" s="33"/>
      <c r="O7030" s="33"/>
      <c r="P7030" s="33"/>
      <c r="Q7030" s="33"/>
      <c r="R7030" s="33"/>
      <c r="S7030" s="33"/>
      <c r="T7030" s="33"/>
      <c r="U7030" s="33"/>
      <c r="V7030" s="33"/>
      <c r="W7030" s="33"/>
      <c r="X7030" s="33"/>
      <c r="Y7030" s="33"/>
      <c r="Z7030" s="33"/>
      <c r="AA7030" s="33"/>
      <c r="AB7030" s="33"/>
      <c r="AC7030" s="33"/>
      <c r="AD7030" s="33"/>
      <c r="AE7030" s="33"/>
      <c r="AF7030" s="33"/>
      <c r="AG7030" s="33"/>
      <c r="AH7030" s="33"/>
      <c r="AI7030" s="33"/>
      <c r="AJ7030" s="33"/>
      <c r="AK7030" s="33"/>
    </row>
    <row r="7031">
      <c r="A7031" s="33"/>
      <c r="B7031" s="33"/>
      <c r="C7031" s="33"/>
      <c r="D7031" s="33"/>
      <c r="E7031" s="33"/>
      <c r="F7031" s="33"/>
      <c r="G7031" s="33"/>
      <c r="H7031" s="33"/>
      <c r="I7031" s="33"/>
      <c r="J7031" s="33"/>
      <c r="K7031" s="33"/>
      <c r="L7031" s="33"/>
      <c r="M7031" s="33"/>
      <c r="N7031" s="33"/>
      <c r="O7031" s="33"/>
      <c r="P7031" s="33"/>
      <c r="Q7031" s="33"/>
      <c r="R7031" s="33"/>
      <c r="S7031" s="33"/>
      <c r="T7031" s="33"/>
      <c r="U7031" s="33"/>
      <c r="V7031" s="33"/>
      <c r="W7031" s="33"/>
      <c r="X7031" s="33"/>
      <c r="Y7031" s="33"/>
      <c r="Z7031" s="33"/>
      <c r="AA7031" s="33"/>
      <c r="AB7031" s="33"/>
      <c r="AC7031" s="33"/>
      <c r="AD7031" s="33"/>
      <c r="AE7031" s="33"/>
      <c r="AF7031" s="33"/>
      <c r="AG7031" s="33"/>
      <c r="AH7031" s="33"/>
      <c r="AI7031" s="33"/>
      <c r="AJ7031" s="33"/>
      <c r="AK7031" s="33"/>
    </row>
    <row r="7032">
      <c r="A7032" s="33"/>
      <c r="B7032" s="33"/>
      <c r="C7032" s="33"/>
      <c r="D7032" s="33"/>
      <c r="E7032" s="33"/>
      <c r="F7032" s="33"/>
      <c r="G7032" s="33"/>
      <c r="H7032" s="33"/>
      <c r="I7032" s="33"/>
      <c r="J7032" s="33"/>
      <c r="K7032" s="33"/>
      <c r="L7032" s="33"/>
      <c r="M7032" s="33"/>
      <c r="N7032" s="33"/>
      <c r="O7032" s="33"/>
      <c r="P7032" s="33"/>
      <c r="Q7032" s="33"/>
      <c r="R7032" s="33"/>
      <c r="S7032" s="33"/>
      <c r="T7032" s="33"/>
      <c r="U7032" s="33"/>
      <c r="V7032" s="33"/>
      <c r="W7032" s="33"/>
      <c r="X7032" s="33"/>
      <c r="Y7032" s="33"/>
      <c r="Z7032" s="33"/>
      <c r="AA7032" s="33"/>
      <c r="AB7032" s="33"/>
      <c r="AC7032" s="33"/>
      <c r="AD7032" s="33"/>
      <c r="AE7032" s="33"/>
      <c r="AF7032" s="33"/>
      <c r="AG7032" s="33"/>
      <c r="AH7032" s="33"/>
      <c r="AI7032" s="33"/>
      <c r="AJ7032" s="33"/>
      <c r="AK7032" s="33"/>
    </row>
    <row r="7033">
      <c r="A7033" s="33"/>
      <c r="B7033" s="33"/>
      <c r="C7033" s="33"/>
      <c r="D7033" s="33"/>
      <c r="E7033" s="33"/>
      <c r="F7033" s="33"/>
      <c r="G7033" s="33"/>
      <c r="H7033" s="33"/>
      <c r="I7033" s="33"/>
      <c r="J7033" s="33"/>
      <c r="K7033" s="33"/>
      <c r="L7033" s="33"/>
      <c r="M7033" s="33"/>
      <c r="N7033" s="33"/>
      <c r="O7033" s="33"/>
      <c r="P7033" s="33"/>
      <c r="Q7033" s="33"/>
      <c r="R7033" s="33"/>
      <c r="S7033" s="33"/>
      <c r="T7033" s="33"/>
      <c r="U7033" s="33"/>
      <c r="V7033" s="33"/>
      <c r="W7033" s="33"/>
      <c r="X7033" s="33"/>
      <c r="Y7033" s="33"/>
      <c r="Z7033" s="33"/>
      <c r="AA7033" s="33"/>
      <c r="AB7033" s="33"/>
      <c r="AC7033" s="33"/>
      <c r="AD7033" s="33"/>
      <c r="AE7033" s="33"/>
      <c r="AF7033" s="33"/>
      <c r="AG7033" s="33"/>
      <c r="AH7033" s="33"/>
      <c r="AI7033" s="33"/>
      <c r="AJ7033" s="33"/>
      <c r="AK7033" s="33"/>
    </row>
    <row r="7034">
      <c r="A7034" s="33"/>
      <c r="B7034" s="33"/>
      <c r="C7034" s="33"/>
      <c r="D7034" s="33"/>
      <c r="E7034" s="33"/>
      <c r="F7034" s="33"/>
      <c r="G7034" s="33"/>
      <c r="H7034" s="33"/>
      <c r="I7034" s="33"/>
      <c r="J7034" s="33"/>
      <c r="K7034" s="33"/>
      <c r="L7034" s="33"/>
      <c r="M7034" s="33"/>
      <c r="N7034" s="33"/>
      <c r="O7034" s="33"/>
      <c r="P7034" s="33"/>
      <c r="Q7034" s="33"/>
      <c r="R7034" s="33"/>
      <c r="S7034" s="33"/>
      <c r="T7034" s="33"/>
      <c r="U7034" s="33"/>
      <c r="V7034" s="33"/>
      <c r="W7034" s="33"/>
      <c r="X7034" s="33"/>
      <c r="Y7034" s="33"/>
      <c r="Z7034" s="33"/>
      <c r="AA7034" s="33"/>
      <c r="AB7034" s="33"/>
      <c r="AC7034" s="33"/>
      <c r="AD7034" s="33"/>
      <c r="AE7034" s="33"/>
      <c r="AF7034" s="33"/>
      <c r="AG7034" s="33"/>
      <c r="AH7034" s="33"/>
      <c r="AI7034" s="33"/>
      <c r="AJ7034" s="33"/>
      <c r="AK7034" s="33"/>
    </row>
    <row r="7035">
      <c r="A7035" s="33"/>
      <c r="B7035" s="33"/>
      <c r="C7035" s="33"/>
      <c r="D7035" s="33"/>
      <c r="E7035" s="33"/>
      <c r="F7035" s="33"/>
      <c r="G7035" s="33"/>
      <c r="H7035" s="33"/>
      <c r="I7035" s="33"/>
      <c r="J7035" s="33"/>
      <c r="K7035" s="33"/>
      <c r="L7035" s="33"/>
      <c r="M7035" s="33"/>
      <c r="N7035" s="33"/>
      <c r="O7035" s="33"/>
      <c r="P7035" s="33"/>
      <c r="Q7035" s="33"/>
      <c r="R7035" s="33"/>
      <c r="S7035" s="33"/>
      <c r="T7035" s="33"/>
      <c r="U7035" s="33"/>
      <c r="V7035" s="33"/>
      <c r="W7035" s="33"/>
      <c r="X7035" s="33"/>
      <c r="Y7035" s="33"/>
      <c r="Z7035" s="33"/>
      <c r="AA7035" s="33"/>
      <c r="AB7035" s="33"/>
      <c r="AC7035" s="33"/>
      <c r="AD7035" s="33"/>
      <c r="AE7035" s="33"/>
      <c r="AF7035" s="33"/>
      <c r="AG7035" s="33"/>
      <c r="AH7035" s="33"/>
      <c r="AI7035" s="33"/>
      <c r="AJ7035" s="33"/>
      <c r="AK7035" s="33"/>
    </row>
    <row r="7036">
      <c r="A7036" s="33"/>
      <c r="B7036" s="33"/>
      <c r="C7036" s="33"/>
      <c r="D7036" s="33"/>
      <c r="E7036" s="33"/>
      <c r="F7036" s="33"/>
      <c r="G7036" s="33"/>
      <c r="H7036" s="33"/>
      <c r="I7036" s="33"/>
      <c r="J7036" s="33"/>
      <c r="K7036" s="33"/>
      <c r="L7036" s="33"/>
      <c r="M7036" s="33"/>
      <c r="N7036" s="33"/>
      <c r="O7036" s="33"/>
      <c r="P7036" s="33"/>
      <c r="Q7036" s="33"/>
      <c r="R7036" s="33"/>
      <c r="S7036" s="33"/>
      <c r="T7036" s="33"/>
      <c r="U7036" s="33"/>
      <c r="V7036" s="33"/>
      <c r="W7036" s="33"/>
      <c r="X7036" s="33"/>
      <c r="Y7036" s="33"/>
      <c r="Z7036" s="33"/>
      <c r="AA7036" s="33"/>
      <c r="AB7036" s="33"/>
      <c r="AC7036" s="33"/>
      <c r="AD7036" s="33"/>
      <c r="AE7036" s="33"/>
      <c r="AF7036" s="33"/>
      <c r="AG7036" s="33"/>
      <c r="AH7036" s="33"/>
      <c r="AI7036" s="33"/>
      <c r="AJ7036" s="33"/>
      <c r="AK7036" s="33"/>
    </row>
    <row r="7037">
      <c r="A7037" s="33"/>
      <c r="B7037" s="33"/>
      <c r="C7037" s="33"/>
      <c r="D7037" s="33"/>
      <c r="E7037" s="33"/>
      <c r="F7037" s="33"/>
      <c r="G7037" s="33"/>
      <c r="H7037" s="33"/>
      <c r="I7037" s="33"/>
      <c r="J7037" s="33"/>
      <c r="K7037" s="33"/>
      <c r="L7037" s="33"/>
      <c r="M7037" s="33"/>
      <c r="N7037" s="33"/>
      <c r="O7037" s="33"/>
      <c r="P7037" s="33"/>
      <c r="Q7037" s="33"/>
      <c r="R7037" s="33"/>
      <c r="S7037" s="33"/>
      <c r="T7037" s="33"/>
      <c r="U7037" s="33"/>
      <c r="V7037" s="33"/>
      <c r="W7037" s="33"/>
      <c r="X7037" s="33"/>
      <c r="Y7037" s="33"/>
      <c r="Z7037" s="33"/>
      <c r="AA7037" s="33"/>
      <c r="AB7037" s="33"/>
      <c r="AC7037" s="33"/>
      <c r="AD7037" s="33"/>
      <c r="AE7037" s="33"/>
      <c r="AF7037" s="33"/>
      <c r="AG7037" s="33"/>
      <c r="AH7037" s="33"/>
      <c r="AI7037" s="33"/>
      <c r="AJ7037" s="33"/>
      <c r="AK7037" s="33"/>
    </row>
    <row r="7038">
      <c r="A7038" s="33"/>
      <c r="B7038" s="33"/>
      <c r="C7038" s="33"/>
      <c r="D7038" s="33"/>
      <c r="E7038" s="33"/>
      <c r="F7038" s="33"/>
      <c r="G7038" s="33"/>
      <c r="H7038" s="33"/>
      <c r="I7038" s="33"/>
      <c r="J7038" s="33"/>
      <c r="K7038" s="33"/>
      <c r="L7038" s="33"/>
      <c r="M7038" s="33"/>
      <c r="N7038" s="33"/>
      <c r="O7038" s="33"/>
      <c r="P7038" s="33"/>
      <c r="Q7038" s="33"/>
      <c r="R7038" s="33"/>
      <c r="S7038" s="33"/>
      <c r="T7038" s="33"/>
      <c r="U7038" s="33"/>
      <c r="V7038" s="33"/>
      <c r="W7038" s="33"/>
      <c r="X7038" s="33"/>
      <c r="Y7038" s="33"/>
      <c r="Z7038" s="33"/>
      <c r="AA7038" s="33"/>
      <c r="AB7038" s="33"/>
      <c r="AC7038" s="33"/>
      <c r="AD7038" s="33"/>
      <c r="AE7038" s="33"/>
      <c r="AF7038" s="33"/>
      <c r="AG7038" s="33"/>
      <c r="AH7038" s="33"/>
      <c r="AI7038" s="33"/>
      <c r="AJ7038" s="33"/>
      <c r="AK7038" s="33"/>
    </row>
    <row r="7039">
      <c r="A7039" s="33"/>
      <c r="B7039" s="33"/>
      <c r="C7039" s="33"/>
      <c r="D7039" s="33"/>
      <c r="E7039" s="33"/>
      <c r="F7039" s="33"/>
      <c r="G7039" s="33"/>
      <c r="H7039" s="33"/>
      <c r="I7039" s="33"/>
      <c r="J7039" s="33"/>
      <c r="K7039" s="33"/>
      <c r="L7039" s="33"/>
      <c r="M7039" s="33"/>
      <c r="N7039" s="33"/>
      <c r="O7039" s="33"/>
      <c r="P7039" s="33"/>
      <c r="Q7039" s="33"/>
      <c r="R7039" s="33"/>
      <c r="S7039" s="33"/>
      <c r="T7039" s="33"/>
      <c r="U7039" s="33"/>
      <c r="V7039" s="33"/>
      <c r="W7039" s="33"/>
      <c r="X7039" s="33"/>
      <c r="Y7039" s="33"/>
      <c r="Z7039" s="33"/>
      <c r="AA7039" s="33"/>
      <c r="AB7039" s="33"/>
      <c r="AC7039" s="33"/>
      <c r="AD7039" s="33"/>
      <c r="AE7039" s="33"/>
      <c r="AF7039" s="33"/>
      <c r="AG7039" s="33"/>
      <c r="AH7039" s="33"/>
      <c r="AI7039" s="33"/>
      <c r="AJ7039" s="33"/>
      <c r="AK7039" s="33"/>
    </row>
    <row r="7040">
      <c r="A7040" s="33"/>
      <c r="B7040" s="33"/>
      <c r="C7040" s="33"/>
      <c r="D7040" s="33"/>
      <c r="E7040" s="33"/>
      <c r="F7040" s="33"/>
      <c r="G7040" s="33"/>
      <c r="H7040" s="33"/>
      <c r="I7040" s="33"/>
      <c r="J7040" s="33"/>
      <c r="K7040" s="33"/>
      <c r="L7040" s="33"/>
      <c r="M7040" s="33"/>
      <c r="N7040" s="33"/>
      <c r="O7040" s="33"/>
      <c r="P7040" s="33"/>
      <c r="Q7040" s="33"/>
      <c r="R7040" s="33"/>
      <c r="S7040" s="33"/>
      <c r="T7040" s="33"/>
      <c r="U7040" s="33"/>
      <c r="V7040" s="33"/>
      <c r="W7040" s="33"/>
      <c r="X7040" s="33"/>
      <c r="Y7040" s="33"/>
      <c r="Z7040" s="33"/>
      <c r="AA7040" s="33"/>
      <c r="AB7040" s="33"/>
      <c r="AC7040" s="33"/>
      <c r="AD7040" s="33"/>
      <c r="AE7040" s="33"/>
      <c r="AF7040" s="33"/>
      <c r="AG7040" s="33"/>
      <c r="AH7040" s="33"/>
      <c r="AI7040" s="33"/>
      <c r="AJ7040" s="33"/>
      <c r="AK7040" s="33"/>
    </row>
    <row r="7041">
      <c r="A7041" s="33"/>
      <c r="B7041" s="33"/>
      <c r="C7041" s="33"/>
      <c r="D7041" s="33"/>
      <c r="E7041" s="33"/>
      <c r="F7041" s="33"/>
      <c r="G7041" s="33"/>
      <c r="H7041" s="33"/>
      <c r="I7041" s="33"/>
      <c r="J7041" s="33"/>
      <c r="K7041" s="33"/>
      <c r="L7041" s="33"/>
      <c r="M7041" s="33"/>
      <c r="N7041" s="33"/>
      <c r="O7041" s="33"/>
      <c r="P7041" s="33"/>
      <c r="Q7041" s="33"/>
      <c r="R7041" s="33"/>
      <c r="S7041" s="33"/>
      <c r="T7041" s="33"/>
      <c r="U7041" s="33"/>
      <c r="V7041" s="33"/>
      <c r="W7041" s="33"/>
      <c r="X7041" s="33"/>
      <c r="Y7041" s="33"/>
      <c r="Z7041" s="33"/>
      <c r="AA7041" s="33"/>
      <c r="AB7041" s="33"/>
      <c r="AC7041" s="33"/>
      <c r="AD7041" s="33"/>
      <c r="AE7041" s="33"/>
      <c r="AF7041" s="33"/>
      <c r="AG7041" s="33"/>
      <c r="AH7041" s="33"/>
      <c r="AI7041" s="33"/>
      <c r="AJ7041" s="33"/>
      <c r="AK7041" s="33"/>
    </row>
    <row r="7042">
      <c r="A7042" s="33"/>
      <c r="B7042" s="33"/>
      <c r="C7042" s="33"/>
      <c r="D7042" s="33"/>
      <c r="E7042" s="33"/>
      <c r="F7042" s="33"/>
      <c r="G7042" s="33"/>
      <c r="H7042" s="33"/>
      <c r="I7042" s="33"/>
      <c r="J7042" s="33"/>
      <c r="K7042" s="33"/>
      <c r="L7042" s="33"/>
      <c r="M7042" s="33"/>
      <c r="N7042" s="33"/>
      <c r="O7042" s="33"/>
      <c r="P7042" s="33"/>
      <c r="Q7042" s="33"/>
      <c r="R7042" s="33"/>
      <c r="S7042" s="33"/>
      <c r="T7042" s="33"/>
      <c r="U7042" s="33"/>
      <c r="V7042" s="33"/>
      <c r="W7042" s="33"/>
      <c r="X7042" s="33"/>
      <c r="Y7042" s="33"/>
      <c r="Z7042" s="33"/>
      <c r="AA7042" s="33"/>
      <c r="AB7042" s="33"/>
      <c r="AC7042" s="33"/>
      <c r="AD7042" s="33"/>
      <c r="AE7042" s="33"/>
      <c r="AF7042" s="33"/>
      <c r="AG7042" s="33"/>
      <c r="AH7042" s="33"/>
      <c r="AI7042" s="33"/>
      <c r="AJ7042" s="33"/>
      <c r="AK7042" s="33"/>
    </row>
    <row r="7043">
      <c r="A7043" s="33"/>
      <c r="B7043" s="33"/>
      <c r="C7043" s="33"/>
      <c r="D7043" s="33"/>
      <c r="E7043" s="33"/>
      <c r="F7043" s="33"/>
      <c r="G7043" s="33"/>
      <c r="H7043" s="33"/>
      <c r="I7043" s="33"/>
      <c r="J7043" s="33"/>
      <c r="K7043" s="33"/>
      <c r="L7043" s="33"/>
      <c r="M7043" s="33"/>
      <c r="N7043" s="33"/>
      <c r="O7043" s="33"/>
      <c r="P7043" s="33"/>
      <c r="Q7043" s="33"/>
      <c r="R7043" s="33"/>
      <c r="S7043" s="33"/>
      <c r="T7043" s="33"/>
      <c r="U7043" s="33"/>
      <c r="V7043" s="33"/>
      <c r="W7043" s="33"/>
      <c r="X7043" s="33"/>
      <c r="Y7043" s="33"/>
      <c r="Z7043" s="33"/>
      <c r="AA7043" s="33"/>
      <c r="AB7043" s="33"/>
      <c r="AC7043" s="33"/>
      <c r="AD7043" s="33"/>
      <c r="AE7043" s="33"/>
      <c r="AF7043" s="33"/>
      <c r="AG7043" s="33"/>
      <c r="AH7043" s="33"/>
      <c r="AI7043" s="33"/>
      <c r="AJ7043" s="33"/>
      <c r="AK7043" s="33"/>
    </row>
    <row r="7044">
      <c r="A7044" s="33"/>
      <c r="B7044" s="33"/>
      <c r="C7044" s="33"/>
      <c r="D7044" s="33"/>
      <c r="E7044" s="33"/>
      <c r="F7044" s="33"/>
      <c r="G7044" s="33"/>
      <c r="H7044" s="33"/>
      <c r="I7044" s="33"/>
      <c r="J7044" s="33"/>
      <c r="K7044" s="33"/>
      <c r="L7044" s="33"/>
      <c r="M7044" s="33"/>
      <c r="N7044" s="33"/>
      <c r="O7044" s="33"/>
      <c r="P7044" s="33"/>
      <c r="Q7044" s="33"/>
      <c r="R7044" s="33"/>
      <c r="S7044" s="33"/>
      <c r="T7044" s="33"/>
      <c r="U7044" s="33"/>
      <c r="V7044" s="33"/>
      <c r="W7044" s="33"/>
      <c r="X7044" s="33"/>
      <c r="Y7044" s="33"/>
      <c r="Z7044" s="33"/>
      <c r="AA7044" s="33"/>
      <c r="AB7044" s="33"/>
      <c r="AC7044" s="33"/>
      <c r="AD7044" s="33"/>
      <c r="AE7044" s="33"/>
      <c r="AF7044" s="33"/>
      <c r="AG7044" s="33"/>
      <c r="AH7044" s="33"/>
      <c r="AI7044" s="33"/>
      <c r="AJ7044" s="33"/>
      <c r="AK7044" s="33"/>
    </row>
    <row r="7045">
      <c r="A7045" s="33"/>
      <c r="B7045" s="33"/>
      <c r="C7045" s="33"/>
      <c r="D7045" s="33"/>
      <c r="E7045" s="33"/>
      <c r="F7045" s="33"/>
      <c r="G7045" s="33"/>
      <c r="H7045" s="33"/>
      <c r="I7045" s="33"/>
      <c r="J7045" s="33"/>
      <c r="K7045" s="33"/>
      <c r="L7045" s="33"/>
      <c r="M7045" s="33"/>
      <c r="N7045" s="33"/>
      <c r="O7045" s="33"/>
      <c r="P7045" s="33"/>
      <c r="Q7045" s="33"/>
      <c r="R7045" s="33"/>
      <c r="S7045" s="33"/>
      <c r="T7045" s="33"/>
      <c r="U7045" s="33"/>
      <c r="V7045" s="33"/>
      <c r="W7045" s="33"/>
      <c r="X7045" s="33"/>
      <c r="Y7045" s="33"/>
      <c r="Z7045" s="33"/>
      <c r="AA7045" s="33"/>
      <c r="AB7045" s="33"/>
      <c r="AC7045" s="33"/>
      <c r="AD7045" s="33"/>
      <c r="AE7045" s="33"/>
      <c r="AF7045" s="33"/>
      <c r="AG7045" s="33"/>
      <c r="AH7045" s="33"/>
      <c r="AI7045" s="33"/>
      <c r="AJ7045" s="33"/>
      <c r="AK7045" s="33"/>
    </row>
    <row r="7046">
      <c r="A7046" s="33"/>
      <c r="B7046" s="33"/>
      <c r="C7046" s="33"/>
      <c r="D7046" s="33"/>
      <c r="E7046" s="33"/>
      <c r="F7046" s="33"/>
      <c r="G7046" s="33"/>
      <c r="H7046" s="33"/>
      <c r="I7046" s="33"/>
      <c r="J7046" s="33"/>
      <c r="K7046" s="33"/>
      <c r="L7046" s="33"/>
      <c r="M7046" s="33"/>
      <c r="N7046" s="33"/>
      <c r="O7046" s="33"/>
      <c r="P7046" s="33"/>
      <c r="Q7046" s="33"/>
      <c r="R7046" s="33"/>
      <c r="S7046" s="33"/>
      <c r="T7046" s="33"/>
      <c r="U7046" s="33"/>
      <c r="V7046" s="33"/>
      <c r="W7046" s="33"/>
      <c r="X7046" s="33"/>
      <c r="Y7046" s="33"/>
      <c r="Z7046" s="33"/>
      <c r="AA7046" s="33"/>
      <c r="AB7046" s="33"/>
      <c r="AC7046" s="33"/>
      <c r="AD7046" s="33"/>
      <c r="AE7046" s="33"/>
      <c r="AF7046" s="33"/>
      <c r="AG7046" s="33"/>
      <c r="AH7046" s="33"/>
      <c r="AI7046" s="33"/>
      <c r="AJ7046" s="33"/>
      <c r="AK7046" s="33"/>
    </row>
    <row r="7047">
      <c r="A7047" s="33"/>
      <c r="B7047" s="33"/>
      <c r="C7047" s="33"/>
      <c r="D7047" s="33"/>
      <c r="E7047" s="33"/>
      <c r="F7047" s="33"/>
      <c r="G7047" s="33"/>
      <c r="H7047" s="33"/>
      <c r="I7047" s="33"/>
      <c r="J7047" s="33"/>
      <c r="K7047" s="33"/>
      <c r="L7047" s="33"/>
      <c r="M7047" s="33"/>
      <c r="N7047" s="33"/>
      <c r="O7047" s="33"/>
      <c r="P7047" s="33"/>
      <c r="Q7047" s="33"/>
      <c r="R7047" s="33"/>
      <c r="S7047" s="33"/>
      <c r="T7047" s="33"/>
      <c r="U7047" s="33"/>
      <c r="V7047" s="33"/>
      <c r="W7047" s="33"/>
      <c r="X7047" s="33"/>
      <c r="Y7047" s="33"/>
      <c r="Z7047" s="33"/>
      <c r="AA7047" s="33"/>
      <c r="AB7047" s="33"/>
      <c r="AC7047" s="33"/>
      <c r="AD7047" s="33"/>
      <c r="AE7047" s="33"/>
      <c r="AF7047" s="33"/>
      <c r="AG7047" s="33"/>
      <c r="AH7047" s="33"/>
      <c r="AI7047" s="33"/>
      <c r="AJ7047" s="33"/>
      <c r="AK7047" s="33"/>
    </row>
    <row r="7048">
      <c r="A7048" s="33"/>
      <c r="B7048" s="33"/>
      <c r="C7048" s="33"/>
      <c r="D7048" s="33"/>
      <c r="E7048" s="33"/>
      <c r="F7048" s="33"/>
      <c r="G7048" s="33"/>
      <c r="H7048" s="33"/>
      <c r="I7048" s="33"/>
      <c r="J7048" s="33"/>
      <c r="K7048" s="33"/>
      <c r="L7048" s="33"/>
      <c r="M7048" s="33"/>
      <c r="N7048" s="33"/>
      <c r="O7048" s="33"/>
      <c r="P7048" s="33"/>
      <c r="Q7048" s="33"/>
      <c r="R7048" s="33"/>
      <c r="S7048" s="33"/>
      <c r="T7048" s="33"/>
      <c r="U7048" s="33"/>
      <c r="V7048" s="33"/>
      <c r="W7048" s="33"/>
      <c r="X7048" s="33"/>
      <c r="Y7048" s="33"/>
      <c r="Z7048" s="33"/>
      <c r="AA7048" s="33"/>
      <c r="AB7048" s="33"/>
      <c r="AC7048" s="33"/>
      <c r="AD7048" s="33"/>
      <c r="AE7048" s="33"/>
      <c r="AF7048" s="33"/>
      <c r="AG7048" s="33"/>
      <c r="AH7048" s="33"/>
      <c r="AI7048" s="33"/>
      <c r="AJ7048" s="33"/>
      <c r="AK7048" s="33"/>
    </row>
    <row r="7049">
      <c r="A7049" s="33"/>
      <c r="B7049" s="33"/>
      <c r="C7049" s="33"/>
      <c r="D7049" s="33"/>
      <c r="E7049" s="33"/>
      <c r="F7049" s="33"/>
      <c r="G7049" s="33"/>
      <c r="H7049" s="33"/>
      <c r="I7049" s="33"/>
      <c r="J7049" s="33"/>
      <c r="K7049" s="33"/>
      <c r="L7049" s="33"/>
      <c r="M7049" s="33"/>
      <c r="N7049" s="33"/>
      <c r="O7049" s="33"/>
      <c r="P7049" s="33"/>
      <c r="Q7049" s="33"/>
      <c r="R7049" s="33"/>
      <c r="S7049" s="33"/>
      <c r="T7049" s="33"/>
      <c r="U7049" s="33"/>
      <c r="V7049" s="33"/>
      <c r="W7049" s="33"/>
      <c r="X7049" s="33"/>
      <c r="Y7049" s="33"/>
      <c r="Z7049" s="33"/>
      <c r="AA7049" s="33"/>
      <c r="AB7049" s="33"/>
      <c r="AC7049" s="33"/>
      <c r="AD7049" s="33"/>
      <c r="AE7049" s="33"/>
      <c r="AF7049" s="33"/>
      <c r="AG7049" s="33"/>
      <c r="AH7049" s="33"/>
      <c r="AI7049" s="33"/>
      <c r="AJ7049" s="33"/>
      <c r="AK7049" s="33"/>
    </row>
    <row r="7050">
      <c r="A7050" s="33"/>
      <c r="B7050" s="33"/>
      <c r="C7050" s="33"/>
      <c r="D7050" s="33"/>
      <c r="E7050" s="33"/>
      <c r="F7050" s="33"/>
      <c r="G7050" s="33"/>
      <c r="H7050" s="33"/>
      <c r="I7050" s="33"/>
      <c r="J7050" s="33"/>
      <c r="K7050" s="33"/>
      <c r="L7050" s="33"/>
      <c r="M7050" s="33"/>
      <c r="N7050" s="33"/>
      <c r="O7050" s="33"/>
      <c r="P7050" s="33"/>
      <c r="Q7050" s="33"/>
      <c r="R7050" s="33"/>
      <c r="S7050" s="33"/>
      <c r="T7050" s="33"/>
      <c r="U7050" s="33"/>
      <c r="V7050" s="33"/>
      <c r="W7050" s="33"/>
      <c r="X7050" s="33"/>
      <c r="Y7050" s="33"/>
      <c r="Z7050" s="33"/>
      <c r="AA7050" s="33"/>
      <c r="AB7050" s="33"/>
      <c r="AC7050" s="33"/>
      <c r="AD7050" s="33"/>
      <c r="AE7050" s="33"/>
      <c r="AF7050" s="33"/>
      <c r="AG7050" s="33"/>
      <c r="AH7050" s="33"/>
      <c r="AI7050" s="33"/>
      <c r="AJ7050" s="33"/>
      <c r="AK7050" s="33"/>
    </row>
    <row r="7051">
      <c r="A7051" s="33"/>
      <c r="B7051" s="33"/>
      <c r="C7051" s="33"/>
      <c r="D7051" s="33"/>
      <c r="E7051" s="33"/>
      <c r="F7051" s="33"/>
      <c r="G7051" s="33"/>
      <c r="H7051" s="33"/>
      <c r="I7051" s="33"/>
      <c r="J7051" s="33"/>
      <c r="K7051" s="33"/>
      <c r="L7051" s="33"/>
      <c r="M7051" s="33"/>
      <c r="N7051" s="33"/>
      <c r="O7051" s="33"/>
      <c r="P7051" s="33"/>
      <c r="Q7051" s="33"/>
      <c r="R7051" s="33"/>
      <c r="S7051" s="33"/>
      <c r="T7051" s="33"/>
      <c r="U7051" s="33"/>
      <c r="V7051" s="33"/>
      <c r="W7051" s="33"/>
      <c r="X7051" s="33"/>
      <c r="Y7051" s="33"/>
      <c r="Z7051" s="33"/>
      <c r="AA7051" s="33"/>
      <c r="AB7051" s="33"/>
      <c r="AC7051" s="33"/>
      <c r="AD7051" s="33"/>
      <c r="AE7051" s="33"/>
      <c r="AF7051" s="33"/>
      <c r="AG7051" s="33"/>
      <c r="AH7051" s="33"/>
      <c r="AI7051" s="33"/>
      <c r="AJ7051" s="33"/>
      <c r="AK7051" s="33"/>
    </row>
    <row r="7052">
      <c r="A7052" s="33"/>
      <c r="B7052" s="33"/>
      <c r="C7052" s="33"/>
      <c r="D7052" s="33"/>
      <c r="E7052" s="33"/>
      <c r="F7052" s="33"/>
      <c r="G7052" s="33"/>
      <c r="H7052" s="33"/>
      <c r="I7052" s="33"/>
      <c r="J7052" s="33"/>
      <c r="K7052" s="33"/>
      <c r="L7052" s="33"/>
      <c r="M7052" s="33"/>
      <c r="N7052" s="33"/>
      <c r="O7052" s="33"/>
      <c r="P7052" s="33"/>
      <c r="Q7052" s="33"/>
      <c r="R7052" s="33"/>
      <c r="S7052" s="33"/>
      <c r="T7052" s="33"/>
      <c r="U7052" s="33"/>
      <c r="V7052" s="33"/>
      <c r="W7052" s="33"/>
      <c r="X7052" s="33"/>
      <c r="Y7052" s="33"/>
      <c r="Z7052" s="33"/>
      <c r="AA7052" s="33"/>
      <c r="AB7052" s="33"/>
      <c r="AC7052" s="33"/>
      <c r="AD7052" s="33"/>
      <c r="AE7052" s="33"/>
      <c r="AF7052" s="33"/>
      <c r="AG7052" s="33"/>
      <c r="AH7052" s="33"/>
      <c r="AI7052" s="33"/>
      <c r="AJ7052" s="33"/>
      <c r="AK7052" s="33"/>
    </row>
    <row r="7053">
      <c r="A7053" s="33"/>
      <c r="B7053" s="33"/>
      <c r="C7053" s="33"/>
      <c r="D7053" s="33"/>
      <c r="E7053" s="33"/>
      <c r="F7053" s="33"/>
      <c r="G7053" s="33"/>
      <c r="H7053" s="33"/>
      <c r="I7053" s="33"/>
      <c r="J7053" s="33"/>
      <c r="K7053" s="33"/>
      <c r="L7053" s="33"/>
      <c r="M7053" s="33"/>
      <c r="N7053" s="33"/>
      <c r="O7053" s="33"/>
      <c r="P7053" s="33"/>
      <c r="Q7053" s="33"/>
      <c r="R7053" s="33"/>
      <c r="S7053" s="33"/>
      <c r="T7053" s="33"/>
      <c r="U7053" s="33"/>
      <c r="V7053" s="33"/>
      <c r="W7053" s="33"/>
      <c r="X7053" s="33"/>
      <c r="Y7053" s="33"/>
      <c r="Z7053" s="33"/>
      <c r="AA7053" s="33"/>
      <c r="AB7053" s="33"/>
      <c r="AC7053" s="33"/>
      <c r="AD7053" s="33"/>
      <c r="AE7053" s="33"/>
      <c r="AF7053" s="33"/>
      <c r="AG7053" s="33"/>
      <c r="AH7053" s="33"/>
      <c r="AI7053" s="33"/>
      <c r="AJ7053" s="33"/>
      <c r="AK7053" s="33"/>
    </row>
    <row r="7054">
      <c r="A7054" s="33"/>
      <c r="B7054" s="33"/>
      <c r="C7054" s="33"/>
      <c r="D7054" s="33"/>
      <c r="E7054" s="33"/>
      <c r="F7054" s="33"/>
      <c r="G7054" s="33"/>
      <c r="H7054" s="33"/>
      <c r="I7054" s="33"/>
      <c r="J7054" s="33"/>
      <c r="K7054" s="33"/>
      <c r="L7054" s="33"/>
      <c r="M7054" s="33"/>
      <c r="N7054" s="33"/>
      <c r="O7054" s="33"/>
      <c r="P7054" s="33"/>
      <c r="Q7054" s="33"/>
      <c r="R7054" s="33"/>
      <c r="S7054" s="33"/>
      <c r="T7054" s="33"/>
      <c r="U7054" s="33"/>
      <c r="V7054" s="33"/>
      <c r="W7054" s="33"/>
      <c r="X7054" s="33"/>
      <c r="Y7054" s="33"/>
      <c r="Z7054" s="33"/>
      <c r="AA7054" s="33"/>
      <c r="AB7054" s="33"/>
      <c r="AC7054" s="33"/>
      <c r="AD7054" s="33"/>
      <c r="AE7054" s="33"/>
      <c r="AF7054" s="33"/>
      <c r="AG7054" s="33"/>
      <c r="AH7054" s="33"/>
      <c r="AI7054" s="33"/>
      <c r="AJ7054" s="33"/>
      <c r="AK7054" s="33"/>
    </row>
    <row r="7055">
      <c r="A7055" s="33"/>
      <c r="B7055" s="33"/>
      <c r="C7055" s="33"/>
      <c r="D7055" s="33"/>
      <c r="E7055" s="33"/>
      <c r="F7055" s="33"/>
      <c r="G7055" s="33"/>
      <c r="H7055" s="33"/>
      <c r="I7055" s="33"/>
      <c r="J7055" s="33"/>
      <c r="K7055" s="33"/>
      <c r="L7055" s="33"/>
      <c r="M7055" s="33"/>
      <c r="N7055" s="33"/>
      <c r="O7055" s="33"/>
      <c r="P7055" s="33"/>
      <c r="Q7055" s="33"/>
      <c r="R7055" s="33"/>
      <c r="S7055" s="33"/>
      <c r="T7055" s="33"/>
      <c r="U7055" s="33"/>
      <c r="V7055" s="33"/>
      <c r="W7055" s="33"/>
      <c r="X7055" s="33"/>
      <c r="Y7055" s="33"/>
      <c r="Z7055" s="33"/>
      <c r="AA7055" s="33"/>
      <c r="AB7055" s="33"/>
      <c r="AC7055" s="33"/>
      <c r="AD7055" s="33"/>
      <c r="AE7055" s="33"/>
      <c r="AF7055" s="33"/>
      <c r="AG7055" s="33"/>
      <c r="AH7055" s="33"/>
      <c r="AI7055" s="33"/>
      <c r="AJ7055" s="33"/>
      <c r="AK7055" s="33"/>
    </row>
    <row r="7056">
      <c r="A7056" s="33"/>
      <c r="B7056" s="33"/>
      <c r="C7056" s="33"/>
      <c r="D7056" s="33"/>
      <c r="E7056" s="33"/>
      <c r="F7056" s="33"/>
      <c r="G7056" s="33"/>
      <c r="H7056" s="33"/>
      <c r="I7056" s="33"/>
      <c r="J7056" s="33"/>
      <c r="K7056" s="33"/>
      <c r="L7056" s="33"/>
      <c r="M7056" s="33"/>
      <c r="N7056" s="33"/>
      <c r="O7056" s="33"/>
      <c r="P7056" s="33"/>
      <c r="Q7056" s="33"/>
      <c r="R7056" s="33"/>
      <c r="S7056" s="33"/>
      <c r="T7056" s="33"/>
      <c r="U7056" s="33"/>
      <c r="V7056" s="33"/>
      <c r="W7056" s="33"/>
      <c r="X7056" s="33"/>
      <c r="Y7056" s="33"/>
      <c r="Z7056" s="33"/>
      <c r="AA7056" s="33"/>
      <c r="AB7056" s="33"/>
      <c r="AC7056" s="33"/>
      <c r="AD7056" s="33"/>
      <c r="AE7056" s="33"/>
      <c r="AF7056" s="33"/>
      <c r="AG7056" s="33"/>
      <c r="AH7056" s="33"/>
      <c r="AI7056" s="33"/>
      <c r="AJ7056" s="33"/>
      <c r="AK7056" s="33"/>
    </row>
    <row r="7057">
      <c r="A7057" s="33"/>
      <c r="B7057" s="33"/>
      <c r="C7057" s="33"/>
      <c r="D7057" s="33"/>
      <c r="E7057" s="33"/>
      <c r="F7057" s="33"/>
      <c r="G7057" s="33"/>
      <c r="H7057" s="33"/>
      <c r="I7057" s="33"/>
      <c r="J7057" s="33"/>
      <c r="K7057" s="33"/>
      <c r="L7057" s="33"/>
      <c r="M7057" s="33"/>
      <c r="N7057" s="33"/>
      <c r="O7057" s="33"/>
      <c r="P7057" s="33"/>
      <c r="Q7057" s="33"/>
      <c r="R7057" s="33"/>
      <c r="S7057" s="33"/>
      <c r="T7057" s="33"/>
      <c r="U7057" s="33"/>
      <c r="V7057" s="33"/>
      <c r="W7057" s="33"/>
      <c r="X7057" s="33"/>
      <c r="Y7057" s="33"/>
      <c r="Z7057" s="33"/>
      <c r="AA7057" s="33"/>
      <c r="AB7057" s="33"/>
      <c r="AC7057" s="33"/>
      <c r="AD7057" s="33"/>
      <c r="AE7057" s="33"/>
      <c r="AF7057" s="33"/>
      <c r="AG7057" s="33"/>
      <c r="AH7057" s="33"/>
      <c r="AI7057" s="33"/>
      <c r="AJ7057" s="33"/>
      <c r="AK7057" s="33"/>
    </row>
    <row r="7058">
      <c r="A7058" s="33"/>
      <c r="B7058" s="33"/>
      <c r="C7058" s="33"/>
      <c r="D7058" s="33"/>
      <c r="E7058" s="33"/>
      <c r="F7058" s="33"/>
      <c r="G7058" s="33"/>
      <c r="H7058" s="33"/>
      <c r="I7058" s="33"/>
      <c r="J7058" s="33"/>
      <c r="K7058" s="33"/>
      <c r="L7058" s="33"/>
      <c r="M7058" s="33"/>
      <c r="N7058" s="33"/>
      <c r="O7058" s="33"/>
      <c r="P7058" s="33"/>
      <c r="Q7058" s="33"/>
      <c r="R7058" s="33"/>
      <c r="S7058" s="33"/>
      <c r="T7058" s="33"/>
      <c r="U7058" s="33"/>
      <c r="V7058" s="33"/>
      <c r="W7058" s="33"/>
      <c r="X7058" s="33"/>
      <c r="Y7058" s="33"/>
      <c r="Z7058" s="33"/>
      <c r="AA7058" s="33"/>
      <c r="AB7058" s="33"/>
      <c r="AC7058" s="33"/>
      <c r="AD7058" s="33"/>
      <c r="AE7058" s="33"/>
      <c r="AF7058" s="33"/>
      <c r="AG7058" s="33"/>
      <c r="AH7058" s="33"/>
      <c r="AI7058" s="33"/>
      <c r="AJ7058" s="33"/>
      <c r="AK7058" s="33"/>
    </row>
    <row r="7059">
      <c r="A7059" s="33"/>
      <c r="B7059" s="33"/>
      <c r="C7059" s="33"/>
      <c r="D7059" s="33"/>
      <c r="E7059" s="33"/>
      <c r="F7059" s="33"/>
      <c r="G7059" s="33"/>
      <c r="H7059" s="33"/>
      <c r="I7059" s="33"/>
      <c r="J7059" s="33"/>
      <c r="K7059" s="33"/>
      <c r="L7059" s="33"/>
      <c r="M7059" s="33"/>
      <c r="N7059" s="33"/>
      <c r="O7059" s="33"/>
      <c r="P7059" s="33"/>
      <c r="Q7059" s="33"/>
      <c r="R7059" s="33"/>
      <c r="S7059" s="33"/>
      <c r="T7059" s="33"/>
      <c r="U7059" s="33"/>
      <c r="V7059" s="33"/>
      <c r="W7059" s="33"/>
      <c r="X7059" s="33"/>
      <c r="Y7059" s="33"/>
      <c r="Z7059" s="33"/>
      <c r="AA7059" s="33"/>
      <c r="AB7059" s="33"/>
      <c r="AC7059" s="33"/>
      <c r="AD7059" s="33"/>
      <c r="AE7059" s="33"/>
      <c r="AF7059" s="33"/>
      <c r="AG7059" s="33"/>
      <c r="AH7059" s="33"/>
      <c r="AI7059" s="33"/>
      <c r="AJ7059" s="33"/>
      <c r="AK7059" s="33"/>
    </row>
    <row r="7060">
      <c r="A7060" s="33"/>
      <c r="B7060" s="33"/>
      <c r="C7060" s="33"/>
      <c r="D7060" s="33"/>
      <c r="E7060" s="33"/>
      <c r="F7060" s="33"/>
      <c r="G7060" s="33"/>
      <c r="H7060" s="33"/>
      <c r="I7060" s="33"/>
      <c r="J7060" s="33"/>
      <c r="K7060" s="33"/>
      <c r="L7060" s="33"/>
      <c r="M7060" s="33"/>
      <c r="N7060" s="33"/>
      <c r="O7060" s="33"/>
      <c r="P7060" s="33"/>
      <c r="Q7060" s="33"/>
      <c r="R7060" s="33"/>
      <c r="S7060" s="33"/>
      <c r="T7060" s="33"/>
      <c r="U7060" s="33"/>
      <c r="V7060" s="33"/>
      <c r="W7060" s="33"/>
      <c r="X7060" s="33"/>
      <c r="Y7060" s="33"/>
      <c r="Z7060" s="33"/>
      <c r="AA7060" s="33"/>
      <c r="AB7060" s="33"/>
      <c r="AC7060" s="33"/>
      <c r="AD7060" s="33"/>
      <c r="AE7060" s="33"/>
      <c r="AF7060" s="33"/>
      <c r="AG7060" s="33"/>
      <c r="AH7060" s="33"/>
      <c r="AI7060" s="33"/>
      <c r="AJ7060" s="33"/>
      <c r="AK7060" s="33"/>
    </row>
    <row r="7061">
      <c r="A7061" s="33"/>
      <c r="B7061" s="33"/>
      <c r="C7061" s="33"/>
      <c r="D7061" s="33"/>
      <c r="E7061" s="33"/>
      <c r="F7061" s="33"/>
      <c r="G7061" s="33"/>
      <c r="H7061" s="33"/>
      <c r="I7061" s="33"/>
      <c r="J7061" s="33"/>
      <c r="K7061" s="33"/>
      <c r="L7061" s="33"/>
      <c r="M7061" s="33"/>
      <c r="N7061" s="33"/>
      <c r="O7061" s="33"/>
      <c r="P7061" s="33"/>
      <c r="Q7061" s="33"/>
      <c r="R7061" s="33"/>
      <c r="S7061" s="33"/>
      <c r="T7061" s="33"/>
      <c r="U7061" s="33"/>
      <c r="V7061" s="33"/>
      <c r="W7061" s="33"/>
      <c r="X7061" s="33"/>
      <c r="Y7061" s="33"/>
      <c r="Z7061" s="33"/>
      <c r="AA7061" s="33"/>
      <c r="AB7061" s="33"/>
      <c r="AC7061" s="33"/>
      <c r="AD7061" s="33"/>
      <c r="AE7061" s="33"/>
      <c r="AF7061" s="33"/>
      <c r="AG7061" s="33"/>
      <c r="AH7061" s="33"/>
      <c r="AI7061" s="33"/>
      <c r="AJ7061" s="33"/>
      <c r="AK7061" s="33"/>
    </row>
    <row r="7062">
      <c r="A7062" s="33"/>
      <c r="B7062" s="33"/>
      <c r="C7062" s="33"/>
      <c r="D7062" s="33"/>
      <c r="E7062" s="33"/>
      <c r="F7062" s="33"/>
      <c r="G7062" s="33"/>
      <c r="H7062" s="33"/>
      <c r="I7062" s="33"/>
      <c r="J7062" s="33"/>
      <c r="K7062" s="33"/>
      <c r="L7062" s="33"/>
      <c r="M7062" s="33"/>
      <c r="N7062" s="33"/>
      <c r="O7062" s="33"/>
      <c r="P7062" s="33"/>
      <c r="Q7062" s="33"/>
      <c r="R7062" s="33"/>
      <c r="S7062" s="33"/>
      <c r="T7062" s="33"/>
      <c r="U7062" s="33"/>
      <c r="V7062" s="33"/>
      <c r="W7062" s="33"/>
      <c r="X7062" s="33"/>
      <c r="Y7062" s="33"/>
      <c r="Z7062" s="33"/>
      <c r="AA7062" s="33"/>
      <c r="AB7062" s="33"/>
      <c r="AC7062" s="33"/>
      <c r="AD7062" s="33"/>
      <c r="AE7062" s="33"/>
      <c r="AF7062" s="33"/>
      <c r="AG7062" s="33"/>
      <c r="AH7062" s="33"/>
      <c r="AI7062" s="33"/>
      <c r="AJ7062" s="33"/>
      <c r="AK7062" s="33"/>
    </row>
    <row r="7063">
      <c r="A7063" s="33"/>
      <c r="B7063" s="33"/>
      <c r="C7063" s="33"/>
      <c r="D7063" s="33"/>
      <c r="E7063" s="33"/>
      <c r="F7063" s="33"/>
      <c r="G7063" s="33"/>
      <c r="H7063" s="33"/>
      <c r="I7063" s="33"/>
      <c r="J7063" s="33"/>
      <c r="K7063" s="33"/>
      <c r="L7063" s="33"/>
      <c r="M7063" s="33"/>
      <c r="N7063" s="33"/>
      <c r="O7063" s="33"/>
      <c r="P7063" s="33"/>
      <c r="Q7063" s="33"/>
      <c r="R7063" s="33"/>
      <c r="S7063" s="33"/>
      <c r="T7063" s="33"/>
      <c r="U7063" s="33"/>
      <c r="V7063" s="33"/>
      <c r="W7063" s="33"/>
      <c r="X7063" s="33"/>
      <c r="Y7063" s="33"/>
      <c r="Z7063" s="33"/>
      <c r="AA7063" s="33"/>
      <c r="AB7063" s="33"/>
      <c r="AC7063" s="33"/>
      <c r="AD7063" s="33"/>
      <c r="AE7063" s="33"/>
      <c r="AF7063" s="33"/>
      <c r="AG7063" s="33"/>
      <c r="AH7063" s="33"/>
      <c r="AI7063" s="33"/>
      <c r="AJ7063" s="33"/>
      <c r="AK7063" s="33"/>
    </row>
    <row r="7064">
      <c r="A7064" s="33"/>
      <c r="B7064" s="33"/>
      <c r="C7064" s="33"/>
      <c r="D7064" s="33"/>
      <c r="E7064" s="33"/>
      <c r="F7064" s="33"/>
      <c r="G7064" s="33"/>
      <c r="H7064" s="33"/>
      <c r="I7064" s="33"/>
      <c r="J7064" s="33"/>
      <c r="K7064" s="33"/>
      <c r="L7064" s="33"/>
      <c r="M7064" s="33"/>
      <c r="N7064" s="33"/>
      <c r="O7064" s="33"/>
      <c r="P7064" s="33"/>
      <c r="Q7064" s="33"/>
      <c r="R7064" s="33"/>
      <c r="S7064" s="33"/>
      <c r="T7064" s="33"/>
      <c r="U7064" s="33"/>
      <c r="V7064" s="33"/>
      <c r="W7064" s="33"/>
      <c r="X7064" s="33"/>
      <c r="Y7064" s="33"/>
      <c r="Z7064" s="33"/>
      <c r="AA7064" s="33"/>
      <c r="AB7064" s="33"/>
      <c r="AC7064" s="33"/>
      <c r="AD7064" s="33"/>
      <c r="AE7064" s="33"/>
      <c r="AF7064" s="33"/>
      <c r="AG7064" s="33"/>
      <c r="AH7064" s="33"/>
      <c r="AI7064" s="33"/>
      <c r="AJ7064" s="33"/>
      <c r="AK7064" s="33"/>
    </row>
    <row r="7065">
      <c r="A7065" s="33"/>
      <c r="B7065" s="33"/>
      <c r="C7065" s="33"/>
      <c r="D7065" s="33"/>
      <c r="E7065" s="33"/>
      <c r="F7065" s="33"/>
      <c r="G7065" s="33"/>
      <c r="H7065" s="33"/>
      <c r="I7065" s="33"/>
      <c r="J7065" s="33"/>
      <c r="K7065" s="33"/>
      <c r="L7065" s="33"/>
      <c r="M7065" s="33"/>
      <c r="N7065" s="33"/>
      <c r="O7065" s="33"/>
      <c r="P7065" s="33"/>
      <c r="Q7065" s="33"/>
      <c r="R7065" s="33"/>
      <c r="S7065" s="33"/>
      <c r="T7065" s="33"/>
      <c r="U7065" s="33"/>
      <c r="V7065" s="33"/>
      <c r="W7065" s="33"/>
      <c r="X7065" s="33"/>
      <c r="Y7065" s="33"/>
      <c r="Z7065" s="33"/>
      <c r="AA7065" s="33"/>
      <c r="AB7065" s="33"/>
      <c r="AC7065" s="33"/>
      <c r="AD7065" s="33"/>
      <c r="AE7065" s="33"/>
      <c r="AF7065" s="33"/>
      <c r="AG7065" s="33"/>
      <c r="AH7065" s="33"/>
      <c r="AI7065" s="33"/>
      <c r="AJ7065" s="33"/>
      <c r="AK7065" s="33"/>
    </row>
    <row r="7066">
      <c r="A7066" s="33"/>
      <c r="B7066" s="33"/>
      <c r="C7066" s="33"/>
      <c r="D7066" s="33"/>
      <c r="E7066" s="33"/>
      <c r="F7066" s="33"/>
      <c r="G7066" s="33"/>
      <c r="H7066" s="33"/>
      <c r="I7066" s="33"/>
      <c r="J7066" s="33"/>
      <c r="K7066" s="33"/>
      <c r="L7066" s="33"/>
      <c r="M7066" s="33"/>
      <c r="N7066" s="33"/>
      <c r="O7066" s="33"/>
      <c r="P7066" s="33"/>
      <c r="Q7066" s="33"/>
      <c r="R7066" s="33"/>
      <c r="S7066" s="33"/>
      <c r="T7066" s="33"/>
      <c r="U7066" s="33"/>
      <c r="V7066" s="33"/>
      <c r="W7066" s="33"/>
      <c r="X7066" s="33"/>
      <c r="Y7066" s="33"/>
      <c r="Z7066" s="33"/>
      <c r="AA7066" s="33"/>
      <c r="AB7066" s="33"/>
      <c r="AC7066" s="33"/>
      <c r="AD7066" s="33"/>
      <c r="AE7066" s="33"/>
      <c r="AF7066" s="33"/>
      <c r="AG7066" s="33"/>
      <c r="AH7066" s="33"/>
      <c r="AI7066" s="33"/>
      <c r="AJ7066" s="33"/>
      <c r="AK7066" s="33"/>
    </row>
    <row r="7067">
      <c r="A7067" s="33"/>
      <c r="B7067" s="33"/>
      <c r="C7067" s="33"/>
      <c r="D7067" s="33"/>
      <c r="E7067" s="33"/>
      <c r="F7067" s="33"/>
      <c r="G7067" s="33"/>
      <c r="H7067" s="33"/>
      <c r="I7067" s="33"/>
      <c r="J7067" s="33"/>
      <c r="K7067" s="33"/>
      <c r="L7067" s="33"/>
      <c r="M7067" s="33"/>
      <c r="N7067" s="33"/>
      <c r="O7067" s="33"/>
      <c r="P7067" s="33"/>
      <c r="Q7067" s="33"/>
      <c r="R7067" s="33"/>
      <c r="S7067" s="33"/>
      <c r="T7067" s="33"/>
      <c r="U7067" s="33"/>
      <c r="V7067" s="33"/>
      <c r="W7067" s="33"/>
      <c r="X7067" s="33"/>
      <c r="Y7067" s="33"/>
      <c r="Z7067" s="33"/>
      <c r="AA7067" s="33"/>
      <c r="AB7067" s="33"/>
      <c r="AC7067" s="33"/>
      <c r="AD7067" s="33"/>
      <c r="AE7067" s="33"/>
      <c r="AF7067" s="33"/>
      <c r="AG7067" s="33"/>
      <c r="AH7067" s="33"/>
      <c r="AI7067" s="33"/>
      <c r="AJ7067" s="33"/>
      <c r="AK7067" s="33"/>
    </row>
    <row r="7068">
      <c r="A7068" s="33"/>
      <c r="B7068" s="33"/>
      <c r="C7068" s="33"/>
      <c r="D7068" s="33"/>
      <c r="E7068" s="33"/>
      <c r="F7068" s="33"/>
      <c r="G7068" s="33"/>
      <c r="H7068" s="33"/>
      <c r="I7068" s="33"/>
      <c r="J7068" s="33"/>
      <c r="K7068" s="33"/>
      <c r="L7068" s="33"/>
      <c r="M7068" s="33"/>
      <c r="N7068" s="33"/>
      <c r="O7068" s="33"/>
      <c r="P7068" s="33"/>
      <c r="Q7068" s="33"/>
      <c r="R7068" s="33"/>
      <c r="S7068" s="33"/>
      <c r="T7068" s="33"/>
      <c r="U7068" s="33"/>
      <c r="V7068" s="33"/>
      <c r="W7068" s="33"/>
      <c r="X7068" s="33"/>
      <c r="Y7068" s="33"/>
      <c r="Z7068" s="33"/>
      <c r="AA7068" s="33"/>
      <c r="AB7068" s="33"/>
      <c r="AC7068" s="33"/>
      <c r="AD7068" s="33"/>
      <c r="AE7068" s="33"/>
      <c r="AF7068" s="33"/>
      <c r="AG7068" s="33"/>
      <c r="AH7068" s="33"/>
      <c r="AI7068" s="33"/>
      <c r="AJ7068" s="33"/>
      <c r="AK7068" s="33"/>
    </row>
    <row r="7069">
      <c r="A7069" s="33"/>
      <c r="B7069" s="33"/>
      <c r="C7069" s="33"/>
      <c r="D7069" s="33"/>
      <c r="E7069" s="33"/>
      <c r="F7069" s="33"/>
      <c r="G7069" s="33"/>
      <c r="H7069" s="33"/>
      <c r="I7069" s="33"/>
      <c r="J7069" s="33"/>
      <c r="K7069" s="33"/>
      <c r="L7069" s="33"/>
      <c r="M7069" s="33"/>
      <c r="N7069" s="33"/>
      <c r="O7069" s="33"/>
      <c r="P7069" s="33"/>
      <c r="Q7069" s="33"/>
      <c r="R7069" s="33"/>
      <c r="S7069" s="33"/>
      <c r="T7069" s="33"/>
      <c r="U7069" s="33"/>
      <c r="V7069" s="33"/>
      <c r="W7069" s="33"/>
      <c r="X7069" s="33"/>
      <c r="Y7069" s="33"/>
      <c r="Z7069" s="33"/>
      <c r="AA7069" s="33"/>
      <c r="AB7069" s="33"/>
      <c r="AC7069" s="33"/>
      <c r="AD7069" s="33"/>
      <c r="AE7069" s="33"/>
      <c r="AF7069" s="33"/>
      <c r="AG7069" s="33"/>
      <c r="AH7069" s="33"/>
      <c r="AI7069" s="33"/>
      <c r="AJ7069" s="33"/>
      <c r="AK7069" s="33"/>
    </row>
    <row r="7070">
      <c r="A7070" s="33"/>
      <c r="B7070" s="33"/>
      <c r="C7070" s="33"/>
      <c r="D7070" s="33"/>
      <c r="E7070" s="33"/>
      <c r="F7070" s="33"/>
      <c r="G7070" s="33"/>
      <c r="H7070" s="33"/>
      <c r="I7070" s="33"/>
      <c r="J7070" s="33"/>
      <c r="K7070" s="33"/>
      <c r="L7070" s="33"/>
      <c r="M7070" s="33"/>
      <c r="N7070" s="33"/>
      <c r="O7070" s="33"/>
      <c r="P7070" s="33"/>
      <c r="Q7070" s="33"/>
      <c r="R7070" s="33"/>
      <c r="S7070" s="33"/>
      <c r="T7070" s="33"/>
      <c r="U7070" s="33"/>
      <c r="V7070" s="33"/>
      <c r="W7070" s="33"/>
      <c r="X7070" s="33"/>
      <c r="Y7070" s="33"/>
      <c r="Z7070" s="33"/>
      <c r="AA7070" s="33"/>
      <c r="AB7070" s="33"/>
      <c r="AC7070" s="33"/>
      <c r="AD7070" s="33"/>
      <c r="AE7070" s="33"/>
      <c r="AF7070" s="33"/>
      <c r="AG7070" s="33"/>
      <c r="AH7070" s="33"/>
      <c r="AI7070" s="33"/>
      <c r="AJ7070" s="33"/>
      <c r="AK7070" s="33"/>
    </row>
    <row r="7071">
      <c r="A7071" s="33"/>
      <c r="B7071" s="33"/>
      <c r="C7071" s="33"/>
      <c r="D7071" s="33"/>
      <c r="E7071" s="33"/>
      <c r="F7071" s="33"/>
      <c r="G7071" s="33"/>
      <c r="H7071" s="33"/>
      <c r="I7071" s="33"/>
      <c r="J7071" s="33"/>
      <c r="K7071" s="33"/>
      <c r="L7071" s="33"/>
      <c r="M7071" s="33"/>
      <c r="N7071" s="33"/>
      <c r="O7071" s="33"/>
      <c r="P7071" s="33"/>
      <c r="Q7071" s="33"/>
      <c r="R7071" s="33"/>
      <c r="S7071" s="33"/>
      <c r="T7071" s="33"/>
      <c r="U7071" s="33"/>
      <c r="V7071" s="33"/>
      <c r="W7071" s="33"/>
      <c r="X7071" s="33"/>
      <c r="Y7071" s="33"/>
      <c r="Z7071" s="33"/>
      <c r="AA7071" s="33"/>
      <c r="AB7071" s="33"/>
      <c r="AC7071" s="33"/>
      <c r="AD7071" s="33"/>
      <c r="AE7071" s="33"/>
      <c r="AF7071" s="33"/>
      <c r="AG7071" s="33"/>
      <c r="AH7071" s="33"/>
      <c r="AI7071" s="33"/>
      <c r="AJ7071" s="33"/>
      <c r="AK7071" s="33"/>
    </row>
    <row r="7072">
      <c r="A7072" s="33"/>
      <c r="B7072" s="33"/>
      <c r="C7072" s="33"/>
      <c r="D7072" s="33"/>
      <c r="E7072" s="33"/>
      <c r="F7072" s="33"/>
      <c r="G7072" s="33"/>
      <c r="H7072" s="33"/>
      <c r="I7072" s="33"/>
      <c r="J7072" s="33"/>
      <c r="K7072" s="33"/>
      <c r="L7072" s="33"/>
      <c r="M7072" s="33"/>
      <c r="N7072" s="33"/>
      <c r="O7072" s="33"/>
      <c r="P7072" s="33"/>
      <c r="Q7072" s="33"/>
      <c r="R7072" s="33"/>
      <c r="S7072" s="33"/>
      <c r="T7072" s="33"/>
      <c r="U7072" s="33"/>
      <c r="V7072" s="33"/>
      <c r="W7072" s="33"/>
      <c r="X7072" s="33"/>
      <c r="Y7072" s="33"/>
      <c r="Z7072" s="33"/>
      <c r="AA7072" s="33"/>
      <c r="AB7072" s="33"/>
      <c r="AC7072" s="33"/>
      <c r="AD7072" s="33"/>
      <c r="AE7072" s="33"/>
      <c r="AF7072" s="33"/>
      <c r="AG7072" s="33"/>
      <c r="AH7072" s="33"/>
      <c r="AI7072" s="33"/>
      <c r="AJ7072" s="33"/>
      <c r="AK7072" s="33"/>
    </row>
    <row r="7073">
      <c r="A7073" s="33"/>
      <c r="B7073" s="33"/>
      <c r="C7073" s="33"/>
      <c r="D7073" s="33"/>
      <c r="E7073" s="33"/>
      <c r="F7073" s="33"/>
      <c r="G7073" s="33"/>
      <c r="H7073" s="33"/>
      <c r="I7073" s="33"/>
      <c r="J7073" s="33"/>
      <c r="K7073" s="33"/>
      <c r="L7073" s="33"/>
      <c r="M7073" s="33"/>
      <c r="N7073" s="33"/>
      <c r="O7073" s="33"/>
      <c r="P7073" s="33"/>
      <c r="Q7073" s="33"/>
      <c r="R7073" s="33"/>
      <c r="S7073" s="33"/>
      <c r="T7073" s="33"/>
      <c r="U7073" s="33"/>
      <c r="V7073" s="33"/>
      <c r="W7073" s="33"/>
      <c r="X7073" s="33"/>
      <c r="Y7073" s="33"/>
      <c r="Z7073" s="33"/>
      <c r="AA7073" s="33"/>
      <c r="AB7073" s="33"/>
      <c r="AC7073" s="33"/>
      <c r="AD7073" s="33"/>
      <c r="AE7073" s="33"/>
      <c r="AF7073" s="33"/>
      <c r="AG7073" s="33"/>
      <c r="AH7073" s="33"/>
      <c r="AI7073" s="33"/>
      <c r="AJ7073" s="33"/>
      <c r="AK7073" s="33"/>
    </row>
    <row r="7074">
      <c r="A7074" s="33"/>
      <c r="B7074" s="33"/>
      <c r="C7074" s="33"/>
      <c r="D7074" s="33"/>
      <c r="E7074" s="33"/>
      <c r="F7074" s="33"/>
      <c r="G7074" s="33"/>
      <c r="H7074" s="33"/>
      <c r="I7074" s="33"/>
      <c r="J7074" s="33"/>
      <c r="K7074" s="33"/>
      <c r="L7074" s="33"/>
      <c r="M7074" s="33"/>
      <c r="N7074" s="33"/>
      <c r="O7074" s="33"/>
      <c r="P7074" s="33"/>
      <c r="Q7074" s="33"/>
      <c r="R7074" s="33"/>
      <c r="S7074" s="33"/>
      <c r="T7074" s="33"/>
      <c r="U7074" s="33"/>
      <c r="V7074" s="33"/>
      <c r="W7074" s="33"/>
      <c r="X7074" s="33"/>
      <c r="Y7074" s="33"/>
      <c r="Z7074" s="33"/>
      <c r="AA7074" s="33"/>
      <c r="AB7074" s="33"/>
      <c r="AC7074" s="33"/>
      <c r="AD7074" s="33"/>
      <c r="AE7074" s="33"/>
      <c r="AF7074" s="33"/>
      <c r="AG7074" s="33"/>
      <c r="AH7074" s="33"/>
      <c r="AI7074" s="33"/>
      <c r="AJ7074" s="33"/>
      <c r="AK7074" s="33"/>
    </row>
    <row r="7075">
      <c r="A7075" s="33"/>
      <c r="B7075" s="33"/>
      <c r="C7075" s="33"/>
      <c r="D7075" s="33"/>
      <c r="E7075" s="33"/>
      <c r="F7075" s="33"/>
      <c r="G7075" s="33"/>
      <c r="H7075" s="33"/>
      <c r="I7075" s="33"/>
      <c r="J7075" s="33"/>
      <c r="K7075" s="33"/>
      <c r="L7075" s="33"/>
      <c r="M7075" s="33"/>
      <c r="N7075" s="33"/>
      <c r="O7075" s="33"/>
      <c r="P7075" s="33"/>
      <c r="Q7075" s="33"/>
      <c r="R7075" s="33"/>
      <c r="S7075" s="33"/>
      <c r="T7075" s="33"/>
      <c r="U7075" s="33"/>
      <c r="V7075" s="33"/>
      <c r="W7075" s="33"/>
      <c r="X7075" s="33"/>
      <c r="Y7075" s="33"/>
      <c r="Z7075" s="33"/>
      <c r="AA7075" s="33"/>
      <c r="AB7075" s="33"/>
      <c r="AC7075" s="33"/>
      <c r="AD7075" s="33"/>
      <c r="AE7075" s="33"/>
      <c r="AF7075" s="33"/>
      <c r="AG7075" s="33"/>
      <c r="AH7075" s="33"/>
      <c r="AI7075" s="33"/>
      <c r="AJ7075" s="33"/>
      <c r="AK7075" s="33"/>
    </row>
    <row r="7076">
      <c r="A7076" s="33"/>
      <c r="B7076" s="33"/>
      <c r="C7076" s="33"/>
      <c r="D7076" s="33"/>
      <c r="E7076" s="33"/>
      <c r="F7076" s="33"/>
      <c r="G7076" s="33"/>
      <c r="H7076" s="33"/>
      <c r="I7076" s="33"/>
      <c r="J7076" s="33"/>
      <c r="K7076" s="33"/>
      <c r="L7076" s="33"/>
      <c r="M7076" s="33"/>
      <c r="N7076" s="33"/>
      <c r="O7076" s="33"/>
      <c r="P7076" s="33"/>
      <c r="Q7076" s="33"/>
      <c r="R7076" s="33"/>
      <c r="S7076" s="33"/>
      <c r="T7076" s="33"/>
      <c r="U7076" s="33"/>
      <c r="V7076" s="33"/>
      <c r="W7076" s="33"/>
      <c r="X7076" s="33"/>
      <c r="Y7076" s="33"/>
      <c r="Z7076" s="33"/>
      <c r="AA7076" s="33"/>
      <c r="AB7076" s="33"/>
      <c r="AC7076" s="33"/>
      <c r="AD7076" s="33"/>
      <c r="AE7076" s="33"/>
      <c r="AF7076" s="33"/>
      <c r="AG7076" s="33"/>
      <c r="AH7076" s="33"/>
      <c r="AI7076" s="33"/>
      <c r="AJ7076" s="33"/>
      <c r="AK7076" s="33"/>
    </row>
    <row r="7077">
      <c r="A7077" s="33"/>
      <c r="B7077" s="33"/>
      <c r="C7077" s="33"/>
      <c r="D7077" s="33"/>
      <c r="E7077" s="33"/>
      <c r="F7077" s="33"/>
      <c r="G7077" s="33"/>
      <c r="H7077" s="33"/>
      <c r="I7077" s="33"/>
      <c r="J7077" s="33"/>
      <c r="K7077" s="33"/>
      <c r="L7077" s="33"/>
      <c r="M7077" s="33"/>
      <c r="N7077" s="33"/>
      <c r="O7077" s="33"/>
      <c r="P7077" s="33"/>
      <c r="Q7077" s="33"/>
      <c r="R7077" s="33"/>
      <c r="S7077" s="33"/>
      <c r="T7077" s="33"/>
      <c r="U7077" s="33"/>
      <c r="V7077" s="33"/>
      <c r="W7077" s="33"/>
      <c r="X7077" s="33"/>
      <c r="Y7077" s="33"/>
      <c r="Z7077" s="33"/>
      <c r="AA7077" s="33"/>
      <c r="AB7077" s="33"/>
      <c r="AC7077" s="33"/>
      <c r="AD7077" s="33"/>
      <c r="AE7077" s="33"/>
      <c r="AF7077" s="33"/>
      <c r="AG7077" s="33"/>
      <c r="AH7077" s="33"/>
      <c r="AI7077" s="33"/>
      <c r="AJ7077" s="33"/>
      <c r="AK7077" s="33"/>
    </row>
    <row r="7078">
      <c r="A7078" s="33"/>
      <c r="B7078" s="33"/>
      <c r="C7078" s="33"/>
      <c r="D7078" s="33"/>
      <c r="E7078" s="33"/>
      <c r="F7078" s="33"/>
      <c r="G7078" s="33"/>
      <c r="H7078" s="33"/>
      <c r="I7078" s="33"/>
      <c r="J7078" s="33"/>
      <c r="K7078" s="33"/>
      <c r="L7078" s="33"/>
      <c r="M7078" s="33"/>
      <c r="N7078" s="33"/>
      <c r="O7078" s="33"/>
      <c r="P7078" s="33"/>
      <c r="Q7078" s="33"/>
      <c r="R7078" s="33"/>
      <c r="S7078" s="33"/>
      <c r="T7078" s="33"/>
      <c r="U7078" s="33"/>
      <c r="V7078" s="33"/>
      <c r="W7078" s="33"/>
      <c r="X7078" s="33"/>
      <c r="Y7078" s="33"/>
      <c r="Z7078" s="33"/>
      <c r="AA7078" s="33"/>
      <c r="AB7078" s="33"/>
      <c r="AC7078" s="33"/>
      <c r="AD7078" s="33"/>
      <c r="AE7078" s="33"/>
      <c r="AF7078" s="33"/>
      <c r="AG7078" s="33"/>
      <c r="AH7078" s="33"/>
      <c r="AI7078" s="33"/>
      <c r="AJ7078" s="33"/>
      <c r="AK7078" s="33"/>
    </row>
    <row r="7079">
      <c r="A7079" s="33"/>
      <c r="B7079" s="33"/>
      <c r="C7079" s="33"/>
      <c r="D7079" s="33"/>
      <c r="E7079" s="33"/>
      <c r="F7079" s="33"/>
      <c r="G7079" s="33"/>
      <c r="H7079" s="33"/>
      <c r="I7079" s="33"/>
      <c r="J7079" s="33"/>
      <c r="K7079" s="33"/>
      <c r="L7079" s="33"/>
      <c r="M7079" s="33"/>
      <c r="N7079" s="33"/>
      <c r="O7079" s="33"/>
      <c r="P7079" s="33"/>
      <c r="Q7079" s="33"/>
      <c r="R7079" s="33"/>
      <c r="S7079" s="33"/>
      <c r="T7079" s="33"/>
      <c r="U7079" s="33"/>
      <c r="V7079" s="33"/>
      <c r="W7079" s="33"/>
      <c r="X7079" s="33"/>
      <c r="Y7079" s="33"/>
      <c r="Z7079" s="33"/>
      <c r="AA7079" s="33"/>
      <c r="AB7079" s="33"/>
      <c r="AC7079" s="33"/>
      <c r="AD7079" s="33"/>
      <c r="AE7079" s="33"/>
      <c r="AF7079" s="33"/>
      <c r="AG7079" s="33"/>
      <c r="AH7079" s="33"/>
      <c r="AI7079" s="33"/>
      <c r="AJ7079" s="33"/>
      <c r="AK7079" s="33"/>
    </row>
    <row r="7080">
      <c r="A7080" s="33"/>
      <c r="B7080" s="33"/>
      <c r="C7080" s="33"/>
      <c r="D7080" s="33"/>
      <c r="E7080" s="33"/>
      <c r="F7080" s="33"/>
      <c r="G7080" s="33"/>
      <c r="H7080" s="33"/>
      <c r="I7080" s="33"/>
      <c r="J7080" s="33"/>
      <c r="K7080" s="33"/>
      <c r="L7080" s="33"/>
      <c r="M7080" s="33"/>
      <c r="N7080" s="33"/>
      <c r="O7080" s="33"/>
      <c r="P7080" s="33"/>
      <c r="Q7080" s="33"/>
      <c r="R7080" s="33"/>
      <c r="S7080" s="33"/>
      <c r="T7080" s="33"/>
      <c r="U7080" s="33"/>
      <c r="V7080" s="33"/>
      <c r="W7080" s="33"/>
      <c r="X7080" s="33"/>
      <c r="Y7080" s="33"/>
      <c r="Z7080" s="33"/>
      <c r="AA7080" s="33"/>
      <c r="AB7080" s="33"/>
      <c r="AC7080" s="33"/>
      <c r="AD7080" s="33"/>
      <c r="AE7080" s="33"/>
      <c r="AF7080" s="33"/>
      <c r="AG7080" s="33"/>
      <c r="AH7080" s="33"/>
      <c r="AI7080" s="33"/>
      <c r="AJ7080" s="33"/>
      <c r="AK7080" s="33"/>
    </row>
    <row r="7081">
      <c r="A7081" s="33"/>
      <c r="B7081" s="33"/>
      <c r="C7081" s="33"/>
      <c r="D7081" s="33"/>
      <c r="E7081" s="33"/>
      <c r="F7081" s="33"/>
      <c r="G7081" s="33"/>
      <c r="H7081" s="33"/>
      <c r="I7081" s="33"/>
      <c r="J7081" s="33"/>
      <c r="K7081" s="33"/>
      <c r="L7081" s="33"/>
      <c r="M7081" s="33"/>
      <c r="N7081" s="33"/>
      <c r="O7081" s="33"/>
      <c r="P7081" s="33"/>
      <c r="Q7081" s="33"/>
      <c r="R7081" s="33"/>
      <c r="S7081" s="33"/>
      <c r="T7081" s="33"/>
      <c r="U7081" s="33"/>
      <c r="V7081" s="33"/>
      <c r="W7081" s="33"/>
      <c r="X7081" s="33"/>
      <c r="Y7081" s="33"/>
      <c r="Z7081" s="33"/>
      <c r="AA7081" s="33"/>
      <c r="AB7081" s="33"/>
      <c r="AC7081" s="33"/>
      <c r="AD7081" s="33"/>
      <c r="AE7081" s="33"/>
      <c r="AF7081" s="33"/>
      <c r="AG7081" s="33"/>
      <c r="AH7081" s="33"/>
      <c r="AI7081" s="33"/>
      <c r="AJ7081" s="33"/>
      <c r="AK7081" s="33"/>
    </row>
    <row r="7082">
      <c r="A7082" s="33"/>
      <c r="B7082" s="33"/>
      <c r="C7082" s="33"/>
      <c r="D7082" s="33"/>
      <c r="E7082" s="33"/>
      <c r="F7082" s="33"/>
      <c r="G7082" s="33"/>
      <c r="H7082" s="33"/>
      <c r="I7082" s="33"/>
      <c r="J7082" s="33"/>
      <c r="K7082" s="33"/>
      <c r="L7082" s="33"/>
      <c r="M7082" s="33"/>
      <c r="N7082" s="33"/>
      <c r="O7082" s="33"/>
      <c r="P7082" s="33"/>
      <c r="Q7082" s="33"/>
      <c r="R7082" s="33"/>
      <c r="S7082" s="33"/>
      <c r="T7082" s="33"/>
      <c r="U7082" s="33"/>
      <c r="V7082" s="33"/>
      <c r="W7082" s="33"/>
      <c r="X7082" s="33"/>
      <c r="Y7082" s="33"/>
      <c r="Z7082" s="33"/>
      <c r="AA7082" s="33"/>
      <c r="AB7082" s="33"/>
      <c r="AC7082" s="33"/>
      <c r="AD7082" s="33"/>
      <c r="AE7082" s="33"/>
      <c r="AF7082" s="33"/>
      <c r="AG7082" s="33"/>
      <c r="AH7082" s="33"/>
      <c r="AI7082" s="33"/>
      <c r="AJ7082" s="33"/>
      <c r="AK7082" s="33"/>
    </row>
    <row r="7083">
      <c r="A7083" s="33"/>
      <c r="B7083" s="33"/>
      <c r="C7083" s="33"/>
      <c r="D7083" s="33"/>
      <c r="E7083" s="33"/>
      <c r="F7083" s="33"/>
      <c r="G7083" s="33"/>
      <c r="H7083" s="33"/>
      <c r="I7083" s="33"/>
      <c r="J7083" s="33"/>
      <c r="K7083" s="33"/>
      <c r="L7083" s="33"/>
      <c r="M7083" s="33"/>
      <c r="N7083" s="33"/>
      <c r="O7083" s="33"/>
      <c r="P7083" s="33"/>
      <c r="Q7083" s="33"/>
      <c r="R7083" s="33"/>
      <c r="S7083" s="33"/>
      <c r="T7083" s="33"/>
      <c r="U7083" s="33"/>
      <c r="V7083" s="33"/>
      <c r="W7083" s="33"/>
      <c r="X7083" s="33"/>
      <c r="Y7083" s="33"/>
      <c r="Z7083" s="33"/>
      <c r="AA7083" s="33"/>
      <c r="AB7083" s="33"/>
      <c r="AC7083" s="33"/>
      <c r="AD7083" s="33"/>
      <c r="AE7083" s="33"/>
      <c r="AF7083" s="33"/>
      <c r="AG7083" s="33"/>
      <c r="AH7083" s="33"/>
      <c r="AI7083" s="33"/>
      <c r="AJ7083" s="33"/>
      <c r="AK7083" s="33"/>
    </row>
    <row r="7084">
      <c r="A7084" s="33"/>
      <c r="B7084" s="33"/>
      <c r="C7084" s="33"/>
      <c r="D7084" s="33"/>
      <c r="E7084" s="33"/>
      <c r="F7084" s="33"/>
      <c r="G7084" s="33"/>
      <c r="H7084" s="33"/>
      <c r="I7084" s="33"/>
      <c r="J7084" s="33"/>
      <c r="K7084" s="33"/>
      <c r="L7084" s="33"/>
      <c r="M7084" s="33"/>
      <c r="N7084" s="33"/>
      <c r="O7084" s="33"/>
      <c r="P7084" s="33"/>
      <c r="Q7084" s="33"/>
      <c r="R7084" s="33"/>
      <c r="S7084" s="33"/>
      <c r="T7084" s="33"/>
      <c r="U7084" s="33"/>
      <c r="V7084" s="33"/>
      <c r="W7084" s="33"/>
      <c r="X7084" s="33"/>
      <c r="Y7084" s="33"/>
      <c r="Z7084" s="33"/>
      <c r="AA7084" s="33"/>
      <c r="AB7084" s="33"/>
      <c r="AC7084" s="33"/>
      <c r="AD7084" s="33"/>
      <c r="AE7084" s="33"/>
      <c r="AF7084" s="33"/>
      <c r="AG7084" s="33"/>
      <c r="AH7084" s="33"/>
      <c r="AI7084" s="33"/>
      <c r="AJ7084" s="33"/>
      <c r="AK7084" s="33"/>
    </row>
    <row r="7085">
      <c r="A7085" s="33"/>
      <c r="B7085" s="33"/>
      <c r="C7085" s="33"/>
      <c r="D7085" s="33"/>
      <c r="E7085" s="33"/>
      <c r="F7085" s="33"/>
      <c r="G7085" s="33"/>
      <c r="H7085" s="33"/>
      <c r="I7085" s="33"/>
      <c r="J7085" s="33"/>
      <c r="K7085" s="33"/>
      <c r="L7085" s="33"/>
      <c r="M7085" s="33"/>
      <c r="N7085" s="33"/>
      <c r="O7085" s="33"/>
      <c r="P7085" s="33"/>
      <c r="Q7085" s="33"/>
      <c r="R7085" s="33"/>
      <c r="S7085" s="33"/>
      <c r="T7085" s="33"/>
      <c r="U7085" s="33"/>
      <c r="V7085" s="33"/>
      <c r="W7085" s="33"/>
      <c r="X7085" s="33"/>
      <c r="Y7085" s="33"/>
      <c r="Z7085" s="33"/>
      <c r="AA7085" s="33"/>
      <c r="AB7085" s="33"/>
      <c r="AC7085" s="33"/>
      <c r="AD7085" s="33"/>
      <c r="AE7085" s="33"/>
      <c r="AF7085" s="33"/>
      <c r="AG7085" s="33"/>
      <c r="AH7085" s="33"/>
      <c r="AI7085" s="33"/>
      <c r="AJ7085" s="33"/>
      <c r="AK7085" s="33"/>
    </row>
    <row r="7086">
      <c r="A7086" s="33"/>
      <c r="B7086" s="33"/>
      <c r="C7086" s="33"/>
      <c r="D7086" s="33"/>
      <c r="E7086" s="33"/>
      <c r="F7086" s="33"/>
      <c r="G7086" s="33"/>
      <c r="H7086" s="33"/>
      <c r="I7086" s="33"/>
      <c r="J7086" s="33"/>
      <c r="K7086" s="33"/>
      <c r="L7086" s="33"/>
      <c r="M7086" s="33"/>
      <c r="N7086" s="33"/>
      <c r="O7086" s="33"/>
      <c r="P7086" s="33"/>
      <c r="Q7086" s="33"/>
      <c r="R7086" s="33"/>
      <c r="S7086" s="33"/>
      <c r="T7086" s="33"/>
      <c r="U7086" s="33"/>
      <c r="V7086" s="33"/>
      <c r="W7086" s="33"/>
      <c r="X7086" s="33"/>
      <c r="Y7086" s="33"/>
      <c r="Z7086" s="33"/>
      <c r="AA7086" s="33"/>
      <c r="AB7086" s="33"/>
      <c r="AC7086" s="33"/>
      <c r="AD7086" s="33"/>
      <c r="AE7086" s="33"/>
      <c r="AF7086" s="33"/>
      <c r="AG7086" s="33"/>
      <c r="AH7086" s="33"/>
      <c r="AI7086" s="33"/>
      <c r="AJ7086" s="33"/>
      <c r="AK7086" s="33"/>
    </row>
    <row r="7087">
      <c r="A7087" s="33"/>
      <c r="B7087" s="33"/>
      <c r="C7087" s="33"/>
      <c r="D7087" s="33"/>
      <c r="E7087" s="33"/>
      <c r="F7087" s="33"/>
      <c r="G7087" s="33"/>
      <c r="H7087" s="33"/>
      <c r="I7087" s="33"/>
      <c r="J7087" s="33"/>
      <c r="K7087" s="33"/>
      <c r="L7087" s="33"/>
      <c r="M7087" s="33"/>
      <c r="N7087" s="33"/>
      <c r="O7087" s="33"/>
      <c r="P7087" s="33"/>
      <c r="Q7087" s="33"/>
      <c r="R7087" s="33"/>
      <c r="S7087" s="33"/>
      <c r="T7087" s="33"/>
      <c r="U7087" s="33"/>
      <c r="V7087" s="33"/>
      <c r="W7087" s="33"/>
      <c r="X7087" s="33"/>
      <c r="Y7087" s="33"/>
      <c r="Z7087" s="33"/>
      <c r="AA7087" s="33"/>
      <c r="AB7087" s="33"/>
      <c r="AC7087" s="33"/>
      <c r="AD7087" s="33"/>
      <c r="AE7087" s="33"/>
      <c r="AF7087" s="33"/>
      <c r="AG7087" s="33"/>
      <c r="AH7087" s="33"/>
      <c r="AI7087" s="33"/>
      <c r="AJ7087" s="33"/>
      <c r="AK7087" s="33"/>
    </row>
    <row r="7088">
      <c r="A7088" s="33"/>
      <c r="B7088" s="33"/>
      <c r="C7088" s="33"/>
      <c r="D7088" s="33"/>
      <c r="E7088" s="33"/>
      <c r="F7088" s="33"/>
      <c r="G7088" s="33"/>
      <c r="H7088" s="33"/>
      <c r="I7088" s="33"/>
      <c r="J7088" s="33"/>
      <c r="K7088" s="33"/>
      <c r="L7088" s="33"/>
      <c r="M7088" s="33"/>
      <c r="N7088" s="33"/>
      <c r="O7088" s="33"/>
      <c r="P7088" s="33"/>
      <c r="Q7088" s="33"/>
      <c r="R7088" s="33"/>
      <c r="S7088" s="33"/>
      <c r="T7088" s="33"/>
      <c r="U7088" s="33"/>
      <c r="V7088" s="33"/>
      <c r="W7088" s="33"/>
      <c r="X7088" s="33"/>
      <c r="Y7088" s="33"/>
      <c r="Z7088" s="33"/>
      <c r="AA7088" s="33"/>
      <c r="AB7088" s="33"/>
      <c r="AC7088" s="33"/>
      <c r="AD7088" s="33"/>
      <c r="AE7088" s="33"/>
      <c r="AF7088" s="33"/>
      <c r="AG7088" s="33"/>
      <c r="AH7088" s="33"/>
      <c r="AI7088" s="33"/>
      <c r="AJ7088" s="33"/>
      <c r="AK7088" s="33"/>
    </row>
    <row r="7089">
      <c r="A7089" s="33"/>
      <c r="B7089" s="33"/>
      <c r="C7089" s="33"/>
      <c r="D7089" s="33"/>
      <c r="E7089" s="33"/>
      <c r="F7089" s="33"/>
      <c r="G7089" s="33"/>
      <c r="H7089" s="33"/>
      <c r="I7089" s="33"/>
      <c r="J7089" s="33"/>
      <c r="K7089" s="33"/>
      <c r="L7089" s="33"/>
      <c r="M7089" s="33"/>
      <c r="N7089" s="33"/>
      <c r="O7089" s="33"/>
      <c r="P7089" s="33"/>
      <c r="Q7089" s="33"/>
      <c r="R7089" s="33"/>
      <c r="S7089" s="33"/>
      <c r="T7089" s="33"/>
      <c r="U7089" s="33"/>
      <c r="V7089" s="33"/>
      <c r="W7089" s="33"/>
      <c r="X7089" s="33"/>
      <c r="Y7089" s="33"/>
      <c r="Z7089" s="33"/>
      <c r="AA7089" s="33"/>
      <c r="AB7089" s="33"/>
      <c r="AC7089" s="33"/>
      <c r="AD7089" s="33"/>
      <c r="AE7089" s="33"/>
      <c r="AF7089" s="33"/>
      <c r="AG7089" s="33"/>
      <c r="AH7089" s="33"/>
      <c r="AI7089" s="33"/>
      <c r="AJ7089" s="33"/>
      <c r="AK7089" s="33"/>
    </row>
    <row r="7090">
      <c r="A7090" s="33"/>
      <c r="B7090" s="33"/>
      <c r="C7090" s="33"/>
      <c r="D7090" s="33"/>
      <c r="E7090" s="33"/>
      <c r="F7090" s="33"/>
      <c r="G7090" s="33"/>
      <c r="H7090" s="33"/>
      <c r="I7090" s="33"/>
      <c r="J7090" s="33"/>
      <c r="K7090" s="33"/>
      <c r="L7090" s="33"/>
      <c r="M7090" s="33"/>
      <c r="N7090" s="33"/>
      <c r="O7090" s="33"/>
      <c r="P7090" s="33"/>
      <c r="Q7090" s="33"/>
      <c r="R7090" s="33"/>
      <c r="S7090" s="33"/>
      <c r="T7090" s="33"/>
      <c r="U7090" s="33"/>
      <c r="V7090" s="33"/>
      <c r="W7090" s="33"/>
      <c r="X7090" s="33"/>
      <c r="Y7090" s="33"/>
      <c r="Z7090" s="33"/>
      <c r="AA7090" s="33"/>
      <c r="AB7090" s="33"/>
      <c r="AC7090" s="33"/>
      <c r="AD7090" s="33"/>
      <c r="AE7090" s="33"/>
      <c r="AF7090" s="33"/>
      <c r="AG7090" s="33"/>
      <c r="AH7090" s="33"/>
      <c r="AI7090" s="33"/>
      <c r="AJ7090" s="33"/>
      <c r="AK7090" s="33"/>
    </row>
    <row r="7091">
      <c r="A7091" s="33"/>
      <c r="B7091" s="33"/>
      <c r="C7091" s="33"/>
      <c r="D7091" s="33"/>
      <c r="E7091" s="33"/>
      <c r="F7091" s="33"/>
      <c r="G7091" s="33"/>
      <c r="H7091" s="33"/>
      <c r="I7091" s="33"/>
      <c r="J7091" s="33"/>
      <c r="K7091" s="33"/>
      <c r="L7091" s="33"/>
      <c r="M7091" s="33"/>
      <c r="N7091" s="33"/>
      <c r="O7091" s="33"/>
      <c r="P7091" s="33"/>
      <c r="Q7091" s="33"/>
      <c r="R7091" s="33"/>
      <c r="S7091" s="33"/>
      <c r="T7091" s="33"/>
      <c r="U7091" s="33"/>
      <c r="V7091" s="33"/>
      <c r="W7091" s="33"/>
      <c r="X7091" s="33"/>
      <c r="Y7091" s="33"/>
      <c r="Z7091" s="33"/>
      <c r="AA7091" s="33"/>
      <c r="AB7091" s="33"/>
      <c r="AC7091" s="33"/>
      <c r="AD7091" s="33"/>
      <c r="AE7091" s="33"/>
      <c r="AF7091" s="33"/>
      <c r="AG7091" s="33"/>
      <c r="AH7091" s="33"/>
      <c r="AI7091" s="33"/>
      <c r="AJ7091" s="33"/>
      <c r="AK7091" s="33"/>
    </row>
    <row r="7092">
      <c r="A7092" s="33"/>
      <c r="B7092" s="33"/>
      <c r="C7092" s="33"/>
      <c r="D7092" s="33"/>
      <c r="E7092" s="33"/>
      <c r="F7092" s="33"/>
      <c r="G7092" s="33"/>
      <c r="H7092" s="33"/>
      <c r="I7092" s="33"/>
      <c r="J7092" s="33"/>
      <c r="K7092" s="33"/>
      <c r="L7092" s="33"/>
      <c r="M7092" s="33"/>
      <c r="N7092" s="33"/>
      <c r="O7092" s="33"/>
      <c r="P7092" s="33"/>
      <c r="Q7092" s="33"/>
      <c r="R7092" s="33"/>
      <c r="S7092" s="33"/>
      <c r="T7092" s="33"/>
      <c r="U7092" s="33"/>
      <c r="V7092" s="33"/>
      <c r="W7092" s="33"/>
      <c r="X7092" s="33"/>
      <c r="Y7092" s="33"/>
      <c r="Z7092" s="33"/>
      <c r="AA7092" s="33"/>
      <c r="AB7092" s="33"/>
      <c r="AC7092" s="33"/>
      <c r="AD7092" s="33"/>
      <c r="AE7092" s="33"/>
      <c r="AF7092" s="33"/>
      <c r="AG7092" s="33"/>
      <c r="AH7092" s="33"/>
      <c r="AI7092" s="33"/>
      <c r="AJ7092" s="33"/>
      <c r="AK7092" s="33"/>
    </row>
    <row r="7093">
      <c r="A7093" s="33"/>
      <c r="B7093" s="33"/>
      <c r="C7093" s="33"/>
      <c r="D7093" s="33"/>
      <c r="E7093" s="33"/>
      <c r="F7093" s="33"/>
      <c r="G7093" s="33"/>
      <c r="H7093" s="33"/>
      <c r="I7093" s="33"/>
      <c r="J7093" s="33"/>
      <c r="K7093" s="33"/>
      <c r="L7093" s="33"/>
      <c r="M7093" s="33"/>
      <c r="N7093" s="33"/>
      <c r="O7093" s="33"/>
      <c r="P7093" s="33"/>
      <c r="Q7093" s="33"/>
      <c r="R7093" s="33"/>
      <c r="S7093" s="33"/>
      <c r="T7093" s="33"/>
      <c r="U7093" s="33"/>
      <c r="V7093" s="33"/>
      <c r="W7093" s="33"/>
      <c r="X7093" s="33"/>
      <c r="Y7093" s="33"/>
      <c r="Z7093" s="33"/>
      <c r="AA7093" s="33"/>
      <c r="AB7093" s="33"/>
      <c r="AC7093" s="33"/>
      <c r="AD7093" s="33"/>
      <c r="AE7093" s="33"/>
      <c r="AF7093" s="33"/>
      <c r="AG7093" s="33"/>
      <c r="AH7093" s="33"/>
      <c r="AI7093" s="33"/>
      <c r="AJ7093" s="33"/>
      <c r="AK7093" s="33"/>
    </row>
    <row r="7094">
      <c r="A7094" s="33"/>
      <c r="B7094" s="33"/>
      <c r="C7094" s="33"/>
      <c r="D7094" s="33"/>
      <c r="E7094" s="33"/>
      <c r="F7094" s="33"/>
      <c r="G7094" s="33"/>
      <c r="H7094" s="33"/>
      <c r="I7094" s="33"/>
      <c r="J7094" s="33"/>
      <c r="K7094" s="33"/>
      <c r="L7094" s="33"/>
      <c r="M7094" s="33"/>
      <c r="N7094" s="33"/>
      <c r="O7094" s="33"/>
      <c r="P7094" s="33"/>
      <c r="Q7094" s="33"/>
      <c r="R7094" s="33"/>
      <c r="S7094" s="33"/>
      <c r="T7094" s="33"/>
      <c r="U7094" s="33"/>
      <c r="V7094" s="33"/>
      <c r="W7094" s="33"/>
      <c r="X7094" s="33"/>
      <c r="Y7094" s="33"/>
      <c r="Z7094" s="33"/>
      <c r="AA7094" s="33"/>
      <c r="AB7094" s="33"/>
      <c r="AC7094" s="33"/>
      <c r="AD7094" s="33"/>
      <c r="AE7094" s="33"/>
      <c r="AF7094" s="33"/>
      <c r="AG7094" s="33"/>
      <c r="AH7094" s="33"/>
      <c r="AI7094" s="33"/>
      <c r="AJ7094" s="33"/>
      <c r="AK7094" s="33"/>
    </row>
    <row r="7095">
      <c r="A7095" s="33"/>
      <c r="B7095" s="33"/>
      <c r="C7095" s="33"/>
      <c r="D7095" s="33"/>
      <c r="E7095" s="33"/>
      <c r="F7095" s="33"/>
      <c r="G7095" s="33"/>
      <c r="H7095" s="33"/>
      <c r="I7095" s="33"/>
      <c r="J7095" s="33"/>
      <c r="K7095" s="33"/>
      <c r="L7095" s="33"/>
      <c r="M7095" s="33"/>
      <c r="N7095" s="33"/>
      <c r="O7095" s="33"/>
      <c r="P7095" s="33"/>
      <c r="Q7095" s="33"/>
      <c r="R7095" s="33"/>
      <c r="S7095" s="33"/>
      <c r="T7095" s="33"/>
      <c r="U7095" s="33"/>
      <c r="V7095" s="33"/>
      <c r="W7095" s="33"/>
      <c r="X7095" s="33"/>
      <c r="Y7095" s="33"/>
      <c r="Z7095" s="33"/>
      <c r="AA7095" s="33"/>
      <c r="AB7095" s="33"/>
      <c r="AC7095" s="33"/>
      <c r="AD7095" s="33"/>
      <c r="AE7095" s="33"/>
      <c r="AF7095" s="33"/>
      <c r="AG7095" s="33"/>
      <c r="AH7095" s="33"/>
      <c r="AI7095" s="33"/>
      <c r="AJ7095" s="33"/>
      <c r="AK7095" s="33"/>
    </row>
    <row r="7096">
      <c r="A7096" s="33"/>
      <c r="B7096" s="33"/>
      <c r="C7096" s="33"/>
      <c r="D7096" s="33"/>
      <c r="E7096" s="33"/>
      <c r="F7096" s="33"/>
      <c r="G7096" s="33"/>
      <c r="H7096" s="33"/>
      <c r="I7096" s="33"/>
      <c r="J7096" s="33"/>
      <c r="K7096" s="33"/>
      <c r="L7096" s="33"/>
      <c r="M7096" s="33"/>
      <c r="N7096" s="33"/>
      <c r="O7096" s="33"/>
      <c r="P7096" s="33"/>
      <c r="Q7096" s="33"/>
      <c r="R7096" s="33"/>
      <c r="S7096" s="33"/>
      <c r="T7096" s="33"/>
      <c r="U7096" s="33"/>
      <c r="V7096" s="33"/>
      <c r="W7096" s="33"/>
      <c r="X7096" s="33"/>
      <c r="Y7096" s="33"/>
      <c r="Z7096" s="33"/>
      <c r="AA7096" s="33"/>
      <c r="AB7096" s="33"/>
      <c r="AC7096" s="33"/>
      <c r="AD7096" s="33"/>
      <c r="AE7096" s="33"/>
      <c r="AF7096" s="33"/>
      <c r="AG7096" s="33"/>
      <c r="AH7096" s="33"/>
      <c r="AI7096" s="33"/>
      <c r="AJ7096" s="33"/>
      <c r="AK7096" s="33"/>
    </row>
    <row r="7097">
      <c r="A7097" s="33"/>
      <c r="B7097" s="33"/>
      <c r="C7097" s="33"/>
      <c r="D7097" s="33"/>
      <c r="E7097" s="33"/>
      <c r="F7097" s="33"/>
      <c r="G7097" s="33"/>
      <c r="H7097" s="33"/>
      <c r="I7097" s="33"/>
      <c r="J7097" s="33"/>
      <c r="K7097" s="33"/>
      <c r="L7097" s="33"/>
      <c r="M7097" s="33"/>
      <c r="N7097" s="33"/>
      <c r="O7097" s="33"/>
      <c r="P7097" s="33"/>
      <c r="Q7097" s="33"/>
      <c r="R7097" s="33"/>
      <c r="S7097" s="33"/>
      <c r="T7097" s="33"/>
      <c r="U7097" s="33"/>
      <c r="V7097" s="33"/>
      <c r="W7097" s="33"/>
      <c r="X7097" s="33"/>
      <c r="Y7097" s="33"/>
      <c r="Z7097" s="33"/>
      <c r="AA7097" s="33"/>
      <c r="AB7097" s="33"/>
      <c r="AC7097" s="33"/>
      <c r="AD7097" s="33"/>
      <c r="AE7097" s="33"/>
      <c r="AF7097" s="33"/>
      <c r="AG7097" s="33"/>
      <c r="AH7097" s="33"/>
      <c r="AI7097" s="33"/>
      <c r="AJ7097" s="33"/>
      <c r="AK7097" s="33"/>
    </row>
    <row r="7098">
      <c r="A7098" s="33"/>
      <c r="B7098" s="33"/>
      <c r="C7098" s="33"/>
      <c r="D7098" s="33"/>
      <c r="E7098" s="33"/>
      <c r="F7098" s="33"/>
      <c r="G7098" s="33"/>
      <c r="H7098" s="33"/>
      <c r="I7098" s="33"/>
      <c r="J7098" s="33"/>
      <c r="K7098" s="33"/>
      <c r="L7098" s="33"/>
      <c r="M7098" s="33"/>
      <c r="N7098" s="33"/>
      <c r="O7098" s="33"/>
      <c r="P7098" s="33"/>
      <c r="Q7098" s="33"/>
      <c r="R7098" s="33"/>
      <c r="S7098" s="33"/>
      <c r="T7098" s="33"/>
      <c r="U7098" s="33"/>
      <c r="V7098" s="33"/>
      <c r="W7098" s="33"/>
      <c r="X7098" s="33"/>
      <c r="Y7098" s="33"/>
      <c r="Z7098" s="33"/>
      <c r="AA7098" s="33"/>
      <c r="AB7098" s="33"/>
      <c r="AC7098" s="33"/>
      <c r="AD7098" s="33"/>
      <c r="AE7098" s="33"/>
      <c r="AF7098" s="33"/>
      <c r="AG7098" s="33"/>
      <c r="AH7098" s="33"/>
      <c r="AI7098" s="33"/>
      <c r="AJ7098" s="33"/>
      <c r="AK7098" s="33"/>
    </row>
    <row r="7099">
      <c r="A7099" s="33"/>
      <c r="B7099" s="33"/>
      <c r="C7099" s="33"/>
      <c r="D7099" s="33"/>
      <c r="E7099" s="33"/>
      <c r="F7099" s="33"/>
      <c r="G7099" s="33"/>
      <c r="H7099" s="33"/>
      <c r="I7099" s="33"/>
      <c r="J7099" s="33"/>
      <c r="K7099" s="33"/>
      <c r="L7099" s="33"/>
      <c r="M7099" s="33"/>
      <c r="N7099" s="33"/>
      <c r="O7099" s="33"/>
      <c r="P7099" s="33"/>
      <c r="Q7099" s="33"/>
      <c r="R7099" s="33"/>
      <c r="S7099" s="33"/>
      <c r="T7099" s="33"/>
      <c r="U7099" s="33"/>
      <c r="V7099" s="33"/>
      <c r="W7099" s="33"/>
      <c r="X7099" s="33"/>
      <c r="Y7099" s="33"/>
      <c r="Z7099" s="33"/>
      <c r="AA7099" s="33"/>
      <c r="AB7099" s="33"/>
      <c r="AC7099" s="33"/>
      <c r="AD7099" s="33"/>
      <c r="AE7099" s="33"/>
      <c r="AF7099" s="33"/>
      <c r="AG7099" s="33"/>
      <c r="AH7099" s="33"/>
      <c r="AI7099" s="33"/>
      <c r="AJ7099" s="33"/>
      <c r="AK7099" s="33"/>
    </row>
    <row r="7100">
      <c r="A7100" s="33"/>
      <c r="B7100" s="33"/>
      <c r="C7100" s="33"/>
      <c r="D7100" s="33"/>
      <c r="E7100" s="33"/>
      <c r="F7100" s="33"/>
      <c r="G7100" s="33"/>
      <c r="H7100" s="33"/>
      <c r="I7100" s="33"/>
      <c r="J7100" s="33"/>
      <c r="K7100" s="33"/>
      <c r="L7100" s="33"/>
      <c r="M7100" s="33"/>
      <c r="N7100" s="33"/>
      <c r="O7100" s="33"/>
      <c r="P7100" s="33"/>
      <c r="Q7100" s="33"/>
      <c r="R7100" s="33"/>
      <c r="S7100" s="33"/>
      <c r="T7100" s="33"/>
      <c r="U7100" s="33"/>
      <c r="V7100" s="33"/>
      <c r="W7100" s="33"/>
      <c r="X7100" s="33"/>
      <c r="Y7100" s="33"/>
      <c r="Z7100" s="33"/>
      <c r="AA7100" s="33"/>
      <c r="AB7100" s="33"/>
      <c r="AC7100" s="33"/>
      <c r="AD7100" s="33"/>
      <c r="AE7100" s="33"/>
      <c r="AF7100" s="33"/>
      <c r="AG7100" s="33"/>
      <c r="AH7100" s="33"/>
      <c r="AI7100" s="33"/>
      <c r="AJ7100" s="33"/>
      <c r="AK7100" s="33"/>
    </row>
    <row r="7101">
      <c r="A7101" s="33"/>
      <c r="B7101" s="33"/>
      <c r="C7101" s="33"/>
      <c r="D7101" s="33"/>
      <c r="E7101" s="33"/>
      <c r="F7101" s="33"/>
      <c r="G7101" s="33"/>
      <c r="H7101" s="33"/>
      <c r="I7101" s="33"/>
      <c r="J7101" s="33"/>
      <c r="K7101" s="33"/>
      <c r="L7101" s="33"/>
      <c r="M7101" s="33"/>
      <c r="N7101" s="33"/>
      <c r="O7101" s="33"/>
      <c r="P7101" s="33"/>
      <c r="Q7101" s="33"/>
      <c r="R7101" s="33"/>
      <c r="S7101" s="33"/>
      <c r="T7101" s="33"/>
      <c r="U7101" s="33"/>
      <c r="V7101" s="33"/>
      <c r="W7101" s="33"/>
      <c r="X7101" s="33"/>
      <c r="Y7101" s="33"/>
      <c r="Z7101" s="33"/>
      <c r="AA7101" s="33"/>
      <c r="AB7101" s="33"/>
      <c r="AC7101" s="33"/>
      <c r="AD7101" s="33"/>
      <c r="AE7101" s="33"/>
      <c r="AF7101" s="33"/>
      <c r="AG7101" s="33"/>
      <c r="AH7101" s="33"/>
      <c r="AI7101" s="33"/>
      <c r="AJ7101" s="33"/>
      <c r="AK7101" s="33"/>
    </row>
    <row r="7102">
      <c r="A7102" s="33"/>
      <c r="B7102" s="33"/>
      <c r="C7102" s="33"/>
      <c r="D7102" s="33"/>
      <c r="E7102" s="33"/>
      <c r="F7102" s="33"/>
      <c r="G7102" s="33"/>
      <c r="H7102" s="33"/>
      <c r="I7102" s="33"/>
      <c r="J7102" s="33"/>
      <c r="K7102" s="33"/>
      <c r="L7102" s="33"/>
      <c r="M7102" s="33"/>
      <c r="N7102" s="33"/>
      <c r="O7102" s="33"/>
      <c r="P7102" s="33"/>
      <c r="Q7102" s="33"/>
      <c r="R7102" s="33"/>
      <c r="S7102" s="33"/>
      <c r="T7102" s="33"/>
      <c r="U7102" s="33"/>
      <c r="V7102" s="33"/>
      <c r="W7102" s="33"/>
      <c r="X7102" s="33"/>
      <c r="Y7102" s="33"/>
      <c r="Z7102" s="33"/>
      <c r="AA7102" s="33"/>
      <c r="AB7102" s="33"/>
      <c r="AC7102" s="33"/>
      <c r="AD7102" s="33"/>
      <c r="AE7102" s="33"/>
      <c r="AF7102" s="33"/>
      <c r="AG7102" s="33"/>
      <c r="AH7102" s="33"/>
      <c r="AI7102" s="33"/>
      <c r="AJ7102" s="33"/>
      <c r="AK7102" s="33"/>
    </row>
    <row r="7103">
      <c r="A7103" s="33"/>
      <c r="B7103" s="33"/>
      <c r="C7103" s="33"/>
      <c r="D7103" s="33"/>
      <c r="E7103" s="33"/>
      <c r="F7103" s="33"/>
      <c r="G7103" s="33"/>
      <c r="H7103" s="33"/>
      <c r="I7103" s="33"/>
      <c r="J7103" s="33"/>
      <c r="K7103" s="33"/>
      <c r="L7103" s="33"/>
      <c r="M7103" s="33"/>
      <c r="N7103" s="33"/>
      <c r="O7103" s="33"/>
      <c r="P7103" s="33"/>
      <c r="Q7103" s="33"/>
      <c r="R7103" s="33"/>
      <c r="S7103" s="33"/>
      <c r="T7103" s="33"/>
      <c r="U7103" s="33"/>
      <c r="V7103" s="33"/>
      <c r="W7103" s="33"/>
      <c r="X7103" s="33"/>
      <c r="Y7103" s="33"/>
      <c r="Z7103" s="33"/>
      <c r="AA7103" s="33"/>
      <c r="AB7103" s="33"/>
      <c r="AC7103" s="33"/>
      <c r="AD7103" s="33"/>
      <c r="AE7103" s="33"/>
      <c r="AF7103" s="33"/>
      <c r="AG7103" s="33"/>
      <c r="AH7103" s="33"/>
      <c r="AI7103" s="33"/>
      <c r="AJ7103" s="33"/>
      <c r="AK7103" s="33"/>
    </row>
    <row r="7104">
      <c r="A7104" s="33"/>
      <c r="B7104" s="33"/>
      <c r="C7104" s="33"/>
      <c r="D7104" s="33"/>
      <c r="E7104" s="33"/>
      <c r="F7104" s="33"/>
      <c r="G7104" s="33"/>
      <c r="H7104" s="33"/>
      <c r="I7104" s="33"/>
      <c r="J7104" s="33"/>
      <c r="K7104" s="33"/>
      <c r="L7104" s="33"/>
      <c r="M7104" s="33"/>
      <c r="N7104" s="33"/>
      <c r="O7104" s="33"/>
      <c r="P7104" s="33"/>
      <c r="Q7104" s="33"/>
      <c r="R7104" s="33"/>
      <c r="S7104" s="33"/>
      <c r="T7104" s="33"/>
      <c r="U7104" s="33"/>
      <c r="V7104" s="33"/>
      <c r="W7104" s="33"/>
      <c r="X7104" s="33"/>
      <c r="Y7104" s="33"/>
      <c r="Z7104" s="33"/>
      <c r="AA7104" s="33"/>
      <c r="AB7104" s="33"/>
      <c r="AC7104" s="33"/>
      <c r="AD7104" s="33"/>
      <c r="AE7104" s="33"/>
      <c r="AF7104" s="33"/>
      <c r="AG7104" s="33"/>
      <c r="AH7104" s="33"/>
      <c r="AI7104" s="33"/>
      <c r="AJ7104" s="33"/>
      <c r="AK7104" s="33"/>
    </row>
    <row r="7105">
      <c r="A7105" s="33"/>
      <c r="B7105" s="33"/>
      <c r="C7105" s="33"/>
      <c r="D7105" s="33"/>
      <c r="E7105" s="33"/>
      <c r="F7105" s="33"/>
      <c r="G7105" s="33"/>
      <c r="H7105" s="33"/>
      <c r="I7105" s="33"/>
      <c r="J7105" s="33"/>
      <c r="K7105" s="33"/>
      <c r="L7105" s="33"/>
      <c r="M7105" s="33"/>
      <c r="N7105" s="33"/>
      <c r="O7105" s="33"/>
      <c r="P7105" s="33"/>
      <c r="Q7105" s="33"/>
      <c r="R7105" s="33"/>
      <c r="S7105" s="33"/>
      <c r="T7105" s="33"/>
      <c r="U7105" s="33"/>
      <c r="V7105" s="33"/>
      <c r="W7105" s="33"/>
      <c r="X7105" s="33"/>
      <c r="Y7105" s="33"/>
      <c r="Z7105" s="33"/>
      <c r="AA7105" s="33"/>
      <c r="AB7105" s="33"/>
      <c r="AC7105" s="33"/>
      <c r="AD7105" s="33"/>
      <c r="AE7105" s="33"/>
      <c r="AF7105" s="33"/>
      <c r="AG7105" s="33"/>
      <c r="AH7105" s="33"/>
      <c r="AI7105" s="33"/>
      <c r="AJ7105" s="33"/>
      <c r="AK7105" s="33"/>
    </row>
    <row r="7106">
      <c r="A7106" s="33"/>
      <c r="B7106" s="33"/>
      <c r="C7106" s="33"/>
      <c r="D7106" s="33"/>
      <c r="E7106" s="33"/>
      <c r="F7106" s="33"/>
      <c r="G7106" s="33"/>
      <c r="H7106" s="33"/>
      <c r="I7106" s="33"/>
      <c r="J7106" s="33"/>
      <c r="K7106" s="33"/>
      <c r="L7106" s="33"/>
      <c r="M7106" s="33"/>
      <c r="N7106" s="33"/>
      <c r="O7106" s="33"/>
      <c r="P7106" s="33"/>
      <c r="Q7106" s="33"/>
      <c r="R7106" s="33"/>
      <c r="S7106" s="33"/>
      <c r="T7106" s="33"/>
      <c r="U7106" s="33"/>
      <c r="V7106" s="33"/>
      <c r="W7106" s="33"/>
      <c r="X7106" s="33"/>
      <c r="Y7106" s="33"/>
      <c r="Z7106" s="33"/>
      <c r="AA7106" s="33"/>
      <c r="AB7106" s="33"/>
      <c r="AC7106" s="33"/>
      <c r="AD7106" s="33"/>
      <c r="AE7106" s="33"/>
      <c r="AF7106" s="33"/>
      <c r="AG7106" s="33"/>
      <c r="AH7106" s="33"/>
      <c r="AI7106" s="33"/>
      <c r="AJ7106" s="33"/>
      <c r="AK7106" s="33"/>
    </row>
    <row r="7107">
      <c r="A7107" s="33"/>
      <c r="B7107" s="33"/>
      <c r="C7107" s="33"/>
      <c r="D7107" s="33"/>
      <c r="E7107" s="33"/>
      <c r="F7107" s="33"/>
      <c r="G7107" s="33"/>
      <c r="H7107" s="33"/>
      <c r="I7107" s="33"/>
      <c r="J7107" s="33"/>
      <c r="K7107" s="33"/>
      <c r="L7107" s="33"/>
      <c r="M7107" s="33"/>
      <c r="N7107" s="33"/>
      <c r="O7107" s="33"/>
      <c r="P7107" s="33"/>
      <c r="Q7107" s="33"/>
      <c r="R7107" s="33"/>
      <c r="S7107" s="33"/>
      <c r="T7107" s="33"/>
      <c r="U7107" s="33"/>
      <c r="V7107" s="33"/>
      <c r="W7107" s="33"/>
      <c r="X7107" s="33"/>
      <c r="Y7107" s="33"/>
      <c r="Z7107" s="33"/>
      <c r="AA7107" s="33"/>
      <c r="AB7107" s="33"/>
      <c r="AC7107" s="33"/>
      <c r="AD7107" s="33"/>
      <c r="AE7107" s="33"/>
      <c r="AF7107" s="33"/>
      <c r="AG7107" s="33"/>
      <c r="AH7107" s="33"/>
      <c r="AI7107" s="33"/>
      <c r="AJ7107" s="33"/>
      <c r="AK7107" s="33"/>
    </row>
    <row r="7108">
      <c r="A7108" s="33"/>
      <c r="B7108" s="33"/>
      <c r="C7108" s="33"/>
      <c r="D7108" s="33"/>
      <c r="E7108" s="33"/>
      <c r="F7108" s="33"/>
      <c r="G7108" s="33"/>
      <c r="H7108" s="33"/>
      <c r="I7108" s="33"/>
      <c r="J7108" s="33"/>
      <c r="K7108" s="33"/>
      <c r="L7108" s="33"/>
      <c r="M7108" s="33"/>
      <c r="N7108" s="33"/>
      <c r="O7108" s="33"/>
      <c r="P7108" s="33"/>
      <c r="Q7108" s="33"/>
      <c r="R7108" s="33"/>
      <c r="S7108" s="33"/>
      <c r="T7108" s="33"/>
      <c r="U7108" s="33"/>
      <c r="V7108" s="33"/>
      <c r="W7108" s="33"/>
      <c r="X7108" s="33"/>
      <c r="Y7108" s="33"/>
      <c r="Z7108" s="33"/>
      <c r="AA7108" s="33"/>
      <c r="AB7108" s="33"/>
      <c r="AC7108" s="33"/>
      <c r="AD7108" s="33"/>
      <c r="AE7108" s="33"/>
      <c r="AF7108" s="33"/>
      <c r="AG7108" s="33"/>
      <c r="AH7108" s="33"/>
      <c r="AI7108" s="33"/>
      <c r="AJ7108" s="33"/>
      <c r="AK7108" s="33"/>
    </row>
    <row r="7109">
      <c r="A7109" s="33"/>
      <c r="B7109" s="33"/>
      <c r="C7109" s="33"/>
      <c r="D7109" s="33"/>
      <c r="E7109" s="33"/>
      <c r="F7109" s="33"/>
      <c r="G7109" s="33"/>
      <c r="H7109" s="33"/>
      <c r="I7109" s="33"/>
      <c r="J7109" s="33"/>
      <c r="K7109" s="33"/>
      <c r="L7109" s="33"/>
      <c r="M7109" s="33"/>
      <c r="N7109" s="33"/>
      <c r="O7109" s="33"/>
      <c r="P7109" s="33"/>
      <c r="Q7109" s="33"/>
      <c r="R7109" s="33"/>
      <c r="S7109" s="33"/>
      <c r="T7109" s="33"/>
      <c r="U7109" s="33"/>
      <c r="V7109" s="33"/>
      <c r="W7109" s="33"/>
      <c r="X7109" s="33"/>
      <c r="Y7109" s="33"/>
      <c r="Z7109" s="33"/>
      <c r="AA7109" s="33"/>
      <c r="AB7109" s="33"/>
      <c r="AC7109" s="33"/>
      <c r="AD7109" s="33"/>
      <c r="AE7109" s="33"/>
      <c r="AF7109" s="33"/>
      <c r="AG7109" s="33"/>
      <c r="AH7109" s="33"/>
      <c r="AI7109" s="33"/>
      <c r="AJ7109" s="33"/>
      <c r="AK7109" s="33"/>
    </row>
    <row r="7110">
      <c r="A7110" s="33"/>
      <c r="B7110" s="33"/>
      <c r="C7110" s="33"/>
      <c r="D7110" s="33"/>
      <c r="E7110" s="33"/>
      <c r="F7110" s="33"/>
      <c r="G7110" s="33"/>
      <c r="H7110" s="33"/>
      <c r="I7110" s="33"/>
      <c r="J7110" s="33"/>
      <c r="K7110" s="33"/>
      <c r="L7110" s="33"/>
      <c r="M7110" s="33"/>
      <c r="N7110" s="33"/>
      <c r="O7110" s="33"/>
      <c r="P7110" s="33"/>
      <c r="Q7110" s="33"/>
      <c r="R7110" s="33"/>
      <c r="S7110" s="33"/>
      <c r="T7110" s="33"/>
      <c r="U7110" s="33"/>
      <c r="V7110" s="33"/>
      <c r="W7110" s="33"/>
      <c r="X7110" s="33"/>
      <c r="Y7110" s="33"/>
      <c r="Z7110" s="33"/>
      <c r="AA7110" s="33"/>
      <c r="AB7110" s="33"/>
      <c r="AC7110" s="33"/>
      <c r="AD7110" s="33"/>
      <c r="AE7110" s="33"/>
      <c r="AF7110" s="33"/>
      <c r="AG7110" s="33"/>
      <c r="AH7110" s="33"/>
      <c r="AI7110" s="33"/>
      <c r="AJ7110" s="33"/>
      <c r="AK7110" s="33"/>
    </row>
    <row r="7111">
      <c r="A7111" s="33"/>
      <c r="B7111" s="33"/>
      <c r="C7111" s="33"/>
      <c r="D7111" s="33"/>
      <c r="E7111" s="33"/>
      <c r="F7111" s="33"/>
      <c r="G7111" s="33"/>
      <c r="H7111" s="33"/>
      <c r="I7111" s="33"/>
      <c r="J7111" s="33"/>
      <c r="K7111" s="33"/>
      <c r="L7111" s="33"/>
      <c r="M7111" s="33"/>
      <c r="N7111" s="33"/>
      <c r="O7111" s="33"/>
      <c r="P7111" s="33"/>
      <c r="Q7111" s="33"/>
      <c r="R7111" s="33"/>
      <c r="S7111" s="33"/>
      <c r="T7111" s="33"/>
      <c r="U7111" s="33"/>
      <c r="V7111" s="33"/>
      <c r="W7111" s="33"/>
      <c r="X7111" s="33"/>
      <c r="Y7111" s="33"/>
      <c r="Z7111" s="33"/>
      <c r="AA7111" s="33"/>
      <c r="AB7111" s="33"/>
      <c r="AC7111" s="33"/>
      <c r="AD7111" s="33"/>
      <c r="AE7111" s="33"/>
      <c r="AF7111" s="33"/>
      <c r="AG7111" s="33"/>
      <c r="AH7111" s="33"/>
      <c r="AI7111" s="33"/>
      <c r="AJ7111" s="33"/>
      <c r="AK7111" s="33"/>
    </row>
    <row r="7112">
      <c r="A7112" s="33"/>
      <c r="B7112" s="33"/>
      <c r="C7112" s="33"/>
      <c r="D7112" s="33"/>
      <c r="E7112" s="33"/>
      <c r="F7112" s="33"/>
      <c r="G7112" s="33"/>
      <c r="H7112" s="33"/>
      <c r="I7112" s="33"/>
      <c r="J7112" s="33"/>
      <c r="K7112" s="33"/>
      <c r="L7112" s="33"/>
      <c r="M7112" s="33"/>
      <c r="N7112" s="33"/>
      <c r="O7112" s="33"/>
      <c r="P7112" s="33"/>
      <c r="Q7112" s="33"/>
      <c r="R7112" s="33"/>
      <c r="S7112" s="33"/>
      <c r="T7112" s="33"/>
      <c r="U7112" s="33"/>
      <c r="V7112" s="33"/>
      <c r="W7112" s="33"/>
      <c r="X7112" s="33"/>
      <c r="Y7112" s="33"/>
      <c r="Z7112" s="33"/>
      <c r="AA7112" s="33"/>
      <c r="AB7112" s="33"/>
      <c r="AC7112" s="33"/>
      <c r="AD7112" s="33"/>
      <c r="AE7112" s="33"/>
      <c r="AF7112" s="33"/>
      <c r="AG7112" s="33"/>
      <c r="AH7112" s="33"/>
      <c r="AI7112" s="33"/>
      <c r="AJ7112" s="33"/>
      <c r="AK7112" s="33"/>
    </row>
    <row r="7113">
      <c r="A7113" s="33"/>
      <c r="B7113" s="33"/>
      <c r="C7113" s="33"/>
      <c r="D7113" s="33"/>
      <c r="E7113" s="33"/>
      <c r="F7113" s="33"/>
      <c r="G7113" s="33"/>
      <c r="H7113" s="33"/>
      <c r="I7113" s="33"/>
      <c r="J7113" s="33"/>
      <c r="K7113" s="33"/>
      <c r="L7113" s="33"/>
      <c r="M7113" s="33"/>
      <c r="N7113" s="33"/>
      <c r="O7113" s="33"/>
      <c r="P7113" s="33"/>
      <c r="Q7113" s="33"/>
      <c r="R7113" s="33"/>
      <c r="S7113" s="33"/>
      <c r="T7113" s="33"/>
      <c r="U7113" s="33"/>
      <c r="V7113" s="33"/>
      <c r="W7113" s="33"/>
      <c r="X7113" s="33"/>
      <c r="Y7113" s="33"/>
      <c r="Z7113" s="33"/>
      <c r="AA7113" s="33"/>
      <c r="AB7113" s="33"/>
      <c r="AC7113" s="33"/>
      <c r="AD7113" s="33"/>
      <c r="AE7113" s="33"/>
      <c r="AF7113" s="33"/>
      <c r="AG7113" s="33"/>
      <c r="AH7113" s="33"/>
      <c r="AI7113" s="33"/>
      <c r="AJ7113" s="33"/>
      <c r="AK7113" s="33"/>
    </row>
    <row r="7114">
      <c r="A7114" s="33"/>
      <c r="B7114" s="33"/>
      <c r="C7114" s="33"/>
      <c r="D7114" s="33"/>
      <c r="E7114" s="33"/>
      <c r="F7114" s="33"/>
      <c r="G7114" s="33"/>
      <c r="H7114" s="33"/>
      <c r="I7114" s="33"/>
      <c r="J7114" s="33"/>
      <c r="K7114" s="33"/>
      <c r="L7114" s="33"/>
      <c r="M7114" s="33"/>
      <c r="N7114" s="33"/>
      <c r="O7114" s="33"/>
      <c r="P7114" s="33"/>
      <c r="Q7114" s="33"/>
      <c r="R7114" s="33"/>
      <c r="S7114" s="33"/>
      <c r="T7114" s="33"/>
      <c r="U7114" s="33"/>
      <c r="V7114" s="33"/>
      <c r="W7114" s="33"/>
      <c r="X7114" s="33"/>
      <c r="Y7114" s="33"/>
      <c r="Z7114" s="33"/>
      <c r="AA7114" s="33"/>
      <c r="AB7114" s="33"/>
      <c r="AC7114" s="33"/>
      <c r="AD7114" s="33"/>
      <c r="AE7114" s="33"/>
      <c r="AF7114" s="33"/>
      <c r="AG7114" s="33"/>
      <c r="AH7114" s="33"/>
      <c r="AI7114" s="33"/>
      <c r="AJ7114" s="33"/>
      <c r="AK7114" s="33"/>
    </row>
    <row r="7115">
      <c r="A7115" s="33"/>
      <c r="B7115" s="33"/>
      <c r="C7115" s="33"/>
      <c r="D7115" s="33"/>
      <c r="E7115" s="33"/>
      <c r="F7115" s="33"/>
      <c r="G7115" s="33"/>
      <c r="H7115" s="33"/>
      <c r="I7115" s="33"/>
      <c r="J7115" s="33"/>
      <c r="K7115" s="33"/>
      <c r="L7115" s="33"/>
      <c r="M7115" s="33"/>
      <c r="N7115" s="33"/>
      <c r="O7115" s="33"/>
      <c r="P7115" s="33"/>
      <c r="Q7115" s="33"/>
      <c r="R7115" s="33"/>
      <c r="S7115" s="33"/>
      <c r="T7115" s="33"/>
      <c r="U7115" s="33"/>
      <c r="V7115" s="33"/>
      <c r="W7115" s="33"/>
      <c r="X7115" s="33"/>
      <c r="Y7115" s="33"/>
      <c r="Z7115" s="33"/>
      <c r="AA7115" s="33"/>
      <c r="AB7115" s="33"/>
      <c r="AC7115" s="33"/>
      <c r="AD7115" s="33"/>
      <c r="AE7115" s="33"/>
      <c r="AF7115" s="33"/>
      <c r="AG7115" s="33"/>
      <c r="AH7115" s="33"/>
      <c r="AI7115" s="33"/>
      <c r="AJ7115" s="33"/>
      <c r="AK7115" s="33"/>
    </row>
    <row r="7116">
      <c r="A7116" s="33"/>
      <c r="B7116" s="33"/>
      <c r="C7116" s="33"/>
      <c r="D7116" s="33"/>
      <c r="E7116" s="33"/>
      <c r="F7116" s="33"/>
      <c r="G7116" s="33"/>
      <c r="H7116" s="33"/>
      <c r="I7116" s="33"/>
      <c r="J7116" s="33"/>
      <c r="K7116" s="33"/>
      <c r="L7116" s="33"/>
      <c r="M7116" s="33"/>
      <c r="N7116" s="33"/>
      <c r="O7116" s="33"/>
      <c r="P7116" s="33"/>
      <c r="Q7116" s="33"/>
      <c r="R7116" s="33"/>
      <c r="S7116" s="33"/>
      <c r="T7116" s="33"/>
      <c r="U7116" s="33"/>
      <c r="V7116" s="33"/>
      <c r="W7116" s="33"/>
      <c r="X7116" s="33"/>
      <c r="Y7116" s="33"/>
      <c r="Z7116" s="33"/>
      <c r="AA7116" s="33"/>
      <c r="AB7116" s="33"/>
      <c r="AC7116" s="33"/>
      <c r="AD7116" s="33"/>
      <c r="AE7116" s="33"/>
      <c r="AF7116" s="33"/>
      <c r="AG7116" s="33"/>
      <c r="AH7116" s="33"/>
      <c r="AI7116" s="33"/>
      <c r="AJ7116" s="33"/>
      <c r="AK7116" s="33"/>
    </row>
    <row r="7117">
      <c r="A7117" s="33"/>
      <c r="B7117" s="33"/>
      <c r="C7117" s="33"/>
      <c r="D7117" s="33"/>
      <c r="E7117" s="33"/>
      <c r="F7117" s="33"/>
      <c r="G7117" s="33"/>
      <c r="H7117" s="33"/>
      <c r="I7117" s="33"/>
      <c r="J7117" s="33"/>
      <c r="K7117" s="33"/>
      <c r="L7117" s="33"/>
      <c r="M7117" s="33"/>
      <c r="N7117" s="33"/>
      <c r="O7117" s="33"/>
      <c r="P7117" s="33"/>
      <c r="Q7117" s="33"/>
      <c r="R7117" s="33"/>
      <c r="S7117" s="33"/>
      <c r="T7117" s="33"/>
      <c r="U7117" s="33"/>
      <c r="V7117" s="33"/>
      <c r="W7117" s="33"/>
      <c r="X7117" s="33"/>
      <c r="Y7117" s="33"/>
      <c r="Z7117" s="33"/>
      <c r="AA7117" s="33"/>
      <c r="AB7117" s="33"/>
      <c r="AC7117" s="33"/>
      <c r="AD7117" s="33"/>
      <c r="AE7117" s="33"/>
      <c r="AF7117" s="33"/>
      <c r="AG7117" s="33"/>
      <c r="AH7117" s="33"/>
      <c r="AI7117" s="33"/>
      <c r="AJ7117" s="33"/>
      <c r="AK7117" s="33"/>
    </row>
    <row r="7118">
      <c r="A7118" s="33"/>
      <c r="B7118" s="33"/>
      <c r="C7118" s="33"/>
      <c r="D7118" s="33"/>
      <c r="E7118" s="33"/>
      <c r="F7118" s="33"/>
      <c r="G7118" s="33"/>
      <c r="H7118" s="33"/>
      <c r="I7118" s="33"/>
      <c r="J7118" s="33"/>
      <c r="K7118" s="33"/>
      <c r="L7118" s="33"/>
      <c r="M7118" s="33"/>
      <c r="N7118" s="33"/>
      <c r="O7118" s="33"/>
      <c r="P7118" s="33"/>
      <c r="Q7118" s="33"/>
      <c r="R7118" s="33"/>
      <c r="S7118" s="33"/>
      <c r="T7118" s="33"/>
      <c r="U7118" s="33"/>
      <c r="V7118" s="33"/>
      <c r="W7118" s="33"/>
      <c r="X7118" s="33"/>
      <c r="Y7118" s="33"/>
      <c r="Z7118" s="33"/>
      <c r="AA7118" s="33"/>
      <c r="AB7118" s="33"/>
      <c r="AC7118" s="33"/>
      <c r="AD7118" s="33"/>
      <c r="AE7118" s="33"/>
      <c r="AF7118" s="33"/>
      <c r="AG7118" s="33"/>
      <c r="AH7118" s="33"/>
      <c r="AI7118" s="33"/>
      <c r="AJ7118" s="33"/>
      <c r="AK7118" s="33"/>
    </row>
    <row r="7119">
      <c r="A7119" s="33"/>
      <c r="B7119" s="33"/>
      <c r="C7119" s="33"/>
      <c r="D7119" s="33"/>
      <c r="E7119" s="33"/>
      <c r="F7119" s="33"/>
      <c r="G7119" s="33"/>
      <c r="H7119" s="33"/>
      <c r="I7119" s="33"/>
      <c r="J7119" s="33"/>
      <c r="K7119" s="33"/>
      <c r="L7119" s="33"/>
      <c r="M7119" s="33"/>
      <c r="N7119" s="33"/>
      <c r="O7119" s="33"/>
      <c r="P7119" s="33"/>
      <c r="Q7119" s="33"/>
      <c r="R7119" s="33"/>
      <c r="S7119" s="33"/>
      <c r="T7119" s="33"/>
      <c r="U7119" s="33"/>
      <c r="V7119" s="33"/>
      <c r="W7119" s="33"/>
      <c r="X7119" s="33"/>
      <c r="Y7119" s="33"/>
      <c r="Z7119" s="33"/>
      <c r="AA7119" s="33"/>
      <c r="AB7119" s="33"/>
      <c r="AC7119" s="33"/>
      <c r="AD7119" s="33"/>
      <c r="AE7119" s="33"/>
      <c r="AF7119" s="33"/>
      <c r="AG7119" s="33"/>
      <c r="AH7119" s="33"/>
      <c r="AI7119" s="33"/>
      <c r="AJ7119" s="33"/>
      <c r="AK7119" s="33"/>
    </row>
    <row r="7120">
      <c r="A7120" s="33"/>
      <c r="B7120" s="33"/>
      <c r="C7120" s="33"/>
      <c r="D7120" s="33"/>
      <c r="E7120" s="33"/>
      <c r="F7120" s="33"/>
      <c r="G7120" s="33"/>
      <c r="H7120" s="33"/>
      <c r="I7120" s="33"/>
      <c r="J7120" s="33"/>
      <c r="K7120" s="33"/>
      <c r="L7120" s="33"/>
      <c r="M7120" s="33"/>
      <c r="N7120" s="33"/>
      <c r="O7120" s="33"/>
      <c r="P7120" s="33"/>
      <c r="Q7120" s="33"/>
      <c r="R7120" s="33"/>
      <c r="S7120" s="33"/>
      <c r="T7120" s="33"/>
      <c r="U7120" s="33"/>
      <c r="V7120" s="33"/>
      <c r="W7120" s="33"/>
      <c r="X7120" s="33"/>
      <c r="Y7120" s="33"/>
      <c r="Z7120" s="33"/>
      <c r="AA7120" s="33"/>
      <c r="AB7120" s="33"/>
      <c r="AC7120" s="33"/>
      <c r="AD7120" s="33"/>
      <c r="AE7120" s="33"/>
      <c r="AF7120" s="33"/>
      <c r="AG7120" s="33"/>
      <c r="AH7120" s="33"/>
      <c r="AI7120" s="33"/>
      <c r="AJ7120" s="33"/>
      <c r="AK7120" s="33"/>
    </row>
    <row r="7121">
      <c r="A7121" s="33"/>
      <c r="B7121" s="33"/>
      <c r="C7121" s="33"/>
      <c r="D7121" s="33"/>
      <c r="E7121" s="33"/>
      <c r="F7121" s="33"/>
      <c r="G7121" s="33"/>
      <c r="H7121" s="33"/>
      <c r="I7121" s="33"/>
      <c r="J7121" s="33"/>
      <c r="K7121" s="33"/>
      <c r="L7121" s="33"/>
      <c r="M7121" s="33"/>
      <c r="N7121" s="33"/>
      <c r="O7121" s="33"/>
      <c r="P7121" s="33"/>
      <c r="Q7121" s="33"/>
      <c r="R7121" s="33"/>
      <c r="S7121" s="33"/>
      <c r="T7121" s="33"/>
      <c r="U7121" s="33"/>
      <c r="V7121" s="33"/>
      <c r="W7121" s="33"/>
      <c r="X7121" s="33"/>
      <c r="Y7121" s="33"/>
      <c r="Z7121" s="33"/>
      <c r="AA7121" s="33"/>
      <c r="AB7121" s="33"/>
      <c r="AC7121" s="33"/>
      <c r="AD7121" s="33"/>
      <c r="AE7121" s="33"/>
      <c r="AF7121" s="33"/>
      <c r="AG7121" s="33"/>
      <c r="AH7121" s="33"/>
      <c r="AI7121" s="33"/>
      <c r="AJ7121" s="33"/>
      <c r="AK7121" s="33"/>
    </row>
    <row r="7122">
      <c r="A7122" s="33"/>
      <c r="B7122" s="33"/>
      <c r="C7122" s="33"/>
      <c r="D7122" s="33"/>
      <c r="E7122" s="33"/>
      <c r="F7122" s="33"/>
      <c r="G7122" s="33"/>
      <c r="H7122" s="33"/>
      <c r="I7122" s="33"/>
      <c r="J7122" s="33"/>
      <c r="K7122" s="33"/>
      <c r="L7122" s="33"/>
      <c r="M7122" s="33"/>
      <c r="N7122" s="33"/>
      <c r="O7122" s="33"/>
      <c r="P7122" s="33"/>
      <c r="Q7122" s="33"/>
      <c r="R7122" s="33"/>
      <c r="S7122" s="33"/>
      <c r="T7122" s="33"/>
      <c r="U7122" s="33"/>
      <c r="V7122" s="33"/>
      <c r="W7122" s="33"/>
      <c r="X7122" s="33"/>
      <c r="Y7122" s="33"/>
      <c r="Z7122" s="33"/>
      <c r="AA7122" s="33"/>
      <c r="AB7122" s="33"/>
      <c r="AC7122" s="33"/>
      <c r="AD7122" s="33"/>
      <c r="AE7122" s="33"/>
      <c r="AF7122" s="33"/>
      <c r="AG7122" s="33"/>
      <c r="AH7122" s="33"/>
      <c r="AI7122" s="33"/>
      <c r="AJ7122" s="33"/>
      <c r="AK7122" s="33"/>
    </row>
    <row r="7123">
      <c r="A7123" s="33"/>
      <c r="B7123" s="33"/>
      <c r="C7123" s="33"/>
      <c r="D7123" s="33"/>
      <c r="E7123" s="33"/>
      <c r="F7123" s="33"/>
      <c r="G7123" s="33"/>
      <c r="H7123" s="33"/>
      <c r="I7123" s="33"/>
      <c r="J7123" s="33"/>
      <c r="K7123" s="33"/>
      <c r="L7123" s="33"/>
      <c r="M7123" s="33"/>
      <c r="N7123" s="33"/>
      <c r="O7123" s="33"/>
      <c r="P7123" s="33"/>
      <c r="Q7123" s="33"/>
      <c r="R7123" s="33"/>
      <c r="S7123" s="33"/>
      <c r="T7123" s="33"/>
      <c r="U7123" s="33"/>
      <c r="V7123" s="33"/>
      <c r="W7123" s="33"/>
      <c r="X7123" s="33"/>
      <c r="Y7123" s="33"/>
      <c r="Z7123" s="33"/>
      <c r="AA7123" s="33"/>
      <c r="AB7123" s="33"/>
      <c r="AC7123" s="33"/>
      <c r="AD7123" s="33"/>
      <c r="AE7123" s="33"/>
      <c r="AF7123" s="33"/>
      <c r="AG7123" s="33"/>
      <c r="AH7123" s="33"/>
      <c r="AI7123" s="33"/>
      <c r="AJ7123" s="33"/>
      <c r="AK7123" s="33"/>
    </row>
    <row r="7124">
      <c r="A7124" s="33"/>
      <c r="B7124" s="33"/>
      <c r="C7124" s="33"/>
      <c r="D7124" s="33"/>
      <c r="E7124" s="33"/>
      <c r="F7124" s="33"/>
      <c r="G7124" s="33"/>
      <c r="H7124" s="33"/>
      <c r="I7124" s="33"/>
      <c r="J7124" s="33"/>
      <c r="K7124" s="33"/>
      <c r="L7124" s="33"/>
      <c r="M7124" s="33"/>
      <c r="N7124" s="33"/>
      <c r="O7124" s="33"/>
      <c r="P7124" s="33"/>
      <c r="Q7124" s="33"/>
      <c r="R7124" s="33"/>
      <c r="S7124" s="33"/>
      <c r="T7124" s="33"/>
      <c r="U7124" s="33"/>
      <c r="V7124" s="33"/>
      <c r="W7124" s="33"/>
      <c r="X7124" s="33"/>
      <c r="Y7124" s="33"/>
      <c r="Z7124" s="33"/>
      <c r="AA7124" s="33"/>
      <c r="AB7124" s="33"/>
      <c r="AC7124" s="33"/>
      <c r="AD7124" s="33"/>
      <c r="AE7124" s="33"/>
      <c r="AF7124" s="33"/>
      <c r="AG7124" s="33"/>
      <c r="AH7124" s="33"/>
      <c r="AI7124" s="33"/>
      <c r="AJ7124" s="33"/>
      <c r="AK7124" s="33"/>
    </row>
    <row r="7125">
      <c r="A7125" s="33"/>
      <c r="B7125" s="33"/>
      <c r="C7125" s="33"/>
      <c r="D7125" s="33"/>
      <c r="E7125" s="33"/>
      <c r="F7125" s="33"/>
      <c r="G7125" s="33"/>
      <c r="H7125" s="33"/>
      <c r="I7125" s="33"/>
      <c r="J7125" s="33"/>
      <c r="K7125" s="33"/>
      <c r="L7125" s="33"/>
      <c r="M7125" s="33"/>
      <c r="N7125" s="33"/>
      <c r="O7125" s="33"/>
      <c r="P7125" s="33"/>
      <c r="Q7125" s="33"/>
      <c r="R7125" s="33"/>
      <c r="S7125" s="33"/>
      <c r="T7125" s="33"/>
      <c r="U7125" s="33"/>
      <c r="V7125" s="33"/>
      <c r="W7125" s="33"/>
      <c r="X7125" s="33"/>
      <c r="Y7125" s="33"/>
      <c r="Z7125" s="33"/>
      <c r="AA7125" s="33"/>
      <c r="AB7125" s="33"/>
      <c r="AC7125" s="33"/>
      <c r="AD7125" s="33"/>
      <c r="AE7125" s="33"/>
      <c r="AF7125" s="33"/>
      <c r="AG7125" s="33"/>
      <c r="AH7125" s="33"/>
      <c r="AI7125" s="33"/>
      <c r="AJ7125" s="33"/>
      <c r="AK7125" s="33"/>
    </row>
    <row r="7126">
      <c r="A7126" s="33"/>
      <c r="B7126" s="33"/>
      <c r="C7126" s="33"/>
      <c r="D7126" s="33"/>
      <c r="E7126" s="33"/>
      <c r="F7126" s="33"/>
      <c r="G7126" s="33"/>
      <c r="H7126" s="33"/>
      <c r="I7126" s="33"/>
      <c r="J7126" s="33"/>
      <c r="K7126" s="33"/>
      <c r="L7126" s="33"/>
      <c r="M7126" s="33"/>
      <c r="N7126" s="33"/>
      <c r="O7126" s="33"/>
      <c r="P7126" s="33"/>
      <c r="Q7126" s="33"/>
      <c r="R7126" s="33"/>
      <c r="S7126" s="33"/>
      <c r="T7126" s="33"/>
      <c r="U7126" s="33"/>
      <c r="V7126" s="33"/>
      <c r="W7126" s="33"/>
      <c r="X7126" s="33"/>
      <c r="Y7126" s="33"/>
      <c r="Z7126" s="33"/>
      <c r="AA7126" s="33"/>
      <c r="AB7126" s="33"/>
      <c r="AC7126" s="33"/>
      <c r="AD7126" s="33"/>
      <c r="AE7126" s="33"/>
      <c r="AF7126" s="33"/>
      <c r="AG7126" s="33"/>
      <c r="AH7126" s="33"/>
      <c r="AI7126" s="33"/>
      <c r="AJ7126" s="33"/>
      <c r="AK7126" s="33"/>
    </row>
    <row r="7127">
      <c r="A7127" s="33"/>
      <c r="B7127" s="33"/>
      <c r="C7127" s="33"/>
      <c r="D7127" s="33"/>
      <c r="E7127" s="33"/>
      <c r="F7127" s="33"/>
      <c r="G7127" s="33"/>
      <c r="H7127" s="33"/>
      <c r="I7127" s="33"/>
      <c r="J7127" s="33"/>
      <c r="K7127" s="33"/>
      <c r="L7127" s="33"/>
      <c r="M7127" s="33"/>
      <c r="N7127" s="33"/>
      <c r="O7127" s="33"/>
      <c r="P7127" s="33"/>
      <c r="Q7127" s="33"/>
      <c r="R7127" s="33"/>
      <c r="S7127" s="33"/>
      <c r="T7127" s="33"/>
      <c r="U7127" s="33"/>
      <c r="V7127" s="33"/>
      <c r="W7127" s="33"/>
      <c r="X7127" s="33"/>
      <c r="Y7127" s="33"/>
      <c r="Z7127" s="33"/>
      <c r="AA7127" s="33"/>
      <c r="AB7127" s="33"/>
      <c r="AC7127" s="33"/>
      <c r="AD7127" s="33"/>
      <c r="AE7127" s="33"/>
      <c r="AF7127" s="33"/>
      <c r="AG7127" s="33"/>
      <c r="AH7127" s="33"/>
      <c r="AI7127" s="33"/>
      <c r="AJ7127" s="33"/>
      <c r="AK7127" s="33"/>
    </row>
    <row r="7128">
      <c r="A7128" s="33"/>
      <c r="B7128" s="33"/>
      <c r="C7128" s="33"/>
      <c r="D7128" s="33"/>
      <c r="E7128" s="33"/>
      <c r="F7128" s="33"/>
      <c r="G7128" s="33"/>
      <c r="H7128" s="33"/>
      <c r="I7128" s="33"/>
      <c r="J7128" s="33"/>
      <c r="K7128" s="33"/>
      <c r="L7128" s="33"/>
      <c r="M7128" s="33"/>
      <c r="N7128" s="33"/>
      <c r="O7128" s="33"/>
      <c r="P7128" s="33"/>
      <c r="Q7128" s="33"/>
      <c r="R7128" s="33"/>
      <c r="S7128" s="33"/>
      <c r="T7128" s="33"/>
      <c r="U7128" s="33"/>
      <c r="V7128" s="33"/>
      <c r="W7128" s="33"/>
      <c r="X7128" s="33"/>
      <c r="Y7128" s="33"/>
      <c r="Z7128" s="33"/>
      <c r="AA7128" s="33"/>
      <c r="AB7128" s="33"/>
      <c r="AC7128" s="33"/>
      <c r="AD7128" s="33"/>
      <c r="AE7128" s="33"/>
      <c r="AF7128" s="33"/>
      <c r="AG7128" s="33"/>
      <c r="AH7128" s="33"/>
      <c r="AI7128" s="33"/>
      <c r="AJ7128" s="33"/>
      <c r="AK7128" s="33"/>
    </row>
    <row r="7129">
      <c r="A7129" s="33"/>
      <c r="B7129" s="33"/>
      <c r="C7129" s="33"/>
      <c r="D7129" s="33"/>
      <c r="E7129" s="33"/>
      <c r="F7129" s="33"/>
      <c r="G7129" s="33"/>
      <c r="H7129" s="33"/>
      <c r="I7129" s="33"/>
      <c r="J7129" s="33"/>
      <c r="K7129" s="33"/>
      <c r="L7129" s="33"/>
      <c r="M7129" s="33"/>
      <c r="N7129" s="33"/>
      <c r="O7129" s="33"/>
      <c r="P7129" s="33"/>
      <c r="Q7129" s="33"/>
      <c r="R7129" s="33"/>
      <c r="S7129" s="33"/>
      <c r="T7129" s="33"/>
      <c r="U7129" s="33"/>
      <c r="V7129" s="33"/>
      <c r="W7129" s="33"/>
      <c r="X7129" s="33"/>
      <c r="Y7129" s="33"/>
      <c r="Z7129" s="33"/>
      <c r="AA7129" s="33"/>
      <c r="AB7129" s="33"/>
      <c r="AC7129" s="33"/>
      <c r="AD7129" s="33"/>
      <c r="AE7129" s="33"/>
      <c r="AF7129" s="33"/>
      <c r="AG7129" s="33"/>
      <c r="AH7129" s="33"/>
      <c r="AI7129" s="33"/>
      <c r="AJ7129" s="33"/>
      <c r="AK7129" s="33"/>
    </row>
    <row r="7130">
      <c r="A7130" s="33"/>
      <c r="B7130" s="33"/>
      <c r="C7130" s="33"/>
      <c r="D7130" s="33"/>
      <c r="E7130" s="33"/>
      <c r="F7130" s="33"/>
      <c r="G7130" s="33"/>
      <c r="H7130" s="33"/>
      <c r="I7130" s="33"/>
      <c r="J7130" s="33"/>
      <c r="K7130" s="33"/>
      <c r="L7130" s="33"/>
      <c r="M7130" s="33"/>
      <c r="N7130" s="33"/>
      <c r="O7130" s="33"/>
      <c r="P7130" s="33"/>
      <c r="Q7130" s="33"/>
      <c r="R7130" s="33"/>
      <c r="S7130" s="33"/>
      <c r="T7130" s="33"/>
      <c r="U7130" s="33"/>
      <c r="V7130" s="33"/>
      <c r="W7130" s="33"/>
      <c r="X7130" s="33"/>
      <c r="Y7130" s="33"/>
      <c r="Z7130" s="33"/>
      <c r="AA7130" s="33"/>
      <c r="AB7130" s="33"/>
      <c r="AC7130" s="33"/>
      <c r="AD7130" s="33"/>
      <c r="AE7130" s="33"/>
      <c r="AF7130" s="33"/>
      <c r="AG7130" s="33"/>
      <c r="AH7130" s="33"/>
      <c r="AI7130" s="33"/>
      <c r="AJ7130" s="33"/>
      <c r="AK7130" s="33"/>
    </row>
    <row r="7131">
      <c r="A7131" s="33"/>
      <c r="B7131" s="33"/>
      <c r="C7131" s="33"/>
      <c r="D7131" s="33"/>
      <c r="E7131" s="33"/>
      <c r="F7131" s="33"/>
      <c r="G7131" s="33"/>
      <c r="H7131" s="33"/>
      <c r="I7131" s="33"/>
      <c r="J7131" s="33"/>
      <c r="K7131" s="33"/>
      <c r="L7131" s="33"/>
      <c r="M7131" s="33"/>
      <c r="N7131" s="33"/>
      <c r="O7131" s="33"/>
      <c r="P7131" s="33"/>
      <c r="Q7131" s="33"/>
      <c r="R7131" s="33"/>
      <c r="S7131" s="33"/>
      <c r="T7131" s="33"/>
      <c r="U7131" s="33"/>
      <c r="V7131" s="33"/>
      <c r="W7131" s="33"/>
      <c r="X7131" s="33"/>
      <c r="Y7131" s="33"/>
      <c r="Z7131" s="33"/>
      <c r="AA7131" s="33"/>
      <c r="AB7131" s="33"/>
      <c r="AC7131" s="33"/>
      <c r="AD7131" s="33"/>
      <c r="AE7131" s="33"/>
      <c r="AF7131" s="33"/>
      <c r="AG7131" s="33"/>
      <c r="AH7131" s="33"/>
      <c r="AI7131" s="33"/>
      <c r="AJ7131" s="33"/>
      <c r="AK7131" s="33"/>
    </row>
    <row r="7132">
      <c r="A7132" s="33"/>
      <c r="B7132" s="33"/>
      <c r="C7132" s="33"/>
      <c r="D7132" s="33"/>
      <c r="E7132" s="33"/>
      <c r="F7132" s="33"/>
      <c r="G7132" s="33"/>
      <c r="H7132" s="33"/>
      <c r="I7132" s="33"/>
      <c r="J7132" s="33"/>
      <c r="K7132" s="33"/>
      <c r="L7132" s="33"/>
      <c r="M7132" s="33"/>
      <c r="N7132" s="33"/>
      <c r="O7132" s="33"/>
      <c r="P7132" s="33"/>
      <c r="Q7132" s="33"/>
      <c r="R7132" s="33"/>
      <c r="S7132" s="33"/>
      <c r="T7132" s="33"/>
      <c r="U7132" s="33"/>
      <c r="V7132" s="33"/>
      <c r="W7132" s="33"/>
      <c r="X7132" s="33"/>
      <c r="Y7132" s="33"/>
      <c r="Z7132" s="33"/>
      <c r="AA7132" s="33"/>
      <c r="AB7132" s="33"/>
      <c r="AC7132" s="33"/>
      <c r="AD7132" s="33"/>
      <c r="AE7132" s="33"/>
      <c r="AF7132" s="33"/>
      <c r="AG7132" s="33"/>
      <c r="AH7132" s="33"/>
      <c r="AI7132" s="33"/>
      <c r="AJ7132" s="33"/>
      <c r="AK7132" s="33"/>
    </row>
    <row r="7133">
      <c r="A7133" s="33"/>
      <c r="B7133" s="33"/>
      <c r="C7133" s="33"/>
      <c r="D7133" s="33"/>
      <c r="E7133" s="33"/>
      <c r="F7133" s="33"/>
      <c r="G7133" s="33"/>
      <c r="H7133" s="33"/>
      <c r="I7133" s="33"/>
      <c r="J7133" s="33"/>
      <c r="K7133" s="33"/>
      <c r="L7133" s="33"/>
      <c r="M7133" s="33"/>
      <c r="N7133" s="33"/>
      <c r="O7133" s="33"/>
      <c r="P7133" s="33"/>
      <c r="Q7133" s="33"/>
      <c r="R7133" s="33"/>
      <c r="S7133" s="33"/>
      <c r="T7133" s="33"/>
      <c r="U7133" s="33"/>
      <c r="V7133" s="33"/>
      <c r="W7133" s="33"/>
      <c r="X7133" s="33"/>
      <c r="Y7133" s="33"/>
      <c r="Z7133" s="33"/>
      <c r="AA7133" s="33"/>
      <c r="AB7133" s="33"/>
      <c r="AC7133" s="33"/>
      <c r="AD7133" s="33"/>
      <c r="AE7133" s="33"/>
      <c r="AF7133" s="33"/>
      <c r="AG7133" s="33"/>
      <c r="AH7133" s="33"/>
      <c r="AI7133" s="33"/>
      <c r="AJ7133" s="33"/>
      <c r="AK7133" s="33"/>
    </row>
    <row r="7134">
      <c r="A7134" s="33"/>
      <c r="B7134" s="33"/>
      <c r="C7134" s="33"/>
      <c r="D7134" s="33"/>
      <c r="E7134" s="33"/>
      <c r="F7134" s="33"/>
      <c r="G7134" s="33"/>
      <c r="H7134" s="33"/>
      <c r="I7134" s="33"/>
      <c r="J7134" s="33"/>
      <c r="K7134" s="33"/>
      <c r="L7134" s="33"/>
      <c r="M7134" s="33"/>
      <c r="N7134" s="33"/>
      <c r="O7134" s="33"/>
      <c r="P7134" s="33"/>
      <c r="Q7134" s="33"/>
      <c r="R7134" s="33"/>
      <c r="S7134" s="33"/>
      <c r="T7134" s="33"/>
      <c r="U7134" s="33"/>
      <c r="V7134" s="33"/>
      <c r="W7134" s="33"/>
      <c r="X7134" s="33"/>
      <c r="Y7134" s="33"/>
      <c r="Z7134" s="33"/>
      <c r="AA7134" s="33"/>
      <c r="AB7134" s="33"/>
      <c r="AC7134" s="33"/>
      <c r="AD7134" s="33"/>
      <c r="AE7134" s="33"/>
      <c r="AF7134" s="33"/>
      <c r="AG7134" s="33"/>
      <c r="AH7134" s="33"/>
      <c r="AI7134" s="33"/>
      <c r="AJ7134" s="33"/>
      <c r="AK7134" s="33"/>
    </row>
    <row r="7135">
      <c r="A7135" s="33"/>
      <c r="B7135" s="33"/>
      <c r="C7135" s="33"/>
      <c r="D7135" s="33"/>
      <c r="E7135" s="33"/>
      <c r="F7135" s="33"/>
      <c r="G7135" s="33"/>
      <c r="H7135" s="33"/>
      <c r="I7135" s="33"/>
      <c r="J7135" s="33"/>
      <c r="K7135" s="33"/>
      <c r="L7135" s="33"/>
      <c r="M7135" s="33"/>
      <c r="N7135" s="33"/>
      <c r="O7135" s="33"/>
      <c r="P7135" s="33"/>
      <c r="Q7135" s="33"/>
      <c r="R7135" s="33"/>
      <c r="S7135" s="33"/>
      <c r="T7135" s="33"/>
      <c r="U7135" s="33"/>
      <c r="V7135" s="33"/>
      <c r="W7135" s="33"/>
      <c r="X7135" s="33"/>
      <c r="Y7135" s="33"/>
      <c r="Z7135" s="33"/>
      <c r="AA7135" s="33"/>
      <c r="AB7135" s="33"/>
      <c r="AC7135" s="33"/>
      <c r="AD7135" s="33"/>
      <c r="AE7135" s="33"/>
      <c r="AF7135" s="33"/>
      <c r="AG7135" s="33"/>
      <c r="AH7135" s="33"/>
      <c r="AI7135" s="33"/>
      <c r="AJ7135" s="33"/>
      <c r="AK7135" s="33"/>
    </row>
    <row r="7136">
      <c r="A7136" s="33"/>
      <c r="B7136" s="33"/>
      <c r="C7136" s="33"/>
      <c r="D7136" s="33"/>
      <c r="E7136" s="33"/>
      <c r="F7136" s="33"/>
      <c r="G7136" s="33"/>
      <c r="H7136" s="33"/>
      <c r="I7136" s="33"/>
      <c r="J7136" s="33"/>
      <c r="K7136" s="33"/>
      <c r="L7136" s="33"/>
      <c r="M7136" s="33"/>
      <c r="N7136" s="33"/>
      <c r="O7136" s="33"/>
      <c r="P7136" s="33"/>
      <c r="Q7136" s="33"/>
      <c r="R7136" s="33"/>
      <c r="S7136" s="33"/>
      <c r="T7136" s="33"/>
      <c r="U7136" s="33"/>
      <c r="V7136" s="33"/>
      <c r="W7136" s="33"/>
      <c r="X7136" s="33"/>
      <c r="Y7136" s="33"/>
      <c r="Z7136" s="33"/>
      <c r="AA7136" s="33"/>
      <c r="AB7136" s="33"/>
      <c r="AC7136" s="33"/>
      <c r="AD7136" s="33"/>
      <c r="AE7136" s="33"/>
      <c r="AF7136" s="33"/>
      <c r="AG7136" s="33"/>
      <c r="AH7136" s="33"/>
      <c r="AI7136" s="33"/>
      <c r="AJ7136" s="33"/>
      <c r="AK7136" s="33"/>
    </row>
    <row r="7137">
      <c r="A7137" s="33"/>
      <c r="B7137" s="33"/>
      <c r="C7137" s="33"/>
      <c r="D7137" s="33"/>
      <c r="E7137" s="33"/>
      <c r="F7137" s="33"/>
      <c r="G7137" s="33"/>
      <c r="H7137" s="33"/>
      <c r="I7137" s="33"/>
      <c r="J7137" s="33"/>
      <c r="K7137" s="33"/>
      <c r="L7137" s="33"/>
      <c r="M7137" s="33"/>
      <c r="N7137" s="33"/>
      <c r="O7137" s="33"/>
      <c r="P7137" s="33"/>
      <c r="Q7137" s="33"/>
      <c r="R7137" s="33"/>
      <c r="S7137" s="33"/>
      <c r="T7137" s="33"/>
      <c r="U7137" s="33"/>
      <c r="V7137" s="33"/>
      <c r="W7137" s="33"/>
      <c r="X7137" s="33"/>
      <c r="Y7137" s="33"/>
      <c r="Z7137" s="33"/>
      <c r="AA7137" s="33"/>
      <c r="AB7137" s="33"/>
      <c r="AC7137" s="33"/>
      <c r="AD7137" s="33"/>
      <c r="AE7137" s="33"/>
      <c r="AF7137" s="33"/>
      <c r="AG7137" s="33"/>
      <c r="AH7137" s="33"/>
      <c r="AI7137" s="33"/>
      <c r="AJ7137" s="33"/>
      <c r="AK7137" s="33"/>
    </row>
    <row r="7138">
      <c r="A7138" s="33"/>
      <c r="B7138" s="33"/>
      <c r="C7138" s="33"/>
      <c r="D7138" s="33"/>
      <c r="E7138" s="33"/>
      <c r="F7138" s="33"/>
      <c r="G7138" s="33"/>
      <c r="H7138" s="33"/>
      <c r="I7138" s="33"/>
      <c r="J7138" s="33"/>
      <c r="K7138" s="33"/>
      <c r="L7138" s="33"/>
      <c r="M7138" s="33"/>
      <c r="N7138" s="33"/>
      <c r="O7138" s="33"/>
      <c r="P7138" s="33"/>
      <c r="Q7138" s="33"/>
      <c r="R7138" s="33"/>
      <c r="S7138" s="33"/>
      <c r="T7138" s="33"/>
      <c r="U7138" s="33"/>
      <c r="V7138" s="33"/>
      <c r="W7138" s="33"/>
      <c r="X7138" s="33"/>
      <c r="Y7138" s="33"/>
      <c r="Z7138" s="33"/>
      <c r="AA7138" s="33"/>
      <c r="AB7138" s="33"/>
      <c r="AC7138" s="33"/>
      <c r="AD7138" s="33"/>
      <c r="AE7138" s="33"/>
      <c r="AF7138" s="33"/>
      <c r="AG7138" s="33"/>
      <c r="AH7138" s="33"/>
      <c r="AI7138" s="33"/>
      <c r="AJ7138" s="33"/>
      <c r="AK7138" s="33"/>
    </row>
    <row r="7139">
      <c r="A7139" s="33"/>
      <c r="B7139" s="33"/>
      <c r="C7139" s="33"/>
      <c r="D7139" s="33"/>
      <c r="E7139" s="33"/>
      <c r="F7139" s="33"/>
      <c r="G7139" s="33"/>
      <c r="H7139" s="33"/>
      <c r="I7139" s="33"/>
      <c r="J7139" s="33"/>
      <c r="K7139" s="33"/>
      <c r="L7139" s="33"/>
      <c r="M7139" s="33"/>
      <c r="N7139" s="33"/>
      <c r="O7139" s="33"/>
      <c r="P7139" s="33"/>
      <c r="Q7139" s="33"/>
      <c r="R7139" s="33"/>
      <c r="S7139" s="33"/>
      <c r="T7139" s="33"/>
      <c r="U7139" s="33"/>
      <c r="V7139" s="33"/>
      <c r="W7139" s="33"/>
      <c r="X7139" s="33"/>
      <c r="Y7139" s="33"/>
      <c r="Z7139" s="33"/>
      <c r="AA7139" s="33"/>
      <c r="AB7139" s="33"/>
      <c r="AC7139" s="33"/>
      <c r="AD7139" s="33"/>
      <c r="AE7139" s="33"/>
      <c r="AF7139" s="33"/>
      <c r="AG7139" s="33"/>
      <c r="AH7139" s="33"/>
      <c r="AI7139" s="33"/>
      <c r="AJ7139" s="33"/>
      <c r="AK7139" s="33"/>
    </row>
    <row r="7140">
      <c r="A7140" s="33"/>
      <c r="B7140" s="33"/>
      <c r="C7140" s="33"/>
      <c r="D7140" s="33"/>
      <c r="E7140" s="33"/>
      <c r="F7140" s="33"/>
      <c r="G7140" s="33"/>
      <c r="H7140" s="33"/>
      <c r="I7140" s="33"/>
      <c r="J7140" s="33"/>
      <c r="K7140" s="33"/>
      <c r="L7140" s="33"/>
      <c r="M7140" s="33"/>
      <c r="N7140" s="33"/>
      <c r="O7140" s="33"/>
      <c r="P7140" s="33"/>
      <c r="Q7140" s="33"/>
      <c r="R7140" s="33"/>
      <c r="S7140" s="33"/>
      <c r="T7140" s="33"/>
      <c r="U7140" s="33"/>
      <c r="V7140" s="33"/>
      <c r="W7140" s="33"/>
      <c r="X7140" s="33"/>
      <c r="Y7140" s="33"/>
      <c r="Z7140" s="33"/>
      <c r="AA7140" s="33"/>
      <c r="AB7140" s="33"/>
      <c r="AC7140" s="33"/>
      <c r="AD7140" s="33"/>
      <c r="AE7140" s="33"/>
      <c r="AF7140" s="33"/>
      <c r="AG7140" s="33"/>
      <c r="AH7140" s="33"/>
      <c r="AI7140" s="33"/>
      <c r="AJ7140" s="33"/>
      <c r="AK7140" s="33"/>
    </row>
    <row r="7141">
      <c r="A7141" s="33"/>
      <c r="B7141" s="33"/>
      <c r="C7141" s="33"/>
      <c r="D7141" s="33"/>
      <c r="E7141" s="33"/>
      <c r="F7141" s="33"/>
      <c r="G7141" s="33"/>
      <c r="H7141" s="33"/>
      <c r="I7141" s="33"/>
      <c r="J7141" s="33"/>
      <c r="K7141" s="33"/>
      <c r="L7141" s="33"/>
      <c r="M7141" s="33"/>
      <c r="N7141" s="33"/>
      <c r="O7141" s="33"/>
      <c r="P7141" s="33"/>
      <c r="Q7141" s="33"/>
      <c r="R7141" s="33"/>
      <c r="S7141" s="33"/>
      <c r="T7141" s="33"/>
      <c r="U7141" s="33"/>
      <c r="V7141" s="33"/>
      <c r="W7141" s="33"/>
      <c r="X7141" s="33"/>
      <c r="Y7141" s="33"/>
      <c r="Z7141" s="33"/>
      <c r="AA7141" s="33"/>
      <c r="AB7141" s="33"/>
      <c r="AC7141" s="33"/>
      <c r="AD7141" s="33"/>
      <c r="AE7141" s="33"/>
      <c r="AF7141" s="33"/>
      <c r="AG7141" s="33"/>
      <c r="AH7141" s="33"/>
      <c r="AI7141" s="33"/>
      <c r="AJ7141" s="33"/>
      <c r="AK7141" s="33"/>
    </row>
    <row r="7142">
      <c r="A7142" s="33"/>
      <c r="B7142" s="33"/>
      <c r="C7142" s="33"/>
      <c r="D7142" s="33"/>
      <c r="E7142" s="33"/>
      <c r="F7142" s="33"/>
      <c r="G7142" s="33"/>
      <c r="H7142" s="33"/>
      <c r="I7142" s="33"/>
      <c r="J7142" s="33"/>
      <c r="K7142" s="33"/>
      <c r="L7142" s="33"/>
      <c r="M7142" s="33"/>
      <c r="N7142" s="33"/>
      <c r="O7142" s="33"/>
      <c r="P7142" s="33"/>
      <c r="Q7142" s="33"/>
      <c r="R7142" s="33"/>
      <c r="S7142" s="33"/>
      <c r="T7142" s="33"/>
      <c r="U7142" s="33"/>
      <c r="V7142" s="33"/>
      <c r="W7142" s="33"/>
      <c r="X7142" s="33"/>
      <c r="Y7142" s="33"/>
      <c r="Z7142" s="33"/>
      <c r="AA7142" s="33"/>
      <c r="AB7142" s="33"/>
      <c r="AC7142" s="33"/>
      <c r="AD7142" s="33"/>
      <c r="AE7142" s="33"/>
      <c r="AF7142" s="33"/>
      <c r="AG7142" s="33"/>
      <c r="AH7142" s="33"/>
      <c r="AI7142" s="33"/>
      <c r="AJ7142" s="33"/>
      <c r="AK7142" s="33"/>
    </row>
    <row r="7143">
      <c r="A7143" s="33"/>
      <c r="B7143" s="33"/>
      <c r="C7143" s="33"/>
      <c r="D7143" s="33"/>
      <c r="E7143" s="33"/>
      <c r="F7143" s="33"/>
      <c r="G7143" s="33"/>
      <c r="H7143" s="33"/>
      <c r="I7143" s="33"/>
      <c r="J7143" s="33"/>
      <c r="K7143" s="33"/>
      <c r="L7143" s="33"/>
      <c r="M7143" s="33"/>
      <c r="N7143" s="33"/>
      <c r="O7143" s="33"/>
      <c r="P7143" s="33"/>
      <c r="Q7143" s="33"/>
      <c r="R7143" s="33"/>
      <c r="S7143" s="33"/>
      <c r="T7143" s="33"/>
      <c r="U7143" s="33"/>
      <c r="V7143" s="33"/>
      <c r="W7143" s="33"/>
      <c r="X7143" s="33"/>
      <c r="Y7143" s="33"/>
      <c r="Z7143" s="33"/>
      <c r="AA7143" s="33"/>
      <c r="AB7143" s="33"/>
      <c r="AC7143" s="33"/>
      <c r="AD7143" s="33"/>
      <c r="AE7143" s="33"/>
      <c r="AF7143" s="33"/>
      <c r="AG7143" s="33"/>
      <c r="AH7143" s="33"/>
      <c r="AI7143" s="33"/>
      <c r="AJ7143" s="33"/>
      <c r="AK7143" s="33"/>
    </row>
    <row r="7144">
      <c r="A7144" s="33"/>
      <c r="B7144" s="33"/>
      <c r="C7144" s="33"/>
      <c r="D7144" s="33"/>
      <c r="E7144" s="33"/>
      <c r="F7144" s="33"/>
      <c r="G7144" s="33"/>
      <c r="H7144" s="33"/>
      <c r="I7144" s="33"/>
      <c r="J7144" s="33"/>
      <c r="K7144" s="33"/>
      <c r="L7144" s="33"/>
      <c r="M7144" s="33"/>
      <c r="N7144" s="33"/>
      <c r="O7144" s="33"/>
      <c r="P7144" s="33"/>
      <c r="Q7144" s="33"/>
      <c r="R7144" s="33"/>
      <c r="S7144" s="33"/>
      <c r="T7144" s="33"/>
      <c r="U7144" s="33"/>
      <c r="V7144" s="33"/>
      <c r="W7144" s="33"/>
      <c r="X7144" s="33"/>
      <c r="Y7144" s="33"/>
      <c r="Z7144" s="33"/>
      <c r="AA7144" s="33"/>
      <c r="AB7144" s="33"/>
      <c r="AC7144" s="33"/>
      <c r="AD7144" s="33"/>
      <c r="AE7144" s="33"/>
      <c r="AF7144" s="33"/>
      <c r="AG7144" s="33"/>
      <c r="AH7144" s="33"/>
      <c r="AI7144" s="33"/>
      <c r="AJ7144" s="33"/>
      <c r="AK7144" s="33"/>
    </row>
    <row r="7145">
      <c r="A7145" s="33"/>
      <c r="B7145" s="33"/>
      <c r="C7145" s="33"/>
      <c r="D7145" s="33"/>
      <c r="E7145" s="33"/>
      <c r="F7145" s="33"/>
      <c r="G7145" s="33"/>
      <c r="H7145" s="33"/>
      <c r="I7145" s="33"/>
      <c r="J7145" s="33"/>
      <c r="K7145" s="33"/>
      <c r="L7145" s="33"/>
      <c r="M7145" s="33"/>
      <c r="N7145" s="33"/>
      <c r="O7145" s="33"/>
      <c r="P7145" s="33"/>
      <c r="Q7145" s="33"/>
      <c r="R7145" s="33"/>
      <c r="S7145" s="33"/>
      <c r="T7145" s="33"/>
      <c r="U7145" s="33"/>
      <c r="V7145" s="33"/>
      <c r="W7145" s="33"/>
      <c r="X7145" s="33"/>
      <c r="Y7145" s="33"/>
      <c r="Z7145" s="33"/>
      <c r="AA7145" s="33"/>
      <c r="AB7145" s="33"/>
      <c r="AC7145" s="33"/>
      <c r="AD7145" s="33"/>
      <c r="AE7145" s="33"/>
      <c r="AF7145" s="33"/>
      <c r="AG7145" s="33"/>
      <c r="AH7145" s="33"/>
      <c r="AI7145" s="33"/>
      <c r="AJ7145" s="33"/>
      <c r="AK7145" s="33"/>
    </row>
    <row r="7146">
      <c r="A7146" s="33"/>
      <c r="B7146" s="33"/>
      <c r="C7146" s="33"/>
      <c r="D7146" s="33"/>
      <c r="E7146" s="33"/>
      <c r="F7146" s="33"/>
      <c r="G7146" s="33"/>
      <c r="H7146" s="33"/>
      <c r="I7146" s="33"/>
      <c r="J7146" s="33"/>
      <c r="K7146" s="33"/>
      <c r="L7146" s="33"/>
      <c r="M7146" s="33"/>
      <c r="N7146" s="33"/>
      <c r="O7146" s="33"/>
      <c r="P7146" s="33"/>
      <c r="Q7146" s="33"/>
      <c r="R7146" s="33"/>
      <c r="S7146" s="33"/>
      <c r="T7146" s="33"/>
      <c r="U7146" s="33"/>
      <c r="V7146" s="33"/>
      <c r="W7146" s="33"/>
      <c r="X7146" s="33"/>
      <c r="Y7146" s="33"/>
      <c r="Z7146" s="33"/>
      <c r="AA7146" s="33"/>
      <c r="AB7146" s="33"/>
      <c r="AC7146" s="33"/>
      <c r="AD7146" s="33"/>
      <c r="AE7146" s="33"/>
      <c r="AF7146" s="33"/>
      <c r="AG7146" s="33"/>
      <c r="AH7146" s="33"/>
      <c r="AI7146" s="33"/>
      <c r="AJ7146" s="33"/>
      <c r="AK7146" s="33"/>
    </row>
    <row r="7147">
      <c r="A7147" s="33"/>
      <c r="B7147" s="33"/>
      <c r="C7147" s="33"/>
      <c r="D7147" s="33"/>
      <c r="E7147" s="33"/>
      <c r="F7147" s="33"/>
      <c r="G7147" s="33"/>
      <c r="H7147" s="33"/>
      <c r="I7147" s="33"/>
      <c r="J7147" s="33"/>
      <c r="K7147" s="33"/>
      <c r="L7147" s="33"/>
      <c r="M7147" s="33"/>
      <c r="N7147" s="33"/>
      <c r="O7147" s="33"/>
      <c r="P7147" s="33"/>
      <c r="Q7147" s="33"/>
      <c r="R7147" s="33"/>
      <c r="S7147" s="33"/>
      <c r="T7147" s="33"/>
      <c r="U7147" s="33"/>
      <c r="V7147" s="33"/>
      <c r="W7147" s="33"/>
      <c r="X7147" s="33"/>
      <c r="Y7147" s="33"/>
      <c r="Z7147" s="33"/>
      <c r="AA7147" s="33"/>
      <c r="AB7147" s="33"/>
      <c r="AC7147" s="33"/>
      <c r="AD7147" s="33"/>
      <c r="AE7147" s="33"/>
      <c r="AF7147" s="33"/>
      <c r="AG7147" s="33"/>
      <c r="AH7147" s="33"/>
      <c r="AI7147" s="33"/>
      <c r="AJ7147" s="33"/>
      <c r="AK7147" s="33"/>
    </row>
    <row r="7148">
      <c r="A7148" s="33"/>
      <c r="B7148" s="33"/>
      <c r="C7148" s="33"/>
      <c r="D7148" s="33"/>
      <c r="E7148" s="33"/>
      <c r="F7148" s="33"/>
      <c r="G7148" s="33"/>
      <c r="H7148" s="33"/>
      <c r="I7148" s="33"/>
      <c r="J7148" s="33"/>
      <c r="K7148" s="33"/>
      <c r="L7148" s="33"/>
      <c r="M7148" s="33"/>
      <c r="N7148" s="33"/>
      <c r="O7148" s="33"/>
      <c r="P7148" s="33"/>
      <c r="Q7148" s="33"/>
      <c r="R7148" s="33"/>
      <c r="S7148" s="33"/>
      <c r="T7148" s="33"/>
      <c r="U7148" s="33"/>
      <c r="V7148" s="33"/>
      <c r="W7148" s="33"/>
      <c r="X7148" s="33"/>
      <c r="Y7148" s="33"/>
      <c r="Z7148" s="33"/>
      <c r="AA7148" s="33"/>
      <c r="AB7148" s="33"/>
      <c r="AC7148" s="33"/>
      <c r="AD7148" s="33"/>
      <c r="AE7148" s="33"/>
      <c r="AF7148" s="33"/>
      <c r="AG7148" s="33"/>
      <c r="AH7148" s="33"/>
      <c r="AI7148" s="33"/>
      <c r="AJ7148" s="33"/>
      <c r="AK7148" s="33"/>
    </row>
    <row r="7149">
      <c r="A7149" s="33"/>
      <c r="B7149" s="33"/>
      <c r="C7149" s="33"/>
      <c r="D7149" s="33"/>
      <c r="E7149" s="33"/>
      <c r="F7149" s="33"/>
      <c r="G7149" s="33"/>
      <c r="H7149" s="33"/>
      <c r="I7149" s="33"/>
      <c r="J7149" s="33"/>
      <c r="K7149" s="33"/>
      <c r="L7149" s="33"/>
      <c r="M7149" s="33"/>
      <c r="N7149" s="33"/>
      <c r="O7149" s="33"/>
      <c r="P7149" s="33"/>
      <c r="Q7149" s="33"/>
      <c r="R7149" s="33"/>
      <c r="S7149" s="33"/>
      <c r="T7149" s="33"/>
      <c r="U7149" s="33"/>
      <c r="V7149" s="33"/>
      <c r="W7149" s="33"/>
      <c r="X7149" s="33"/>
      <c r="Y7149" s="33"/>
      <c r="Z7149" s="33"/>
      <c r="AA7149" s="33"/>
      <c r="AB7149" s="33"/>
      <c r="AC7149" s="33"/>
      <c r="AD7149" s="33"/>
      <c r="AE7149" s="33"/>
      <c r="AF7149" s="33"/>
      <c r="AG7149" s="33"/>
      <c r="AH7149" s="33"/>
      <c r="AI7149" s="33"/>
      <c r="AJ7149" s="33"/>
      <c r="AK7149" s="33"/>
    </row>
    <row r="7150">
      <c r="A7150" s="33"/>
      <c r="B7150" s="33"/>
      <c r="C7150" s="33"/>
      <c r="D7150" s="33"/>
      <c r="E7150" s="33"/>
      <c r="F7150" s="33"/>
      <c r="G7150" s="33"/>
      <c r="H7150" s="33"/>
      <c r="I7150" s="33"/>
      <c r="J7150" s="33"/>
      <c r="K7150" s="33"/>
      <c r="L7150" s="33"/>
      <c r="M7150" s="33"/>
      <c r="N7150" s="33"/>
      <c r="O7150" s="33"/>
      <c r="P7150" s="33"/>
      <c r="Q7150" s="33"/>
      <c r="R7150" s="33"/>
      <c r="S7150" s="33"/>
      <c r="T7150" s="33"/>
      <c r="U7150" s="33"/>
      <c r="V7150" s="33"/>
      <c r="W7150" s="33"/>
      <c r="X7150" s="33"/>
      <c r="Y7150" s="33"/>
      <c r="Z7150" s="33"/>
      <c r="AA7150" s="33"/>
      <c r="AB7150" s="33"/>
      <c r="AC7150" s="33"/>
      <c r="AD7150" s="33"/>
      <c r="AE7150" s="33"/>
      <c r="AF7150" s="33"/>
      <c r="AG7150" s="33"/>
      <c r="AH7150" s="33"/>
      <c r="AI7150" s="33"/>
      <c r="AJ7150" s="33"/>
      <c r="AK7150" s="33"/>
    </row>
    <row r="7151">
      <c r="A7151" s="33"/>
      <c r="B7151" s="33"/>
      <c r="C7151" s="33"/>
      <c r="D7151" s="33"/>
      <c r="E7151" s="33"/>
      <c r="F7151" s="33"/>
      <c r="G7151" s="33"/>
      <c r="H7151" s="33"/>
      <c r="I7151" s="33"/>
      <c r="J7151" s="33"/>
      <c r="K7151" s="33"/>
      <c r="L7151" s="33"/>
      <c r="M7151" s="33"/>
      <c r="N7151" s="33"/>
      <c r="O7151" s="33"/>
      <c r="P7151" s="33"/>
      <c r="Q7151" s="33"/>
      <c r="R7151" s="33"/>
      <c r="S7151" s="33"/>
      <c r="T7151" s="33"/>
      <c r="U7151" s="33"/>
      <c r="V7151" s="33"/>
      <c r="W7151" s="33"/>
      <c r="X7151" s="33"/>
      <c r="Y7151" s="33"/>
      <c r="Z7151" s="33"/>
      <c r="AA7151" s="33"/>
      <c r="AB7151" s="33"/>
      <c r="AC7151" s="33"/>
      <c r="AD7151" s="33"/>
      <c r="AE7151" s="33"/>
      <c r="AF7151" s="33"/>
      <c r="AG7151" s="33"/>
      <c r="AH7151" s="33"/>
      <c r="AI7151" s="33"/>
      <c r="AJ7151" s="33"/>
      <c r="AK7151" s="33"/>
    </row>
    <row r="7152">
      <c r="A7152" s="33"/>
      <c r="B7152" s="33"/>
      <c r="C7152" s="33"/>
      <c r="D7152" s="33"/>
      <c r="E7152" s="33"/>
      <c r="F7152" s="33"/>
      <c r="G7152" s="33"/>
      <c r="H7152" s="33"/>
      <c r="I7152" s="33"/>
      <c r="J7152" s="33"/>
      <c r="K7152" s="33"/>
      <c r="L7152" s="33"/>
      <c r="M7152" s="33"/>
      <c r="N7152" s="33"/>
      <c r="O7152" s="33"/>
      <c r="P7152" s="33"/>
      <c r="Q7152" s="33"/>
      <c r="R7152" s="33"/>
      <c r="S7152" s="33"/>
      <c r="T7152" s="33"/>
      <c r="U7152" s="33"/>
      <c r="V7152" s="33"/>
      <c r="W7152" s="33"/>
      <c r="X7152" s="33"/>
      <c r="Y7152" s="33"/>
      <c r="Z7152" s="33"/>
      <c r="AA7152" s="33"/>
      <c r="AB7152" s="33"/>
      <c r="AC7152" s="33"/>
      <c r="AD7152" s="33"/>
      <c r="AE7152" s="33"/>
      <c r="AF7152" s="33"/>
      <c r="AG7152" s="33"/>
      <c r="AH7152" s="33"/>
      <c r="AI7152" s="33"/>
      <c r="AJ7152" s="33"/>
      <c r="AK7152" s="33"/>
    </row>
    <row r="7153">
      <c r="A7153" s="33"/>
      <c r="B7153" s="33"/>
      <c r="C7153" s="33"/>
      <c r="D7153" s="33"/>
      <c r="E7153" s="33"/>
      <c r="F7153" s="33"/>
      <c r="G7153" s="33"/>
      <c r="H7153" s="33"/>
      <c r="I7153" s="33"/>
      <c r="J7153" s="33"/>
      <c r="K7153" s="33"/>
      <c r="L7153" s="33"/>
      <c r="M7153" s="33"/>
      <c r="N7153" s="33"/>
      <c r="O7153" s="33"/>
      <c r="P7153" s="33"/>
      <c r="Q7153" s="33"/>
      <c r="R7153" s="33"/>
      <c r="S7153" s="33"/>
      <c r="T7153" s="33"/>
      <c r="U7153" s="33"/>
      <c r="V7153" s="33"/>
      <c r="W7153" s="33"/>
      <c r="X7153" s="33"/>
      <c r="Y7153" s="33"/>
      <c r="Z7153" s="33"/>
      <c r="AA7153" s="33"/>
      <c r="AB7153" s="33"/>
      <c r="AC7153" s="33"/>
      <c r="AD7153" s="33"/>
      <c r="AE7153" s="33"/>
      <c r="AF7153" s="33"/>
      <c r="AG7153" s="33"/>
      <c r="AH7153" s="33"/>
      <c r="AI7153" s="33"/>
      <c r="AJ7153" s="33"/>
      <c r="AK7153" s="33"/>
    </row>
    <row r="7154">
      <c r="A7154" s="33"/>
      <c r="B7154" s="33"/>
      <c r="C7154" s="33"/>
      <c r="D7154" s="33"/>
      <c r="E7154" s="33"/>
      <c r="F7154" s="33"/>
      <c r="G7154" s="33"/>
      <c r="H7154" s="33"/>
      <c r="I7154" s="33"/>
      <c r="J7154" s="33"/>
      <c r="K7154" s="33"/>
      <c r="L7154" s="33"/>
      <c r="M7154" s="33"/>
      <c r="N7154" s="33"/>
      <c r="O7154" s="33"/>
      <c r="P7154" s="33"/>
      <c r="Q7154" s="33"/>
      <c r="R7154" s="33"/>
      <c r="S7154" s="33"/>
      <c r="T7154" s="33"/>
      <c r="U7154" s="33"/>
      <c r="V7154" s="33"/>
      <c r="W7154" s="33"/>
      <c r="X7154" s="33"/>
      <c r="Y7154" s="33"/>
      <c r="Z7154" s="33"/>
      <c r="AA7154" s="33"/>
      <c r="AB7154" s="33"/>
      <c r="AC7154" s="33"/>
      <c r="AD7154" s="33"/>
      <c r="AE7154" s="33"/>
      <c r="AF7154" s="33"/>
      <c r="AG7154" s="33"/>
      <c r="AH7154" s="33"/>
      <c r="AI7154" s="33"/>
      <c r="AJ7154" s="33"/>
      <c r="AK7154" s="33"/>
    </row>
    <row r="7155">
      <c r="A7155" s="33"/>
      <c r="B7155" s="33"/>
      <c r="C7155" s="33"/>
      <c r="D7155" s="33"/>
      <c r="E7155" s="33"/>
      <c r="F7155" s="33"/>
      <c r="G7155" s="33"/>
      <c r="H7155" s="33"/>
      <c r="I7155" s="33"/>
      <c r="J7155" s="33"/>
      <c r="K7155" s="33"/>
      <c r="L7155" s="33"/>
      <c r="M7155" s="33"/>
      <c r="N7155" s="33"/>
      <c r="O7155" s="33"/>
      <c r="P7155" s="33"/>
      <c r="Q7155" s="33"/>
      <c r="R7155" s="33"/>
      <c r="S7155" s="33"/>
      <c r="T7155" s="33"/>
      <c r="U7155" s="33"/>
      <c r="V7155" s="33"/>
      <c r="W7155" s="33"/>
      <c r="X7155" s="33"/>
      <c r="Y7155" s="33"/>
      <c r="Z7155" s="33"/>
      <c r="AA7155" s="33"/>
      <c r="AB7155" s="33"/>
      <c r="AC7155" s="33"/>
      <c r="AD7155" s="33"/>
      <c r="AE7155" s="33"/>
      <c r="AF7155" s="33"/>
      <c r="AG7155" s="33"/>
      <c r="AH7155" s="33"/>
      <c r="AI7155" s="33"/>
      <c r="AJ7155" s="33"/>
      <c r="AK7155" s="33"/>
    </row>
    <row r="7156">
      <c r="A7156" s="33"/>
      <c r="B7156" s="33"/>
      <c r="C7156" s="33"/>
      <c r="D7156" s="33"/>
      <c r="E7156" s="33"/>
      <c r="F7156" s="33"/>
      <c r="G7156" s="33"/>
      <c r="H7156" s="33"/>
      <c r="I7156" s="33"/>
      <c r="J7156" s="33"/>
      <c r="K7156" s="33"/>
      <c r="L7156" s="33"/>
      <c r="M7156" s="33"/>
      <c r="N7156" s="33"/>
      <c r="O7156" s="33"/>
      <c r="P7156" s="33"/>
      <c r="Q7156" s="33"/>
      <c r="R7156" s="33"/>
      <c r="S7156" s="33"/>
      <c r="T7156" s="33"/>
      <c r="U7156" s="33"/>
      <c r="V7156" s="33"/>
      <c r="W7156" s="33"/>
      <c r="X7156" s="33"/>
      <c r="Y7156" s="33"/>
      <c r="Z7156" s="33"/>
      <c r="AA7156" s="33"/>
      <c r="AB7156" s="33"/>
      <c r="AC7156" s="33"/>
      <c r="AD7156" s="33"/>
      <c r="AE7156" s="33"/>
      <c r="AF7156" s="33"/>
      <c r="AG7156" s="33"/>
      <c r="AH7156" s="33"/>
      <c r="AI7156" s="33"/>
      <c r="AJ7156" s="33"/>
      <c r="AK7156" s="33"/>
    </row>
    <row r="7157">
      <c r="A7157" s="33"/>
      <c r="B7157" s="33"/>
      <c r="C7157" s="33"/>
      <c r="D7157" s="33"/>
      <c r="E7157" s="33"/>
      <c r="F7157" s="33"/>
      <c r="G7157" s="33"/>
      <c r="H7157" s="33"/>
      <c r="I7157" s="33"/>
      <c r="J7157" s="33"/>
      <c r="K7157" s="33"/>
      <c r="L7157" s="33"/>
      <c r="M7157" s="33"/>
      <c r="N7157" s="33"/>
      <c r="O7157" s="33"/>
      <c r="P7157" s="33"/>
      <c r="Q7157" s="33"/>
      <c r="R7157" s="33"/>
      <c r="S7157" s="33"/>
      <c r="T7157" s="33"/>
      <c r="U7157" s="33"/>
      <c r="V7157" s="33"/>
      <c r="W7157" s="33"/>
      <c r="X7157" s="33"/>
      <c r="Y7157" s="33"/>
      <c r="Z7157" s="33"/>
      <c r="AA7157" s="33"/>
      <c r="AB7157" s="33"/>
      <c r="AC7157" s="33"/>
      <c r="AD7157" s="33"/>
      <c r="AE7157" s="33"/>
      <c r="AF7157" s="33"/>
      <c r="AG7157" s="33"/>
      <c r="AH7157" s="33"/>
      <c r="AI7157" s="33"/>
      <c r="AJ7157" s="33"/>
      <c r="AK7157" s="33"/>
    </row>
    <row r="7158">
      <c r="A7158" s="33"/>
      <c r="B7158" s="33"/>
      <c r="C7158" s="33"/>
      <c r="D7158" s="33"/>
      <c r="E7158" s="33"/>
      <c r="F7158" s="33"/>
      <c r="G7158" s="33"/>
      <c r="H7158" s="33"/>
      <c r="I7158" s="33"/>
      <c r="J7158" s="33"/>
      <c r="K7158" s="33"/>
      <c r="L7158" s="33"/>
      <c r="M7158" s="33"/>
      <c r="N7158" s="33"/>
      <c r="O7158" s="33"/>
      <c r="P7158" s="33"/>
      <c r="Q7158" s="33"/>
      <c r="R7158" s="33"/>
      <c r="S7158" s="33"/>
      <c r="T7158" s="33"/>
      <c r="U7158" s="33"/>
      <c r="V7158" s="33"/>
      <c r="W7158" s="33"/>
      <c r="X7158" s="33"/>
      <c r="Y7158" s="33"/>
      <c r="Z7158" s="33"/>
      <c r="AA7158" s="33"/>
      <c r="AB7158" s="33"/>
      <c r="AC7158" s="33"/>
      <c r="AD7158" s="33"/>
      <c r="AE7158" s="33"/>
      <c r="AF7158" s="33"/>
      <c r="AG7158" s="33"/>
      <c r="AH7158" s="33"/>
      <c r="AI7158" s="33"/>
      <c r="AJ7158" s="33"/>
      <c r="AK7158" s="33"/>
    </row>
    <row r="7159">
      <c r="A7159" s="33"/>
      <c r="B7159" s="33"/>
      <c r="C7159" s="33"/>
      <c r="D7159" s="33"/>
      <c r="E7159" s="33"/>
      <c r="F7159" s="33"/>
      <c r="G7159" s="33"/>
      <c r="H7159" s="33"/>
      <c r="I7159" s="33"/>
      <c r="J7159" s="33"/>
      <c r="K7159" s="33"/>
      <c r="L7159" s="33"/>
      <c r="M7159" s="33"/>
      <c r="N7159" s="33"/>
      <c r="O7159" s="33"/>
      <c r="P7159" s="33"/>
      <c r="Q7159" s="33"/>
      <c r="R7159" s="33"/>
      <c r="S7159" s="33"/>
      <c r="T7159" s="33"/>
      <c r="U7159" s="33"/>
      <c r="V7159" s="33"/>
      <c r="W7159" s="33"/>
      <c r="X7159" s="33"/>
      <c r="Y7159" s="33"/>
      <c r="Z7159" s="33"/>
      <c r="AA7159" s="33"/>
      <c r="AB7159" s="33"/>
      <c r="AC7159" s="33"/>
      <c r="AD7159" s="33"/>
      <c r="AE7159" s="33"/>
      <c r="AF7159" s="33"/>
      <c r="AG7159" s="33"/>
      <c r="AH7159" s="33"/>
      <c r="AI7159" s="33"/>
      <c r="AJ7159" s="33"/>
      <c r="AK7159" s="33"/>
    </row>
    <row r="7160">
      <c r="A7160" s="33"/>
      <c r="B7160" s="33"/>
      <c r="C7160" s="33"/>
      <c r="D7160" s="33"/>
      <c r="E7160" s="33"/>
      <c r="F7160" s="33"/>
      <c r="G7160" s="33"/>
      <c r="H7160" s="33"/>
      <c r="I7160" s="33"/>
      <c r="J7160" s="33"/>
      <c r="K7160" s="33"/>
      <c r="L7160" s="33"/>
      <c r="M7160" s="33"/>
      <c r="N7160" s="33"/>
      <c r="O7160" s="33"/>
      <c r="P7160" s="33"/>
      <c r="Q7160" s="33"/>
      <c r="R7160" s="33"/>
      <c r="S7160" s="33"/>
      <c r="T7160" s="33"/>
      <c r="U7160" s="33"/>
      <c r="V7160" s="33"/>
      <c r="W7160" s="33"/>
      <c r="X7160" s="33"/>
      <c r="Y7160" s="33"/>
      <c r="Z7160" s="33"/>
      <c r="AA7160" s="33"/>
      <c r="AB7160" s="33"/>
      <c r="AC7160" s="33"/>
      <c r="AD7160" s="33"/>
      <c r="AE7160" s="33"/>
      <c r="AF7160" s="33"/>
      <c r="AG7160" s="33"/>
      <c r="AH7160" s="33"/>
      <c r="AI7160" s="33"/>
      <c r="AJ7160" s="33"/>
      <c r="AK7160" s="33"/>
    </row>
    <row r="7161">
      <c r="A7161" s="33"/>
      <c r="B7161" s="33"/>
      <c r="C7161" s="33"/>
      <c r="D7161" s="33"/>
      <c r="E7161" s="33"/>
      <c r="F7161" s="33"/>
      <c r="G7161" s="33"/>
      <c r="H7161" s="33"/>
      <c r="I7161" s="33"/>
      <c r="J7161" s="33"/>
      <c r="K7161" s="33"/>
      <c r="L7161" s="33"/>
      <c r="M7161" s="33"/>
      <c r="N7161" s="33"/>
      <c r="O7161" s="33"/>
      <c r="P7161" s="33"/>
      <c r="Q7161" s="33"/>
      <c r="R7161" s="33"/>
      <c r="S7161" s="33"/>
      <c r="T7161" s="33"/>
      <c r="U7161" s="33"/>
      <c r="V7161" s="33"/>
      <c r="W7161" s="33"/>
      <c r="X7161" s="33"/>
      <c r="Y7161" s="33"/>
      <c r="Z7161" s="33"/>
      <c r="AA7161" s="33"/>
      <c r="AB7161" s="33"/>
      <c r="AC7161" s="33"/>
      <c r="AD7161" s="33"/>
      <c r="AE7161" s="33"/>
      <c r="AF7161" s="33"/>
      <c r="AG7161" s="33"/>
      <c r="AH7161" s="33"/>
      <c r="AI7161" s="33"/>
      <c r="AJ7161" s="33"/>
      <c r="AK7161" s="33"/>
    </row>
    <row r="7162">
      <c r="A7162" s="33"/>
      <c r="B7162" s="33"/>
      <c r="C7162" s="33"/>
      <c r="D7162" s="33"/>
      <c r="E7162" s="33"/>
      <c r="F7162" s="33"/>
      <c r="G7162" s="33"/>
      <c r="H7162" s="33"/>
      <c r="I7162" s="33"/>
      <c r="J7162" s="33"/>
      <c r="K7162" s="33"/>
      <c r="L7162" s="33"/>
      <c r="M7162" s="33"/>
      <c r="N7162" s="33"/>
      <c r="O7162" s="33"/>
      <c r="P7162" s="33"/>
      <c r="Q7162" s="33"/>
      <c r="R7162" s="33"/>
      <c r="S7162" s="33"/>
      <c r="T7162" s="33"/>
      <c r="U7162" s="33"/>
      <c r="V7162" s="33"/>
      <c r="W7162" s="33"/>
      <c r="X7162" s="33"/>
      <c r="Y7162" s="33"/>
      <c r="Z7162" s="33"/>
      <c r="AA7162" s="33"/>
      <c r="AB7162" s="33"/>
      <c r="AC7162" s="33"/>
      <c r="AD7162" s="33"/>
      <c r="AE7162" s="33"/>
      <c r="AF7162" s="33"/>
      <c r="AG7162" s="33"/>
      <c r="AH7162" s="33"/>
      <c r="AI7162" s="33"/>
      <c r="AJ7162" s="33"/>
      <c r="AK7162" s="33"/>
    </row>
    <row r="7163">
      <c r="A7163" s="33"/>
      <c r="B7163" s="33"/>
      <c r="C7163" s="33"/>
      <c r="D7163" s="33"/>
      <c r="E7163" s="33"/>
      <c r="F7163" s="33"/>
      <c r="G7163" s="33"/>
      <c r="H7163" s="33"/>
      <c r="I7163" s="33"/>
      <c r="J7163" s="33"/>
      <c r="K7163" s="33"/>
      <c r="L7163" s="33"/>
      <c r="M7163" s="33"/>
      <c r="N7163" s="33"/>
      <c r="O7163" s="33"/>
      <c r="P7163" s="33"/>
      <c r="Q7163" s="33"/>
      <c r="R7163" s="33"/>
      <c r="S7163" s="33"/>
      <c r="T7163" s="33"/>
      <c r="U7163" s="33"/>
      <c r="V7163" s="33"/>
      <c r="W7163" s="33"/>
      <c r="X7163" s="33"/>
      <c r="Y7163" s="33"/>
      <c r="Z7163" s="33"/>
      <c r="AA7163" s="33"/>
      <c r="AB7163" s="33"/>
      <c r="AC7163" s="33"/>
      <c r="AD7163" s="33"/>
      <c r="AE7163" s="33"/>
      <c r="AF7163" s="33"/>
      <c r="AG7163" s="33"/>
      <c r="AH7163" s="33"/>
      <c r="AI7163" s="33"/>
      <c r="AJ7163" s="33"/>
      <c r="AK7163" s="33"/>
    </row>
    <row r="7164">
      <c r="A7164" s="33"/>
      <c r="B7164" s="33"/>
      <c r="C7164" s="33"/>
      <c r="D7164" s="33"/>
      <c r="E7164" s="33"/>
      <c r="F7164" s="33"/>
      <c r="G7164" s="33"/>
      <c r="H7164" s="33"/>
      <c r="I7164" s="33"/>
      <c r="J7164" s="33"/>
      <c r="K7164" s="33"/>
      <c r="L7164" s="33"/>
      <c r="M7164" s="33"/>
      <c r="N7164" s="33"/>
      <c r="O7164" s="33"/>
      <c r="P7164" s="33"/>
      <c r="Q7164" s="33"/>
      <c r="R7164" s="33"/>
      <c r="S7164" s="33"/>
      <c r="T7164" s="33"/>
      <c r="U7164" s="33"/>
      <c r="V7164" s="33"/>
      <c r="W7164" s="33"/>
      <c r="X7164" s="33"/>
      <c r="Y7164" s="33"/>
      <c r="Z7164" s="33"/>
      <c r="AA7164" s="33"/>
      <c r="AB7164" s="33"/>
      <c r="AC7164" s="33"/>
      <c r="AD7164" s="33"/>
      <c r="AE7164" s="33"/>
      <c r="AF7164" s="33"/>
      <c r="AG7164" s="33"/>
      <c r="AH7164" s="33"/>
      <c r="AI7164" s="33"/>
      <c r="AJ7164" s="33"/>
      <c r="AK7164" s="33"/>
    </row>
    <row r="7165">
      <c r="A7165" s="33"/>
      <c r="B7165" s="33"/>
      <c r="C7165" s="33"/>
      <c r="D7165" s="33"/>
      <c r="E7165" s="33"/>
      <c r="F7165" s="33"/>
      <c r="G7165" s="33"/>
      <c r="H7165" s="33"/>
      <c r="I7165" s="33"/>
      <c r="J7165" s="33"/>
      <c r="K7165" s="33"/>
      <c r="L7165" s="33"/>
      <c r="M7165" s="33"/>
      <c r="N7165" s="33"/>
      <c r="O7165" s="33"/>
      <c r="P7165" s="33"/>
      <c r="Q7165" s="33"/>
      <c r="R7165" s="33"/>
      <c r="S7165" s="33"/>
      <c r="T7165" s="33"/>
      <c r="U7165" s="33"/>
      <c r="V7165" s="33"/>
      <c r="W7165" s="33"/>
      <c r="X7165" s="33"/>
      <c r="Y7165" s="33"/>
      <c r="Z7165" s="33"/>
      <c r="AA7165" s="33"/>
      <c r="AB7165" s="33"/>
      <c r="AC7165" s="33"/>
      <c r="AD7165" s="33"/>
      <c r="AE7165" s="33"/>
      <c r="AF7165" s="33"/>
      <c r="AG7165" s="33"/>
      <c r="AH7165" s="33"/>
      <c r="AI7165" s="33"/>
      <c r="AJ7165" s="33"/>
      <c r="AK7165" s="33"/>
    </row>
    <row r="7166">
      <c r="A7166" s="33"/>
      <c r="B7166" s="33"/>
      <c r="C7166" s="33"/>
      <c r="D7166" s="33"/>
      <c r="E7166" s="33"/>
      <c r="F7166" s="33"/>
      <c r="G7166" s="33"/>
      <c r="H7166" s="33"/>
      <c r="I7166" s="33"/>
      <c r="J7166" s="33"/>
      <c r="K7166" s="33"/>
      <c r="L7166" s="33"/>
      <c r="M7166" s="33"/>
      <c r="N7166" s="33"/>
      <c r="O7166" s="33"/>
      <c r="P7166" s="33"/>
      <c r="Q7166" s="33"/>
      <c r="R7166" s="33"/>
      <c r="S7166" s="33"/>
      <c r="T7166" s="33"/>
      <c r="U7166" s="33"/>
      <c r="V7166" s="33"/>
      <c r="W7166" s="33"/>
      <c r="X7166" s="33"/>
      <c r="Y7166" s="33"/>
      <c r="Z7166" s="33"/>
      <c r="AA7166" s="33"/>
      <c r="AB7166" s="33"/>
      <c r="AC7166" s="33"/>
      <c r="AD7166" s="33"/>
      <c r="AE7166" s="33"/>
      <c r="AF7166" s="33"/>
      <c r="AG7166" s="33"/>
      <c r="AH7166" s="33"/>
      <c r="AI7166" s="33"/>
      <c r="AJ7166" s="33"/>
      <c r="AK7166" s="33"/>
    </row>
    <row r="7167">
      <c r="A7167" s="33"/>
      <c r="B7167" s="33"/>
      <c r="C7167" s="33"/>
      <c r="D7167" s="33"/>
      <c r="E7167" s="33"/>
      <c r="F7167" s="33"/>
      <c r="G7167" s="33"/>
      <c r="H7167" s="33"/>
      <c r="I7167" s="33"/>
      <c r="J7167" s="33"/>
      <c r="K7167" s="33"/>
      <c r="L7167" s="33"/>
      <c r="M7167" s="33"/>
      <c r="N7167" s="33"/>
      <c r="O7167" s="33"/>
      <c r="P7167" s="33"/>
      <c r="Q7167" s="33"/>
      <c r="R7167" s="33"/>
      <c r="S7167" s="33"/>
      <c r="T7167" s="33"/>
      <c r="U7167" s="33"/>
      <c r="V7167" s="33"/>
      <c r="W7167" s="33"/>
      <c r="X7167" s="33"/>
      <c r="Y7167" s="33"/>
      <c r="Z7167" s="33"/>
      <c r="AA7167" s="33"/>
      <c r="AB7167" s="33"/>
      <c r="AC7167" s="33"/>
      <c r="AD7167" s="33"/>
      <c r="AE7167" s="33"/>
      <c r="AF7167" s="33"/>
      <c r="AG7167" s="33"/>
      <c r="AH7167" s="33"/>
      <c r="AI7167" s="33"/>
      <c r="AJ7167" s="33"/>
      <c r="AK7167" s="33"/>
    </row>
    <row r="7168">
      <c r="A7168" s="33"/>
      <c r="B7168" s="33"/>
      <c r="C7168" s="33"/>
      <c r="D7168" s="33"/>
      <c r="E7168" s="33"/>
      <c r="F7168" s="33"/>
      <c r="G7168" s="33"/>
      <c r="H7168" s="33"/>
      <c r="I7168" s="33"/>
      <c r="J7168" s="33"/>
      <c r="K7168" s="33"/>
      <c r="L7168" s="33"/>
      <c r="M7168" s="33"/>
      <c r="N7168" s="33"/>
      <c r="O7168" s="33"/>
      <c r="P7168" s="33"/>
      <c r="Q7168" s="33"/>
      <c r="R7168" s="33"/>
      <c r="S7168" s="33"/>
      <c r="T7168" s="33"/>
      <c r="U7168" s="33"/>
      <c r="V7168" s="33"/>
      <c r="W7168" s="33"/>
      <c r="X7168" s="33"/>
      <c r="Y7168" s="33"/>
      <c r="Z7168" s="33"/>
      <c r="AA7168" s="33"/>
      <c r="AB7168" s="33"/>
      <c r="AC7168" s="33"/>
      <c r="AD7168" s="33"/>
      <c r="AE7168" s="33"/>
      <c r="AF7168" s="33"/>
      <c r="AG7168" s="33"/>
      <c r="AH7168" s="33"/>
      <c r="AI7168" s="33"/>
      <c r="AJ7168" s="33"/>
      <c r="AK7168" s="33"/>
    </row>
    <row r="7169">
      <c r="A7169" s="33"/>
      <c r="B7169" s="33"/>
      <c r="C7169" s="33"/>
      <c r="D7169" s="33"/>
      <c r="E7169" s="33"/>
      <c r="F7169" s="33"/>
      <c r="G7169" s="33"/>
      <c r="H7169" s="33"/>
      <c r="I7169" s="33"/>
      <c r="J7169" s="33"/>
      <c r="K7169" s="33"/>
      <c r="L7169" s="33"/>
      <c r="M7169" s="33"/>
      <c r="N7169" s="33"/>
      <c r="O7169" s="33"/>
      <c r="P7169" s="33"/>
      <c r="Q7169" s="33"/>
      <c r="R7169" s="33"/>
      <c r="S7169" s="33"/>
      <c r="T7169" s="33"/>
      <c r="U7169" s="33"/>
      <c r="V7169" s="33"/>
      <c r="W7169" s="33"/>
      <c r="X7169" s="33"/>
      <c r="Y7169" s="33"/>
      <c r="Z7169" s="33"/>
      <c r="AA7169" s="33"/>
      <c r="AB7169" s="33"/>
      <c r="AC7169" s="33"/>
      <c r="AD7169" s="33"/>
      <c r="AE7169" s="33"/>
      <c r="AF7169" s="33"/>
      <c r="AG7169" s="33"/>
      <c r="AH7169" s="33"/>
      <c r="AI7169" s="33"/>
      <c r="AJ7169" s="33"/>
      <c r="AK7169" s="33"/>
    </row>
    <row r="7170">
      <c r="A7170" s="33"/>
      <c r="B7170" s="33"/>
      <c r="C7170" s="33"/>
      <c r="D7170" s="33"/>
      <c r="E7170" s="33"/>
      <c r="F7170" s="33"/>
      <c r="G7170" s="33"/>
      <c r="H7170" s="33"/>
      <c r="I7170" s="33"/>
      <c r="J7170" s="33"/>
      <c r="K7170" s="33"/>
      <c r="L7170" s="33"/>
      <c r="M7170" s="33"/>
      <c r="N7170" s="33"/>
      <c r="O7170" s="33"/>
      <c r="P7170" s="33"/>
      <c r="Q7170" s="33"/>
      <c r="R7170" s="33"/>
      <c r="S7170" s="33"/>
      <c r="T7170" s="33"/>
      <c r="U7170" s="33"/>
      <c r="V7170" s="33"/>
      <c r="W7170" s="33"/>
      <c r="X7170" s="33"/>
      <c r="Y7170" s="33"/>
      <c r="Z7170" s="33"/>
      <c r="AA7170" s="33"/>
      <c r="AB7170" s="33"/>
      <c r="AC7170" s="33"/>
      <c r="AD7170" s="33"/>
      <c r="AE7170" s="33"/>
      <c r="AF7170" s="33"/>
      <c r="AG7170" s="33"/>
      <c r="AH7170" s="33"/>
      <c r="AI7170" s="33"/>
      <c r="AJ7170" s="33"/>
      <c r="AK7170" s="33"/>
    </row>
    <row r="7171">
      <c r="A7171" s="33"/>
      <c r="B7171" s="33"/>
      <c r="C7171" s="33"/>
      <c r="D7171" s="33"/>
      <c r="E7171" s="33"/>
      <c r="F7171" s="33"/>
      <c r="G7171" s="33"/>
      <c r="H7171" s="33"/>
      <c r="I7171" s="33"/>
      <c r="J7171" s="33"/>
      <c r="K7171" s="33"/>
      <c r="L7171" s="33"/>
      <c r="M7171" s="33"/>
      <c r="N7171" s="33"/>
      <c r="O7171" s="33"/>
      <c r="P7171" s="33"/>
      <c r="Q7171" s="33"/>
      <c r="R7171" s="33"/>
      <c r="S7171" s="33"/>
      <c r="T7171" s="33"/>
      <c r="U7171" s="33"/>
      <c r="V7171" s="33"/>
      <c r="W7171" s="33"/>
      <c r="X7171" s="33"/>
      <c r="Y7171" s="33"/>
      <c r="Z7171" s="33"/>
      <c r="AA7171" s="33"/>
      <c r="AB7171" s="33"/>
      <c r="AC7171" s="33"/>
      <c r="AD7171" s="33"/>
      <c r="AE7171" s="33"/>
      <c r="AF7171" s="33"/>
      <c r="AG7171" s="33"/>
      <c r="AH7171" s="33"/>
      <c r="AI7171" s="33"/>
      <c r="AJ7171" s="33"/>
      <c r="AK7171" s="33"/>
    </row>
    <row r="7172">
      <c r="A7172" s="33"/>
      <c r="B7172" s="33"/>
      <c r="C7172" s="33"/>
      <c r="D7172" s="33"/>
      <c r="E7172" s="33"/>
      <c r="F7172" s="33"/>
      <c r="G7172" s="33"/>
      <c r="H7172" s="33"/>
      <c r="I7172" s="33"/>
      <c r="J7172" s="33"/>
      <c r="K7172" s="33"/>
      <c r="L7172" s="33"/>
      <c r="M7172" s="33"/>
      <c r="N7172" s="33"/>
      <c r="O7172" s="33"/>
      <c r="P7172" s="33"/>
      <c r="Q7172" s="33"/>
      <c r="R7172" s="33"/>
      <c r="S7172" s="33"/>
      <c r="T7172" s="33"/>
      <c r="U7172" s="33"/>
      <c r="V7172" s="33"/>
      <c r="W7172" s="33"/>
      <c r="X7172" s="33"/>
      <c r="Y7172" s="33"/>
      <c r="Z7172" s="33"/>
      <c r="AA7172" s="33"/>
      <c r="AB7172" s="33"/>
      <c r="AC7172" s="33"/>
      <c r="AD7172" s="33"/>
      <c r="AE7172" s="33"/>
      <c r="AF7172" s="33"/>
      <c r="AG7172" s="33"/>
      <c r="AH7172" s="33"/>
      <c r="AI7172" s="33"/>
      <c r="AJ7172" s="33"/>
      <c r="AK7172" s="33"/>
    </row>
    <row r="7173">
      <c r="A7173" s="33"/>
      <c r="B7173" s="33"/>
      <c r="C7173" s="33"/>
      <c r="D7173" s="33"/>
      <c r="E7173" s="33"/>
      <c r="F7173" s="33"/>
      <c r="G7173" s="33"/>
      <c r="H7173" s="33"/>
      <c r="I7173" s="33"/>
      <c r="J7173" s="33"/>
      <c r="K7173" s="33"/>
      <c r="L7173" s="33"/>
      <c r="M7173" s="33"/>
      <c r="N7173" s="33"/>
      <c r="O7173" s="33"/>
      <c r="P7173" s="33"/>
      <c r="Q7173" s="33"/>
      <c r="R7173" s="33"/>
      <c r="S7173" s="33"/>
      <c r="T7173" s="33"/>
      <c r="U7173" s="33"/>
      <c r="V7173" s="33"/>
      <c r="W7173" s="33"/>
      <c r="X7173" s="33"/>
      <c r="Y7173" s="33"/>
      <c r="Z7173" s="33"/>
      <c r="AA7173" s="33"/>
      <c r="AB7173" s="33"/>
      <c r="AC7173" s="33"/>
      <c r="AD7173" s="33"/>
      <c r="AE7173" s="33"/>
      <c r="AF7173" s="33"/>
      <c r="AG7173" s="33"/>
      <c r="AH7173" s="33"/>
      <c r="AI7173" s="33"/>
      <c r="AJ7173" s="33"/>
      <c r="AK7173" s="33"/>
    </row>
    <row r="7174">
      <c r="A7174" s="33"/>
      <c r="B7174" s="33"/>
      <c r="C7174" s="33"/>
      <c r="D7174" s="33"/>
      <c r="E7174" s="33"/>
      <c r="F7174" s="33"/>
      <c r="G7174" s="33"/>
      <c r="H7174" s="33"/>
      <c r="I7174" s="33"/>
      <c r="J7174" s="33"/>
      <c r="K7174" s="33"/>
      <c r="L7174" s="33"/>
      <c r="M7174" s="33"/>
      <c r="N7174" s="33"/>
      <c r="O7174" s="33"/>
      <c r="P7174" s="33"/>
      <c r="Q7174" s="33"/>
      <c r="R7174" s="33"/>
      <c r="S7174" s="33"/>
      <c r="T7174" s="33"/>
      <c r="U7174" s="33"/>
      <c r="V7174" s="33"/>
      <c r="W7174" s="33"/>
      <c r="X7174" s="33"/>
      <c r="Y7174" s="33"/>
      <c r="Z7174" s="33"/>
      <c r="AA7174" s="33"/>
      <c r="AB7174" s="33"/>
      <c r="AC7174" s="33"/>
      <c r="AD7174" s="33"/>
      <c r="AE7174" s="33"/>
      <c r="AF7174" s="33"/>
      <c r="AG7174" s="33"/>
      <c r="AH7174" s="33"/>
      <c r="AI7174" s="33"/>
      <c r="AJ7174" s="33"/>
      <c r="AK7174" s="33"/>
    </row>
    <row r="7175">
      <c r="A7175" s="33"/>
      <c r="B7175" s="33"/>
      <c r="C7175" s="33"/>
      <c r="D7175" s="33"/>
      <c r="E7175" s="33"/>
      <c r="F7175" s="33"/>
      <c r="G7175" s="33"/>
      <c r="H7175" s="33"/>
      <c r="I7175" s="33"/>
      <c r="J7175" s="33"/>
      <c r="K7175" s="33"/>
      <c r="L7175" s="33"/>
      <c r="M7175" s="33"/>
      <c r="N7175" s="33"/>
      <c r="O7175" s="33"/>
      <c r="P7175" s="33"/>
      <c r="Q7175" s="33"/>
      <c r="R7175" s="33"/>
      <c r="S7175" s="33"/>
      <c r="T7175" s="33"/>
      <c r="U7175" s="33"/>
      <c r="V7175" s="33"/>
      <c r="W7175" s="33"/>
      <c r="X7175" s="33"/>
      <c r="Y7175" s="33"/>
      <c r="Z7175" s="33"/>
      <c r="AA7175" s="33"/>
      <c r="AB7175" s="33"/>
      <c r="AC7175" s="33"/>
      <c r="AD7175" s="33"/>
      <c r="AE7175" s="33"/>
      <c r="AF7175" s="33"/>
      <c r="AG7175" s="33"/>
      <c r="AH7175" s="33"/>
      <c r="AI7175" s="33"/>
      <c r="AJ7175" s="33"/>
      <c r="AK7175" s="33"/>
    </row>
    <row r="7176">
      <c r="A7176" s="33"/>
      <c r="B7176" s="33"/>
      <c r="C7176" s="33"/>
      <c r="D7176" s="33"/>
      <c r="E7176" s="33"/>
      <c r="F7176" s="33"/>
      <c r="G7176" s="33"/>
      <c r="H7176" s="33"/>
      <c r="I7176" s="33"/>
      <c r="J7176" s="33"/>
      <c r="K7176" s="33"/>
      <c r="L7176" s="33"/>
      <c r="M7176" s="33"/>
      <c r="N7176" s="33"/>
      <c r="O7176" s="33"/>
      <c r="P7176" s="33"/>
      <c r="Q7176" s="33"/>
      <c r="R7176" s="33"/>
      <c r="S7176" s="33"/>
      <c r="T7176" s="33"/>
      <c r="U7176" s="33"/>
      <c r="V7176" s="33"/>
      <c r="W7176" s="33"/>
      <c r="X7176" s="33"/>
      <c r="Y7176" s="33"/>
      <c r="Z7176" s="33"/>
      <c r="AA7176" s="33"/>
      <c r="AB7176" s="33"/>
      <c r="AC7176" s="33"/>
      <c r="AD7176" s="33"/>
      <c r="AE7176" s="33"/>
      <c r="AF7176" s="33"/>
      <c r="AG7176" s="33"/>
      <c r="AH7176" s="33"/>
      <c r="AI7176" s="33"/>
      <c r="AJ7176" s="33"/>
      <c r="AK7176" s="33"/>
    </row>
    <row r="7177">
      <c r="A7177" s="33"/>
      <c r="B7177" s="33"/>
      <c r="C7177" s="33"/>
      <c r="D7177" s="33"/>
      <c r="E7177" s="33"/>
      <c r="F7177" s="33"/>
      <c r="G7177" s="33"/>
      <c r="H7177" s="33"/>
      <c r="I7177" s="33"/>
      <c r="J7177" s="33"/>
      <c r="K7177" s="33"/>
      <c r="L7177" s="33"/>
      <c r="M7177" s="33"/>
      <c r="N7177" s="33"/>
      <c r="O7177" s="33"/>
      <c r="P7177" s="33"/>
      <c r="Q7177" s="33"/>
      <c r="R7177" s="33"/>
      <c r="S7177" s="33"/>
      <c r="T7177" s="33"/>
      <c r="U7177" s="33"/>
      <c r="V7177" s="33"/>
      <c r="W7177" s="33"/>
      <c r="X7177" s="33"/>
      <c r="Y7177" s="33"/>
      <c r="Z7177" s="33"/>
      <c r="AA7177" s="33"/>
      <c r="AB7177" s="33"/>
      <c r="AC7177" s="33"/>
      <c r="AD7177" s="33"/>
      <c r="AE7177" s="33"/>
      <c r="AF7177" s="33"/>
      <c r="AG7177" s="33"/>
      <c r="AH7177" s="33"/>
      <c r="AI7177" s="33"/>
      <c r="AJ7177" s="33"/>
      <c r="AK7177" s="33"/>
    </row>
    <row r="7178">
      <c r="A7178" s="33"/>
      <c r="B7178" s="33"/>
      <c r="C7178" s="33"/>
      <c r="D7178" s="33"/>
      <c r="E7178" s="33"/>
      <c r="F7178" s="33"/>
      <c r="G7178" s="33"/>
      <c r="H7178" s="33"/>
      <c r="I7178" s="33"/>
      <c r="J7178" s="33"/>
      <c r="K7178" s="33"/>
      <c r="L7178" s="33"/>
      <c r="M7178" s="33"/>
      <c r="N7178" s="33"/>
      <c r="O7178" s="33"/>
      <c r="P7178" s="33"/>
      <c r="Q7178" s="33"/>
      <c r="R7178" s="33"/>
      <c r="S7178" s="33"/>
      <c r="T7178" s="33"/>
      <c r="U7178" s="33"/>
      <c r="V7178" s="33"/>
      <c r="W7178" s="33"/>
      <c r="X7178" s="33"/>
      <c r="Y7178" s="33"/>
      <c r="Z7178" s="33"/>
      <c r="AA7178" s="33"/>
      <c r="AB7178" s="33"/>
      <c r="AC7178" s="33"/>
      <c r="AD7178" s="33"/>
      <c r="AE7178" s="33"/>
      <c r="AF7178" s="33"/>
      <c r="AG7178" s="33"/>
      <c r="AH7178" s="33"/>
      <c r="AI7178" s="33"/>
      <c r="AJ7178" s="33"/>
      <c r="AK7178" s="33"/>
    </row>
    <row r="7179">
      <c r="A7179" s="33"/>
      <c r="B7179" s="33"/>
      <c r="C7179" s="33"/>
      <c r="D7179" s="33"/>
      <c r="E7179" s="33"/>
      <c r="F7179" s="33"/>
      <c r="G7179" s="33"/>
      <c r="H7179" s="33"/>
      <c r="I7179" s="33"/>
      <c r="J7179" s="33"/>
      <c r="K7179" s="33"/>
      <c r="L7179" s="33"/>
      <c r="M7179" s="33"/>
      <c r="N7179" s="33"/>
      <c r="O7179" s="33"/>
      <c r="P7179" s="33"/>
      <c r="Q7179" s="33"/>
      <c r="R7179" s="33"/>
      <c r="S7179" s="33"/>
      <c r="T7179" s="33"/>
      <c r="U7179" s="33"/>
      <c r="V7179" s="33"/>
      <c r="W7179" s="33"/>
      <c r="X7179" s="33"/>
      <c r="Y7179" s="33"/>
      <c r="Z7179" s="33"/>
      <c r="AA7179" s="33"/>
      <c r="AB7179" s="33"/>
      <c r="AC7179" s="33"/>
      <c r="AD7179" s="33"/>
      <c r="AE7179" s="33"/>
      <c r="AF7179" s="33"/>
      <c r="AG7179" s="33"/>
      <c r="AH7179" s="33"/>
      <c r="AI7179" s="33"/>
      <c r="AJ7179" s="33"/>
      <c r="AK7179" s="33"/>
    </row>
    <row r="7180">
      <c r="A7180" s="33"/>
      <c r="B7180" s="33"/>
      <c r="C7180" s="33"/>
      <c r="D7180" s="33"/>
      <c r="E7180" s="33"/>
      <c r="F7180" s="33"/>
      <c r="G7180" s="33"/>
      <c r="H7180" s="33"/>
      <c r="I7180" s="33"/>
      <c r="J7180" s="33"/>
      <c r="K7180" s="33"/>
      <c r="L7180" s="33"/>
      <c r="M7180" s="33"/>
      <c r="N7180" s="33"/>
      <c r="O7180" s="33"/>
      <c r="P7180" s="33"/>
      <c r="Q7180" s="33"/>
      <c r="R7180" s="33"/>
      <c r="S7180" s="33"/>
      <c r="T7180" s="33"/>
      <c r="U7180" s="33"/>
      <c r="V7180" s="33"/>
      <c r="W7180" s="33"/>
      <c r="X7180" s="33"/>
      <c r="Y7180" s="33"/>
      <c r="Z7180" s="33"/>
      <c r="AA7180" s="33"/>
      <c r="AB7180" s="33"/>
      <c r="AC7180" s="33"/>
      <c r="AD7180" s="33"/>
      <c r="AE7180" s="33"/>
      <c r="AF7180" s="33"/>
      <c r="AG7180" s="33"/>
      <c r="AH7180" s="33"/>
      <c r="AI7180" s="33"/>
      <c r="AJ7180" s="33"/>
      <c r="AK7180" s="33"/>
    </row>
    <row r="7181">
      <c r="A7181" s="33"/>
      <c r="B7181" s="33"/>
      <c r="C7181" s="33"/>
      <c r="D7181" s="33"/>
      <c r="E7181" s="33"/>
      <c r="F7181" s="33"/>
      <c r="G7181" s="33"/>
      <c r="H7181" s="33"/>
      <c r="I7181" s="33"/>
      <c r="J7181" s="33"/>
      <c r="K7181" s="33"/>
      <c r="L7181" s="33"/>
      <c r="M7181" s="33"/>
      <c r="N7181" s="33"/>
      <c r="O7181" s="33"/>
      <c r="P7181" s="33"/>
      <c r="Q7181" s="33"/>
      <c r="R7181" s="33"/>
      <c r="S7181" s="33"/>
      <c r="T7181" s="33"/>
      <c r="U7181" s="33"/>
      <c r="V7181" s="33"/>
      <c r="W7181" s="33"/>
      <c r="X7181" s="33"/>
      <c r="Y7181" s="33"/>
      <c r="Z7181" s="33"/>
      <c r="AA7181" s="33"/>
      <c r="AB7181" s="33"/>
      <c r="AC7181" s="33"/>
      <c r="AD7181" s="33"/>
      <c r="AE7181" s="33"/>
      <c r="AF7181" s="33"/>
      <c r="AG7181" s="33"/>
      <c r="AH7181" s="33"/>
      <c r="AI7181" s="33"/>
      <c r="AJ7181" s="33"/>
      <c r="AK7181" s="33"/>
    </row>
    <row r="7182">
      <c r="A7182" s="33"/>
      <c r="B7182" s="33"/>
      <c r="C7182" s="33"/>
      <c r="D7182" s="33"/>
      <c r="E7182" s="33"/>
      <c r="F7182" s="33"/>
      <c r="G7182" s="33"/>
      <c r="H7182" s="33"/>
      <c r="I7182" s="33"/>
      <c r="J7182" s="33"/>
      <c r="K7182" s="33"/>
      <c r="L7182" s="33"/>
      <c r="M7182" s="33"/>
      <c r="N7182" s="33"/>
      <c r="O7182" s="33"/>
      <c r="P7182" s="33"/>
      <c r="Q7182" s="33"/>
      <c r="R7182" s="33"/>
      <c r="S7182" s="33"/>
      <c r="T7182" s="33"/>
      <c r="U7182" s="33"/>
      <c r="V7182" s="33"/>
      <c r="W7182" s="33"/>
      <c r="X7182" s="33"/>
      <c r="Y7182" s="33"/>
      <c r="Z7182" s="33"/>
      <c r="AA7182" s="33"/>
      <c r="AB7182" s="33"/>
      <c r="AC7182" s="33"/>
      <c r="AD7182" s="33"/>
      <c r="AE7182" s="33"/>
      <c r="AF7182" s="33"/>
      <c r="AG7182" s="33"/>
      <c r="AH7182" s="33"/>
      <c r="AI7182" s="33"/>
      <c r="AJ7182" s="33"/>
      <c r="AK7182" s="33"/>
    </row>
    <row r="7183">
      <c r="A7183" s="33"/>
      <c r="B7183" s="33"/>
      <c r="C7183" s="33"/>
      <c r="D7183" s="33"/>
      <c r="E7183" s="33"/>
      <c r="F7183" s="33"/>
      <c r="G7183" s="33"/>
      <c r="H7183" s="33"/>
      <c r="I7183" s="33"/>
      <c r="J7183" s="33"/>
      <c r="K7183" s="33"/>
      <c r="L7183" s="33"/>
      <c r="M7183" s="33"/>
      <c r="N7183" s="33"/>
      <c r="O7183" s="33"/>
      <c r="P7183" s="33"/>
      <c r="Q7183" s="33"/>
      <c r="R7183" s="33"/>
      <c r="S7183" s="33"/>
      <c r="T7183" s="33"/>
      <c r="U7183" s="33"/>
      <c r="V7183" s="33"/>
      <c r="W7183" s="33"/>
      <c r="X7183" s="33"/>
      <c r="Y7183" s="33"/>
      <c r="Z7183" s="33"/>
      <c r="AA7183" s="33"/>
      <c r="AB7183" s="33"/>
      <c r="AC7183" s="33"/>
      <c r="AD7183" s="33"/>
      <c r="AE7183" s="33"/>
      <c r="AF7183" s="33"/>
      <c r="AG7183" s="33"/>
      <c r="AH7183" s="33"/>
      <c r="AI7183" s="33"/>
      <c r="AJ7183" s="33"/>
      <c r="AK7183" s="33"/>
    </row>
    <row r="7184">
      <c r="A7184" s="33"/>
      <c r="B7184" s="33"/>
      <c r="C7184" s="33"/>
      <c r="D7184" s="33"/>
      <c r="E7184" s="33"/>
      <c r="F7184" s="33"/>
      <c r="G7184" s="33"/>
      <c r="H7184" s="33"/>
      <c r="I7184" s="33"/>
      <c r="J7184" s="33"/>
      <c r="K7184" s="33"/>
      <c r="L7184" s="33"/>
      <c r="M7184" s="33"/>
      <c r="N7184" s="33"/>
      <c r="O7184" s="33"/>
      <c r="P7184" s="33"/>
      <c r="Q7184" s="33"/>
      <c r="R7184" s="33"/>
      <c r="S7184" s="33"/>
      <c r="T7184" s="33"/>
      <c r="U7184" s="33"/>
      <c r="V7184" s="33"/>
      <c r="W7184" s="33"/>
      <c r="X7184" s="33"/>
      <c r="Y7184" s="33"/>
      <c r="Z7184" s="33"/>
      <c r="AA7184" s="33"/>
      <c r="AB7184" s="33"/>
      <c r="AC7184" s="33"/>
      <c r="AD7184" s="33"/>
      <c r="AE7184" s="33"/>
      <c r="AF7184" s="33"/>
      <c r="AG7184" s="33"/>
      <c r="AH7184" s="33"/>
      <c r="AI7184" s="33"/>
      <c r="AJ7184" s="33"/>
      <c r="AK7184" s="33"/>
    </row>
    <row r="7185">
      <c r="A7185" s="33"/>
      <c r="B7185" s="33"/>
      <c r="C7185" s="33"/>
      <c r="D7185" s="33"/>
      <c r="E7185" s="33"/>
      <c r="F7185" s="33"/>
      <c r="G7185" s="33"/>
      <c r="H7185" s="33"/>
      <c r="I7185" s="33"/>
      <c r="J7185" s="33"/>
      <c r="K7185" s="33"/>
      <c r="L7185" s="33"/>
      <c r="M7185" s="33"/>
      <c r="N7185" s="33"/>
      <c r="O7185" s="33"/>
      <c r="P7185" s="33"/>
      <c r="Q7185" s="33"/>
      <c r="R7185" s="33"/>
      <c r="S7185" s="33"/>
      <c r="T7185" s="33"/>
      <c r="U7185" s="33"/>
      <c r="V7185" s="33"/>
      <c r="W7185" s="33"/>
      <c r="X7185" s="33"/>
      <c r="Y7185" s="33"/>
      <c r="Z7185" s="33"/>
      <c r="AA7185" s="33"/>
      <c r="AB7185" s="33"/>
      <c r="AC7185" s="33"/>
      <c r="AD7185" s="33"/>
      <c r="AE7185" s="33"/>
      <c r="AF7185" s="33"/>
      <c r="AG7185" s="33"/>
      <c r="AH7185" s="33"/>
      <c r="AI7185" s="33"/>
      <c r="AJ7185" s="33"/>
      <c r="AK7185" s="33"/>
    </row>
    <row r="7186">
      <c r="A7186" s="33"/>
      <c r="B7186" s="33"/>
      <c r="C7186" s="33"/>
      <c r="D7186" s="33"/>
      <c r="E7186" s="33"/>
      <c r="F7186" s="33"/>
      <c r="G7186" s="33"/>
      <c r="H7186" s="33"/>
      <c r="I7186" s="33"/>
      <c r="J7186" s="33"/>
      <c r="K7186" s="33"/>
      <c r="L7186" s="33"/>
      <c r="M7186" s="33"/>
      <c r="N7186" s="33"/>
      <c r="O7186" s="33"/>
      <c r="P7186" s="33"/>
      <c r="Q7186" s="33"/>
      <c r="R7186" s="33"/>
      <c r="S7186" s="33"/>
      <c r="T7186" s="33"/>
      <c r="U7186" s="33"/>
      <c r="V7186" s="33"/>
      <c r="W7186" s="33"/>
      <c r="X7186" s="33"/>
      <c r="Y7186" s="33"/>
      <c r="Z7186" s="33"/>
      <c r="AA7186" s="33"/>
      <c r="AB7186" s="33"/>
      <c r="AC7186" s="33"/>
      <c r="AD7186" s="33"/>
      <c r="AE7186" s="33"/>
      <c r="AF7186" s="33"/>
      <c r="AG7186" s="33"/>
      <c r="AH7186" s="33"/>
      <c r="AI7186" s="33"/>
      <c r="AJ7186" s="33"/>
      <c r="AK7186" s="33"/>
    </row>
    <row r="7187">
      <c r="A7187" s="33"/>
      <c r="B7187" s="33"/>
      <c r="C7187" s="33"/>
      <c r="D7187" s="33"/>
      <c r="E7187" s="33"/>
      <c r="F7187" s="33"/>
      <c r="G7187" s="33"/>
      <c r="H7187" s="33"/>
      <c r="I7187" s="33"/>
      <c r="J7187" s="33"/>
      <c r="K7187" s="33"/>
      <c r="L7187" s="33"/>
      <c r="M7187" s="33"/>
      <c r="N7187" s="33"/>
      <c r="O7187" s="33"/>
      <c r="P7187" s="33"/>
      <c r="Q7187" s="33"/>
      <c r="R7187" s="33"/>
      <c r="S7187" s="33"/>
      <c r="T7187" s="33"/>
      <c r="U7187" s="33"/>
      <c r="V7187" s="33"/>
      <c r="W7187" s="33"/>
      <c r="X7187" s="33"/>
      <c r="Y7187" s="33"/>
      <c r="Z7187" s="33"/>
      <c r="AA7187" s="33"/>
      <c r="AB7187" s="33"/>
      <c r="AC7187" s="33"/>
      <c r="AD7187" s="33"/>
      <c r="AE7187" s="33"/>
      <c r="AF7187" s="33"/>
      <c r="AG7187" s="33"/>
      <c r="AH7187" s="33"/>
      <c r="AI7187" s="33"/>
      <c r="AJ7187" s="33"/>
      <c r="AK7187" s="33"/>
    </row>
    <row r="7188">
      <c r="A7188" s="33"/>
      <c r="B7188" s="33"/>
      <c r="C7188" s="33"/>
      <c r="D7188" s="33"/>
      <c r="E7188" s="33"/>
      <c r="F7188" s="33"/>
      <c r="G7188" s="33"/>
      <c r="H7188" s="33"/>
      <c r="I7188" s="33"/>
      <c r="J7188" s="33"/>
      <c r="K7188" s="33"/>
      <c r="L7188" s="33"/>
      <c r="M7188" s="33"/>
      <c r="N7188" s="33"/>
      <c r="O7188" s="33"/>
      <c r="P7188" s="33"/>
      <c r="Q7188" s="33"/>
      <c r="R7188" s="33"/>
      <c r="S7188" s="33"/>
      <c r="T7188" s="33"/>
      <c r="U7188" s="33"/>
      <c r="V7188" s="33"/>
      <c r="W7188" s="33"/>
      <c r="X7188" s="33"/>
      <c r="Y7188" s="33"/>
      <c r="Z7188" s="33"/>
      <c r="AA7188" s="33"/>
      <c r="AB7188" s="33"/>
      <c r="AC7188" s="33"/>
      <c r="AD7188" s="33"/>
      <c r="AE7188" s="33"/>
      <c r="AF7188" s="33"/>
      <c r="AG7188" s="33"/>
      <c r="AH7188" s="33"/>
      <c r="AI7188" s="33"/>
      <c r="AJ7188" s="33"/>
      <c r="AK7188" s="33"/>
    </row>
    <row r="7189">
      <c r="A7189" s="33"/>
      <c r="B7189" s="33"/>
      <c r="C7189" s="33"/>
      <c r="D7189" s="33"/>
      <c r="E7189" s="33"/>
      <c r="F7189" s="33"/>
      <c r="G7189" s="33"/>
      <c r="H7189" s="33"/>
      <c r="I7189" s="33"/>
      <c r="J7189" s="33"/>
      <c r="K7189" s="33"/>
      <c r="L7189" s="33"/>
      <c r="M7189" s="33"/>
      <c r="N7189" s="33"/>
      <c r="O7189" s="33"/>
      <c r="P7189" s="33"/>
      <c r="Q7189" s="33"/>
      <c r="R7189" s="33"/>
      <c r="S7189" s="33"/>
      <c r="T7189" s="33"/>
      <c r="U7189" s="33"/>
      <c r="V7189" s="33"/>
      <c r="W7189" s="33"/>
      <c r="X7189" s="33"/>
      <c r="Y7189" s="33"/>
      <c r="Z7189" s="33"/>
      <c r="AA7189" s="33"/>
      <c r="AB7189" s="33"/>
      <c r="AC7189" s="33"/>
      <c r="AD7189" s="33"/>
      <c r="AE7189" s="33"/>
      <c r="AF7189" s="33"/>
      <c r="AG7189" s="33"/>
      <c r="AH7189" s="33"/>
      <c r="AI7189" s="33"/>
      <c r="AJ7189" s="33"/>
      <c r="AK7189" s="33"/>
    </row>
    <row r="7190">
      <c r="A7190" s="33"/>
      <c r="B7190" s="33"/>
      <c r="C7190" s="33"/>
      <c r="D7190" s="33"/>
      <c r="E7190" s="33"/>
      <c r="F7190" s="33"/>
      <c r="G7190" s="33"/>
      <c r="H7190" s="33"/>
      <c r="I7190" s="33"/>
      <c r="J7190" s="33"/>
      <c r="K7190" s="33"/>
      <c r="L7190" s="33"/>
      <c r="M7190" s="33"/>
      <c r="N7190" s="33"/>
      <c r="O7190" s="33"/>
      <c r="P7190" s="33"/>
      <c r="Q7190" s="33"/>
      <c r="R7190" s="33"/>
      <c r="S7190" s="33"/>
      <c r="T7190" s="33"/>
      <c r="U7190" s="33"/>
      <c r="V7190" s="33"/>
      <c r="W7190" s="33"/>
      <c r="X7190" s="33"/>
      <c r="Y7190" s="33"/>
      <c r="Z7190" s="33"/>
      <c r="AA7190" s="33"/>
      <c r="AB7190" s="33"/>
      <c r="AC7190" s="33"/>
      <c r="AD7190" s="33"/>
      <c r="AE7190" s="33"/>
      <c r="AF7190" s="33"/>
      <c r="AG7190" s="33"/>
      <c r="AH7190" s="33"/>
      <c r="AI7190" s="33"/>
      <c r="AJ7190" s="33"/>
      <c r="AK7190" s="33"/>
    </row>
    <row r="7191">
      <c r="A7191" s="33"/>
      <c r="B7191" s="33"/>
      <c r="C7191" s="33"/>
      <c r="D7191" s="33"/>
      <c r="E7191" s="33"/>
      <c r="F7191" s="33"/>
      <c r="G7191" s="33"/>
      <c r="H7191" s="33"/>
      <c r="I7191" s="33"/>
      <c r="J7191" s="33"/>
      <c r="K7191" s="33"/>
      <c r="L7191" s="33"/>
      <c r="M7191" s="33"/>
      <c r="N7191" s="33"/>
      <c r="O7191" s="33"/>
      <c r="P7191" s="33"/>
      <c r="Q7191" s="33"/>
      <c r="R7191" s="33"/>
      <c r="S7191" s="33"/>
      <c r="T7191" s="33"/>
      <c r="U7191" s="33"/>
      <c r="V7191" s="33"/>
      <c r="W7191" s="33"/>
      <c r="X7191" s="33"/>
      <c r="Y7191" s="33"/>
      <c r="Z7191" s="33"/>
      <c r="AA7191" s="33"/>
      <c r="AB7191" s="33"/>
      <c r="AC7191" s="33"/>
      <c r="AD7191" s="33"/>
      <c r="AE7191" s="33"/>
      <c r="AF7191" s="33"/>
      <c r="AG7191" s="33"/>
      <c r="AH7191" s="33"/>
      <c r="AI7191" s="33"/>
      <c r="AJ7191" s="33"/>
      <c r="AK7191" s="33"/>
    </row>
    <row r="7192">
      <c r="A7192" s="33"/>
      <c r="B7192" s="33"/>
      <c r="C7192" s="33"/>
      <c r="D7192" s="33"/>
      <c r="E7192" s="33"/>
      <c r="F7192" s="33"/>
      <c r="G7192" s="33"/>
      <c r="H7192" s="33"/>
      <c r="I7192" s="33"/>
      <c r="J7192" s="33"/>
      <c r="K7192" s="33"/>
      <c r="L7192" s="33"/>
      <c r="M7192" s="33"/>
      <c r="N7192" s="33"/>
      <c r="O7192" s="33"/>
      <c r="P7192" s="33"/>
      <c r="Q7192" s="33"/>
      <c r="R7192" s="33"/>
      <c r="S7192" s="33"/>
      <c r="T7192" s="33"/>
      <c r="U7192" s="33"/>
      <c r="V7192" s="33"/>
      <c r="W7192" s="33"/>
      <c r="X7192" s="33"/>
      <c r="Y7192" s="33"/>
      <c r="Z7192" s="33"/>
      <c r="AA7192" s="33"/>
      <c r="AB7192" s="33"/>
      <c r="AC7192" s="33"/>
      <c r="AD7192" s="33"/>
      <c r="AE7192" s="33"/>
      <c r="AF7192" s="33"/>
      <c r="AG7192" s="33"/>
      <c r="AH7192" s="33"/>
      <c r="AI7192" s="33"/>
      <c r="AJ7192" s="33"/>
      <c r="AK7192" s="33"/>
    </row>
    <row r="7193">
      <c r="A7193" s="33"/>
      <c r="B7193" s="33"/>
      <c r="C7193" s="33"/>
      <c r="D7193" s="33"/>
      <c r="E7193" s="33"/>
      <c r="F7193" s="33"/>
      <c r="G7193" s="33"/>
      <c r="H7193" s="33"/>
      <c r="I7193" s="33"/>
      <c r="J7193" s="33"/>
      <c r="K7193" s="33"/>
      <c r="L7193" s="33"/>
      <c r="M7193" s="33"/>
      <c r="N7193" s="33"/>
      <c r="O7193" s="33"/>
      <c r="P7193" s="33"/>
      <c r="Q7193" s="33"/>
      <c r="R7193" s="33"/>
      <c r="S7193" s="33"/>
      <c r="T7193" s="33"/>
      <c r="U7193" s="33"/>
      <c r="V7193" s="33"/>
      <c r="W7193" s="33"/>
      <c r="X7193" s="33"/>
      <c r="Y7193" s="33"/>
      <c r="Z7193" s="33"/>
      <c r="AA7193" s="33"/>
      <c r="AB7193" s="33"/>
      <c r="AC7193" s="33"/>
      <c r="AD7193" s="33"/>
      <c r="AE7193" s="33"/>
      <c r="AF7193" s="33"/>
      <c r="AG7193" s="33"/>
      <c r="AH7193" s="33"/>
      <c r="AI7193" s="33"/>
      <c r="AJ7193" s="33"/>
      <c r="AK7193" s="33"/>
    </row>
    <row r="7194">
      <c r="A7194" s="33"/>
      <c r="B7194" s="33"/>
      <c r="C7194" s="33"/>
      <c r="D7194" s="33"/>
      <c r="E7194" s="33"/>
      <c r="F7194" s="33"/>
      <c r="G7194" s="33"/>
      <c r="H7194" s="33"/>
      <c r="I7194" s="33"/>
      <c r="J7194" s="33"/>
      <c r="K7194" s="33"/>
      <c r="L7194" s="33"/>
      <c r="M7194" s="33"/>
      <c r="N7194" s="33"/>
      <c r="O7194" s="33"/>
      <c r="P7194" s="33"/>
      <c r="Q7194" s="33"/>
      <c r="R7194" s="33"/>
      <c r="S7194" s="33"/>
      <c r="T7194" s="33"/>
      <c r="U7194" s="33"/>
      <c r="V7194" s="33"/>
      <c r="W7194" s="33"/>
      <c r="X7194" s="33"/>
      <c r="Y7194" s="33"/>
      <c r="Z7194" s="33"/>
      <c r="AA7194" s="33"/>
      <c r="AB7194" s="33"/>
      <c r="AC7194" s="33"/>
      <c r="AD7194" s="33"/>
      <c r="AE7194" s="33"/>
      <c r="AF7194" s="33"/>
      <c r="AG7194" s="33"/>
      <c r="AH7194" s="33"/>
      <c r="AI7194" s="33"/>
      <c r="AJ7194" s="33"/>
      <c r="AK7194" s="33"/>
    </row>
    <row r="7195">
      <c r="A7195" s="33"/>
      <c r="B7195" s="33"/>
      <c r="C7195" s="33"/>
      <c r="D7195" s="33"/>
      <c r="E7195" s="33"/>
      <c r="F7195" s="33"/>
      <c r="G7195" s="33"/>
      <c r="H7195" s="33"/>
      <c r="I7195" s="33"/>
      <c r="J7195" s="33"/>
      <c r="K7195" s="33"/>
      <c r="L7195" s="33"/>
      <c r="M7195" s="33"/>
      <c r="N7195" s="33"/>
      <c r="O7195" s="33"/>
      <c r="P7195" s="33"/>
      <c r="Q7195" s="33"/>
      <c r="R7195" s="33"/>
      <c r="S7195" s="33"/>
      <c r="T7195" s="33"/>
      <c r="U7195" s="33"/>
      <c r="V7195" s="33"/>
      <c r="W7195" s="33"/>
      <c r="X7195" s="33"/>
      <c r="Y7195" s="33"/>
      <c r="Z7195" s="33"/>
      <c r="AA7195" s="33"/>
      <c r="AB7195" s="33"/>
      <c r="AC7195" s="33"/>
      <c r="AD7195" s="33"/>
      <c r="AE7195" s="33"/>
      <c r="AF7195" s="33"/>
      <c r="AG7195" s="33"/>
      <c r="AH7195" s="33"/>
      <c r="AI7195" s="33"/>
      <c r="AJ7195" s="33"/>
      <c r="AK7195" s="33"/>
    </row>
    <row r="7196">
      <c r="A7196" s="33"/>
      <c r="B7196" s="33"/>
      <c r="C7196" s="33"/>
      <c r="D7196" s="33"/>
      <c r="E7196" s="33"/>
      <c r="F7196" s="33"/>
      <c r="G7196" s="33"/>
      <c r="H7196" s="33"/>
      <c r="I7196" s="33"/>
      <c r="J7196" s="33"/>
      <c r="K7196" s="33"/>
      <c r="L7196" s="33"/>
      <c r="M7196" s="33"/>
      <c r="N7196" s="33"/>
      <c r="O7196" s="33"/>
      <c r="P7196" s="33"/>
      <c r="Q7196" s="33"/>
      <c r="R7196" s="33"/>
      <c r="S7196" s="33"/>
      <c r="T7196" s="33"/>
      <c r="U7196" s="33"/>
      <c r="V7196" s="33"/>
      <c r="W7196" s="33"/>
      <c r="X7196" s="33"/>
      <c r="Y7196" s="33"/>
      <c r="Z7196" s="33"/>
      <c r="AA7196" s="33"/>
      <c r="AB7196" s="33"/>
      <c r="AC7196" s="33"/>
      <c r="AD7196" s="33"/>
      <c r="AE7196" s="33"/>
      <c r="AF7196" s="33"/>
      <c r="AG7196" s="33"/>
      <c r="AH7196" s="33"/>
      <c r="AI7196" s="33"/>
      <c r="AJ7196" s="33"/>
      <c r="AK7196" s="33"/>
    </row>
    <row r="7197">
      <c r="A7197" s="33"/>
      <c r="B7197" s="33"/>
      <c r="C7197" s="33"/>
      <c r="D7197" s="33"/>
      <c r="E7197" s="33"/>
      <c r="F7197" s="33"/>
      <c r="G7197" s="33"/>
      <c r="H7197" s="33"/>
      <c r="I7197" s="33"/>
      <c r="J7197" s="33"/>
      <c r="K7197" s="33"/>
      <c r="L7197" s="33"/>
      <c r="M7197" s="33"/>
      <c r="N7197" s="33"/>
      <c r="O7197" s="33"/>
      <c r="P7197" s="33"/>
      <c r="Q7197" s="33"/>
      <c r="R7197" s="33"/>
      <c r="S7197" s="33"/>
      <c r="T7197" s="33"/>
      <c r="U7197" s="33"/>
      <c r="V7197" s="33"/>
      <c r="W7197" s="33"/>
      <c r="X7197" s="33"/>
      <c r="Y7197" s="33"/>
      <c r="Z7197" s="33"/>
      <c r="AA7197" s="33"/>
      <c r="AB7197" s="33"/>
      <c r="AC7197" s="33"/>
      <c r="AD7197" s="33"/>
      <c r="AE7197" s="33"/>
      <c r="AF7197" s="33"/>
      <c r="AG7197" s="33"/>
      <c r="AH7197" s="33"/>
      <c r="AI7197" s="33"/>
      <c r="AJ7197" s="33"/>
      <c r="AK7197" s="33"/>
    </row>
    <row r="7198">
      <c r="A7198" s="33"/>
      <c r="B7198" s="33"/>
      <c r="C7198" s="33"/>
      <c r="D7198" s="33"/>
      <c r="E7198" s="33"/>
      <c r="F7198" s="33"/>
      <c r="G7198" s="33"/>
      <c r="H7198" s="33"/>
      <c r="I7198" s="33"/>
      <c r="J7198" s="33"/>
      <c r="K7198" s="33"/>
      <c r="L7198" s="33"/>
      <c r="M7198" s="33"/>
      <c r="N7198" s="33"/>
      <c r="O7198" s="33"/>
      <c r="P7198" s="33"/>
      <c r="Q7198" s="33"/>
      <c r="R7198" s="33"/>
      <c r="S7198" s="33"/>
      <c r="T7198" s="33"/>
      <c r="U7198" s="33"/>
      <c r="V7198" s="33"/>
      <c r="W7198" s="33"/>
      <c r="X7198" s="33"/>
      <c r="Y7198" s="33"/>
      <c r="Z7198" s="33"/>
      <c r="AA7198" s="33"/>
      <c r="AB7198" s="33"/>
      <c r="AC7198" s="33"/>
      <c r="AD7198" s="33"/>
      <c r="AE7198" s="33"/>
      <c r="AF7198" s="33"/>
      <c r="AG7198" s="33"/>
      <c r="AH7198" s="33"/>
      <c r="AI7198" s="33"/>
      <c r="AJ7198" s="33"/>
      <c r="AK7198" s="33"/>
    </row>
    <row r="7199">
      <c r="A7199" s="33"/>
      <c r="B7199" s="33"/>
      <c r="C7199" s="33"/>
      <c r="D7199" s="33"/>
      <c r="E7199" s="33"/>
      <c r="F7199" s="33"/>
      <c r="G7199" s="33"/>
      <c r="H7199" s="33"/>
      <c r="I7199" s="33"/>
      <c r="J7199" s="33"/>
      <c r="K7199" s="33"/>
      <c r="L7199" s="33"/>
      <c r="M7199" s="33"/>
      <c r="N7199" s="33"/>
      <c r="O7199" s="33"/>
      <c r="P7199" s="33"/>
      <c r="Q7199" s="33"/>
      <c r="R7199" s="33"/>
      <c r="S7199" s="33"/>
      <c r="T7199" s="33"/>
      <c r="U7199" s="33"/>
      <c r="V7199" s="33"/>
      <c r="W7199" s="33"/>
      <c r="X7199" s="33"/>
      <c r="Y7199" s="33"/>
      <c r="Z7199" s="33"/>
      <c r="AA7199" s="33"/>
      <c r="AB7199" s="33"/>
      <c r="AC7199" s="33"/>
      <c r="AD7199" s="33"/>
      <c r="AE7199" s="33"/>
      <c r="AF7199" s="33"/>
      <c r="AG7199" s="33"/>
      <c r="AH7199" s="33"/>
      <c r="AI7199" s="33"/>
      <c r="AJ7199" s="33"/>
      <c r="AK7199" s="33"/>
    </row>
    <row r="7200">
      <c r="A7200" s="33"/>
      <c r="B7200" s="33"/>
      <c r="C7200" s="33"/>
      <c r="D7200" s="33"/>
      <c r="E7200" s="33"/>
      <c r="F7200" s="33"/>
      <c r="G7200" s="33"/>
      <c r="H7200" s="33"/>
      <c r="I7200" s="33"/>
      <c r="J7200" s="33"/>
      <c r="K7200" s="33"/>
      <c r="L7200" s="33"/>
      <c r="M7200" s="33"/>
      <c r="N7200" s="33"/>
      <c r="O7200" s="33"/>
      <c r="P7200" s="33"/>
      <c r="Q7200" s="33"/>
      <c r="R7200" s="33"/>
      <c r="S7200" s="33"/>
      <c r="T7200" s="33"/>
      <c r="U7200" s="33"/>
      <c r="V7200" s="33"/>
      <c r="W7200" s="33"/>
      <c r="X7200" s="33"/>
      <c r="Y7200" s="33"/>
      <c r="Z7200" s="33"/>
      <c r="AA7200" s="33"/>
      <c r="AB7200" s="33"/>
      <c r="AC7200" s="33"/>
      <c r="AD7200" s="33"/>
      <c r="AE7200" s="33"/>
      <c r="AF7200" s="33"/>
      <c r="AG7200" s="33"/>
      <c r="AH7200" s="33"/>
      <c r="AI7200" s="33"/>
      <c r="AJ7200" s="33"/>
      <c r="AK7200" s="33"/>
    </row>
    <row r="7201">
      <c r="A7201" s="33"/>
      <c r="B7201" s="33"/>
      <c r="C7201" s="33"/>
      <c r="D7201" s="33"/>
      <c r="E7201" s="33"/>
      <c r="F7201" s="33"/>
      <c r="G7201" s="33"/>
      <c r="H7201" s="33"/>
      <c r="I7201" s="33"/>
      <c r="J7201" s="33"/>
      <c r="K7201" s="33"/>
      <c r="L7201" s="33"/>
      <c r="M7201" s="33"/>
      <c r="N7201" s="33"/>
      <c r="O7201" s="33"/>
      <c r="P7201" s="33"/>
      <c r="Q7201" s="33"/>
      <c r="R7201" s="33"/>
      <c r="S7201" s="33"/>
      <c r="T7201" s="33"/>
      <c r="U7201" s="33"/>
      <c r="V7201" s="33"/>
      <c r="W7201" s="33"/>
      <c r="X7201" s="33"/>
      <c r="Y7201" s="33"/>
      <c r="Z7201" s="33"/>
      <c r="AA7201" s="33"/>
      <c r="AB7201" s="33"/>
      <c r="AC7201" s="33"/>
      <c r="AD7201" s="33"/>
      <c r="AE7201" s="33"/>
      <c r="AF7201" s="33"/>
      <c r="AG7201" s="33"/>
      <c r="AH7201" s="33"/>
      <c r="AI7201" s="33"/>
      <c r="AJ7201" s="33"/>
      <c r="AK7201" s="33"/>
    </row>
    <row r="7202">
      <c r="A7202" s="33"/>
      <c r="B7202" s="33"/>
      <c r="C7202" s="33"/>
      <c r="D7202" s="33"/>
      <c r="E7202" s="33"/>
      <c r="F7202" s="33"/>
      <c r="G7202" s="33"/>
      <c r="H7202" s="33"/>
      <c r="I7202" s="33"/>
      <c r="J7202" s="33"/>
      <c r="K7202" s="33"/>
      <c r="L7202" s="33"/>
      <c r="M7202" s="33"/>
      <c r="N7202" s="33"/>
      <c r="O7202" s="33"/>
      <c r="P7202" s="33"/>
      <c r="Q7202" s="33"/>
      <c r="R7202" s="33"/>
      <c r="S7202" s="33"/>
      <c r="T7202" s="33"/>
      <c r="U7202" s="33"/>
      <c r="V7202" s="33"/>
      <c r="W7202" s="33"/>
      <c r="X7202" s="33"/>
      <c r="Y7202" s="33"/>
      <c r="Z7202" s="33"/>
      <c r="AA7202" s="33"/>
      <c r="AB7202" s="33"/>
      <c r="AC7202" s="33"/>
      <c r="AD7202" s="33"/>
      <c r="AE7202" s="33"/>
      <c r="AF7202" s="33"/>
      <c r="AG7202" s="33"/>
      <c r="AH7202" s="33"/>
      <c r="AI7202" s="33"/>
      <c r="AJ7202" s="33"/>
      <c r="AK7202" s="33"/>
    </row>
    <row r="7203">
      <c r="A7203" s="33"/>
      <c r="B7203" s="33"/>
      <c r="C7203" s="33"/>
      <c r="D7203" s="33"/>
      <c r="E7203" s="33"/>
      <c r="F7203" s="33"/>
      <c r="G7203" s="33"/>
      <c r="H7203" s="33"/>
      <c r="I7203" s="33"/>
      <c r="J7203" s="33"/>
      <c r="K7203" s="33"/>
      <c r="L7203" s="33"/>
      <c r="M7203" s="33"/>
      <c r="N7203" s="33"/>
      <c r="O7203" s="33"/>
      <c r="P7203" s="33"/>
      <c r="Q7203" s="33"/>
      <c r="R7203" s="33"/>
      <c r="S7203" s="33"/>
      <c r="T7203" s="33"/>
      <c r="U7203" s="33"/>
      <c r="V7203" s="33"/>
      <c r="W7203" s="33"/>
      <c r="X7203" s="33"/>
      <c r="Y7203" s="33"/>
      <c r="Z7203" s="33"/>
      <c r="AA7203" s="33"/>
      <c r="AB7203" s="33"/>
      <c r="AC7203" s="33"/>
      <c r="AD7203" s="33"/>
      <c r="AE7203" s="33"/>
      <c r="AF7203" s="33"/>
      <c r="AG7203" s="33"/>
      <c r="AH7203" s="33"/>
      <c r="AI7203" s="33"/>
      <c r="AJ7203" s="33"/>
      <c r="AK7203" s="33"/>
    </row>
    <row r="7204">
      <c r="A7204" s="33"/>
      <c r="B7204" s="33"/>
      <c r="C7204" s="33"/>
      <c r="D7204" s="33"/>
      <c r="E7204" s="33"/>
      <c r="F7204" s="33"/>
      <c r="G7204" s="33"/>
      <c r="H7204" s="33"/>
      <c r="I7204" s="33"/>
      <c r="J7204" s="33"/>
      <c r="K7204" s="33"/>
      <c r="L7204" s="33"/>
      <c r="M7204" s="33"/>
      <c r="N7204" s="33"/>
      <c r="O7204" s="33"/>
      <c r="P7204" s="33"/>
      <c r="Q7204" s="33"/>
      <c r="R7204" s="33"/>
      <c r="S7204" s="33"/>
      <c r="T7204" s="33"/>
      <c r="U7204" s="33"/>
      <c r="V7204" s="33"/>
      <c r="W7204" s="33"/>
      <c r="X7204" s="33"/>
      <c r="Y7204" s="33"/>
      <c r="Z7204" s="33"/>
      <c r="AA7204" s="33"/>
      <c r="AB7204" s="33"/>
      <c r="AC7204" s="33"/>
      <c r="AD7204" s="33"/>
      <c r="AE7204" s="33"/>
      <c r="AF7204" s="33"/>
      <c r="AG7204" s="33"/>
      <c r="AH7204" s="33"/>
      <c r="AI7204" s="33"/>
      <c r="AJ7204" s="33"/>
      <c r="AK7204" s="33"/>
    </row>
    <row r="7205">
      <c r="A7205" s="33"/>
      <c r="B7205" s="33"/>
      <c r="C7205" s="33"/>
      <c r="D7205" s="33"/>
      <c r="E7205" s="33"/>
      <c r="F7205" s="33"/>
      <c r="G7205" s="33"/>
      <c r="H7205" s="33"/>
      <c r="I7205" s="33"/>
      <c r="J7205" s="33"/>
      <c r="K7205" s="33"/>
      <c r="L7205" s="33"/>
      <c r="M7205" s="33"/>
      <c r="N7205" s="33"/>
      <c r="O7205" s="33"/>
      <c r="P7205" s="33"/>
      <c r="Q7205" s="33"/>
      <c r="R7205" s="33"/>
      <c r="S7205" s="33"/>
      <c r="T7205" s="33"/>
      <c r="U7205" s="33"/>
      <c r="V7205" s="33"/>
      <c r="W7205" s="33"/>
      <c r="X7205" s="33"/>
      <c r="Y7205" s="33"/>
      <c r="Z7205" s="33"/>
      <c r="AA7205" s="33"/>
      <c r="AB7205" s="33"/>
      <c r="AC7205" s="33"/>
      <c r="AD7205" s="33"/>
      <c r="AE7205" s="33"/>
      <c r="AF7205" s="33"/>
      <c r="AG7205" s="33"/>
      <c r="AH7205" s="33"/>
      <c r="AI7205" s="33"/>
      <c r="AJ7205" s="33"/>
      <c r="AK7205" s="33"/>
    </row>
    <row r="7206">
      <c r="A7206" s="33"/>
      <c r="B7206" s="33"/>
      <c r="C7206" s="33"/>
      <c r="D7206" s="33"/>
      <c r="E7206" s="33"/>
      <c r="F7206" s="33"/>
      <c r="G7206" s="33"/>
      <c r="H7206" s="33"/>
      <c r="I7206" s="33"/>
      <c r="J7206" s="33"/>
      <c r="K7206" s="33"/>
      <c r="L7206" s="33"/>
      <c r="M7206" s="33"/>
      <c r="N7206" s="33"/>
      <c r="O7206" s="33"/>
      <c r="P7206" s="33"/>
      <c r="Q7206" s="33"/>
      <c r="R7206" s="33"/>
      <c r="S7206" s="33"/>
      <c r="T7206" s="33"/>
      <c r="U7206" s="33"/>
      <c r="V7206" s="33"/>
      <c r="W7206" s="33"/>
      <c r="X7206" s="33"/>
      <c r="Y7206" s="33"/>
      <c r="Z7206" s="33"/>
      <c r="AA7206" s="33"/>
      <c r="AB7206" s="33"/>
      <c r="AC7206" s="33"/>
      <c r="AD7206" s="33"/>
      <c r="AE7206" s="33"/>
      <c r="AF7206" s="33"/>
      <c r="AG7206" s="33"/>
      <c r="AH7206" s="33"/>
      <c r="AI7206" s="33"/>
      <c r="AJ7206" s="33"/>
      <c r="AK7206" s="33"/>
    </row>
    <row r="7207">
      <c r="A7207" s="33"/>
      <c r="B7207" s="33"/>
      <c r="C7207" s="33"/>
      <c r="D7207" s="33"/>
      <c r="E7207" s="33"/>
      <c r="F7207" s="33"/>
      <c r="G7207" s="33"/>
      <c r="H7207" s="33"/>
      <c r="I7207" s="33"/>
      <c r="J7207" s="33"/>
      <c r="K7207" s="33"/>
      <c r="L7207" s="33"/>
      <c r="M7207" s="33"/>
      <c r="N7207" s="33"/>
      <c r="O7207" s="33"/>
      <c r="P7207" s="33"/>
      <c r="Q7207" s="33"/>
      <c r="R7207" s="33"/>
      <c r="S7207" s="33"/>
      <c r="T7207" s="33"/>
      <c r="U7207" s="33"/>
      <c r="V7207" s="33"/>
      <c r="W7207" s="33"/>
      <c r="X7207" s="33"/>
      <c r="Y7207" s="33"/>
      <c r="Z7207" s="33"/>
      <c r="AA7207" s="33"/>
      <c r="AB7207" s="33"/>
      <c r="AC7207" s="33"/>
      <c r="AD7207" s="33"/>
      <c r="AE7207" s="33"/>
      <c r="AF7207" s="33"/>
      <c r="AG7207" s="33"/>
      <c r="AH7207" s="33"/>
      <c r="AI7207" s="33"/>
      <c r="AJ7207" s="33"/>
      <c r="AK7207" s="33"/>
    </row>
    <row r="7208">
      <c r="A7208" s="33"/>
      <c r="B7208" s="33"/>
      <c r="C7208" s="33"/>
      <c r="D7208" s="33"/>
      <c r="E7208" s="33"/>
      <c r="F7208" s="33"/>
      <c r="G7208" s="33"/>
      <c r="H7208" s="33"/>
      <c r="I7208" s="33"/>
      <c r="J7208" s="33"/>
      <c r="K7208" s="33"/>
      <c r="L7208" s="33"/>
      <c r="M7208" s="33"/>
      <c r="N7208" s="33"/>
      <c r="O7208" s="33"/>
      <c r="P7208" s="33"/>
      <c r="Q7208" s="33"/>
      <c r="R7208" s="33"/>
      <c r="S7208" s="33"/>
      <c r="T7208" s="33"/>
      <c r="U7208" s="33"/>
      <c r="V7208" s="33"/>
      <c r="W7208" s="33"/>
      <c r="X7208" s="33"/>
      <c r="Y7208" s="33"/>
      <c r="Z7208" s="33"/>
      <c r="AA7208" s="33"/>
      <c r="AB7208" s="33"/>
      <c r="AC7208" s="33"/>
      <c r="AD7208" s="33"/>
      <c r="AE7208" s="33"/>
      <c r="AF7208" s="33"/>
      <c r="AG7208" s="33"/>
      <c r="AH7208" s="33"/>
      <c r="AI7208" s="33"/>
      <c r="AJ7208" s="33"/>
      <c r="AK7208" s="33"/>
    </row>
    <row r="7209">
      <c r="A7209" s="33"/>
      <c r="B7209" s="33"/>
      <c r="C7209" s="33"/>
      <c r="D7209" s="33"/>
      <c r="E7209" s="33"/>
      <c r="F7209" s="33"/>
      <c r="G7209" s="33"/>
      <c r="H7209" s="33"/>
      <c r="I7209" s="33"/>
      <c r="J7209" s="33"/>
      <c r="K7209" s="33"/>
      <c r="L7209" s="33"/>
      <c r="M7209" s="33"/>
      <c r="N7209" s="33"/>
      <c r="O7209" s="33"/>
      <c r="P7209" s="33"/>
      <c r="Q7209" s="33"/>
      <c r="R7209" s="33"/>
      <c r="S7209" s="33"/>
      <c r="T7209" s="33"/>
      <c r="U7209" s="33"/>
      <c r="V7209" s="33"/>
      <c r="W7209" s="33"/>
      <c r="X7209" s="33"/>
      <c r="Y7209" s="33"/>
      <c r="Z7209" s="33"/>
      <c r="AA7209" s="33"/>
      <c r="AB7209" s="33"/>
      <c r="AC7209" s="33"/>
      <c r="AD7209" s="33"/>
      <c r="AE7209" s="33"/>
      <c r="AF7209" s="33"/>
      <c r="AG7209" s="33"/>
      <c r="AH7209" s="33"/>
      <c r="AI7209" s="33"/>
      <c r="AJ7209" s="33"/>
      <c r="AK7209" s="33"/>
    </row>
    <row r="7210">
      <c r="A7210" s="33"/>
      <c r="B7210" s="33"/>
      <c r="C7210" s="33"/>
      <c r="D7210" s="33"/>
      <c r="E7210" s="33"/>
      <c r="F7210" s="33"/>
      <c r="G7210" s="33"/>
      <c r="H7210" s="33"/>
      <c r="I7210" s="33"/>
      <c r="J7210" s="33"/>
      <c r="K7210" s="33"/>
      <c r="L7210" s="33"/>
      <c r="M7210" s="33"/>
      <c r="N7210" s="33"/>
      <c r="O7210" s="33"/>
      <c r="P7210" s="33"/>
      <c r="Q7210" s="33"/>
      <c r="R7210" s="33"/>
      <c r="S7210" s="33"/>
      <c r="T7210" s="33"/>
      <c r="U7210" s="33"/>
      <c r="V7210" s="33"/>
      <c r="W7210" s="33"/>
      <c r="X7210" s="33"/>
      <c r="Y7210" s="33"/>
      <c r="Z7210" s="33"/>
      <c r="AA7210" s="33"/>
      <c r="AB7210" s="33"/>
      <c r="AC7210" s="33"/>
      <c r="AD7210" s="33"/>
      <c r="AE7210" s="33"/>
      <c r="AF7210" s="33"/>
      <c r="AG7210" s="33"/>
      <c r="AH7210" s="33"/>
      <c r="AI7210" s="33"/>
      <c r="AJ7210" s="33"/>
      <c r="AK7210" s="33"/>
    </row>
    <row r="7211">
      <c r="A7211" s="33"/>
      <c r="B7211" s="33"/>
      <c r="C7211" s="33"/>
      <c r="D7211" s="33"/>
      <c r="E7211" s="33"/>
      <c r="F7211" s="33"/>
      <c r="G7211" s="33"/>
      <c r="H7211" s="33"/>
      <c r="I7211" s="33"/>
      <c r="J7211" s="33"/>
      <c r="K7211" s="33"/>
      <c r="L7211" s="33"/>
      <c r="M7211" s="33"/>
      <c r="N7211" s="33"/>
      <c r="O7211" s="33"/>
      <c r="P7211" s="33"/>
      <c r="Q7211" s="33"/>
      <c r="R7211" s="33"/>
      <c r="S7211" s="33"/>
      <c r="T7211" s="33"/>
      <c r="U7211" s="33"/>
      <c r="V7211" s="33"/>
      <c r="W7211" s="33"/>
      <c r="X7211" s="33"/>
      <c r="Y7211" s="33"/>
      <c r="Z7211" s="33"/>
      <c r="AA7211" s="33"/>
      <c r="AB7211" s="33"/>
      <c r="AC7211" s="33"/>
      <c r="AD7211" s="33"/>
      <c r="AE7211" s="33"/>
      <c r="AF7211" s="33"/>
      <c r="AG7211" s="33"/>
      <c r="AH7211" s="33"/>
      <c r="AI7211" s="33"/>
      <c r="AJ7211" s="33"/>
      <c r="AK7211" s="33"/>
    </row>
    <row r="7212">
      <c r="A7212" s="33"/>
      <c r="B7212" s="33"/>
      <c r="C7212" s="33"/>
      <c r="D7212" s="33"/>
      <c r="E7212" s="33"/>
      <c r="F7212" s="33"/>
      <c r="G7212" s="33"/>
      <c r="H7212" s="33"/>
      <c r="I7212" s="33"/>
      <c r="J7212" s="33"/>
      <c r="K7212" s="33"/>
      <c r="L7212" s="33"/>
      <c r="M7212" s="33"/>
      <c r="N7212" s="33"/>
      <c r="O7212" s="33"/>
      <c r="P7212" s="33"/>
      <c r="Q7212" s="33"/>
      <c r="R7212" s="33"/>
      <c r="S7212" s="33"/>
      <c r="T7212" s="33"/>
      <c r="U7212" s="33"/>
      <c r="V7212" s="33"/>
      <c r="W7212" s="33"/>
      <c r="X7212" s="33"/>
      <c r="Y7212" s="33"/>
      <c r="Z7212" s="33"/>
      <c r="AA7212" s="33"/>
      <c r="AB7212" s="33"/>
      <c r="AC7212" s="33"/>
      <c r="AD7212" s="33"/>
      <c r="AE7212" s="33"/>
      <c r="AF7212" s="33"/>
      <c r="AG7212" s="33"/>
      <c r="AH7212" s="33"/>
      <c r="AI7212" s="33"/>
      <c r="AJ7212" s="33"/>
      <c r="AK7212" s="33"/>
    </row>
    <row r="7213">
      <c r="A7213" s="33"/>
      <c r="B7213" s="33"/>
      <c r="C7213" s="33"/>
      <c r="D7213" s="33"/>
      <c r="E7213" s="33"/>
      <c r="F7213" s="33"/>
      <c r="G7213" s="33"/>
      <c r="H7213" s="33"/>
      <c r="I7213" s="33"/>
      <c r="J7213" s="33"/>
      <c r="K7213" s="33"/>
      <c r="L7213" s="33"/>
      <c r="M7213" s="33"/>
      <c r="N7213" s="33"/>
      <c r="O7213" s="33"/>
      <c r="P7213" s="33"/>
      <c r="Q7213" s="33"/>
      <c r="R7213" s="33"/>
      <c r="S7213" s="33"/>
      <c r="T7213" s="33"/>
      <c r="U7213" s="33"/>
      <c r="V7213" s="33"/>
      <c r="W7213" s="33"/>
      <c r="X7213" s="33"/>
      <c r="Y7213" s="33"/>
      <c r="Z7213" s="33"/>
      <c r="AA7213" s="33"/>
      <c r="AB7213" s="33"/>
      <c r="AC7213" s="33"/>
      <c r="AD7213" s="33"/>
      <c r="AE7213" s="33"/>
      <c r="AF7213" s="33"/>
      <c r="AG7213" s="33"/>
      <c r="AH7213" s="33"/>
      <c r="AI7213" s="33"/>
      <c r="AJ7213" s="33"/>
      <c r="AK7213" s="33"/>
    </row>
    <row r="7214">
      <c r="A7214" s="33"/>
      <c r="B7214" s="33"/>
      <c r="C7214" s="33"/>
      <c r="D7214" s="33"/>
      <c r="E7214" s="33"/>
      <c r="F7214" s="33"/>
      <c r="G7214" s="33"/>
      <c r="H7214" s="33"/>
      <c r="I7214" s="33"/>
      <c r="J7214" s="33"/>
      <c r="K7214" s="33"/>
      <c r="L7214" s="33"/>
      <c r="M7214" s="33"/>
      <c r="N7214" s="33"/>
      <c r="O7214" s="33"/>
      <c r="P7214" s="33"/>
      <c r="Q7214" s="33"/>
      <c r="R7214" s="33"/>
      <c r="S7214" s="33"/>
      <c r="T7214" s="33"/>
      <c r="U7214" s="33"/>
      <c r="V7214" s="33"/>
      <c r="W7214" s="33"/>
      <c r="X7214" s="33"/>
      <c r="Y7214" s="33"/>
      <c r="Z7214" s="33"/>
      <c r="AA7214" s="33"/>
      <c r="AB7214" s="33"/>
      <c r="AC7214" s="33"/>
      <c r="AD7214" s="33"/>
      <c r="AE7214" s="33"/>
      <c r="AF7214" s="33"/>
      <c r="AG7214" s="33"/>
      <c r="AH7214" s="33"/>
      <c r="AI7214" s="33"/>
      <c r="AJ7214" s="33"/>
      <c r="AK7214" s="33"/>
    </row>
    <row r="7215">
      <c r="A7215" s="33"/>
      <c r="B7215" s="33"/>
      <c r="C7215" s="33"/>
      <c r="D7215" s="33"/>
      <c r="E7215" s="33"/>
      <c r="F7215" s="33"/>
      <c r="G7215" s="33"/>
      <c r="H7215" s="33"/>
      <c r="I7215" s="33"/>
      <c r="J7215" s="33"/>
      <c r="K7215" s="33"/>
      <c r="L7215" s="33"/>
      <c r="M7215" s="33"/>
      <c r="N7215" s="33"/>
      <c r="O7215" s="33"/>
      <c r="P7215" s="33"/>
      <c r="Q7215" s="33"/>
      <c r="R7215" s="33"/>
      <c r="S7215" s="33"/>
      <c r="T7215" s="33"/>
      <c r="U7215" s="33"/>
      <c r="V7215" s="33"/>
      <c r="W7215" s="33"/>
      <c r="X7215" s="33"/>
      <c r="Y7215" s="33"/>
      <c r="Z7215" s="33"/>
      <c r="AA7215" s="33"/>
      <c r="AB7215" s="33"/>
      <c r="AC7215" s="33"/>
      <c r="AD7215" s="33"/>
      <c r="AE7215" s="33"/>
      <c r="AF7215" s="33"/>
      <c r="AG7215" s="33"/>
      <c r="AH7215" s="33"/>
      <c r="AI7215" s="33"/>
      <c r="AJ7215" s="33"/>
      <c r="AK7215" s="33"/>
    </row>
    <row r="7216">
      <c r="A7216" s="33"/>
      <c r="B7216" s="33"/>
      <c r="C7216" s="33"/>
      <c r="D7216" s="33"/>
      <c r="E7216" s="33"/>
      <c r="F7216" s="33"/>
      <c r="G7216" s="33"/>
      <c r="H7216" s="33"/>
      <c r="I7216" s="33"/>
      <c r="J7216" s="33"/>
      <c r="K7216" s="33"/>
      <c r="L7216" s="33"/>
      <c r="M7216" s="33"/>
      <c r="N7216" s="33"/>
      <c r="O7216" s="33"/>
      <c r="P7216" s="33"/>
      <c r="Q7216" s="33"/>
      <c r="R7216" s="33"/>
      <c r="S7216" s="33"/>
      <c r="T7216" s="33"/>
      <c r="U7216" s="33"/>
      <c r="V7216" s="33"/>
      <c r="W7216" s="33"/>
      <c r="X7216" s="33"/>
      <c r="Y7216" s="33"/>
      <c r="Z7216" s="33"/>
      <c r="AA7216" s="33"/>
      <c r="AB7216" s="33"/>
      <c r="AC7216" s="33"/>
      <c r="AD7216" s="33"/>
      <c r="AE7216" s="33"/>
      <c r="AF7216" s="33"/>
      <c r="AG7216" s="33"/>
      <c r="AH7216" s="33"/>
      <c r="AI7216" s="33"/>
      <c r="AJ7216" s="33"/>
      <c r="AK7216" s="33"/>
    </row>
    <row r="7217">
      <c r="A7217" s="33"/>
      <c r="B7217" s="33"/>
      <c r="C7217" s="33"/>
      <c r="D7217" s="33"/>
      <c r="E7217" s="33"/>
      <c r="F7217" s="33"/>
      <c r="G7217" s="33"/>
      <c r="H7217" s="33"/>
      <c r="I7217" s="33"/>
      <c r="J7217" s="33"/>
      <c r="K7217" s="33"/>
      <c r="L7217" s="33"/>
      <c r="M7217" s="33"/>
      <c r="N7217" s="33"/>
      <c r="O7217" s="33"/>
      <c r="P7217" s="33"/>
      <c r="Q7217" s="33"/>
      <c r="R7217" s="33"/>
      <c r="S7217" s="33"/>
      <c r="T7217" s="33"/>
      <c r="U7217" s="33"/>
      <c r="V7217" s="33"/>
      <c r="W7217" s="33"/>
      <c r="X7217" s="33"/>
      <c r="Y7217" s="33"/>
      <c r="Z7217" s="33"/>
      <c r="AA7217" s="33"/>
      <c r="AB7217" s="33"/>
      <c r="AC7217" s="33"/>
      <c r="AD7217" s="33"/>
      <c r="AE7217" s="33"/>
      <c r="AF7217" s="33"/>
      <c r="AG7217" s="33"/>
      <c r="AH7217" s="33"/>
      <c r="AI7217" s="33"/>
      <c r="AJ7217" s="33"/>
      <c r="AK7217" s="33"/>
    </row>
    <row r="7218">
      <c r="A7218" s="33"/>
      <c r="B7218" s="33"/>
      <c r="C7218" s="33"/>
      <c r="D7218" s="33"/>
      <c r="E7218" s="33"/>
      <c r="F7218" s="33"/>
      <c r="G7218" s="33"/>
      <c r="H7218" s="33"/>
      <c r="I7218" s="33"/>
      <c r="J7218" s="33"/>
      <c r="K7218" s="33"/>
      <c r="L7218" s="33"/>
      <c r="M7218" s="33"/>
      <c r="N7218" s="33"/>
      <c r="O7218" s="33"/>
      <c r="P7218" s="33"/>
      <c r="Q7218" s="33"/>
      <c r="R7218" s="33"/>
      <c r="S7218" s="33"/>
      <c r="T7218" s="33"/>
      <c r="U7218" s="33"/>
      <c r="V7218" s="33"/>
      <c r="W7218" s="33"/>
      <c r="X7218" s="33"/>
      <c r="Y7218" s="33"/>
      <c r="Z7218" s="33"/>
      <c r="AA7218" s="33"/>
      <c r="AB7218" s="33"/>
      <c r="AC7218" s="33"/>
      <c r="AD7218" s="33"/>
      <c r="AE7218" s="33"/>
      <c r="AF7218" s="33"/>
      <c r="AG7218" s="33"/>
      <c r="AH7218" s="33"/>
      <c r="AI7218" s="33"/>
      <c r="AJ7218" s="33"/>
      <c r="AK7218" s="33"/>
    </row>
    <row r="7219">
      <c r="A7219" s="33"/>
      <c r="B7219" s="33"/>
      <c r="C7219" s="33"/>
      <c r="D7219" s="33"/>
      <c r="E7219" s="33"/>
      <c r="F7219" s="33"/>
      <c r="G7219" s="33"/>
      <c r="H7219" s="33"/>
      <c r="I7219" s="33"/>
      <c r="J7219" s="33"/>
      <c r="K7219" s="33"/>
      <c r="L7219" s="33"/>
      <c r="M7219" s="33"/>
      <c r="N7219" s="33"/>
      <c r="O7219" s="33"/>
      <c r="P7219" s="33"/>
      <c r="Q7219" s="33"/>
      <c r="R7219" s="33"/>
      <c r="S7219" s="33"/>
      <c r="T7219" s="33"/>
      <c r="U7219" s="33"/>
      <c r="V7219" s="33"/>
      <c r="W7219" s="33"/>
      <c r="X7219" s="33"/>
      <c r="Y7219" s="33"/>
      <c r="Z7219" s="33"/>
      <c r="AA7219" s="33"/>
      <c r="AB7219" s="33"/>
      <c r="AC7219" s="33"/>
      <c r="AD7219" s="33"/>
      <c r="AE7219" s="33"/>
      <c r="AF7219" s="33"/>
      <c r="AG7219" s="33"/>
      <c r="AH7219" s="33"/>
      <c r="AI7219" s="33"/>
      <c r="AJ7219" s="33"/>
      <c r="AK7219" s="33"/>
    </row>
    <row r="7220">
      <c r="A7220" s="33"/>
      <c r="B7220" s="33"/>
      <c r="C7220" s="33"/>
      <c r="D7220" s="33"/>
      <c r="E7220" s="33"/>
      <c r="F7220" s="33"/>
      <c r="G7220" s="33"/>
      <c r="H7220" s="33"/>
      <c r="I7220" s="33"/>
      <c r="J7220" s="33"/>
      <c r="K7220" s="33"/>
      <c r="L7220" s="33"/>
      <c r="M7220" s="33"/>
      <c r="N7220" s="33"/>
      <c r="O7220" s="33"/>
      <c r="P7220" s="33"/>
      <c r="Q7220" s="33"/>
      <c r="R7220" s="33"/>
      <c r="S7220" s="33"/>
      <c r="T7220" s="33"/>
      <c r="U7220" s="33"/>
      <c r="V7220" s="33"/>
      <c r="W7220" s="33"/>
      <c r="X7220" s="33"/>
      <c r="Y7220" s="33"/>
      <c r="Z7220" s="33"/>
      <c r="AA7220" s="33"/>
      <c r="AB7220" s="33"/>
      <c r="AC7220" s="33"/>
      <c r="AD7220" s="33"/>
      <c r="AE7220" s="33"/>
      <c r="AF7220" s="33"/>
      <c r="AG7220" s="33"/>
      <c r="AH7220" s="33"/>
      <c r="AI7220" s="33"/>
      <c r="AJ7220" s="33"/>
      <c r="AK7220" s="33"/>
    </row>
    <row r="7221">
      <c r="A7221" s="33"/>
      <c r="B7221" s="33"/>
      <c r="C7221" s="33"/>
      <c r="D7221" s="33"/>
      <c r="E7221" s="33"/>
      <c r="F7221" s="33"/>
      <c r="G7221" s="33"/>
      <c r="H7221" s="33"/>
      <c r="I7221" s="33"/>
      <c r="J7221" s="33"/>
      <c r="K7221" s="33"/>
      <c r="L7221" s="33"/>
      <c r="M7221" s="33"/>
      <c r="N7221" s="33"/>
      <c r="O7221" s="33"/>
      <c r="P7221" s="33"/>
      <c r="Q7221" s="33"/>
      <c r="R7221" s="33"/>
      <c r="S7221" s="33"/>
      <c r="T7221" s="33"/>
      <c r="U7221" s="33"/>
      <c r="V7221" s="33"/>
      <c r="W7221" s="33"/>
      <c r="X7221" s="33"/>
      <c r="Y7221" s="33"/>
      <c r="Z7221" s="33"/>
      <c r="AA7221" s="33"/>
      <c r="AB7221" s="33"/>
      <c r="AC7221" s="33"/>
      <c r="AD7221" s="33"/>
      <c r="AE7221" s="33"/>
      <c r="AF7221" s="33"/>
      <c r="AG7221" s="33"/>
      <c r="AH7221" s="33"/>
      <c r="AI7221" s="33"/>
      <c r="AJ7221" s="33"/>
      <c r="AK7221" s="33"/>
    </row>
    <row r="7222">
      <c r="A7222" s="33"/>
      <c r="B7222" s="33"/>
      <c r="C7222" s="33"/>
      <c r="D7222" s="33"/>
      <c r="E7222" s="33"/>
      <c r="F7222" s="33"/>
      <c r="G7222" s="33"/>
      <c r="H7222" s="33"/>
      <c r="I7222" s="33"/>
      <c r="J7222" s="33"/>
      <c r="K7222" s="33"/>
      <c r="L7222" s="33"/>
      <c r="M7222" s="33"/>
      <c r="N7222" s="33"/>
      <c r="O7222" s="33"/>
      <c r="P7222" s="33"/>
      <c r="Q7222" s="33"/>
      <c r="R7222" s="33"/>
      <c r="S7222" s="33"/>
      <c r="T7222" s="33"/>
      <c r="U7222" s="33"/>
      <c r="V7222" s="33"/>
      <c r="W7222" s="33"/>
      <c r="X7222" s="33"/>
      <c r="Y7222" s="33"/>
      <c r="Z7222" s="33"/>
      <c r="AA7222" s="33"/>
      <c r="AB7222" s="33"/>
      <c r="AC7222" s="33"/>
      <c r="AD7222" s="33"/>
      <c r="AE7222" s="33"/>
      <c r="AF7222" s="33"/>
      <c r="AG7222" s="33"/>
      <c r="AH7222" s="33"/>
      <c r="AI7222" s="33"/>
      <c r="AJ7222" s="33"/>
      <c r="AK7222" s="33"/>
    </row>
    <row r="7223">
      <c r="A7223" s="33"/>
      <c r="B7223" s="33"/>
      <c r="C7223" s="33"/>
      <c r="D7223" s="33"/>
      <c r="E7223" s="33"/>
      <c r="F7223" s="33"/>
      <c r="G7223" s="33"/>
      <c r="H7223" s="33"/>
      <c r="I7223" s="33"/>
      <c r="J7223" s="33"/>
      <c r="K7223" s="33"/>
      <c r="L7223" s="33"/>
      <c r="M7223" s="33"/>
      <c r="N7223" s="33"/>
      <c r="O7223" s="33"/>
      <c r="P7223" s="33"/>
      <c r="Q7223" s="33"/>
      <c r="R7223" s="33"/>
      <c r="S7223" s="33"/>
      <c r="T7223" s="33"/>
      <c r="U7223" s="33"/>
      <c r="V7223" s="33"/>
      <c r="W7223" s="33"/>
      <c r="X7223" s="33"/>
      <c r="Y7223" s="33"/>
      <c r="Z7223" s="33"/>
      <c r="AA7223" s="33"/>
      <c r="AB7223" s="33"/>
      <c r="AC7223" s="33"/>
      <c r="AD7223" s="33"/>
      <c r="AE7223" s="33"/>
      <c r="AF7223" s="33"/>
      <c r="AG7223" s="33"/>
      <c r="AH7223" s="33"/>
      <c r="AI7223" s="33"/>
      <c r="AJ7223" s="33"/>
      <c r="AK7223" s="33"/>
    </row>
    <row r="7224">
      <c r="A7224" s="33"/>
      <c r="B7224" s="33"/>
      <c r="C7224" s="33"/>
      <c r="D7224" s="33"/>
      <c r="E7224" s="33"/>
      <c r="F7224" s="33"/>
      <c r="G7224" s="33"/>
      <c r="H7224" s="33"/>
      <c r="I7224" s="33"/>
      <c r="J7224" s="33"/>
      <c r="K7224" s="33"/>
      <c r="L7224" s="33"/>
      <c r="M7224" s="33"/>
      <c r="N7224" s="33"/>
      <c r="O7224" s="33"/>
      <c r="P7224" s="33"/>
      <c r="Q7224" s="33"/>
      <c r="R7224" s="33"/>
      <c r="S7224" s="33"/>
      <c r="T7224" s="33"/>
      <c r="U7224" s="33"/>
      <c r="V7224" s="33"/>
      <c r="W7224" s="33"/>
      <c r="X7224" s="33"/>
      <c r="Y7224" s="33"/>
      <c r="Z7224" s="33"/>
      <c r="AA7224" s="33"/>
      <c r="AB7224" s="33"/>
      <c r="AC7224" s="33"/>
      <c r="AD7224" s="33"/>
      <c r="AE7224" s="33"/>
      <c r="AF7224" s="33"/>
      <c r="AG7224" s="33"/>
      <c r="AH7224" s="33"/>
      <c r="AI7224" s="33"/>
      <c r="AJ7224" s="33"/>
      <c r="AK7224" s="33"/>
    </row>
    <row r="7225">
      <c r="A7225" s="33"/>
      <c r="B7225" s="33"/>
      <c r="C7225" s="33"/>
      <c r="D7225" s="33"/>
      <c r="E7225" s="33"/>
      <c r="F7225" s="33"/>
      <c r="G7225" s="33"/>
      <c r="H7225" s="33"/>
      <c r="I7225" s="33"/>
      <c r="J7225" s="33"/>
      <c r="K7225" s="33"/>
      <c r="L7225" s="33"/>
      <c r="M7225" s="33"/>
      <c r="N7225" s="33"/>
      <c r="O7225" s="33"/>
      <c r="P7225" s="33"/>
      <c r="Q7225" s="33"/>
      <c r="R7225" s="33"/>
      <c r="S7225" s="33"/>
      <c r="T7225" s="33"/>
      <c r="U7225" s="33"/>
      <c r="V7225" s="33"/>
      <c r="W7225" s="33"/>
      <c r="X7225" s="33"/>
      <c r="Y7225" s="33"/>
      <c r="Z7225" s="33"/>
      <c r="AA7225" s="33"/>
      <c r="AB7225" s="33"/>
      <c r="AC7225" s="33"/>
      <c r="AD7225" s="33"/>
      <c r="AE7225" s="33"/>
      <c r="AF7225" s="33"/>
      <c r="AG7225" s="33"/>
      <c r="AH7225" s="33"/>
      <c r="AI7225" s="33"/>
      <c r="AJ7225" s="33"/>
      <c r="AK7225" s="33"/>
    </row>
    <row r="7226">
      <c r="A7226" s="33"/>
      <c r="B7226" s="33"/>
      <c r="C7226" s="33"/>
      <c r="D7226" s="33"/>
      <c r="E7226" s="33"/>
      <c r="F7226" s="33"/>
      <c r="G7226" s="33"/>
      <c r="H7226" s="33"/>
      <c r="I7226" s="33"/>
      <c r="J7226" s="33"/>
      <c r="K7226" s="33"/>
      <c r="L7226" s="33"/>
      <c r="M7226" s="33"/>
      <c r="N7226" s="33"/>
      <c r="O7226" s="33"/>
      <c r="P7226" s="33"/>
      <c r="Q7226" s="33"/>
      <c r="R7226" s="33"/>
      <c r="S7226" s="33"/>
      <c r="T7226" s="33"/>
      <c r="U7226" s="33"/>
      <c r="V7226" s="33"/>
      <c r="W7226" s="33"/>
      <c r="X7226" s="33"/>
      <c r="Y7226" s="33"/>
      <c r="Z7226" s="33"/>
      <c r="AA7226" s="33"/>
      <c r="AB7226" s="33"/>
      <c r="AC7226" s="33"/>
      <c r="AD7226" s="33"/>
      <c r="AE7226" s="33"/>
      <c r="AF7226" s="33"/>
      <c r="AG7226" s="33"/>
      <c r="AH7226" s="33"/>
      <c r="AI7226" s="33"/>
      <c r="AJ7226" s="33"/>
      <c r="AK7226" s="33"/>
    </row>
    <row r="7227">
      <c r="A7227" s="33"/>
      <c r="B7227" s="33"/>
      <c r="C7227" s="33"/>
      <c r="D7227" s="33"/>
      <c r="E7227" s="33"/>
      <c r="F7227" s="33"/>
      <c r="G7227" s="33"/>
      <c r="H7227" s="33"/>
      <c r="I7227" s="33"/>
      <c r="J7227" s="33"/>
      <c r="K7227" s="33"/>
      <c r="L7227" s="33"/>
      <c r="M7227" s="33"/>
      <c r="N7227" s="33"/>
      <c r="O7227" s="33"/>
      <c r="P7227" s="33"/>
      <c r="Q7227" s="33"/>
      <c r="R7227" s="33"/>
      <c r="S7227" s="33"/>
      <c r="T7227" s="33"/>
      <c r="U7227" s="33"/>
      <c r="V7227" s="33"/>
      <c r="W7227" s="33"/>
      <c r="X7227" s="33"/>
      <c r="Y7227" s="33"/>
      <c r="Z7227" s="33"/>
      <c r="AA7227" s="33"/>
      <c r="AB7227" s="33"/>
      <c r="AC7227" s="33"/>
      <c r="AD7227" s="33"/>
      <c r="AE7227" s="33"/>
      <c r="AF7227" s="33"/>
      <c r="AG7227" s="33"/>
      <c r="AH7227" s="33"/>
      <c r="AI7227" s="33"/>
      <c r="AJ7227" s="33"/>
      <c r="AK7227" s="33"/>
    </row>
    <row r="7228">
      <c r="A7228" s="33"/>
      <c r="B7228" s="33"/>
      <c r="C7228" s="33"/>
      <c r="D7228" s="33"/>
      <c r="E7228" s="33"/>
      <c r="F7228" s="33"/>
      <c r="G7228" s="33"/>
      <c r="H7228" s="33"/>
      <c r="I7228" s="33"/>
      <c r="J7228" s="33"/>
      <c r="K7228" s="33"/>
      <c r="L7228" s="33"/>
      <c r="M7228" s="33"/>
      <c r="N7228" s="33"/>
      <c r="O7228" s="33"/>
      <c r="P7228" s="33"/>
      <c r="Q7228" s="33"/>
      <c r="R7228" s="33"/>
      <c r="S7228" s="33"/>
      <c r="T7228" s="33"/>
      <c r="U7228" s="33"/>
      <c r="V7228" s="33"/>
      <c r="W7228" s="33"/>
      <c r="X7228" s="33"/>
      <c r="Y7228" s="33"/>
      <c r="Z7228" s="33"/>
      <c r="AA7228" s="33"/>
      <c r="AB7228" s="33"/>
      <c r="AC7228" s="33"/>
      <c r="AD7228" s="33"/>
      <c r="AE7228" s="33"/>
      <c r="AF7228" s="33"/>
      <c r="AG7228" s="33"/>
      <c r="AH7228" s="33"/>
      <c r="AI7228" s="33"/>
      <c r="AJ7228" s="33"/>
      <c r="AK7228" s="33"/>
    </row>
    <row r="7229">
      <c r="A7229" s="33"/>
      <c r="B7229" s="33"/>
      <c r="C7229" s="33"/>
      <c r="D7229" s="33"/>
      <c r="E7229" s="33"/>
      <c r="F7229" s="33"/>
      <c r="G7229" s="33"/>
      <c r="H7229" s="33"/>
      <c r="I7229" s="33"/>
      <c r="J7229" s="33"/>
      <c r="K7229" s="33"/>
      <c r="L7229" s="33"/>
      <c r="M7229" s="33"/>
      <c r="N7229" s="33"/>
      <c r="O7229" s="33"/>
      <c r="P7229" s="33"/>
      <c r="Q7229" s="33"/>
      <c r="R7229" s="33"/>
      <c r="S7229" s="33"/>
      <c r="T7229" s="33"/>
      <c r="U7229" s="33"/>
      <c r="V7229" s="33"/>
      <c r="W7229" s="33"/>
      <c r="X7229" s="33"/>
      <c r="Y7229" s="33"/>
      <c r="Z7229" s="33"/>
      <c r="AA7229" s="33"/>
      <c r="AB7229" s="33"/>
      <c r="AC7229" s="33"/>
      <c r="AD7229" s="33"/>
      <c r="AE7229" s="33"/>
      <c r="AF7229" s="33"/>
      <c r="AG7229" s="33"/>
      <c r="AH7229" s="33"/>
      <c r="AI7229" s="33"/>
      <c r="AJ7229" s="33"/>
      <c r="AK7229" s="33"/>
    </row>
    <row r="7230">
      <c r="A7230" s="33"/>
      <c r="B7230" s="33"/>
      <c r="C7230" s="33"/>
      <c r="D7230" s="33"/>
      <c r="E7230" s="33"/>
      <c r="F7230" s="33"/>
      <c r="G7230" s="33"/>
      <c r="H7230" s="33"/>
      <c r="I7230" s="33"/>
      <c r="J7230" s="33"/>
      <c r="K7230" s="33"/>
      <c r="L7230" s="33"/>
      <c r="M7230" s="33"/>
      <c r="N7230" s="33"/>
      <c r="O7230" s="33"/>
      <c r="P7230" s="33"/>
      <c r="Q7230" s="33"/>
      <c r="R7230" s="33"/>
      <c r="S7230" s="33"/>
      <c r="T7230" s="33"/>
      <c r="U7230" s="33"/>
      <c r="V7230" s="33"/>
      <c r="W7230" s="33"/>
      <c r="X7230" s="33"/>
      <c r="Y7230" s="33"/>
      <c r="Z7230" s="33"/>
      <c r="AA7230" s="33"/>
      <c r="AB7230" s="33"/>
      <c r="AC7230" s="33"/>
      <c r="AD7230" s="33"/>
      <c r="AE7230" s="33"/>
      <c r="AF7230" s="33"/>
      <c r="AG7230" s="33"/>
      <c r="AH7230" s="33"/>
      <c r="AI7230" s="33"/>
      <c r="AJ7230" s="33"/>
      <c r="AK7230" s="33"/>
    </row>
    <row r="7231">
      <c r="A7231" s="33"/>
      <c r="B7231" s="33"/>
      <c r="C7231" s="33"/>
      <c r="D7231" s="33"/>
      <c r="E7231" s="33"/>
      <c r="F7231" s="33"/>
      <c r="G7231" s="33"/>
      <c r="H7231" s="33"/>
      <c r="I7231" s="33"/>
      <c r="J7231" s="33"/>
      <c r="K7231" s="33"/>
      <c r="L7231" s="33"/>
      <c r="M7231" s="33"/>
      <c r="N7231" s="33"/>
      <c r="O7231" s="33"/>
      <c r="P7231" s="33"/>
      <c r="Q7231" s="33"/>
      <c r="R7231" s="33"/>
      <c r="S7231" s="33"/>
      <c r="T7231" s="33"/>
      <c r="U7231" s="33"/>
      <c r="V7231" s="33"/>
      <c r="W7231" s="33"/>
      <c r="X7231" s="33"/>
      <c r="Y7231" s="33"/>
      <c r="Z7231" s="33"/>
      <c r="AA7231" s="33"/>
      <c r="AB7231" s="33"/>
      <c r="AC7231" s="33"/>
      <c r="AD7231" s="33"/>
      <c r="AE7231" s="33"/>
      <c r="AF7231" s="33"/>
      <c r="AG7231" s="33"/>
      <c r="AH7231" s="33"/>
      <c r="AI7231" s="33"/>
      <c r="AJ7231" s="33"/>
      <c r="AK7231" s="33"/>
    </row>
    <row r="7232">
      <c r="A7232" s="33"/>
      <c r="B7232" s="33"/>
      <c r="C7232" s="33"/>
      <c r="D7232" s="33"/>
      <c r="E7232" s="33"/>
      <c r="F7232" s="33"/>
      <c r="G7232" s="33"/>
      <c r="H7232" s="33"/>
      <c r="I7232" s="33"/>
      <c r="J7232" s="33"/>
      <c r="K7232" s="33"/>
      <c r="L7232" s="33"/>
      <c r="M7232" s="33"/>
      <c r="N7232" s="33"/>
      <c r="O7232" s="33"/>
      <c r="P7232" s="33"/>
      <c r="Q7232" s="33"/>
      <c r="R7232" s="33"/>
      <c r="S7232" s="33"/>
      <c r="T7232" s="33"/>
      <c r="U7232" s="33"/>
      <c r="V7232" s="33"/>
      <c r="W7232" s="33"/>
      <c r="X7232" s="33"/>
      <c r="Y7232" s="33"/>
      <c r="Z7232" s="33"/>
      <c r="AA7232" s="33"/>
      <c r="AB7232" s="33"/>
      <c r="AC7232" s="33"/>
      <c r="AD7232" s="33"/>
      <c r="AE7232" s="33"/>
      <c r="AF7232" s="33"/>
      <c r="AG7232" s="33"/>
      <c r="AH7232" s="33"/>
      <c r="AI7232" s="33"/>
      <c r="AJ7232" s="33"/>
      <c r="AK7232" s="33"/>
    </row>
    <row r="7233">
      <c r="A7233" s="33"/>
      <c r="B7233" s="33"/>
      <c r="C7233" s="33"/>
      <c r="D7233" s="33"/>
      <c r="E7233" s="33"/>
      <c r="F7233" s="33"/>
      <c r="G7233" s="33"/>
      <c r="H7233" s="33"/>
      <c r="I7233" s="33"/>
      <c r="J7233" s="33"/>
      <c r="K7233" s="33"/>
      <c r="L7233" s="33"/>
      <c r="M7233" s="33"/>
      <c r="N7233" s="33"/>
      <c r="O7233" s="33"/>
      <c r="P7233" s="33"/>
      <c r="Q7233" s="33"/>
      <c r="R7233" s="33"/>
      <c r="S7233" s="33"/>
      <c r="T7233" s="33"/>
      <c r="U7233" s="33"/>
      <c r="V7233" s="33"/>
      <c r="W7233" s="33"/>
      <c r="X7233" s="33"/>
      <c r="Y7233" s="33"/>
      <c r="Z7233" s="33"/>
      <c r="AA7233" s="33"/>
      <c r="AB7233" s="33"/>
      <c r="AC7233" s="33"/>
      <c r="AD7233" s="33"/>
      <c r="AE7233" s="33"/>
      <c r="AF7233" s="33"/>
      <c r="AG7233" s="33"/>
      <c r="AH7233" s="33"/>
      <c r="AI7233" s="33"/>
      <c r="AJ7233" s="33"/>
      <c r="AK7233" s="33"/>
    </row>
    <row r="7234">
      <c r="A7234" s="33"/>
      <c r="B7234" s="33"/>
      <c r="C7234" s="33"/>
      <c r="D7234" s="33"/>
      <c r="E7234" s="33"/>
      <c r="F7234" s="33"/>
      <c r="G7234" s="33"/>
      <c r="H7234" s="33"/>
      <c r="I7234" s="33"/>
      <c r="J7234" s="33"/>
      <c r="K7234" s="33"/>
      <c r="L7234" s="33"/>
      <c r="M7234" s="33"/>
      <c r="N7234" s="33"/>
      <c r="O7234" s="33"/>
      <c r="P7234" s="33"/>
      <c r="Q7234" s="33"/>
      <c r="R7234" s="33"/>
      <c r="S7234" s="33"/>
      <c r="T7234" s="33"/>
      <c r="U7234" s="33"/>
      <c r="V7234" s="33"/>
      <c r="W7234" s="33"/>
      <c r="X7234" s="33"/>
      <c r="Y7234" s="33"/>
      <c r="Z7234" s="33"/>
      <c r="AA7234" s="33"/>
      <c r="AB7234" s="33"/>
      <c r="AC7234" s="33"/>
      <c r="AD7234" s="33"/>
      <c r="AE7234" s="33"/>
      <c r="AF7234" s="33"/>
      <c r="AG7234" s="33"/>
      <c r="AH7234" s="33"/>
      <c r="AI7234" s="33"/>
      <c r="AJ7234" s="33"/>
      <c r="AK7234" s="33"/>
    </row>
    <row r="7235">
      <c r="A7235" s="33"/>
      <c r="B7235" s="33"/>
      <c r="C7235" s="33"/>
      <c r="D7235" s="33"/>
      <c r="E7235" s="33"/>
      <c r="F7235" s="33"/>
      <c r="G7235" s="33"/>
      <c r="H7235" s="33"/>
      <c r="I7235" s="33"/>
      <c r="J7235" s="33"/>
      <c r="K7235" s="33"/>
      <c r="L7235" s="33"/>
      <c r="M7235" s="33"/>
      <c r="N7235" s="33"/>
      <c r="O7235" s="33"/>
      <c r="P7235" s="33"/>
      <c r="Q7235" s="33"/>
      <c r="R7235" s="33"/>
      <c r="S7235" s="33"/>
      <c r="T7235" s="33"/>
      <c r="U7235" s="33"/>
      <c r="V7235" s="33"/>
      <c r="W7235" s="33"/>
      <c r="X7235" s="33"/>
      <c r="Y7235" s="33"/>
      <c r="Z7235" s="33"/>
      <c r="AA7235" s="33"/>
      <c r="AB7235" s="33"/>
      <c r="AC7235" s="33"/>
      <c r="AD7235" s="33"/>
      <c r="AE7235" s="33"/>
      <c r="AF7235" s="33"/>
      <c r="AG7235" s="33"/>
      <c r="AH7235" s="33"/>
      <c r="AI7235" s="33"/>
      <c r="AJ7235" s="33"/>
      <c r="AK7235" s="33"/>
    </row>
    <row r="7236">
      <c r="A7236" s="33"/>
      <c r="B7236" s="33"/>
      <c r="C7236" s="33"/>
      <c r="D7236" s="33"/>
      <c r="E7236" s="33"/>
      <c r="F7236" s="33"/>
      <c r="G7236" s="33"/>
      <c r="H7236" s="33"/>
      <c r="I7236" s="33"/>
      <c r="J7236" s="33"/>
      <c r="K7236" s="33"/>
      <c r="L7236" s="33"/>
      <c r="M7236" s="33"/>
      <c r="N7236" s="33"/>
      <c r="O7236" s="33"/>
      <c r="P7236" s="33"/>
      <c r="Q7236" s="33"/>
      <c r="R7236" s="33"/>
      <c r="S7236" s="33"/>
      <c r="T7236" s="33"/>
      <c r="U7236" s="33"/>
      <c r="V7236" s="33"/>
      <c r="W7236" s="33"/>
      <c r="X7236" s="33"/>
      <c r="Y7236" s="33"/>
      <c r="Z7236" s="33"/>
      <c r="AA7236" s="33"/>
      <c r="AB7236" s="33"/>
      <c r="AC7236" s="33"/>
      <c r="AD7236" s="33"/>
      <c r="AE7236" s="33"/>
      <c r="AF7236" s="33"/>
      <c r="AG7236" s="33"/>
      <c r="AH7236" s="33"/>
      <c r="AI7236" s="33"/>
      <c r="AJ7236" s="33"/>
      <c r="AK7236" s="33"/>
    </row>
    <row r="7237">
      <c r="A7237" s="33"/>
      <c r="B7237" s="33"/>
      <c r="C7237" s="33"/>
      <c r="D7237" s="33"/>
      <c r="E7237" s="33"/>
      <c r="F7237" s="33"/>
      <c r="G7237" s="33"/>
      <c r="H7237" s="33"/>
      <c r="I7237" s="33"/>
      <c r="J7237" s="33"/>
      <c r="K7237" s="33"/>
      <c r="L7237" s="33"/>
      <c r="M7237" s="33"/>
      <c r="N7237" s="33"/>
      <c r="O7237" s="33"/>
      <c r="P7237" s="33"/>
      <c r="Q7237" s="33"/>
      <c r="R7237" s="33"/>
      <c r="S7237" s="33"/>
      <c r="T7237" s="33"/>
      <c r="U7237" s="33"/>
      <c r="V7237" s="33"/>
      <c r="W7237" s="33"/>
      <c r="X7237" s="33"/>
      <c r="Y7237" s="33"/>
      <c r="Z7237" s="33"/>
      <c r="AA7237" s="33"/>
      <c r="AB7237" s="33"/>
      <c r="AC7237" s="33"/>
      <c r="AD7237" s="33"/>
      <c r="AE7237" s="33"/>
      <c r="AF7237" s="33"/>
      <c r="AG7237" s="33"/>
      <c r="AH7237" s="33"/>
      <c r="AI7237" s="33"/>
      <c r="AJ7237" s="33"/>
      <c r="AK7237" s="33"/>
    </row>
    <row r="7238">
      <c r="A7238" s="33"/>
      <c r="B7238" s="33"/>
      <c r="C7238" s="33"/>
      <c r="D7238" s="33"/>
      <c r="E7238" s="33"/>
      <c r="F7238" s="33"/>
      <c r="G7238" s="33"/>
      <c r="H7238" s="33"/>
      <c r="I7238" s="33"/>
      <c r="J7238" s="33"/>
      <c r="K7238" s="33"/>
      <c r="L7238" s="33"/>
      <c r="M7238" s="33"/>
      <c r="N7238" s="33"/>
      <c r="O7238" s="33"/>
      <c r="P7238" s="33"/>
      <c r="Q7238" s="33"/>
      <c r="R7238" s="33"/>
      <c r="S7238" s="33"/>
      <c r="T7238" s="33"/>
      <c r="U7238" s="33"/>
      <c r="V7238" s="33"/>
      <c r="W7238" s="33"/>
      <c r="X7238" s="33"/>
      <c r="Y7238" s="33"/>
      <c r="Z7238" s="33"/>
      <c r="AA7238" s="33"/>
      <c r="AB7238" s="33"/>
      <c r="AC7238" s="33"/>
      <c r="AD7238" s="33"/>
      <c r="AE7238" s="33"/>
      <c r="AF7238" s="33"/>
      <c r="AG7238" s="33"/>
      <c r="AH7238" s="33"/>
      <c r="AI7238" s="33"/>
      <c r="AJ7238" s="33"/>
      <c r="AK7238" s="33"/>
    </row>
    <row r="7239">
      <c r="A7239" s="33"/>
      <c r="B7239" s="33"/>
      <c r="C7239" s="33"/>
      <c r="D7239" s="33"/>
      <c r="E7239" s="33"/>
      <c r="F7239" s="33"/>
      <c r="G7239" s="33"/>
      <c r="H7239" s="33"/>
      <c r="I7239" s="33"/>
      <c r="J7239" s="33"/>
      <c r="K7239" s="33"/>
      <c r="L7239" s="33"/>
      <c r="M7239" s="33"/>
      <c r="N7239" s="33"/>
      <c r="O7239" s="33"/>
      <c r="P7239" s="33"/>
      <c r="Q7239" s="33"/>
      <c r="R7239" s="33"/>
      <c r="S7239" s="33"/>
      <c r="T7239" s="33"/>
      <c r="U7239" s="33"/>
      <c r="V7239" s="33"/>
      <c r="W7239" s="33"/>
      <c r="X7239" s="33"/>
      <c r="Y7239" s="33"/>
      <c r="Z7239" s="33"/>
      <c r="AA7239" s="33"/>
      <c r="AB7239" s="33"/>
      <c r="AC7239" s="33"/>
      <c r="AD7239" s="33"/>
      <c r="AE7239" s="33"/>
      <c r="AF7239" s="33"/>
      <c r="AG7239" s="33"/>
      <c r="AH7239" s="33"/>
      <c r="AI7239" s="33"/>
      <c r="AJ7239" s="33"/>
      <c r="AK7239" s="33"/>
    </row>
    <row r="7240">
      <c r="A7240" s="33"/>
      <c r="B7240" s="33"/>
      <c r="C7240" s="33"/>
      <c r="D7240" s="33"/>
      <c r="E7240" s="33"/>
      <c r="F7240" s="33"/>
      <c r="G7240" s="33"/>
      <c r="H7240" s="33"/>
      <c r="I7240" s="33"/>
      <c r="J7240" s="33"/>
      <c r="K7240" s="33"/>
      <c r="L7240" s="33"/>
      <c r="M7240" s="33"/>
      <c r="N7240" s="33"/>
      <c r="O7240" s="33"/>
      <c r="P7240" s="33"/>
      <c r="Q7240" s="33"/>
      <c r="R7240" s="33"/>
      <c r="S7240" s="33"/>
      <c r="T7240" s="33"/>
      <c r="U7240" s="33"/>
      <c r="V7240" s="33"/>
      <c r="W7240" s="33"/>
      <c r="X7240" s="33"/>
      <c r="Y7240" s="33"/>
      <c r="Z7240" s="33"/>
      <c r="AA7240" s="33"/>
      <c r="AB7240" s="33"/>
      <c r="AC7240" s="33"/>
      <c r="AD7240" s="33"/>
      <c r="AE7240" s="33"/>
      <c r="AF7240" s="33"/>
      <c r="AG7240" s="33"/>
      <c r="AH7240" s="33"/>
      <c r="AI7240" s="33"/>
      <c r="AJ7240" s="33"/>
      <c r="AK7240" s="33"/>
    </row>
    <row r="7241">
      <c r="A7241" s="33"/>
      <c r="B7241" s="33"/>
      <c r="C7241" s="33"/>
      <c r="D7241" s="33"/>
      <c r="E7241" s="33"/>
      <c r="F7241" s="33"/>
      <c r="G7241" s="33"/>
      <c r="H7241" s="33"/>
      <c r="I7241" s="33"/>
      <c r="J7241" s="33"/>
      <c r="K7241" s="33"/>
      <c r="L7241" s="33"/>
      <c r="M7241" s="33"/>
      <c r="N7241" s="33"/>
      <c r="O7241" s="33"/>
      <c r="P7241" s="33"/>
      <c r="Q7241" s="33"/>
      <c r="R7241" s="33"/>
      <c r="S7241" s="33"/>
      <c r="T7241" s="33"/>
      <c r="U7241" s="33"/>
      <c r="V7241" s="33"/>
      <c r="W7241" s="33"/>
      <c r="X7241" s="33"/>
      <c r="Y7241" s="33"/>
      <c r="Z7241" s="33"/>
      <c r="AA7241" s="33"/>
      <c r="AB7241" s="33"/>
      <c r="AC7241" s="33"/>
      <c r="AD7241" s="33"/>
      <c r="AE7241" s="33"/>
      <c r="AF7241" s="33"/>
      <c r="AG7241" s="33"/>
      <c r="AH7241" s="33"/>
      <c r="AI7241" s="33"/>
      <c r="AJ7241" s="33"/>
      <c r="AK7241" s="33"/>
    </row>
    <row r="7242">
      <c r="A7242" s="33"/>
      <c r="B7242" s="33"/>
      <c r="C7242" s="33"/>
      <c r="D7242" s="33"/>
      <c r="E7242" s="33"/>
      <c r="F7242" s="33"/>
      <c r="G7242" s="33"/>
      <c r="H7242" s="33"/>
      <c r="I7242" s="33"/>
      <c r="J7242" s="33"/>
      <c r="K7242" s="33"/>
      <c r="L7242" s="33"/>
      <c r="M7242" s="33"/>
      <c r="N7242" s="33"/>
      <c r="O7242" s="33"/>
      <c r="P7242" s="33"/>
      <c r="Q7242" s="33"/>
      <c r="R7242" s="33"/>
      <c r="S7242" s="33"/>
      <c r="T7242" s="33"/>
      <c r="U7242" s="33"/>
      <c r="V7242" s="33"/>
      <c r="W7242" s="33"/>
      <c r="X7242" s="33"/>
      <c r="Y7242" s="33"/>
      <c r="Z7242" s="33"/>
      <c r="AA7242" s="33"/>
      <c r="AB7242" s="33"/>
      <c r="AC7242" s="33"/>
      <c r="AD7242" s="33"/>
      <c r="AE7242" s="33"/>
      <c r="AF7242" s="33"/>
      <c r="AG7242" s="33"/>
      <c r="AH7242" s="33"/>
      <c r="AI7242" s="33"/>
      <c r="AJ7242" s="33"/>
      <c r="AK7242" s="33"/>
    </row>
    <row r="7243">
      <c r="A7243" s="33"/>
      <c r="B7243" s="33"/>
      <c r="C7243" s="33"/>
      <c r="D7243" s="33"/>
      <c r="E7243" s="33"/>
      <c r="F7243" s="33"/>
      <c r="G7243" s="33"/>
      <c r="H7243" s="33"/>
      <c r="I7243" s="33"/>
      <c r="J7243" s="33"/>
      <c r="K7243" s="33"/>
      <c r="L7243" s="33"/>
      <c r="M7243" s="33"/>
      <c r="N7243" s="33"/>
      <c r="O7243" s="33"/>
      <c r="P7243" s="33"/>
      <c r="Q7243" s="33"/>
      <c r="R7243" s="33"/>
      <c r="S7243" s="33"/>
      <c r="T7243" s="33"/>
      <c r="U7243" s="33"/>
      <c r="V7243" s="33"/>
      <c r="W7243" s="33"/>
      <c r="X7243" s="33"/>
      <c r="Y7243" s="33"/>
      <c r="Z7243" s="33"/>
      <c r="AA7243" s="33"/>
      <c r="AB7243" s="33"/>
      <c r="AC7243" s="33"/>
      <c r="AD7243" s="33"/>
      <c r="AE7243" s="33"/>
      <c r="AF7243" s="33"/>
      <c r="AG7243" s="33"/>
      <c r="AH7243" s="33"/>
      <c r="AI7243" s="33"/>
      <c r="AJ7243" s="33"/>
      <c r="AK7243" s="33"/>
    </row>
    <row r="7244">
      <c r="A7244" s="33"/>
      <c r="B7244" s="33"/>
      <c r="C7244" s="33"/>
      <c r="D7244" s="33"/>
      <c r="E7244" s="33"/>
      <c r="F7244" s="33"/>
      <c r="G7244" s="33"/>
      <c r="H7244" s="33"/>
      <c r="I7244" s="33"/>
      <c r="J7244" s="33"/>
      <c r="K7244" s="33"/>
      <c r="L7244" s="33"/>
      <c r="M7244" s="33"/>
      <c r="N7244" s="33"/>
      <c r="O7244" s="33"/>
      <c r="P7244" s="33"/>
      <c r="Q7244" s="33"/>
      <c r="R7244" s="33"/>
      <c r="S7244" s="33"/>
      <c r="T7244" s="33"/>
      <c r="U7244" s="33"/>
      <c r="V7244" s="33"/>
      <c r="W7244" s="33"/>
      <c r="X7244" s="33"/>
      <c r="Y7244" s="33"/>
      <c r="Z7244" s="33"/>
      <c r="AA7244" s="33"/>
      <c r="AB7244" s="33"/>
      <c r="AC7244" s="33"/>
      <c r="AD7244" s="33"/>
      <c r="AE7244" s="33"/>
      <c r="AF7244" s="33"/>
      <c r="AG7244" s="33"/>
      <c r="AH7244" s="33"/>
      <c r="AI7244" s="33"/>
      <c r="AJ7244" s="33"/>
      <c r="AK7244" s="33"/>
    </row>
    <row r="7245">
      <c r="A7245" s="33"/>
      <c r="B7245" s="33"/>
      <c r="C7245" s="33"/>
      <c r="D7245" s="33"/>
      <c r="E7245" s="33"/>
      <c r="F7245" s="33"/>
      <c r="G7245" s="33"/>
      <c r="H7245" s="33"/>
      <c r="I7245" s="33"/>
      <c r="J7245" s="33"/>
      <c r="K7245" s="33"/>
      <c r="L7245" s="33"/>
      <c r="M7245" s="33"/>
      <c r="N7245" s="33"/>
      <c r="O7245" s="33"/>
      <c r="P7245" s="33"/>
      <c r="Q7245" s="33"/>
      <c r="R7245" s="33"/>
      <c r="S7245" s="33"/>
      <c r="T7245" s="33"/>
      <c r="U7245" s="33"/>
      <c r="V7245" s="33"/>
      <c r="W7245" s="33"/>
      <c r="X7245" s="33"/>
      <c r="Y7245" s="33"/>
      <c r="Z7245" s="33"/>
      <c r="AA7245" s="33"/>
      <c r="AB7245" s="33"/>
      <c r="AC7245" s="33"/>
      <c r="AD7245" s="33"/>
      <c r="AE7245" s="33"/>
      <c r="AF7245" s="33"/>
      <c r="AG7245" s="33"/>
      <c r="AH7245" s="33"/>
      <c r="AI7245" s="33"/>
      <c r="AJ7245" s="33"/>
      <c r="AK7245" s="33"/>
    </row>
    <row r="7246">
      <c r="A7246" s="33"/>
      <c r="B7246" s="33"/>
      <c r="C7246" s="33"/>
      <c r="D7246" s="33"/>
      <c r="E7246" s="33"/>
      <c r="F7246" s="33"/>
      <c r="G7246" s="33"/>
      <c r="H7246" s="33"/>
      <c r="I7246" s="33"/>
      <c r="J7246" s="33"/>
      <c r="K7246" s="33"/>
      <c r="L7246" s="33"/>
      <c r="M7246" s="33"/>
      <c r="N7246" s="33"/>
      <c r="O7246" s="33"/>
      <c r="P7246" s="33"/>
      <c r="Q7246" s="33"/>
      <c r="R7246" s="33"/>
      <c r="S7246" s="33"/>
      <c r="T7246" s="33"/>
      <c r="U7246" s="33"/>
      <c r="V7246" s="33"/>
      <c r="W7246" s="33"/>
      <c r="X7246" s="33"/>
      <c r="Y7246" s="33"/>
      <c r="Z7246" s="33"/>
      <c r="AA7246" s="33"/>
      <c r="AB7246" s="33"/>
      <c r="AC7246" s="33"/>
      <c r="AD7246" s="33"/>
      <c r="AE7246" s="33"/>
      <c r="AF7246" s="33"/>
      <c r="AG7246" s="33"/>
      <c r="AH7246" s="33"/>
      <c r="AI7246" s="33"/>
      <c r="AJ7246" s="33"/>
      <c r="AK7246" s="33"/>
    </row>
    <row r="7247">
      <c r="A7247" s="33"/>
      <c r="B7247" s="33"/>
      <c r="C7247" s="33"/>
      <c r="D7247" s="33"/>
      <c r="E7247" s="33"/>
      <c r="F7247" s="33"/>
      <c r="G7247" s="33"/>
      <c r="H7247" s="33"/>
      <c r="I7247" s="33"/>
      <c r="J7247" s="33"/>
      <c r="K7247" s="33"/>
      <c r="L7247" s="33"/>
      <c r="M7247" s="33"/>
      <c r="N7247" s="33"/>
      <c r="O7247" s="33"/>
      <c r="P7247" s="33"/>
      <c r="Q7247" s="33"/>
      <c r="R7247" s="33"/>
      <c r="S7247" s="33"/>
      <c r="T7247" s="33"/>
      <c r="U7247" s="33"/>
      <c r="V7247" s="33"/>
      <c r="W7247" s="33"/>
      <c r="X7247" s="33"/>
      <c r="Y7247" s="33"/>
      <c r="Z7247" s="33"/>
      <c r="AA7247" s="33"/>
      <c r="AB7247" s="33"/>
      <c r="AC7247" s="33"/>
      <c r="AD7247" s="33"/>
      <c r="AE7247" s="33"/>
      <c r="AF7247" s="33"/>
      <c r="AG7247" s="33"/>
      <c r="AH7247" s="33"/>
      <c r="AI7247" s="33"/>
      <c r="AJ7247" s="33"/>
      <c r="AK7247" s="33"/>
    </row>
    <row r="7248">
      <c r="A7248" s="33"/>
      <c r="B7248" s="33"/>
      <c r="C7248" s="33"/>
      <c r="D7248" s="33"/>
      <c r="E7248" s="33"/>
      <c r="F7248" s="33"/>
      <c r="G7248" s="33"/>
      <c r="H7248" s="33"/>
      <c r="I7248" s="33"/>
      <c r="J7248" s="33"/>
      <c r="K7248" s="33"/>
      <c r="L7248" s="33"/>
      <c r="M7248" s="33"/>
      <c r="N7248" s="33"/>
      <c r="O7248" s="33"/>
      <c r="P7248" s="33"/>
      <c r="Q7248" s="33"/>
      <c r="R7248" s="33"/>
      <c r="S7248" s="33"/>
      <c r="T7248" s="33"/>
      <c r="U7248" s="33"/>
      <c r="V7248" s="33"/>
      <c r="W7248" s="33"/>
      <c r="X7248" s="33"/>
      <c r="Y7248" s="33"/>
      <c r="Z7248" s="33"/>
      <c r="AA7248" s="33"/>
      <c r="AB7248" s="33"/>
      <c r="AC7248" s="33"/>
      <c r="AD7248" s="33"/>
      <c r="AE7248" s="33"/>
      <c r="AF7248" s="33"/>
      <c r="AG7248" s="33"/>
      <c r="AH7248" s="33"/>
      <c r="AI7248" s="33"/>
      <c r="AJ7248" s="33"/>
      <c r="AK7248" s="33"/>
    </row>
    <row r="7249">
      <c r="A7249" s="33"/>
      <c r="B7249" s="33"/>
      <c r="C7249" s="33"/>
      <c r="D7249" s="33"/>
      <c r="E7249" s="33"/>
      <c r="F7249" s="33"/>
      <c r="G7249" s="33"/>
      <c r="H7249" s="33"/>
      <c r="I7249" s="33"/>
      <c r="J7249" s="33"/>
      <c r="K7249" s="33"/>
      <c r="L7249" s="33"/>
      <c r="M7249" s="33"/>
      <c r="N7249" s="33"/>
      <c r="O7249" s="33"/>
      <c r="P7249" s="33"/>
      <c r="Q7249" s="33"/>
      <c r="R7249" s="33"/>
      <c r="S7249" s="33"/>
      <c r="T7249" s="33"/>
      <c r="U7249" s="33"/>
      <c r="V7249" s="33"/>
      <c r="W7249" s="33"/>
      <c r="X7249" s="33"/>
      <c r="Y7249" s="33"/>
      <c r="Z7249" s="33"/>
      <c r="AA7249" s="33"/>
      <c r="AB7249" s="33"/>
      <c r="AC7249" s="33"/>
      <c r="AD7249" s="33"/>
      <c r="AE7249" s="33"/>
      <c r="AF7249" s="33"/>
      <c r="AG7249" s="33"/>
      <c r="AH7249" s="33"/>
      <c r="AI7249" s="33"/>
      <c r="AJ7249" s="33"/>
      <c r="AK7249" s="33"/>
    </row>
    <row r="7250">
      <c r="A7250" s="33"/>
      <c r="B7250" s="33"/>
      <c r="C7250" s="33"/>
      <c r="D7250" s="33"/>
      <c r="E7250" s="33"/>
      <c r="F7250" s="33"/>
      <c r="G7250" s="33"/>
      <c r="H7250" s="33"/>
      <c r="I7250" s="33"/>
      <c r="J7250" s="33"/>
      <c r="K7250" s="33"/>
      <c r="L7250" s="33"/>
      <c r="M7250" s="33"/>
      <c r="N7250" s="33"/>
      <c r="O7250" s="33"/>
      <c r="P7250" s="33"/>
      <c r="Q7250" s="33"/>
      <c r="R7250" s="33"/>
      <c r="S7250" s="33"/>
      <c r="T7250" s="33"/>
      <c r="U7250" s="33"/>
      <c r="V7250" s="33"/>
      <c r="W7250" s="33"/>
      <c r="X7250" s="33"/>
      <c r="Y7250" s="33"/>
      <c r="Z7250" s="33"/>
      <c r="AA7250" s="33"/>
      <c r="AB7250" s="33"/>
      <c r="AC7250" s="33"/>
      <c r="AD7250" s="33"/>
      <c r="AE7250" s="33"/>
      <c r="AF7250" s="33"/>
      <c r="AG7250" s="33"/>
      <c r="AH7250" s="33"/>
      <c r="AI7250" s="33"/>
      <c r="AJ7250" s="33"/>
      <c r="AK7250" s="33"/>
    </row>
    <row r="7251">
      <c r="A7251" s="33"/>
      <c r="B7251" s="33"/>
      <c r="C7251" s="33"/>
      <c r="D7251" s="33"/>
      <c r="E7251" s="33"/>
      <c r="F7251" s="33"/>
      <c r="G7251" s="33"/>
      <c r="H7251" s="33"/>
      <c r="I7251" s="33"/>
      <c r="J7251" s="33"/>
      <c r="K7251" s="33"/>
      <c r="L7251" s="33"/>
      <c r="M7251" s="33"/>
      <c r="N7251" s="33"/>
      <c r="O7251" s="33"/>
      <c r="P7251" s="33"/>
      <c r="Q7251" s="33"/>
      <c r="R7251" s="33"/>
      <c r="S7251" s="33"/>
      <c r="T7251" s="33"/>
      <c r="U7251" s="33"/>
      <c r="V7251" s="33"/>
      <c r="W7251" s="33"/>
      <c r="X7251" s="33"/>
      <c r="Y7251" s="33"/>
      <c r="Z7251" s="33"/>
      <c r="AA7251" s="33"/>
      <c r="AB7251" s="33"/>
      <c r="AC7251" s="33"/>
      <c r="AD7251" s="33"/>
      <c r="AE7251" s="33"/>
      <c r="AF7251" s="33"/>
      <c r="AG7251" s="33"/>
      <c r="AH7251" s="33"/>
      <c r="AI7251" s="33"/>
      <c r="AJ7251" s="33"/>
      <c r="AK7251" s="33"/>
    </row>
    <row r="7252">
      <c r="A7252" s="33"/>
      <c r="B7252" s="33"/>
      <c r="C7252" s="33"/>
      <c r="D7252" s="33"/>
      <c r="E7252" s="33"/>
      <c r="F7252" s="33"/>
      <c r="G7252" s="33"/>
      <c r="H7252" s="33"/>
      <c r="I7252" s="33"/>
      <c r="J7252" s="33"/>
      <c r="K7252" s="33"/>
      <c r="L7252" s="33"/>
      <c r="M7252" s="33"/>
      <c r="N7252" s="33"/>
      <c r="O7252" s="33"/>
      <c r="P7252" s="33"/>
      <c r="Q7252" s="33"/>
      <c r="R7252" s="33"/>
      <c r="S7252" s="33"/>
      <c r="T7252" s="33"/>
      <c r="U7252" s="33"/>
      <c r="V7252" s="33"/>
      <c r="W7252" s="33"/>
      <c r="X7252" s="33"/>
      <c r="Y7252" s="33"/>
      <c r="Z7252" s="33"/>
      <c r="AA7252" s="33"/>
      <c r="AB7252" s="33"/>
      <c r="AC7252" s="33"/>
      <c r="AD7252" s="33"/>
      <c r="AE7252" s="33"/>
      <c r="AF7252" s="33"/>
      <c r="AG7252" s="33"/>
      <c r="AH7252" s="33"/>
      <c r="AI7252" s="33"/>
      <c r="AJ7252" s="33"/>
      <c r="AK7252" s="33"/>
    </row>
    <row r="7253">
      <c r="A7253" s="33"/>
      <c r="B7253" s="33"/>
      <c r="C7253" s="33"/>
      <c r="D7253" s="33"/>
      <c r="E7253" s="33"/>
      <c r="F7253" s="33"/>
      <c r="G7253" s="33"/>
      <c r="H7253" s="33"/>
      <c r="I7253" s="33"/>
      <c r="J7253" s="33"/>
      <c r="K7253" s="33"/>
      <c r="L7253" s="33"/>
      <c r="M7253" s="33"/>
      <c r="N7253" s="33"/>
      <c r="O7253" s="33"/>
      <c r="P7253" s="33"/>
      <c r="Q7253" s="33"/>
      <c r="R7253" s="33"/>
      <c r="S7253" s="33"/>
      <c r="T7253" s="33"/>
      <c r="U7253" s="33"/>
      <c r="V7253" s="33"/>
      <c r="W7253" s="33"/>
      <c r="X7253" s="33"/>
      <c r="Y7253" s="33"/>
      <c r="Z7253" s="33"/>
      <c r="AA7253" s="33"/>
      <c r="AB7253" s="33"/>
      <c r="AC7253" s="33"/>
      <c r="AD7253" s="33"/>
      <c r="AE7253" s="33"/>
      <c r="AF7253" s="33"/>
      <c r="AG7253" s="33"/>
      <c r="AH7253" s="33"/>
      <c r="AI7253" s="33"/>
      <c r="AJ7253" s="33"/>
      <c r="AK7253" s="33"/>
    </row>
    <row r="7254">
      <c r="A7254" s="33"/>
      <c r="B7254" s="33"/>
      <c r="C7254" s="33"/>
      <c r="D7254" s="33"/>
      <c r="E7254" s="33"/>
      <c r="F7254" s="33"/>
      <c r="G7254" s="33"/>
      <c r="H7254" s="33"/>
      <c r="I7254" s="33"/>
      <c r="J7254" s="33"/>
      <c r="K7254" s="33"/>
      <c r="L7254" s="33"/>
      <c r="M7254" s="33"/>
      <c r="N7254" s="33"/>
      <c r="O7254" s="33"/>
      <c r="P7254" s="33"/>
      <c r="Q7254" s="33"/>
      <c r="R7254" s="33"/>
      <c r="S7254" s="33"/>
      <c r="T7254" s="33"/>
      <c r="U7254" s="33"/>
      <c r="V7254" s="33"/>
      <c r="W7254" s="33"/>
      <c r="X7254" s="33"/>
      <c r="Y7254" s="33"/>
      <c r="Z7254" s="33"/>
      <c r="AA7254" s="33"/>
      <c r="AB7254" s="33"/>
      <c r="AC7254" s="33"/>
      <c r="AD7254" s="33"/>
      <c r="AE7254" s="33"/>
      <c r="AF7254" s="33"/>
      <c r="AG7254" s="33"/>
      <c r="AH7254" s="33"/>
      <c r="AI7254" s="33"/>
      <c r="AJ7254" s="33"/>
      <c r="AK7254" s="33"/>
    </row>
    <row r="7255">
      <c r="A7255" s="33"/>
      <c r="B7255" s="33"/>
      <c r="C7255" s="33"/>
      <c r="D7255" s="33"/>
      <c r="E7255" s="33"/>
      <c r="F7255" s="33"/>
      <c r="G7255" s="33"/>
      <c r="H7255" s="33"/>
      <c r="I7255" s="33"/>
      <c r="J7255" s="33"/>
      <c r="K7255" s="33"/>
      <c r="L7255" s="33"/>
      <c r="M7255" s="33"/>
      <c r="N7255" s="33"/>
      <c r="O7255" s="33"/>
      <c r="P7255" s="33"/>
      <c r="Q7255" s="33"/>
      <c r="R7255" s="33"/>
      <c r="S7255" s="33"/>
      <c r="T7255" s="33"/>
      <c r="U7255" s="33"/>
      <c r="V7255" s="33"/>
      <c r="W7255" s="33"/>
      <c r="X7255" s="33"/>
      <c r="Y7255" s="33"/>
      <c r="Z7255" s="33"/>
      <c r="AA7255" s="33"/>
      <c r="AB7255" s="33"/>
      <c r="AC7255" s="33"/>
      <c r="AD7255" s="33"/>
      <c r="AE7255" s="33"/>
      <c r="AF7255" s="33"/>
      <c r="AG7255" s="33"/>
      <c r="AH7255" s="33"/>
      <c r="AI7255" s="33"/>
      <c r="AJ7255" s="33"/>
      <c r="AK7255" s="33"/>
    </row>
    <row r="7256">
      <c r="A7256" s="33"/>
      <c r="B7256" s="33"/>
      <c r="C7256" s="33"/>
      <c r="D7256" s="33"/>
      <c r="E7256" s="33"/>
      <c r="F7256" s="33"/>
      <c r="G7256" s="33"/>
      <c r="H7256" s="33"/>
      <c r="I7256" s="33"/>
      <c r="J7256" s="33"/>
      <c r="K7256" s="33"/>
      <c r="L7256" s="33"/>
      <c r="M7256" s="33"/>
      <c r="N7256" s="33"/>
      <c r="O7256" s="33"/>
      <c r="P7256" s="33"/>
      <c r="Q7256" s="33"/>
      <c r="R7256" s="33"/>
      <c r="S7256" s="33"/>
      <c r="T7256" s="33"/>
      <c r="U7256" s="33"/>
      <c r="V7256" s="33"/>
      <c r="W7256" s="33"/>
      <c r="X7256" s="33"/>
      <c r="Y7256" s="33"/>
      <c r="Z7256" s="33"/>
      <c r="AA7256" s="33"/>
      <c r="AB7256" s="33"/>
      <c r="AC7256" s="33"/>
      <c r="AD7256" s="33"/>
      <c r="AE7256" s="33"/>
      <c r="AF7256" s="33"/>
      <c r="AG7256" s="33"/>
      <c r="AH7256" s="33"/>
      <c r="AI7256" s="33"/>
      <c r="AJ7256" s="33"/>
      <c r="AK7256" s="33"/>
    </row>
    <row r="7257">
      <c r="A7257" s="33"/>
      <c r="B7257" s="33"/>
      <c r="C7257" s="33"/>
      <c r="D7257" s="33"/>
      <c r="E7257" s="33"/>
      <c r="F7257" s="33"/>
      <c r="G7257" s="33"/>
      <c r="H7257" s="33"/>
      <c r="I7257" s="33"/>
      <c r="J7257" s="33"/>
      <c r="K7257" s="33"/>
      <c r="L7257" s="33"/>
      <c r="M7257" s="33"/>
      <c r="N7257" s="33"/>
      <c r="O7257" s="33"/>
      <c r="P7257" s="33"/>
      <c r="Q7257" s="33"/>
      <c r="R7257" s="33"/>
      <c r="S7257" s="33"/>
      <c r="T7257" s="33"/>
      <c r="U7257" s="33"/>
      <c r="V7257" s="33"/>
      <c r="W7257" s="33"/>
      <c r="X7257" s="33"/>
      <c r="Y7257" s="33"/>
      <c r="Z7257" s="33"/>
      <c r="AA7257" s="33"/>
      <c r="AB7257" s="33"/>
      <c r="AC7257" s="33"/>
      <c r="AD7257" s="33"/>
      <c r="AE7257" s="33"/>
      <c r="AF7257" s="33"/>
      <c r="AG7257" s="33"/>
      <c r="AH7257" s="33"/>
      <c r="AI7257" s="33"/>
      <c r="AJ7257" s="33"/>
      <c r="AK7257" s="33"/>
    </row>
    <row r="7258">
      <c r="A7258" s="33"/>
      <c r="B7258" s="33"/>
      <c r="C7258" s="33"/>
      <c r="D7258" s="33"/>
      <c r="E7258" s="33"/>
      <c r="F7258" s="33"/>
      <c r="G7258" s="33"/>
      <c r="H7258" s="33"/>
      <c r="I7258" s="33"/>
      <c r="J7258" s="33"/>
      <c r="K7258" s="33"/>
      <c r="L7258" s="33"/>
      <c r="M7258" s="33"/>
      <c r="N7258" s="33"/>
      <c r="O7258" s="33"/>
      <c r="P7258" s="33"/>
      <c r="Q7258" s="33"/>
      <c r="R7258" s="33"/>
      <c r="S7258" s="33"/>
      <c r="T7258" s="33"/>
      <c r="U7258" s="33"/>
      <c r="V7258" s="33"/>
      <c r="W7258" s="33"/>
      <c r="X7258" s="33"/>
      <c r="Y7258" s="33"/>
      <c r="Z7258" s="33"/>
      <c r="AA7258" s="33"/>
      <c r="AB7258" s="33"/>
      <c r="AC7258" s="33"/>
      <c r="AD7258" s="33"/>
      <c r="AE7258" s="33"/>
      <c r="AF7258" s="33"/>
      <c r="AG7258" s="33"/>
      <c r="AH7258" s="33"/>
      <c r="AI7258" s="33"/>
      <c r="AJ7258" s="33"/>
      <c r="AK7258" s="33"/>
    </row>
    <row r="7259">
      <c r="A7259" s="33"/>
      <c r="B7259" s="33"/>
      <c r="C7259" s="33"/>
      <c r="D7259" s="33"/>
      <c r="E7259" s="33"/>
      <c r="F7259" s="33"/>
      <c r="G7259" s="33"/>
      <c r="H7259" s="33"/>
      <c r="I7259" s="33"/>
      <c r="J7259" s="33"/>
      <c r="K7259" s="33"/>
      <c r="L7259" s="33"/>
      <c r="M7259" s="33"/>
      <c r="N7259" s="33"/>
      <c r="O7259" s="33"/>
      <c r="P7259" s="33"/>
      <c r="Q7259" s="33"/>
      <c r="R7259" s="33"/>
      <c r="S7259" s="33"/>
      <c r="T7259" s="33"/>
      <c r="U7259" s="33"/>
      <c r="V7259" s="33"/>
      <c r="W7259" s="33"/>
      <c r="X7259" s="33"/>
      <c r="Y7259" s="33"/>
      <c r="Z7259" s="33"/>
      <c r="AA7259" s="33"/>
      <c r="AB7259" s="33"/>
      <c r="AC7259" s="33"/>
      <c r="AD7259" s="33"/>
      <c r="AE7259" s="33"/>
      <c r="AF7259" s="33"/>
      <c r="AG7259" s="33"/>
      <c r="AH7259" s="33"/>
      <c r="AI7259" s="33"/>
      <c r="AJ7259" s="33"/>
      <c r="AK7259" s="33"/>
    </row>
    <row r="7260">
      <c r="A7260" s="33"/>
      <c r="B7260" s="33"/>
      <c r="C7260" s="33"/>
      <c r="D7260" s="33"/>
      <c r="E7260" s="33"/>
      <c r="F7260" s="33"/>
      <c r="G7260" s="33"/>
      <c r="H7260" s="33"/>
      <c r="I7260" s="33"/>
      <c r="J7260" s="33"/>
      <c r="K7260" s="33"/>
      <c r="L7260" s="33"/>
      <c r="M7260" s="33"/>
      <c r="N7260" s="33"/>
      <c r="O7260" s="33"/>
      <c r="P7260" s="33"/>
      <c r="Q7260" s="33"/>
      <c r="R7260" s="33"/>
      <c r="S7260" s="33"/>
      <c r="T7260" s="33"/>
      <c r="U7260" s="33"/>
      <c r="V7260" s="33"/>
      <c r="W7260" s="33"/>
      <c r="X7260" s="33"/>
      <c r="Y7260" s="33"/>
      <c r="Z7260" s="33"/>
      <c r="AA7260" s="33"/>
      <c r="AB7260" s="33"/>
      <c r="AC7260" s="33"/>
      <c r="AD7260" s="33"/>
      <c r="AE7260" s="33"/>
      <c r="AF7260" s="33"/>
      <c r="AG7260" s="33"/>
      <c r="AH7260" s="33"/>
      <c r="AI7260" s="33"/>
      <c r="AJ7260" s="33"/>
      <c r="AK7260" s="33"/>
    </row>
    <row r="7261">
      <c r="A7261" s="33"/>
      <c r="B7261" s="33"/>
      <c r="C7261" s="33"/>
      <c r="D7261" s="33"/>
      <c r="E7261" s="33"/>
      <c r="F7261" s="33"/>
      <c r="G7261" s="33"/>
      <c r="H7261" s="33"/>
      <c r="I7261" s="33"/>
      <c r="J7261" s="33"/>
      <c r="K7261" s="33"/>
      <c r="L7261" s="33"/>
      <c r="M7261" s="33"/>
      <c r="N7261" s="33"/>
      <c r="O7261" s="33"/>
      <c r="P7261" s="33"/>
      <c r="Q7261" s="33"/>
      <c r="R7261" s="33"/>
      <c r="S7261" s="33"/>
      <c r="T7261" s="33"/>
      <c r="U7261" s="33"/>
      <c r="V7261" s="33"/>
      <c r="W7261" s="33"/>
      <c r="X7261" s="33"/>
      <c r="Y7261" s="33"/>
      <c r="Z7261" s="33"/>
      <c r="AA7261" s="33"/>
      <c r="AB7261" s="33"/>
      <c r="AC7261" s="33"/>
      <c r="AD7261" s="33"/>
      <c r="AE7261" s="33"/>
      <c r="AF7261" s="33"/>
      <c r="AG7261" s="33"/>
      <c r="AH7261" s="33"/>
      <c r="AI7261" s="33"/>
      <c r="AJ7261" s="33"/>
      <c r="AK7261" s="33"/>
    </row>
    <row r="7262">
      <c r="A7262" s="33"/>
      <c r="B7262" s="33"/>
      <c r="C7262" s="33"/>
      <c r="D7262" s="33"/>
      <c r="E7262" s="33"/>
      <c r="F7262" s="33"/>
      <c r="G7262" s="33"/>
      <c r="H7262" s="33"/>
      <c r="I7262" s="33"/>
      <c r="J7262" s="33"/>
      <c r="K7262" s="33"/>
      <c r="L7262" s="33"/>
      <c r="M7262" s="33"/>
      <c r="N7262" s="33"/>
      <c r="O7262" s="33"/>
      <c r="P7262" s="33"/>
      <c r="Q7262" s="33"/>
      <c r="R7262" s="33"/>
      <c r="S7262" s="33"/>
      <c r="T7262" s="33"/>
      <c r="U7262" s="33"/>
      <c r="V7262" s="33"/>
      <c r="W7262" s="33"/>
      <c r="X7262" s="33"/>
      <c r="Y7262" s="33"/>
      <c r="Z7262" s="33"/>
      <c r="AA7262" s="33"/>
      <c r="AB7262" s="33"/>
      <c r="AC7262" s="33"/>
      <c r="AD7262" s="33"/>
      <c r="AE7262" s="33"/>
      <c r="AF7262" s="33"/>
      <c r="AG7262" s="33"/>
      <c r="AH7262" s="33"/>
      <c r="AI7262" s="33"/>
      <c r="AJ7262" s="33"/>
      <c r="AK7262" s="33"/>
    </row>
    <row r="7263">
      <c r="A7263" s="33"/>
      <c r="B7263" s="33"/>
      <c r="C7263" s="33"/>
      <c r="D7263" s="33"/>
      <c r="E7263" s="33"/>
      <c r="F7263" s="33"/>
      <c r="G7263" s="33"/>
      <c r="H7263" s="33"/>
      <c r="I7263" s="33"/>
      <c r="J7263" s="33"/>
      <c r="K7263" s="33"/>
      <c r="L7263" s="33"/>
      <c r="M7263" s="33"/>
      <c r="N7263" s="33"/>
      <c r="O7263" s="33"/>
      <c r="P7263" s="33"/>
      <c r="Q7263" s="33"/>
      <c r="R7263" s="33"/>
      <c r="S7263" s="33"/>
      <c r="T7263" s="33"/>
      <c r="U7263" s="33"/>
      <c r="V7263" s="33"/>
      <c r="W7263" s="33"/>
      <c r="X7263" s="33"/>
      <c r="Y7263" s="33"/>
      <c r="Z7263" s="33"/>
      <c r="AA7263" s="33"/>
      <c r="AB7263" s="33"/>
      <c r="AC7263" s="33"/>
      <c r="AD7263" s="33"/>
      <c r="AE7263" s="33"/>
      <c r="AF7263" s="33"/>
      <c r="AG7263" s="33"/>
      <c r="AH7263" s="33"/>
      <c r="AI7263" s="33"/>
      <c r="AJ7263" s="33"/>
      <c r="AK7263" s="33"/>
    </row>
    <row r="7264">
      <c r="A7264" s="33"/>
      <c r="B7264" s="33"/>
      <c r="C7264" s="33"/>
      <c r="D7264" s="33"/>
      <c r="E7264" s="33"/>
      <c r="F7264" s="33"/>
      <c r="G7264" s="33"/>
      <c r="H7264" s="33"/>
      <c r="I7264" s="33"/>
      <c r="J7264" s="33"/>
      <c r="K7264" s="33"/>
      <c r="L7264" s="33"/>
      <c r="M7264" s="33"/>
      <c r="N7264" s="33"/>
      <c r="O7264" s="33"/>
      <c r="P7264" s="33"/>
      <c r="Q7264" s="33"/>
      <c r="R7264" s="33"/>
      <c r="S7264" s="33"/>
      <c r="T7264" s="33"/>
      <c r="U7264" s="33"/>
      <c r="V7264" s="33"/>
      <c r="W7264" s="33"/>
      <c r="X7264" s="33"/>
      <c r="Y7264" s="33"/>
      <c r="Z7264" s="33"/>
      <c r="AA7264" s="33"/>
      <c r="AB7264" s="33"/>
      <c r="AC7264" s="33"/>
      <c r="AD7264" s="33"/>
      <c r="AE7264" s="33"/>
      <c r="AF7264" s="33"/>
      <c r="AG7264" s="33"/>
      <c r="AH7264" s="33"/>
      <c r="AI7264" s="33"/>
      <c r="AJ7264" s="33"/>
      <c r="AK7264" s="33"/>
    </row>
    <row r="7265">
      <c r="A7265" s="33"/>
      <c r="B7265" s="33"/>
      <c r="C7265" s="33"/>
      <c r="D7265" s="33"/>
      <c r="E7265" s="33"/>
      <c r="F7265" s="33"/>
      <c r="G7265" s="33"/>
      <c r="H7265" s="33"/>
      <c r="I7265" s="33"/>
      <c r="J7265" s="33"/>
      <c r="K7265" s="33"/>
      <c r="L7265" s="33"/>
      <c r="M7265" s="33"/>
      <c r="N7265" s="33"/>
      <c r="O7265" s="33"/>
      <c r="P7265" s="33"/>
      <c r="Q7265" s="33"/>
      <c r="R7265" s="33"/>
      <c r="S7265" s="33"/>
      <c r="T7265" s="33"/>
      <c r="U7265" s="33"/>
      <c r="V7265" s="33"/>
      <c r="W7265" s="33"/>
      <c r="X7265" s="33"/>
      <c r="Y7265" s="33"/>
      <c r="Z7265" s="33"/>
      <c r="AA7265" s="33"/>
      <c r="AB7265" s="33"/>
      <c r="AC7265" s="33"/>
      <c r="AD7265" s="33"/>
      <c r="AE7265" s="33"/>
      <c r="AF7265" s="33"/>
      <c r="AG7265" s="33"/>
      <c r="AH7265" s="33"/>
      <c r="AI7265" s="33"/>
      <c r="AJ7265" s="33"/>
      <c r="AK7265" s="33"/>
    </row>
    <row r="7266">
      <c r="A7266" s="33"/>
      <c r="B7266" s="33"/>
      <c r="C7266" s="33"/>
      <c r="D7266" s="33"/>
      <c r="E7266" s="33"/>
      <c r="F7266" s="33"/>
      <c r="G7266" s="33"/>
      <c r="H7266" s="33"/>
      <c r="I7266" s="33"/>
      <c r="J7266" s="33"/>
      <c r="K7266" s="33"/>
      <c r="L7266" s="33"/>
      <c r="M7266" s="33"/>
      <c r="N7266" s="33"/>
      <c r="O7266" s="33"/>
      <c r="P7266" s="33"/>
      <c r="Q7266" s="33"/>
      <c r="R7266" s="33"/>
      <c r="S7266" s="33"/>
      <c r="T7266" s="33"/>
      <c r="U7266" s="33"/>
      <c r="V7266" s="33"/>
      <c r="W7266" s="33"/>
      <c r="X7266" s="33"/>
      <c r="Y7266" s="33"/>
      <c r="Z7266" s="33"/>
      <c r="AA7266" s="33"/>
      <c r="AB7266" s="33"/>
      <c r="AC7266" s="33"/>
      <c r="AD7266" s="33"/>
      <c r="AE7266" s="33"/>
      <c r="AF7266" s="33"/>
      <c r="AG7266" s="33"/>
      <c r="AH7266" s="33"/>
      <c r="AI7266" s="33"/>
      <c r="AJ7266" s="33"/>
      <c r="AK7266" s="33"/>
    </row>
    <row r="7267">
      <c r="A7267" s="33"/>
      <c r="B7267" s="33"/>
      <c r="C7267" s="33"/>
      <c r="D7267" s="33"/>
      <c r="E7267" s="33"/>
      <c r="F7267" s="33"/>
      <c r="G7267" s="33"/>
      <c r="H7267" s="33"/>
      <c r="I7267" s="33"/>
      <c r="J7267" s="33"/>
      <c r="K7267" s="33"/>
      <c r="L7267" s="33"/>
      <c r="M7267" s="33"/>
      <c r="N7267" s="33"/>
      <c r="O7267" s="33"/>
      <c r="P7267" s="33"/>
      <c r="Q7267" s="33"/>
      <c r="R7267" s="33"/>
      <c r="S7267" s="33"/>
      <c r="T7267" s="33"/>
      <c r="U7267" s="33"/>
      <c r="V7267" s="33"/>
      <c r="W7267" s="33"/>
      <c r="X7267" s="33"/>
      <c r="Y7267" s="33"/>
      <c r="Z7267" s="33"/>
      <c r="AA7267" s="33"/>
      <c r="AB7267" s="33"/>
      <c r="AC7267" s="33"/>
      <c r="AD7267" s="33"/>
      <c r="AE7267" s="33"/>
      <c r="AF7267" s="33"/>
      <c r="AG7267" s="33"/>
      <c r="AH7267" s="33"/>
      <c r="AI7267" s="33"/>
      <c r="AJ7267" s="33"/>
      <c r="AK7267" s="33"/>
    </row>
    <row r="7268">
      <c r="A7268" s="33"/>
      <c r="B7268" s="33"/>
      <c r="C7268" s="33"/>
      <c r="D7268" s="33"/>
      <c r="E7268" s="33"/>
      <c r="F7268" s="33"/>
      <c r="G7268" s="33"/>
      <c r="H7268" s="33"/>
      <c r="I7268" s="33"/>
      <c r="J7268" s="33"/>
      <c r="K7268" s="33"/>
      <c r="L7268" s="33"/>
      <c r="M7268" s="33"/>
      <c r="N7268" s="33"/>
      <c r="O7268" s="33"/>
      <c r="P7268" s="33"/>
      <c r="Q7268" s="33"/>
      <c r="R7268" s="33"/>
      <c r="S7268" s="33"/>
      <c r="T7268" s="33"/>
      <c r="U7268" s="33"/>
      <c r="V7268" s="33"/>
      <c r="W7268" s="33"/>
      <c r="X7268" s="33"/>
      <c r="Y7268" s="33"/>
      <c r="Z7268" s="33"/>
      <c r="AA7268" s="33"/>
      <c r="AB7268" s="33"/>
      <c r="AC7268" s="33"/>
      <c r="AD7268" s="33"/>
      <c r="AE7268" s="33"/>
      <c r="AF7268" s="33"/>
      <c r="AG7268" s="33"/>
      <c r="AH7268" s="33"/>
      <c r="AI7268" s="33"/>
      <c r="AJ7268" s="33"/>
      <c r="AK7268" s="33"/>
    </row>
    <row r="7269">
      <c r="A7269" s="33"/>
      <c r="B7269" s="33"/>
      <c r="C7269" s="33"/>
      <c r="D7269" s="33"/>
      <c r="E7269" s="33"/>
      <c r="F7269" s="33"/>
      <c r="G7269" s="33"/>
      <c r="H7269" s="33"/>
      <c r="I7269" s="33"/>
      <c r="J7269" s="33"/>
      <c r="K7269" s="33"/>
      <c r="L7269" s="33"/>
      <c r="M7269" s="33"/>
      <c r="N7269" s="33"/>
      <c r="O7269" s="33"/>
      <c r="P7269" s="33"/>
      <c r="Q7269" s="33"/>
      <c r="R7269" s="33"/>
      <c r="S7269" s="33"/>
      <c r="T7269" s="33"/>
      <c r="U7269" s="33"/>
      <c r="V7269" s="33"/>
      <c r="W7269" s="33"/>
      <c r="X7269" s="33"/>
      <c r="Y7269" s="33"/>
      <c r="Z7269" s="33"/>
      <c r="AA7269" s="33"/>
      <c r="AB7269" s="33"/>
      <c r="AC7269" s="33"/>
      <c r="AD7269" s="33"/>
      <c r="AE7269" s="33"/>
      <c r="AF7269" s="33"/>
      <c r="AG7269" s="33"/>
      <c r="AH7269" s="33"/>
      <c r="AI7269" s="33"/>
      <c r="AJ7269" s="33"/>
      <c r="AK7269" s="33"/>
    </row>
    <row r="7270">
      <c r="A7270" s="33"/>
      <c r="B7270" s="33"/>
      <c r="C7270" s="33"/>
      <c r="D7270" s="33"/>
      <c r="E7270" s="33"/>
      <c r="F7270" s="33"/>
      <c r="G7270" s="33"/>
      <c r="H7270" s="33"/>
      <c r="I7270" s="33"/>
      <c r="J7270" s="33"/>
      <c r="K7270" s="33"/>
      <c r="L7270" s="33"/>
      <c r="M7270" s="33"/>
      <c r="N7270" s="33"/>
      <c r="O7270" s="33"/>
      <c r="P7270" s="33"/>
      <c r="Q7270" s="33"/>
      <c r="R7270" s="33"/>
      <c r="S7270" s="33"/>
      <c r="T7270" s="33"/>
      <c r="U7270" s="33"/>
      <c r="V7270" s="33"/>
      <c r="W7270" s="33"/>
      <c r="X7270" s="33"/>
      <c r="Y7270" s="33"/>
      <c r="Z7270" s="33"/>
      <c r="AA7270" s="33"/>
      <c r="AB7270" s="33"/>
      <c r="AC7270" s="33"/>
      <c r="AD7270" s="33"/>
      <c r="AE7270" s="33"/>
      <c r="AF7270" s="33"/>
      <c r="AG7270" s="33"/>
      <c r="AH7270" s="33"/>
      <c r="AI7270" s="33"/>
      <c r="AJ7270" s="33"/>
      <c r="AK7270" s="33"/>
    </row>
    <row r="7271">
      <c r="A7271" s="33"/>
      <c r="B7271" s="33"/>
      <c r="C7271" s="33"/>
      <c r="D7271" s="33"/>
      <c r="E7271" s="33"/>
      <c r="F7271" s="33"/>
      <c r="G7271" s="33"/>
      <c r="H7271" s="33"/>
      <c r="I7271" s="33"/>
      <c r="J7271" s="33"/>
      <c r="K7271" s="33"/>
      <c r="L7271" s="33"/>
      <c r="M7271" s="33"/>
      <c r="N7271" s="33"/>
      <c r="O7271" s="33"/>
      <c r="P7271" s="33"/>
      <c r="Q7271" s="33"/>
      <c r="R7271" s="33"/>
      <c r="S7271" s="33"/>
      <c r="T7271" s="33"/>
      <c r="U7271" s="33"/>
      <c r="V7271" s="33"/>
      <c r="W7271" s="33"/>
      <c r="X7271" s="33"/>
      <c r="Y7271" s="33"/>
      <c r="Z7271" s="33"/>
      <c r="AA7271" s="33"/>
      <c r="AB7271" s="33"/>
      <c r="AC7271" s="33"/>
      <c r="AD7271" s="33"/>
      <c r="AE7271" s="33"/>
      <c r="AF7271" s="33"/>
      <c r="AG7271" s="33"/>
      <c r="AH7271" s="33"/>
      <c r="AI7271" s="33"/>
      <c r="AJ7271" s="33"/>
      <c r="AK7271" s="33"/>
    </row>
    <row r="7272">
      <c r="A7272" s="33"/>
      <c r="B7272" s="33"/>
      <c r="C7272" s="33"/>
      <c r="D7272" s="33"/>
      <c r="E7272" s="33"/>
      <c r="F7272" s="33"/>
      <c r="G7272" s="33"/>
      <c r="H7272" s="33"/>
      <c r="I7272" s="33"/>
      <c r="J7272" s="33"/>
      <c r="K7272" s="33"/>
      <c r="L7272" s="33"/>
      <c r="M7272" s="33"/>
      <c r="N7272" s="33"/>
      <c r="O7272" s="33"/>
      <c r="P7272" s="33"/>
      <c r="Q7272" s="33"/>
      <c r="R7272" s="33"/>
      <c r="S7272" s="33"/>
      <c r="T7272" s="33"/>
      <c r="U7272" s="33"/>
      <c r="V7272" s="33"/>
      <c r="W7272" s="33"/>
      <c r="X7272" s="33"/>
      <c r="Y7272" s="33"/>
      <c r="Z7272" s="33"/>
      <c r="AA7272" s="33"/>
      <c r="AB7272" s="33"/>
      <c r="AC7272" s="33"/>
      <c r="AD7272" s="33"/>
      <c r="AE7272" s="33"/>
      <c r="AF7272" s="33"/>
      <c r="AG7272" s="33"/>
      <c r="AH7272" s="33"/>
      <c r="AI7272" s="33"/>
      <c r="AJ7272" s="33"/>
      <c r="AK7272" s="33"/>
    </row>
    <row r="7273">
      <c r="A7273" s="33"/>
      <c r="B7273" s="33"/>
      <c r="C7273" s="33"/>
      <c r="D7273" s="33"/>
      <c r="E7273" s="33"/>
      <c r="F7273" s="33"/>
      <c r="G7273" s="33"/>
      <c r="H7273" s="33"/>
      <c r="I7273" s="33"/>
      <c r="J7273" s="33"/>
      <c r="K7273" s="33"/>
      <c r="L7273" s="33"/>
      <c r="M7273" s="33"/>
      <c r="N7273" s="33"/>
      <c r="O7273" s="33"/>
      <c r="P7273" s="33"/>
      <c r="Q7273" s="33"/>
      <c r="R7273" s="33"/>
      <c r="S7273" s="33"/>
      <c r="T7273" s="33"/>
      <c r="U7273" s="33"/>
      <c r="V7273" s="33"/>
      <c r="W7273" s="33"/>
      <c r="X7273" s="33"/>
      <c r="Y7273" s="33"/>
      <c r="Z7273" s="33"/>
      <c r="AA7273" s="33"/>
      <c r="AB7273" s="33"/>
      <c r="AC7273" s="33"/>
      <c r="AD7273" s="33"/>
      <c r="AE7273" s="33"/>
      <c r="AF7273" s="33"/>
      <c r="AG7273" s="33"/>
      <c r="AH7273" s="33"/>
      <c r="AI7273" s="33"/>
      <c r="AJ7273" s="33"/>
      <c r="AK7273" s="33"/>
    </row>
    <row r="7274">
      <c r="A7274" s="33"/>
      <c r="B7274" s="33"/>
      <c r="C7274" s="33"/>
      <c r="D7274" s="33"/>
      <c r="E7274" s="33"/>
      <c r="F7274" s="33"/>
      <c r="G7274" s="33"/>
      <c r="H7274" s="33"/>
      <c r="I7274" s="33"/>
      <c r="J7274" s="33"/>
      <c r="K7274" s="33"/>
      <c r="L7274" s="33"/>
      <c r="M7274" s="33"/>
      <c r="N7274" s="33"/>
      <c r="O7274" s="33"/>
      <c r="P7274" s="33"/>
      <c r="Q7274" s="33"/>
      <c r="R7274" s="33"/>
      <c r="S7274" s="33"/>
      <c r="T7274" s="33"/>
      <c r="U7274" s="33"/>
      <c r="V7274" s="33"/>
      <c r="W7274" s="33"/>
      <c r="X7274" s="33"/>
      <c r="Y7274" s="33"/>
      <c r="Z7274" s="33"/>
      <c r="AA7274" s="33"/>
      <c r="AB7274" s="33"/>
      <c r="AC7274" s="33"/>
      <c r="AD7274" s="33"/>
      <c r="AE7274" s="33"/>
      <c r="AF7274" s="33"/>
      <c r="AG7274" s="33"/>
      <c r="AH7274" s="33"/>
      <c r="AI7274" s="33"/>
      <c r="AJ7274" s="33"/>
      <c r="AK7274" s="33"/>
    </row>
    <row r="7275">
      <c r="A7275" s="33"/>
      <c r="B7275" s="33"/>
      <c r="C7275" s="33"/>
      <c r="D7275" s="33"/>
      <c r="E7275" s="33"/>
      <c r="F7275" s="33"/>
      <c r="G7275" s="33"/>
      <c r="H7275" s="33"/>
      <c r="I7275" s="33"/>
      <c r="J7275" s="33"/>
      <c r="K7275" s="33"/>
      <c r="L7275" s="33"/>
      <c r="M7275" s="33"/>
      <c r="N7275" s="33"/>
      <c r="O7275" s="33"/>
      <c r="P7275" s="33"/>
      <c r="Q7275" s="33"/>
      <c r="R7275" s="33"/>
      <c r="S7275" s="33"/>
      <c r="T7275" s="33"/>
      <c r="U7275" s="33"/>
      <c r="V7275" s="33"/>
      <c r="W7275" s="33"/>
      <c r="X7275" s="33"/>
      <c r="Y7275" s="33"/>
      <c r="Z7275" s="33"/>
      <c r="AA7275" s="33"/>
      <c r="AB7275" s="33"/>
      <c r="AC7275" s="33"/>
      <c r="AD7275" s="33"/>
      <c r="AE7275" s="33"/>
      <c r="AF7275" s="33"/>
      <c r="AG7275" s="33"/>
      <c r="AH7275" s="33"/>
      <c r="AI7275" s="33"/>
      <c r="AJ7275" s="33"/>
      <c r="AK7275" s="33"/>
    </row>
    <row r="7276">
      <c r="A7276" s="33"/>
      <c r="B7276" s="33"/>
      <c r="C7276" s="33"/>
      <c r="D7276" s="33"/>
      <c r="E7276" s="33"/>
      <c r="F7276" s="33"/>
      <c r="G7276" s="33"/>
      <c r="H7276" s="33"/>
      <c r="I7276" s="33"/>
      <c r="J7276" s="33"/>
      <c r="K7276" s="33"/>
      <c r="L7276" s="33"/>
      <c r="M7276" s="33"/>
      <c r="N7276" s="33"/>
      <c r="O7276" s="33"/>
      <c r="P7276" s="33"/>
      <c r="Q7276" s="33"/>
      <c r="R7276" s="33"/>
      <c r="S7276" s="33"/>
      <c r="T7276" s="33"/>
      <c r="U7276" s="33"/>
      <c r="V7276" s="33"/>
      <c r="W7276" s="33"/>
      <c r="X7276" s="33"/>
      <c r="Y7276" s="33"/>
      <c r="Z7276" s="33"/>
      <c r="AA7276" s="33"/>
      <c r="AB7276" s="33"/>
      <c r="AC7276" s="33"/>
      <c r="AD7276" s="33"/>
      <c r="AE7276" s="33"/>
      <c r="AF7276" s="33"/>
      <c r="AG7276" s="33"/>
      <c r="AH7276" s="33"/>
      <c r="AI7276" s="33"/>
      <c r="AJ7276" s="33"/>
      <c r="AK7276" s="33"/>
    </row>
    <row r="7277">
      <c r="A7277" s="33"/>
      <c r="B7277" s="33"/>
      <c r="C7277" s="33"/>
      <c r="D7277" s="33"/>
      <c r="E7277" s="33"/>
      <c r="F7277" s="33"/>
      <c r="G7277" s="33"/>
      <c r="H7277" s="33"/>
      <c r="I7277" s="33"/>
      <c r="J7277" s="33"/>
      <c r="K7277" s="33"/>
      <c r="L7277" s="33"/>
      <c r="M7277" s="33"/>
      <c r="N7277" s="33"/>
      <c r="O7277" s="33"/>
      <c r="P7277" s="33"/>
      <c r="Q7277" s="33"/>
      <c r="R7277" s="33"/>
      <c r="S7277" s="33"/>
      <c r="T7277" s="33"/>
      <c r="U7277" s="33"/>
      <c r="V7277" s="33"/>
      <c r="W7277" s="33"/>
      <c r="X7277" s="33"/>
      <c r="Y7277" s="33"/>
      <c r="Z7277" s="33"/>
      <c r="AA7277" s="33"/>
      <c r="AB7277" s="33"/>
      <c r="AC7277" s="33"/>
      <c r="AD7277" s="33"/>
      <c r="AE7277" s="33"/>
      <c r="AF7277" s="33"/>
      <c r="AG7277" s="33"/>
      <c r="AH7277" s="33"/>
      <c r="AI7277" s="33"/>
      <c r="AJ7277" s="33"/>
      <c r="AK7277" s="33"/>
    </row>
    <row r="7278">
      <c r="A7278" s="33"/>
      <c r="B7278" s="33"/>
      <c r="C7278" s="33"/>
      <c r="D7278" s="33"/>
      <c r="E7278" s="33"/>
      <c r="F7278" s="33"/>
      <c r="G7278" s="33"/>
      <c r="H7278" s="33"/>
      <c r="I7278" s="33"/>
      <c r="J7278" s="33"/>
      <c r="K7278" s="33"/>
      <c r="L7278" s="33"/>
      <c r="M7278" s="33"/>
      <c r="N7278" s="33"/>
      <c r="O7278" s="33"/>
      <c r="P7278" s="33"/>
      <c r="Q7278" s="33"/>
      <c r="R7278" s="33"/>
      <c r="S7278" s="33"/>
      <c r="T7278" s="33"/>
      <c r="U7278" s="33"/>
      <c r="V7278" s="33"/>
      <c r="W7278" s="33"/>
      <c r="X7278" s="33"/>
      <c r="Y7278" s="33"/>
      <c r="Z7278" s="33"/>
      <c r="AA7278" s="33"/>
      <c r="AB7278" s="33"/>
      <c r="AC7278" s="33"/>
      <c r="AD7278" s="33"/>
      <c r="AE7278" s="33"/>
      <c r="AF7278" s="33"/>
      <c r="AG7278" s="33"/>
      <c r="AH7278" s="33"/>
      <c r="AI7278" s="33"/>
      <c r="AJ7278" s="33"/>
      <c r="AK7278" s="33"/>
    </row>
    <row r="7279">
      <c r="A7279" s="33"/>
      <c r="B7279" s="33"/>
      <c r="C7279" s="33"/>
      <c r="D7279" s="33"/>
      <c r="E7279" s="33"/>
      <c r="F7279" s="33"/>
      <c r="G7279" s="33"/>
      <c r="H7279" s="33"/>
      <c r="I7279" s="33"/>
      <c r="J7279" s="33"/>
      <c r="K7279" s="33"/>
      <c r="L7279" s="33"/>
      <c r="M7279" s="33"/>
      <c r="N7279" s="33"/>
      <c r="O7279" s="33"/>
      <c r="P7279" s="33"/>
      <c r="Q7279" s="33"/>
      <c r="R7279" s="33"/>
      <c r="S7279" s="33"/>
      <c r="T7279" s="33"/>
      <c r="U7279" s="33"/>
      <c r="V7279" s="33"/>
      <c r="W7279" s="33"/>
      <c r="X7279" s="33"/>
      <c r="Y7279" s="33"/>
      <c r="Z7279" s="33"/>
      <c r="AA7279" s="33"/>
      <c r="AB7279" s="33"/>
      <c r="AC7279" s="33"/>
      <c r="AD7279" s="33"/>
      <c r="AE7279" s="33"/>
      <c r="AF7279" s="33"/>
      <c r="AG7279" s="33"/>
      <c r="AH7279" s="33"/>
      <c r="AI7279" s="33"/>
      <c r="AJ7279" s="33"/>
      <c r="AK7279" s="33"/>
    </row>
    <row r="7280">
      <c r="A7280" s="33"/>
      <c r="B7280" s="33"/>
      <c r="C7280" s="33"/>
      <c r="D7280" s="33"/>
      <c r="E7280" s="33"/>
      <c r="F7280" s="33"/>
      <c r="G7280" s="33"/>
      <c r="H7280" s="33"/>
      <c r="I7280" s="33"/>
      <c r="J7280" s="33"/>
      <c r="K7280" s="33"/>
      <c r="L7280" s="33"/>
      <c r="M7280" s="33"/>
      <c r="N7280" s="33"/>
      <c r="O7280" s="33"/>
      <c r="P7280" s="33"/>
      <c r="Q7280" s="33"/>
      <c r="R7280" s="33"/>
      <c r="S7280" s="33"/>
      <c r="T7280" s="33"/>
      <c r="U7280" s="33"/>
      <c r="V7280" s="33"/>
      <c r="W7280" s="33"/>
      <c r="X7280" s="33"/>
      <c r="Y7280" s="33"/>
      <c r="Z7280" s="33"/>
      <c r="AA7280" s="33"/>
      <c r="AB7280" s="33"/>
      <c r="AC7280" s="33"/>
      <c r="AD7280" s="33"/>
      <c r="AE7280" s="33"/>
      <c r="AF7280" s="33"/>
      <c r="AG7280" s="33"/>
      <c r="AH7280" s="33"/>
      <c r="AI7280" s="33"/>
      <c r="AJ7280" s="33"/>
      <c r="AK7280" s="33"/>
    </row>
    <row r="7281">
      <c r="A7281" s="33"/>
      <c r="B7281" s="33"/>
      <c r="C7281" s="33"/>
      <c r="D7281" s="33"/>
      <c r="E7281" s="33"/>
      <c r="F7281" s="33"/>
      <c r="G7281" s="33"/>
      <c r="H7281" s="33"/>
      <c r="I7281" s="33"/>
      <c r="J7281" s="33"/>
      <c r="K7281" s="33"/>
      <c r="L7281" s="33"/>
      <c r="M7281" s="33"/>
      <c r="N7281" s="33"/>
      <c r="O7281" s="33"/>
      <c r="P7281" s="33"/>
      <c r="Q7281" s="33"/>
      <c r="R7281" s="33"/>
      <c r="S7281" s="33"/>
      <c r="T7281" s="33"/>
      <c r="U7281" s="33"/>
      <c r="V7281" s="33"/>
      <c r="W7281" s="33"/>
      <c r="X7281" s="33"/>
      <c r="Y7281" s="33"/>
      <c r="Z7281" s="33"/>
      <c r="AA7281" s="33"/>
      <c r="AB7281" s="33"/>
      <c r="AC7281" s="33"/>
      <c r="AD7281" s="33"/>
      <c r="AE7281" s="33"/>
      <c r="AF7281" s="33"/>
      <c r="AG7281" s="33"/>
      <c r="AH7281" s="33"/>
      <c r="AI7281" s="33"/>
      <c r="AJ7281" s="33"/>
      <c r="AK7281" s="33"/>
    </row>
    <row r="7282">
      <c r="A7282" s="33"/>
      <c r="B7282" s="33"/>
      <c r="C7282" s="33"/>
      <c r="D7282" s="33"/>
      <c r="E7282" s="33"/>
      <c r="F7282" s="33"/>
      <c r="G7282" s="33"/>
      <c r="H7282" s="33"/>
      <c r="I7282" s="33"/>
      <c r="J7282" s="33"/>
      <c r="K7282" s="33"/>
      <c r="L7282" s="33"/>
      <c r="M7282" s="33"/>
      <c r="N7282" s="33"/>
      <c r="O7282" s="33"/>
      <c r="P7282" s="33"/>
      <c r="Q7282" s="33"/>
      <c r="R7282" s="33"/>
      <c r="S7282" s="33"/>
      <c r="T7282" s="33"/>
      <c r="U7282" s="33"/>
      <c r="V7282" s="33"/>
      <c r="W7282" s="33"/>
      <c r="X7282" s="33"/>
      <c r="Y7282" s="33"/>
      <c r="Z7282" s="33"/>
      <c r="AA7282" s="33"/>
      <c r="AB7282" s="33"/>
      <c r="AC7282" s="33"/>
      <c r="AD7282" s="33"/>
      <c r="AE7282" s="33"/>
      <c r="AF7282" s="33"/>
      <c r="AG7282" s="33"/>
      <c r="AH7282" s="33"/>
      <c r="AI7282" s="33"/>
      <c r="AJ7282" s="33"/>
      <c r="AK7282" s="33"/>
    </row>
    <row r="7283">
      <c r="A7283" s="33"/>
      <c r="B7283" s="33"/>
      <c r="C7283" s="33"/>
      <c r="D7283" s="33"/>
      <c r="E7283" s="33"/>
      <c r="F7283" s="33"/>
      <c r="G7283" s="33"/>
      <c r="H7283" s="33"/>
      <c r="I7283" s="33"/>
      <c r="J7283" s="33"/>
      <c r="K7283" s="33"/>
      <c r="L7283" s="33"/>
      <c r="M7283" s="33"/>
      <c r="N7283" s="33"/>
      <c r="O7283" s="33"/>
      <c r="P7283" s="33"/>
      <c r="Q7283" s="33"/>
      <c r="R7283" s="33"/>
      <c r="S7283" s="33"/>
      <c r="T7283" s="33"/>
      <c r="U7283" s="33"/>
      <c r="V7283" s="33"/>
      <c r="W7283" s="33"/>
      <c r="X7283" s="33"/>
      <c r="Y7283" s="33"/>
      <c r="Z7283" s="33"/>
      <c r="AA7283" s="33"/>
      <c r="AB7283" s="33"/>
      <c r="AC7283" s="33"/>
      <c r="AD7283" s="33"/>
      <c r="AE7283" s="33"/>
      <c r="AF7283" s="33"/>
      <c r="AG7283" s="33"/>
      <c r="AH7283" s="33"/>
      <c r="AI7283" s="33"/>
      <c r="AJ7283" s="33"/>
      <c r="AK7283" s="33"/>
    </row>
    <row r="7284">
      <c r="A7284" s="33"/>
      <c r="B7284" s="33"/>
      <c r="C7284" s="33"/>
      <c r="D7284" s="33"/>
      <c r="E7284" s="33"/>
      <c r="F7284" s="33"/>
      <c r="G7284" s="33"/>
      <c r="H7284" s="33"/>
      <c r="I7284" s="33"/>
      <c r="J7284" s="33"/>
      <c r="K7284" s="33"/>
      <c r="L7284" s="33"/>
      <c r="M7284" s="33"/>
      <c r="N7284" s="33"/>
      <c r="O7284" s="33"/>
      <c r="P7284" s="33"/>
      <c r="Q7284" s="33"/>
      <c r="R7284" s="33"/>
      <c r="S7284" s="33"/>
      <c r="T7284" s="33"/>
      <c r="U7284" s="33"/>
      <c r="V7284" s="33"/>
      <c r="W7284" s="33"/>
      <c r="X7284" s="33"/>
      <c r="Y7284" s="33"/>
      <c r="Z7284" s="33"/>
      <c r="AA7284" s="33"/>
      <c r="AB7284" s="33"/>
      <c r="AC7284" s="33"/>
      <c r="AD7284" s="33"/>
      <c r="AE7284" s="33"/>
      <c r="AF7284" s="33"/>
      <c r="AG7284" s="33"/>
      <c r="AH7284" s="33"/>
      <c r="AI7284" s="33"/>
      <c r="AJ7284" s="33"/>
      <c r="AK7284" s="33"/>
    </row>
    <row r="7285">
      <c r="A7285" s="33"/>
      <c r="B7285" s="33"/>
      <c r="C7285" s="33"/>
      <c r="D7285" s="33"/>
      <c r="E7285" s="33"/>
      <c r="F7285" s="33"/>
      <c r="G7285" s="33"/>
      <c r="H7285" s="33"/>
      <c r="I7285" s="33"/>
      <c r="J7285" s="33"/>
      <c r="K7285" s="33"/>
      <c r="L7285" s="33"/>
      <c r="M7285" s="33"/>
      <c r="N7285" s="33"/>
      <c r="O7285" s="33"/>
      <c r="P7285" s="33"/>
      <c r="Q7285" s="33"/>
      <c r="R7285" s="33"/>
      <c r="S7285" s="33"/>
      <c r="T7285" s="33"/>
      <c r="U7285" s="33"/>
      <c r="V7285" s="33"/>
      <c r="W7285" s="33"/>
      <c r="X7285" s="33"/>
      <c r="Y7285" s="33"/>
      <c r="Z7285" s="33"/>
      <c r="AA7285" s="33"/>
      <c r="AB7285" s="33"/>
      <c r="AC7285" s="33"/>
      <c r="AD7285" s="33"/>
      <c r="AE7285" s="33"/>
      <c r="AF7285" s="33"/>
      <c r="AG7285" s="33"/>
      <c r="AH7285" s="33"/>
      <c r="AI7285" s="33"/>
      <c r="AJ7285" s="33"/>
      <c r="AK7285" s="33"/>
    </row>
    <row r="7286">
      <c r="A7286" s="33"/>
      <c r="B7286" s="33"/>
      <c r="C7286" s="33"/>
      <c r="D7286" s="33"/>
      <c r="E7286" s="33"/>
      <c r="F7286" s="33"/>
      <c r="G7286" s="33"/>
      <c r="H7286" s="33"/>
      <c r="I7286" s="33"/>
      <c r="J7286" s="33"/>
      <c r="K7286" s="33"/>
      <c r="L7286" s="33"/>
      <c r="M7286" s="33"/>
      <c r="N7286" s="33"/>
      <c r="O7286" s="33"/>
      <c r="P7286" s="33"/>
      <c r="Q7286" s="33"/>
      <c r="R7286" s="33"/>
      <c r="S7286" s="33"/>
      <c r="T7286" s="33"/>
      <c r="U7286" s="33"/>
      <c r="V7286" s="33"/>
      <c r="W7286" s="33"/>
      <c r="X7286" s="33"/>
      <c r="Y7286" s="33"/>
      <c r="Z7286" s="33"/>
      <c r="AA7286" s="33"/>
      <c r="AB7286" s="33"/>
      <c r="AC7286" s="33"/>
      <c r="AD7286" s="33"/>
      <c r="AE7286" s="33"/>
      <c r="AF7286" s="33"/>
      <c r="AG7286" s="33"/>
      <c r="AH7286" s="33"/>
      <c r="AI7286" s="33"/>
      <c r="AJ7286" s="33"/>
      <c r="AK7286" s="33"/>
    </row>
    <row r="7287">
      <c r="A7287" s="33"/>
      <c r="B7287" s="33"/>
      <c r="C7287" s="33"/>
      <c r="D7287" s="33"/>
      <c r="E7287" s="33"/>
      <c r="F7287" s="33"/>
      <c r="G7287" s="33"/>
      <c r="H7287" s="33"/>
      <c r="I7287" s="33"/>
      <c r="J7287" s="33"/>
      <c r="K7287" s="33"/>
      <c r="L7287" s="33"/>
      <c r="M7287" s="33"/>
      <c r="N7287" s="33"/>
      <c r="O7287" s="33"/>
      <c r="P7287" s="33"/>
      <c r="Q7287" s="33"/>
      <c r="R7287" s="33"/>
      <c r="S7287" s="33"/>
      <c r="T7287" s="33"/>
      <c r="U7287" s="33"/>
      <c r="V7287" s="33"/>
      <c r="W7287" s="33"/>
      <c r="X7287" s="33"/>
      <c r="Y7287" s="33"/>
      <c r="Z7287" s="33"/>
      <c r="AA7287" s="33"/>
      <c r="AB7287" s="33"/>
      <c r="AC7287" s="33"/>
      <c r="AD7287" s="33"/>
      <c r="AE7287" s="33"/>
      <c r="AF7287" s="33"/>
      <c r="AG7287" s="33"/>
      <c r="AH7287" s="33"/>
      <c r="AI7287" s="33"/>
      <c r="AJ7287" s="33"/>
      <c r="AK7287" s="33"/>
    </row>
    <row r="7288">
      <c r="A7288" s="33"/>
      <c r="B7288" s="33"/>
      <c r="C7288" s="33"/>
      <c r="D7288" s="33"/>
      <c r="E7288" s="33"/>
      <c r="F7288" s="33"/>
      <c r="G7288" s="33"/>
      <c r="H7288" s="33"/>
      <c r="I7288" s="33"/>
      <c r="J7288" s="33"/>
      <c r="K7288" s="33"/>
      <c r="L7288" s="33"/>
      <c r="M7288" s="33"/>
      <c r="N7288" s="33"/>
      <c r="O7288" s="33"/>
      <c r="P7288" s="33"/>
      <c r="Q7288" s="33"/>
      <c r="R7288" s="33"/>
      <c r="S7288" s="33"/>
      <c r="T7288" s="33"/>
      <c r="U7288" s="33"/>
      <c r="V7288" s="33"/>
      <c r="W7288" s="33"/>
      <c r="X7288" s="33"/>
      <c r="Y7288" s="33"/>
      <c r="Z7288" s="33"/>
      <c r="AA7288" s="33"/>
      <c r="AB7288" s="33"/>
      <c r="AC7288" s="33"/>
      <c r="AD7288" s="33"/>
      <c r="AE7288" s="33"/>
      <c r="AF7288" s="33"/>
      <c r="AG7288" s="33"/>
      <c r="AH7288" s="33"/>
      <c r="AI7288" s="33"/>
      <c r="AJ7288" s="33"/>
      <c r="AK7288" s="33"/>
    </row>
    <row r="7289">
      <c r="A7289" s="33"/>
      <c r="B7289" s="33"/>
      <c r="C7289" s="33"/>
      <c r="D7289" s="33"/>
      <c r="E7289" s="33"/>
      <c r="F7289" s="33"/>
      <c r="G7289" s="33"/>
      <c r="H7289" s="33"/>
      <c r="I7289" s="33"/>
      <c r="J7289" s="33"/>
      <c r="K7289" s="33"/>
      <c r="L7289" s="33"/>
      <c r="M7289" s="33"/>
      <c r="N7289" s="33"/>
      <c r="O7289" s="33"/>
      <c r="P7289" s="33"/>
      <c r="Q7289" s="33"/>
      <c r="R7289" s="33"/>
      <c r="S7289" s="33"/>
      <c r="T7289" s="33"/>
      <c r="U7289" s="33"/>
      <c r="V7289" s="33"/>
      <c r="W7289" s="33"/>
      <c r="X7289" s="33"/>
      <c r="Y7289" s="33"/>
      <c r="Z7289" s="33"/>
      <c r="AA7289" s="33"/>
      <c r="AB7289" s="33"/>
      <c r="AC7289" s="33"/>
      <c r="AD7289" s="33"/>
      <c r="AE7289" s="33"/>
      <c r="AF7289" s="33"/>
      <c r="AG7289" s="33"/>
      <c r="AH7289" s="33"/>
      <c r="AI7289" s="33"/>
      <c r="AJ7289" s="33"/>
      <c r="AK7289" s="33"/>
    </row>
    <row r="7290">
      <c r="A7290" s="33"/>
      <c r="B7290" s="33"/>
      <c r="C7290" s="33"/>
      <c r="D7290" s="33"/>
      <c r="E7290" s="33"/>
      <c r="F7290" s="33"/>
      <c r="G7290" s="33"/>
      <c r="H7290" s="33"/>
      <c r="I7290" s="33"/>
      <c r="J7290" s="33"/>
      <c r="K7290" s="33"/>
      <c r="L7290" s="33"/>
      <c r="M7290" s="33"/>
      <c r="N7290" s="33"/>
      <c r="O7290" s="33"/>
      <c r="P7290" s="33"/>
      <c r="Q7290" s="33"/>
      <c r="R7290" s="33"/>
      <c r="S7290" s="33"/>
      <c r="T7290" s="33"/>
      <c r="U7290" s="33"/>
      <c r="V7290" s="33"/>
      <c r="W7290" s="33"/>
      <c r="X7290" s="33"/>
      <c r="Y7290" s="33"/>
      <c r="Z7290" s="33"/>
      <c r="AA7290" s="33"/>
      <c r="AB7290" s="33"/>
      <c r="AC7290" s="33"/>
      <c r="AD7290" s="33"/>
      <c r="AE7290" s="33"/>
      <c r="AF7290" s="33"/>
      <c r="AG7290" s="33"/>
      <c r="AH7290" s="33"/>
      <c r="AI7290" s="33"/>
      <c r="AJ7290" s="33"/>
      <c r="AK7290" s="33"/>
    </row>
    <row r="7291">
      <c r="A7291" s="33"/>
      <c r="B7291" s="33"/>
      <c r="C7291" s="33"/>
      <c r="D7291" s="33"/>
      <c r="E7291" s="33"/>
      <c r="F7291" s="33"/>
      <c r="G7291" s="33"/>
      <c r="H7291" s="33"/>
      <c r="I7291" s="33"/>
      <c r="J7291" s="33"/>
      <c r="K7291" s="33"/>
      <c r="L7291" s="33"/>
      <c r="M7291" s="33"/>
      <c r="N7291" s="33"/>
      <c r="O7291" s="33"/>
      <c r="P7291" s="33"/>
      <c r="Q7291" s="33"/>
      <c r="R7291" s="33"/>
      <c r="S7291" s="33"/>
      <c r="T7291" s="33"/>
      <c r="U7291" s="33"/>
      <c r="V7291" s="33"/>
      <c r="W7291" s="33"/>
      <c r="X7291" s="33"/>
      <c r="Y7291" s="33"/>
      <c r="Z7291" s="33"/>
      <c r="AA7291" s="33"/>
      <c r="AB7291" s="33"/>
      <c r="AC7291" s="33"/>
      <c r="AD7291" s="33"/>
      <c r="AE7291" s="33"/>
      <c r="AF7291" s="33"/>
      <c r="AG7291" s="33"/>
      <c r="AH7291" s="33"/>
      <c r="AI7291" s="33"/>
      <c r="AJ7291" s="33"/>
      <c r="AK7291" s="33"/>
    </row>
    <row r="7292">
      <c r="A7292" s="33"/>
      <c r="B7292" s="33"/>
      <c r="C7292" s="33"/>
      <c r="D7292" s="33"/>
      <c r="E7292" s="33"/>
      <c r="F7292" s="33"/>
      <c r="G7292" s="33"/>
      <c r="H7292" s="33"/>
      <c r="I7292" s="33"/>
      <c r="J7292" s="33"/>
      <c r="K7292" s="33"/>
      <c r="L7292" s="33"/>
      <c r="M7292" s="33"/>
      <c r="N7292" s="33"/>
      <c r="O7292" s="33"/>
      <c r="P7292" s="33"/>
      <c r="Q7292" s="33"/>
      <c r="R7292" s="33"/>
      <c r="S7292" s="33"/>
      <c r="T7292" s="33"/>
      <c r="U7292" s="33"/>
      <c r="V7292" s="33"/>
      <c r="W7292" s="33"/>
      <c r="X7292" s="33"/>
      <c r="Y7292" s="33"/>
      <c r="Z7292" s="33"/>
      <c r="AA7292" s="33"/>
      <c r="AB7292" s="33"/>
      <c r="AC7292" s="33"/>
      <c r="AD7292" s="33"/>
      <c r="AE7292" s="33"/>
      <c r="AF7292" s="33"/>
      <c r="AG7292" s="33"/>
      <c r="AH7292" s="33"/>
      <c r="AI7292" s="33"/>
      <c r="AJ7292" s="33"/>
      <c r="AK7292" s="33"/>
    </row>
    <row r="7293">
      <c r="A7293" s="33"/>
      <c r="B7293" s="33"/>
      <c r="C7293" s="33"/>
      <c r="D7293" s="33"/>
      <c r="E7293" s="33"/>
      <c r="F7293" s="33"/>
      <c r="G7293" s="33"/>
      <c r="H7293" s="33"/>
      <c r="I7293" s="33"/>
      <c r="J7293" s="33"/>
      <c r="K7293" s="33"/>
      <c r="L7293" s="33"/>
      <c r="M7293" s="33"/>
      <c r="N7293" s="33"/>
      <c r="O7293" s="33"/>
      <c r="P7293" s="33"/>
      <c r="Q7293" s="33"/>
      <c r="R7293" s="33"/>
      <c r="S7293" s="33"/>
      <c r="T7293" s="33"/>
      <c r="U7293" s="33"/>
      <c r="V7293" s="33"/>
      <c r="W7293" s="33"/>
      <c r="X7293" s="33"/>
      <c r="Y7293" s="33"/>
      <c r="Z7293" s="33"/>
      <c r="AA7293" s="33"/>
      <c r="AB7293" s="33"/>
      <c r="AC7293" s="33"/>
      <c r="AD7293" s="33"/>
      <c r="AE7293" s="33"/>
      <c r="AF7293" s="33"/>
      <c r="AG7293" s="33"/>
      <c r="AH7293" s="33"/>
      <c r="AI7293" s="33"/>
      <c r="AJ7293" s="33"/>
      <c r="AK7293" s="33"/>
    </row>
    <row r="7294">
      <c r="A7294" s="33"/>
      <c r="B7294" s="33"/>
      <c r="C7294" s="33"/>
      <c r="D7294" s="33"/>
      <c r="E7294" s="33"/>
      <c r="F7294" s="33"/>
      <c r="G7294" s="33"/>
      <c r="H7294" s="33"/>
      <c r="I7294" s="33"/>
      <c r="J7294" s="33"/>
      <c r="K7294" s="33"/>
      <c r="L7294" s="33"/>
      <c r="M7294" s="33"/>
      <c r="N7294" s="33"/>
      <c r="O7294" s="33"/>
      <c r="P7294" s="33"/>
      <c r="Q7294" s="33"/>
      <c r="R7294" s="33"/>
      <c r="S7294" s="33"/>
      <c r="T7294" s="33"/>
      <c r="U7294" s="33"/>
      <c r="V7294" s="33"/>
      <c r="W7294" s="33"/>
      <c r="X7294" s="33"/>
      <c r="Y7294" s="33"/>
      <c r="Z7294" s="33"/>
      <c r="AA7294" s="33"/>
      <c r="AB7294" s="33"/>
      <c r="AC7294" s="33"/>
      <c r="AD7294" s="33"/>
      <c r="AE7294" s="33"/>
      <c r="AF7294" s="33"/>
      <c r="AG7294" s="33"/>
      <c r="AH7294" s="33"/>
      <c r="AI7294" s="33"/>
      <c r="AJ7294" s="33"/>
      <c r="AK7294" s="33"/>
    </row>
    <row r="7295">
      <c r="A7295" s="33"/>
      <c r="B7295" s="33"/>
      <c r="C7295" s="33"/>
      <c r="D7295" s="33"/>
      <c r="E7295" s="33"/>
      <c r="F7295" s="33"/>
      <c r="G7295" s="33"/>
      <c r="H7295" s="33"/>
      <c r="I7295" s="33"/>
      <c r="J7295" s="33"/>
      <c r="K7295" s="33"/>
      <c r="L7295" s="33"/>
      <c r="M7295" s="33"/>
      <c r="N7295" s="33"/>
      <c r="O7295" s="33"/>
      <c r="P7295" s="33"/>
      <c r="Q7295" s="33"/>
      <c r="R7295" s="33"/>
      <c r="S7295" s="33"/>
      <c r="T7295" s="33"/>
      <c r="U7295" s="33"/>
      <c r="V7295" s="33"/>
      <c r="W7295" s="33"/>
      <c r="X7295" s="33"/>
      <c r="Y7295" s="33"/>
      <c r="Z7295" s="33"/>
      <c r="AA7295" s="33"/>
      <c r="AB7295" s="33"/>
      <c r="AC7295" s="33"/>
      <c r="AD7295" s="33"/>
      <c r="AE7295" s="33"/>
      <c r="AF7295" s="33"/>
      <c r="AG7295" s="33"/>
      <c r="AH7295" s="33"/>
      <c r="AI7295" s="33"/>
      <c r="AJ7295" s="33"/>
      <c r="AK7295" s="33"/>
    </row>
    <row r="7296">
      <c r="A7296" s="33"/>
      <c r="B7296" s="33"/>
      <c r="C7296" s="33"/>
      <c r="D7296" s="33"/>
      <c r="E7296" s="33"/>
      <c r="F7296" s="33"/>
      <c r="G7296" s="33"/>
      <c r="H7296" s="33"/>
      <c r="I7296" s="33"/>
      <c r="J7296" s="33"/>
      <c r="K7296" s="33"/>
      <c r="L7296" s="33"/>
      <c r="M7296" s="33"/>
      <c r="N7296" s="33"/>
      <c r="O7296" s="33"/>
      <c r="P7296" s="33"/>
      <c r="Q7296" s="33"/>
      <c r="R7296" s="33"/>
      <c r="S7296" s="33"/>
      <c r="T7296" s="33"/>
      <c r="U7296" s="33"/>
      <c r="V7296" s="33"/>
      <c r="W7296" s="33"/>
      <c r="X7296" s="33"/>
      <c r="Y7296" s="33"/>
      <c r="Z7296" s="33"/>
      <c r="AA7296" s="33"/>
      <c r="AB7296" s="33"/>
      <c r="AC7296" s="33"/>
      <c r="AD7296" s="33"/>
      <c r="AE7296" s="33"/>
      <c r="AF7296" s="33"/>
      <c r="AG7296" s="33"/>
      <c r="AH7296" s="33"/>
      <c r="AI7296" s="33"/>
      <c r="AJ7296" s="33"/>
      <c r="AK7296" s="33"/>
    </row>
    <row r="7297">
      <c r="A7297" s="33"/>
      <c r="B7297" s="33"/>
      <c r="C7297" s="33"/>
      <c r="D7297" s="33"/>
      <c r="E7297" s="33"/>
      <c r="F7297" s="33"/>
      <c r="G7297" s="33"/>
      <c r="H7297" s="33"/>
      <c r="I7297" s="33"/>
      <c r="J7297" s="33"/>
      <c r="K7297" s="33"/>
      <c r="L7297" s="33"/>
      <c r="M7297" s="33"/>
      <c r="N7297" s="33"/>
      <c r="O7297" s="33"/>
      <c r="P7297" s="33"/>
      <c r="Q7297" s="33"/>
      <c r="R7297" s="33"/>
      <c r="S7297" s="33"/>
      <c r="T7297" s="33"/>
      <c r="U7297" s="33"/>
      <c r="V7297" s="33"/>
      <c r="W7297" s="33"/>
      <c r="X7297" s="33"/>
      <c r="Y7297" s="33"/>
      <c r="Z7297" s="33"/>
      <c r="AA7297" s="33"/>
      <c r="AB7297" s="33"/>
      <c r="AC7297" s="33"/>
      <c r="AD7297" s="33"/>
      <c r="AE7297" s="33"/>
      <c r="AF7297" s="33"/>
      <c r="AG7297" s="33"/>
      <c r="AH7297" s="33"/>
      <c r="AI7297" s="33"/>
      <c r="AJ7297" s="33"/>
      <c r="AK7297" s="33"/>
    </row>
    <row r="7298">
      <c r="A7298" s="33"/>
      <c r="B7298" s="33"/>
      <c r="C7298" s="33"/>
      <c r="D7298" s="33"/>
      <c r="E7298" s="33"/>
      <c r="F7298" s="33"/>
      <c r="G7298" s="33"/>
      <c r="H7298" s="33"/>
      <c r="I7298" s="33"/>
      <c r="J7298" s="33"/>
      <c r="K7298" s="33"/>
      <c r="L7298" s="33"/>
      <c r="M7298" s="33"/>
      <c r="N7298" s="33"/>
      <c r="O7298" s="33"/>
      <c r="P7298" s="33"/>
      <c r="Q7298" s="33"/>
      <c r="R7298" s="33"/>
      <c r="S7298" s="33"/>
      <c r="T7298" s="33"/>
      <c r="U7298" s="33"/>
      <c r="V7298" s="33"/>
      <c r="W7298" s="33"/>
      <c r="X7298" s="33"/>
      <c r="Y7298" s="33"/>
      <c r="Z7298" s="33"/>
      <c r="AA7298" s="33"/>
      <c r="AB7298" s="33"/>
      <c r="AC7298" s="33"/>
      <c r="AD7298" s="33"/>
      <c r="AE7298" s="33"/>
      <c r="AF7298" s="33"/>
      <c r="AG7298" s="33"/>
      <c r="AH7298" s="33"/>
      <c r="AI7298" s="33"/>
      <c r="AJ7298" s="33"/>
      <c r="AK7298" s="33"/>
    </row>
    <row r="7299">
      <c r="A7299" s="33"/>
      <c r="B7299" s="33"/>
      <c r="C7299" s="33"/>
      <c r="D7299" s="33"/>
      <c r="E7299" s="33"/>
      <c r="F7299" s="33"/>
      <c r="G7299" s="33"/>
      <c r="H7299" s="33"/>
      <c r="I7299" s="33"/>
      <c r="J7299" s="33"/>
      <c r="K7299" s="33"/>
      <c r="L7299" s="33"/>
      <c r="M7299" s="33"/>
      <c r="N7299" s="33"/>
      <c r="O7299" s="33"/>
      <c r="P7299" s="33"/>
      <c r="Q7299" s="33"/>
      <c r="R7299" s="33"/>
      <c r="S7299" s="33"/>
      <c r="T7299" s="33"/>
      <c r="U7299" s="33"/>
      <c r="V7299" s="33"/>
      <c r="W7299" s="33"/>
      <c r="X7299" s="33"/>
      <c r="Y7299" s="33"/>
      <c r="Z7299" s="33"/>
      <c r="AA7299" s="33"/>
      <c r="AB7299" s="33"/>
      <c r="AC7299" s="33"/>
      <c r="AD7299" s="33"/>
      <c r="AE7299" s="33"/>
      <c r="AF7299" s="33"/>
      <c r="AG7299" s="33"/>
      <c r="AH7299" s="33"/>
      <c r="AI7299" s="33"/>
      <c r="AJ7299" s="33"/>
      <c r="AK7299" s="33"/>
    </row>
    <row r="7300">
      <c r="A7300" s="33"/>
      <c r="B7300" s="33"/>
      <c r="C7300" s="33"/>
      <c r="D7300" s="33"/>
      <c r="E7300" s="33"/>
      <c r="F7300" s="33"/>
      <c r="G7300" s="33"/>
      <c r="H7300" s="33"/>
      <c r="I7300" s="33"/>
      <c r="J7300" s="33"/>
      <c r="K7300" s="33"/>
      <c r="L7300" s="33"/>
      <c r="M7300" s="33"/>
      <c r="N7300" s="33"/>
      <c r="O7300" s="33"/>
      <c r="P7300" s="33"/>
      <c r="Q7300" s="33"/>
      <c r="R7300" s="33"/>
      <c r="S7300" s="33"/>
      <c r="T7300" s="33"/>
      <c r="U7300" s="33"/>
      <c r="V7300" s="33"/>
      <c r="W7300" s="33"/>
      <c r="X7300" s="33"/>
      <c r="Y7300" s="33"/>
      <c r="Z7300" s="33"/>
      <c r="AA7300" s="33"/>
      <c r="AB7300" s="33"/>
      <c r="AC7300" s="33"/>
      <c r="AD7300" s="33"/>
      <c r="AE7300" s="33"/>
      <c r="AF7300" s="33"/>
      <c r="AG7300" s="33"/>
      <c r="AH7300" s="33"/>
      <c r="AI7300" s="33"/>
      <c r="AJ7300" s="33"/>
      <c r="AK7300" s="33"/>
    </row>
    <row r="7301">
      <c r="A7301" s="33"/>
      <c r="B7301" s="33"/>
      <c r="C7301" s="33"/>
      <c r="D7301" s="33"/>
      <c r="E7301" s="33"/>
      <c r="F7301" s="33"/>
      <c r="G7301" s="33"/>
      <c r="H7301" s="33"/>
      <c r="I7301" s="33"/>
      <c r="J7301" s="33"/>
      <c r="K7301" s="33"/>
      <c r="L7301" s="33"/>
      <c r="M7301" s="33"/>
      <c r="N7301" s="33"/>
      <c r="O7301" s="33"/>
      <c r="P7301" s="33"/>
      <c r="Q7301" s="33"/>
      <c r="R7301" s="33"/>
      <c r="S7301" s="33"/>
      <c r="T7301" s="33"/>
      <c r="U7301" s="33"/>
      <c r="V7301" s="33"/>
      <c r="W7301" s="33"/>
      <c r="X7301" s="33"/>
      <c r="Y7301" s="33"/>
      <c r="Z7301" s="33"/>
      <c r="AA7301" s="33"/>
      <c r="AB7301" s="33"/>
      <c r="AC7301" s="33"/>
      <c r="AD7301" s="33"/>
      <c r="AE7301" s="33"/>
      <c r="AF7301" s="33"/>
      <c r="AG7301" s="33"/>
      <c r="AH7301" s="33"/>
      <c r="AI7301" s="33"/>
      <c r="AJ7301" s="33"/>
      <c r="AK7301" s="33"/>
    </row>
    <row r="7302">
      <c r="A7302" s="33"/>
      <c r="B7302" s="33"/>
      <c r="C7302" s="33"/>
      <c r="D7302" s="33"/>
      <c r="E7302" s="33"/>
      <c r="F7302" s="33"/>
      <c r="G7302" s="33"/>
      <c r="H7302" s="33"/>
      <c r="I7302" s="33"/>
      <c r="J7302" s="33"/>
      <c r="K7302" s="33"/>
      <c r="L7302" s="33"/>
      <c r="M7302" s="33"/>
      <c r="N7302" s="33"/>
      <c r="O7302" s="33"/>
      <c r="P7302" s="33"/>
      <c r="Q7302" s="33"/>
      <c r="R7302" s="33"/>
      <c r="S7302" s="33"/>
      <c r="T7302" s="33"/>
      <c r="U7302" s="33"/>
      <c r="V7302" s="33"/>
      <c r="W7302" s="33"/>
      <c r="X7302" s="33"/>
      <c r="Y7302" s="33"/>
      <c r="Z7302" s="33"/>
      <c r="AA7302" s="33"/>
      <c r="AB7302" s="33"/>
      <c r="AC7302" s="33"/>
      <c r="AD7302" s="33"/>
      <c r="AE7302" s="33"/>
      <c r="AF7302" s="33"/>
      <c r="AG7302" s="33"/>
      <c r="AH7302" s="33"/>
      <c r="AI7302" s="33"/>
      <c r="AJ7302" s="33"/>
      <c r="AK7302" s="33"/>
    </row>
    <row r="7303">
      <c r="A7303" s="33"/>
      <c r="B7303" s="33"/>
      <c r="C7303" s="33"/>
      <c r="D7303" s="33"/>
      <c r="E7303" s="33"/>
      <c r="F7303" s="33"/>
      <c r="G7303" s="33"/>
      <c r="H7303" s="33"/>
      <c r="I7303" s="33"/>
      <c r="J7303" s="33"/>
      <c r="K7303" s="33"/>
      <c r="L7303" s="33"/>
      <c r="M7303" s="33"/>
      <c r="N7303" s="33"/>
      <c r="O7303" s="33"/>
      <c r="P7303" s="33"/>
      <c r="Q7303" s="33"/>
      <c r="R7303" s="33"/>
      <c r="S7303" s="33"/>
      <c r="T7303" s="33"/>
      <c r="U7303" s="33"/>
      <c r="V7303" s="33"/>
      <c r="W7303" s="33"/>
      <c r="X7303" s="33"/>
      <c r="Y7303" s="33"/>
      <c r="Z7303" s="33"/>
      <c r="AA7303" s="33"/>
      <c r="AB7303" s="33"/>
      <c r="AC7303" s="33"/>
      <c r="AD7303" s="33"/>
      <c r="AE7303" s="33"/>
      <c r="AF7303" s="33"/>
      <c r="AG7303" s="33"/>
      <c r="AH7303" s="33"/>
      <c r="AI7303" s="33"/>
      <c r="AJ7303" s="33"/>
      <c r="AK7303" s="33"/>
    </row>
    <row r="7304">
      <c r="A7304" s="33"/>
      <c r="B7304" s="33"/>
      <c r="C7304" s="33"/>
      <c r="D7304" s="33"/>
      <c r="E7304" s="33"/>
      <c r="F7304" s="33"/>
      <c r="G7304" s="33"/>
      <c r="H7304" s="33"/>
      <c r="I7304" s="33"/>
      <c r="J7304" s="33"/>
      <c r="K7304" s="33"/>
      <c r="L7304" s="33"/>
      <c r="M7304" s="33"/>
      <c r="N7304" s="33"/>
      <c r="O7304" s="33"/>
      <c r="P7304" s="33"/>
      <c r="Q7304" s="33"/>
      <c r="R7304" s="33"/>
      <c r="S7304" s="33"/>
      <c r="T7304" s="33"/>
      <c r="U7304" s="33"/>
      <c r="V7304" s="33"/>
      <c r="W7304" s="33"/>
      <c r="X7304" s="33"/>
      <c r="Y7304" s="33"/>
      <c r="Z7304" s="33"/>
      <c r="AA7304" s="33"/>
      <c r="AB7304" s="33"/>
      <c r="AC7304" s="33"/>
      <c r="AD7304" s="33"/>
      <c r="AE7304" s="33"/>
      <c r="AF7304" s="33"/>
      <c r="AG7304" s="33"/>
      <c r="AH7304" s="33"/>
      <c r="AI7304" s="33"/>
      <c r="AJ7304" s="33"/>
      <c r="AK7304" s="33"/>
    </row>
    <row r="7305">
      <c r="A7305" s="33"/>
      <c r="B7305" s="33"/>
      <c r="C7305" s="33"/>
      <c r="D7305" s="33"/>
      <c r="E7305" s="33"/>
      <c r="F7305" s="33"/>
      <c r="G7305" s="33"/>
      <c r="H7305" s="33"/>
      <c r="I7305" s="33"/>
      <c r="J7305" s="33"/>
      <c r="K7305" s="33"/>
      <c r="L7305" s="33"/>
      <c r="M7305" s="33"/>
      <c r="N7305" s="33"/>
      <c r="O7305" s="33"/>
      <c r="P7305" s="33"/>
      <c r="Q7305" s="33"/>
      <c r="R7305" s="33"/>
      <c r="S7305" s="33"/>
      <c r="T7305" s="33"/>
      <c r="U7305" s="33"/>
      <c r="V7305" s="33"/>
      <c r="W7305" s="33"/>
      <c r="X7305" s="33"/>
      <c r="Y7305" s="33"/>
      <c r="Z7305" s="33"/>
      <c r="AA7305" s="33"/>
      <c r="AB7305" s="33"/>
      <c r="AC7305" s="33"/>
      <c r="AD7305" s="33"/>
      <c r="AE7305" s="33"/>
      <c r="AF7305" s="33"/>
      <c r="AG7305" s="33"/>
      <c r="AH7305" s="33"/>
      <c r="AI7305" s="33"/>
      <c r="AJ7305" s="33"/>
      <c r="AK7305" s="33"/>
    </row>
    <row r="7306">
      <c r="A7306" s="33"/>
      <c r="B7306" s="33"/>
      <c r="C7306" s="33"/>
      <c r="D7306" s="33"/>
      <c r="E7306" s="33"/>
      <c r="F7306" s="33"/>
      <c r="G7306" s="33"/>
      <c r="H7306" s="33"/>
      <c r="I7306" s="33"/>
      <c r="J7306" s="33"/>
      <c r="K7306" s="33"/>
      <c r="L7306" s="33"/>
      <c r="M7306" s="33"/>
      <c r="N7306" s="33"/>
      <c r="O7306" s="33"/>
      <c r="P7306" s="33"/>
      <c r="Q7306" s="33"/>
      <c r="R7306" s="33"/>
      <c r="S7306" s="33"/>
      <c r="T7306" s="33"/>
      <c r="U7306" s="33"/>
      <c r="V7306" s="33"/>
      <c r="W7306" s="33"/>
      <c r="X7306" s="33"/>
      <c r="Y7306" s="33"/>
      <c r="Z7306" s="33"/>
      <c r="AA7306" s="33"/>
      <c r="AB7306" s="33"/>
      <c r="AC7306" s="33"/>
      <c r="AD7306" s="33"/>
      <c r="AE7306" s="33"/>
      <c r="AF7306" s="33"/>
      <c r="AG7306" s="33"/>
      <c r="AH7306" s="33"/>
      <c r="AI7306" s="33"/>
      <c r="AJ7306" s="33"/>
      <c r="AK7306" s="33"/>
    </row>
    <row r="7307">
      <c r="A7307" s="33"/>
      <c r="B7307" s="33"/>
      <c r="C7307" s="33"/>
      <c r="D7307" s="33"/>
      <c r="E7307" s="33"/>
      <c r="F7307" s="33"/>
      <c r="G7307" s="33"/>
      <c r="H7307" s="33"/>
      <c r="I7307" s="33"/>
      <c r="J7307" s="33"/>
      <c r="K7307" s="33"/>
      <c r="L7307" s="33"/>
      <c r="M7307" s="33"/>
      <c r="N7307" s="33"/>
      <c r="O7307" s="33"/>
      <c r="P7307" s="33"/>
      <c r="Q7307" s="33"/>
      <c r="R7307" s="33"/>
      <c r="S7307" s="33"/>
      <c r="T7307" s="33"/>
      <c r="U7307" s="33"/>
      <c r="V7307" s="33"/>
      <c r="W7307" s="33"/>
      <c r="X7307" s="33"/>
      <c r="Y7307" s="33"/>
      <c r="Z7307" s="33"/>
      <c r="AA7307" s="33"/>
      <c r="AB7307" s="33"/>
      <c r="AC7307" s="33"/>
      <c r="AD7307" s="33"/>
      <c r="AE7307" s="33"/>
      <c r="AF7307" s="33"/>
      <c r="AG7307" s="33"/>
      <c r="AH7307" s="33"/>
      <c r="AI7307" s="33"/>
      <c r="AJ7307" s="33"/>
      <c r="AK7307" s="33"/>
    </row>
    <row r="7308">
      <c r="A7308" s="33"/>
      <c r="B7308" s="33"/>
      <c r="C7308" s="33"/>
      <c r="D7308" s="33"/>
      <c r="E7308" s="33"/>
      <c r="F7308" s="33"/>
      <c r="G7308" s="33"/>
      <c r="H7308" s="33"/>
      <c r="I7308" s="33"/>
      <c r="J7308" s="33"/>
      <c r="K7308" s="33"/>
      <c r="L7308" s="33"/>
      <c r="M7308" s="33"/>
      <c r="N7308" s="33"/>
      <c r="O7308" s="33"/>
      <c r="P7308" s="33"/>
      <c r="Q7308" s="33"/>
      <c r="R7308" s="33"/>
      <c r="S7308" s="33"/>
      <c r="T7308" s="33"/>
      <c r="U7308" s="33"/>
      <c r="V7308" s="33"/>
      <c r="W7308" s="33"/>
      <c r="X7308" s="33"/>
      <c r="Y7308" s="33"/>
      <c r="Z7308" s="33"/>
      <c r="AA7308" s="33"/>
      <c r="AB7308" s="33"/>
      <c r="AC7308" s="33"/>
      <c r="AD7308" s="33"/>
      <c r="AE7308" s="33"/>
      <c r="AF7308" s="33"/>
      <c r="AG7308" s="33"/>
      <c r="AH7308" s="33"/>
      <c r="AI7308" s="33"/>
      <c r="AJ7308" s="33"/>
      <c r="AK7308" s="33"/>
    </row>
    <row r="7309">
      <c r="A7309" s="33"/>
      <c r="B7309" s="33"/>
      <c r="C7309" s="33"/>
      <c r="D7309" s="33"/>
      <c r="E7309" s="33"/>
      <c r="F7309" s="33"/>
      <c r="G7309" s="33"/>
      <c r="H7309" s="33"/>
      <c r="I7309" s="33"/>
      <c r="J7309" s="33"/>
      <c r="K7309" s="33"/>
      <c r="L7309" s="33"/>
      <c r="M7309" s="33"/>
      <c r="N7309" s="33"/>
      <c r="O7309" s="33"/>
      <c r="P7309" s="33"/>
      <c r="Q7309" s="33"/>
      <c r="R7309" s="33"/>
      <c r="S7309" s="33"/>
      <c r="T7309" s="33"/>
      <c r="U7309" s="33"/>
      <c r="V7309" s="33"/>
      <c r="W7309" s="33"/>
      <c r="X7309" s="33"/>
      <c r="Y7309" s="33"/>
      <c r="Z7309" s="33"/>
      <c r="AA7309" s="33"/>
      <c r="AB7309" s="33"/>
      <c r="AC7309" s="33"/>
      <c r="AD7309" s="33"/>
      <c r="AE7309" s="33"/>
      <c r="AF7309" s="33"/>
      <c r="AG7309" s="33"/>
      <c r="AH7309" s="33"/>
      <c r="AI7309" s="33"/>
      <c r="AJ7309" s="33"/>
      <c r="AK7309" s="33"/>
    </row>
    <row r="7310">
      <c r="A7310" s="33"/>
      <c r="B7310" s="33"/>
      <c r="C7310" s="33"/>
      <c r="D7310" s="33"/>
      <c r="E7310" s="33"/>
      <c r="F7310" s="33"/>
      <c r="G7310" s="33"/>
      <c r="H7310" s="33"/>
      <c r="I7310" s="33"/>
      <c r="J7310" s="33"/>
      <c r="K7310" s="33"/>
      <c r="L7310" s="33"/>
      <c r="M7310" s="33"/>
      <c r="N7310" s="33"/>
      <c r="O7310" s="33"/>
      <c r="P7310" s="33"/>
      <c r="Q7310" s="33"/>
      <c r="R7310" s="33"/>
      <c r="S7310" s="33"/>
      <c r="T7310" s="33"/>
      <c r="U7310" s="33"/>
      <c r="V7310" s="33"/>
      <c r="W7310" s="33"/>
      <c r="X7310" s="33"/>
      <c r="Y7310" s="33"/>
      <c r="Z7310" s="33"/>
      <c r="AA7310" s="33"/>
      <c r="AB7310" s="33"/>
      <c r="AC7310" s="33"/>
      <c r="AD7310" s="33"/>
      <c r="AE7310" s="33"/>
      <c r="AF7310" s="33"/>
      <c r="AG7310" s="33"/>
      <c r="AH7310" s="33"/>
      <c r="AI7310" s="33"/>
      <c r="AJ7310" s="33"/>
      <c r="AK7310" s="33"/>
    </row>
    <row r="7311">
      <c r="A7311" s="33"/>
      <c r="B7311" s="33"/>
      <c r="C7311" s="33"/>
      <c r="D7311" s="33"/>
      <c r="E7311" s="33"/>
      <c r="F7311" s="33"/>
      <c r="G7311" s="33"/>
      <c r="H7311" s="33"/>
      <c r="I7311" s="33"/>
      <c r="J7311" s="33"/>
      <c r="K7311" s="33"/>
      <c r="L7311" s="33"/>
      <c r="M7311" s="33"/>
      <c r="N7311" s="33"/>
      <c r="O7311" s="33"/>
      <c r="P7311" s="33"/>
      <c r="Q7311" s="33"/>
      <c r="R7311" s="33"/>
      <c r="S7311" s="33"/>
      <c r="T7311" s="33"/>
      <c r="U7311" s="33"/>
      <c r="V7311" s="33"/>
      <c r="W7311" s="33"/>
      <c r="X7311" s="33"/>
      <c r="Y7311" s="33"/>
      <c r="Z7311" s="33"/>
      <c r="AA7311" s="33"/>
      <c r="AB7311" s="33"/>
      <c r="AC7311" s="33"/>
      <c r="AD7311" s="33"/>
      <c r="AE7311" s="33"/>
      <c r="AF7311" s="33"/>
      <c r="AG7311" s="33"/>
      <c r="AH7311" s="33"/>
      <c r="AI7311" s="33"/>
      <c r="AJ7311" s="33"/>
      <c r="AK7311" s="33"/>
    </row>
    <row r="7312">
      <c r="A7312" s="33"/>
      <c r="B7312" s="33"/>
      <c r="C7312" s="33"/>
      <c r="D7312" s="33"/>
      <c r="E7312" s="33"/>
      <c r="F7312" s="33"/>
      <c r="G7312" s="33"/>
      <c r="H7312" s="33"/>
      <c r="I7312" s="33"/>
      <c r="J7312" s="33"/>
      <c r="K7312" s="33"/>
      <c r="L7312" s="33"/>
      <c r="M7312" s="33"/>
      <c r="N7312" s="33"/>
      <c r="O7312" s="33"/>
      <c r="P7312" s="33"/>
      <c r="Q7312" s="33"/>
      <c r="R7312" s="33"/>
      <c r="S7312" s="33"/>
      <c r="T7312" s="33"/>
      <c r="U7312" s="33"/>
      <c r="V7312" s="33"/>
      <c r="W7312" s="33"/>
      <c r="X7312" s="33"/>
      <c r="Y7312" s="33"/>
      <c r="Z7312" s="33"/>
      <c r="AA7312" s="33"/>
      <c r="AB7312" s="33"/>
      <c r="AC7312" s="33"/>
      <c r="AD7312" s="33"/>
      <c r="AE7312" s="33"/>
      <c r="AF7312" s="33"/>
      <c r="AG7312" s="33"/>
      <c r="AH7312" s="33"/>
      <c r="AI7312" s="33"/>
      <c r="AJ7312" s="33"/>
      <c r="AK7312" s="33"/>
    </row>
    <row r="7313">
      <c r="A7313" s="33"/>
      <c r="B7313" s="33"/>
      <c r="C7313" s="33"/>
      <c r="D7313" s="33"/>
      <c r="E7313" s="33"/>
      <c r="F7313" s="33"/>
      <c r="G7313" s="33"/>
      <c r="H7313" s="33"/>
      <c r="I7313" s="33"/>
      <c r="J7313" s="33"/>
      <c r="K7313" s="33"/>
      <c r="L7313" s="33"/>
      <c r="M7313" s="33"/>
      <c r="N7313" s="33"/>
      <c r="O7313" s="33"/>
      <c r="P7313" s="33"/>
      <c r="Q7313" s="33"/>
      <c r="R7313" s="33"/>
      <c r="S7313" s="33"/>
      <c r="T7313" s="33"/>
      <c r="U7313" s="33"/>
      <c r="V7313" s="33"/>
      <c r="W7313" s="33"/>
      <c r="X7313" s="33"/>
      <c r="Y7313" s="33"/>
      <c r="Z7313" s="33"/>
      <c r="AA7313" s="33"/>
      <c r="AB7313" s="33"/>
      <c r="AC7313" s="33"/>
      <c r="AD7313" s="33"/>
      <c r="AE7313" s="33"/>
      <c r="AF7313" s="33"/>
      <c r="AG7313" s="33"/>
      <c r="AH7313" s="33"/>
      <c r="AI7313" s="33"/>
      <c r="AJ7313" s="33"/>
      <c r="AK7313" s="33"/>
    </row>
    <row r="7314">
      <c r="A7314" s="33"/>
      <c r="B7314" s="33"/>
      <c r="C7314" s="33"/>
      <c r="D7314" s="33"/>
      <c r="E7314" s="33"/>
      <c r="F7314" s="33"/>
      <c r="G7314" s="33"/>
      <c r="H7314" s="33"/>
      <c r="I7314" s="33"/>
      <c r="J7314" s="33"/>
      <c r="K7314" s="33"/>
      <c r="L7314" s="33"/>
      <c r="M7314" s="33"/>
      <c r="N7314" s="33"/>
      <c r="O7314" s="33"/>
      <c r="P7314" s="33"/>
      <c r="Q7314" s="33"/>
      <c r="R7314" s="33"/>
      <c r="S7314" s="33"/>
      <c r="T7314" s="33"/>
      <c r="U7314" s="33"/>
      <c r="V7314" s="33"/>
      <c r="W7314" s="33"/>
      <c r="X7314" s="33"/>
      <c r="Y7314" s="33"/>
      <c r="Z7314" s="33"/>
      <c r="AA7314" s="33"/>
      <c r="AB7314" s="33"/>
      <c r="AC7314" s="33"/>
      <c r="AD7314" s="33"/>
      <c r="AE7314" s="33"/>
      <c r="AF7314" s="33"/>
      <c r="AG7314" s="33"/>
      <c r="AH7314" s="33"/>
      <c r="AI7314" s="33"/>
      <c r="AJ7314" s="33"/>
      <c r="AK7314" s="33"/>
    </row>
    <row r="7315">
      <c r="A7315" s="33"/>
      <c r="B7315" s="33"/>
      <c r="C7315" s="33"/>
      <c r="D7315" s="33"/>
      <c r="E7315" s="33"/>
      <c r="F7315" s="33"/>
      <c r="G7315" s="33"/>
      <c r="H7315" s="33"/>
      <c r="I7315" s="33"/>
      <c r="J7315" s="33"/>
      <c r="K7315" s="33"/>
      <c r="L7315" s="33"/>
      <c r="M7315" s="33"/>
      <c r="N7315" s="33"/>
      <c r="O7315" s="33"/>
      <c r="P7315" s="33"/>
      <c r="Q7315" s="33"/>
      <c r="R7315" s="33"/>
      <c r="S7315" s="33"/>
      <c r="T7315" s="33"/>
      <c r="U7315" s="33"/>
      <c r="V7315" s="33"/>
      <c r="W7315" s="33"/>
      <c r="X7315" s="33"/>
      <c r="Y7315" s="33"/>
      <c r="Z7315" s="33"/>
      <c r="AA7315" s="33"/>
      <c r="AB7315" s="33"/>
      <c r="AC7315" s="33"/>
      <c r="AD7315" s="33"/>
      <c r="AE7315" s="33"/>
      <c r="AF7315" s="33"/>
      <c r="AG7315" s="33"/>
      <c r="AH7315" s="33"/>
      <c r="AI7315" s="33"/>
      <c r="AJ7315" s="33"/>
      <c r="AK7315" s="33"/>
    </row>
    <row r="7316">
      <c r="A7316" s="33"/>
      <c r="B7316" s="33"/>
      <c r="C7316" s="33"/>
      <c r="D7316" s="33"/>
      <c r="E7316" s="33"/>
      <c r="F7316" s="33"/>
      <c r="G7316" s="33"/>
      <c r="H7316" s="33"/>
      <c r="I7316" s="33"/>
      <c r="J7316" s="33"/>
      <c r="K7316" s="33"/>
      <c r="L7316" s="33"/>
      <c r="M7316" s="33"/>
      <c r="N7316" s="33"/>
      <c r="O7316" s="33"/>
      <c r="P7316" s="33"/>
      <c r="Q7316" s="33"/>
      <c r="R7316" s="33"/>
      <c r="S7316" s="33"/>
      <c r="T7316" s="33"/>
      <c r="U7316" s="33"/>
      <c r="V7316" s="33"/>
      <c r="W7316" s="33"/>
      <c r="X7316" s="33"/>
      <c r="Y7316" s="33"/>
      <c r="Z7316" s="33"/>
      <c r="AA7316" s="33"/>
      <c r="AB7316" s="33"/>
      <c r="AC7316" s="33"/>
      <c r="AD7316" s="33"/>
      <c r="AE7316" s="33"/>
      <c r="AF7316" s="33"/>
      <c r="AG7316" s="33"/>
      <c r="AH7316" s="33"/>
      <c r="AI7316" s="33"/>
      <c r="AJ7316" s="33"/>
      <c r="AK7316" s="33"/>
    </row>
    <row r="7317">
      <c r="A7317" s="33"/>
      <c r="B7317" s="33"/>
      <c r="C7317" s="33"/>
      <c r="D7317" s="33"/>
      <c r="E7317" s="33"/>
      <c r="F7317" s="33"/>
      <c r="G7317" s="33"/>
      <c r="H7317" s="33"/>
      <c r="I7317" s="33"/>
      <c r="J7317" s="33"/>
      <c r="K7317" s="33"/>
      <c r="L7317" s="33"/>
      <c r="M7317" s="33"/>
      <c r="N7317" s="33"/>
      <c r="O7317" s="33"/>
      <c r="P7317" s="33"/>
      <c r="Q7317" s="33"/>
      <c r="R7317" s="33"/>
      <c r="S7317" s="33"/>
      <c r="T7317" s="33"/>
      <c r="U7317" s="33"/>
      <c r="V7317" s="33"/>
      <c r="W7317" s="33"/>
      <c r="X7317" s="33"/>
      <c r="Y7317" s="33"/>
      <c r="Z7317" s="33"/>
      <c r="AA7317" s="33"/>
      <c r="AB7317" s="33"/>
      <c r="AC7317" s="33"/>
      <c r="AD7317" s="33"/>
      <c r="AE7317" s="33"/>
      <c r="AF7317" s="33"/>
      <c r="AG7317" s="33"/>
      <c r="AH7317" s="33"/>
      <c r="AI7317" s="33"/>
      <c r="AJ7317" s="33"/>
      <c r="AK7317" s="33"/>
    </row>
    <row r="7318">
      <c r="A7318" s="33"/>
      <c r="B7318" s="33"/>
      <c r="C7318" s="33"/>
      <c r="D7318" s="33"/>
      <c r="E7318" s="33"/>
      <c r="F7318" s="33"/>
      <c r="G7318" s="33"/>
      <c r="H7318" s="33"/>
      <c r="I7318" s="33"/>
      <c r="J7318" s="33"/>
      <c r="K7318" s="33"/>
      <c r="L7318" s="33"/>
      <c r="M7318" s="33"/>
      <c r="N7318" s="33"/>
      <c r="O7318" s="33"/>
      <c r="P7318" s="33"/>
      <c r="Q7318" s="33"/>
      <c r="R7318" s="33"/>
      <c r="S7318" s="33"/>
      <c r="T7318" s="33"/>
      <c r="U7318" s="33"/>
      <c r="V7318" s="33"/>
      <c r="W7318" s="33"/>
      <c r="X7318" s="33"/>
      <c r="Y7318" s="33"/>
      <c r="Z7318" s="33"/>
      <c r="AA7318" s="33"/>
      <c r="AB7318" s="33"/>
      <c r="AC7318" s="33"/>
      <c r="AD7318" s="33"/>
      <c r="AE7318" s="33"/>
      <c r="AF7318" s="33"/>
      <c r="AG7318" s="33"/>
      <c r="AH7318" s="33"/>
      <c r="AI7318" s="33"/>
      <c r="AJ7318" s="33"/>
      <c r="AK7318" s="33"/>
    </row>
    <row r="7319">
      <c r="A7319" s="33"/>
      <c r="B7319" s="33"/>
      <c r="C7319" s="33"/>
      <c r="D7319" s="33"/>
      <c r="E7319" s="33"/>
      <c r="F7319" s="33"/>
      <c r="G7319" s="33"/>
      <c r="H7319" s="33"/>
      <c r="I7319" s="33"/>
      <c r="J7319" s="33"/>
      <c r="K7319" s="33"/>
      <c r="L7319" s="33"/>
      <c r="M7319" s="33"/>
      <c r="N7319" s="33"/>
      <c r="O7319" s="33"/>
      <c r="P7319" s="33"/>
      <c r="Q7319" s="33"/>
      <c r="R7319" s="33"/>
      <c r="S7319" s="33"/>
      <c r="T7319" s="33"/>
      <c r="U7319" s="33"/>
      <c r="V7319" s="33"/>
      <c r="W7319" s="33"/>
      <c r="X7319" s="33"/>
      <c r="Y7319" s="33"/>
      <c r="Z7319" s="33"/>
      <c r="AA7319" s="33"/>
      <c r="AB7319" s="33"/>
      <c r="AC7319" s="33"/>
      <c r="AD7319" s="33"/>
      <c r="AE7319" s="33"/>
      <c r="AF7319" s="33"/>
      <c r="AG7319" s="33"/>
      <c r="AH7319" s="33"/>
      <c r="AI7319" s="33"/>
      <c r="AJ7319" s="33"/>
      <c r="AK7319" s="33"/>
    </row>
    <row r="7320">
      <c r="A7320" s="33"/>
      <c r="B7320" s="33"/>
      <c r="C7320" s="33"/>
      <c r="D7320" s="33"/>
      <c r="E7320" s="33"/>
      <c r="F7320" s="33"/>
      <c r="G7320" s="33"/>
      <c r="H7320" s="33"/>
      <c r="I7320" s="33"/>
      <c r="J7320" s="33"/>
      <c r="K7320" s="33"/>
      <c r="L7320" s="33"/>
      <c r="M7320" s="33"/>
      <c r="N7320" s="33"/>
      <c r="O7320" s="33"/>
      <c r="P7320" s="33"/>
      <c r="Q7320" s="33"/>
      <c r="R7320" s="33"/>
      <c r="S7320" s="33"/>
      <c r="T7320" s="33"/>
      <c r="U7320" s="33"/>
      <c r="V7320" s="33"/>
      <c r="W7320" s="33"/>
      <c r="X7320" s="33"/>
      <c r="Y7320" s="33"/>
      <c r="Z7320" s="33"/>
      <c r="AA7320" s="33"/>
      <c r="AB7320" s="33"/>
      <c r="AC7320" s="33"/>
      <c r="AD7320" s="33"/>
      <c r="AE7320" s="33"/>
      <c r="AF7320" s="33"/>
      <c r="AG7320" s="33"/>
      <c r="AH7320" s="33"/>
      <c r="AI7320" s="33"/>
      <c r="AJ7320" s="33"/>
      <c r="AK7320" s="33"/>
    </row>
    <row r="7321">
      <c r="A7321" s="33"/>
      <c r="B7321" s="33"/>
      <c r="C7321" s="33"/>
      <c r="D7321" s="33"/>
      <c r="E7321" s="33"/>
      <c r="F7321" s="33"/>
      <c r="G7321" s="33"/>
      <c r="H7321" s="33"/>
      <c r="I7321" s="33"/>
      <c r="J7321" s="33"/>
      <c r="K7321" s="33"/>
      <c r="L7321" s="33"/>
      <c r="M7321" s="33"/>
      <c r="N7321" s="33"/>
      <c r="O7321" s="33"/>
      <c r="P7321" s="33"/>
      <c r="Q7321" s="33"/>
      <c r="R7321" s="33"/>
      <c r="S7321" s="33"/>
      <c r="T7321" s="33"/>
      <c r="U7321" s="33"/>
      <c r="V7321" s="33"/>
      <c r="W7321" s="33"/>
      <c r="X7321" s="33"/>
      <c r="Y7321" s="33"/>
      <c r="Z7321" s="33"/>
      <c r="AA7321" s="33"/>
      <c r="AB7321" s="33"/>
      <c r="AC7321" s="33"/>
      <c r="AD7321" s="33"/>
      <c r="AE7321" s="33"/>
      <c r="AF7321" s="33"/>
      <c r="AG7321" s="33"/>
      <c r="AH7321" s="33"/>
      <c r="AI7321" s="33"/>
      <c r="AJ7321" s="33"/>
      <c r="AK7321" s="33"/>
    </row>
    <row r="7322">
      <c r="A7322" s="33"/>
      <c r="B7322" s="33"/>
      <c r="C7322" s="33"/>
      <c r="D7322" s="33"/>
      <c r="E7322" s="33"/>
      <c r="F7322" s="33"/>
      <c r="G7322" s="33"/>
      <c r="H7322" s="33"/>
      <c r="I7322" s="33"/>
      <c r="J7322" s="33"/>
      <c r="K7322" s="33"/>
      <c r="L7322" s="33"/>
      <c r="M7322" s="33"/>
      <c r="N7322" s="33"/>
      <c r="O7322" s="33"/>
      <c r="P7322" s="33"/>
      <c r="Q7322" s="33"/>
      <c r="R7322" s="33"/>
      <c r="S7322" s="33"/>
      <c r="T7322" s="33"/>
      <c r="U7322" s="33"/>
      <c r="V7322" s="33"/>
      <c r="W7322" s="33"/>
      <c r="X7322" s="33"/>
      <c r="Y7322" s="33"/>
      <c r="Z7322" s="33"/>
      <c r="AA7322" s="33"/>
      <c r="AB7322" s="33"/>
      <c r="AC7322" s="33"/>
      <c r="AD7322" s="33"/>
      <c r="AE7322" s="33"/>
      <c r="AF7322" s="33"/>
      <c r="AG7322" s="33"/>
      <c r="AH7322" s="33"/>
      <c r="AI7322" s="33"/>
      <c r="AJ7322" s="33"/>
      <c r="AK7322" s="33"/>
    </row>
    <row r="7323">
      <c r="A7323" s="33"/>
      <c r="B7323" s="33"/>
      <c r="C7323" s="33"/>
      <c r="D7323" s="33"/>
      <c r="E7323" s="33"/>
      <c r="F7323" s="33"/>
      <c r="G7323" s="33"/>
      <c r="H7323" s="33"/>
      <c r="I7323" s="33"/>
      <c r="J7323" s="33"/>
      <c r="K7323" s="33"/>
      <c r="L7323" s="33"/>
      <c r="M7323" s="33"/>
      <c r="N7323" s="33"/>
      <c r="O7323" s="33"/>
      <c r="P7323" s="33"/>
      <c r="Q7323" s="33"/>
      <c r="R7323" s="33"/>
      <c r="S7323" s="33"/>
      <c r="T7323" s="33"/>
      <c r="U7323" s="33"/>
      <c r="V7323" s="33"/>
      <c r="W7323" s="33"/>
      <c r="X7323" s="33"/>
      <c r="Y7323" s="33"/>
      <c r="Z7323" s="33"/>
      <c r="AA7323" s="33"/>
      <c r="AB7323" s="33"/>
      <c r="AC7323" s="33"/>
      <c r="AD7323" s="33"/>
      <c r="AE7323" s="33"/>
      <c r="AF7323" s="33"/>
      <c r="AG7323" s="33"/>
      <c r="AH7323" s="33"/>
      <c r="AI7323" s="33"/>
      <c r="AJ7323" s="33"/>
      <c r="AK7323" s="33"/>
    </row>
    <row r="7324">
      <c r="A7324" s="33"/>
      <c r="B7324" s="33"/>
      <c r="C7324" s="33"/>
      <c r="D7324" s="33"/>
      <c r="E7324" s="33"/>
      <c r="F7324" s="33"/>
      <c r="G7324" s="33"/>
      <c r="H7324" s="33"/>
      <c r="I7324" s="33"/>
      <c r="J7324" s="33"/>
      <c r="K7324" s="33"/>
      <c r="L7324" s="33"/>
      <c r="M7324" s="33"/>
      <c r="N7324" s="33"/>
      <c r="O7324" s="33"/>
      <c r="P7324" s="33"/>
      <c r="Q7324" s="33"/>
      <c r="R7324" s="33"/>
      <c r="S7324" s="33"/>
      <c r="T7324" s="33"/>
      <c r="U7324" s="33"/>
      <c r="V7324" s="33"/>
      <c r="W7324" s="33"/>
      <c r="X7324" s="33"/>
      <c r="Y7324" s="33"/>
      <c r="Z7324" s="33"/>
      <c r="AA7324" s="33"/>
      <c r="AB7324" s="33"/>
      <c r="AC7324" s="33"/>
      <c r="AD7324" s="33"/>
      <c r="AE7324" s="33"/>
      <c r="AF7324" s="33"/>
      <c r="AG7324" s="33"/>
      <c r="AH7324" s="33"/>
      <c r="AI7324" s="33"/>
      <c r="AJ7324" s="33"/>
      <c r="AK7324" s="33"/>
    </row>
    <row r="7325">
      <c r="A7325" s="33"/>
      <c r="B7325" s="33"/>
      <c r="C7325" s="33"/>
      <c r="D7325" s="33"/>
      <c r="E7325" s="33"/>
      <c r="F7325" s="33"/>
      <c r="G7325" s="33"/>
      <c r="H7325" s="33"/>
      <c r="I7325" s="33"/>
      <c r="J7325" s="33"/>
      <c r="K7325" s="33"/>
      <c r="L7325" s="33"/>
      <c r="M7325" s="33"/>
      <c r="N7325" s="33"/>
      <c r="O7325" s="33"/>
      <c r="P7325" s="33"/>
      <c r="Q7325" s="33"/>
      <c r="R7325" s="33"/>
      <c r="S7325" s="33"/>
      <c r="T7325" s="33"/>
      <c r="U7325" s="33"/>
      <c r="V7325" s="33"/>
      <c r="W7325" s="33"/>
      <c r="X7325" s="33"/>
      <c r="Y7325" s="33"/>
      <c r="Z7325" s="33"/>
      <c r="AA7325" s="33"/>
      <c r="AB7325" s="33"/>
      <c r="AC7325" s="33"/>
      <c r="AD7325" s="33"/>
      <c r="AE7325" s="33"/>
      <c r="AF7325" s="33"/>
      <c r="AG7325" s="33"/>
      <c r="AH7325" s="33"/>
      <c r="AI7325" s="33"/>
      <c r="AJ7325" s="33"/>
      <c r="AK7325" s="33"/>
    </row>
    <row r="7326">
      <c r="A7326" s="33"/>
      <c r="B7326" s="33"/>
      <c r="C7326" s="33"/>
      <c r="D7326" s="33"/>
      <c r="E7326" s="33"/>
      <c r="F7326" s="33"/>
      <c r="G7326" s="33"/>
      <c r="H7326" s="33"/>
      <c r="I7326" s="33"/>
      <c r="J7326" s="33"/>
      <c r="K7326" s="33"/>
      <c r="L7326" s="33"/>
      <c r="M7326" s="33"/>
      <c r="N7326" s="33"/>
      <c r="O7326" s="33"/>
      <c r="P7326" s="33"/>
      <c r="Q7326" s="33"/>
      <c r="R7326" s="33"/>
      <c r="S7326" s="33"/>
      <c r="T7326" s="33"/>
      <c r="U7326" s="33"/>
      <c r="V7326" s="33"/>
      <c r="W7326" s="33"/>
      <c r="X7326" s="33"/>
      <c r="Y7326" s="33"/>
      <c r="Z7326" s="33"/>
      <c r="AA7326" s="33"/>
      <c r="AB7326" s="33"/>
      <c r="AC7326" s="33"/>
      <c r="AD7326" s="33"/>
      <c r="AE7326" s="33"/>
      <c r="AF7326" s="33"/>
      <c r="AG7326" s="33"/>
      <c r="AH7326" s="33"/>
      <c r="AI7326" s="33"/>
      <c r="AJ7326" s="33"/>
      <c r="AK7326" s="33"/>
    </row>
    <row r="7327">
      <c r="A7327" s="33"/>
      <c r="B7327" s="33"/>
      <c r="C7327" s="33"/>
      <c r="D7327" s="33"/>
      <c r="E7327" s="33"/>
      <c r="F7327" s="33"/>
      <c r="G7327" s="33"/>
      <c r="H7327" s="33"/>
      <c r="I7327" s="33"/>
      <c r="J7327" s="33"/>
      <c r="K7327" s="33"/>
      <c r="L7327" s="33"/>
      <c r="M7327" s="33"/>
      <c r="N7327" s="33"/>
      <c r="O7327" s="33"/>
      <c r="P7327" s="33"/>
      <c r="Q7327" s="33"/>
      <c r="R7327" s="33"/>
      <c r="S7327" s="33"/>
      <c r="T7327" s="33"/>
      <c r="U7327" s="33"/>
      <c r="V7327" s="33"/>
      <c r="W7327" s="33"/>
      <c r="X7327" s="33"/>
      <c r="Y7327" s="33"/>
      <c r="Z7327" s="33"/>
      <c r="AA7327" s="33"/>
      <c r="AB7327" s="33"/>
      <c r="AC7327" s="33"/>
      <c r="AD7327" s="33"/>
      <c r="AE7327" s="33"/>
      <c r="AF7327" s="33"/>
      <c r="AG7327" s="33"/>
      <c r="AH7327" s="33"/>
      <c r="AI7327" s="33"/>
      <c r="AJ7327" s="33"/>
      <c r="AK7327" s="33"/>
    </row>
    <row r="7328">
      <c r="A7328" s="33"/>
      <c r="B7328" s="33"/>
      <c r="C7328" s="33"/>
      <c r="D7328" s="33"/>
      <c r="E7328" s="33"/>
      <c r="F7328" s="33"/>
      <c r="G7328" s="33"/>
      <c r="H7328" s="33"/>
      <c r="I7328" s="33"/>
      <c r="J7328" s="33"/>
      <c r="K7328" s="33"/>
      <c r="L7328" s="33"/>
      <c r="M7328" s="33"/>
      <c r="N7328" s="33"/>
      <c r="O7328" s="33"/>
      <c r="P7328" s="33"/>
      <c r="Q7328" s="33"/>
      <c r="R7328" s="33"/>
      <c r="S7328" s="33"/>
      <c r="T7328" s="33"/>
      <c r="U7328" s="33"/>
      <c r="V7328" s="33"/>
      <c r="W7328" s="33"/>
      <c r="X7328" s="33"/>
      <c r="Y7328" s="33"/>
      <c r="Z7328" s="33"/>
      <c r="AA7328" s="33"/>
      <c r="AB7328" s="33"/>
      <c r="AC7328" s="33"/>
      <c r="AD7328" s="33"/>
      <c r="AE7328" s="33"/>
      <c r="AF7328" s="33"/>
      <c r="AG7328" s="33"/>
      <c r="AH7328" s="33"/>
      <c r="AI7328" s="33"/>
      <c r="AJ7328" s="33"/>
      <c r="AK7328" s="33"/>
    </row>
    <row r="7329">
      <c r="A7329" s="33"/>
      <c r="B7329" s="33"/>
      <c r="C7329" s="33"/>
      <c r="D7329" s="33"/>
      <c r="E7329" s="33"/>
      <c r="F7329" s="33"/>
      <c r="G7329" s="33"/>
      <c r="H7329" s="33"/>
      <c r="I7329" s="33"/>
      <c r="J7329" s="33"/>
      <c r="K7329" s="33"/>
      <c r="L7329" s="33"/>
      <c r="M7329" s="33"/>
      <c r="N7329" s="33"/>
      <c r="O7329" s="33"/>
      <c r="P7329" s="33"/>
      <c r="Q7329" s="33"/>
      <c r="R7329" s="33"/>
      <c r="S7329" s="33"/>
      <c r="T7329" s="33"/>
      <c r="U7329" s="33"/>
      <c r="V7329" s="33"/>
      <c r="W7329" s="33"/>
      <c r="X7329" s="33"/>
      <c r="Y7329" s="33"/>
      <c r="Z7329" s="33"/>
      <c r="AA7329" s="33"/>
      <c r="AB7329" s="33"/>
      <c r="AC7329" s="33"/>
      <c r="AD7329" s="33"/>
      <c r="AE7329" s="33"/>
      <c r="AF7329" s="33"/>
      <c r="AG7329" s="33"/>
      <c r="AH7329" s="33"/>
      <c r="AI7329" s="33"/>
      <c r="AJ7329" s="33"/>
      <c r="AK7329" s="33"/>
    </row>
    <row r="7330">
      <c r="A7330" s="33"/>
      <c r="B7330" s="33"/>
      <c r="C7330" s="33"/>
      <c r="D7330" s="33"/>
      <c r="E7330" s="33"/>
      <c r="F7330" s="33"/>
      <c r="G7330" s="33"/>
      <c r="H7330" s="33"/>
      <c r="I7330" s="33"/>
      <c r="J7330" s="33"/>
      <c r="K7330" s="33"/>
      <c r="L7330" s="33"/>
      <c r="M7330" s="33"/>
      <c r="N7330" s="33"/>
      <c r="O7330" s="33"/>
      <c r="P7330" s="33"/>
      <c r="Q7330" s="33"/>
      <c r="R7330" s="33"/>
      <c r="S7330" s="33"/>
      <c r="T7330" s="33"/>
      <c r="U7330" s="33"/>
      <c r="V7330" s="33"/>
      <c r="W7330" s="33"/>
      <c r="X7330" s="33"/>
      <c r="Y7330" s="33"/>
      <c r="Z7330" s="33"/>
      <c r="AA7330" s="33"/>
      <c r="AB7330" s="33"/>
      <c r="AC7330" s="33"/>
      <c r="AD7330" s="33"/>
      <c r="AE7330" s="33"/>
      <c r="AF7330" s="33"/>
      <c r="AG7330" s="33"/>
      <c r="AH7330" s="33"/>
      <c r="AI7330" s="33"/>
      <c r="AJ7330" s="33"/>
      <c r="AK7330" s="33"/>
    </row>
    <row r="7331">
      <c r="A7331" s="33"/>
      <c r="B7331" s="33"/>
      <c r="C7331" s="33"/>
      <c r="D7331" s="33"/>
      <c r="E7331" s="33"/>
      <c r="F7331" s="33"/>
      <c r="G7331" s="33"/>
      <c r="H7331" s="33"/>
      <c r="I7331" s="33"/>
      <c r="J7331" s="33"/>
      <c r="K7331" s="33"/>
      <c r="L7331" s="33"/>
      <c r="M7331" s="33"/>
      <c r="N7331" s="33"/>
      <c r="O7331" s="33"/>
      <c r="P7331" s="33"/>
      <c r="Q7331" s="33"/>
      <c r="R7331" s="33"/>
      <c r="S7331" s="33"/>
      <c r="T7331" s="33"/>
      <c r="U7331" s="33"/>
      <c r="V7331" s="33"/>
      <c r="W7331" s="33"/>
      <c r="X7331" s="33"/>
      <c r="Y7331" s="33"/>
      <c r="Z7331" s="33"/>
      <c r="AA7331" s="33"/>
      <c r="AB7331" s="33"/>
      <c r="AC7331" s="33"/>
      <c r="AD7331" s="33"/>
      <c r="AE7331" s="33"/>
      <c r="AF7331" s="33"/>
      <c r="AG7331" s="33"/>
      <c r="AH7331" s="33"/>
      <c r="AI7331" s="33"/>
      <c r="AJ7331" s="33"/>
      <c r="AK7331" s="33"/>
    </row>
    <row r="7332">
      <c r="A7332" s="33"/>
      <c r="B7332" s="33"/>
      <c r="C7332" s="33"/>
      <c r="D7332" s="33"/>
      <c r="E7332" s="33"/>
      <c r="F7332" s="33"/>
      <c r="G7332" s="33"/>
      <c r="H7332" s="33"/>
      <c r="I7332" s="33"/>
      <c r="J7332" s="33"/>
      <c r="K7332" s="33"/>
      <c r="L7332" s="33"/>
      <c r="M7332" s="33"/>
      <c r="N7332" s="33"/>
      <c r="O7332" s="33"/>
      <c r="P7332" s="33"/>
      <c r="Q7332" s="33"/>
      <c r="R7332" s="33"/>
      <c r="S7332" s="33"/>
      <c r="T7332" s="33"/>
      <c r="U7332" s="33"/>
      <c r="V7332" s="33"/>
      <c r="W7332" s="33"/>
      <c r="X7332" s="33"/>
      <c r="Y7332" s="33"/>
      <c r="Z7332" s="33"/>
      <c r="AA7332" s="33"/>
      <c r="AB7332" s="33"/>
      <c r="AC7332" s="33"/>
      <c r="AD7332" s="33"/>
      <c r="AE7332" s="33"/>
      <c r="AF7332" s="33"/>
      <c r="AG7332" s="33"/>
      <c r="AH7332" s="33"/>
      <c r="AI7332" s="33"/>
      <c r="AJ7332" s="33"/>
      <c r="AK7332" s="33"/>
    </row>
    <row r="7333">
      <c r="A7333" s="33"/>
      <c r="B7333" s="33"/>
      <c r="C7333" s="33"/>
      <c r="D7333" s="33"/>
      <c r="E7333" s="33"/>
      <c r="F7333" s="33"/>
      <c r="G7333" s="33"/>
      <c r="H7333" s="33"/>
      <c r="I7333" s="33"/>
      <c r="J7333" s="33"/>
      <c r="K7333" s="33"/>
      <c r="L7333" s="33"/>
      <c r="M7333" s="33"/>
      <c r="N7333" s="33"/>
      <c r="O7333" s="33"/>
      <c r="P7333" s="33"/>
      <c r="Q7333" s="33"/>
      <c r="R7333" s="33"/>
      <c r="S7333" s="33"/>
      <c r="T7333" s="33"/>
      <c r="U7333" s="33"/>
      <c r="V7333" s="33"/>
      <c r="W7333" s="33"/>
      <c r="X7333" s="33"/>
      <c r="Y7333" s="33"/>
      <c r="Z7333" s="33"/>
      <c r="AA7333" s="33"/>
      <c r="AB7333" s="33"/>
      <c r="AC7333" s="33"/>
      <c r="AD7333" s="33"/>
      <c r="AE7333" s="33"/>
      <c r="AF7333" s="33"/>
      <c r="AG7333" s="33"/>
      <c r="AH7333" s="33"/>
      <c r="AI7333" s="33"/>
      <c r="AJ7333" s="33"/>
      <c r="AK7333" s="33"/>
    </row>
    <row r="7334">
      <c r="A7334" s="33"/>
      <c r="B7334" s="33"/>
      <c r="C7334" s="33"/>
      <c r="D7334" s="33"/>
      <c r="E7334" s="33"/>
      <c r="F7334" s="33"/>
      <c r="G7334" s="33"/>
      <c r="H7334" s="33"/>
      <c r="I7334" s="33"/>
      <c r="J7334" s="33"/>
      <c r="K7334" s="33"/>
      <c r="L7334" s="33"/>
      <c r="M7334" s="33"/>
      <c r="N7334" s="33"/>
      <c r="O7334" s="33"/>
      <c r="P7334" s="33"/>
      <c r="Q7334" s="33"/>
      <c r="R7334" s="33"/>
      <c r="S7334" s="33"/>
      <c r="T7334" s="33"/>
      <c r="U7334" s="33"/>
      <c r="V7334" s="33"/>
      <c r="W7334" s="33"/>
      <c r="X7334" s="33"/>
      <c r="Y7334" s="33"/>
      <c r="Z7334" s="33"/>
      <c r="AA7334" s="33"/>
      <c r="AB7334" s="33"/>
      <c r="AC7334" s="33"/>
      <c r="AD7334" s="33"/>
      <c r="AE7334" s="33"/>
      <c r="AF7334" s="33"/>
      <c r="AG7334" s="33"/>
      <c r="AH7334" s="33"/>
      <c r="AI7334" s="33"/>
      <c r="AJ7334" s="33"/>
      <c r="AK7334" s="33"/>
    </row>
    <row r="7335">
      <c r="A7335" s="33"/>
      <c r="B7335" s="33"/>
      <c r="C7335" s="33"/>
      <c r="D7335" s="33"/>
      <c r="E7335" s="33"/>
      <c r="F7335" s="33"/>
      <c r="G7335" s="33"/>
      <c r="H7335" s="33"/>
      <c r="I7335" s="33"/>
      <c r="J7335" s="33"/>
      <c r="K7335" s="33"/>
      <c r="L7335" s="33"/>
      <c r="M7335" s="33"/>
      <c r="N7335" s="33"/>
      <c r="O7335" s="33"/>
      <c r="P7335" s="33"/>
      <c r="Q7335" s="33"/>
      <c r="R7335" s="33"/>
      <c r="S7335" s="33"/>
      <c r="T7335" s="33"/>
      <c r="U7335" s="33"/>
      <c r="V7335" s="33"/>
      <c r="W7335" s="33"/>
      <c r="X7335" s="33"/>
      <c r="Y7335" s="33"/>
      <c r="Z7335" s="33"/>
      <c r="AA7335" s="33"/>
      <c r="AB7335" s="33"/>
      <c r="AC7335" s="33"/>
      <c r="AD7335" s="33"/>
      <c r="AE7335" s="33"/>
      <c r="AF7335" s="33"/>
      <c r="AG7335" s="33"/>
      <c r="AH7335" s="33"/>
      <c r="AI7335" s="33"/>
      <c r="AJ7335" s="33"/>
      <c r="AK7335" s="33"/>
    </row>
    <row r="7336">
      <c r="A7336" s="33"/>
      <c r="B7336" s="33"/>
      <c r="C7336" s="33"/>
      <c r="D7336" s="33"/>
      <c r="E7336" s="33"/>
      <c r="F7336" s="33"/>
      <c r="G7336" s="33"/>
      <c r="H7336" s="33"/>
      <c r="I7336" s="33"/>
      <c r="J7336" s="33"/>
      <c r="K7336" s="33"/>
      <c r="L7336" s="33"/>
      <c r="M7336" s="33"/>
      <c r="N7336" s="33"/>
      <c r="O7336" s="33"/>
      <c r="P7336" s="33"/>
      <c r="Q7336" s="33"/>
      <c r="R7336" s="33"/>
      <c r="S7336" s="33"/>
      <c r="T7336" s="33"/>
      <c r="U7336" s="33"/>
      <c r="V7336" s="33"/>
      <c r="W7336" s="33"/>
      <c r="X7336" s="33"/>
      <c r="Y7336" s="33"/>
      <c r="Z7336" s="33"/>
      <c r="AA7336" s="33"/>
      <c r="AB7336" s="33"/>
      <c r="AC7336" s="33"/>
      <c r="AD7336" s="33"/>
      <c r="AE7336" s="33"/>
      <c r="AF7336" s="33"/>
      <c r="AG7336" s="33"/>
      <c r="AH7336" s="33"/>
      <c r="AI7336" s="33"/>
      <c r="AJ7336" s="33"/>
      <c r="AK7336" s="33"/>
    </row>
    <row r="7337">
      <c r="A7337" s="33"/>
      <c r="B7337" s="33"/>
      <c r="C7337" s="33"/>
      <c r="D7337" s="33"/>
      <c r="E7337" s="33"/>
      <c r="F7337" s="33"/>
      <c r="G7337" s="33"/>
      <c r="H7337" s="33"/>
      <c r="I7337" s="33"/>
      <c r="J7337" s="33"/>
      <c r="K7337" s="33"/>
      <c r="L7337" s="33"/>
      <c r="M7337" s="33"/>
      <c r="N7337" s="33"/>
      <c r="O7337" s="33"/>
      <c r="P7337" s="33"/>
      <c r="Q7337" s="33"/>
      <c r="R7337" s="33"/>
      <c r="S7337" s="33"/>
      <c r="T7337" s="33"/>
      <c r="U7337" s="33"/>
      <c r="V7337" s="33"/>
      <c r="W7337" s="33"/>
      <c r="X7337" s="33"/>
      <c r="Y7337" s="33"/>
      <c r="Z7337" s="33"/>
      <c r="AA7337" s="33"/>
      <c r="AB7337" s="33"/>
      <c r="AC7337" s="33"/>
      <c r="AD7337" s="33"/>
      <c r="AE7337" s="33"/>
      <c r="AF7337" s="33"/>
      <c r="AG7337" s="33"/>
      <c r="AH7337" s="33"/>
      <c r="AI7337" s="33"/>
      <c r="AJ7337" s="33"/>
      <c r="AK7337" s="33"/>
    </row>
    <row r="7338">
      <c r="A7338" s="33"/>
      <c r="B7338" s="33"/>
      <c r="C7338" s="33"/>
      <c r="D7338" s="33"/>
      <c r="E7338" s="33"/>
      <c r="F7338" s="33"/>
      <c r="G7338" s="33"/>
      <c r="H7338" s="33"/>
      <c r="I7338" s="33"/>
      <c r="J7338" s="33"/>
      <c r="K7338" s="33"/>
      <c r="L7338" s="33"/>
      <c r="M7338" s="33"/>
      <c r="N7338" s="33"/>
      <c r="O7338" s="33"/>
      <c r="P7338" s="33"/>
      <c r="Q7338" s="33"/>
      <c r="R7338" s="33"/>
      <c r="S7338" s="33"/>
      <c r="T7338" s="33"/>
      <c r="U7338" s="33"/>
      <c r="V7338" s="33"/>
      <c r="W7338" s="33"/>
      <c r="X7338" s="33"/>
      <c r="Y7338" s="33"/>
      <c r="Z7338" s="33"/>
      <c r="AA7338" s="33"/>
      <c r="AB7338" s="33"/>
      <c r="AC7338" s="33"/>
      <c r="AD7338" s="33"/>
      <c r="AE7338" s="33"/>
      <c r="AF7338" s="33"/>
      <c r="AG7338" s="33"/>
      <c r="AH7338" s="33"/>
      <c r="AI7338" s="33"/>
      <c r="AJ7338" s="33"/>
      <c r="AK7338" s="33"/>
    </row>
    <row r="7339">
      <c r="A7339" s="33"/>
      <c r="B7339" s="33"/>
      <c r="C7339" s="33"/>
      <c r="D7339" s="33"/>
      <c r="E7339" s="33"/>
      <c r="F7339" s="33"/>
      <c r="G7339" s="33"/>
      <c r="H7339" s="33"/>
      <c r="I7339" s="33"/>
      <c r="J7339" s="33"/>
      <c r="K7339" s="33"/>
      <c r="L7339" s="33"/>
      <c r="M7339" s="33"/>
      <c r="N7339" s="33"/>
      <c r="O7339" s="33"/>
      <c r="P7339" s="33"/>
      <c r="Q7339" s="33"/>
      <c r="R7339" s="33"/>
      <c r="S7339" s="33"/>
      <c r="T7339" s="33"/>
      <c r="U7339" s="33"/>
      <c r="V7339" s="33"/>
      <c r="W7339" s="33"/>
      <c r="X7339" s="33"/>
      <c r="Y7339" s="33"/>
      <c r="Z7339" s="33"/>
      <c r="AA7339" s="33"/>
      <c r="AB7339" s="33"/>
      <c r="AC7339" s="33"/>
      <c r="AD7339" s="33"/>
      <c r="AE7339" s="33"/>
      <c r="AF7339" s="33"/>
      <c r="AG7339" s="33"/>
      <c r="AH7339" s="33"/>
      <c r="AI7339" s="33"/>
      <c r="AJ7339" s="33"/>
      <c r="AK7339" s="33"/>
    </row>
    <row r="7340">
      <c r="A7340" s="33"/>
      <c r="B7340" s="33"/>
      <c r="C7340" s="33"/>
      <c r="D7340" s="33"/>
      <c r="E7340" s="33"/>
      <c r="F7340" s="33"/>
      <c r="G7340" s="33"/>
      <c r="H7340" s="33"/>
      <c r="I7340" s="33"/>
      <c r="J7340" s="33"/>
      <c r="K7340" s="33"/>
      <c r="L7340" s="33"/>
      <c r="M7340" s="33"/>
      <c r="N7340" s="33"/>
      <c r="O7340" s="33"/>
      <c r="P7340" s="33"/>
      <c r="Q7340" s="33"/>
      <c r="R7340" s="33"/>
      <c r="S7340" s="33"/>
      <c r="T7340" s="33"/>
      <c r="U7340" s="33"/>
      <c r="V7340" s="33"/>
      <c r="W7340" s="33"/>
      <c r="X7340" s="33"/>
      <c r="Y7340" s="33"/>
      <c r="Z7340" s="33"/>
      <c r="AA7340" s="33"/>
      <c r="AB7340" s="33"/>
      <c r="AC7340" s="33"/>
      <c r="AD7340" s="33"/>
      <c r="AE7340" s="33"/>
      <c r="AF7340" s="33"/>
      <c r="AG7340" s="33"/>
      <c r="AH7340" s="33"/>
      <c r="AI7340" s="33"/>
      <c r="AJ7340" s="33"/>
      <c r="AK7340" s="33"/>
    </row>
    <row r="7341">
      <c r="A7341" s="33"/>
      <c r="B7341" s="33"/>
      <c r="C7341" s="33"/>
      <c r="D7341" s="33"/>
      <c r="E7341" s="33"/>
      <c r="F7341" s="33"/>
      <c r="G7341" s="33"/>
      <c r="H7341" s="33"/>
      <c r="I7341" s="33"/>
      <c r="J7341" s="33"/>
      <c r="K7341" s="33"/>
      <c r="L7341" s="33"/>
      <c r="M7341" s="33"/>
      <c r="N7341" s="33"/>
      <c r="O7341" s="33"/>
      <c r="P7341" s="33"/>
      <c r="Q7341" s="33"/>
      <c r="R7341" s="33"/>
      <c r="S7341" s="33"/>
      <c r="T7341" s="33"/>
      <c r="U7341" s="33"/>
      <c r="V7341" s="33"/>
      <c r="W7341" s="33"/>
      <c r="X7341" s="33"/>
      <c r="Y7341" s="33"/>
      <c r="Z7341" s="33"/>
      <c r="AA7341" s="33"/>
      <c r="AB7341" s="33"/>
      <c r="AC7341" s="33"/>
      <c r="AD7341" s="33"/>
      <c r="AE7341" s="33"/>
      <c r="AF7341" s="33"/>
      <c r="AG7341" s="33"/>
      <c r="AH7341" s="33"/>
      <c r="AI7341" s="33"/>
      <c r="AJ7341" s="33"/>
      <c r="AK7341" s="33"/>
    </row>
    <row r="7342">
      <c r="A7342" s="33"/>
      <c r="B7342" s="33"/>
      <c r="C7342" s="33"/>
      <c r="D7342" s="33"/>
      <c r="E7342" s="33"/>
      <c r="F7342" s="33"/>
      <c r="G7342" s="33"/>
      <c r="H7342" s="33"/>
      <c r="I7342" s="33"/>
      <c r="J7342" s="33"/>
      <c r="K7342" s="33"/>
      <c r="L7342" s="33"/>
      <c r="M7342" s="33"/>
      <c r="N7342" s="33"/>
      <c r="O7342" s="33"/>
      <c r="P7342" s="33"/>
      <c r="Q7342" s="33"/>
      <c r="R7342" s="33"/>
      <c r="S7342" s="33"/>
      <c r="T7342" s="33"/>
      <c r="U7342" s="33"/>
      <c r="V7342" s="33"/>
      <c r="W7342" s="33"/>
      <c r="X7342" s="33"/>
      <c r="Y7342" s="33"/>
      <c r="Z7342" s="33"/>
      <c r="AA7342" s="33"/>
      <c r="AB7342" s="33"/>
      <c r="AC7342" s="33"/>
      <c r="AD7342" s="33"/>
      <c r="AE7342" s="33"/>
      <c r="AF7342" s="33"/>
      <c r="AG7342" s="33"/>
      <c r="AH7342" s="33"/>
      <c r="AI7342" s="33"/>
      <c r="AJ7342" s="33"/>
      <c r="AK7342" s="33"/>
    </row>
    <row r="7343">
      <c r="A7343" s="33"/>
      <c r="B7343" s="33"/>
      <c r="C7343" s="33"/>
      <c r="D7343" s="33"/>
      <c r="E7343" s="33"/>
      <c r="F7343" s="33"/>
      <c r="G7343" s="33"/>
      <c r="H7343" s="33"/>
      <c r="I7343" s="33"/>
      <c r="J7343" s="33"/>
      <c r="K7343" s="33"/>
      <c r="L7343" s="33"/>
      <c r="M7343" s="33"/>
      <c r="N7343" s="33"/>
      <c r="O7343" s="33"/>
      <c r="P7343" s="33"/>
      <c r="Q7343" s="33"/>
      <c r="R7343" s="33"/>
      <c r="S7343" s="33"/>
      <c r="T7343" s="33"/>
      <c r="U7343" s="33"/>
      <c r="V7343" s="33"/>
      <c r="W7343" s="33"/>
      <c r="X7343" s="33"/>
      <c r="Y7343" s="33"/>
      <c r="Z7343" s="33"/>
      <c r="AA7343" s="33"/>
      <c r="AB7343" s="33"/>
      <c r="AC7343" s="33"/>
      <c r="AD7343" s="33"/>
      <c r="AE7343" s="33"/>
      <c r="AF7343" s="33"/>
      <c r="AG7343" s="33"/>
      <c r="AH7343" s="33"/>
      <c r="AI7343" s="33"/>
      <c r="AJ7343" s="33"/>
      <c r="AK7343" s="33"/>
    </row>
    <row r="7344">
      <c r="A7344" s="33"/>
      <c r="B7344" s="33"/>
      <c r="C7344" s="33"/>
      <c r="D7344" s="33"/>
      <c r="E7344" s="33"/>
      <c r="F7344" s="33"/>
      <c r="G7344" s="33"/>
      <c r="H7344" s="33"/>
      <c r="I7344" s="33"/>
      <c r="J7344" s="33"/>
      <c r="K7344" s="33"/>
      <c r="L7344" s="33"/>
      <c r="M7344" s="33"/>
      <c r="N7344" s="33"/>
      <c r="O7344" s="33"/>
      <c r="P7344" s="33"/>
      <c r="Q7344" s="33"/>
      <c r="R7344" s="33"/>
      <c r="S7344" s="33"/>
      <c r="T7344" s="33"/>
      <c r="U7344" s="33"/>
      <c r="V7344" s="33"/>
      <c r="W7344" s="33"/>
      <c r="X7344" s="33"/>
      <c r="Y7344" s="33"/>
      <c r="Z7344" s="33"/>
      <c r="AA7344" s="33"/>
      <c r="AB7344" s="33"/>
      <c r="AC7344" s="33"/>
      <c r="AD7344" s="33"/>
      <c r="AE7344" s="33"/>
      <c r="AF7344" s="33"/>
      <c r="AG7344" s="33"/>
      <c r="AH7344" s="33"/>
      <c r="AI7344" s="33"/>
      <c r="AJ7344" s="33"/>
      <c r="AK7344" s="33"/>
    </row>
    <row r="7345">
      <c r="A7345" s="33"/>
      <c r="B7345" s="33"/>
      <c r="C7345" s="33"/>
      <c r="D7345" s="33"/>
      <c r="E7345" s="33"/>
      <c r="F7345" s="33"/>
      <c r="G7345" s="33"/>
      <c r="H7345" s="33"/>
      <c r="I7345" s="33"/>
      <c r="J7345" s="33"/>
      <c r="K7345" s="33"/>
      <c r="L7345" s="33"/>
      <c r="M7345" s="33"/>
      <c r="N7345" s="33"/>
      <c r="O7345" s="33"/>
      <c r="P7345" s="33"/>
      <c r="Q7345" s="33"/>
      <c r="R7345" s="33"/>
      <c r="S7345" s="33"/>
      <c r="T7345" s="33"/>
      <c r="U7345" s="33"/>
      <c r="V7345" s="33"/>
      <c r="W7345" s="33"/>
      <c r="X7345" s="33"/>
      <c r="Y7345" s="33"/>
      <c r="Z7345" s="33"/>
      <c r="AA7345" s="33"/>
      <c r="AB7345" s="33"/>
      <c r="AC7345" s="33"/>
      <c r="AD7345" s="33"/>
      <c r="AE7345" s="33"/>
      <c r="AF7345" s="33"/>
      <c r="AG7345" s="33"/>
      <c r="AH7345" s="33"/>
      <c r="AI7345" s="33"/>
      <c r="AJ7345" s="33"/>
      <c r="AK7345" s="33"/>
    </row>
    <row r="7346">
      <c r="A7346" s="33"/>
      <c r="B7346" s="33"/>
      <c r="C7346" s="33"/>
      <c r="D7346" s="33"/>
      <c r="E7346" s="33"/>
      <c r="F7346" s="33"/>
      <c r="G7346" s="33"/>
      <c r="H7346" s="33"/>
      <c r="I7346" s="33"/>
      <c r="J7346" s="33"/>
      <c r="K7346" s="33"/>
      <c r="L7346" s="33"/>
      <c r="M7346" s="33"/>
      <c r="N7346" s="33"/>
      <c r="O7346" s="33"/>
      <c r="P7346" s="33"/>
      <c r="Q7346" s="33"/>
      <c r="R7346" s="33"/>
      <c r="S7346" s="33"/>
      <c r="T7346" s="33"/>
      <c r="U7346" s="33"/>
      <c r="V7346" s="33"/>
      <c r="W7346" s="33"/>
      <c r="X7346" s="33"/>
      <c r="Y7346" s="33"/>
      <c r="Z7346" s="33"/>
      <c r="AA7346" s="33"/>
      <c r="AB7346" s="33"/>
      <c r="AC7346" s="33"/>
      <c r="AD7346" s="33"/>
      <c r="AE7346" s="33"/>
      <c r="AF7346" s="33"/>
      <c r="AG7346" s="33"/>
      <c r="AH7346" s="33"/>
      <c r="AI7346" s="33"/>
      <c r="AJ7346" s="33"/>
      <c r="AK7346" s="33"/>
    </row>
    <row r="7347">
      <c r="A7347" s="33"/>
      <c r="B7347" s="33"/>
      <c r="C7347" s="33"/>
      <c r="D7347" s="33"/>
      <c r="E7347" s="33"/>
      <c r="F7347" s="33"/>
      <c r="G7347" s="33"/>
      <c r="H7347" s="33"/>
      <c r="I7347" s="33"/>
      <c r="J7347" s="33"/>
      <c r="K7347" s="33"/>
      <c r="L7347" s="33"/>
      <c r="M7347" s="33"/>
      <c r="N7347" s="33"/>
      <c r="O7347" s="33"/>
      <c r="P7347" s="33"/>
      <c r="Q7347" s="33"/>
      <c r="R7347" s="33"/>
      <c r="S7347" s="33"/>
      <c r="T7347" s="33"/>
      <c r="U7347" s="33"/>
      <c r="V7347" s="33"/>
      <c r="W7347" s="33"/>
      <c r="X7347" s="33"/>
      <c r="Y7347" s="33"/>
      <c r="Z7347" s="33"/>
      <c r="AA7347" s="33"/>
      <c r="AB7347" s="33"/>
      <c r="AC7347" s="33"/>
      <c r="AD7347" s="33"/>
      <c r="AE7347" s="33"/>
      <c r="AF7347" s="33"/>
      <c r="AG7347" s="33"/>
      <c r="AH7347" s="33"/>
      <c r="AI7347" s="33"/>
      <c r="AJ7347" s="33"/>
      <c r="AK7347" s="33"/>
    </row>
    <row r="7348">
      <c r="A7348" s="33"/>
      <c r="B7348" s="33"/>
      <c r="C7348" s="33"/>
      <c r="D7348" s="33"/>
      <c r="E7348" s="33"/>
      <c r="F7348" s="33"/>
      <c r="G7348" s="33"/>
      <c r="H7348" s="33"/>
      <c r="I7348" s="33"/>
      <c r="J7348" s="33"/>
      <c r="K7348" s="33"/>
      <c r="L7348" s="33"/>
      <c r="M7348" s="33"/>
      <c r="N7348" s="33"/>
      <c r="O7348" s="33"/>
      <c r="P7348" s="33"/>
      <c r="Q7348" s="33"/>
      <c r="R7348" s="33"/>
      <c r="S7348" s="33"/>
      <c r="T7348" s="33"/>
      <c r="U7348" s="33"/>
      <c r="V7348" s="33"/>
      <c r="W7348" s="33"/>
      <c r="X7348" s="33"/>
      <c r="Y7348" s="33"/>
      <c r="Z7348" s="33"/>
      <c r="AA7348" s="33"/>
      <c r="AB7348" s="33"/>
      <c r="AC7348" s="33"/>
      <c r="AD7348" s="33"/>
      <c r="AE7348" s="33"/>
      <c r="AF7348" s="33"/>
      <c r="AG7348" s="33"/>
      <c r="AH7348" s="33"/>
      <c r="AI7348" s="33"/>
      <c r="AJ7348" s="33"/>
      <c r="AK7348" s="33"/>
    </row>
    <row r="7349">
      <c r="A7349" s="33"/>
      <c r="B7349" s="33"/>
      <c r="C7349" s="33"/>
      <c r="D7349" s="33"/>
      <c r="E7349" s="33"/>
      <c r="F7349" s="33"/>
      <c r="G7349" s="33"/>
      <c r="H7349" s="33"/>
      <c r="I7349" s="33"/>
      <c r="J7349" s="33"/>
      <c r="K7349" s="33"/>
      <c r="L7349" s="33"/>
      <c r="M7349" s="33"/>
      <c r="N7349" s="33"/>
      <c r="O7349" s="33"/>
      <c r="P7349" s="33"/>
      <c r="Q7349" s="33"/>
      <c r="R7349" s="33"/>
      <c r="S7349" s="33"/>
      <c r="T7349" s="33"/>
      <c r="U7349" s="33"/>
      <c r="V7349" s="33"/>
      <c r="W7349" s="33"/>
      <c r="X7349" s="33"/>
      <c r="Y7349" s="33"/>
      <c r="Z7349" s="33"/>
      <c r="AA7349" s="33"/>
      <c r="AB7349" s="33"/>
      <c r="AC7349" s="33"/>
      <c r="AD7349" s="33"/>
      <c r="AE7349" s="33"/>
      <c r="AF7349" s="33"/>
      <c r="AG7349" s="33"/>
      <c r="AH7349" s="33"/>
      <c r="AI7349" s="33"/>
      <c r="AJ7349" s="33"/>
      <c r="AK7349" s="33"/>
    </row>
    <row r="7350">
      <c r="A7350" s="33"/>
      <c r="B7350" s="33"/>
      <c r="C7350" s="33"/>
      <c r="D7350" s="33"/>
      <c r="E7350" s="33"/>
      <c r="F7350" s="33"/>
      <c r="G7350" s="33"/>
      <c r="H7350" s="33"/>
      <c r="I7350" s="33"/>
      <c r="J7350" s="33"/>
      <c r="K7350" s="33"/>
      <c r="L7350" s="33"/>
      <c r="M7350" s="33"/>
      <c r="N7350" s="33"/>
      <c r="O7350" s="33"/>
      <c r="P7350" s="33"/>
      <c r="Q7350" s="33"/>
      <c r="R7350" s="33"/>
      <c r="S7350" s="33"/>
      <c r="T7350" s="33"/>
      <c r="U7350" s="33"/>
      <c r="V7350" s="33"/>
      <c r="W7350" s="33"/>
      <c r="X7350" s="33"/>
      <c r="Y7350" s="33"/>
      <c r="Z7350" s="33"/>
      <c r="AA7350" s="33"/>
      <c r="AB7350" s="33"/>
      <c r="AC7350" s="33"/>
      <c r="AD7350" s="33"/>
      <c r="AE7350" s="33"/>
      <c r="AF7350" s="33"/>
      <c r="AG7350" s="33"/>
      <c r="AH7350" s="33"/>
      <c r="AI7350" s="33"/>
      <c r="AJ7350" s="33"/>
      <c r="AK7350" s="33"/>
    </row>
    <row r="7351">
      <c r="A7351" s="33"/>
      <c r="B7351" s="33"/>
      <c r="C7351" s="33"/>
      <c r="D7351" s="33"/>
      <c r="E7351" s="33"/>
      <c r="F7351" s="33"/>
      <c r="G7351" s="33"/>
      <c r="H7351" s="33"/>
      <c r="I7351" s="33"/>
      <c r="J7351" s="33"/>
      <c r="K7351" s="33"/>
      <c r="L7351" s="33"/>
      <c r="M7351" s="33"/>
      <c r="N7351" s="33"/>
      <c r="O7351" s="33"/>
      <c r="P7351" s="33"/>
      <c r="Q7351" s="33"/>
      <c r="R7351" s="33"/>
      <c r="S7351" s="33"/>
      <c r="T7351" s="33"/>
      <c r="U7351" s="33"/>
      <c r="V7351" s="33"/>
      <c r="W7351" s="33"/>
      <c r="X7351" s="33"/>
      <c r="Y7351" s="33"/>
      <c r="Z7351" s="33"/>
      <c r="AA7351" s="33"/>
      <c r="AB7351" s="33"/>
      <c r="AC7351" s="33"/>
      <c r="AD7351" s="33"/>
      <c r="AE7351" s="33"/>
      <c r="AF7351" s="33"/>
      <c r="AG7351" s="33"/>
      <c r="AH7351" s="33"/>
      <c r="AI7351" s="33"/>
      <c r="AJ7351" s="33"/>
      <c r="AK7351" s="33"/>
    </row>
    <row r="7352">
      <c r="A7352" s="33"/>
      <c r="B7352" s="33"/>
      <c r="C7352" s="33"/>
      <c r="D7352" s="33"/>
      <c r="E7352" s="33"/>
      <c r="F7352" s="33"/>
      <c r="G7352" s="33"/>
      <c r="H7352" s="33"/>
      <c r="I7352" s="33"/>
      <c r="J7352" s="33"/>
      <c r="K7352" s="33"/>
      <c r="L7352" s="33"/>
      <c r="M7352" s="33"/>
      <c r="N7352" s="33"/>
      <c r="O7352" s="33"/>
      <c r="P7352" s="33"/>
      <c r="Q7352" s="33"/>
      <c r="R7352" s="33"/>
      <c r="S7352" s="33"/>
      <c r="T7352" s="33"/>
      <c r="U7352" s="33"/>
      <c r="V7352" s="33"/>
      <c r="W7352" s="33"/>
      <c r="X7352" s="33"/>
      <c r="Y7352" s="33"/>
      <c r="Z7352" s="33"/>
      <c r="AA7352" s="33"/>
      <c r="AB7352" s="33"/>
      <c r="AC7352" s="33"/>
      <c r="AD7352" s="33"/>
      <c r="AE7352" s="33"/>
      <c r="AF7352" s="33"/>
      <c r="AG7352" s="33"/>
      <c r="AH7352" s="33"/>
      <c r="AI7352" s="33"/>
      <c r="AJ7352" s="33"/>
      <c r="AK7352" s="33"/>
    </row>
    <row r="7353">
      <c r="A7353" s="33"/>
      <c r="B7353" s="33"/>
      <c r="C7353" s="33"/>
      <c r="D7353" s="33"/>
      <c r="E7353" s="33"/>
      <c r="F7353" s="33"/>
      <c r="G7353" s="33"/>
      <c r="H7353" s="33"/>
      <c r="I7353" s="33"/>
      <c r="J7353" s="33"/>
      <c r="K7353" s="33"/>
      <c r="L7353" s="33"/>
      <c r="M7353" s="33"/>
      <c r="N7353" s="33"/>
      <c r="O7353" s="33"/>
      <c r="P7353" s="33"/>
      <c r="Q7353" s="33"/>
      <c r="R7353" s="33"/>
      <c r="S7353" s="33"/>
      <c r="T7353" s="33"/>
      <c r="U7353" s="33"/>
      <c r="V7353" s="33"/>
      <c r="W7353" s="33"/>
      <c r="X7353" s="33"/>
      <c r="Y7353" s="33"/>
      <c r="Z7353" s="33"/>
      <c r="AA7353" s="33"/>
      <c r="AB7353" s="33"/>
      <c r="AC7353" s="33"/>
      <c r="AD7353" s="33"/>
      <c r="AE7353" s="33"/>
      <c r="AF7353" s="33"/>
      <c r="AG7353" s="33"/>
      <c r="AH7353" s="33"/>
      <c r="AI7353" s="33"/>
      <c r="AJ7353" s="33"/>
      <c r="AK7353" s="33"/>
    </row>
    <row r="7354">
      <c r="A7354" s="33"/>
      <c r="B7354" s="33"/>
      <c r="C7354" s="33"/>
      <c r="D7354" s="33"/>
      <c r="E7354" s="33"/>
      <c r="F7354" s="33"/>
      <c r="G7354" s="33"/>
      <c r="H7354" s="33"/>
      <c r="I7354" s="33"/>
      <c r="J7354" s="33"/>
      <c r="K7354" s="33"/>
      <c r="L7354" s="33"/>
      <c r="M7354" s="33"/>
      <c r="N7354" s="33"/>
      <c r="O7354" s="33"/>
      <c r="P7354" s="33"/>
      <c r="Q7354" s="33"/>
      <c r="R7354" s="33"/>
      <c r="S7354" s="33"/>
      <c r="T7354" s="33"/>
      <c r="U7354" s="33"/>
      <c r="V7354" s="33"/>
      <c r="W7354" s="33"/>
      <c r="X7354" s="33"/>
      <c r="Y7354" s="33"/>
      <c r="Z7354" s="33"/>
      <c r="AA7354" s="33"/>
      <c r="AB7354" s="33"/>
      <c r="AC7354" s="33"/>
      <c r="AD7354" s="33"/>
      <c r="AE7354" s="33"/>
      <c r="AF7354" s="33"/>
      <c r="AG7354" s="33"/>
      <c r="AH7354" s="33"/>
      <c r="AI7354" s="33"/>
      <c r="AJ7354" s="33"/>
      <c r="AK7354" s="33"/>
    </row>
    <row r="7355">
      <c r="A7355" s="33"/>
      <c r="B7355" s="33"/>
      <c r="C7355" s="33"/>
      <c r="D7355" s="33"/>
      <c r="E7355" s="33"/>
      <c r="F7355" s="33"/>
      <c r="G7355" s="33"/>
      <c r="H7355" s="33"/>
      <c r="I7355" s="33"/>
      <c r="J7355" s="33"/>
      <c r="K7355" s="33"/>
      <c r="L7355" s="33"/>
      <c r="M7355" s="33"/>
      <c r="N7355" s="33"/>
      <c r="O7355" s="33"/>
      <c r="P7355" s="33"/>
      <c r="Q7355" s="33"/>
      <c r="R7355" s="33"/>
      <c r="S7355" s="33"/>
      <c r="T7355" s="33"/>
      <c r="U7355" s="33"/>
      <c r="V7355" s="33"/>
      <c r="W7355" s="33"/>
      <c r="X7355" s="33"/>
      <c r="Y7355" s="33"/>
      <c r="Z7355" s="33"/>
      <c r="AA7355" s="33"/>
      <c r="AB7355" s="33"/>
      <c r="AC7355" s="33"/>
      <c r="AD7355" s="33"/>
      <c r="AE7355" s="33"/>
      <c r="AF7355" s="33"/>
      <c r="AG7355" s="33"/>
      <c r="AH7355" s="33"/>
      <c r="AI7355" s="33"/>
      <c r="AJ7355" s="33"/>
      <c r="AK7355" s="33"/>
    </row>
    <row r="7356">
      <c r="A7356" s="33"/>
      <c r="B7356" s="33"/>
      <c r="C7356" s="33"/>
      <c r="D7356" s="33"/>
      <c r="E7356" s="33"/>
      <c r="F7356" s="33"/>
      <c r="G7356" s="33"/>
      <c r="H7356" s="33"/>
      <c r="I7356" s="33"/>
      <c r="J7356" s="33"/>
      <c r="K7356" s="33"/>
      <c r="L7356" s="33"/>
      <c r="M7356" s="33"/>
      <c r="N7356" s="33"/>
      <c r="O7356" s="33"/>
      <c r="P7356" s="33"/>
      <c r="Q7356" s="33"/>
      <c r="R7356" s="33"/>
      <c r="S7356" s="33"/>
      <c r="T7356" s="33"/>
      <c r="U7356" s="33"/>
      <c r="V7356" s="33"/>
      <c r="W7356" s="33"/>
      <c r="X7356" s="33"/>
      <c r="Y7356" s="33"/>
      <c r="Z7356" s="33"/>
      <c r="AA7356" s="33"/>
      <c r="AB7356" s="33"/>
      <c r="AC7356" s="33"/>
      <c r="AD7356" s="33"/>
      <c r="AE7356" s="33"/>
      <c r="AF7356" s="33"/>
      <c r="AG7356" s="33"/>
      <c r="AH7356" s="33"/>
      <c r="AI7356" s="33"/>
      <c r="AJ7356" s="33"/>
      <c r="AK7356" s="33"/>
    </row>
    <row r="7357">
      <c r="A7357" s="33"/>
      <c r="B7357" s="33"/>
      <c r="C7357" s="33"/>
      <c r="D7357" s="33"/>
      <c r="E7357" s="33"/>
      <c r="F7357" s="33"/>
      <c r="G7357" s="33"/>
      <c r="H7357" s="33"/>
      <c r="I7357" s="33"/>
      <c r="J7357" s="33"/>
      <c r="K7357" s="33"/>
      <c r="L7357" s="33"/>
      <c r="M7357" s="33"/>
      <c r="N7357" s="33"/>
      <c r="O7357" s="33"/>
      <c r="P7357" s="33"/>
      <c r="Q7357" s="33"/>
      <c r="R7357" s="33"/>
      <c r="S7357" s="33"/>
      <c r="T7357" s="33"/>
      <c r="U7357" s="33"/>
      <c r="V7357" s="33"/>
      <c r="W7357" s="33"/>
      <c r="X7357" s="33"/>
      <c r="Y7357" s="33"/>
      <c r="Z7357" s="33"/>
      <c r="AA7357" s="33"/>
      <c r="AB7357" s="33"/>
      <c r="AC7357" s="33"/>
      <c r="AD7357" s="33"/>
      <c r="AE7357" s="33"/>
      <c r="AF7357" s="33"/>
      <c r="AG7357" s="33"/>
      <c r="AH7357" s="33"/>
      <c r="AI7357" s="33"/>
      <c r="AJ7357" s="33"/>
      <c r="AK7357" s="33"/>
    </row>
    <row r="7358">
      <c r="A7358" s="33"/>
      <c r="B7358" s="33"/>
      <c r="C7358" s="33"/>
      <c r="D7358" s="33"/>
      <c r="E7358" s="33"/>
      <c r="F7358" s="33"/>
      <c r="G7358" s="33"/>
      <c r="H7358" s="33"/>
      <c r="I7358" s="33"/>
      <c r="J7358" s="33"/>
      <c r="K7358" s="33"/>
      <c r="L7358" s="33"/>
      <c r="M7358" s="33"/>
      <c r="N7358" s="33"/>
      <c r="O7358" s="33"/>
      <c r="P7358" s="33"/>
      <c r="Q7358" s="33"/>
      <c r="R7358" s="33"/>
      <c r="S7358" s="33"/>
      <c r="T7358" s="33"/>
      <c r="U7358" s="33"/>
      <c r="V7358" s="33"/>
      <c r="W7358" s="33"/>
      <c r="X7358" s="33"/>
      <c r="Y7358" s="33"/>
      <c r="Z7358" s="33"/>
      <c r="AA7358" s="33"/>
      <c r="AB7358" s="33"/>
      <c r="AC7358" s="33"/>
      <c r="AD7358" s="33"/>
      <c r="AE7358" s="33"/>
      <c r="AF7358" s="33"/>
      <c r="AG7358" s="33"/>
      <c r="AH7358" s="33"/>
      <c r="AI7358" s="33"/>
      <c r="AJ7358" s="33"/>
      <c r="AK7358" s="33"/>
    </row>
    <row r="7359">
      <c r="A7359" s="33"/>
      <c r="B7359" s="33"/>
      <c r="C7359" s="33"/>
      <c r="D7359" s="33"/>
      <c r="E7359" s="33"/>
      <c r="F7359" s="33"/>
      <c r="G7359" s="33"/>
      <c r="H7359" s="33"/>
      <c r="I7359" s="33"/>
      <c r="J7359" s="33"/>
      <c r="K7359" s="33"/>
      <c r="L7359" s="33"/>
      <c r="M7359" s="33"/>
      <c r="N7359" s="33"/>
      <c r="O7359" s="33"/>
      <c r="P7359" s="33"/>
      <c r="Q7359" s="33"/>
      <c r="R7359" s="33"/>
      <c r="S7359" s="33"/>
      <c r="T7359" s="33"/>
      <c r="U7359" s="33"/>
      <c r="V7359" s="33"/>
      <c r="W7359" s="33"/>
      <c r="X7359" s="33"/>
      <c r="Y7359" s="33"/>
      <c r="Z7359" s="33"/>
      <c r="AA7359" s="33"/>
      <c r="AB7359" s="33"/>
      <c r="AC7359" s="33"/>
      <c r="AD7359" s="33"/>
      <c r="AE7359" s="33"/>
      <c r="AF7359" s="33"/>
      <c r="AG7359" s="33"/>
      <c r="AH7359" s="33"/>
      <c r="AI7359" s="33"/>
      <c r="AJ7359" s="33"/>
      <c r="AK7359" s="33"/>
    </row>
    <row r="7360">
      <c r="A7360" s="33"/>
      <c r="B7360" s="33"/>
      <c r="C7360" s="33"/>
      <c r="D7360" s="33"/>
      <c r="E7360" s="33"/>
      <c r="F7360" s="33"/>
      <c r="G7360" s="33"/>
      <c r="H7360" s="33"/>
      <c r="I7360" s="33"/>
      <c r="J7360" s="33"/>
      <c r="K7360" s="33"/>
      <c r="L7360" s="33"/>
      <c r="M7360" s="33"/>
      <c r="N7360" s="33"/>
      <c r="O7360" s="33"/>
      <c r="P7360" s="33"/>
      <c r="Q7360" s="33"/>
      <c r="R7360" s="33"/>
      <c r="S7360" s="33"/>
      <c r="T7360" s="33"/>
      <c r="U7360" s="33"/>
      <c r="V7360" s="33"/>
      <c r="W7360" s="33"/>
      <c r="X7360" s="33"/>
      <c r="Y7360" s="33"/>
      <c r="Z7360" s="33"/>
      <c r="AA7360" s="33"/>
      <c r="AB7360" s="33"/>
      <c r="AC7360" s="33"/>
      <c r="AD7360" s="33"/>
      <c r="AE7360" s="33"/>
      <c r="AF7360" s="33"/>
      <c r="AG7360" s="33"/>
      <c r="AH7360" s="33"/>
      <c r="AI7360" s="33"/>
      <c r="AJ7360" s="33"/>
      <c r="AK7360" s="33"/>
    </row>
    <row r="7361">
      <c r="A7361" s="33"/>
      <c r="B7361" s="33"/>
      <c r="C7361" s="33"/>
      <c r="D7361" s="33"/>
      <c r="E7361" s="33"/>
      <c r="F7361" s="33"/>
      <c r="G7361" s="33"/>
      <c r="H7361" s="33"/>
      <c r="I7361" s="33"/>
      <c r="J7361" s="33"/>
      <c r="K7361" s="33"/>
      <c r="L7361" s="33"/>
      <c r="M7361" s="33"/>
      <c r="N7361" s="33"/>
      <c r="O7361" s="33"/>
      <c r="P7361" s="33"/>
      <c r="Q7361" s="33"/>
      <c r="R7361" s="33"/>
      <c r="S7361" s="33"/>
      <c r="T7361" s="33"/>
      <c r="U7361" s="33"/>
      <c r="V7361" s="33"/>
      <c r="W7361" s="33"/>
      <c r="X7361" s="33"/>
      <c r="Y7361" s="33"/>
      <c r="Z7361" s="33"/>
      <c r="AA7361" s="33"/>
      <c r="AB7361" s="33"/>
      <c r="AC7361" s="33"/>
      <c r="AD7361" s="33"/>
      <c r="AE7361" s="33"/>
      <c r="AF7361" s="33"/>
      <c r="AG7361" s="33"/>
      <c r="AH7361" s="33"/>
      <c r="AI7361" s="33"/>
      <c r="AJ7361" s="33"/>
      <c r="AK7361" s="33"/>
    </row>
    <row r="7362">
      <c r="A7362" s="33"/>
      <c r="B7362" s="33"/>
      <c r="C7362" s="33"/>
      <c r="D7362" s="33"/>
      <c r="E7362" s="33"/>
      <c r="F7362" s="33"/>
      <c r="G7362" s="33"/>
      <c r="H7362" s="33"/>
      <c r="I7362" s="33"/>
      <c r="J7362" s="33"/>
      <c r="K7362" s="33"/>
      <c r="L7362" s="33"/>
      <c r="M7362" s="33"/>
      <c r="N7362" s="33"/>
      <c r="O7362" s="33"/>
      <c r="P7362" s="33"/>
      <c r="Q7362" s="33"/>
      <c r="R7362" s="33"/>
      <c r="S7362" s="33"/>
      <c r="T7362" s="33"/>
      <c r="U7362" s="33"/>
      <c r="V7362" s="33"/>
      <c r="W7362" s="33"/>
      <c r="X7362" s="33"/>
      <c r="Y7362" s="33"/>
      <c r="Z7362" s="33"/>
      <c r="AA7362" s="33"/>
      <c r="AB7362" s="33"/>
      <c r="AC7362" s="33"/>
      <c r="AD7362" s="33"/>
      <c r="AE7362" s="33"/>
      <c r="AF7362" s="33"/>
      <c r="AG7362" s="33"/>
      <c r="AH7362" s="33"/>
      <c r="AI7362" s="33"/>
      <c r="AJ7362" s="33"/>
      <c r="AK7362" s="33"/>
    </row>
    <row r="7363">
      <c r="A7363" s="33"/>
      <c r="B7363" s="33"/>
      <c r="C7363" s="33"/>
      <c r="D7363" s="33"/>
      <c r="E7363" s="33"/>
      <c r="F7363" s="33"/>
      <c r="G7363" s="33"/>
      <c r="H7363" s="33"/>
      <c r="I7363" s="33"/>
      <c r="J7363" s="33"/>
      <c r="K7363" s="33"/>
      <c r="L7363" s="33"/>
      <c r="M7363" s="33"/>
      <c r="N7363" s="33"/>
      <c r="O7363" s="33"/>
      <c r="P7363" s="33"/>
      <c r="Q7363" s="33"/>
      <c r="R7363" s="33"/>
      <c r="S7363" s="33"/>
      <c r="T7363" s="33"/>
      <c r="U7363" s="33"/>
      <c r="V7363" s="33"/>
      <c r="W7363" s="33"/>
      <c r="X7363" s="33"/>
      <c r="Y7363" s="33"/>
      <c r="Z7363" s="33"/>
      <c r="AA7363" s="33"/>
      <c r="AB7363" s="33"/>
      <c r="AC7363" s="33"/>
      <c r="AD7363" s="33"/>
      <c r="AE7363" s="33"/>
      <c r="AF7363" s="33"/>
      <c r="AG7363" s="33"/>
      <c r="AH7363" s="33"/>
      <c r="AI7363" s="33"/>
      <c r="AJ7363" s="33"/>
      <c r="AK7363" s="33"/>
    </row>
    <row r="7364">
      <c r="A7364" s="33"/>
      <c r="B7364" s="33"/>
      <c r="C7364" s="33"/>
      <c r="D7364" s="33"/>
      <c r="E7364" s="33"/>
      <c r="F7364" s="33"/>
      <c r="G7364" s="33"/>
      <c r="H7364" s="33"/>
      <c r="I7364" s="33"/>
      <c r="J7364" s="33"/>
      <c r="K7364" s="33"/>
      <c r="L7364" s="33"/>
      <c r="M7364" s="33"/>
      <c r="N7364" s="33"/>
      <c r="O7364" s="33"/>
      <c r="P7364" s="33"/>
      <c r="Q7364" s="33"/>
      <c r="R7364" s="33"/>
      <c r="S7364" s="33"/>
      <c r="T7364" s="33"/>
      <c r="U7364" s="33"/>
      <c r="V7364" s="33"/>
      <c r="W7364" s="33"/>
      <c r="X7364" s="33"/>
      <c r="Y7364" s="33"/>
      <c r="Z7364" s="33"/>
      <c r="AA7364" s="33"/>
      <c r="AB7364" s="33"/>
      <c r="AC7364" s="33"/>
      <c r="AD7364" s="33"/>
      <c r="AE7364" s="33"/>
      <c r="AF7364" s="33"/>
      <c r="AG7364" s="33"/>
      <c r="AH7364" s="33"/>
      <c r="AI7364" s="33"/>
      <c r="AJ7364" s="33"/>
      <c r="AK7364" s="33"/>
    </row>
    <row r="7365">
      <c r="A7365" s="33"/>
      <c r="B7365" s="33"/>
      <c r="C7365" s="33"/>
      <c r="D7365" s="33"/>
      <c r="E7365" s="33"/>
      <c r="F7365" s="33"/>
      <c r="G7365" s="33"/>
      <c r="H7365" s="33"/>
      <c r="I7365" s="33"/>
      <c r="J7365" s="33"/>
      <c r="K7365" s="33"/>
      <c r="L7365" s="33"/>
      <c r="M7365" s="33"/>
      <c r="N7365" s="33"/>
      <c r="O7365" s="33"/>
      <c r="P7365" s="33"/>
      <c r="Q7365" s="33"/>
      <c r="R7365" s="33"/>
      <c r="S7365" s="33"/>
      <c r="T7365" s="33"/>
      <c r="U7365" s="33"/>
      <c r="V7365" s="33"/>
      <c r="W7365" s="33"/>
      <c r="X7365" s="33"/>
      <c r="Y7365" s="33"/>
      <c r="Z7365" s="33"/>
      <c r="AA7365" s="33"/>
      <c r="AB7365" s="33"/>
      <c r="AC7365" s="33"/>
      <c r="AD7365" s="33"/>
      <c r="AE7365" s="33"/>
      <c r="AF7365" s="33"/>
      <c r="AG7365" s="33"/>
      <c r="AH7365" s="33"/>
      <c r="AI7365" s="33"/>
      <c r="AJ7365" s="33"/>
      <c r="AK7365" s="33"/>
    </row>
    <row r="7366">
      <c r="A7366" s="33"/>
      <c r="B7366" s="33"/>
      <c r="C7366" s="33"/>
      <c r="D7366" s="33"/>
      <c r="E7366" s="33"/>
      <c r="F7366" s="33"/>
      <c r="G7366" s="33"/>
      <c r="H7366" s="33"/>
      <c r="I7366" s="33"/>
      <c r="J7366" s="33"/>
      <c r="K7366" s="33"/>
      <c r="L7366" s="33"/>
      <c r="M7366" s="33"/>
      <c r="N7366" s="33"/>
      <c r="O7366" s="33"/>
      <c r="P7366" s="33"/>
      <c r="Q7366" s="33"/>
      <c r="R7366" s="33"/>
      <c r="S7366" s="33"/>
      <c r="T7366" s="33"/>
      <c r="U7366" s="33"/>
      <c r="V7366" s="33"/>
      <c r="W7366" s="33"/>
      <c r="X7366" s="33"/>
      <c r="Y7366" s="33"/>
      <c r="Z7366" s="33"/>
      <c r="AA7366" s="33"/>
      <c r="AB7366" s="33"/>
      <c r="AC7366" s="33"/>
      <c r="AD7366" s="33"/>
      <c r="AE7366" s="33"/>
      <c r="AF7366" s="33"/>
      <c r="AG7366" s="33"/>
      <c r="AH7366" s="33"/>
      <c r="AI7366" s="33"/>
      <c r="AJ7366" s="33"/>
      <c r="AK7366" s="33"/>
    </row>
    <row r="7367">
      <c r="A7367" s="33"/>
      <c r="B7367" s="33"/>
      <c r="C7367" s="33"/>
      <c r="D7367" s="33"/>
      <c r="E7367" s="33"/>
      <c r="F7367" s="33"/>
      <c r="G7367" s="33"/>
      <c r="H7367" s="33"/>
      <c r="I7367" s="33"/>
      <c r="J7367" s="33"/>
      <c r="K7367" s="33"/>
      <c r="L7367" s="33"/>
      <c r="M7367" s="33"/>
      <c r="N7367" s="33"/>
      <c r="O7367" s="33"/>
      <c r="P7367" s="33"/>
      <c r="Q7367" s="33"/>
      <c r="R7367" s="33"/>
      <c r="S7367" s="33"/>
      <c r="T7367" s="33"/>
      <c r="U7367" s="33"/>
      <c r="V7367" s="33"/>
      <c r="W7367" s="33"/>
      <c r="X7367" s="33"/>
      <c r="Y7367" s="33"/>
      <c r="Z7367" s="33"/>
      <c r="AA7367" s="33"/>
      <c r="AB7367" s="33"/>
      <c r="AC7367" s="33"/>
      <c r="AD7367" s="33"/>
      <c r="AE7367" s="33"/>
      <c r="AF7367" s="33"/>
      <c r="AG7367" s="33"/>
      <c r="AH7367" s="33"/>
      <c r="AI7367" s="33"/>
      <c r="AJ7367" s="33"/>
      <c r="AK7367" s="33"/>
    </row>
    <row r="7368">
      <c r="A7368" s="33"/>
      <c r="B7368" s="33"/>
      <c r="C7368" s="33"/>
      <c r="D7368" s="33"/>
      <c r="E7368" s="33"/>
      <c r="F7368" s="33"/>
      <c r="G7368" s="33"/>
      <c r="H7368" s="33"/>
      <c r="I7368" s="33"/>
      <c r="J7368" s="33"/>
      <c r="K7368" s="33"/>
      <c r="L7368" s="33"/>
      <c r="M7368" s="33"/>
      <c r="N7368" s="33"/>
      <c r="O7368" s="33"/>
      <c r="P7368" s="33"/>
      <c r="Q7368" s="33"/>
      <c r="R7368" s="33"/>
      <c r="S7368" s="33"/>
      <c r="T7368" s="33"/>
      <c r="U7368" s="33"/>
      <c r="V7368" s="33"/>
      <c r="W7368" s="33"/>
      <c r="X7368" s="33"/>
      <c r="Y7368" s="33"/>
      <c r="Z7368" s="33"/>
      <c r="AA7368" s="33"/>
      <c r="AB7368" s="33"/>
      <c r="AC7368" s="33"/>
      <c r="AD7368" s="33"/>
      <c r="AE7368" s="33"/>
      <c r="AF7368" s="33"/>
      <c r="AG7368" s="33"/>
      <c r="AH7368" s="33"/>
      <c r="AI7368" s="33"/>
      <c r="AJ7368" s="33"/>
      <c r="AK7368" s="33"/>
    </row>
    <row r="7369">
      <c r="A7369" s="33"/>
      <c r="B7369" s="33"/>
      <c r="C7369" s="33"/>
      <c r="D7369" s="33"/>
      <c r="E7369" s="33"/>
      <c r="F7369" s="33"/>
      <c r="G7369" s="33"/>
      <c r="H7369" s="33"/>
      <c r="I7369" s="33"/>
      <c r="J7369" s="33"/>
      <c r="K7369" s="33"/>
      <c r="L7369" s="33"/>
      <c r="M7369" s="33"/>
      <c r="N7369" s="33"/>
      <c r="O7369" s="33"/>
      <c r="P7369" s="33"/>
      <c r="Q7369" s="33"/>
      <c r="R7369" s="33"/>
      <c r="S7369" s="33"/>
      <c r="T7369" s="33"/>
      <c r="U7369" s="33"/>
      <c r="V7369" s="33"/>
      <c r="W7369" s="33"/>
      <c r="X7369" s="33"/>
      <c r="Y7369" s="33"/>
      <c r="Z7369" s="33"/>
      <c r="AA7369" s="33"/>
      <c r="AB7369" s="33"/>
      <c r="AC7369" s="33"/>
      <c r="AD7369" s="33"/>
      <c r="AE7369" s="33"/>
      <c r="AF7369" s="33"/>
      <c r="AG7369" s="33"/>
      <c r="AH7369" s="33"/>
      <c r="AI7369" s="33"/>
      <c r="AJ7369" s="33"/>
      <c r="AK7369" s="33"/>
    </row>
    <row r="7370">
      <c r="A7370" s="33"/>
      <c r="B7370" s="33"/>
      <c r="C7370" s="33"/>
      <c r="D7370" s="33"/>
      <c r="E7370" s="33"/>
      <c r="F7370" s="33"/>
      <c r="G7370" s="33"/>
      <c r="H7370" s="33"/>
      <c r="I7370" s="33"/>
      <c r="J7370" s="33"/>
      <c r="K7370" s="33"/>
      <c r="L7370" s="33"/>
      <c r="M7370" s="33"/>
      <c r="N7370" s="33"/>
      <c r="O7370" s="33"/>
      <c r="P7370" s="33"/>
      <c r="Q7370" s="33"/>
      <c r="R7370" s="33"/>
      <c r="S7370" s="33"/>
      <c r="T7370" s="33"/>
      <c r="U7370" s="33"/>
      <c r="V7370" s="33"/>
      <c r="W7370" s="33"/>
      <c r="X7370" s="33"/>
      <c r="Y7370" s="33"/>
      <c r="Z7370" s="33"/>
      <c r="AA7370" s="33"/>
      <c r="AB7370" s="33"/>
      <c r="AC7370" s="33"/>
      <c r="AD7370" s="33"/>
      <c r="AE7370" s="33"/>
      <c r="AF7370" s="33"/>
      <c r="AG7370" s="33"/>
      <c r="AH7370" s="33"/>
      <c r="AI7370" s="33"/>
      <c r="AJ7370" s="33"/>
      <c r="AK7370" s="33"/>
    </row>
    <row r="7371">
      <c r="A7371" s="33"/>
      <c r="B7371" s="33"/>
      <c r="C7371" s="33"/>
      <c r="D7371" s="33"/>
      <c r="E7371" s="33"/>
      <c r="F7371" s="33"/>
      <c r="G7371" s="33"/>
      <c r="H7371" s="33"/>
      <c r="I7371" s="33"/>
      <c r="J7371" s="33"/>
      <c r="K7371" s="33"/>
      <c r="L7371" s="33"/>
      <c r="M7371" s="33"/>
      <c r="N7371" s="33"/>
      <c r="O7371" s="33"/>
      <c r="P7371" s="33"/>
      <c r="Q7371" s="33"/>
      <c r="R7371" s="33"/>
      <c r="S7371" s="33"/>
      <c r="T7371" s="33"/>
      <c r="U7371" s="33"/>
      <c r="V7371" s="33"/>
      <c r="W7371" s="33"/>
      <c r="X7371" s="33"/>
      <c r="Y7371" s="33"/>
      <c r="Z7371" s="33"/>
      <c r="AA7371" s="33"/>
      <c r="AB7371" s="33"/>
      <c r="AC7371" s="33"/>
      <c r="AD7371" s="33"/>
      <c r="AE7371" s="33"/>
      <c r="AF7371" s="33"/>
      <c r="AG7371" s="33"/>
      <c r="AH7371" s="33"/>
      <c r="AI7371" s="33"/>
      <c r="AJ7371" s="33"/>
      <c r="AK7371" s="33"/>
    </row>
    <row r="7372">
      <c r="A7372" s="33"/>
      <c r="B7372" s="33"/>
      <c r="C7372" s="33"/>
      <c r="D7372" s="33"/>
      <c r="E7372" s="33"/>
      <c r="F7372" s="33"/>
      <c r="G7372" s="33"/>
      <c r="H7372" s="33"/>
      <c r="I7372" s="33"/>
      <c r="J7372" s="33"/>
      <c r="K7372" s="33"/>
      <c r="L7372" s="33"/>
      <c r="M7372" s="33"/>
      <c r="N7372" s="33"/>
      <c r="O7372" s="33"/>
      <c r="P7372" s="33"/>
      <c r="Q7372" s="33"/>
      <c r="R7372" s="33"/>
      <c r="S7372" s="33"/>
      <c r="T7372" s="33"/>
      <c r="U7372" s="33"/>
      <c r="V7372" s="33"/>
      <c r="W7372" s="33"/>
      <c r="X7372" s="33"/>
      <c r="Y7372" s="33"/>
      <c r="Z7372" s="33"/>
      <c r="AA7372" s="33"/>
      <c r="AB7372" s="33"/>
      <c r="AC7372" s="33"/>
      <c r="AD7372" s="33"/>
      <c r="AE7372" s="33"/>
      <c r="AF7372" s="33"/>
      <c r="AG7372" s="33"/>
      <c r="AH7372" s="33"/>
      <c r="AI7372" s="33"/>
      <c r="AJ7372" s="33"/>
      <c r="AK7372" s="33"/>
    </row>
    <row r="7373">
      <c r="A7373" s="33"/>
      <c r="B7373" s="33"/>
      <c r="C7373" s="33"/>
      <c r="D7373" s="33"/>
      <c r="E7373" s="33"/>
      <c r="F7373" s="33"/>
      <c r="G7373" s="33"/>
      <c r="H7373" s="33"/>
      <c r="I7373" s="33"/>
      <c r="J7373" s="33"/>
      <c r="K7373" s="33"/>
      <c r="L7373" s="33"/>
      <c r="M7373" s="33"/>
      <c r="N7373" s="33"/>
      <c r="O7373" s="33"/>
      <c r="P7373" s="33"/>
      <c r="Q7373" s="33"/>
      <c r="R7373" s="33"/>
      <c r="S7373" s="33"/>
      <c r="T7373" s="33"/>
      <c r="U7373" s="33"/>
      <c r="V7373" s="33"/>
      <c r="W7373" s="33"/>
      <c r="X7373" s="33"/>
      <c r="Y7373" s="33"/>
      <c r="Z7373" s="33"/>
      <c r="AA7373" s="33"/>
      <c r="AB7373" s="33"/>
      <c r="AC7373" s="33"/>
      <c r="AD7373" s="33"/>
      <c r="AE7373" s="33"/>
      <c r="AF7373" s="33"/>
      <c r="AG7373" s="33"/>
      <c r="AH7373" s="33"/>
      <c r="AI7373" s="33"/>
      <c r="AJ7373" s="33"/>
      <c r="AK7373" s="33"/>
    </row>
    <row r="7374">
      <c r="A7374" s="33"/>
      <c r="B7374" s="33"/>
      <c r="C7374" s="33"/>
      <c r="D7374" s="33"/>
      <c r="E7374" s="33"/>
      <c r="F7374" s="33"/>
      <c r="G7374" s="33"/>
      <c r="H7374" s="33"/>
      <c r="I7374" s="33"/>
      <c r="J7374" s="33"/>
      <c r="K7374" s="33"/>
      <c r="L7374" s="33"/>
      <c r="M7374" s="33"/>
      <c r="N7374" s="33"/>
      <c r="O7374" s="33"/>
      <c r="P7374" s="33"/>
      <c r="Q7374" s="33"/>
      <c r="R7374" s="33"/>
      <c r="S7374" s="33"/>
      <c r="T7374" s="33"/>
      <c r="U7374" s="33"/>
      <c r="V7374" s="33"/>
      <c r="W7374" s="33"/>
      <c r="X7374" s="33"/>
      <c r="Y7374" s="33"/>
      <c r="Z7374" s="33"/>
      <c r="AA7374" s="33"/>
      <c r="AB7374" s="33"/>
      <c r="AC7374" s="33"/>
      <c r="AD7374" s="33"/>
      <c r="AE7374" s="33"/>
      <c r="AF7374" s="33"/>
      <c r="AG7374" s="33"/>
      <c r="AH7374" s="33"/>
      <c r="AI7374" s="33"/>
      <c r="AJ7374" s="33"/>
      <c r="AK7374" s="33"/>
    </row>
    <row r="7375">
      <c r="A7375" s="33"/>
      <c r="B7375" s="33"/>
      <c r="C7375" s="33"/>
      <c r="D7375" s="33"/>
      <c r="E7375" s="33"/>
      <c r="F7375" s="33"/>
      <c r="G7375" s="33"/>
      <c r="H7375" s="33"/>
      <c r="I7375" s="33"/>
      <c r="J7375" s="33"/>
      <c r="K7375" s="33"/>
      <c r="L7375" s="33"/>
      <c r="M7375" s="33"/>
      <c r="N7375" s="33"/>
      <c r="O7375" s="33"/>
      <c r="P7375" s="33"/>
      <c r="Q7375" s="33"/>
      <c r="R7375" s="33"/>
      <c r="S7375" s="33"/>
      <c r="T7375" s="33"/>
      <c r="U7375" s="33"/>
      <c r="V7375" s="33"/>
      <c r="W7375" s="33"/>
      <c r="X7375" s="33"/>
      <c r="Y7375" s="33"/>
      <c r="Z7375" s="33"/>
      <c r="AA7375" s="33"/>
      <c r="AB7375" s="33"/>
      <c r="AC7375" s="33"/>
      <c r="AD7375" s="33"/>
      <c r="AE7375" s="33"/>
      <c r="AF7375" s="33"/>
      <c r="AG7375" s="33"/>
      <c r="AH7375" s="33"/>
      <c r="AI7375" s="33"/>
      <c r="AJ7375" s="33"/>
      <c r="AK7375" s="33"/>
    </row>
    <row r="7376">
      <c r="A7376" s="33"/>
      <c r="B7376" s="33"/>
      <c r="C7376" s="33"/>
      <c r="D7376" s="33"/>
      <c r="E7376" s="33"/>
      <c r="F7376" s="33"/>
      <c r="G7376" s="33"/>
      <c r="H7376" s="33"/>
      <c r="I7376" s="33"/>
      <c r="J7376" s="33"/>
      <c r="K7376" s="33"/>
      <c r="L7376" s="33"/>
      <c r="M7376" s="33"/>
      <c r="N7376" s="33"/>
      <c r="O7376" s="33"/>
      <c r="P7376" s="33"/>
      <c r="Q7376" s="33"/>
      <c r="R7376" s="33"/>
      <c r="S7376" s="33"/>
      <c r="T7376" s="33"/>
      <c r="U7376" s="33"/>
      <c r="V7376" s="33"/>
      <c r="W7376" s="33"/>
      <c r="X7376" s="33"/>
      <c r="Y7376" s="33"/>
      <c r="Z7376" s="33"/>
      <c r="AA7376" s="33"/>
      <c r="AB7376" s="33"/>
      <c r="AC7376" s="33"/>
      <c r="AD7376" s="33"/>
      <c r="AE7376" s="33"/>
      <c r="AF7376" s="33"/>
      <c r="AG7376" s="33"/>
      <c r="AH7376" s="33"/>
      <c r="AI7376" s="33"/>
      <c r="AJ7376" s="33"/>
      <c r="AK7376" s="33"/>
    </row>
    <row r="7377">
      <c r="A7377" s="33"/>
      <c r="B7377" s="33"/>
      <c r="C7377" s="33"/>
      <c r="D7377" s="33"/>
      <c r="E7377" s="33"/>
      <c r="F7377" s="33"/>
      <c r="G7377" s="33"/>
      <c r="H7377" s="33"/>
      <c r="I7377" s="33"/>
      <c r="J7377" s="33"/>
      <c r="K7377" s="33"/>
      <c r="L7377" s="33"/>
      <c r="M7377" s="33"/>
      <c r="N7377" s="33"/>
      <c r="O7377" s="33"/>
      <c r="P7377" s="33"/>
      <c r="Q7377" s="33"/>
      <c r="R7377" s="33"/>
      <c r="S7377" s="33"/>
      <c r="T7377" s="33"/>
      <c r="U7377" s="33"/>
      <c r="V7377" s="33"/>
      <c r="W7377" s="33"/>
      <c r="X7377" s="33"/>
      <c r="Y7377" s="33"/>
      <c r="Z7377" s="33"/>
      <c r="AA7377" s="33"/>
      <c r="AB7377" s="33"/>
      <c r="AC7377" s="33"/>
      <c r="AD7377" s="33"/>
      <c r="AE7377" s="33"/>
      <c r="AF7377" s="33"/>
      <c r="AG7377" s="33"/>
      <c r="AH7377" s="33"/>
      <c r="AI7377" s="33"/>
      <c r="AJ7377" s="33"/>
      <c r="AK7377" s="33"/>
    </row>
    <row r="7378">
      <c r="A7378" s="33"/>
      <c r="B7378" s="33"/>
      <c r="C7378" s="33"/>
      <c r="D7378" s="33"/>
      <c r="E7378" s="33"/>
      <c r="F7378" s="33"/>
      <c r="G7378" s="33"/>
      <c r="H7378" s="33"/>
      <c r="I7378" s="33"/>
      <c r="J7378" s="33"/>
      <c r="K7378" s="33"/>
      <c r="L7378" s="33"/>
      <c r="M7378" s="33"/>
      <c r="N7378" s="33"/>
      <c r="O7378" s="33"/>
      <c r="P7378" s="33"/>
      <c r="Q7378" s="33"/>
      <c r="R7378" s="33"/>
      <c r="S7378" s="33"/>
      <c r="T7378" s="33"/>
      <c r="U7378" s="33"/>
      <c r="V7378" s="33"/>
      <c r="W7378" s="33"/>
      <c r="X7378" s="33"/>
      <c r="Y7378" s="33"/>
      <c r="Z7378" s="33"/>
      <c r="AA7378" s="33"/>
      <c r="AB7378" s="33"/>
      <c r="AC7378" s="33"/>
      <c r="AD7378" s="33"/>
      <c r="AE7378" s="33"/>
      <c r="AF7378" s="33"/>
      <c r="AG7378" s="33"/>
      <c r="AH7378" s="33"/>
      <c r="AI7378" s="33"/>
      <c r="AJ7378" s="33"/>
      <c r="AK7378" s="33"/>
    </row>
    <row r="7379">
      <c r="A7379" s="33"/>
      <c r="B7379" s="33"/>
      <c r="C7379" s="33"/>
      <c r="D7379" s="33"/>
      <c r="E7379" s="33"/>
      <c r="F7379" s="33"/>
      <c r="G7379" s="33"/>
      <c r="H7379" s="33"/>
      <c r="I7379" s="33"/>
      <c r="J7379" s="33"/>
      <c r="K7379" s="33"/>
      <c r="L7379" s="33"/>
      <c r="M7379" s="33"/>
      <c r="N7379" s="33"/>
      <c r="O7379" s="33"/>
      <c r="P7379" s="33"/>
      <c r="Q7379" s="33"/>
      <c r="R7379" s="33"/>
      <c r="S7379" s="33"/>
      <c r="T7379" s="33"/>
      <c r="U7379" s="33"/>
      <c r="V7379" s="33"/>
      <c r="W7379" s="33"/>
      <c r="X7379" s="33"/>
      <c r="Y7379" s="33"/>
      <c r="Z7379" s="33"/>
      <c r="AA7379" s="33"/>
      <c r="AB7379" s="33"/>
      <c r="AC7379" s="33"/>
      <c r="AD7379" s="33"/>
      <c r="AE7379" s="33"/>
      <c r="AF7379" s="33"/>
      <c r="AG7379" s="33"/>
      <c r="AH7379" s="33"/>
      <c r="AI7379" s="33"/>
      <c r="AJ7379" s="33"/>
      <c r="AK7379" s="33"/>
    </row>
    <row r="7380">
      <c r="A7380" s="33"/>
      <c r="B7380" s="33"/>
      <c r="C7380" s="33"/>
      <c r="D7380" s="33"/>
      <c r="E7380" s="33"/>
      <c r="F7380" s="33"/>
      <c r="G7380" s="33"/>
      <c r="H7380" s="33"/>
      <c r="I7380" s="33"/>
      <c r="J7380" s="33"/>
      <c r="K7380" s="33"/>
      <c r="L7380" s="33"/>
      <c r="M7380" s="33"/>
      <c r="N7380" s="33"/>
      <c r="O7380" s="33"/>
      <c r="P7380" s="33"/>
      <c r="Q7380" s="33"/>
      <c r="R7380" s="33"/>
      <c r="S7380" s="33"/>
      <c r="T7380" s="33"/>
      <c r="U7380" s="33"/>
      <c r="V7380" s="33"/>
      <c r="W7380" s="33"/>
      <c r="X7380" s="33"/>
      <c r="Y7380" s="33"/>
      <c r="Z7380" s="33"/>
      <c r="AA7380" s="33"/>
      <c r="AB7380" s="33"/>
      <c r="AC7380" s="33"/>
      <c r="AD7380" s="33"/>
      <c r="AE7380" s="33"/>
      <c r="AF7380" s="33"/>
      <c r="AG7380" s="33"/>
      <c r="AH7380" s="33"/>
      <c r="AI7380" s="33"/>
      <c r="AJ7380" s="33"/>
      <c r="AK7380" s="33"/>
    </row>
    <row r="7381">
      <c r="A7381" s="33"/>
      <c r="B7381" s="33"/>
      <c r="C7381" s="33"/>
      <c r="D7381" s="33"/>
      <c r="E7381" s="33"/>
      <c r="F7381" s="33"/>
      <c r="G7381" s="33"/>
      <c r="H7381" s="33"/>
      <c r="I7381" s="33"/>
      <c r="J7381" s="33"/>
      <c r="K7381" s="33"/>
      <c r="L7381" s="33"/>
      <c r="M7381" s="33"/>
      <c r="N7381" s="33"/>
      <c r="O7381" s="33"/>
      <c r="P7381" s="33"/>
      <c r="Q7381" s="33"/>
      <c r="R7381" s="33"/>
      <c r="S7381" s="33"/>
      <c r="T7381" s="33"/>
      <c r="U7381" s="33"/>
      <c r="V7381" s="33"/>
      <c r="W7381" s="33"/>
      <c r="X7381" s="33"/>
      <c r="Y7381" s="33"/>
      <c r="Z7381" s="33"/>
      <c r="AA7381" s="33"/>
      <c r="AB7381" s="33"/>
      <c r="AC7381" s="33"/>
      <c r="AD7381" s="33"/>
      <c r="AE7381" s="33"/>
      <c r="AF7381" s="33"/>
      <c r="AG7381" s="33"/>
      <c r="AH7381" s="33"/>
      <c r="AI7381" s="33"/>
      <c r="AJ7381" s="33"/>
      <c r="AK7381" s="33"/>
    </row>
    <row r="7382">
      <c r="A7382" s="33"/>
      <c r="B7382" s="33"/>
      <c r="C7382" s="33"/>
      <c r="D7382" s="33"/>
      <c r="E7382" s="33"/>
      <c r="F7382" s="33"/>
      <c r="G7382" s="33"/>
      <c r="H7382" s="33"/>
      <c r="I7382" s="33"/>
      <c r="J7382" s="33"/>
      <c r="K7382" s="33"/>
      <c r="L7382" s="33"/>
      <c r="M7382" s="33"/>
      <c r="N7382" s="33"/>
      <c r="O7382" s="33"/>
      <c r="P7382" s="33"/>
      <c r="Q7382" s="33"/>
      <c r="R7382" s="33"/>
      <c r="S7382" s="33"/>
      <c r="T7382" s="33"/>
      <c r="U7382" s="33"/>
      <c r="V7382" s="33"/>
      <c r="W7382" s="33"/>
      <c r="X7382" s="33"/>
      <c r="Y7382" s="33"/>
      <c r="Z7382" s="33"/>
      <c r="AA7382" s="33"/>
      <c r="AB7382" s="33"/>
      <c r="AC7382" s="33"/>
      <c r="AD7382" s="33"/>
      <c r="AE7382" s="33"/>
      <c r="AF7382" s="33"/>
      <c r="AG7382" s="33"/>
      <c r="AH7382" s="33"/>
      <c r="AI7382" s="33"/>
      <c r="AJ7382" s="33"/>
      <c r="AK7382" s="33"/>
    </row>
    <row r="7383">
      <c r="A7383" s="33"/>
      <c r="B7383" s="33"/>
      <c r="C7383" s="33"/>
      <c r="D7383" s="33"/>
      <c r="E7383" s="33"/>
      <c r="F7383" s="33"/>
      <c r="G7383" s="33"/>
      <c r="H7383" s="33"/>
      <c r="I7383" s="33"/>
      <c r="J7383" s="33"/>
      <c r="K7383" s="33"/>
      <c r="L7383" s="33"/>
      <c r="M7383" s="33"/>
      <c r="N7383" s="33"/>
      <c r="O7383" s="33"/>
      <c r="P7383" s="33"/>
      <c r="Q7383" s="33"/>
      <c r="R7383" s="33"/>
      <c r="S7383" s="33"/>
      <c r="T7383" s="33"/>
      <c r="U7383" s="33"/>
      <c r="V7383" s="33"/>
      <c r="W7383" s="33"/>
      <c r="X7383" s="33"/>
      <c r="Y7383" s="33"/>
      <c r="Z7383" s="33"/>
      <c r="AA7383" s="33"/>
      <c r="AB7383" s="33"/>
      <c r="AC7383" s="33"/>
      <c r="AD7383" s="33"/>
      <c r="AE7383" s="33"/>
      <c r="AF7383" s="33"/>
      <c r="AG7383" s="33"/>
      <c r="AH7383" s="33"/>
      <c r="AI7383" s="33"/>
      <c r="AJ7383" s="33"/>
      <c r="AK7383" s="33"/>
    </row>
    <row r="7384">
      <c r="A7384" s="33"/>
      <c r="B7384" s="33"/>
      <c r="C7384" s="33"/>
      <c r="D7384" s="33"/>
      <c r="E7384" s="33"/>
      <c r="F7384" s="33"/>
      <c r="G7384" s="33"/>
      <c r="H7384" s="33"/>
      <c r="I7384" s="33"/>
      <c r="J7384" s="33"/>
      <c r="K7384" s="33"/>
      <c r="L7384" s="33"/>
      <c r="M7384" s="33"/>
      <c r="N7384" s="33"/>
      <c r="O7384" s="33"/>
      <c r="P7384" s="33"/>
      <c r="Q7384" s="33"/>
      <c r="R7384" s="33"/>
      <c r="S7384" s="33"/>
      <c r="T7384" s="33"/>
      <c r="U7384" s="33"/>
      <c r="V7384" s="33"/>
      <c r="W7384" s="33"/>
      <c r="X7384" s="33"/>
      <c r="Y7384" s="33"/>
      <c r="Z7384" s="33"/>
      <c r="AA7384" s="33"/>
      <c r="AB7384" s="33"/>
      <c r="AC7384" s="33"/>
      <c r="AD7384" s="33"/>
      <c r="AE7384" s="33"/>
      <c r="AF7384" s="33"/>
      <c r="AG7384" s="33"/>
      <c r="AH7384" s="33"/>
      <c r="AI7384" s="33"/>
      <c r="AJ7384" s="33"/>
      <c r="AK7384" s="33"/>
    </row>
    <row r="7385">
      <c r="A7385" s="33"/>
      <c r="B7385" s="33"/>
      <c r="C7385" s="33"/>
      <c r="D7385" s="33"/>
      <c r="E7385" s="33"/>
      <c r="F7385" s="33"/>
      <c r="G7385" s="33"/>
      <c r="H7385" s="33"/>
      <c r="I7385" s="33"/>
      <c r="J7385" s="33"/>
      <c r="K7385" s="33"/>
      <c r="L7385" s="33"/>
      <c r="M7385" s="33"/>
      <c r="N7385" s="33"/>
      <c r="O7385" s="33"/>
      <c r="P7385" s="33"/>
      <c r="Q7385" s="33"/>
      <c r="R7385" s="33"/>
      <c r="S7385" s="33"/>
      <c r="T7385" s="33"/>
      <c r="U7385" s="33"/>
      <c r="V7385" s="33"/>
      <c r="W7385" s="33"/>
      <c r="X7385" s="33"/>
      <c r="Y7385" s="33"/>
      <c r="Z7385" s="33"/>
      <c r="AA7385" s="33"/>
      <c r="AB7385" s="33"/>
      <c r="AC7385" s="33"/>
      <c r="AD7385" s="33"/>
      <c r="AE7385" s="33"/>
      <c r="AF7385" s="33"/>
      <c r="AG7385" s="33"/>
      <c r="AH7385" s="33"/>
      <c r="AI7385" s="33"/>
      <c r="AJ7385" s="33"/>
      <c r="AK7385" s="33"/>
    </row>
    <row r="7386">
      <c r="A7386" s="33"/>
      <c r="B7386" s="33"/>
      <c r="C7386" s="33"/>
      <c r="D7386" s="33"/>
      <c r="E7386" s="33"/>
      <c r="F7386" s="33"/>
      <c r="G7386" s="33"/>
      <c r="H7386" s="33"/>
      <c r="I7386" s="33"/>
      <c r="J7386" s="33"/>
      <c r="K7386" s="33"/>
      <c r="L7386" s="33"/>
      <c r="M7386" s="33"/>
      <c r="N7386" s="33"/>
      <c r="O7386" s="33"/>
      <c r="P7386" s="33"/>
      <c r="Q7386" s="33"/>
      <c r="R7386" s="33"/>
      <c r="S7386" s="33"/>
      <c r="T7386" s="33"/>
      <c r="U7386" s="33"/>
      <c r="V7386" s="33"/>
      <c r="W7386" s="33"/>
      <c r="X7386" s="33"/>
      <c r="Y7386" s="33"/>
      <c r="Z7386" s="33"/>
      <c r="AA7386" s="33"/>
      <c r="AB7386" s="33"/>
      <c r="AC7386" s="33"/>
      <c r="AD7386" s="33"/>
      <c r="AE7386" s="33"/>
      <c r="AF7386" s="33"/>
      <c r="AG7386" s="33"/>
      <c r="AH7386" s="33"/>
      <c r="AI7386" s="33"/>
      <c r="AJ7386" s="33"/>
      <c r="AK7386" s="33"/>
    </row>
    <row r="7387">
      <c r="A7387" s="33"/>
      <c r="B7387" s="33"/>
      <c r="C7387" s="33"/>
      <c r="D7387" s="33"/>
      <c r="E7387" s="33"/>
      <c r="F7387" s="33"/>
      <c r="G7387" s="33"/>
      <c r="H7387" s="33"/>
      <c r="I7387" s="33"/>
      <c r="J7387" s="33"/>
      <c r="K7387" s="33"/>
      <c r="L7387" s="33"/>
      <c r="M7387" s="33"/>
      <c r="N7387" s="33"/>
      <c r="O7387" s="33"/>
      <c r="P7387" s="33"/>
      <c r="Q7387" s="33"/>
      <c r="R7387" s="33"/>
      <c r="S7387" s="33"/>
      <c r="T7387" s="33"/>
      <c r="U7387" s="33"/>
      <c r="V7387" s="33"/>
      <c r="W7387" s="33"/>
      <c r="X7387" s="33"/>
      <c r="Y7387" s="33"/>
      <c r="Z7387" s="33"/>
      <c r="AA7387" s="33"/>
      <c r="AB7387" s="33"/>
      <c r="AC7387" s="33"/>
      <c r="AD7387" s="33"/>
      <c r="AE7387" s="33"/>
      <c r="AF7387" s="33"/>
      <c r="AG7387" s="33"/>
      <c r="AH7387" s="33"/>
      <c r="AI7387" s="33"/>
      <c r="AJ7387" s="33"/>
      <c r="AK7387" s="33"/>
    </row>
    <row r="7388">
      <c r="A7388" s="33"/>
      <c r="B7388" s="33"/>
      <c r="C7388" s="33"/>
      <c r="D7388" s="33"/>
      <c r="E7388" s="33"/>
      <c r="F7388" s="33"/>
      <c r="G7388" s="33"/>
      <c r="H7388" s="33"/>
      <c r="I7388" s="33"/>
      <c r="J7388" s="33"/>
      <c r="K7388" s="33"/>
      <c r="L7388" s="33"/>
      <c r="M7388" s="33"/>
      <c r="N7388" s="33"/>
      <c r="O7388" s="33"/>
      <c r="P7388" s="33"/>
      <c r="Q7388" s="33"/>
      <c r="R7388" s="33"/>
      <c r="S7388" s="33"/>
      <c r="T7388" s="33"/>
      <c r="U7388" s="33"/>
      <c r="V7388" s="33"/>
      <c r="W7388" s="33"/>
      <c r="X7388" s="33"/>
      <c r="Y7388" s="33"/>
      <c r="Z7388" s="33"/>
      <c r="AA7388" s="33"/>
      <c r="AB7388" s="33"/>
      <c r="AC7388" s="33"/>
      <c r="AD7388" s="33"/>
      <c r="AE7388" s="33"/>
      <c r="AF7388" s="33"/>
      <c r="AG7388" s="33"/>
      <c r="AH7388" s="33"/>
      <c r="AI7388" s="33"/>
      <c r="AJ7388" s="33"/>
      <c r="AK7388" s="33"/>
    </row>
    <row r="7389">
      <c r="A7389" s="33"/>
      <c r="B7389" s="33"/>
      <c r="C7389" s="33"/>
      <c r="D7389" s="33"/>
      <c r="E7389" s="33"/>
      <c r="F7389" s="33"/>
      <c r="G7389" s="33"/>
      <c r="H7389" s="33"/>
      <c r="I7389" s="33"/>
      <c r="J7389" s="33"/>
      <c r="K7389" s="33"/>
      <c r="L7389" s="33"/>
      <c r="M7389" s="33"/>
      <c r="N7389" s="33"/>
      <c r="O7389" s="33"/>
      <c r="P7389" s="33"/>
      <c r="Q7389" s="33"/>
      <c r="R7389" s="33"/>
      <c r="S7389" s="33"/>
      <c r="T7389" s="33"/>
      <c r="U7389" s="33"/>
      <c r="V7389" s="33"/>
      <c r="W7389" s="33"/>
      <c r="X7389" s="33"/>
      <c r="Y7389" s="33"/>
      <c r="Z7389" s="33"/>
      <c r="AA7389" s="33"/>
      <c r="AB7389" s="33"/>
      <c r="AC7389" s="33"/>
      <c r="AD7389" s="33"/>
      <c r="AE7389" s="33"/>
      <c r="AF7389" s="33"/>
      <c r="AG7389" s="33"/>
      <c r="AH7389" s="33"/>
      <c r="AI7389" s="33"/>
      <c r="AJ7389" s="33"/>
      <c r="AK7389" s="33"/>
    </row>
    <row r="7390">
      <c r="A7390" s="33"/>
      <c r="B7390" s="33"/>
      <c r="C7390" s="33"/>
      <c r="D7390" s="33"/>
      <c r="E7390" s="33"/>
      <c r="F7390" s="33"/>
      <c r="G7390" s="33"/>
      <c r="H7390" s="33"/>
      <c r="I7390" s="33"/>
      <c r="J7390" s="33"/>
      <c r="K7390" s="33"/>
      <c r="L7390" s="33"/>
      <c r="M7390" s="33"/>
      <c r="N7390" s="33"/>
      <c r="O7390" s="33"/>
      <c r="P7390" s="33"/>
      <c r="Q7390" s="33"/>
      <c r="R7390" s="33"/>
      <c r="S7390" s="33"/>
      <c r="T7390" s="33"/>
      <c r="U7390" s="33"/>
      <c r="V7390" s="33"/>
      <c r="W7390" s="33"/>
      <c r="X7390" s="33"/>
      <c r="Y7390" s="33"/>
      <c r="Z7390" s="33"/>
      <c r="AA7390" s="33"/>
      <c r="AB7390" s="33"/>
      <c r="AC7390" s="33"/>
      <c r="AD7390" s="33"/>
      <c r="AE7390" s="33"/>
      <c r="AF7390" s="33"/>
      <c r="AG7390" s="33"/>
      <c r="AH7390" s="33"/>
      <c r="AI7390" s="33"/>
      <c r="AJ7390" s="33"/>
      <c r="AK7390" s="33"/>
    </row>
    <row r="7391">
      <c r="A7391" s="33"/>
      <c r="B7391" s="33"/>
      <c r="C7391" s="33"/>
      <c r="D7391" s="33"/>
      <c r="E7391" s="33"/>
      <c r="F7391" s="33"/>
      <c r="G7391" s="33"/>
      <c r="H7391" s="33"/>
      <c r="I7391" s="33"/>
      <c r="J7391" s="33"/>
      <c r="K7391" s="33"/>
      <c r="L7391" s="33"/>
      <c r="M7391" s="33"/>
      <c r="N7391" s="33"/>
      <c r="O7391" s="33"/>
      <c r="P7391" s="33"/>
      <c r="Q7391" s="33"/>
      <c r="R7391" s="33"/>
      <c r="S7391" s="33"/>
      <c r="T7391" s="33"/>
      <c r="U7391" s="33"/>
      <c r="V7391" s="33"/>
      <c r="W7391" s="33"/>
      <c r="X7391" s="33"/>
      <c r="Y7391" s="33"/>
      <c r="Z7391" s="33"/>
      <c r="AA7391" s="33"/>
      <c r="AB7391" s="33"/>
      <c r="AC7391" s="33"/>
      <c r="AD7391" s="33"/>
      <c r="AE7391" s="33"/>
      <c r="AF7391" s="33"/>
      <c r="AG7391" s="33"/>
      <c r="AH7391" s="33"/>
      <c r="AI7391" s="33"/>
      <c r="AJ7391" s="33"/>
      <c r="AK7391" s="33"/>
    </row>
    <row r="7392">
      <c r="A7392" s="33"/>
      <c r="B7392" s="33"/>
      <c r="C7392" s="33"/>
      <c r="D7392" s="33"/>
      <c r="E7392" s="33"/>
      <c r="F7392" s="33"/>
      <c r="G7392" s="33"/>
      <c r="H7392" s="33"/>
      <c r="I7392" s="33"/>
      <c r="J7392" s="33"/>
      <c r="K7392" s="33"/>
      <c r="L7392" s="33"/>
      <c r="M7392" s="33"/>
      <c r="N7392" s="33"/>
      <c r="O7392" s="33"/>
      <c r="P7392" s="33"/>
      <c r="Q7392" s="33"/>
      <c r="R7392" s="33"/>
      <c r="S7392" s="33"/>
      <c r="T7392" s="33"/>
      <c r="U7392" s="33"/>
      <c r="V7392" s="33"/>
      <c r="W7392" s="33"/>
      <c r="X7392" s="33"/>
      <c r="Y7392" s="33"/>
      <c r="Z7392" s="33"/>
      <c r="AA7392" s="33"/>
      <c r="AB7392" s="33"/>
      <c r="AC7392" s="33"/>
      <c r="AD7392" s="33"/>
      <c r="AE7392" s="33"/>
      <c r="AF7392" s="33"/>
      <c r="AG7392" s="33"/>
      <c r="AH7392" s="33"/>
      <c r="AI7392" s="33"/>
      <c r="AJ7392" s="33"/>
      <c r="AK7392" s="33"/>
    </row>
    <row r="7393">
      <c r="A7393" s="33"/>
      <c r="B7393" s="33"/>
      <c r="C7393" s="33"/>
      <c r="D7393" s="33"/>
      <c r="E7393" s="33"/>
      <c r="F7393" s="33"/>
      <c r="G7393" s="33"/>
      <c r="H7393" s="33"/>
      <c r="I7393" s="33"/>
      <c r="J7393" s="33"/>
      <c r="K7393" s="33"/>
      <c r="L7393" s="33"/>
      <c r="M7393" s="33"/>
      <c r="N7393" s="33"/>
      <c r="O7393" s="33"/>
      <c r="P7393" s="33"/>
      <c r="Q7393" s="33"/>
      <c r="R7393" s="33"/>
      <c r="S7393" s="33"/>
      <c r="T7393" s="33"/>
      <c r="U7393" s="33"/>
      <c r="V7393" s="33"/>
      <c r="W7393" s="33"/>
      <c r="X7393" s="33"/>
      <c r="Y7393" s="33"/>
      <c r="Z7393" s="33"/>
      <c r="AA7393" s="33"/>
      <c r="AB7393" s="33"/>
      <c r="AC7393" s="33"/>
      <c r="AD7393" s="33"/>
      <c r="AE7393" s="33"/>
      <c r="AF7393" s="33"/>
      <c r="AG7393" s="33"/>
      <c r="AH7393" s="33"/>
      <c r="AI7393" s="33"/>
      <c r="AJ7393" s="33"/>
      <c r="AK7393" s="33"/>
    </row>
    <row r="7394">
      <c r="A7394" s="33"/>
      <c r="B7394" s="33"/>
      <c r="C7394" s="33"/>
      <c r="D7394" s="33"/>
      <c r="E7394" s="33"/>
      <c r="F7394" s="33"/>
      <c r="G7394" s="33"/>
      <c r="H7394" s="33"/>
      <c r="I7394" s="33"/>
      <c r="J7394" s="33"/>
      <c r="K7394" s="33"/>
      <c r="L7394" s="33"/>
      <c r="M7394" s="33"/>
      <c r="N7394" s="33"/>
      <c r="O7394" s="33"/>
      <c r="P7394" s="33"/>
      <c r="Q7394" s="33"/>
      <c r="R7394" s="33"/>
      <c r="S7394" s="33"/>
      <c r="T7394" s="33"/>
      <c r="U7394" s="33"/>
      <c r="V7394" s="33"/>
      <c r="W7394" s="33"/>
      <c r="X7394" s="33"/>
      <c r="Y7394" s="33"/>
      <c r="Z7394" s="33"/>
      <c r="AA7394" s="33"/>
      <c r="AB7394" s="33"/>
      <c r="AC7394" s="33"/>
      <c r="AD7394" s="33"/>
      <c r="AE7394" s="33"/>
      <c r="AF7394" s="33"/>
      <c r="AG7394" s="33"/>
      <c r="AH7394" s="33"/>
      <c r="AI7394" s="33"/>
      <c r="AJ7394" s="33"/>
      <c r="AK7394" s="33"/>
    </row>
    <row r="7395">
      <c r="A7395" s="33"/>
      <c r="B7395" s="33"/>
      <c r="C7395" s="33"/>
      <c r="D7395" s="33"/>
      <c r="E7395" s="33"/>
      <c r="F7395" s="33"/>
      <c r="G7395" s="33"/>
      <c r="H7395" s="33"/>
      <c r="I7395" s="33"/>
      <c r="J7395" s="33"/>
      <c r="K7395" s="33"/>
      <c r="L7395" s="33"/>
      <c r="M7395" s="33"/>
      <c r="N7395" s="33"/>
      <c r="O7395" s="33"/>
      <c r="P7395" s="33"/>
      <c r="Q7395" s="33"/>
      <c r="R7395" s="33"/>
      <c r="S7395" s="33"/>
      <c r="T7395" s="33"/>
      <c r="U7395" s="33"/>
      <c r="V7395" s="33"/>
      <c r="W7395" s="33"/>
      <c r="X7395" s="33"/>
      <c r="Y7395" s="33"/>
      <c r="Z7395" s="33"/>
      <c r="AA7395" s="33"/>
      <c r="AB7395" s="33"/>
      <c r="AC7395" s="33"/>
      <c r="AD7395" s="33"/>
      <c r="AE7395" s="33"/>
      <c r="AF7395" s="33"/>
      <c r="AG7395" s="33"/>
      <c r="AH7395" s="33"/>
      <c r="AI7395" s="33"/>
      <c r="AJ7395" s="33"/>
      <c r="AK7395" s="33"/>
    </row>
    <row r="7396">
      <c r="A7396" s="33"/>
      <c r="B7396" s="33"/>
      <c r="C7396" s="33"/>
      <c r="D7396" s="33"/>
      <c r="E7396" s="33"/>
      <c r="F7396" s="33"/>
      <c r="G7396" s="33"/>
      <c r="H7396" s="33"/>
      <c r="I7396" s="33"/>
      <c r="J7396" s="33"/>
      <c r="K7396" s="33"/>
      <c r="L7396" s="33"/>
      <c r="M7396" s="33"/>
      <c r="N7396" s="33"/>
      <c r="O7396" s="33"/>
      <c r="P7396" s="33"/>
      <c r="Q7396" s="33"/>
      <c r="R7396" s="33"/>
      <c r="S7396" s="33"/>
      <c r="T7396" s="33"/>
      <c r="U7396" s="33"/>
      <c r="V7396" s="33"/>
      <c r="W7396" s="33"/>
      <c r="X7396" s="33"/>
      <c r="Y7396" s="33"/>
      <c r="Z7396" s="33"/>
      <c r="AA7396" s="33"/>
      <c r="AB7396" s="33"/>
      <c r="AC7396" s="33"/>
      <c r="AD7396" s="33"/>
      <c r="AE7396" s="33"/>
      <c r="AF7396" s="33"/>
      <c r="AG7396" s="33"/>
      <c r="AH7396" s="33"/>
      <c r="AI7396" s="33"/>
      <c r="AJ7396" s="33"/>
      <c r="AK7396" s="33"/>
    </row>
    <row r="7397">
      <c r="A7397" s="33"/>
      <c r="B7397" s="33"/>
      <c r="C7397" s="33"/>
      <c r="D7397" s="33"/>
      <c r="E7397" s="33"/>
      <c r="F7397" s="33"/>
      <c r="G7397" s="33"/>
      <c r="H7397" s="33"/>
      <c r="I7397" s="33"/>
      <c r="J7397" s="33"/>
      <c r="K7397" s="33"/>
      <c r="L7397" s="33"/>
      <c r="M7397" s="33"/>
      <c r="N7397" s="33"/>
      <c r="O7397" s="33"/>
      <c r="P7397" s="33"/>
      <c r="Q7397" s="33"/>
      <c r="R7397" s="33"/>
      <c r="S7397" s="33"/>
      <c r="T7397" s="33"/>
      <c r="U7397" s="33"/>
      <c r="V7397" s="33"/>
      <c r="W7397" s="33"/>
      <c r="X7397" s="33"/>
      <c r="Y7397" s="33"/>
      <c r="Z7397" s="33"/>
      <c r="AA7397" s="33"/>
      <c r="AB7397" s="33"/>
      <c r="AC7397" s="33"/>
      <c r="AD7397" s="33"/>
      <c r="AE7397" s="33"/>
      <c r="AF7397" s="33"/>
      <c r="AG7397" s="33"/>
      <c r="AH7397" s="33"/>
      <c r="AI7397" s="33"/>
      <c r="AJ7397" s="33"/>
      <c r="AK7397" s="33"/>
    </row>
    <row r="7398">
      <c r="A7398" s="33"/>
      <c r="B7398" s="33"/>
      <c r="C7398" s="33"/>
      <c r="D7398" s="33"/>
      <c r="E7398" s="33"/>
      <c r="F7398" s="33"/>
      <c r="G7398" s="33"/>
      <c r="H7398" s="33"/>
      <c r="I7398" s="33"/>
      <c r="J7398" s="33"/>
      <c r="K7398" s="33"/>
      <c r="L7398" s="33"/>
      <c r="M7398" s="33"/>
      <c r="N7398" s="33"/>
      <c r="O7398" s="33"/>
      <c r="P7398" s="33"/>
      <c r="Q7398" s="33"/>
      <c r="R7398" s="33"/>
      <c r="S7398" s="33"/>
      <c r="T7398" s="33"/>
      <c r="U7398" s="33"/>
      <c r="V7398" s="33"/>
      <c r="W7398" s="33"/>
      <c r="X7398" s="33"/>
      <c r="Y7398" s="33"/>
      <c r="Z7398" s="33"/>
      <c r="AA7398" s="33"/>
      <c r="AB7398" s="33"/>
      <c r="AC7398" s="33"/>
      <c r="AD7398" s="33"/>
      <c r="AE7398" s="33"/>
      <c r="AF7398" s="33"/>
      <c r="AG7398" s="33"/>
      <c r="AH7398" s="33"/>
      <c r="AI7398" s="33"/>
      <c r="AJ7398" s="33"/>
      <c r="AK7398" s="33"/>
    </row>
    <row r="7399">
      <c r="A7399" s="33"/>
      <c r="B7399" s="33"/>
      <c r="C7399" s="33"/>
      <c r="D7399" s="33"/>
      <c r="E7399" s="33"/>
      <c r="F7399" s="33"/>
      <c r="G7399" s="33"/>
      <c r="H7399" s="33"/>
      <c r="I7399" s="33"/>
      <c r="J7399" s="33"/>
      <c r="K7399" s="33"/>
      <c r="L7399" s="33"/>
      <c r="M7399" s="33"/>
      <c r="N7399" s="33"/>
      <c r="O7399" s="33"/>
      <c r="P7399" s="33"/>
      <c r="Q7399" s="33"/>
      <c r="R7399" s="33"/>
      <c r="S7399" s="33"/>
      <c r="T7399" s="33"/>
      <c r="U7399" s="33"/>
      <c r="V7399" s="33"/>
      <c r="W7399" s="33"/>
      <c r="X7399" s="33"/>
      <c r="Y7399" s="33"/>
      <c r="Z7399" s="33"/>
      <c r="AA7399" s="33"/>
      <c r="AB7399" s="33"/>
      <c r="AC7399" s="33"/>
      <c r="AD7399" s="33"/>
      <c r="AE7399" s="33"/>
      <c r="AF7399" s="33"/>
      <c r="AG7399" s="33"/>
      <c r="AH7399" s="33"/>
      <c r="AI7399" s="33"/>
      <c r="AJ7399" s="33"/>
      <c r="AK7399" s="33"/>
    </row>
    <row r="7400">
      <c r="A7400" s="33"/>
      <c r="B7400" s="33"/>
      <c r="C7400" s="33"/>
      <c r="D7400" s="33"/>
      <c r="E7400" s="33"/>
      <c r="F7400" s="33"/>
      <c r="G7400" s="33"/>
      <c r="H7400" s="33"/>
      <c r="I7400" s="33"/>
      <c r="J7400" s="33"/>
      <c r="K7400" s="33"/>
      <c r="L7400" s="33"/>
      <c r="M7400" s="33"/>
      <c r="N7400" s="33"/>
      <c r="O7400" s="33"/>
      <c r="P7400" s="33"/>
      <c r="Q7400" s="33"/>
      <c r="R7400" s="33"/>
      <c r="S7400" s="33"/>
      <c r="T7400" s="33"/>
      <c r="U7400" s="33"/>
      <c r="V7400" s="33"/>
      <c r="W7400" s="33"/>
      <c r="X7400" s="33"/>
      <c r="Y7400" s="33"/>
      <c r="Z7400" s="33"/>
      <c r="AA7400" s="33"/>
      <c r="AB7400" s="33"/>
      <c r="AC7400" s="33"/>
      <c r="AD7400" s="33"/>
      <c r="AE7400" s="33"/>
      <c r="AF7400" s="33"/>
      <c r="AG7400" s="33"/>
      <c r="AH7400" s="33"/>
      <c r="AI7400" s="33"/>
      <c r="AJ7400" s="33"/>
      <c r="AK7400" s="33"/>
    </row>
    <row r="7401">
      <c r="A7401" s="33"/>
      <c r="B7401" s="33"/>
      <c r="C7401" s="33"/>
      <c r="D7401" s="33"/>
      <c r="E7401" s="33"/>
      <c r="F7401" s="33"/>
      <c r="G7401" s="33"/>
      <c r="H7401" s="33"/>
      <c r="I7401" s="33"/>
      <c r="J7401" s="33"/>
      <c r="K7401" s="33"/>
      <c r="L7401" s="33"/>
      <c r="M7401" s="33"/>
      <c r="N7401" s="33"/>
      <c r="O7401" s="33"/>
      <c r="P7401" s="33"/>
      <c r="Q7401" s="33"/>
      <c r="R7401" s="33"/>
      <c r="S7401" s="33"/>
      <c r="T7401" s="33"/>
      <c r="U7401" s="33"/>
      <c r="V7401" s="33"/>
      <c r="W7401" s="33"/>
      <c r="X7401" s="33"/>
      <c r="Y7401" s="33"/>
      <c r="Z7401" s="33"/>
      <c r="AA7401" s="33"/>
      <c r="AB7401" s="33"/>
      <c r="AC7401" s="33"/>
      <c r="AD7401" s="33"/>
      <c r="AE7401" s="33"/>
      <c r="AF7401" s="33"/>
      <c r="AG7401" s="33"/>
      <c r="AH7401" s="33"/>
      <c r="AI7401" s="33"/>
      <c r="AJ7401" s="33"/>
      <c r="AK7401" s="33"/>
    </row>
    <row r="7402">
      <c r="A7402" s="33"/>
      <c r="B7402" s="33"/>
      <c r="C7402" s="33"/>
      <c r="D7402" s="33"/>
      <c r="E7402" s="33"/>
      <c r="F7402" s="33"/>
      <c r="G7402" s="33"/>
      <c r="H7402" s="33"/>
      <c r="I7402" s="33"/>
      <c r="J7402" s="33"/>
      <c r="K7402" s="33"/>
      <c r="L7402" s="33"/>
      <c r="M7402" s="33"/>
      <c r="N7402" s="33"/>
      <c r="O7402" s="33"/>
      <c r="P7402" s="33"/>
      <c r="Q7402" s="33"/>
      <c r="R7402" s="33"/>
      <c r="S7402" s="33"/>
      <c r="T7402" s="33"/>
      <c r="U7402" s="33"/>
      <c r="V7402" s="33"/>
      <c r="W7402" s="33"/>
      <c r="X7402" s="33"/>
      <c r="Y7402" s="33"/>
      <c r="Z7402" s="33"/>
      <c r="AA7402" s="33"/>
      <c r="AB7402" s="33"/>
      <c r="AC7402" s="33"/>
      <c r="AD7402" s="33"/>
      <c r="AE7402" s="33"/>
      <c r="AF7402" s="33"/>
      <c r="AG7402" s="33"/>
      <c r="AH7402" s="33"/>
      <c r="AI7402" s="33"/>
      <c r="AJ7402" s="33"/>
      <c r="AK7402" s="33"/>
    </row>
    <row r="7403">
      <c r="A7403" s="33"/>
      <c r="B7403" s="33"/>
      <c r="C7403" s="33"/>
      <c r="D7403" s="33"/>
      <c r="E7403" s="33"/>
      <c r="F7403" s="33"/>
      <c r="G7403" s="33"/>
      <c r="H7403" s="33"/>
      <c r="I7403" s="33"/>
      <c r="J7403" s="33"/>
      <c r="K7403" s="33"/>
      <c r="L7403" s="33"/>
      <c r="M7403" s="33"/>
      <c r="N7403" s="33"/>
      <c r="O7403" s="33"/>
      <c r="P7403" s="33"/>
      <c r="Q7403" s="33"/>
      <c r="R7403" s="33"/>
      <c r="S7403" s="33"/>
      <c r="T7403" s="33"/>
      <c r="U7403" s="33"/>
      <c r="V7403" s="33"/>
      <c r="W7403" s="33"/>
      <c r="X7403" s="33"/>
      <c r="Y7403" s="33"/>
      <c r="Z7403" s="33"/>
      <c r="AA7403" s="33"/>
      <c r="AB7403" s="33"/>
      <c r="AC7403" s="33"/>
      <c r="AD7403" s="33"/>
      <c r="AE7403" s="33"/>
      <c r="AF7403" s="33"/>
      <c r="AG7403" s="33"/>
      <c r="AH7403" s="33"/>
      <c r="AI7403" s="33"/>
      <c r="AJ7403" s="33"/>
      <c r="AK7403" s="33"/>
    </row>
    <row r="7404">
      <c r="A7404" s="33"/>
      <c r="B7404" s="33"/>
      <c r="C7404" s="33"/>
      <c r="D7404" s="33"/>
      <c r="E7404" s="33"/>
      <c r="F7404" s="33"/>
      <c r="G7404" s="33"/>
      <c r="H7404" s="33"/>
      <c r="I7404" s="33"/>
      <c r="J7404" s="33"/>
      <c r="K7404" s="33"/>
      <c r="L7404" s="33"/>
      <c r="M7404" s="33"/>
      <c r="N7404" s="33"/>
      <c r="O7404" s="33"/>
      <c r="P7404" s="33"/>
      <c r="Q7404" s="33"/>
      <c r="R7404" s="33"/>
      <c r="S7404" s="33"/>
      <c r="T7404" s="33"/>
      <c r="U7404" s="33"/>
      <c r="V7404" s="33"/>
      <c r="W7404" s="33"/>
      <c r="X7404" s="33"/>
      <c r="Y7404" s="33"/>
      <c r="Z7404" s="33"/>
      <c r="AA7404" s="33"/>
      <c r="AB7404" s="33"/>
      <c r="AC7404" s="33"/>
      <c r="AD7404" s="33"/>
      <c r="AE7404" s="33"/>
      <c r="AF7404" s="33"/>
      <c r="AG7404" s="33"/>
      <c r="AH7404" s="33"/>
      <c r="AI7404" s="33"/>
      <c r="AJ7404" s="33"/>
      <c r="AK7404" s="33"/>
    </row>
    <row r="7405">
      <c r="A7405" s="33"/>
      <c r="B7405" s="33"/>
      <c r="C7405" s="33"/>
      <c r="D7405" s="33"/>
      <c r="E7405" s="33"/>
      <c r="F7405" s="33"/>
      <c r="G7405" s="33"/>
      <c r="H7405" s="33"/>
      <c r="I7405" s="33"/>
      <c r="J7405" s="33"/>
      <c r="K7405" s="33"/>
      <c r="L7405" s="33"/>
      <c r="M7405" s="33"/>
      <c r="N7405" s="33"/>
      <c r="O7405" s="33"/>
      <c r="P7405" s="33"/>
      <c r="Q7405" s="33"/>
      <c r="R7405" s="33"/>
      <c r="S7405" s="33"/>
      <c r="T7405" s="33"/>
      <c r="U7405" s="33"/>
      <c r="V7405" s="33"/>
      <c r="W7405" s="33"/>
      <c r="X7405" s="33"/>
      <c r="Y7405" s="33"/>
      <c r="Z7405" s="33"/>
      <c r="AA7405" s="33"/>
      <c r="AB7405" s="33"/>
      <c r="AC7405" s="33"/>
      <c r="AD7405" s="33"/>
      <c r="AE7405" s="33"/>
      <c r="AF7405" s="33"/>
      <c r="AG7405" s="33"/>
      <c r="AH7405" s="33"/>
      <c r="AI7405" s="33"/>
      <c r="AJ7405" s="33"/>
      <c r="AK7405" s="33"/>
    </row>
    <row r="7406">
      <c r="A7406" s="33"/>
      <c r="B7406" s="33"/>
      <c r="C7406" s="33"/>
      <c r="D7406" s="33"/>
      <c r="E7406" s="33"/>
      <c r="F7406" s="33"/>
      <c r="G7406" s="33"/>
      <c r="H7406" s="33"/>
      <c r="I7406" s="33"/>
      <c r="J7406" s="33"/>
      <c r="K7406" s="33"/>
      <c r="L7406" s="33"/>
      <c r="M7406" s="33"/>
      <c r="N7406" s="33"/>
      <c r="O7406" s="33"/>
      <c r="P7406" s="33"/>
      <c r="Q7406" s="33"/>
      <c r="R7406" s="33"/>
      <c r="S7406" s="33"/>
      <c r="T7406" s="33"/>
      <c r="U7406" s="33"/>
      <c r="V7406" s="33"/>
      <c r="W7406" s="33"/>
      <c r="X7406" s="33"/>
      <c r="Y7406" s="33"/>
      <c r="Z7406" s="33"/>
      <c r="AA7406" s="33"/>
      <c r="AB7406" s="33"/>
      <c r="AC7406" s="33"/>
      <c r="AD7406" s="33"/>
      <c r="AE7406" s="33"/>
      <c r="AF7406" s="33"/>
      <c r="AG7406" s="33"/>
      <c r="AH7406" s="33"/>
      <c r="AI7406" s="33"/>
      <c r="AJ7406" s="33"/>
      <c r="AK7406" s="33"/>
    </row>
    <row r="7407">
      <c r="A7407" s="33"/>
      <c r="B7407" s="33"/>
      <c r="C7407" s="33"/>
      <c r="D7407" s="33"/>
      <c r="E7407" s="33"/>
      <c r="F7407" s="33"/>
      <c r="G7407" s="33"/>
      <c r="H7407" s="33"/>
      <c r="I7407" s="33"/>
      <c r="J7407" s="33"/>
      <c r="K7407" s="33"/>
      <c r="L7407" s="33"/>
      <c r="M7407" s="33"/>
      <c r="N7407" s="33"/>
      <c r="O7407" s="33"/>
      <c r="P7407" s="33"/>
      <c r="Q7407" s="33"/>
      <c r="R7407" s="33"/>
      <c r="S7407" s="33"/>
      <c r="T7407" s="33"/>
      <c r="U7407" s="33"/>
      <c r="V7407" s="33"/>
      <c r="W7407" s="33"/>
      <c r="X7407" s="33"/>
      <c r="Y7407" s="33"/>
      <c r="Z7407" s="33"/>
      <c r="AA7407" s="33"/>
      <c r="AB7407" s="33"/>
      <c r="AC7407" s="33"/>
      <c r="AD7407" s="33"/>
      <c r="AE7407" s="33"/>
      <c r="AF7407" s="33"/>
      <c r="AG7407" s="33"/>
      <c r="AH7407" s="33"/>
      <c r="AI7407" s="33"/>
      <c r="AJ7407" s="33"/>
      <c r="AK7407" s="33"/>
    </row>
    <row r="7408">
      <c r="A7408" s="33"/>
      <c r="B7408" s="33"/>
      <c r="C7408" s="33"/>
      <c r="D7408" s="33"/>
      <c r="E7408" s="33"/>
      <c r="F7408" s="33"/>
      <c r="G7408" s="33"/>
      <c r="H7408" s="33"/>
      <c r="I7408" s="33"/>
      <c r="J7408" s="33"/>
      <c r="K7408" s="33"/>
      <c r="L7408" s="33"/>
      <c r="M7408" s="33"/>
      <c r="N7408" s="33"/>
      <c r="O7408" s="33"/>
      <c r="P7408" s="33"/>
      <c r="Q7408" s="33"/>
      <c r="R7408" s="33"/>
      <c r="S7408" s="33"/>
      <c r="T7408" s="33"/>
      <c r="U7408" s="33"/>
      <c r="V7408" s="33"/>
      <c r="W7408" s="33"/>
      <c r="X7408" s="33"/>
      <c r="Y7408" s="33"/>
      <c r="Z7408" s="33"/>
      <c r="AA7408" s="33"/>
      <c r="AB7408" s="33"/>
      <c r="AC7408" s="33"/>
      <c r="AD7408" s="33"/>
      <c r="AE7408" s="33"/>
      <c r="AF7408" s="33"/>
      <c r="AG7408" s="33"/>
      <c r="AH7408" s="33"/>
      <c r="AI7408" s="33"/>
      <c r="AJ7408" s="33"/>
      <c r="AK7408" s="33"/>
    </row>
    <row r="7409">
      <c r="A7409" s="33"/>
      <c r="B7409" s="33"/>
      <c r="C7409" s="33"/>
      <c r="D7409" s="33"/>
      <c r="E7409" s="33"/>
      <c r="F7409" s="33"/>
      <c r="G7409" s="33"/>
      <c r="H7409" s="33"/>
      <c r="I7409" s="33"/>
      <c r="J7409" s="33"/>
      <c r="K7409" s="33"/>
      <c r="L7409" s="33"/>
      <c r="M7409" s="33"/>
      <c r="N7409" s="33"/>
      <c r="O7409" s="33"/>
      <c r="P7409" s="33"/>
      <c r="Q7409" s="33"/>
      <c r="R7409" s="33"/>
      <c r="S7409" s="33"/>
      <c r="T7409" s="33"/>
      <c r="U7409" s="33"/>
      <c r="V7409" s="33"/>
      <c r="W7409" s="33"/>
      <c r="X7409" s="33"/>
      <c r="Y7409" s="33"/>
      <c r="Z7409" s="33"/>
      <c r="AA7409" s="33"/>
      <c r="AB7409" s="33"/>
      <c r="AC7409" s="33"/>
      <c r="AD7409" s="33"/>
      <c r="AE7409" s="33"/>
      <c r="AF7409" s="33"/>
      <c r="AG7409" s="33"/>
      <c r="AH7409" s="33"/>
      <c r="AI7409" s="33"/>
      <c r="AJ7409" s="33"/>
      <c r="AK7409" s="33"/>
    </row>
    <row r="7410">
      <c r="A7410" s="33"/>
      <c r="B7410" s="33"/>
      <c r="C7410" s="33"/>
      <c r="D7410" s="33"/>
      <c r="E7410" s="33"/>
      <c r="F7410" s="33"/>
      <c r="G7410" s="33"/>
      <c r="H7410" s="33"/>
      <c r="I7410" s="33"/>
      <c r="J7410" s="33"/>
      <c r="K7410" s="33"/>
      <c r="L7410" s="33"/>
      <c r="M7410" s="33"/>
      <c r="N7410" s="33"/>
      <c r="O7410" s="33"/>
      <c r="P7410" s="33"/>
      <c r="Q7410" s="33"/>
      <c r="R7410" s="33"/>
      <c r="S7410" s="33"/>
      <c r="T7410" s="33"/>
      <c r="U7410" s="33"/>
      <c r="V7410" s="33"/>
      <c r="W7410" s="33"/>
      <c r="X7410" s="33"/>
      <c r="Y7410" s="33"/>
      <c r="Z7410" s="33"/>
      <c r="AA7410" s="33"/>
      <c r="AB7410" s="33"/>
      <c r="AC7410" s="33"/>
      <c r="AD7410" s="33"/>
      <c r="AE7410" s="33"/>
      <c r="AF7410" s="33"/>
      <c r="AG7410" s="33"/>
      <c r="AH7410" s="33"/>
      <c r="AI7410" s="33"/>
      <c r="AJ7410" s="33"/>
      <c r="AK7410" s="33"/>
    </row>
    <row r="7411">
      <c r="A7411" s="33"/>
      <c r="B7411" s="33"/>
      <c r="C7411" s="33"/>
      <c r="D7411" s="33"/>
      <c r="E7411" s="33"/>
      <c r="F7411" s="33"/>
      <c r="G7411" s="33"/>
      <c r="H7411" s="33"/>
      <c r="I7411" s="33"/>
      <c r="J7411" s="33"/>
      <c r="K7411" s="33"/>
      <c r="L7411" s="33"/>
      <c r="M7411" s="33"/>
      <c r="N7411" s="33"/>
      <c r="O7411" s="33"/>
      <c r="P7411" s="33"/>
      <c r="Q7411" s="33"/>
      <c r="R7411" s="33"/>
      <c r="S7411" s="33"/>
      <c r="T7411" s="33"/>
      <c r="U7411" s="33"/>
      <c r="V7411" s="33"/>
      <c r="W7411" s="33"/>
      <c r="X7411" s="33"/>
      <c r="Y7411" s="33"/>
      <c r="Z7411" s="33"/>
      <c r="AA7411" s="33"/>
      <c r="AB7411" s="33"/>
      <c r="AC7411" s="33"/>
      <c r="AD7411" s="33"/>
      <c r="AE7411" s="33"/>
      <c r="AF7411" s="33"/>
      <c r="AG7411" s="33"/>
      <c r="AH7411" s="33"/>
      <c r="AI7411" s="33"/>
      <c r="AJ7411" s="33"/>
      <c r="AK7411" s="33"/>
    </row>
    <row r="7412">
      <c r="A7412" s="33"/>
      <c r="B7412" s="33"/>
      <c r="C7412" s="33"/>
      <c r="D7412" s="33"/>
      <c r="E7412" s="33"/>
      <c r="F7412" s="33"/>
      <c r="G7412" s="33"/>
      <c r="H7412" s="33"/>
      <c r="I7412" s="33"/>
      <c r="J7412" s="33"/>
      <c r="K7412" s="33"/>
      <c r="L7412" s="33"/>
      <c r="M7412" s="33"/>
      <c r="N7412" s="33"/>
      <c r="O7412" s="33"/>
      <c r="P7412" s="33"/>
      <c r="Q7412" s="33"/>
      <c r="R7412" s="33"/>
      <c r="S7412" s="33"/>
      <c r="T7412" s="33"/>
      <c r="U7412" s="33"/>
      <c r="V7412" s="33"/>
      <c r="W7412" s="33"/>
      <c r="X7412" s="33"/>
      <c r="Y7412" s="33"/>
      <c r="Z7412" s="33"/>
      <c r="AA7412" s="33"/>
      <c r="AB7412" s="33"/>
      <c r="AC7412" s="33"/>
      <c r="AD7412" s="33"/>
      <c r="AE7412" s="33"/>
      <c r="AF7412" s="33"/>
      <c r="AG7412" s="33"/>
      <c r="AH7412" s="33"/>
      <c r="AI7412" s="33"/>
      <c r="AJ7412" s="33"/>
      <c r="AK7412" s="33"/>
    </row>
    <row r="7413">
      <c r="A7413" s="33"/>
      <c r="B7413" s="33"/>
      <c r="C7413" s="33"/>
      <c r="D7413" s="33"/>
      <c r="E7413" s="33"/>
      <c r="F7413" s="33"/>
      <c r="G7413" s="33"/>
      <c r="H7413" s="33"/>
      <c r="I7413" s="33"/>
      <c r="J7413" s="33"/>
      <c r="K7413" s="33"/>
      <c r="L7413" s="33"/>
      <c r="M7413" s="33"/>
      <c r="N7413" s="33"/>
      <c r="O7413" s="33"/>
      <c r="P7413" s="33"/>
      <c r="Q7413" s="33"/>
      <c r="R7413" s="33"/>
      <c r="S7413" s="33"/>
      <c r="T7413" s="33"/>
      <c r="U7413" s="33"/>
      <c r="V7413" s="33"/>
      <c r="W7413" s="33"/>
      <c r="X7413" s="33"/>
      <c r="Y7413" s="33"/>
      <c r="Z7413" s="33"/>
      <c r="AA7413" s="33"/>
      <c r="AB7413" s="33"/>
      <c r="AC7413" s="33"/>
      <c r="AD7413" s="33"/>
      <c r="AE7413" s="33"/>
      <c r="AF7413" s="33"/>
      <c r="AG7413" s="33"/>
      <c r="AH7413" s="33"/>
      <c r="AI7413" s="33"/>
      <c r="AJ7413" s="33"/>
      <c r="AK7413" s="33"/>
    </row>
    <row r="7414">
      <c r="A7414" s="33"/>
      <c r="B7414" s="33"/>
      <c r="C7414" s="33"/>
      <c r="D7414" s="33"/>
      <c r="E7414" s="33"/>
      <c r="F7414" s="33"/>
      <c r="G7414" s="33"/>
      <c r="H7414" s="33"/>
      <c r="I7414" s="33"/>
      <c r="J7414" s="33"/>
      <c r="K7414" s="33"/>
      <c r="L7414" s="33"/>
      <c r="M7414" s="33"/>
      <c r="N7414" s="33"/>
      <c r="O7414" s="33"/>
      <c r="P7414" s="33"/>
      <c r="Q7414" s="33"/>
      <c r="R7414" s="33"/>
      <c r="S7414" s="33"/>
      <c r="T7414" s="33"/>
      <c r="U7414" s="33"/>
      <c r="V7414" s="33"/>
      <c r="W7414" s="33"/>
      <c r="X7414" s="33"/>
      <c r="Y7414" s="33"/>
      <c r="Z7414" s="33"/>
      <c r="AA7414" s="33"/>
      <c r="AB7414" s="33"/>
      <c r="AC7414" s="33"/>
      <c r="AD7414" s="33"/>
      <c r="AE7414" s="33"/>
      <c r="AF7414" s="33"/>
      <c r="AG7414" s="33"/>
      <c r="AH7414" s="33"/>
      <c r="AI7414" s="33"/>
      <c r="AJ7414" s="33"/>
      <c r="AK7414" s="33"/>
    </row>
    <row r="7415">
      <c r="A7415" s="33"/>
      <c r="B7415" s="33"/>
      <c r="C7415" s="33"/>
      <c r="D7415" s="33"/>
      <c r="E7415" s="33"/>
      <c r="F7415" s="33"/>
      <c r="G7415" s="33"/>
      <c r="H7415" s="33"/>
      <c r="I7415" s="33"/>
      <c r="J7415" s="33"/>
      <c r="K7415" s="33"/>
      <c r="L7415" s="33"/>
      <c r="M7415" s="33"/>
      <c r="N7415" s="33"/>
      <c r="O7415" s="33"/>
      <c r="P7415" s="33"/>
      <c r="Q7415" s="33"/>
      <c r="R7415" s="33"/>
      <c r="S7415" s="33"/>
      <c r="T7415" s="33"/>
      <c r="U7415" s="33"/>
      <c r="V7415" s="33"/>
      <c r="W7415" s="33"/>
      <c r="X7415" s="33"/>
      <c r="Y7415" s="33"/>
      <c r="Z7415" s="33"/>
      <c r="AA7415" s="33"/>
      <c r="AB7415" s="33"/>
      <c r="AC7415" s="33"/>
      <c r="AD7415" s="33"/>
      <c r="AE7415" s="33"/>
      <c r="AF7415" s="33"/>
      <c r="AG7415" s="33"/>
      <c r="AH7415" s="33"/>
      <c r="AI7415" s="33"/>
      <c r="AJ7415" s="33"/>
      <c r="AK7415" s="33"/>
    </row>
    <row r="7416">
      <c r="A7416" s="33"/>
      <c r="B7416" s="33"/>
      <c r="C7416" s="33"/>
      <c r="D7416" s="33"/>
      <c r="E7416" s="33"/>
      <c r="F7416" s="33"/>
      <c r="G7416" s="33"/>
      <c r="H7416" s="33"/>
      <c r="I7416" s="33"/>
      <c r="J7416" s="33"/>
      <c r="K7416" s="33"/>
      <c r="L7416" s="33"/>
      <c r="M7416" s="33"/>
      <c r="N7416" s="33"/>
      <c r="O7416" s="33"/>
      <c r="P7416" s="33"/>
      <c r="Q7416" s="33"/>
      <c r="R7416" s="33"/>
      <c r="S7416" s="33"/>
      <c r="T7416" s="33"/>
      <c r="U7416" s="33"/>
      <c r="V7416" s="33"/>
      <c r="W7416" s="33"/>
      <c r="X7416" s="33"/>
      <c r="Y7416" s="33"/>
      <c r="Z7416" s="33"/>
      <c r="AA7416" s="33"/>
      <c r="AB7416" s="33"/>
      <c r="AC7416" s="33"/>
      <c r="AD7416" s="33"/>
      <c r="AE7416" s="33"/>
      <c r="AF7416" s="33"/>
      <c r="AG7416" s="33"/>
      <c r="AH7416" s="33"/>
      <c r="AI7416" s="33"/>
      <c r="AJ7416" s="33"/>
      <c r="AK7416" s="33"/>
    </row>
    <row r="7417">
      <c r="A7417" s="33"/>
      <c r="B7417" s="33"/>
      <c r="C7417" s="33"/>
      <c r="D7417" s="33"/>
      <c r="E7417" s="33"/>
      <c r="F7417" s="33"/>
      <c r="G7417" s="33"/>
      <c r="H7417" s="33"/>
      <c r="I7417" s="33"/>
      <c r="J7417" s="33"/>
      <c r="K7417" s="33"/>
      <c r="L7417" s="33"/>
      <c r="M7417" s="33"/>
      <c r="N7417" s="33"/>
      <c r="O7417" s="33"/>
      <c r="P7417" s="33"/>
      <c r="Q7417" s="33"/>
      <c r="R7417" s="33"/>
      <c r="S7417" s="33"/>
      <c r="T7417" s="33"/>
      <c r="U7417" s="33"/>
      <c r="V7417" s="33"/>
      <c r="W7417" s="33"/>
      <c r="X7417" s="33"/>
      <c r="Y7417" s="33"/>
      <c r="Z7417" s="33"/>
      <c r="AA7417" s="33"/>
      <c r="AB7417" s="33"/>
      <c r="AC7417" s="33"/>
      <c r="AD7417" s="33"/>
      <c r="AE7417" s="33"/>
      <c r="AF7417" s="33"/>
      <c r="AG7417" s="33"/>
      <c r="AH7417" s="33"/>
      <c r="AI7417" s="33"/>
      <c r="AJ7417" s="33"/>
      <c r="AK7417" s="33"/>
    </row>
    <row r="7418">
      <c r="A7418" s="33"/>
      <c r="B7418" s="33"/>
      <c r="C7418" s="33"/>
      <c r="D7418" s="33"/>
      <c r="E7418" s="33"/>
      <c r="F7418" s="33"/>
      <c r="G7418" s="33"/>
      <c r="H7418" s="33"/>
      <c r="I7418" s="33"/>
      <c r="J7418" s="33"/>
      <c r="K7418" s="33"/>
      <c r="L7418" s="33"/>
      <c r="M7418" s="33"/>
      <c r="N7418" s="33"/>
      <c r="O7418" s="33"/>
      <c r="P7418" s="33"/>
      <c r="Q7418" s="33"/>
      <c r="R7418" s="33"/>
      <c r="S7418" s="33"/>
      <c r="T7418" s="33"/>
      <c r="U7418" s="33"/>
      <c r="V7418" s="33"/>
      <c r="W7418" s="33"/>
      <c r="X7418" s="33"/>
      <c r="Y7418" s="33"/>
      <c r="Z7418" s="33"/>
      <c r="AA7418" s="33"/>
      <c r="AB7418" s="33"/>
      <c r="AC7418" s="33"/>
      <c r="AD7418" s="33"/>
      <c r="AE7418" s="33"/>
      <c r="AF7418" s="33"/>
      <c r="AG7418" s="33"/>
      <c r="AH7418" s="33"/>
      <c r="AI7418" s="33"/>
      <c r="AJ7418" s="33"/>
      <c r="AK7418" s="33"/>
    </row>
    <row r="7419">
      <c r="A7419" s="33"/>
      <c r="B7419" s="33"/>
      <c r="C7419" s="33"/>
      <c r="D7419" s="33"/>
      <c r="E7419" s="33"/>
      <c r="F7419" s="33"/>
      <c r="G7419" s="33"/>
      <c r="H7419" s="33"/>
      <c r="I7419" s="33"/>
      <c r="J7419" s="33"/>
      <c r="K7419" s="33"/>
      <c r="L7419" s="33"/>
      <c r="M7419" s="33"/>
      <c r="N7419" s="33"/>
      <c r="O7419" s="33"/>
      <c r="P7419" s="33"/>
      <c r="Q7419" s="33"/>
      <c r="R7419" s="33"/>
      <c r="S7419" s="33"/>
      <c r="T7419" s="33"/>
      <c r="U7419" s="33"/>
      <c r="V7419" s="33"/>
      <c r="W7419" s="33"/>
      <c r="X7419" s="33"/>
      <c r="Y7419" s="33"/>
      <c r="Z7419" s="33"/>
      <c r="AA7419" s="33"/>
      <c r="AB7419" s="33"/>
      <c r="AC7419" s="33"/>
      <c r="AD7419" s="33"/>
      <c r="AE7419" s="33"/>
      <c r="AF7419" s="33"/>
      <c r="AG7419" s="33"/>
      <c r="AH7419" s="33"/>
      <c r="AI7419" s="33"/>
      <c r="AJ7419" s="33"/>
      <c r="AK7419" s="33"/>
    </row>
    <row r="7420">
      <c r="A7420" s="33"/>
      <c r="B7420" s="33"/>
      <c r="C7420" s="33"/>
      <c r="D7420" s="33"/>
      <c r="E7420" s="33"/>
      <c r="F7420" s="33"/>
      <c r="G7420" s="33"/>
      <c r="H7420" s="33"/>
      <c r="I7420" s="33"/>
      <c r="J7420" s="33"/>
      <c r="K7420" s="33"/>
      <c r="L7420" s="33"/>
      <c r="M7420" s="33"/>
      <c r="N7420" s="33"/>
      <c r="O7420" s="33"/>
      <c r="P7420" s="33"/>
      <c r="Q7420" s="33"/>
      <c r="R7420" s="33"/>
      <c r="S7420" s="33"/>
      <c r="T7420" s="33"/>
      <c r="U7420" s="33"/>
      <c r="V7420" s="33"/>
      <c r="W7420" s="33"/>
      <c r="X7420" s="33"/>
      <c r="Y7420" s="33"/>
      <c r="Z7420" s="33"/>
      <c r="AA7420" s="33"/>
      <c r="AB7420" s="33"/>
      <c r="AC7420" s="33"/>
      <c r="AD7420" s="33"/>
      <c r="AE7420" s="33"/>
      <c r="AF7420" s="33"/>
      <c r="AG7420" s="33"/>
      <c r="AH7420" s="33"/>
      <c r="AI7420" s="33"/>
      <c r="AJ7420" s="33"/>
      <c r="AK7420" s="33"/>
    </row>
    <row r="7421">
      <c r="A7421" s="33"/>
      <c r="B7421" s="33"/>
      <c r="C7421" s="33"/>
      <c r="D7421" s="33"/>
      <c r="E7421" s="33"/>
      <c r="F7421" s="33"/>
      <c r="G7421" s="33"/>
      <c r="H7421" s="33"/>
      <c r="I7421" s="33"/>
      <c r="J7421" s="33"/>
      <c r="K7421" s="33"/>
      <c r="L7421" s="33"/>
      <c r="M7421" s="33"/>
      <c r="N7421" s="33"/>
      <c r="O7421" s="33"/>
      <c r="P7421" s="33"/>
      <c r="Q7421" s="33"/>
      <c r="R7421" s="33"/>
      <c r="S7421" s="33"/>
      <c r="T7421" s="33"/>
      <c r="U7421" s="33"/>
      <c r="V7421" s="33"/>
      <c r="W7421" s="33"/>
      <c r="X7421" s="33"/>
      <c r="Y7421" s="33"/>
      <c r="Z7421" s="33"/>
      <c r="AA7421" s="33"/>
      <c r="AB7421" s="33"/>
      <c r="AC7421" s="33"/>
      <c r="AD7421" s="33"/>
      <c r="AE7421" s="33"/>
      <c r="AF7421" s="33"/>
      <c r="AG7421" s="33"/>
      <c r="AH7421" s="33"/>
      <c r="AI7421" s="33"/>
      <c r="AJ7421" s="33"/>
      <c r="AK7421" s="33"/>
    </row>
    <row r="7422">
      <c r="A7422" s="33"/>
      <c r="B7422" s="33"/>
      <c r="C7422" s="33"/>
      <c r="D7422" s="33"/>
      <c r="E7422" s="33"/>
      <c r="F7422" s="33"/>
      <c r="G7422" s="33"/>
      <c r="H7422" s="33"/>
      <c r="I7422" s="33"/>
      <c r="J7422" s="33"/>
      <c r="K7422" s="33"/>
      <c r="L7422" s="33"/>
      <c r="M7422" s="33"/>
      <c r="N7422" s="33"/>
      <c r="O7422" s="33"/>
      <c r="P7422" s="33"/>
      <c r="Q7422" s="33"/>
      <c r="R7422" s="33"/>
      <c r="S7422" s="33"/>
      <c r="T7422" s="33"/>
      <c r="U7422" s="33"/>
      <c r="V7422" s="33"/>
      <c r="W7422" s="33"/>
      <c r="X7422" s="33"/>
      <c r="Y7422" s="33"/>
      <c r="Z7422" s="33"/>
      <c r="AA7422" s="33"/>
      <c r="AB7422" s="33"/>
      <c r="AC7422" s="33"/>
      <c r="AD7422" s="33"/>
      <c r="AE7422" s="33"/>
      <c r="AF7422" s="33"/>
      <c r="AG7422" s="33"/>
      <c r="AH7422" s="33"/>
      <c r="AI7422" s="33"/>
      <c r="AJ7422" s="33"/>
      <c r="AK7422" s="33"/>
    </row>
    <row r="7423">
      <c r="A7423" s="33"/>
      <c r="B7423" s="33"/>
      <c r="C7423" s="33"/>
      <c r="D7423" s="33"/>
      <c r="E7423" s="33"/>
      <c r="F7423" s="33"/>
      <c r="G7423" s="33"/>
      <c r="H7423" s="33"/>
      <c r="I7423" s="33"/>
      <c r="J7423" s="33"/>
      <c r="K7423" s="33"/>
      <c r="L7423" s="33"/>
      <c r="M7423" s="33"/>
      <c r="N7423" s="33"/>
      <c r="O7423" s="33"/>
      <c r="P7423" s="33"/>
      <c r="Q7423" s="33"/>
      <c r="R7423" s="33"/>
      <c r="S7423" s="33"/>
      <c r="T7423" s="33"/>
      <c r="U7423" s="33"/>
      <c r="V7423" s="33"/>
      <c r="W7423" s="33"/>
      <c r="X7423" s="33"/>
      <c r="Y7423" s="33"/>
      <c r="Z7423" s="33"/>
      <c r="AA7423" s="33"/>
      <c r="AB7423" s="33"/>
      <c r="AC7423" s="33"/>
      <c r="AD7423" s="33"/>
      <c r="AE7423" s="33"/>
      <c r="AF7423" s="33"/>
      <c r="AG7423" s="33"/>
      <c r="AH7423" s="33"/>
      <c r="AI7423" s="33"/>
      <c r="AJ7423" s="33"/>
      <c r="AK7423" s="33"/>
    </row>
    <row r="7424">
      <c r="A7424" s="33"/>
      <c r="B7424" s="33"/>
      <c r="C7424" s="33"/>
      <c r="D7424" s="33"/>
      <c r="E7424" s="33"/>
      <c r="F7424" s="33"/>
      <c r="G7424" s="33"/>
      <c r="H7424" s="33"/>
      <c r="I7424" s="33"/>
      <c r="J7424" s="33"/>
      <c r="K7424" s="33"/>
      <c r="L7424" s="33"/>
      <c r="M7424" s="33"/>
      <c r="N7424" s="33"/>
      <c r="O7424" s="33"/>
      <c r="P7424" s="33"/>
      <c r="Q7424" s="33"/>
      <c r="R7424" s="33"/>
      <c r="S7424" s="33"/>
      <c r="T7424" s="33"/>
      <c r="U7424" s="33"/>
      <c r="V7424" s="33"/>
      <c r="W7424" s="33"/>
      <c r="X7424" s="33"/>
      <c r="Y7424" s="33"/>
      <c r="Z7424" s="33"/>
      <c r="AA7424" s="33"/>
      <c r="AB7424" s="33"/>
      <c r="AC7424" s="33"/>
      <c r="AD7424" s="33"/>
      <c r="AE7424" s="33"/>
      <c r="AF7424" s="33"/>
      <c r="AG7424" s="33"/>
      <c r="AH7424" s="33"/>
      <c r="AI7424" s="33"/>
      <c r="AJ7424" s="33"/>
      <c r="AK7424" s="33"/>
    </row>
    <row r="7425">
      <c r="A7425" s="33"/>
      <c r="B7425" s="33"/>
      <c r="C7425" s="33"/>
      <c r="D7425" s="33"/>
      <c r="E7425" s="33"/>
      <c r="F7425" s="33"/>
      <c r="G7425" s="33"/>
      <c r="H7425" s="33"/>
      <c r="I7425" s="33"/>
      <c r="J7425" s="33"/>
      <c r="K7425" s="33"/>
      <c r="L7425" s="33"/>
      <c r="M7425" s="33"/>
      <c r="N7425" s="33"/>
      <c r="O7425" s="33"/>
      <c r="P7425" s="33"/>
      <c r="Q7425" s="33"/>
      <c r="R7425" s="33"/>
      <c r="S7425" s="33"/>
      <c r="T7425" s="33"/>
      <c r="U7425" s="33"/>
      <c r="V7425" s="33"/>
      <c r="W7425" s="33"/>
      <c r="X7425" s="33"/>
      <c r="Y7425" s="33"/>
      <c r="Z7425" s="33"/>
      <c r="AA7425" s="33"/>
      <c r="AB7425" s="33"/>
      <c r="AC7425" s="33"/>
      <c r="AD7425" s="33"/>
      <c r="AE7425" s="33"/>
      <c r="AF7425" s="33"/>
      <c r="AG7425" s="33"/>
      <c r="AH7425" s="33"/>
      <c r="AI7425" s="33"/>
      <c r="AJ7425" s="33"/>
      <c r="AK7425" s="33"/>
    </row>
    <row r="7426">
      <c r="A7426" s="33"/>
      <c r="B7426" s="33"/>
      <c r="C7426" s="33"/>
      <c r="D7426" s="33"/>
      <c r="E7426" s="33"/>
      <c r="F7426" s="33"/>
      <c r="G7426" s="33"/>
      <c r="H7426" s="33"/>
      <c r="I7426" s="33"/>
      <c r="J7426" s="33"/>
      <c r="K7426" s="33"/>
      <c r="L7426" s="33"/>
      <c r="M7426" s="33"/>
      <c r="N7426" s="33"/>
      <c r="O7426" s="33"/>
      <c r="P7426" s="33"/>
      <c r="Q7426" s="33"/>
      <c r="R7426" s="33"/>
      <c r="S7426" s="33"/>
      <c r="T7426" s="33"/>
      <c r="U7426" s="33"/>
      <c r="V7426" s="33"/>
      <c r="W7426" s="33"/>
      <c r="X7426" s="33"/>
      <c r="Y7426" s="33"/>
      <c r="Z7426" s="33"/>
      <c r="AA7426" s="33"/>
      <c r="AB7426" s="33"/>
      <c r="AC7426" s="33"/>
      <c r="AD7426" s="33"/>
      <c r="AE7426" s="33"/>
      <c r="AF7426" s="33"/>
      <c r="AG7426" s="33"/>
      <c r="AH7426" s="33"/>
      <c r="AI7426" s="33"/>
      <c r="AJ7426" s="33"/>
      <c r="AK7426" s="33"/>
    </row>
    <row r="7427">
      <c r="A7427" s="33"/>
      <c r="B7427" s="33"/>
      <c r="C7427" s="33"/>
      <c r="D7427" s="33"/>
      <c r="E7427" s="33"/>
      <c r="F7427" s="33"/>
      <c r="G7427" s="33"/>
      <c r="H7427" s="33"/>
      <c r="I7427" s="33"/>
      <c r="J7427" s="33"/>
      <c r="K7427" s="33"/>
      <c r="L7427" s="33"/>
      <c r="M7427" s="33"/>
      <c r="N7427" s="33"/>
      <c r="O7427" s="33"/>
      <c r="P7427" s="33"/>
      <c r="Q7427" s="33"/>
      <c r="R7427" s="33"/>
      <c r="S7427" s="33"/>
      <c r="T7427" s="33"/>
      <c r="U7427" s="33"/>
      <c r="V7427" s="33"/>
      <c r="W7427" s="33"/>
      <c r="X7427" s="33"/>
      <c r="Y7427" s="33"/>
      <c r="Z7427" s="33"/>
      <c r="AA7427" s="33"/>
      <c r="AB7427" s="33"/>
      <c r="AC7427" s="33"/>
      <c r="AD7427" s="33"/>
      <c r="AE7427" s="33"/>
      <c r="AF7427" s="33"/>
      <c r="AG7427" s="33"/>
      <c r="AH7427" s="33"/>
      <c r="AI7427" s="33"/>
      <c r="AJ7427" s="33"/>
      <c r="AK7427" s="33"/>
    </row>
    <row r="7428">
      <c r="A7428" s="33"/>
      <c r="B7428" s="33"/>
      <c r="C7428" s="33"/>
      <c r="D7428" s="33"/>
      <c r="E7428" s="33"/>
      <c r="F7428" s="33"/>
      <c r="G7428" s="33"/>
      <c r="H7428" s="33"/>
      <c r="I7428" s="33"/>
      <c r="J7428" s="33"/>
      <c r="K7428" s="33"/>
      <c r="L7428" s="33"/>
      <c r="M7428" s="33"/>
      <c r="N7428" s="33"/>
      <c r="O7428" s="33"/>
      <c r="P7428" s="33"/>
      <c r="Q7428" s="33"/>
      <c r="R7428" s="33"/>
      <c r="S7428" s="33"/>
      <c r="T7428" s="33"/>
      <c r="U7428" s="33"/>
      <c r="V7428" s="33"/>
      <c r="W7428" s="33"/>
      <c r="X7428" s="33"/>
      <c r="Y7428" s="33"/>
      <c r="Z7428" s="33"/>
      <c r="AA7428" s="33"/>
      <c r="AB7428" s="33"/>
      <c r="AC7428" s="33"/>
      <c r="AD7428" s="33"/>
      <c r="AE7428" s="33"/>
      <c r="AF7428" s="33"/>
      <c r="AG7428" s="33"/>
      <c r="AH7428" s="33"/>
      <c r="AI7428" s="33"/>
      <c r="AJ7428" s="33"/>
      <c r="AK7428" s="33"/>
    </row>
    <row r="7429">
      <c r="A7429" s="33"/>
      <c r="B7429" s="33"/>
      <c r="C7429" s="33"/>
      <c r="D7429" s="33"/>
      <c r="E7429" s="33"/>
      <c r="F7429" s="33"/>
      <c r="G7429" s="33"/>
      <c r="H7429" s="33"/>
      <c r="I7429" s="33"/>
      <c r="J7429" s="33"/>
      <c r="K7429" s="33"/>
      <c r="L7429" s="33"/>
      <c r="M7429" s="33"/>
      <c r="N7429" s="33"/>
      <c r="O7429" s="33"/>
      <c r="P7429" s="33"/>
      <c r="Q7429" s="33"/>
      <c r="R7429" s="33"/>
      <c r="S7429" s="33"/>
      <c r="T7429" s="33"/>
      <c r="U7429" s="33"/>
      <c r="V7429" s="33"/>
      <c r="W7429" s="33"/>
      <c r="X7429" s="33"/>
      <c r="Y7429" s="33"/>
      <c r="Z7429" s="33"/>
      <c r="AA7429" s="33"/>
      <c r="AB7429" s="33"/>
      <c r="AC7429" s="33"/>
      <c r="AD7429" s="33"/>
      <c r="AE7429" s="33"/>
      <c r="AF7429" s="33"/>
      <c r="AG7429" s="33"/>
      <c r="AH7429" s="33"/>
      <c r="AI7429" s="33"/>
      <c r="AJ7429" s="33"/>
      <c r="AK7429" s="33"/>
    </row>
    <row r="7430">
      <c r="A7430" s="33"/>
      <c r="B7430" s="33"/>
      <c r="C7430" s="33"/>
      <c r="D7430" s="33"/>
      <c r="E7430" s="33"/>
      <c r="F7430" s="33"/>
      <c r="G7430" s="33"/>
      <c r="H7430" s="33"/>
      <c r="I7430" s="33"/>
      <c r="J7430" s="33"/>
      <c r="K7430" s="33"/>
      <c r="L7430" s="33"/>
      <c r="M7430" s="33"/>
      <c r="N7430" s="33"/>
      <c r="O7430" s="33"/>
      <c r="P7430" s="33"/>
      <c r="Q7430" s="33"/>
      <c r="R7430" s="33"/>
      <c r="S7430" s="33"/>
      <c r="T7430" s="33"/>
      <c r="U7430" s="33"/>
      <c r="V7430" s="33"/>
      <c r="W7430" s="33"/>
      <c r="X7430" s="33"/>
      <c r="Y7430" s="33"/>
      <c r="Z7430" s="33"/>
      <c r="AA7430" s="33"/>
      <c r="AB7430" s="33"/>
      <c r="AC7430" s="33"/>
      <c r="AD7430" s="33"/>
      <c r="AE7430" s="33"/>
      <c r="AF7430" s="33"/>
      <c r="AG7430" s="33"/>
      <c r="AH7430" s="33"/>
      <c r="AI7430" s="33"/>
      <c r="AJ7430" s="33"/>
      <c r="AK7430" s="33"/>
    </row>
    <row r="7431">
      <c r="A7431" s="33"/>
      <c r="B7431" s="33"/>
      <c r="C7431" s="33"/>
      <c r="D7431" s="33"/>
      <c r="E7431" s="33"/>
      <c r="F7431" s="33"/>
      <c r="G7431" s="33"/>
      <c r="H7431" s="33"/>
      <c r="I7431" s="33"/>
      <c r="J7431" s="33"/>
      <c r="K7431" s="33"/>
      <c r="L7431" s="33"/>
      <c r="M7431" s="33"/>
      <c r="N7431" s="33"/>
      <c r="O7431" s="33"/>
      <c r="P7431" s="33"/>
      <c r="Q7431" s="33"/>
      <c r="R7431" s="33"/>
      <c r="S7431" s="33"/>
      <c r="T7431" s="33"/>
      <c r="U7431" s="33"/>
      <c r="V7431" s="33"/>
      <c r="W7431" s="33"/>
      <c r="X7431" s="33"/>
      <c r="Y7431" s="33"/>
      <c r="Z7431" s="33"/>
      <c r="AA7431" s="33"/>
      <c r="AB7431" s="33"/>
      <c r="AC7431" s="33"/>
      <c r="AD7431" s="33"/>
      <c r="AE7431" s="33"/>
      <c r="AF7431" s="33"/>
      <c r="AG7431" s="33"/>
      <c r="AH7431" s="33"/>
      <c r="AI7431" s="33"/>
      <c r="AJ7431" s="33"/>
      <c r="AK7431" s="33"/>
    </row>
    <row r="7432">
      <c r="A7432" s="33"/>
      <c r="B7432" s="33"/>
      <c r="C7432" s="33"/>
      <c r="D7432" s="33"/>
      <c r="E7432" s="33"/>
      <c r="F7432" s="33"/>
      <c r="G7432" s="33"/>
      <c r="H7432" s="33"/>
      <c r="I7432" s="33"/>
      <c r="J7432" s="33"/>
      <c r="K7432" s="33"/>
      <c r="L7432" s="33"/>
      <c r="M7432" s="33"/>
      <c r="N7432" s="33"/>
      <c r="O7432" s="33"/>
      <c r="P7432" s="33"/>
      <c r="Q7432" s="33"/>
      <c r="R7432" s="33"/>
      <c r="S7432" s="33"/>
      <c r="T7432" s="33"/>
      <c r="U7432" s="33"/>
      <c r="V7432" s="33"/>
      <c r="W7432" s="33"/>
      <c r="X7432" s="33"/>
      <c r="Y7432" s="33"/>
      <c r="Z7432" s="33"/>
      <c r="AA7432" s="33"/>
      <c r="AB7432" s="33"/>
      <c r="AC7432" s="33"/>
      <c r="AD7432" s="33"/>
      <c r="AE7432" s="33"/>
      <c r="AF7432" s="33"/>
      <c r="AG7432" s="33"/>
      <c r="AH7432" s="33"/>
      <c r="AI7432" s="33"/>
      <c r="AJ7432" s="33"/>
      <c r="AK7432" s="33"/>
    </row>
    <row r="7433">
      <c r="A7433" s="33"/>
      <c r="B7433" s="33"/>
      <c r="C7433" s="33"/>
      <c r="D7433" s="33"/>
      <c r="E7433" s="33"/>
      <c r="F7433" s="33"/>
      <c r="G7433" s="33"/>
      <c r="H7433" s="33"/>
      <c r="I7433" s="33"/>
      <c r="J7433" s="33"/>
      <c r="K7433" s="33"/>
      <c r="L7433" s="33"/>
      <c r="M7433" s="33"/>
      <c r="N7433" s="33"/>
      <c r="O7433" s="33"/>
      <c r="P7433" s="33"/>
      <c r="Q7433" s="33"/>
      <c r="R7433" s="33"/>
      <c r="S7433" s="33"/>
      <c r="T7433" s="33"/>
      <c r="U7433" s="33"/>
      <c r="V7433" s="33"/>
      <c r="W7433" s="33"/>
      <c r="X7433" s="33"/>
      <c r="Y7433" s="33"/>
      <c r="Z7433" s="33"/>
      <c r="AA7433" s="33"/>
      <c r="AB7433" s="33"/>
      <c r="AC7433" s="33"/>
      <c r="AD7433" s="33"/>
      <c r="AE7433" s="33"/>
      <c r="AF7433" s="33"/>
      <c r="AG7433" s="33"/>
      <c r="AH7433" s="33"/>
      <c r="AI7433" s="33"/>
      <c r="AJ7433" s="33"/>
      <c r="AK7433" s="33"/>
    </row>
    <row r="7434">
      <c r="A7434" s="33"/>
      <c r="B7434" s="33"/>
      <c r="C7434" s="33"/>
      <c r="D7434" s="33"/>
      <c r="E7434" s="33"/>
      <c r="F7434" s="33"/>
      <c r="G7434" s="33"/>
      <c r="H7434" s="33"/>
      <c r="I7434" s="33"/>
      <c r="J7434" s="33"/>
      <c r="K7434" s="33"/>
      <c r="L7434" s="33"/>
      <c r="M7434" s="33"/>
      <c r="N7434" s="33"/>
      <c r="O7434" s="33"/>
      <c r="P7434" s="33"/>
      <c r="Q7434" s="33"/>
      <c r="R7434" s="33"/>
      <c r="S7434" s="33"/>
      <c r="T7434" s="33"/>
      <c r="U7434" s="33"/>
      <c r="V7434" s="33"/>
      <c r="W7434" s="33"/>
      <c r="X7434" s="33"/>
      <c r="Y7434" s="33"/>
      <c r="Z7434" s="33"/>
      <c r="AA7434" s="33"/>
      <c r="AB7434" s="33"/>
      <c r="AC7434" s="33"/>
      <c r="AD7434" s="33"/>
      <c r="AE7434" s="33"/>
      <c r="AF7434" s="33"/>
      <c r="AG7434" s="33"/>
      <c r="AH7434" s="33"/>
      <c r="AI7434" s="33"/>
      <c r="AJ7434" s="33"/>
      <c r="AK7434" s="33"/>
    </row>
    <row r="7435">
      <c r="A7435" s="33"/>
      <c r="B7435" s="33"/>
      <c r="C7435" s="33"/>
      <c r="D7435" s="33"/>
      <c r="E7435" s="33"/>
      <c r="F7435" s="33"/>
      <c r="G7435" s="33"/>
      <c r="H7435" s="33"/>
      <c r="I7435" s="33"/>
      <c r="J7435" s="33"/>
      <c r="K7435" s="33"/>
      <c r="L7435" s="33"/>
      <c r="M7435" s="33"/>
      <c r="N7435" s="33"/>
      <c r="O7435" s="33"/>
      <c r="P7435" s="33"/>
      <c r="Q7435" s="33"/>
      <c r="R7435" s="33"/>
      <c r="S7435" s="33"/>
      <c r="T7435" s="33"/>
      <c r="U7435" s="33"/>
      <c r="V7435" s="33"/>
      <c r="W7435" s="33"/>
      <c r="X7435" s="33"/>
      <c r="Y7435" s="33"/>
      <c r="Z7435" s="33"/>
      <c r="AA7435" s="33"/>
      <c r="AB7435" s="33"/>
      <c r="AC7435" s="33"/>
      <c r="AD7435" s="33"/>
      <c r="AE7435" s="33"/>
      <c r="AF7435" s="33"/>
      <c r="AG7435" s="33"/>
      <c r="AH7435" s="33"/>
      <c r="AI7435" s="33"/>
      <c r="AJ7435" s="33"/>
      <c r="AK7435" s="33"/>
    </row>
    <row r="7436">
      <c r="A7436" s="33"/>
      <c r="B7436" s="33"/>
      <c r="C7436" s="33"/>
      <c r="D7436" s="33"/>
      <c r="E7436" s="33"/>
      <c r="F7436" s="33"/>
      <c r="G7436" s="33"/>
      <c r="H7436" s="33"/>
      <c r="I7436" s="33"/>
      <c r="J7436" s="33"/>
      <c r="K7436" s="33"/>
      <c r="L7436" s="33"/>
      <c r="M7436" s="33"/>
      <c r="N7436" s="33"/>
      <c r="O7436" s="33"/>
      <c r="P7436" s="33"/>
      <c r="Q7436" s="33"/>
      <c r="R7436" s="33"/>
      <c r="S7436" s="33"/>
      <c r="T7436" s="33"/>
      <c r="U7436" s="33"/>
      <c r="V7436" s="33"/>
      <c r="W7436" s="33"/>
      <c r="X7436" s="33"/>
      <c r="Y7436" s="33"/>
      <c r="Z7436" s="33"/>
      <c r="AA7436" s="33"/>
      <c r="AB7436" s="33"/>
      <c r="AC7436" s="33"/>
      <c r="AD7436" s="33"/>
      <c r="AE7436" s="33"/>
      <c r="AF7436" s="33"/>
      <c r="AG7436" s="33"/>
      <c r="AH7436" s="33"/>
      <c r="AI7436" s="33"/>
      <c r="AJ7436" s="33"/>
      <c r="AK7436" s="33"/>
    </row>
    <row r="7437">
      <c r="A7437" s="33"/>
      <c r="B7437" s="33"/>
      <c r="C7437" s="33"/>
      <c r="D7437" s="33"/>
      <c r="E7437" s="33"/>
      <c r="F7437" s="33"/>
      <c r="G7437" s="33"/>
      <c r="H7437" s="33"/>
      <c r="I7437" s="33"/>
      <c r="J7437" s="33"/>
      <c r="K7437" s="33"/>
      <c r="L7437" s="33"/>
      <c r="M7437" s="33"/>
      <c r="N7437" s="33"/>
      <c r="O7437" s="33"/>
      <c r="P7437" s="33"/>
      <c r="Q7437" s="33"/>
      <c r="R7437" s="33"/>
      <c r="S7437" s="33"/>
      <c r="T7437" s="33"/>
      <c r="U7437" s="33"/>
      <c r="V7437" s="33"/>
      <c r="W7437" s="33"/>
      <c r="X7437" s="33"/>
      <c r="Y7437" s="33"/>
      <c r="Z7437" s="33"/>
      <c r="AA7437" s="33"/>
      <c r="AB7437" s="33"/>
      <c r="AC7437" s="33"/>
      <c r="AD7437" s="33"/>
      <c r="AE7437" s="33"/>
      <c r="AF7437" s="33"/>
      <c r="AG7437" s="33"/>
      <c r="AH7437" s="33"/>
      <c r="AI7437" s="33"/>
      <c r="AJ7437" s="33"/>
      <c r="AK7437" s="33"/>
    </row>
    <row r="7438">
      <c r="A7438" s="33"/>
      <c r="B7438" s="33"/>
      <c r="C7438" s="33"/>
      <c r="D7438" s="33"/>
      <c r="E7438" s="33"/>
      <c r="F7438" s="33"/>
      <c r="G7438" s="33"/>
      <c r="H7438" s="33"/>
      <c r="I7438" s="33"/>
      <c r="J7438" s="33"/>
      <c r="K7438" s="33"/>
      <c r="L7438" s="33"/>
      <c r="M7438" s="33"/>
      <c r="N7438" s="33"/>
      <c r="O7438" s="33"/>
      <c r="P7438" s="33"/>
      <c r="Q7438" s="33"/>
      <c r="R7438" s="33"/>
      <c r="S7438" s="33"/>
      <c r="T7438" s="33"/>
      <c r="U7438" s="33"/>
      <c r="V7438" s="33"/>
      <c r="W7438" s="33"/>
      <c r="X7438" s="33"/>
      <c r="Y7438" s="33"/>
      <c r="Z7438" s="33"/>
      <c r="AA7438" s="33"/>
      <c r="AB7438" s="33"/>
      <c r="AC7438" s="33"/>
      <c r="AD7438" s="33"/>
      <c r="AE7438" s="33"/>
      <c r="AF7438" s="33"/>
      <c r="AG7438" s="33"/>
      <c r="AH7438" s="33"/>
      <c r="AI7438" s="33"/>
      <c r="AJ7438" s="33"/>
      <c r="AK7438" s="33"/>
    </row>
    <row r="7439">
      <c r="A7439" s="33"/>
      <c r="B7439" s="33"/>
      <c r="C7439" s="33"/>
      <c r="D7439" s="33"/>
      <c r="E7439" s="33"/>
      <c r="F7439" s="33"/>
      <c r="G7439" s="33"/>
      <c r="H7439" s="33"/>
      <c r="I7439" s="33"/>
      <c r="J7439" s="33"/>
      <c r="K7439" s="33"/>
      <c r="L7439" s="33"/>
      <c r="M7439" s="33"/>
      <c r="N7439" s="33"/>
      <c r="O7439" s="33"/>
      <c r="P7439" s="33"/>
      <c r="Q7439" s="33"/>
      <c r="R7439" s="33"/>
      <c r="S7439" s="33"/>
      <c r="T7439" s="33"/>
      <c r="U7439" s="33"/>
      <c r="V7439" s="33"/>
      <c r="W7439" s="33"/>
      <c r="X7439" s="33"/>
      <c r="Y7439" s="33"/>
      <c r="Z7439" s="33"/>
      <c r="AA7439" s="33"/>
      <c r="AB7439" s="33"/>
      <c r="AC7439" s="33"/>
      <c r="AD7439" s="33"/>
      <c r="AE7439" s="33"/>
      <c r="AF7439" s="33"/>
      <c r="AG7439" s="33"/>
      <c r="AH7439" s="33"/>
      <c r="AI7439" s="33"/>
      <c r="AJ7439" s="33"/>
      <c r="AK7439" s="33"/>
    </row>
    <row r="7440">
      <c r="A7440" s="33"/>
      <c r="B7440" s="33"/>
      <c r="C7440" s="33"/>
      <c r="D7440" s="33"/>
      <c r="E7440" s="33"/>
      <c r="F7440" s="33"/>
      <c r="G7440" s="33"/>
      <c r="H7440" s="33"/>
      <c r="I7440" s="33"/>
      <c r="J7440" s="33"/>
      <c r="K7440" s="33"/>
      <c r="L7440" s="33"/>
      <c r="M7440" s="33"/>
      <c r="N7440" s="33"/>
      <c r="O7440" s="33"/>
      <c r="P7440" s="33"/>
      <c r="Q7440" s="33"/>
      <c r="R7440" s="33"/>
      <c r="S7440" s="33"/>
      <c r="T7440" s="33"/>
      <c r="U7440" s="33"/>
      <c r="V7440" s="33"/>
      <c r="W7440" s="33"/>
      <c r="X7440" s="33"/>
      <c r="Y7440" s="33"/>
      <c r="Z7440" s="33"/>
      <c r="AA7440" s="33"/>
      <c r="AB7440" s="33"/>
      <c r="AC7440" s="33"/>
      <c r="AD7440" s="33"/>
      <c r="AE7440" s="33"/>
      <c r="AF7440" s="33"/>
      <c r="AG7440" s="33"/>
      <c r="AH7440" s="33"/>
      <c r="AI7440" s="33"/>
      <c r="AJ7440" s="33"/>
      <c r="AK7440" s="33"/>
    </row>
    <row r="7441">
      <c r="A7441" s="33"/>
      <c r="B7441" s="33"/>
      <c r="C7441" s="33"/>
      <c r="D7441" s="33"/>
      <c r="E7441" s="33"/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33"/>
      <c r="Q7441" s="33"/>
      <c r="R7441" s="33"/>
      <c r="S7441" s="33"/>
      <c r="T7441" s="33"/>
      <c r="U7441" s="33"/>
      <c r="V7441" s="33"/>
      <c r="W7441" s="33"/>
      <c r="X7441" s="33"/>
      <c r="Y7441" s="33"/>
      <c r="Z7441" s="33"/>
      <c r="AA7441" s="33"/>
      <c r="AB7441" s="33"/>
      <c r="AC7441" s="33"/>
      <c r="AD7441" s="33"/>
      <c r="AE7441" s="33"/>
      <c r="AF7441" s="33"/>
      <c r="AG7441" s="33"/>
      <c r="AH7441" s="33"/>
      <c r="AI7441" s="33"/>
      <c r="AJ7441" s="33"/>
      <c r="AK7441" s="33"/>
    </row>
    <row r="7442">
      <c r="A7442" s="33"/>
      <c r="B7442" s="33"/>
      <c r="C7442" s="33"/>
      <c r="D7442" s="33"/>
      <c r="E7442" s="33"/>
      <c r="F7442" s="33"/>
      <c r="G7442" s="33"/>
      <c r="H7442" s="33"/>
      <c r="I7442" s="33"/>
      <c r="J7442" s="33"/>
      <c r="K7442" s="33"/>
      <c r="L7442" s="33"/>
      <c r="M7442" s="33"/>
      <c r="N7442" s="33"/>
      <c r="O7442" s="33"/>
      <c r="P7442" s="33"/>
      <c r="Q7442" s="33"/>
      <c r="R7442" s="33"/>
      <c r="S7442" s="33"/>
      <c r="T7442" s="33"/>
      <c r="U7442" s="33"/>
      <c r="V7442" s="33"/>
      <c r="W7442" s="33"/>
      <c r="X7442" s="33"/>
      <c r="Y7442" s="33"/>
      <c r="Z7442" s="33"/>
      <c r="AA7442" s="33"/>
      <c r="AB7442" s="33"/>
      <c r="AC7442" s="33"/>
      <c r="AD7442" s="33"/>
      <c r="AE7442" s="33"/>
      <c r="AF7442" s="33"/>
      <c r="AG7442" s="33"/>
      <c r="AH7442" s="33"/>
      <c r="AI7442" s="33"/>
      <c r="AJ7442" s="33"/>
      <c r="AK7442" s="33"/>
    </row>
    <row r="7443">
      <c r="A7443" s="33"/>
      <c r="B7443" s="33"/>
      <c r="C7443" s="33"/>
      <c r="D7443" s="33"/>
      <c r="E7443" s="33"/>
      <c r="F7443" s="33"/>
      <c r="G7443" s="33"/>
      <c r="H7443" s="33"/>
      <c r="I7443" s="33"/>
      <c r="J7443" s="33"/>
      <c r="K7443" s="33"/>
      <c r="L7443" s="33"/>
      <c r="M7443" s="33"/>
      <c r="N7443" s="33"/>
      <c r="O7443" s="33"/>
      <c r="P7443" s="33"/>
      <c r="Q7443" s="33"/>
      <c r="R7443" s="33"/>
      <c r="S7443" s="33"/>
      <c r="T7443" s="33"/>
      <c r="U7443" s="33"/>
      <c r="V7443" s="33"/>
      <c r="W7443" s="33"/>
      <c r="X7443" s="33"/>
      <c r="Y7443" s="33"/>
      <c r="Z7443" s="33"/>
      <c r="AA7443" s="33"/>
      <c r="AB7443" s="33"/>
      <c r="AC7443" s="33"/>
      <c r="AD7443" s="33"/>
      <c r="AE7443" s="33"/>
      <c r="AF7443" s="33"/>
      <c r="AG7443" s="33"/>
      <c r="AH7443" s="33"/>
      <c r="AI7443" s="33"/>
      <c r="AJ7443" s="33"/>
      <c r="AK7443" s="33"/>
    </row>
    <row r="7444">
      <c r="A7444" s="33"/>
      <c r="B7444" s="33"/>
      <c r="C7444" s="33"/>
      <c r="D7444" s="33"/>
      <c r="E7444" s="33"/>
      <c r="F7444" s="33"/>
      <c r="G7444" s="33"/>
      <c r="H7444" s="33"/>
      <c r="I7444" s="33"/>
      <c r="J7444" s="33"/>
      <c r="K7444" s="33"/>
      <c r="L7444" s="33"/>
      <c r="M7444" s="33"/>
      <c r="N7444" s="33"/>
      <c r="O7444" s="33"/>
      <c r="P7444" s="33"/>
      <c r="Q7444" s="33"/>
      <c r="R7444" s="33"/>
      <c r="S7444" s="33"/>
      <c r="T7444" s="33"/>
      <c r="U7444" s="33"/>
      <c r="V7444" s="33"/>
      <c r="W7444" s="33"/>
      <c r="X7444" s="33"/>
      <c r="Y7444" s="33"/>
      <c r="Z7444" s="33"/>
      <c r="AA7444" s="33"/>
      <c r="AB7444" s="33"/>
      <c r="AC7444" s="33"/>
      <c r="AD7444" s="33"/>
      <c r="AE7444" s="33"/>
      <c r="AF7444" s="33"/>
      <c r="AG7444" s="33"/>
      <c r="AH7444" s="33"/>
      <c r="AI7444" s="33"/>
      <c r="AJ7444" s="33"/>
      <c r="AK7444" s="33"/>
    </row>
    <row r="7445">
      <c r="A7445" s="33"/>
      <c r="B7445" s="33"/>
      <c r="C7445" s="33"/>
      <c r="D7445" s="33"/>
      <c r="E7445" s="33"/>
      <c r="F7445" s="33"/>
      <c r="G7445" s="33"/>
      <c r="H7445" s="33"/>
      <c r="I7445" s="33"/>
      <c r="J7445" s="33"/>
      <c r="K7445" s="33"/>
      <c r="L7445" s="33"/>
      <c r="M7445" s="33"/>
      <c r="N7445" s="33"/>
      <c r="O7445" s="33"/>
      <c r="P7445" s="33"/>
      <c r="Q7445" s="33"/>
      <c r="R7445" s="33"/>
      <c r="S7445" s="33"/>
      <c r="T7445" s="33"/>
      <c r="U7445" s="33"/>
      <c r="V7445" s="33"/>
      <c r="W7445" s="33"/>
      <c r="X7445" s="33"/>
      <c r="Y7445" s="33"/>
      <c r="Z7445" s="33"/>
      <c r="AA7445" s="33"/>
      <c r="AB7445" s="33"/>
      <c r="AC7445" s="33"/>
      <c r="AD7445" s="33"/>
      <c r="AE7445" s="33"/>
      <c r="AF7445" s="33"/>
      <c r="AG7445" s="33"/>
      <c r="AH7445" s="33"/>
      <c r="AI7445" s="33"/>
      <c r="AJ7445" s="33"/>
      <c r="AK7445" s="33"/>
    </row>
    <row r="7446">
      <c r="A7446" s="33"/>
      <c r="B7446" s="33"/>
      <c r="C7446" s="33"/>
      <c r="D7446" s="33"/>
      <c r="E7446" s="33"/>
      <c r="F7446" s="33"/>
      <c r="G7446" s="33"/>
      <c r="H7446" s="33"/>
      <c r="I7446" s="33"/>
      <c r="J7446" s="33"/>
      <c r="K7446" s="33"/>
      <c r="L7446" s="33"/>
      <c r="M7446" s="33"/>
      <c r="N7446" s="33"/>
      <c r="O7446" s="33"/>
      <c r="P7446" s="33"/>
      <c r="Q7446" s="33"/>
      <c r="R7446" s="33"/>
      <c r="S7446" s="33"/>
      <c r="T7446" s="33"/>
      <c r="U7446" s="33"/>
      <c r="V7446" s="33"/>
      <c r="W7446" s="33"/>
      <c r="X7446" s="33"/>
      <c r="Y7446" s="33"/>
      <c r="Z7446" s="33"/>
      <c r="AA7446" s="33"/>
      <c r="AB7446" s="33"/>
      <c r="AC7446" s="33"/>
      <c r="AD7446" s="33"/>
      <c r="AE7446" s="33"/>
      <c r="AF7446" s="33"/>
      <c r="AG7446" s="33"/>
      <c r="AH7446" s="33"/>
      <c r="AI7446" s="33"/>
      <c r="AJ7446" s="33"/>
      <c r="AK7446" s="33"/>
    </row>
    <row r="7447">
      <c r="A7447" s="33"/>
      <c r="B7447" s="33"/>
      <c r="C7447" s="33"/>
      <c r="D7447" s="33"/>
      <c r="E7447" s="33"/>
      <c r="F7447" s="33"/>
      <c r="G7447" s="33"/>
      <c r="H7447" s="33"/>
      <c r="I7447" s="33"/>
      <c r="J7447" s="33"/>
      <c r="K7447" s="33"/>
      <c r="L7447" s="33"/>
      <c r="M7447" s="33"/>
      <c r="N7447" s="33"/>
      <c r="O7447" s="33"/>
      <c r="P7447" s="33"/>
      <c r="Q7447" s="33"/>
      <c r="R7447" s="33"/>
      <c r="S7447" s="33"/>
      <c r="T7447" s="33"/>
      <c r="U7447" s="33"/>
      <c r="V7447" s="33"/>
      <c r="W7447" s="33"/>
      <c r="X7447" s="33"/>
      <c r="Y7447" s="33"/>
      <c r="Z7447" s="33"/>
      <c r="AA7447" s="33"/>
      <c r="AB7447" s="33"/>
      <c r="AC7447" s="33"/>
      <c r="AD7447" s="33"/>
      <c r="AE7447" s="33"/>
      <c r="AF7447" s="33"/>
      <c r="AG7447" s="33"/>
      <c r="AH7447" s="33"/>
      <c r="AI7447" s="33"/>
      <c r="AJ7447" s="33"/>
      <c r="AK7447" s="33"/>
    </row>
    <row r="7448">
      <c r="A7448" s="33"/>
      <c r="B7448" s="33"/>
      <c r="C7448" s="33"/>
      <c r="D7448" s="33"/>
      <c r="E7448" s="33"/>
      <c r="F7448" s="33"/>
      <c r="G7448" s="33"/>
      <c r="H7448" s="33"/>
      <c r="I7448" s="33"/>
      <c r="J7448" s="33"/>
      <c r="K7448" s="33"/>
      <c r="L7448" s="33"/>
      <c r="M7448" s="33"/>
      <c r="N7448" s="33"/>
      <c r="O7448" s="33"/>
      <c r="P7448" s="33"/>
      <c r="Q7448" s="33"/>
      <c r="R7448" s="33"/>
      <c r="S7448" s="33"/>
      <c r="T7448" s="33"/>
      <c r="U7448" s="33"/>
      <c r="V7448" s="33"/>
      <c r="W7448" s="33"/>
      <c r="X7448" s="33"/>
      <c r="Y7448" s="33"/>
      <c r="Z7448" s="33"/>
      <c r="AA7448" s="33"/>
      <c r="AB7448" s="33"/>
      <c r="AC7448" s="33"/>
      <c r="AD7448" s="33"/>
      <c r="AE7448" s="33"/>
      <c r="AF7448" s="33"/>
      <c r="AG7448" s="33"/>
      <c r="AH7448" s="33"/>
      <c r="AI7448" s="33"/>
      <c r="AJ7448" s="33"/>
      <c r="AK7448" s="33"/>
    </row>
    <row r="7449">
      <c r="A7449" s="33"/>
      <c r="B7449" s="33"/>
      <c r="C7449" s="33"/>
      <c r="D7449" s="33"/>
      <c r="E7449" s="33"/>
      <c r="F7449" s="33"/>
      <c r="G7449" s="33"/>
      <c r="H7449" s="33"/>
      <c r="I7449" s="33"/>
      <c r="J7449" s="33"/>
      <c r="K7449" s="33"/>
      <c r="L7449" s="33"/>
      <c r="M7449" s="33"/>
      <c r="N7449" s="33"/>
      <c r="O7449" s="33"/>
      <c r="P7449" s="33"/>
      <c r="Q7449" s="33"/>
      <c r="R7449" s="33"/>
      <c r="S7449" s="33"/>
      <c r="T7449" s="33"/>
      <c r="U7449" s="33"/>
      <c r="V7449" s="33"/>
      <c r="W7449" s="33"/>
      <c r="X7449" s="33"/>
      <c r="Y7449" s="33"/>
      <c r="Z7449" s="33"/>
      <c r="AA7449" s="33"/>
      <c r="AB7449" s="33"/>
      <c r="AC7449" s="33"/>
      <c r="AD7449" s="33"/>
      <c r="AE7449" s="33"/>
      <c r="AF7449" s="33"/>
      <c r="AG7449" s="33"/>
      <c r="AH7449" s="33"/>
      <c r="AI7449" s="33"/>
      <c r="AJ7449" s="33"/>
      <c r="AK7449" s="33"/>
    </row>
    <row r="7450">
      <c r="A7450" s="33"/>
      <c r="B7450" s="33"/>
      <c r="C7450" s="33"/>
      <c r="D7450" s="33"/>
      <c r="E7450" s="33"/>
      <c r="F7450" s="33"/>
      <c r="G7450" s="33"/>
      <c r="H7450" s="33"/>
      <c r="I7450" s="33"/>
      <c r="J7450" s="33"/>
      <c r="K7450" s="33"/>
      <c r="L7450" s="33"/>
      <c r="M7450" s="33"/>
      <c r="N7450" s="33"/>
      <c r="O7450" s="33"/>
      <c r="P7450" s="33"/>
      <c r="Q7450" s="33"/>
      <c r="R7450" s="33"/>
      <c r="S7450" s="33"/>
      <c r="T7450" s="33"/>
      <c r="U7450" s="33"/>
      <c r="V7450" s="33"/>
      <c r="W7450" s="33"/>
      <c r="X7450" s="33"/>
      <c r="Y7450" s="33"/>
      <c r="Z7450" s="33"/>
      <c r="AA7450" s="33"/>
      <c r="AB7450" s="33"/>
      <c r="AC7450" s="33"/>
      <c r="AD7450" s="33"/>
      <c r="AE7450" s="33"/>
      <c r="AF7450" s="33"/>
      <c r="AG7450" s="33"/>
      <c r="AH7450" s="33"/>
      <c r="AI7450" s="33"/>
      <c r="AJ7450" s="33"/>
      <c r="AK7450" s="33"/>
    </row>
    <row r="7451">
      <c r="A7451" s="33"/>
      <c r="B7451" s="33"/>
      <c r="C7451" s="33"/>
      <c r="D7451" s="33"/>
      <c r="E7451" s="33"/>
      <c r="F7451" s="33"/>
      <c r="G7451" s="33"/>
      <c r="H7451" s="33"/>
      <c r="I7451" s="33"/>
      <c r="J7451" s="33"/>
      <c r="K7451" s="33"/>
      <c r="L7451" s="33"/>
      <c r="M7451" s="33"/>
      <c r="N7451" s="33"/>
      <c r="O7451" s="33"/>
      <c r="P7451" s="33"/>
      <c r="Q7451" s="33"/>
      <c r="R7451" s="33"/>
      <c r="S7451" s="33"/>
      <c r="T7451" s="33"/>
      <c r="U7451" s="33"/>
      <c r="V7451" s="33"/>
      <c r="W7451" s="33"/>
      <c r="X7451" s="33"/>
      <c r="Y7451" s="33"/>
      <c r="Z7451" s="33"/>
      <c r="AA7451" s="33"/>
      <c r="AB7451" s="33"/>
      <c r="AC7451" s="33"/>
      <c r="AD7451" s="33"/>
      <c r="AE7451" s="33"/>
      <c r="AF7451" s="33"/>
      <c r="AG7451" s="33"/>
      <c r="AH7451" s="33"/>
      <c r="AI7451" s="33"/>
      <c r="AJ7451" s="33"/>
      <c r="AK7451" s="33"/>
    </row>
    <row r="7452">
      <c r="A7452" s="33"/>
      <c r="B7452" s="33"/>
      <c r="C7452" s="33"/>
      <c r="D7452" s="33"/>
      <c r="E7452" s="33"/>
      <c r="F7452" s="33"/>
      <c r="G7452" s="33"/>
      <c r="H7452" s="33"/>
      <c r="I7452" s="33"/>
      <c r="J7452" s="33"/>
      <c r="K7452" s="33"/>
      <c r="L7452" s="33"/>
      <c r="M7452" s="33"/>
      <c r="N7452" s="33"/>
      <c r="O7452" s="33"/>
      <c r="P7452" s="33"/>
      <c r="Q7452" s="33"/>
      <c r="R7452" s="33"/>
      <c r="S7452" s="33"/>
      <c r="T7452" s="33"/>
      <c r="U7452" s="33"/>
      <c r="V7452" s="33"/>
      <c r="W7452" s="33"/>
      <c r="X7452" s="33"/>
      <c r="Y7452" s="33"/>
      <c r="Z7452" s="33"/>
      <c r="AA7452" s="33"/>
      <c r="AB7452" s="33"/>
      <c r="AC7452" s="33"/>
      <c r="AD7452" s="33"/>
      <c r="AE7452" s="33"/>
      <c r="AF7452" s="33"/>
      <c r="AG7452" s="33"/>
      <c r="AH7452" s="33"/>
      <c r="AI7452" s="33"/>
      <c r="AJ7452" s="33"/>
      <c r="AK7452" s="33"/>
    </row>
    <row r="7453">
      <c r="A7453" s="33"/>
      <c r="B7453" s="33"/>
      <c r="C7453" s="33"/>
      <c r="D7453" s="33"/>
      <c r="E7453" s="33"/>
      <c r="F7453" s="33"/>
      <c r="G7453" s="33"/>
      <c r="H7453" s="33"/>
      <c r="I7453" s="33"/>
      <c r="J7453" s="33"/>
      <c r="K7453" s="33"/>
      <c r="L7453" s="33"/>
      <c r="M7453" s="33"/>
      <c r="N7453" s="33"/>
      <c r="O7453" s="33"/>
      <c r="P7453" s="33"/>
      <c r="Q7453" s="33"/>
      <c r="R7453" s="33"/>
      <c r="S7453" s="33"/>
      <c r="T7453" s="33"/>
      <c r="U7453" s="33"/>
      <c r="V7453" s="33"/>
      <c r="W7453" s="33"/>
      <c r="X7453" s="33"/>
      <c r="Y7453" s="33"/>
      <c r="Z7453" s="33"/>
      <c r="AA7453" s="33"/>
      <c r="AB7453" s="33"/>
      <c r="AC7453" s="33"/>
      <c r="AD7453" s="33"/>
      <c r="AE7453" s="33"/>
      <c r="AF7453" s="33"/>
      <c r="AG7453" s="33"/>
      <c r="AH7453" s="33"/>
      <c r="AI7453" s="33"/>
      <c r="AJ7453" s="33"/>
      <c r="AK7453" s="33"/>
    </row>
    <row r="7454">
      <c r="A7454" s="33"/>
      <c r="B7454" s="33"/>
      <c r="C7454" s="33"/>
      <c r="D7454" s="33"/>
      <c r="E7454" s="33"/>
      <c r="F7454" s="33"/>
      <c r="G7454" s="33"/>
      <c r="H7454" s="33"/>
      <c r="I7454" s="33"/>
      <c r="J7454" s="33"/>
      <c r="K7454" s="33"/>
      <c r="L7454" s="33"/>
      <c r="M7454" s="33"/>
      <c r="N7454" s="33"/>
      <c r="O7454" s="33"/>
      <c r="P7454" s="33"/>
      <c r="Q7454" s="33"/>
      <c r="R7454" s="33"/>
      <c r="S7454" s="33"/>
      <c r="T7454" s="33"/>
      <c r="U7454" s="33"/>
      <c r="V7454" s="33"/>
      <c r="W7454" s="33"/>
      <c r="X7454" s="33"/>
      <c r="Y7454" s="33"/>
      <c r="Z7454" s="33"/>
      <c r="AA7454" s="33"/>
      <c r="AB7454" s="33"/>
      <c r="AC7454" s="33"/>
      <c r="AD7454" s="33"/>
      <c r="AE7454" s="33"/>
      <c r="AF7454" s="33"/>
      <c r="AG7454" s="33"/>
      <c r="AH7454" s="33"/>
      <c r="AI7454" s="33"/>
      <c r="AJ7454" s="33"/>
      <c r="AK7454" s="33"/>
    </row>
    <row r="7455">
      <c r="A7455" s="33"/>
      <c r="B7455" s="33"/>
      <c r="C7455" s="33"/>
      <c r="D7455" s="33"/>
      <c r="E7455" s="33"/>
      <c r="F7455" s="33"/>
      <c r="G7455" s="33"/>
      <c r="H7455" s="33"/>
      <c r="I7455" s="33"/>
      <c r="J7455" s="33"/>
      <c r="K7455" s="33"/>
      <c r="L7455" s="33"/>
      <c r="M7455" s="33"/>
      <c r="N7455" s="33"/>
      <c r="O7455" s="33"/>
      <c r="P7455" s="33"/>
      <c r="Q7455" s="33"/>
      <c r="R7455" s="33"/>
      <c r="S7455" s="33"/>
      <c r="T7455" s="33"/>
      <c r="U7455" s="33"/>
      <c r="V7455" s="33"/>
      <c r="W7455" s="33"/>
      <c r="X7455" s="33"/>
      <c r="Y7455" s="33"/>
      <c r="Z7455" s="33"/>
      <c r="AA7455" s="33"/>
      <c r="AB7455" s="33"/>
      <c r="AC7455" s="33"/>
      <c r="AD7455" s="33"/>
      <c r="AE7455" s="33"/>
      <c r="AF7455" s="33"/>
      <c r="AG7455" s="33"/>
      <c r="AH7455" s="33"/>
      <c r="AI7455" s="33"/>
      <c r="AJ7455" s="33"/>
      <c r="AK7455" s="33"/>
    </row>
    <row r="7456">
      <c r="A7456" s="33"/>
      <c r="B7456" s="33"/>
      <c r="C7456" s="33"/>
      <c r="D7456" s="33"/>
      <c r="E7456" s="33"/>
      <c r="F7456" s="33"/>
      <c r="G7456" s="33"/>
      <c r="H7456" s="33"/>
      <c r="I7456" s="33"/>
      <c r="J7456" s="33"/>
      <c r="K7456" s="33"/>
      <c r="L7456" s="33"/>
      <c r="M7456" s="33"/>
      <c r="N7456" s="33"/>
      <c r="O7456" s="33"/>
      <c r="P7456" s="33"/>
      <c r="Q7456" s="33"/>
      <c r="R7456" s="33"/>
      <c r="S7456" s="33"/>
      <c r="T7456" s="33"/>
      <c r="U7456" s="33"/>
      <c r="V7456" s="33"/>
      <c r="W7456" s="33"/>
      <c r="X7456" s="33"/>
      <c r="Y7456" s="33"/>
      <c r="Z7456" s="33"/>
      <c r="AA7456" s="33"/>
      <c r="AB7456" s="33"/>
      <c r="AC7456" s="33"/>
      <c r="AD7456" s="33"/>
      <c r="AE7456" s="33"/>
      <c r="AF7456" s="33"/>
      <c r="AG7456" s="33"/>
      <c r="AH7456" s="33"/>
      <c r="AI7456" s="33"/>
      <c r="AJ7456" s="33"/>
      <c r="AK7456" s="33"/>
    </row>
    <row r="7457">
      <c r="A7457" s="33"/>
      <c r="B7457" s="33"/>
      <c r="C7457" s="33"/>
      <c r="D7457" s="33"/>
      <c r="E7457" s="33"/>
      <c r="F7457" s="33"/>
      <c r="G7457" s="33"/>
      <c r="H7457" s="33"/>
      <c r="I7457" s="33"/>
      <c r="J7457" s="33"/>
      <c r="K7457" s="33"/>
      <c r="L7457" s="33"/>
      <c r="M7457" s="33"/>
      <c r="N7457" s="33"/>
      <c r="O7457" s="33"/>
      <c r="P7457" s="33"/>
      <c r="Q7457" s="33"/>
      <c r="R7457" s="33"/>
      <c r="S7457" s="33"/>
      <c r="T7457" s="33"/>
      <c r="U7457" s="33"/>
      <c r="V7457" s="33"/>
      <c r="W7457" s="33"/>
      <c r="X7457" s="33"/>
      <c r="Y7457" s="33"/>
      <c r="Z7457" s="33"/>
      <c r="AA7457" s="33"/>
      <c r="AB7457" s="33"/>
      <c r="AC7457" s="33"/>
      <c r="AD7457" s="33"/>
      <c r="AE7457" s="33"/>
      <c r="AF7457" s="33"/>
      <c r="AG7457" s="33"/>
      <c r="AH7457" s="33"/>
      <c r="AI7457" s="33"/>
      <c r="AJ7457" s="33"/>
      <c r="AK7457" s="33"/>
    </row>
    <row r="7458">
      <c r="A7458" s="33"/>
      <c r="B7458" s="33"/>
      <c r="C7458" s="33"/>
      <c r="D7458" s="33"/>
      <c r="E7458" s="33"/>
      <c r="F7458" s="33"/>
      <c r="G7458" s="33"/>
      <c r="H7458" s="33"/>
      <c r="I7458" s="33"/>
      <c r="J7458" s="33"/>
      <c r="K7458" s="33"/>
      <c r="L7458" s="33"/>
      <c r="M7458" s="33"/>
      <c r="N7458" s="33"/>
      <c r="O7458" s="33"/>
      <c r="P7458" s="33"/>
      <c r="Q7458" s="33"/>
      <c r="R7458" s="33"/>
      <c r="S7458" s="33"/>
      <c r="T7458" s="33"/>
      <c r="U7458" s="33"/>
      <c r="V7458" s="33"/>
      <c r="W7458" s="33"/>
      <c r="X7458" s="33"/>
      <c r="Y7458" s="33"/>
      <c r="Z7458" s="33"/>
      <c r="AA7458" s="33"/>
      <c r="AB7458" s="33"/>
      <c r="AC7458" s="33"/>
      <c r="AD7458" s="33"/>
      <c r="AE7458" s="33"/>
      <c r="AF7458" s="33"/>
      <c r="AG7458" s="33"/>
      <c r="AH7458" s="33"/>
      <c r="AI7458" s="33"/>
      <c r="AJ7458" s="33"/>
      <c r="AK7458" s="33"/>
    </row>
    <row r="7459">
      <c r="A7459" s="33"/>
      <c r="B7459" s="33"/>
      <c r="C7459" s="33"/>
      <c r="D7459" s="33"/>
      <c r="E7459" s="33"/>
      <c r="F7459" s="33"/>
      <c r="G7459" s="33"/>
      <c r="H7459" s="33"/>
      <c r="I7459" s="33"/>
      <c r="J7459" s="33"/>
      <c r="K7459" s="33"/>
      <c r="L7459" s="33"/>
      <c r="M7459" s="33"/>
      <c r="N7459" s="33"/>
      <c r="O7459" s="33"/>
      <c r="P7459" s="33"/>
      <c r="Q7459" s="33"/>
      <c r="R7459" s="33"/>
      <c r="S7459" s="33"/>
      <c r="T7459" s="33"/>
      <c r="U7459" s="33"/>
      <c r="V7459" s="33"/>
      <c r="W7459" s="33"/>
      <c r="X7459" s="33"/>
      <c r="Y7459" s="33"/>
      <c r="Z7459" s="33"/>
      <c r="AA7459" s="33"/>
      <c r="AB7459" s="33"/>
      <c r="AC7459" s="33"/>
      <c r="AD7459" s="33"/>
      <c r="AE7459" s="33"/>
      <c r="AF7459" s="33"/>
      <c r="AG7459" s="33"/>
      <c r="AH7459" s="33"/>
      <c r="AI7459" s="33"/>
      <c r="AJ7459" s="33"/>
      <c r="AK7459" s="33"/>
    </row>
    <row r="7460">
      <c r="A7460" s="33"/>
      <c r="B7460" s="33"/>
      <c r="C7460" s="33"/>
      <c r="D7460" s="33"/>
      <c r="E7460" s="33"/>
      <c r="F7460" s="33"/>
      <c r="G7460" s="33"/>
      <c r="H7460" s="33"/>
      <c r="I7460" s="33"/>
      <c r="J7460" s="33"/>
      <c r="K7460" s="33"/>
      <c r="L7460" s="33"/>
      <c r="M7460" s="33"/>
      <c r="N7460" s="33"/>
      <c r="O7460" s="33"/>
      <c r="P7460" s="33"/>
      <c r="Q7460" s="33"/>
      <c r="R7460" s="33"/>
      <c r="S7460" s="33"/>
      <c r="T7460" s="33"/>
      <c r="U7460" s="33"/>
      <c r="V7460" s="33"/>
      <c r="W7460" s="33"/>
      <c r="X7460" s="33"/>
      <c r="Y7460" s="33"/>
      <c r="Z7460" s="33"/>
      <c r="AA7460" s="33"/>
      <c r="AB7460" s="33"/>
      <c r="AC7460" s="33"/>
      <c r="AD7460" s="33"/>
      <c r="AE7460" s="33"/>
      <c r="AF7460" s="33"/>
      <c r="AG7460" s="33"/>
      <c r="AH7460" s="33"/>
      <c r="AI7460" s="33"/>
      <c r="AJ7460" s="33"/>
      <c r="AK7460" s="33"/>
    </row>
    <row r="7461">
      <c r="A7461" s="33"/>
      <c r="B7461" s="33"/>
      <c r="C7461" s="33"/>
      <c r="D7461" s="33"/>
      <c r="E7461" s="33"/>
      <c r="F7461" s="33"/>
      <c r="G7461" s="33"/>
      <c r="H7461" s="33"/>
      <c r="I7461" s="33"/>
      <c r="J7461" s="33"/>
      <c r="K7461" s="33"/>
      <c r="L7461" s="33"/>
      <c r="M7461" s="33"/>
      <c r="N7461" s="33"/>
      <c r="O7461" s="33"/>
      <c r="P7461" s="33"/>
      <c r="Q7461" s="33"/>
      <c r="R7461" s="33"/>
      <c r="S7461" s="33"/>
      <c r="T7461" s="33"/>
      <c r="U7461" s="33"/>
      <c r="V7461" s="33"/>
      <c r="W7461" s="33"/>
      <c r="X7461" s="33"/>
      <c r="Y7461" s="33"/>
      <c r="Z7461" s="33"/>
      <c r="AA7461" s="33"/>
      <c r="AB7461" s="33"/>
      <c r="AC7461" s="33"/>
      <c r="AD7461" s="33"/>
      <c r="AE7461" s="33"/>
      <c r="AF7461" s="33"/>
      <c r="AG7461" s="33"/>
      <c r="AH7461" s="33"/>
      <c r="AI7461" s="33"/>
      <c r="AJ7461" s="33"/>
      <c r="AK7461" s="33"/>
    </row>
    <row r="7462">
      <c r="A7462" s="33"/>
      <c r="B7462" s="33"/>
      <c r="C7462" s="33"/>
      <c r="D7462" s="33"/>
      <c r="E7462" s="33"/>
      <c r="F7462" s="33"/>
      <c r="G7462" s="33"/>
      <c r="H7462" s="33"/>
      <c r="I7462" s="33"/>
      <c r="J7462" s="33"/>
      <c r="K7462" s="33"/>
      <c r="L7462" s="33"/>
      <c r="M7462" s="33"/>
      <c r="N7462" s="33"/>
      <c r="O7462" s="33"/>
      <c r="P7462" s="33"/>
      <c r="Q7462" s="33"/>
      <c r="R7462" s="33"/>
      <c r="S7462" s="33"/>
      <c r="T7462" s="33"/>
      <c r="U7462" s="33"/>
      <c r="V7462" s="33"/>
      <c r="W7462" s="33"/>
      <c r="X7462" s="33"/>
      <c r="Y7462" s="33"/>
      <c r="Z7462" s="33"/>
      <c r="AA7462" s="33"/>
      <c r="AB7462" s="33"/>
      <c r="AC7462" s="33"/>
      <c r="AD7462" s="33"/>
      <c r="AE7462" s="33"/>
      <c r="AF7462" s="33"/>
      <c r="AG7462" s="33"/>
      <c r="AH7462" s="33"/>
      <c r="AI7462" s="33"/>
      <c r="AJ7462" s="33"/>
      <c r="AK7462" s="33"/>
    </row>
    <row r="7463">
      <c r="A7463" s="33"/>
      <c r="B7463" s="33"/>
      <c r="C7463" s="33"/>
      <c r="D7463" s="33"/>
      <c r="E7463" s="33"/>
      <c r="F7463" s="33"/>
      <c r="G7463" s="33"/>
      <c r="H7463" s="33"/>
      <c r="I7463" s="33"/>
      <c r="J7463" s="33"/>
      <c r="K7463" s="33"/>
      <c r="L7463" s="33"/>
      <c r="M7463" s="33"/>
      <c r="N7463" s="33"/>
      <c r="O7463" s="33"/>
      <c r="P7463" s="33"/>
      <c r="Q7463" s="33"/>
      <c r="R7463" s="33"/>
      <c r="S7463" s="33"/>
      <c r="T7463" s="33"/>
      <c r="U7463" s="33"/>
      <c r="V7463" s="33"/>
      <c r="W7463" s="33"/>
      <c r="X7463" s="33"/>
      <c r="Y7463" s="33"/>
      <c r="Z7463" s="33"/>
      <c r="AA7463" s="33"/>
      <c r="AB7463" s="33"/>
      <c r="AC7463" s="33"/>
      <c r="AD7463" s="33"/>
      <c r="AE7463" s="33"/>
      <c r="AF7463" s="33"/>
      <c r="AG7463" s="33"/>
      <c r="AH7463" s="33"/>
      <c r="AI7463" s="33"/>
      <c r="AJ7463" s="33"/>
      <c r="AK7463" s="33"/>
    </row>
    <row r="7464">
      <c r="A7464" s="33"/>
      <c r="B7464" s="33"/>
      <c r="C7464" s="33"/>
      <c r="D7464" s="33"/>
      <c r="E7464" s="33"/>
      <c r="F7464" s="33"/>
      <c r="G7464" s="33"/>
      <c r="H7464" s="33"/>
      <c r="I7464" s="33"/>
      <c r="J7464" s="33"/>
      <c r="K7464" s="33"/>
      <c r="L7464" s="33"/>
      <c r="M7464" s="33"/>
      <c r="N7464" s="33"/>
      <c r="O7464" s="33"/>
      <c r="P7464" s="33"/>
      <c r="Q7464" s="33"/>
      <c r="R7464" s="33"/>
      <c r="S7464" s="33"/>
      <c r="T7464" s="33"/>
      <c r="U7464" s="33"/>
      <c r="V7464" s="33"/>
      <c r="W7464" s="33"/>
      <c r="X7464" s="33"/>
      <c r="Y7464" s="33"/>
      <c r="Z7464" s="33"/>
      <c r="AA7464" s="33"/>
      <c r="AB7464" s="33"/>
      <c r="AC7464" s="33"/>
      <c r="AD7464" s="33"/>
      <c r="AE7464" s="33"/>
      <c r="AF7464" s="33"/>
      <c r="AG7464" s="33"/>
      <c r="AH7464" s="33"/>
      <c r="AI7464" s="33"/>
      <c r="AJ7464" s="33"/>
      <c r="AK7464" s="33"/>
    </row>
    <row r="7465">
      <c r="A7465" s="33"/>
      <c r="B7465" s="33"/>
      <c r="C7465" s="33"/>
      <c r="D7465" s="33"/>
      <c r="E7465" s="33"/>
      <c r="F7465" s="33"/>
      <c r="G7465" s="33"/>
      <c r="H7465" s="33"/>
      <c r="I7465" s="33"/>
      <c r="J7465" s="33"/>
      <c r="K7465" s="33"/>
      <c r="L7465" s="33"/>
      <c r="M7465" s="33"/>
      <c r="N7465" s="33"/>
      <c r="O7465" s="33"/>
      <c r="P7465" s="33"/>
      <c r="Q7465" s="33"/>
      <c r="R7465" s="33"/>
      <c r="S7465" s="33"/>
      <c r="T7465" s="33"/>
      <c r="U7465" s="33"/>
      <c r="V7465" s="33"/>
      <c r="W7465" s="33"/>
      <c r="X7465" s="33"/>
      <c r="Y7465" s="33"/>
      <c r="Z7465" s="33"/>
      <c r="AA7465" s="33"/>
      <c r="AB7465" s="33"/>
      <c r="AC7465" s="33"/>
      <c r="AD7465" s="33"/>
      <c r="AE7465" s="33"/>
      <c r="AF7465" s="33"/>
      <c r="AG7465" s="33"/>
      <c r="AH7465" s="33"/>
      <c r="AI7465" s="33"/>
      <c r="AJ7465" s="33"/>
      <c r="AK7465" s="33"/>
    </row>
    <row r="7466">
      <c r="A7466" s="33"/>
      <c r="B7466" s="33"/>
      <c r="C7466" s="33"/>
      <c r="D7466" s="33"/>
      <c r="E7466" s="33"/>
      <c r="F7466" s="33"/>
      <c r="G7466" s="33"/>
      <c r="H7466" s="33"/>
      <c r="I7466" s="33"/>
      <c r="J7466" s="33"/>
      <c r="K7466" s="33"/>
      <c r="L7466" s="33"/>
      <c r="M7466" s="33"/>
      <c r="N7466" s="33"/>
      <c r="O7466" s="33"/>
      <c r="P7466" s="33"/>
      <c r="Q7466" s="33"/>
      <c r="R7466" s="33"/>
      <c r="S7466" s="33"/>
      <c r="T7466" s="33"/>
      <c r="U7466" s="33"/>
      <c r="V7466" s="33"/>
      <c r="W7466" s="33"/>
      <c r="X7466" s="33"/>
      <c r="Y7466" s="33"/>
      <c r="Z7466" s="33"/>
      <c r="AA7466" s="33"/>
      <c r="AB7466" s="33"/>
      <c r="AC7466" s="33"/>
      <c r="AD7466" s="33"/>
      <c r="AE7466" s="33"/>
      <c r="AF7466" s="33"/>
      <c r="AG7466" s="33"/>
      <c r="AH7466" s="33"/>
      <c r="AI7466" s="33"/>
      <c r="AJ7466" s="33"/>
      <c r="AK7466" s="33"/>
    </row>
    <row r="7467">
      <c r="A7467" s="33"/>
      <c r="B7467" s="33"/>
      <c r="C7467" s="33"/>
      <c r="D7467" s="33"/>
      <c r="E7467" s="33"/>
      <c r="F7467" s="33"/>
      <c r="G7467" s="33"/>
      <c r="H7467" s="33"/>
      <c r="I7467" s="33"/>
      <c r="J7467" s="33"/>
      <c r="K7467" s="33"/>
      <c r="L7467" s="33"/>
      <c r="M7467" s="33"/>
      <c r="N7467" s="33"/>
      <c r="O7467" s="33"/>
      <c r="P7467" s="33"/>
      <c r="Q7467" s="33"/>
      <c r="R7467" s="33"/>
      <c r="S7467" s="33"/>
      <c r="T7467" s="33"/>
      <c r="U7467" s="33"/>
      <c r="V7467" s="33"/>
      <c r="W7467" s="33"/>
      <c r="X7467" s="33"/>
      <c r="Y7467" s="33"/>
      <c r="Z7467" s="33"/>
      <c r="AA7467" s="33"/>
      <c r="AB7467" s="33"/>
      <c r="AC7467" s="33"/>
      <c r="AD7467" s="33"/>
      <c r="AE7467" s="33"/>
      <c r="AF7467" s="33"/>
      <c r="AG7467" s="33"/>
      <c r="AH7467" s="33"/>
      <c r="AI7467" s="33"/>
      <c r="AJ7467" s="33"/>
      <c r="AK7467" s="33"/>
    </row>
    <row r="7468">
      <c r="A7468" s="33"/>
      <c r="B7468" s="33"/>
      <c r="C7468" s="33"/>
      <c r="D7468" s="33"/>
      <c r="E7468" s="33"/>
      <c r="F7468" s="33"/>
      <c r="G7468" s="33"/>
      <c r="H7468" s="33"/>
      <c r="I7468" s="33"/>
      <c r="J7468" s="33"/>
      <c r="K7468" s="33"/>
      <c r="L7468" s="33"/>
      <c r="M7468" s="33"/>
      <c r="N7468" s="33"/>
      <c r="O7468" s="33"/>
      <c r="P7468" s="33"/>
      <c r="Q7468" s="33"/>
      <c r="R7468" s="33"/>
      <c r="S7468" s="33"/>
      <c r="T7468" s="33"/>
      <c r="U7468" s="33"/>
      <c r="V7468" s="33"/>
      <c r="W7468" s="33"/>
      <c r="X7468" s="33"/>
      <c r="Y7468" s="33"/>
      <c r="Z7468" s="33"/>
      <c r="AA7468" s="33"/>
      <c r="AB7468" s="33"/>
      <c r="AC7468" s="33"/>
      <c r="AD7468" s="33"/>
      <c r="AE7468" s="33"/>
      <c r="AF7468" s="33"/>
      <c r="AG7468" s="33"/>
      <c r="AH7468" s="33"/>
      <c r="AI7468" s="33"/>
      <c r="AJ7468" s="33"/>
      <c r="AK7468" s="33"/>
    </row>
    <row r="7469">
      <c r="A7469" s="33"/>
      <c r="B7469" s="33"/>
      <c r="C7469" s="33"/>
      <c r="D7469" s="33"/>
      <c r="E7469" s="33"/>
      <c r="F7469" s="33"/>
      <c r="G7469" s="33"/>
      <c r="H7469" s="33"/>
      <c r="I7469" s="33"/>
      <c r="J7469" s="33"/>
      <c r="K7469" s="33"/>
      <c r="L7469" s="33"/>
      <c r="M7469" s="33"/>
      <c r="N7469" s="33"/>
      <c r="O7469" s="33"/>
      <c r="P7469" s="33"/>
      <c r="Q7469" s="33"/>
      <c r="R7469" s="33"/>
      <c r="S7469" s="33"/>
      <c r="T7469" s="33"/>
      <c r="U7469" s="33"/>
      <c r="V7469" s="33"/>
      <c r="W7469" s="33"/>
      <c r="X7469" s="33"/>
      <c r="Y7469" s="33"/>
      <c r="Z7469" s="33"/>
      <c r="AA7469" s="33"/>
      <c r="AB7469" s="33"/>
      <c r="AC7469" s="33"/>
      <c r="AD7469" s="33"/>
      <c r="AE7469" s="33"/>
      <c r="AF7469" s="33"/>
      <c r="AG7469" s="33"/>
      <c r="AH7469" s="33"/>
      <c r="AI7469" s="33"/>
      <c r="AJ7469" s="33"/>
      <c r="AK7469" s="33"/>
    </row>
    <row r="7470">
      <c r="A7470" s="33"/>
      <c r="B7470" s="33"/>
      <c r="C7470" s="33"/>
      <c r="D7470" s="33"/>
      <c r="E7470" s="33"/>
      <c r="F7470" s="33"/>
      <c r="G7470" s="33"/>
      <c r="H7470" s="33"/>
      <c r="I7470" s="33"/>
      <c r="J7470" s="33"/>
      <c r="K7470" s="33"/>
      <c r="L7470" s="33"/>
      <c r="M7470" s="33"/>
      <c r="N7470" s="33"/>
      <c r="O7470" s="33"/>
      <c r="P7470" s="33"/>
      <c r="Q7470" s="33"/>
      <c r="R7470" s="33"/>
      <c r="S7470" s="33"/>
      <c r="T7470" s="33"/>
      <c r="U7470" s="33"/>
      <c r="V7470" s="33"/>
      <c r="W7470" s="33"/>
      <c r="X7470" s="33"/>
      <c r="Y7470" s="33"/>
      <c r="Z7470" s="33"/>
      <c r="AA7470" s="33"/>
      <c r="AB7470" s="33"/>
      <c r="AC7470" s="33"/>
      <c r="AD7470" s="33"/>
      <c r="AE7470" s="33"/>
      <c r="AF7470" s="33"/>
      <c r="AG7470" s="33"/>
      <c r="AH7470" s="33"/>
      <c r="AI7470" s="33"/>
      <c r="AJ7470" s="33"/>
      <c r="AK7470" s="33"/>
    </row>
    <row r="7471">
      <c r="A7471" s="33"/>
      <c r="B7471" s="33"/>
      <c r="C7471" s="33"/>
      <c r="D7471" s="33"/>
      <c r="E7471" s="33"/>
      <c r="F7471" s="33"/>
      <c r="G7471" s="33"/>
      <c r="H7471" s="33"/>
      <c r="I7471" s="33"/>
      <c r="J7471" s="33"/>
      <c r="K7471" s="33"/>
      <c r="L7471" s="33"/>
      <c r="M7471" s="33"/>
      <c r="N7471" s="33"/>
      <c r="O7471" s="33"/>
      <c r="P7471" s="33"/>
      <c r="Q7471" s="33"/>
      <c r="R7471" s="33"/>
      <c r="S7471" s="33"/>
      <c r="T7471" s="33"/>
      <c r="U7471" s="33"/>
      <c r="V7471" s="33"/>
      <c r="W7471" s="33"/>
      <c r="X7471" s="33"/>
      <c r="Y7471" s="33"/>
      <c r="Z7471" s="33"/>
      <c r="AA7471" s="33"/>
      <c r="AB7471" s="33"/>
      <c r="AC7471" s="33"/>
      <c r="AD7471" s="33"/>
      <c r="AE7471" s="33"/>
      <c r="AF7471" s="33"/>
      <c r="AG7471" s="33"/>
      <c r="AH7471" s="33"/>
      <c r="AI7471" s="33"/>
      <c r="AJ7471" s="33"/>
      <c r="AK7471" s="33"/>
    </row>
    <row r="7472">
      <c r="A7472" s="33"/>
      <c r="B7472" s="33"/>
      <c r="C7472" s="33"/>
      <c r="D7472" s="33"/>
      <c r="E7472" s="33"/>
      <c r="F7472" s="33"/>
      <c r="G7472" s="33"/>
      <c r="H7472" s="33"/>
      <c r="I7472" s="33"/>
      <c r="J7472" s="33"/>
      <c r="K7472" s="33"/>
      <c r="L7472" s="33"/>
      <c r="M7472" s="33"/>
      <c r="N7472" s="33"/>
      <c r="O7472" s="33"/>
      <c r="P7472" s="33"/>
      <c r="Q7472" s="33"/>
      <c r="R7472" s="33"/>
      <c r="S7472" s="33"/>
      <c r="T7472" s="33"/>
      <c r="U7472" s="33"/>
      <c r="V7472" s="33"/>
      <c r="W7472" s="33"/>
      <c r="X7472" s="33"/>
      <c r="Y7472" s="33"/>
      <c r="Z7472" s="33"/>
      <c r="AA7472" s="33"/>
      <c r="AB7472" s="33"/>
      <c r="AC7472" s="33"/>
      <c r="AD7472" s="33"/>
      <c r="AE7472" s="33"/>
      <c r="AF7472" s="33"/>
      <c r="AG7472" s="33"/>
      <c r="AH7472" s="33"/>
      <c r="AI7472" s="33"/>
      <c r="AJ7472" s="33"/>
      <c r="AK7472" s="33"/>
    </row>
    <row r="7473">
      <c r="A7473" s="33"/>
      <c r="B7473" s="33"/>
      <c r="C7473" s="33"/>
      <c r="D7473" s="33"/>
      <c r="E7473" s="33"/>
      <c r="F7473" s="33"/>
      <c r="G7473" s="33"/>
      <c r="H7473" s="33"/>
      <c r="I7473" s="33"/>
      <c r="J7473" s="33"/>
      <c r="K7473" s="33"/>
      <c r="L7473" s="33"/>
      <c r="M7473" s="33"/>
      <c r="N7473" s="33"/>
      <c r="O7473" s="33"/>
      <c r="P7473" s="33"/>
      <c r="Q7473" s="33"/>
      <c r="R7473" s="33"/>
      <c r="S7473" s="33"/>
      <c r="T7473" s="33"/>
      <c r="U7473" s="33"/>
      <c r="V7473" s="33"/>
      <c r="W7473" s="33"/>
      <c r="X7473" s="33"/>
      <c r="Y7473" s="33"/>
      <c r="Z7473" s="33"/>
      <c r="AA7473" s="33"/>
      <c r="AB7473" s="33"/>
      <c r="AC7473" s="33"/>
      <c r="AD7473" s="33"/>
      <c r="AE7473" s="33"/>
      <c r="AF7473" s="33"/>
      <c r="AG7473" s="33"/>
      <c r="AH7473" s="33"/>
      <c r="AI7473" s="33"/>
      <c r="AJ7473" s="33"/>
      <c r="AK7473" s="33"/>
    </row>
    <row r="7474">
      <c r="A7474" s="33"/>
      <c r="B7474" s="33"/>
      <c r="C7474" s="33"/>
      <c r="D7474" s="33"/>
      <c r="E7474" s="33"/>
      <c r="F7474" s="33"/>
      <c r="G7474" s="33"/>
      <c r="H7474" s="33"/>
      <c r="I7474" s="33"/>
      <c r="J7474" s="33"/>
      <c r="K7474" s="33"/>
      <c r="L7474" s="33"/>
      <c r="M7474" s="33"/>
      <c r="N7474" s="33"/>
      <c r="O7474" s="33"/>
      <c r="P7474" s="33"/>
      <c r="Q7474" s="33"/>
      <c r="R7474" s="33"/>
      <c r="S7474" s="33"/>
      <c r="T7474" s="33"/>
      <c r="U7474" s="33"/>
      <c r="V7474" s="33"/>
      <c r="W7474" s="33"/>
      <c r="X7474" s="33"/>
      <c r="Y7474" s="33"/>
      <c r="Z7474" s="33"/>
      <c r="AA7474" s="33"/>
      <c r="AB7474" s="33"/>
      <c r="AC7474" s="33"/>
      <c r="AD7474" s="33"/>
      <c r="AE7474" s="33"/>
      <c r="AF7474" s="33"/>
      <c r="AG7474" s="33"/>
      <c r="AH7474" s="33"/>
      <c r="AI7474" s="33"/>
      <c r="AJ7474" s="33"/>
      <c r="AK7474" s="33"/>
    </row>
    <row r="7475">
      <c r="A7475" s="33"/>
      <c r="B7475" s="33"/>
      <c r="C7475" s="33"/>
      <c r="D7475" s="33"/>
      <c r="E7475" s="33"/>
      <c r="F7475" s="33"/>
      <c r="G7475" s="33"/>
      <c r="H7475" s="33"/>
      <c r="I7475" s="33"/>
      <c r="J7475" s="33"/>
      <c r="K7475" s="33"/>
      <c r="L7475" s="33"/>
      <c r="M7475" s="33"/>
      <c r="N7475" s="33"/>
      <c r="O7475" s="33"/>
      <c r="P7475" s="33"/>
      <c r="Q7475" s="33"/>
      <c r="R7475" s="33"/>
      <c r="S7475" s="33"/>
      <c r="T7475" s="33"/>
      <c r="U7475" s="33"/>
      <c r="V7475" s="33"/>
      <c r="W7475" s="33"/>
      <c r="X7475" s="33"/>
      <c r="Y7475" s="33"/>
      <c r="Z7475" s="33"/>
      <c r="AA7475" s="33"/>
      <c r="AB7475" s="33"/>
      <c r="AC7475" s="33"/>
      <c r="AD7475" s="33"/>
      <c r="AE7475" s="33"/>
      <c r="AF7475" s="33"/>
      <c r="AG7475" s="33"/>
      <c r="AH7475" s="33"/>
      <c r="AI7475" s="33"/>
      <c r="AJ7475" s="33"/>
      <c r="AK7475" s="33"/>
    </row>
    <row r="7476">
      <c r="A7476" s="33"/>
      <c r="B7476" s="33"/>
      <c r="C7476" s="33"/>
      <c r="D7476" s="33"/>
      <c r="E7476" s="33"/>
      <c r="F7476" s="33"/>
      <c r="G7476" s="33"/>
      <c r="H7476" s="33"/>
      <c r="I7476" s="33"/>
      <c r="J7476" s="33"/>
      <c r="K7476" s="33"/>
      <c r="L7476" s="33"/>
      <c r="M7476" s="33"/>
      <c r="N7476" s="33"/>
      <c r="O7476" s="33"/>
      <c r="P7476" s="33"/>
      <c r="Q7476" s="33"/>
      <c r="R7476" s="33"/>
      <c r="S7476" s="33"/>
      <c r="T7476" s="33"/>
      <c r="U7476" s="33"/>
      <c r="V7476" s="33"/>
      <c r="W7476" s="33"/>
      <c r="X7476" s="33"/>
      <c r="Y7476" s="33"/>
      <c r="Z7476" s="33"/>
      <c r="AA7476" s="33"/>
      <c r="AB7476" s="33"/>
      <c r="AC7476" s="33"/>
      <c r="AD7476" s="33"/>
      <c r="AE7476" s="33"/>
      <c r="AF7476" s="33"/>
      <c r="AG7476" s="33"/>
      <c r="AH7476" s="33"/>
      <c r="AI7476" s="33"/>
      <c r="AJ7476" s="33"/>
      <c r="AK7476" s="33"/>
    </row>
    <row r="7477">
      <c r="A7477" s="33"/>
      <c r="B7477" s="33"/>
      <c r="C7477" s="33"/>
      <c r="D7477" s="33"/>
      <c r="E7477" s="33"/>
      <c r="F7477" s="33"/>
      <c r="G7477" s="33"/>
      <c r="H7477" s="33"/>
      <c r="I7477" s="33"/>
      <c r="J7477" s="33"/>
      <c r="K7477" s="33"/>
      <c r="L7477" s="33"/>
      <c r="M7477" s="33"/>
      <c r="N7477" s="33"/>
      <c r="O7477" s="33"/>
      <c r="P7477" s="33"/>
      <c r="Q7477" s="33"/>
      <c r="R7477" s="33"/>
      <c r="S7477" s="33"/>
      <c r="T7477" s="33"/>
      <c r="U7477" s="33"/>
      <c r="V7477" s="33"/>
      <c r="W7477" s="33"/>
      <c r="X7477" s="33"/>
      <c r="Y7477" s="33"/>
      <c r="Z7477" s="33"/>
      <c r="AA7477" s="33"/>
      <c r="AB7477" s="33"/>
      <c r="AC7477" s="33"/>
      <c r="AD7477" s="33"/>
      <c r="AE7477" s="33"/>
      <c r="AF7477" s="33"/>
      <c r="AG7477" s="33"/>
      <c r="AH7477" s="33"/>
      <c r="AI7477" s="33"/>
      <c r="AJ7477" s="33"/>
      <c r="AK7477" s="33"/>
    </row>
    <row r="7478">
      <c r="A7478" s="33"/>
      <c r="B7478" s="33"/>
      <c r="C7478" s="33"/>
      <c r="D7478" s="33"/>
      <c r="E7478" s="33"/>
      <c r="F7478" s="33"/>
      <c r="G7478" s="33"/>
      <c r="H7478" s="33"/>
      <c r="I7478" s="33"/>
      <c r="J7478" s="33"/>
      <c r="K7478" s="33"/>
      <c r="L7478" s="33"/>
      <c r="M7478" s="33"/>
      <c r="N7478" s="33"/>
      <c r="O7478" s="33"/>
      <c r="P7478" s="33"/>
      <c r="Q7478" s="33"/>
      <c r="R7478" s="33"/>
      <c r="S7478" s="33"/>
      <c r="T7478" s="33"/>
      <c r="U7478" s="33"/>
      <c r="V7478" s="33"/>
      <c r="W7478" s="33"/>
      <c r="X7478" s="33"/>
      <c r="Y7478" s="33"/>
      <c r="Z7478" s="33"/>
      <c r="AA7478" s="33"/>
      <c r="AB7478" s="33"/>
      <c r="AC7478" s="33"/>
      <c r="AD7478" s="33"/>
      <c r="AE7478" s="33"/>
      <c r="AF7478" s="33"/>
      <c r="AG7478" s="33"/>
      <c r="AH7478" s="33"/>
      <c r="AI7478" s="33"/>
      <c r="AJ7478" s="33"/>
      <c r="AK7478" s="33"/>
    </row>
    <row r="7479">
      <c r="A7479" s="33"/>
      <c r="B7479" s="33"/>
      <c r="C7479" s="33"/>
      <c r="D7479" s="33"/>
      <c r="E7479" s="33"/>
      <c r="F7479" s="33"/>
      <c r="G7479" s="33"/>
      <c r="H7479" s="33"/>
      <c r="I7479" s="33"/>
      <c r="J7479" s="33"/>
      <c r="K7479" s="33"/>
      <c r="L7479" s="33"/>
      <c r="M7479" s="33"/>
      <c r="N7479" s="33"/>
      <c r="O7479" s="33"/>
      <c r="P7479" s="33"/>
      <c r="Q7479" s="33"/>
      <c r="R7479" s="33"/>
      <c r="S7479" s="33"/>
      <c r="T7479" s="33"/>
      <c r="U7479" s="33"/>
      <c r="V7479" s="33"/>
      <c r="W7479" s="33"/>
      <c r="X7479" s="33"/>
      <c r="Y7479" s="33"/>
      <c r="Z7479" s="33"/>
      <c r="AA7479" s="33"/>
      <c r="AB7479" s="33"/>
      <c r="AC7479" s="33"/>
      <c r="AD7479" s="33"/>
      <c r="AE7479" s="33"/>
      <c r="AF7479" s="33"/>
      <c r="AG7479" s="33"/>
      <c r="AH7479" s="33"/>
      <c r="AI7479" s="33"/>
      <c r="AJ7479" s="33"/>
      <c r="AK7479" s="33"/>
    </row>
    <row r="7480">
      <c r="A7480" s="33"/>
      <c r="B7480" s="33"/>
      <c r="C7480" s="33"/>
      <c r="D7480" s="33"/>
      <c r="E7480" s="33"/>
      <c r="F7480" s="33"/>
      <c r="G7480" s="33"/>
      <c r="H7480" s="33"/>
      <c r="I7480" s="33"/>
      <c r="J7480" s="33"/>
      <c r="K7480" s="33"/>
      <c r="L7480" s="33"/>
      <c r="M7480" s="33"/>
      <c r="N7480" s="33"/>
      <c r="O7480" s="33"/>
      <c r="P7480" s="33"/>
      <c r="Q7480" s="33"/>
      <c r="R7480" s="33"/>
      <c r="S7480" s="33"/>
      <c r="T7480" s="33"/>
      <c r="U7480" s="33"/>
      <c r="V7480" s="33"/>
      <c r="W7480" s="33"/>
      <c r="X7480" s="33"/>
      <c r="Y7480" s="33"/>
      <c r="Z7480" s="33"/>
      <c r="AA7480" s="33"/>
      <c r="AB7480" s="33"/>
      <c r="AC7480" s="33"/>
      <c r="AD7480" s="33"/>
      <c r="AE7480" s="33"/>
      <c r="AF7480" s="33"/>
      <c r="AG7480" s="33"/>
      <c r="AH7480" s="33"/>
      <c r="AI7480" s="33"/>
      <c r="AJ7480" s="33"/>
      <c r="AK7480" s="33"/>
    </row>
    <row r="7481">
      <c r="A7481" s="33"/>
      <c r="B7481" s="33"/>
      <c r="C7481" s="33"/>
      <c r="D7481" s="33"/>
      <c r="E7481" s="33"/>
      <c r="F7481" s="33"/>
      <c r="G7481" s="33"/>
      <c r="H7481" s="33"/>
      <c r="I7481" s="33"/>
      <c r="J7481" s="33"/>
      <c r="K7481" s="33"/>
      <c r="L7481" s="33"/>
      <c r="M7481" s="33"/>
      <c r="N7481" s="33"/>
      <c r="O7481" s="33"/>
      <c r="P7481" s="33"/>
      <c r="Q7481" s="33"/>
      <c r="R7481" s="33"/>
      <c r="S7481" s="33"/>
      <c r="T7481" s="33"/>
      <c r="U7481" s="33"/>
      <c r="V7481" s="33"/>
      <c r="W7481" s="33"/>
      <c r="X7481" s="33"/>
      <c r="Y7481" s="33"/>
      <c r="Z7481" s="33"/>
      <c r="AA7481" s="33"/>
      <c r="AB7481" s="33"/>
      <c r="AC7481" s="33"/>
      <c r="AD7481" s="33"/>
      <c r="AE7481" s="33"/>
      <c r="AF7481" s="33"/>
      <c r="AG7481" s="33"/>
      <c r="AH7481" s="33"/>
      <c r="AI7481" s="33"/>
      <c r="AJ7481" s="33"/>
      <c r="AK7481" s="33"/>
    </row>
    <row r="7482">
      <c r="A7482" s="33"/>
      <c r="B7482" s="33"/>
      <c r="C7482" s="33"/>
      <c r="D7482" s="33"/>
      <c r="E7482" s="33"/>
      <c r="F7482" s="33"/>
      <c r="G7482" s="33"/>
      <c r="H7482" s="33"/>
      <c r="I7482" s="33"/>
      <c r="J7482" s="33"/>
      <c r="K7482" s="33"/>
      <c r="L7482" s="33"/>
      <c r="M7482" s="33"/>
      <c r="N7482" s="33"/>
      <c r="O7482" s="33"/>
      <c r="P7482" s="33"/>
      <c r="Q7482" s="33"/>
      <c r="R7482" s="33"/>
      <c r="S7482" s="33"/>
      <c r="T7482" s="33"/>
      <c r="U7482" s="33"/>
      <c r="V7482" s="33"/>
      <c r="W7482" s="33"/>
      <c r="X7482" s="33"/>
      <c r="Y7482" s="33"/>
      <c r="Z7482" s="33"/>
      <c r="AA7482" s="33"/>
      <c r="AB7482" s="33"/>
      <c r="AC7482" s="33"/>
      <c r="AD7482" s="33"/>
      <c r="AE7482" s="33"/>
      <c r="AF7482" s="33"/>
      <c r="AG7482" s="33"/>
      <c r="AH7482" s="33"/>
      <c r="AI7482" s="33"/>
      <c r="AJ7482" s="33"/>
      <c r="AK7482" s="33"/>
    </row>
    <row r="7483">
      <c r="A7483" s="33"/>
      <c r="B7483" s="33"/>
      <c r="C7483" s="33"/>
      <c r="D7483" s="33"/>
      <c r="E7483" s="33"/>
      <c r="F7483" s="33"/>
      <c r="G7483" s="33"/>
      <c r="H7483" s="33"/>
      <c r="I7483" s="33"/>
      <c r="J7483" s="33"/>
      <c r="K7483" s="33"/>
      <c r="L7483" s="33"/>
      <c r="M7483" s="33"/>
      <c r="N7483" s="33"/>
      <c r="O7483" s="33"/>
      <c r="P7483" s="33"/>
      <c r="Q7483" s="33"/>
      <c r="R7483" s="33"/>
      <c r="S7483" s="33"/>
      <c r="T7483" s="33"/>
      <c r="U7483" s="33"/>
      <c r="V7483" s="33"/>
      <c r="W7483" s="33"/>
      <c r="X7483" s="33"/>
      <c r="Y7483" s="33"/>
      <c r="Z7483" s="33"/>
      <c r="AA7483" s="33"/>
      <c r="AB7483" s="33"/>
      <c r="AC7483" s="33"/>
      <c r="AD7483" s="33"/>
      <c r="AE7483" s="33"/>
      <c r="AF7483" s="33"/>
      <c r="AG7483" s="33"/>
      <c r="AH7483" s="33"/>
      <c r="AI7483" s="33"/>
      <c r="AJ7483" s="33"/>
      <c r="AK7483" s="33"/>
    </row>
    <row r="7484">
      <c r="A7484" s="33"/>
      <c r="B7484" s="33"/>
      <c r="C7484" s="33"/>
      <c r="D7484" s="33"/>
      <c r="E7484" s="33"/>
      <c r="F7484" s="33"/>
      <c r="G7484" s="33"/>
      <c r="H7484" s="33"/>
      <c r="I7484" s="33"/>
      <c r="J7484" s="33"/>
      <c r="K7484" s="33"/>
      <c r="L7484" s="33"/>
      <c r="M7484" s="33"/>
      <c r="N7484" s="33"/>
      <c r="O7484" s="33"/>
      <c r="P7484" s="33"/>
      <c r="Q7484" s="33"/>
      <c r="R7484" s="33"/>
      <c r="S7484" s="33"/>
      <c r="T7484" s="33"/>
      <c r="U7484" s="33"/>
      <c r="V7484" s="33"/>
      <c r="W7484" s="33"/>
      <c r="X7484" s="33"/>
      <c r="Y7484" s="33"/>
      <c r="Z7484" s="33"/>
      <c r="AA7484" s="33"/>
      <c r="AB7484" s="33"/>
      <c r="AC7484" s="33"/>
      <c r="AD7484" s="33"/>
      <c r="AE7484" s="33"/>
      <c r="AF7484" s="33"/>
      <c r="AG7484" s="33"/>
      <c r="AH7484" s="33"/>
      <c r="AI7484" s="33"/>
      <c r="AJ7484" s="33"/>
      <c r="AK7484" s="33"/>
    </row>
    <row r="7485">
      <c r="A7485" s="33"/>
      <c r="B7485" s="33"/>
      <c r="C7485" s="33"/>
      <c r="D7485" s="33"/>
      <c r="E7485" s="33"/>
      <c r="F7485" s="33"/>
      <c r="G7485" s="33"/>
      <c r="H7485" s="33"/>
      <c r="I7485" s="33"/>
      <c r="J7485" s="33"/>
      <c r="K7485" s="33"/>
      <c r="L7485" s="33"/>
      <c r="M7485" s="33"/>
      <c r="N7485" s="33"/>
      <c r="O7485" s="33"/>
      <c r="P7485" s="33"/>
      <c r="Q7485" s="33"/>
      <c r="R7485" s="33"/>
      <c r="S7485" s="33"/>
      <c r="T7485" s="33"/>
      <c r="U7485" s="33"/>
      <c r="V7485" s="33"/>
      <c r="W7485" s="33"/>
      <c r="X7485" s="33"/>
      <c r="Y7485" s="33"/>
      <c r="Z7485" s="33"/>
      <c r="AA7485" s="33"/>
      <c r="AB7485" s="33"/>
      <c r="AC7485" s="33"/>
      <c r="AD7485" s="33"/>
      <c r="AE7485" s="33"/>
      <c r="AF7485" s="33"/>
      <c r="AG7485" s="33"/>
      <c r="AH7485" s="33"/>
      <c r="AI7485" s="33"/>
      <c r="AJ7485" s="33"/>
      <c r="AK7485" s="33"/>
    </row>
    <row r="7486">
      <c r="A7486" s="33"/>
      <c r="B7486" s="33"/>
      <c r="C7486" s="33"/>
      <c r="D7486" s="33"/>
      <c r="E7486" s="33"/>
      <c r="F7486" s="33"/>
      <c r="G7486" s="33"/>
      <c r="H7486" s="33"/>
      <c r="I7486" s="33"/>
      <c r="J7486" s="33"/>
      <c r="K7486" s="33"/>
      <c r="L7486" s="33"/>
      <c r="M7486" s="33"/>
      <c r="N7486" s="33"/>
      <c r="O7486" s="33"/>
      <c r="P7486" s="33"/>
      <c r="Q7486" s="33"/>
      <c r="R7486" s="33"/>
      <c r="S7486" s="33"/>
      <c r="T7486" s="33"/>
      <c r="U7486" s="33"/>
      <c r="V7486" s="33"/>
      <c r="W7486" s="33"/>
      <c r="X7486" s="33"/>
      <c r="Y7486" s="33"/>
      <c r="Z7486" s="33"/>
      <c r="AA7486" s="33"/>
      <c r="AB7486" s="33"/>
      <c r="AC7486" s="33"/>
      <c r="AD7486" s="33"/>
      <c r="AE7486" s="33"/>
      <c r="AF7486" s="33"/>
      <c r="AG7486" s="33"/>
      <c r="AH7486" s="33"/>
      <c r="AI7486" s="33"/>
      <c r="AJ7486" s="33"/>
      <c r="AK7486" s="33"/>
    </row>
    <row r="7487">
      <c r="A7487" s="33"/>
      <c r="B7487" s="33"/>
      <c r="C7487" s="33"/>
      <c r="D7487" s="33"/>
      <c r="E7487" s="33"/>
      <c r="F7487" s="33"/>
      <c r="G7487" s="33"/>
      <c r="H7487" s="33"/>
      <c r="I7487" s="33"/>
      <c r="J7487" s="33"/>
      <c r="K7487" s="33"/>
      <c r="L7487" s="33"/>
      <c r="M7487" s="33"/>
      <c r="N7487" s="33"/>
      <c r="O7487" s="33"/>
      <c r="P7487" s="33"/>
      <c r="Q7487" s="33"/>
      <c r="R7487" s="33"/>
      <c r="S7487" s="33"/>
      <c r="T7487" s="33"/>
      <c r="U7487" s="33"/>
      <c r="V7487" s="33"/>
      <c r="W7487" s="33"/>
      <c r="X7487" s="33"/>
      <c r="Y7487" s="33"/>
      <c r="Z7487" s="33"/>
      <c r="AA7487" s="33"/>
      <c r="AB7487" s="33"/>
      <c r="AC7487" s="33"/>
      <c r="AD7487" s="33"/>
      <c r="AE7487" s="33"/>
      <c r="AF7487" s="33"/>
      <c r="AG7487" s="33"/>
      <c r="AH7487" s="33"/>
      <c r="AI7487" s="33"/>
      <c r="AJ7487" s="33"/>
      <c r="AK7487" s="33"/>
    </row>
    <row r="7488">
      <c r="A7488" s="33"/>
      <c r="B7488" s="33"/>
      <c r="C7488" s="33"/>
      <c r="D7488" s="33"/>
      <c r="E7488" s="33"/>
      <c r="F7488" s="33"/>
      <c r="G7488" s="33"/>
      <c r="H7488" s="33"/>
      <c r="I7488" s="33"/>
      <c r="J7488" s="33"/>
      <c r="K7488" s="33"/>
      <c r="L7488" s="33"/>
      <c r="M7488" s="33"/>
      <c r="N7488" s="33"/>
      <c r="O7488" s="33"/>
      <c r="P7488" s="33"/>
      <c r="Q7488" s="33"/>
      <c r="R7488" s="33"/>
      <c r="S7488" s="33"/>
      <c r="T7488" s="33"/>
      <c r="U7488" s="33"/>
      <c r="V7488" s="33"/>
      <c r="W7488" s="33"/>
      <c r="X7488" s="33"/>
      <c r="Y7488" s="33"/>
      <c r="Z7488" s="33"/>
      <c r="AA7488" s="33"/>
      <c r="AB7488" s="33"/>
      <c r="AC7488" s="33"/>
      <c r="AD7488" s="33"/>
      <c r="AE7488" s="33"/>
      <c r="AF7488" s="33"/>
      <c r="AG7488" s="33"/>
      <c r="AH7488" s="33"/>
      <c r="AI7488" s="33"/>
      <c r="AJ7488" s="33"/>
      <c r="AK7488" s="33"/>
    </row>
    <row r="7489">
      <c r="A7489" s="33"/>
      <c r="B7489" s="33"/>
      <c r="C7489" s="33"/>
      <c r="D7489" s="33"/>
      <c r="E7489" s="33"/>
      <c r="F7489" s="33"/>
      <c r="G7489" s="33"/>
      <c r="H7489" s="33"/>
      <c r="I7489" s="33"/>
      <c r="J7489" s="33"/>
      <c r="K7489" s="33"/>
      <c r="L7489" s="33"/>
      <c r="M7489" s="33"/>
      <c r="N7489" s="33"/>
      <c r="O7489" s="33"/>
      <c r="P7489" s="33"/>
      <c r="Q7489" s="33"/>
      <c r="R7489" s="33"/>
      <c r="S7489" s="33"/>
      <c r="T7489" s="33"/>
      <c r="U7489" s="33"/>
      <c r="V7489" s="33"/>
      <c r="W7489" s="33"/>
      <c r="X7489" s="33"/>
      <c r="Y7489" s="33"/>
      <c r="Z7489" s="33"/>
      <c r="AA7489" s="33"/>
      <c r="AB7489" s="33"/>
      <c r="AC7489" s="33"/>
      <c r="AD7489" s="33"/>
      <c r="AE7489" s="33"/>
      <c r="AF7489" s="33"/>
      <c r="AG7489" s="33"/>
      <c r="AH7489" s="33"/>
      <c r="AI7489" s="33"/>
      <c r="AJ7489" s="33"/>
      <c r="AK7489" s="33"/>
    </row>
    <row r="7490">
      <c r="A7490" s="33"/>
      <c r="B7490" s="33"/>
      <c r="C7490" s="33"/>
      <c r="D7490" s="33"/>
      <c r="E7490" s="33"/>
      <c r="F7490" s="33"/>
      <c r="G7490" s="33"/>
      <c r="H7490" s="33"/>
      <c r="I7490" s="33"/>
      <c r="J7490" s="33"/>
      <c r="K7490" s="33"/>
      <c r="L7490" s="33"/>
      <c r="M7490" s="33"/>
      <c r="N7490" s="33"/>
      <c r="O7490" s="33"/>
      <c r="P7490" s="33"/>
      <c r="Q7490" s="33"/>
      <c r="R7490" s="33"/>
      <c r="S7490" s="33"/>
      <c r="T7490" s="33"/>
      <c r="U7490" s="33"/>
      <c r="V7490" s="33"/>
      <c r="W7490" s="33"/>
      <c r="X7490" s="33"/>
      <c r="Y7490" s="33"/>
      <c r="Z7490" s="33"/>
      <c r="AA7490" s="33"/>
      <c r="AB7490" s="33"/>
      <c r="AC7490" s="33"/>
      <c r="AD7490" s="33"/>
      <c r="AE7490" s="33"/>
      <c r="AF7490" s="33"/>
      <c r="AG7490" s="33"/>
      <c r="AH7490" s="33"/>
      <c r="AI7490" s="33"/>
      <c r="AJ7490" s="33"/>
      <c r="AK7490" s="33"/>
    </row>
    <row r="7491">
      <c r="A7491" s="33"/>
      <c r="B7491" s="33"/>
      <c r="C7491" s="33"/>
      <c r="D7491" s="33"/>
      <c r="E7491" s="33"/>
      <c r="F7491" s="33"/>
      <c r="G7491" s="33"/>
      <c r="H7491" s="33"/>
      <c r="I7491" s="33"/>
      <c r="J7491" s="33"/>
      <c r="K7491" s="33"/>
      <c r="L7491" s="33"/>
      <c r="M7491" s="33"/>
      <c r="N7491" s="33"/>
      <c r="O7491" s="33"/>
      <c r="P7491" s="33"/>
      <c r="Q7491" s="33"/>
      <c r="R7491" s="33"/>
      <c r="S7491" s="33"/>
      <c r="T7491" s="33"/>
      <c r="U7491" s="33"/>
      <c r="V7491" s="33"/>
      <c r="W7491" s="33"/>
      <c r="X7491" s="33"/>
      <c r="Y7491" s="33"/>
      <c r="Z7491" s="33"/>
      <c r="AA7491" s="33"/>
      <c r="AB7491" s="33"/>
      <c r="AC7491" s="33"/>
      <c r="AD7491" s="33"/>
      <c r="AE7491" s="33"/>
      <c r="AF7491" s="33"/>
      <c r="AG7491" s="33"/>
      <c r="AH7491" s="33"/>
      <c r="AI7491" s="33"/>
      <c r="AJ7491" s="33"/>
      <c r="AK7491" s="33"/>
    </row>
    <row r="7492">
      <c r="A7492" s="33"/>
      <c r="B7492" s="33"/>
      <c r="C7492" s="33"/>
      <c r="D7492" s="33"/>
      <c r="E7492" s="33"/>
      <c r="F7492" s="33"/>
      <c r="G7492" s="33"/>
      <c r="H7492" s="33"/>
      <c r="I7492" s="33"/>
      <c r="J7492" s="33"/>
      <c r="K7492" s="33"/>
      <c r="L7492" s="33"/>
      <c r="M7492" s="33"/>
      <c r="N7492" s="33"/>
      <c r="O7492" s="33"/>
      <c r="P7492" s="33"/>
      <c r="Q7492" s="33"/>
      <c r="R7492" s="33"/>
      <c r="S7492" s="33"/>
      <c r="T7492" s="33"/>
      <c r="U7492" s="33"/>
      <c r="V7492" s="33"/>
      <c r="W7492" s="33"/>
      <c r="X7492" s="33"/>
      <c r="Y7492" s="33"/>
      <c r="Z7492" s="33"/>
      <c r="AA7492" s="33"/>
      <c r="AB7492" s="33"/>
      <c r="AC7492" s="33"/>
      <c r="AD7492" s="33"/>
      <c r="AE7492" s="33"/>
      <c r="AF7492" s="33"/>
      <c r="AG7492" s="33"/>
      <c r="AH7492" s="33"/>
      <c r="AI7492" s="33"/>
      <c r="AJ7492" s="33"/>
      <c r="AK7492" s="33"/>
    </row>
    <row r="7493">
      <c r="A7493" s="33"/>
      <c r="B7493" s="33"/>
      <c r="C7493" s="33"/>
      <c r="D7493" s="33"/>
      <c r="E7493" s="33"/>
      <c r="F7493" s="33"/>
      <c r="G7493" s="33"/>
      <c r="H7493" s="33"/>
      <c r="I7493" s="33"/>
      <c r="J7493" s="33"/>
      <c r="K7493" s="33"/>
      <c r="L7493" s="33"/>
      <c r="M7493" s="33"/>
      <c r="N7493" s="33"/>
      <c r="O7493" s="33"/>
      <c r="P7493" s="33"/>
      <c r="Q7493" s="33"/>
      <c r="R7493" s="33"/>
      <c r="S7493" s="33"/>
      <c r="T7493" s="33"/>
      <c r="U7493" s="33"/>
      <c r="V7493" s="33"/>
      <c r="W7493" s="33"/>
      <c r="X7493" s="33"/>
      <c r="Y7493" s="33"/>
      <c r="Z7493" s="33"/>
      <c r="AA7493" s="33"/>
      <c r="AB7493" s="33"/>
      <c r="AC7493" s="33"/>
      <c r="AD7493" s="33"/>
      <c r="AE7493" s="33"/>
      <c r="AF7493" s="33"/>
      <c r="AG7493" s="33"/>
      <c r="AH7493" s="33"/>
      <c r="AI7493" s="33"/>
      <c r="AJ7493" s="33"/>
      <c r="AK7493" s="33"/>
    </row>
    <row r="7494">
      <c r="A7494" s="33"/>
      <c r="B7494" s="33"/>
      <c r="C7494" s="33"/>
      <c r="D7494" s="33"/>
      <c r="E7494" s="33"/>
      <c r="F7494" s="33"/>
      <c r="G7494" s="33"/>
      <c r="H7494" s="33"/>
      <c r="I7494" s="33"/>
      <c r="J7494" s="33"/>
      <c r="K7494" s="33"/>
      <c r="L7494" s="33"/>
      <c r="M7494" s="33"/>
      <c r="N7494" s="33"/>
      <c r="O7494" s="33"/>
      <c r="P7494" s="33"/>
      <c r="Q7494" s="33"/>
      <c r="R7494" s="33"/>
      <c r="S7494" s="33"/>
      <c r="T7494" s="33"/>
      <c r="U7494" s="33"/>
      <c r="V7494" s="33"/>
      <c r="W7494" s="33"/>
      <c r="X7494" s="33"/>
      <c r="Y7494" s="33"/>
      <c r="Z7494" s="33"/>
      <c r="AA7494" s="33"/>
      <c r="AB7494" s="33"/>
      <c r="AC7494" s="33"/>
      <c r="AD7494" s="33"/>
      <c r="AE7494" s="33"/>
      <c r="AF7494" s="33"/>
      <c r="AG7494" s="33"/>
      <c r="AH7494" s="33"/>
      <c r="AI7494" s="33"/>
      <c r="AJ7494" s="33"/>
      <c r="AK7494" s="33"/>
    </row>
    <row r="7495">
      <c r="A7495" s="33"/>
      <c r="B7495" s="33"/>
      <c r="C7495" s="33"/>
      <c r="D7495" s="33"/>
      <c r="E7495" s="33"/>
      <c r="F7495" s="33"/>
      <c r="G7495" s="33"/>
      <c r="H7495" s="33"/>
      <c r="I7495" s="33"/>
      <c r="J7495" s="33"/>
      <c r="K7495" s="33"/>
      <c r="L7495" s="33"/>
      <c r="M7495" s="33"/>
      <c r="N7495" s="33"/>
      <c r="O7495" s="33"/>
      <c r="P7495" s="33"/>
      <c r="Q7495" s="33"/>
      <c r="R7495" s="33"/>
      <c r="S7495" s="33"/>
      <c r="T7495" s="33"/>
      <c r="U7495" s="33"/>
      <c r="V7495" s="33"/>
      <c r="W7495" s="33"/>
      <c r="X7495" s="33"/>
      <c r="Y7495" s="33"/>
      <c r="Z7495" s="33"/>
      <c r="AA7495" s="33"/>
      <c r="AB7495" s="33"/>
      <c r="AC7495" s="33"/>
      <c r="AD7495" s="33"/>
      <c r="AE7495" s="33"/>
      <c r="AF7495" s="33"/>
      <c r="AG7495" s="33"/>
      <c r="AH7495" s="33"/>
      <c r="AI7495" s="33"/>
      <c r="AJ7495" s="33"/>
      <c r="AK7495" s="33"/>
    </row>
    <row r="7496">
      <c r="A7496" s="33"/>
      <c r="B7496" s="33"/>
      <c r="C7496" s="33"/>
      <c r="D7496" s="33"/>
      <c r="E7496" s="33"/>
      <c r="F7496" s="33"/>
      <c r="G7496" s="33"/>
      <c r="H7496" s="33"/>
      <c r="I7496" s="33"/>
      <c r="J7496" s="33"/>
      <c r="K7496" s="33"/>
      <c r="L7496" s="33"/>
      <c r="M7496" s="33"/>
      <c r="N7496" s="33"/>
      <c r="O7496" s="33"/>
      <c r="P7496" s="33"/>
      <c r="Q7496" s="33"/>
      <c r="R7496" s="33"/>
      <c r="S7496" s="33"/>
      <c r="T7496" s="33"/>
      <c r="U7496" s="33"/>
      <c r="V7496" s="33"/>
      <c r="W7496" s="33"/>
      <c r="X7496" s="33"/>
      <c r="Y7496" s="33"/>
      <c r="Z7496" s="33"/>
      <c r="AA7496" s="33"/>
      <c r="AB7496" s="33"/>
      <c r="AC7496" s="33"/>
      <c r="AD7496" s="33"/>
      <c r="AE7496" s="33"/>
      <c r="AF7496" s="33"/>
      <c r="AG7496" s="33"/>
      <c r="AH7496" s="33"/>
      <c r="AI7496" s="33"/>
      <c r="AJ7496" s="33"/>
      <c r="AK7496" s="33"/>
    </row>
    <row r="7497">
      <c r="A7497" s="33"/>
      <c r="B7497" s="33"/>
      <c r="C7497" s="33"/>
      <c r="D7497" s="33"/>
      <c r="E7497" s="33"/>
      <c r="F7497" s="33"/>
      <c r="G7497" s="33"/>
      <c r="H7497" s="33"/>
      <c r="I7497" s="33"/>
      <c r="J7497" s="33"/>
      <c r="K7497" s="33"/>
      <c r="L7497" s="33"/>
      <c r="M7497" s="33"/>
      <c r="N7497" s="33"/>
      <c r="O7497" s="33"/>
      <c r="P7497" s="33"/>
      <c r="Q7497" s="33"/>
      <c r="R7497" s="33"/>
      <c r="S7497" s="33"/>
      <c r="T7497" s="33"/>
      <c r="U7497" s="33"/>
      <c r="V7497" s="33"/>
      <c r="W7497" s="33"/>
      <c r="X7497" s="33"/>
      <c r="Y7497" s="33"/>
      <c r="Z7497" s="33"/>
      <c r="AA7497" s="33"/>
      <c r="AB7497" s="33"/>
      <c r="AC7497" s="33"/>
      <c r="AD7497" s="33"/>
      <c r="AE7497" s="33"/>
      <c r="AF7497" s="33"/>
      <c r="AG7497" s="33"/>
      <c r="AH7497" s="33"/>
      <c r="AI7497" s="33"/>
      <c r="AJ7497" s="33"/>
      <c r="AK7497" s="33"/>
    </row>
    <row r="7498">
      <c r="A7498" s="33"/>
      <c r="B7498" s="33"/>
      <c r="C7498" s="33"/>
      <c r="D7498" s="33"/>
      <c r="E7498" s="33"/>
      <c r="F7498" s="33"/>
      <c r="G7498" s="33"/>
      <c r="H7498" s="33"/>
      <c r="I7498" s="33"/>
      <c r="J7498" s="33"/>
      <c r="K7498" s="33"/>
      <c r="L7498" s="33"/>
      <c r="M7498" s="33"/>
      <c r="N7498" s="33"/>
      <c r="O7498" s="33"/>
      <c r="P7498" s="33"/>
      <c r="Q7498" s="33"/>
      <c r="R7498" s="33"/>
      <c r="S7498" s="33"/>
      <c r="T7498" s="33"/>
      <c r="U7498" s="33"/>
      <c r="V7498" s="33"/>
      <c r="W7498" s="33"/>
      <c r="X7498" s="33"/>
      <c r="Y7498" s="33"/>
      <c r="Z7498" s="33"/>
      <c r="AA7498" s="33"/>
      <c r="AB7498" s="33"/>
      <c r="AC7498" s="33"/>
      <c r="AD7498" s="33"/>
      <c r="AE7498" s="33"/>
      <c r="AF7498" s="33"/>
      <c r="AG7498" s="33"/>
      <c r="AH7498" s="33"/>
      <c r="AI7498" s="33"/>
      <c r="AJ7498" s="33"/>
      <c r="AK7498" s="33"/>
    </row>
    <row r="7499">
      <c r="A7499" s="33"/>
      <c r="B7499" s="33"/>
      <c r="C7499" s="33"/>
      <c r="D7499" s="33"/>
      <c r="E7499" s="33"/>
      <c r="F7499" s="33"/>
      <c r="G7499" s="33"/>
      <c r="H7499" s="33"/>
      <c r="I7499" s="33"/>
      <c r="J7499" s="33"/>
      <c r="K7499" s="33"/>
      <c r="L7499" s="33"/>
      <c r="M7499" s="33"/>
      <c r="N7499" s="33"/>
      <c r="O7499" s="33"/>
      <c r="P7499" s="33"/>
      <c r="Q7499" s="33"/>
      <c r="R7499" s="33"/>
      <c r="S7499" s="33"/>
      <c r="T7499" s="33"/>
      <c r="U7499" s="33"/>
      <c r="V7499" s="33"/>
      <c r="W7499" s="33"/>
      <c r="X7499" s="33"/>
      <c r="Y7499" s="33"/>
      <c r="Z7499" s="33"/>
      <c r="AA7499" s="33"/>
      <c r="AB7499" s="33"/>
      <c r="AC7499" s="33"/>
      <c r="AD7499" s="33"/>
      <c r="AE7499" s="33"/>
      <c r="AF7499" s="33"/>
      <c r="AG7499" s="33"/>
      <c r="AH7499" s="33"/>
      <c r="AI7499" s="33"/>
      <c r="AJ7499" s="33"/>
      <c r="AK7499" s="33"/>
    </row>
    <row r="7500">
      <c r="A7500" s="33"/>
      <c r="B7500" s="33"/>
      <c r="C7500" s="33"/>
      <c r="D7500" s="33"/>
      <c r="E7500" s="33"/>
      <c r="F7500" s="33"/>
      <c r="G7500" s="33"/>
      <c r="H7500" s="33"/>
      <c r="I7500" s="33"/>
      <c r="J7500" s="33"/>
      <c r="K7500" s="33"/>
      <c r="L7500" s="33"/>
      <c r="M7500" s="33"/>
      <c r="N7500" s="33"/>
      <c r="O7500" s="33"/>
      <c r="P7500" s="33"/>
      <c r="Q7500" s="33"/>
      <c r="R7500" s="33"/>
      <c r="S7500" s="33"/>
      <c r="T7500" s="33"/>
      <c r="U7500" s="33"/>
      <c r="V7500" s="33"/>
      <c r="W7500" s="33"/>
      <c r="X7500" s="33"/>
      <c r="Y7500" s="33"/>
      <c r="Z7500" s="33"/>
      <c r="AA7500" s="33"/>
      <c r="AB7500" s="33"/>
      <c r="AC7500" s="33"/>
      <c r="AD7500" s="33"/>
      <c r="AE7500" s="33"/>
      <c r="AF7500" s="33"/>
      <c r="AG7500" s="33"/>
      <c r="AH7500" s="33"/>
      <c r="AI7500" s="33"/>
      <c r="AJ7500" s="33"/>
      <c r="AK7500" s="33"/>
    </row>
    <row r="7501">
      <c r="A7501" s="33"/>
      <c r="B7501" s="33"/>
      <c r="C7501" s="33"/>
      <c r="D7501" s="33"/>
      <c r="E7501" s="33"/>
      <c r="F7501" s="33"/>
      <c r="G7501" s="33"/>
      <c r="H7501" s="33"/>
      <c r="I7501" s="33"/>
      <c r="J7501" s="33"/>
      <c r="K7501" s="33"/>
      <c r="L7501" s="33"/>
      <c r="M7501" s="33"/>
      <c r="N7501" s="33"/>
      <c r="O7501" s="33"/>
      <c r="P7501" s="33"/>
      <c r="Q7501" s="33"/>
      <c r="R7501" s="33"/>
      <c r="S7501" s="33"/>
      <c r="T7501" s="33"/>
      <c r="U7501" s="33"/>
      <c r="V7501" s="33"/>
      <c r="W7501" s="33"/>
      <c r="X7501" s="33"/>
      <c r="Y7501" s="33"/>
      <c r="Z7501" s="33"/>
      <c r="AA7501" s="33"/>
      <c r="AB7501" s="33"/>
      <c r="AC7501" s="33"/>
      <c r="AD7501" s="33"/>
      <c r="AE7501" s="33"/>
      <c r="AF7501" s="33"/>
      <c r="AG7501" s="33"/>
      <c r="AH7501" s="33"/>
      <c r="AI7501" s="33"/>
      <c r="AJ7501" s="33"/>
      <c r="AK7501" s="33"/>
    </row>
    <row r="7502">
      <c r="A7502" s="33"/>
      <c r="B7502" s="33"/>
      <c r="C7502" s="33"/>
      <c r="D7502" s="33"/>
      <c r="E7502" s="33"/>
      <c r="F7502" s="33"/>
      <c r="G7502" s="33"/>
      <c r="H7502" s="33"/>
      <c r="I7502" s="33"/>
      <c r="J7502" s="33"/>
      <c r="K7502" s="33"/>
      <c r="L7502" s="33"/>
      <c r="M7502" s="33"/>
      <c r="N7502" s="33"/>
      <c r="O7502" s="33"/>
      <c r="P7502" s="33"/>
      <c r="Q7502" s="33"/>
      <c r="R7502" s="33"/>
      <c r="S7502" s="33"/>
      <c r="T7502" s="33"/>
      <c r="U7502" s="33"/>
      <c r="V7502" s="33"/>
      <c r="W7502" s="33"/>
      <c r="X7502" s="33"/>
      <c r="Y7502" s="33"/>
      <c r="Z7502" s="33"/>
      <c r="AA7502" s="33"/>
      <c r="AB7502" s="33"/>
      <c r="AC7502" s="33"/>
      <c r="AD7502" s="33"/>
      <c r="AE7502" s="33"/>
      <c r="AF7502" s="33"/>
      <c r="AG7502" s="33"/>
      <c r="AH7502" s="33"/>
      <c r="AI7502" s="33"/>
      <c r="AJ7502" s="33"/>
      <c r="AK7502" s="33"/>
    </row>
    <row r="7503">
      <c r="A7503" s="33"/>
      <c r="B7503" s="33"/>
      <c r="C7503" s="33"/>
      <c r="D7503" s="33"/>
      <c r="E7503" s="33"/>
      <c r="F7503" s="33"/>
      <c r="G7503" s="33"/>
      <c r="H7503" s="33"/>
      <c r="I7503" s="33"/>
      <c r="J7503" s="33"/>
      <c r="K7503" s="33"/>
      <c r="L7503" s="33"/>
      <c r="M7503" s="33"/>
      <c r="N7503" s="33"/>
      <c r="O7503" s="33"/>
      <c r="P7503" s="33"/>
      <c r="Q7503" s="33"/>
      <c r="R7503" s="33"/>
      <c r="S7503" s="33"/>
      <c r="T7503" s="33"/>
      <c r="U7503" s="33"/>
      <c r="V7503" s="33"/>
      <c r="W7503" s="33"/>
      <c r="X7503" s="33"/>
      <c r="Y7503" s="33"/>
      <c r="Z7503" s="33"/>
      <c r="AA7503" s="33"/>
      <c r="AB7503" s="33"/>
      <c r="AC7503" s="33"/>
      <c r="AD7503" s="33"/>
      <c r="AE7503" s="33"/>
      <c r="AF7503" s="33"/>
      <c r="AG7503" s="33"/>
      <c r="AH7503" s="33"/>
      <c r="AI7503" s="33"/>
      <c r="AJ7503" s="33"/>
      <c r="AK7503" s="33"/>
    </row>
    <row r="7504">
      <c r="A7504" s="33"/>
      <c r="B7504" s="33"/>
      <c r="C7504" s="33"/>
      <c r="D7504" s="33"/>
      <c r="E7504" s="33"/>
      <c r="F7504" s="33"/>
      <c r="G7504" s="33"/>
      <c r="H7504" s="33"/>
      <c r="I7504" s="33"/>
      <c r="J7504" s="33"/>
      <c r="K7504" s="33"/>
      <c r="L7504" s="33"/>
      <c r="M7504" s="33"/>
      <c r="N7504" s="33"/>
      <c r="O7504" s="33"/>
      <c r="P7504" s="33"/>
      <c r="Q7504" s="33"/>
      <c r="R7504" s="33"/>
      <c r="S7504" s="33"/>
      <c r="T7504" s="33"/>
      <c r="U7504" s="33"/>
      <c r="V7504" s="33"/>
      <c r="W7504" s="33"/>
      <c r="X7504" s="33"/>
      <c r="Y7504" s="33"/>
      <c r="Z7504" s="33"/>
      <c r="AA7504" s="33"/>
      <c r="AB7504" s="33"/>
      <c r="AC7504" s="33"/>
      <c r="AD7504" s="33"/>
      <c r="AE7504" s="33"/>
      <c r="AF7504" s="33"/>
      <c r="AG7504" s="33"/>
      <c r="AH7504" s="33"/>
      <c r="AI7504" s="33"/>
      <c r="AJ7504" s="33"/>
      <c r="AK7504" s="33"/>
    </row>
    <row r="7505">
      <c r="A7505" s="33"/>
      <c r="B7505" s="33"/>
      <c r="C7505" s="33"/>
      <c r="D7505" s="33"/>
      <c r="E7505" s="33"/>
      <c r="F7505" s="33"/>
      <c r="G7505" s="33"/>
      <c r="H7505" s="33"/>
      <c r="I7505" s="33"/>
      <c r="J7505" s="33"/>
      <c r="K7505" s="33"/>
      <c r="L7505" s="33"/>
      <c r="M7505" s="33"/>
      <c r="N7505" s="33"/>
      <c r="O7505" s="33"/>
      <c r="P7505" s="33"/>
      <c r="Q7505" s="33"/>
      <c r="R7505" s="33"/>
      <c r="S7505" s="33"/>
      <c r="T7505" s="33"/>
      <c r="U7505" s="33"/>
      <c r="V7505" s="33"/>
      <c r="W7505" s="33"/>
      <c r="X7505" s="33"/>
      <c r="Y7505" s="33"/>
      <c r="Z7505" s="33"/>
      <c r="AA7505" s="33"/>
      <c r="AB7505" s="33"/>
      <c r="AC7505" s="33"/>
      <c r="AD7505" s="33"/>
      <c r="AE7505" s="33"/>
      <c r="AF7505" s="33"/>
      <c r="AG7505" s="33"/>
      <c r="AH7505" s="33"/>
      <c r="AI7505" s="33"/>
      <c r="AJ7505" s="33"/>
      <c r="AK7505" s="33"/>
    </row>
    <row r="7506">
      <c r="A7506" s="33"/>
      <c r="B7506" s="33"/>
      <c r="C7506" s="33"/>
      <c r="D7506" s="33"/>
      <c r="E7506" s="33"/>
      <c r="F7506" s="33"/>
      <c r="G7506" s="33"/>
      <c r="H7506" s="33"/>
      <c r="I7506" s="33"/>
      <c r="J7506" s="33"/>
      <c r="K7506" s="33"/>
      <c r="L7506" s="33"/>
      <c r="M7506" s="33"/>
      <c r="N7506" s="33"/>
      <c r="O7506" s="33"/>
      <c r="P7506" s="33"/>
      <c r="Q7506" s="33"/>
      <c r="R7506" s="33"/>
      <c r="S7506" s="33"/>
      <c r="T7506" s="33"/>
      <c r="U7506" s="33"/>
      <c r="V7506" s="33"/>
      <c r="W7506" s="33"/>
      <c r="X7506" s="33"/>
      <c r="Y7506" s="33"/>
      <c r="Z7506" s="33"/>
      <c r="AA7506" s="33"/>
      <c r="AB7506" s="33"/>
      <c r="AC7506" s="33"/>
      <c r="AD7506" s="33"/>
      <c r="AE7506" s="33"/>
      <c r="AF7506" s="33"/>
      <c r="AG7506" s="33"/>
      <c r="AH7506" s="33"/>
      <c r="AI7506" s="33"/>
      <c r="AJ7506" s="33"/>
      <c r="AK7506" s="33"/>
    </row>
    <row r="7507">
      <c r="A7507" s="33"/>
      <c r="B7507" s="33"/>
      <c r="C7507" s="33"/>
      <c r="D7507" s="33"/>
      <c r="E7507" s="33"/>
      <c r="F7507" s="33"/>
      <c r="G7507" s="33"/>
      <c r="H7507" s="33"/>
      <c r="I7507" s="33"/>
      <c r="J7507" s="33"/>
      <c r="K7507" s="33"/>
      <c r="L7507" s="33"/>
      <c r="M7507" s="33"/>
      <c r="N7507" s="33"/>
      <c r="O7507" s="33"/>
      <c r="P7507" s="33"/>
      <c r="Q7507" s="33"/>
      <c r="R7507" s="33"/>
      <c r="S7507" s="33"/>
      <c r="T7507" s="33"/>
      <c r="U7507" s="33"/>
      <c r="V7507" s="33"/>
      <c r="W7507" s="33"/>
      <c r="X7507" s="33"/>
      <c r="Y7507" s="33"/>
      <c r="Z7507" s="33"/>
      <c r="AA7507" s="33"/>
      <c r="AB7507" s="33"/>
      <c r="AC7507" s="33"/>
      <c r="AD7507" s="33"/>
      <c r="AE7507" s="33"/>
      <c r="AF7507" s="33"/>
      <c r="AG7507" s="33"/>
      <c r="AH7507" s="33"/>
      <c r="AI7507" s="33"/>
      <c r="AJ7507" s="33"/>
      <c r="AK7507" s="33"/>
    </row>
    <row r="7508">
      <c r="A7508" s="33"/>
      <c r="B7508" s="33"/>
      <c r="C7508" s="33"/>
      <c r="D7508" s="33"/>
      <c r="E7508" s="33"/>
      <c r="F7508" s="33"/>
      <c r="G7508" s="33"/>
      <c r="H7508" s="33"/>
      <c r="I7508" s="33"/>
      <c r="J7508" s="33"/>
      <c r="K7508" s="33"/>
      <c r="L7508" s="33"/>
      <c r="M7508" s="33"/>
      <c r="N7508" s="33"/>
      <c r="O7508" s="33"/>
      <c r="P7508" s="33"/>
      <c r="Q7508" s="33"/>
      <c r="R7508" s="33"/>
      <c r="S7508" s="33"/>
      <c r="T7508" s="33"/>
      <c r="U7508" s="33"/>
      <c r="V7508" s="33"/>
      <c r="W7508" s="33"/>
      <c r="X7508" s="33"/>
      <c r="Y7508" s="33"/>
      <c r="Z7508" s="33"/>
      <c r="AA7508" s="33"/>
      <c r="AB7508" s="33"/>
      <c r="AC7508" s="33"/>
      <c r="AD7508" s="33"/>
      <c r="AE7508" s="33"/>
      <c r="AF7508" s="33"/>
      <c r="AG7508" s="33"/>
      <c r="AH7508" s="33"/>
      <c r="AI7508" s="33"/>
      <c r="AJ7508" s="33"/>
      <c r="AK7508" s="33"/>
    </row>
    <row r="7509">
      <c r="A7509" s="33"/>
      <c r="B7509" s="33"/>
      <c r="C7509" s="33"/>
      <c r="D7509" s="33"/>
      <c r="E7509" s="33"/>
      <c r="F7509" s="33"/>
      <c r="G7509" s="33"/>
      <c r="H7509" s="33"/>
      <c r="I7509" s="33"/>
      <c r="J7509" s="33"/>
      <c r="K7509" s="33"/>
      <c r="L7509" s="33"/>
      <c r="M7509" s="33"/>
      <c r="N7509" s="33"/>
      <c r="O7509" s="33"/>
      <c r="P7509" s="33"/>
      <c r="Q7509" s="33"/>
      <c r="R7509" s="33"/>
      <c r="S7509" s="33"/>
      <c r="T7509" s="33"/>
      <c r="U7509" s="33"/>
      <c r="V7509" s="33"/>
      <c r="W7509" s="33"/>
      <c r="X7509" s="33"/>
      <c r="Y7509" s="33"/>
      <c r="Z7509" s="33"/>
      <c r="AA7509" s="33"/>
      <c r="AB7509" s="33"/>
      <c r="AC7509" s="33"/>
      <c r="AD7509" s="33"/>
      <c r="AE7509" s="33"/>
      <c r="AF7509" s="33"/>
      <c r="AG7509" s="33"/>
      <c r="AH7509" s="33"/>
      <c r="AI7509" s="33"/>
      <c r="AJ7509" s="33"/>
      <c r="AK7509" s="33"/>
    </row>
    <row r="7510">
      <c r="A7510" s="33"/>
      <c r="B7510" s="33"/>
      <c r="C7510" s="33"/>
      <c r="D7510" s="33"/>
      <c r="E7510" s="33"/>
      <c r="F7510" s="33"/>
      <c r="G7510" s="33"/>
      <c r="H7510" s="33"/>
      <c r="I7510" s="33"/>
      <c r="J7510" s="33"/>
      <c r="K7510" s="33"/>
      <c r="L7510" s="33"/>
      <c r="M7510" s="33"/>
      <c r="N7510" s="33"/>
      <c r="O7510" s="33"/>
      <c r="P7510" s="33"/>
      <c r="Q7510" s="33"/>
      <c r="R7510" s="33"/>
      <c r="S7510" s="33"/>
      <c r="T7510" s="33"/>
      <c r="U7510" s="33"/>
      <c r="V7510" s="33"/>
      <c r="W7510" s="33"/>
      <c r="X7510" s="33"/>
      <c r="Y7510" s="33"/>
      <c r="Z7510" s="33"/>
      <c r="AA7510" s="33"/>
      <c r="AB7510" s="33"/>
      <c r="AC7510" s="33"/>
      <c r="AD7510" s="33"/>
      <c r="AE7510" s="33"/>
      <c r="AF7510" s="33"/>
      <c r="AG7510" s="33"/>
      <c r="AH7510" s="33"/>
      <c r="AI7510" s="33"/>
      <c r="AJ7510" s="33"/>
      <c r="AK7510" s="33"/>
    </row>
    <row r="7511">
      <c r="A7511" s="33"/>
      <c r="B7511" s="33"/>
      <c r="C7511" s="33"/>
      <c r="D7511" s="33"/>
      <c r="E7511" s="33"/>
      <c r="F7511" s="33"/>
      <c r="G7511" s="33"/>
      <c r="H7511" s="33"/>
      <c r="I7511" s="33"/>
      <c r="J7511" s="33"/>
      <c r="K7511" s="33"/>
      <c r="L7511" s="33"/>
      <c r="M7511" s="33"/>
      <c r="N7511" s="33"/>
      <c r="O7511" s="33"/>
      <c r="P7511" s="33"/>
      <c r="Q7511" s="33"/>
      <c r="R7511" s="33"/>
      <c r="S7511" s="33"/>
      <c r="T7511" s="33"/>
      <c r="U7511" s="33"/>
      <c r="V7511" s="33"/>
      <c r="W7511" s="33"/>
      <c r="X7511" s="33"/>
      <c r="Y7511" s="33"/>
      <c r="Z7511" s="33"/>
      <c r="AA7511" s="33"/>
      <c r="AB7511" s="33"/>
      <c r="AC7511" s="33"/>
      <c r="AD7511" s="33"/>
      <c r="AE7511" s="33"/>
      <c r="AF7511" s="33"/>
      <c r="AG7511" s="33"/>
      <c r="AH7511" s="33"/>
      <c r="AI7511" s="33"/>
      <c r="AJ7511" s="33"/>
      <c r="AK7511" s="33"/>
    </row>
    <row r="7512">
      <c r="A7512" s="33"/>
      <c r="B7512" s="33"/>
      <c r="C7512" s="33"/>
      <c r="D7512" s="33"/>
      <c r="E7512" s="33"/>
      <c r="F7512" s="33"/>
      <c r="G7512" s="33"/>
      <c r="H7512" s="33"/>
      <c r="I7512" s="33"/>
      <c r="J7512" s="33"/>
      <c r="K7512" s="33"/>
      <c r="L7512" s="33"/>
      <c r="M7512" s="33"/>
      <c r="N7512" s="33"/>
      <c r="O7512" s="33"/>
      <c r="P7512" s="33"/>
      <c r="Q7512" s="33"/>
      <c r="R7512" s="33"/>
      <c r="S7512" s="33"/>
      <c r="T7512" s="33"/>
      <c r="U7512" s="33"/>
      <c r="V7512" s="33"/>
      <c r="W7512" s="33"/>
      <c r="X7512" s="33"/>
      <c r="Y7512" s="33"/>
      <c r="Z7512" s="33"/>
      <c r="AA7512" s="33"/>
      <c r="AB7512" s="33"/>
      <c r="AC7512" s="33"/>
      <c r="AD7512" s="33"/>
      <c r="AE7512" s="33"/>
      <c r="AF7512" s="33"/>
      <c r="AG7512" s="33"/>
      <c r="AH7512" s="33"/>
      <c r="AI7512" s="33"/>
      <c r="AJ7512" s="33"/>
      <c r="AK7512" s="33"/>
    </row>
    <row r="7513">
      <c r="A7513" s="33"/>
      <c r="B7513" s="33"/>
      <c r="C7513" s="33"/>
      <c r="D7513" s="33"/>
      <c r="E7513" s="33"/>
      <c r="F7513" s="33"/>
      <c r="G7513" s="33"/>
      <c r="H7513" s="33"/>
      <c r="I7513" s="33"/>
      <c r="J7513" s="33"/>
      <c r="K7513" s="33"/>
      <c r="L7513" s="33"/>
      <c r="M7513" s="33"/>
      <c r="N7513" s="33"/>
      <c r="O7513" s="33"/>
      <c r="P7513" s="33"/>
      <c r="Q7513" s="33"/>
      <c r="R7513" s="33"/>
      <c r="S7513" s="33"/>
      <c r="T7513" s="33"/>
      <c r="U7513" s="33"/>
      <c r="V7513" s="33"/>
      <c r="W7513" s="33"/>
      <c r="X7513" s="33"/>
      <c r="Y7513" s="33"/>
      <c r="Z7513" s="33"/>
      <c r="AA7513" s="33"/>
      <c r="AB7513" s="33"/>
      <c r="AC7513" s="33"/>
      <c r="AD7513" s="33"/>
      <c r="AE7513" s="33"/>
      <c r="AF7513" s="33"/>
      <c r="AG7513" s="33"/>
      <c r="AH7513" s="33"/>
      <c r="AI7513" s="33"/>
      <c r="AJ7513" s="33"/>
      <c r="AK7513" s="33"/>
    </row>
    <row r="7514">
      <c r="A7514" s="33"/>
      <c r="B7514" s="33"/>
      <c r="C7514" s="33"/>
      <c r="D7514" s="33"/>
      <c r="E7514" s="33"/>
      <c r="F7514" s="33"/>
      <c r="G7514" s="33"/>
      <c r="H7514" s="33"/>
      <c r="I7514" s="33"/>
      <c r="J7514" s="33"/>
      <c r="K7514" s="33"/>
      <c r="L7514" s="33"/>
      <c r="M7514" s="33"/>
      <c r="N7514" s="33"/>
      <c r="O7514" s="33"/>
      <c r="P7514" s="33"/>
      <c r="Q7514" s="33"/>
      <c r="R7514" s="33"/>
      <c r="S7514" s="33"/>
      <c r="T7514" s="33"/>
      <c r="U7514" s="33"/>
      <c r="V7514" s="33"/>
      <c r="W7514" s="33"/>
      <c r="X7514" s="33"/>
      <c r="Y7514" s="33"/>
      <c r="Z7514" s="33"/>
      <c r="AA7514" s="33"/>
      <c r="AB7514" s="33"/>
      <c r="AC7514" s="33"/>
      <c r="AD7514" s="33"/>
      <c r="AE7514" s="33"/>
      <c r="AF7514" s="33"/>
      <c r="AG7514" s="33"/>
      <c r="AH7514" s="33"/>
      <c r="AI7514" s="33"/>
      <c r="AJ7514" s="33"/>
      <c r="AK7514" s="33"/>
    </row>
    <row r="7515">
      <c r="A7515" s="33"/>
      <c r="B7515" s="33"/>
      <c r="C7515" s="33"/>
      <c r="D7515" s="33"/>
      <c r="E7515" s="33"/>
      <c r="F7515" s="33"/>
      <c r="G7515" s="33"/>
      <c r="H7515" s="33"/>
      <c r="I7515" s="33"/>
      <c r="J7515" s="33"/>
      <c r="K7515" s="33"/>
      <c r="L7515" s="33"/>
      <c r="M7515" s="33"/>
      <c r="N7515" s="33"/>
      <c r="O7515" s="33"/>
      <c r="P7515" s="33"/>
      <c r="Q7515" s="33"/>
      <c r="R7515" s="33"/>
      <c r="S7515" s="33"/>
      <c r="T7515" s="33"/>
      <c r="U7515" s="33"/>
      <c r="V7515" s="33"/>
      <c r="W7515" s="33"/>
      <c r="X7515" s="33"/>
      <c r="Y7515" s="33"/>
      <c r="Z7515" s="33"/>
      <c r="AA7515" s="33"/>
      <c r="AB7515" s="33"/>
      <c r="AC7515" s="33"/>
      <c r="AD7515" s="33"/>
      <c r="AE7515" s="33"/>
      <c r="AF7515" s="33"/>
      <c r="AG7515" s="33"/>
      <c r="AH7515" s="33"/>
      <c r="AI7515" s="33"/>
      <c r="AJ7515" s="33"/>
      <c r="AK7515" s="33"/>
    </row>
    <row r="7516">
      <c r="A7516" s="33"/>
      <c r="B7516" s="33"/>
      <c r="C7516" s="33"/>
      <c r="D7516" s="33"/>
      <c r="E7516" s="33"/>
      <c r="F7516" s="33"/>
      <c r="G7516" s="33"/>
      <c r="H7516" s="33"/>
      <c r="I7516" s="33"/>
      <c r="J7516" s="33"/>
      <c r="K7516" s="33"/>
      <c r="L7516" s="33"/>
      <c r="M7516" s="33"/>
      <c r="N7516" s="33"/>
      <c r="O7516" s="33"/>
      <c r="P7516" s="33"/>
      <c r="Q7516" s="33"/>
      <c r="R7516" s="33"/>
      <c r="S7516" s="33"/>
      <c r="T7516" s="33"/>
      <c r="U7516" s="33"/>
      <c r="V7516" s="33"/>
      <c r="W7516" s="33"/>
      <c r="X7516" s="33"/>
      <c r="Y7516" s="33"/>
      <c r="Z7516" s="33"/>
      <c r="AA7516" s="33"/>
      <c r="AB7516" s="33"/>
      <c r="AC7516" s="33"/>
      <c r="AD7516" s="33"/>
      <c r="AE7516" s="33"/>
      <c r="AF7516" s="33"/>
      <c r="AG7516" s="33"/>
      <c r="AH7516" s="33"/>
      <c r="AI7516" s="33"/>
      <c r="AJ7516" s="33"/>
      <c r="AK7516" s="33"/>
    </row>
    <row r="7517">
      <c r="A7517" s="33"/>
      <c r="B7517" s="33"/>
      <c r="C7517" s="33"/>
      <c r="D7517" s="33"/>
      <c r="E7517" s="33"/>
      <c r="F7517" s="33"/>
      <c r="G7517" s="33"/>
      <c r="H7517" s="33"/>
      <c r="I7517" s="33"/>
      <c r="J7517" s="33"/>
      <c r="K7517" s="33"/>
      <c r="L7517" s="33"/>
      <c r="M7517" s="33"/>
      <c r="N7517" s="33"/>
      <c r="O7517" s="33"/>
      <c r="P7517" s="33"/>
      <c r="Q7517" s="33"/>
      <c r="R7517" s="33"/>
      <c r="S7517" s="33"/>
      <c r="T7517" s="33"/>
      <c r="U7517" s="33"/>
      <c r="V7517" s="33"/>
      <c r="W7517" s="33"/>
      <c r="X7517" s="33"/>
      <c r="Y7517" s="33"/>
      <c r="Z7517" s="33"/>
      <c r="AA7517" s="33"/>
      <c r="AB7517" s="33"/>
      <c r="AC7517" s="33"/>
      <c r="AD7517" s="33"/>
      <c r="AE7517" s="33"/>
      <c r="AF7517" s="33"/>
      <c r="AG7517" s="33"/>
      <c r="AH7517" s="33"/>
      <c r="AI7517" s="33"/>
      <c r="AJ7517" s="33"/>
      <c r="AK7517" s="33"/>
    </row>
    <row r="7518">
      <c r="A7518" s="33"/>
      <c r="B7518" s="33"/>
      <c r="C7518" s="33"/>
      <c r="D7518" s="33"/>
      <c r="E7518" s="33"/>
      <c r="F7518" s="33"/>
      <c r="G7518" s="33"/>
      <c r="H7518" s="33"/>
      <c r="I7518" s="33"/>
      <c r="J7518" s="33"/>
      <c r="K7518" s="33"/>
      <c r="L7518" s="33"/>
      <c r="M7518" s="33"/>
      <c r="N7518" s="33"/>
      <c r="O7518" s="33"/>
      <c r="P7518" s="33"/>
      <c r="Q7518" s="33"/>
      <c r="R7518" s="33"/>
      <c r="S7518" s="33"/>
      <c r="T7518" s="33"/>
      <c r="U7518" s="33"/>
      <c r="V7518" s="33"/>
      <c r="W7518" s="33"/>
      <c r="X7518" s="33"/>
      <c r="Y7518" s="33"/>
      <c r="Z7518" s="33"/>
      <c r="AA7518" s="33"/>
      <c r="AB7518" s="33"/>
      <c r="AC7518" s="33"/>
      <c r="AD7518" s="33"/>
      <c r="AE7518" s="33"/>
      <c r="AF7518" s="33"/>
      <c r="AG7518" s="33"/>
      <c r="AH7518" s="33"/>
      <c r="AI7518" s="33"/>
      <c r="AJ7518" s="33"/>
      <c r="AK7518" s="33"/>
    </row>
    <row r="7519">
      <c r="A7519" s="33"/>
      <c r="B7519" s="33"/>
      <c r="C7519" s="33"/>
      <c r="D7519" s="33"/>
      <c r="E7519" s="33"/>
      <c r="F7519" s="33"/>
      <c r="G7519" s="33"/>
      <c r="H7519" s="33"/>
      <c r="I7519" s="33"/>
      <c r="J7519" s="33"/>
      <c r="K7519" s="33"/>
      <c r="L7519" s="33"/>
      <c r="M7519" s="33"/>
      <c r="N7519" s="33"/>
      <c r="O7519" s="33"/>
      <c r="P7519" s="33"/>
      <c r="Q7519" s="33"/>
      <c r="R7519" s="33"/>
      <c r="S7519" s="33"/>
      <c r="T7519" s="33"/>
      <c r="U7519" s="33"/>
      <c r="V7519" s="33"/>
      <c r="W7519" s="33"/>
      <c r="X7519" s="33"/>
      <c r="Y7519" s="33"/>
      <c r="Z7519" s="33"/>
      <c r="AA7519" s="33"/>
      <c r="AB7519" s="33"/>
      <c r="AC7519" s="33"/>
      <c r="AD7519" s="33"/>
      <c r="AE7519" s="33"/>
      <c r="AF7519" s="33"/>
      <c r="AG7519" s="33"/>
      <c r="AH7519" s="33"/>
      <c r="AI7519" s="33"/>
      <c r="AJ7519" s="33"/>
      <c r="AK7519" s="33"/>
    </row>
    <row r="7520">
      <c r="A7520" s="33"/>
      <c r="B7520" s="33"/>
      <c r="C7520" s="33"/>
      <c r="D7520" s="33"/>
      <c r="E7520" s="33"/>
      <c r="F7520" s="33"/>
      <c r="G7520" s="33"/>
      <c r="H7520" s="33"/>
      <c r="I7520" s="33"/>
      <c r="J7520" s="33"/>
      <c r="K7520" s="33"/>
      <c r="L7520" s="33"/>
      <c r="M7520" s="33"/>
      <c r="N7520" s="33"/>
      <c r="O7520" s="33"/>
      <c r="P7520" s="33"/>
      <c r="Q7520" s="33"/>
      <c r="R7520" s="33"/>
      <c r="S7520" s="33"/>
      <c r="T7520" s="33"/>
      <c r="U7520" s="33"/>
      <c r="V7520" s="33"/>
      <c r="W7520" s="33"/>
      <c r="X7520" s="33"/>
      <c r="Y7520" s="33"/>
      <c r="Z7520" s="33"/>
      <c r="AA7520" s="33"/>
      <c r="AB7520" s="33"/>
      <c r="AC7520" s="33"/>
      <c r="AD7520" s="33"/>
      <c r="AE7520" s="33"/>
      <c r="AF7520" s="33"/>
      <c r="AG7520" s="33"/>
      <c r="AH7520" s="33"/>
      <c r="AI7520" s="33"/>
      <c r="AJ7520" s="33"/>
      <c r="AK7520" s="33"/>
    </row>
    <row r="7521">
      <c r="A7521" s="33"/>
      <c r="B7521" s="33"/>
      <c r="C7521" s="33"/>
      <c r="D7521" s="33"/>
      <c r="E7521" s="33"/>
      <c r="F7521" s="33"/>
      <c r="G7521" s="33"/>
      <c r="H7521" s="33"/>
      <c r="I7521" s="33"/>
      <c r="J7521" s="33"/>
      <c r="K7521" s="33"/>
      <c r="L7521" s="33"/>
      <c r="M7521" s="33"/>
      <c r="N7521" s="33"/>
      <c r="O7521" s="33"/>
      <c r="P7521" s="33"/>
      <c r="Q7521" s="33"/>
      <c r="R7521" s="33"/>
      <c r="S7521" s="33"/>
      <c r="T7521" s="33"/>
      <c r="U7521" s="33"/>
      <c r="V7521" s="33"/>
      <c r="W7521" s="33"/>
      <c r="X7521" s="33"/>
      <c r="Y7521" s="33"/>
      <c r="Z7521" s="33"/>
      <c r="AA7521" s="33"/>
      <c r="AB7521" s="33"/>
      <c r="AC7521" s="33"/>
      <c r="AD7521" s="33"/>
      <c r="AE7521" s="33"/>
      <c r="AF7521" s="33"/>
      <c r="AG7521" s="33"/>
      <c r="AH7521" s="33"/>
      <c r="AI7521" s="33"/>
      <c r="AJ7521" s="33"/>
      <c r="AK7521" s="33"/>
    </row>
    <row r="7522">
      <c r="A7522" s="33"/>
      <c r="B7522" s="33"/>
      <c r="C7522" s="33"/>
      <c r="D7522" s="33"/>
      <c r="E7522" s="33"/>
      <c r="F7522" s="33"/>
      <c r="G7522" s="33"/>
      <c r="H7522" s="33"/>
      <c r="I7522" s="33"/>
      <c r="J7522" s="33"/>
      <c r="K7522" s="33"/>
      <c r="L7522" s="33"/>
      <c r="M7522" s="33"/>
      <c r="N7522" s="33"/>
      <c r="O7522" s="33"/>
      <c r="P7522" s="33"/>
      <c r="Q7522" s="33"/>
      <c r="R7522" s="33"/>
      <c r="S7522" s="33"/>
      <c r="T7522" s="33"/>
      <c r="U7522" s="33"/>
      <c r="V7522" s="33"/>
      <c r="W7522" s="33"/>
      <c r="X7522" s="33"/>
      <c r="Y7522" s="33"/>
      <c r="Z7522" s="33"/>
      <c r="AA7522" s="33"/>
      <c r="AB7522" s="33"/>
      <c r="AC7522" s="33"/>
      <c r="AD7522" s="33"/>
      <c r="AE7522" s="33"/>
      <c r="AF7522" s="33"/>
      <c r="AG7522" s="33"/>
      <c r="AH7522" s="33"/>
      <c r="AI7522" s="33"/>
      <c r="AJ7522" s="33"/>
      <c r="AK7522" s="33"/>
    </row>
    <row r="7523">
      <c r="A7523" s="33"/>
      <c r="B7523" s="33"/>
      <c r="C7523" s="33"/>
      <c r="D7523" s="33"/>
      <c r="E7523" s="33"/>
      <c r="F7523" s="33"/>
      <c r="G7523" s="33"/>
      <c r="H7523" s="33"/>
      <c r="I7523" s="33"/>
      <c r="J7523" s="33"/>
      <c r="K7523" s="33"/>
      <c r="L7523" s="33"/>
      <c r="M7523" s="33"/>
      <c r="N7523" s="33"/>
      <c r="O7523" s="33"/>
      <c r="P7523" s="33"/>
      <c r="Q7523" s="33"/>
      <c r="R7523" s="33"/>
      <c r="S7523" s="33"/>
      <c r="T7523" s="33"/>
      <c r="U7523" s="33"/>
      <c r="V7523" s="33"/>
      <c r="W7523" s="33"/>
      <c r="X7523" s="33"/>
      <c r="Y7523" s="33"/>
      <c r="Z7523" s="33"/>
      <c r="AA7523" s="33"/>
      <c r="AB7523" s="33"/>
      <c r="AC7523" s="33"/>
      <c r="AD7523" s="33"/>
      <c r="AE7523" s="33"/>
      <c r="AF7523" s="33"/>
      <c r="AG7523" s="33"/>
      <c r="AH7523" s="33"/>
      <c r="AI7523" s="33"/>
      <c r="AJ7523" s="33"/>
      <c r="AK7523" s="33"/>
    </row>
    <row r="7524">
      <c r="A7524" s="33"/>
      <c r="B7524" s="33"/>
      <c r="C7524" s="33"/>
      <c r="D7524" s="33"/>
      <c r="E7524" s="33"/>
      <c r="F7524" s="33"/>
      <c r="G7524" s="33"/>
      <c r="H7524" s="33"/>
      <c r="I7524" s="33"/>
      <c r="J7524" s="33"/>
      <c r="K7524" s="33"/>
      <c r="L7524" s="33"/>
      <c r="M7524" s="33"/>
      <c r="N7524" s="33"/>
      <c r="O7524" s="33"/>
      <c r="P7524" s="33"/>
      <c r="Q7524" s="33"/>
      <c r="R7524" s="33"/>
      <c r="S7524" s="33"/>
      <c r="T7524" s="33"/>
      <c r="U7524" s="33"/>
      <c r="V7524" s="33"/>
      <c r="W7524" s="33"/>
      <c r="X7524" s="33"/>
      <c r="Y7524" s="33"/>
      <c r="Z7524" s="33"/>
      <c r="AA7524" s="33"/>
      <c r="AB7524" s="33"/>
      <c r="AC7524" s="33"/>
      <c r="AD7524" s="33"/>
      <c r="AE7524" s="33"/>
      <c r="AF7524" s="33"/>
      <c r="AG7524" s="33"/>
      <c r="AH7524" s="33"/>
      <c r="AI7524" s="33"/>
      <c r="AJ7524" s="33"/>
      <c r="AK7524" s="33"/>
    </row>
    <row r="7525">
      <c r="A7525" s="33"/>
      <c r="B7525" s="33"/>
      <c r="C7525" s="33"/>
      <c r="D7525" s="33"/>
      <c r="E7525" s="33"/>
      <c r="F7525" s="33"/>
      <c r="G7525" s="33"/>
      <c r="H7525" s="33"/>
      <c r="I7525" s="33"/>
      <c r="J7525" s="33"/>
      <c r="K7525" s="33"/>
      <c r="L7525" s="33"/>
      <c r="M7525" s="33"/>
      <c r="N7525" s="33"/>
      <c r="O7525" s="33"/>
      <c r="P7525" s="33"/>
      <c r="Q7525" s="33"/>
      <c r="R7525" s="33"/>
      <c r="S7525" s="33"/>
      <c r="T7525" s="33"/>
      <c r="U7525" s="33"/>
      <c r="V7525" s="33"/>
      <c r="W7525" s="33"/>
      <c r="X7525" s="33"/>
      <c r="Y7525" s="33"/>
      <c r="Z7525" s="33"/>
      <c r="AA7525" s="33"/>
      <c r="AB7525" s="33"/>
      <c r="AC7525" s="33"/>
      <c r="AD7525" s="33"/>
      <c r="AE7525" s="33"/>
      <c r="AF7525" s="33"/>
      <c r="AG7525" s="33"/>
      <c r="AH7525" s="33"/>
      <c r="AI7525" s="33"/>
      <c r="AJ7525" s="33"/>
      <c r="AK7525" s="33"/>
    </row>
    <row r="7526">
      <c r="A7526" s="33"/>
      <c r="B7526" s="33"/>
      <c r="C7526" s="33"/>
      <c r="D7526" s="33"/>
      <c r="E7526" s="33"/>
      <c r="F7526" s="33"/>
      <c r="G7526" s="33"/>
      <c r="H7526" s="33"/>
      <c r="I7526" s="33"/>
      <c r="J7526" s="33"/>
      <c r="K7526" s="33"/>
      <c r="L7526" s="33"/>
      <c r="M7526" s="33"/>
      <c r="N7526" s="33"/>
      <c r="O7526" s="33"/>
      <c r="P7526" s="33"/>
      <c r="Q7526" s="33"/>
      <c r="R7526" s="33"/>
      <c r="S7526" s="33"/>
      <c r="T7526" s="33"/>
      <c r="U7526" s="33"/>
      <c r="V7526" s="33"/>
      <c r="W7526" s="33"/>
      <c r="X7526" s="33"/>
      <c r="Y7526" s="33"/>
      <c r="Z7526" s="33"/>
      <c r="AA7526" s="33"/>
      <c r="AB7526" s="33"/>
      <c r="AC7526" s="33"/>
      <c r="AD7526" s="33"/>
      <c r="AE7526" s="33"/>
      <c r="AF7526" s="33"/>
      <c r="AG7526" s="33"/>
      <c r="AH7526" s="33"/>
      <c r="AI7526" s="33"/>
      <c r="AJ7526" s="33"/>
      <c r="AK7526" s="33"/>
    </row>
    <row r="7527">
      <c r="A7527" s="33"/>
      <c r="B7527" s="33"/>
      <c r="C7527" s="33"/>
      <c r="D7527" s="33"/>
      <c r="E7527" s="33"/>
      <c r="F7527" s="33"/>
      <c r="G7527" s="33"/>
      <c r="H7527" s="33"/>
      <c r="I7527" s="33"/>
      <c r="J7527" s="33"/>
      <c r="K7527" s="33"/>
      <c r="L7527" s="33"/>
      <c r="M7527" s="33"/>
      <c r="N7527" s="33"/>
      <c r="O7527" s="33"/>
      <c r="P7527" s="33"/>
      <c r="Q7527" s="33"/>
      <c r="R7527" s="33"/>
      <c r="S7527" s="33"/>
      <c r="T7527" s="33"/>
      <c r="U7527" s="33"/>
      <c r="V7527" s="33"/>
      <c r="W7527" s="33"/>
      <c r="X7527" s="33"/>
      <c r="Y7527" s="33"/>
      <c r="Z7527" s="33"/>
      <c r="AA7527" s="33"/>
      <c r="AB7527" s="33"/>
      <c r="AC7527" s="33"/>
      <c r="AD7527" s="33"/>
      <c r="AE7527" s="33"/>
      <c r="AF7527" s="33"/>
      <c r="AG7527" s="33"/>
      <c r="AH7527" s="33"/>
      <c r="AI7527" s="33"/>
      <c r="AJ7527" s="33"/>
      <c r="AK7527" s="33"/>
    </row>
    <row r="7528">
      <c r="A7528" s="33"/>
      <c r="B7528" s="33"/>
      <c r="C7528" s="33"/>
      <c r="D7528" s="33"/>
      <c r="E7528" s="33"/>
      <c r="F7528" s="33"/>
      <c r="G7528" s="33"/>
      <c r="H7528" s="33"/>
      <c r="I7528" s="33"/>
      <c r="J7528" s="33"/>
      <c r="K7528" s="33"/>
      <c r="L7528" s="33"/>
      <c r="M7528" s="33"/>
      <c r="N7528" s="33"/>
      <c r="O7528" s="33"/>
      <c r="P7528" s="33"/>
      <c r="Q7528" s="33"/>
      <c r="R7528" s="33"/>
      <c r="S7528" s="33"/>
      <c r="T7528" s="33"/>
      <c r="U7528" s="33"/>
      <c r="V7528" s="33"/>
      <c r="W7528" s="33"/>
      <c r="X7528" s="33"/>
      <c r="Y7528" s="33"/>
      <c r="Z7528" s="33"/>
      <c r="AA7528" s="33"/>
      <c r="AB7528" s="33"/>
      <c r="AC7528" s="33"/>
      <c r="AD7528" s="33"/>
      <c r="AE7528" s="33"/>
      <c r="AF7528" s="33"/>
      <c r="AG7528" s="33"/>
      <c r="AH7528" s="33"/>
      <c r="AI7528" s="33"/>
      <c r="AJ7528" s="33"/>
      <c r="AK7528" s="33"/>
    </row>
    <row r="7529">
      <c r="A7529" s="33"/>
      <c r="B7529" s="33"/>
      <c r="C7529" s="33"/>
      <c r="D7529" s="33"/>
      <c r="E7529" s="33"/>
      <c r="F7529" s="33"/>
      <c r="G7529" s="33"/>
      <c r="H7529" s="33"/>
      <c r="I7529" s="33"/>
      <c r="J7529" s="33"/>
      <c r="K7529" s="33"/>
      <c r="L7529" s="33"/>
      <c r="M7529" s="33"/>
      <c r="N7529" s="33"/>
      <c r="O7529" s="33"/>
      <c r="P7529" s="33"/>
      <c r="Q7529" s="33"/>
      <c r="R7529" s="33"/>
      <c r="S7529" s="33"/>
      <c r="T7529" s="33"/>
      <c r="U7529" s="33"/>
      <c r="V7529" s="33"/>
      <c r="W7529" s="33"/>
      <c r="X7529" s="33"/>
      <c r="Y7529" s="33"/>
      <c r="Z7529" s="33"/>
      <c r="AA7529" s="33"/>
      <c r="AB7529" s="33"/>
      <c r="AC7529" s="33"/>
      <c r="AD7529" s="33"/>
      <c r="AE7529" s="33"/>
      <c r="AF7529" s="33"/>
      <c r="AG7529" s="33"/>
      <c r="AH7529" s="33"/>
      <c r="AI7529" s="33"/>
      <c r="AJ7529" s="33"/>
      <c r="AK7529" s="33"/>
    </row>
    <row r="7530">
      <c r="A7530" s="33"/>
      <c r="B7530" s="33"/>
      <c r="C7530" s="33"/>
      <c r="D7530" s="33"/>
      <c r="E7530" s="33"/>
      <c r="F7530" s="33"/>
      <c r="G7530" s="33"/>
      <c r="H7530" s="33"/>
      <c r="I7530" s="33"/>
      <c r="J7530" s="33"/>
      <c r="K7530" s="33"/>
      <c r="L7530" s="33"/>
      <c r="M7530" s="33"/>
      <c r="N7530" s="33"/>
      <c r="O7530" s="33"/>
      <c r="P7530" s="33"/>
      <c r="Q7530" s="33"/>
      <c r="R7530" s="33"/>
      <c r="S7530" s="33"/>
      <c r="T7530" s="33"/>
      <c r="U7530" s="33"/>
      <c r="V7530" s="33"/>
      <c r="W7530" s="33"/>
      <c r="X7530" s="33"/>
      <c r="Y7530" s="33"/>
      <c r="Z7530" s="33"/>
      <c r="AA7530" s="33"/>
      <c r="AB7530" s="33"/>
      <c r="AC7530" s="33"/>
      <c r="AD7530" s="33"/>
      <c r="AE7530" s="33"/>
      <c r="AF7530" s="33"/>
      <c r="AG7530" s="33"/>
      <c r="AH7530" s="33"/>
      <c r="AI7530" s="33"/>
      <c r="AJ7530" s="33"/>
      <c r="AK7530" s="33"/>
    </row>
    <row r="7531">
      <c r="A7531" s="33"/>
      <c r="B7531" s="33"/>
      <c r="C7531" s="33"/>
      <c r="D7531" s="33"/>
      <c r="E7531" s="33"/>
      <c r="F7531" s="33"/>
      <c r="G7531" s="33"/>
      <c r="H7531" s="33"/>
      <c r="I7531" s="33"/>
      <c r="J7531" s="33"/>
      <c r="K7531" s="33"/>
      <c r="L7531" s="33"/>
      <c r="M7531" s="33"/>
      <c r="N7531" s="33"/>
      <c r="O7531" s="33"/>
      <c r="P7531" s="33"/>
      <c r="Q7531" s="33"/>
      <c r="R7531" s="33"/>
      <c r="S7531" s="33"/>
      <c r="T7531" s="33"/>
      <c r="U7531" s="33"/>
      <c r="V7531" s="33"/>
      <c r="W7531" s="33"/>
      <c r="X7531" s="33"/>
      <c r="Y7531" s="33"/>
      <c r="Z7531" s="33"/>
      <c r="AA7531" s="33"/>
      <c r="AB7531" s="33"/>
      <c r="AC7531" s="33"/>
      <c r="AD7531" s="33"/>
      <c r="AE7531" s="33"/>
      <c r="AF7531" s="33"/>
      <c r="AG7531" s="33"/>
      <c r="AH7531" s="33"/>
      <c r="AI7531" s="33"/>
      <c r="AJ7531" s="33"/>
      <c r="AK7531" s="33"/>
    </row>
    <row r="7532">
      <c r="A7532" s="33"/>
      <c r="B7532" s="33"/>
      <c r="C7532" s="33"/>
      <c r="D7532" s="33"/>
      <c r="E7532" s="33"/>
      <c r="F7532" s="33"/>
      <c r="G7532" s="33"/>
      <c r="H7532" s="33"/>
      <c r="I7532" s="33"/>
      <c r="J7532" s="33"/>
      <c r="K7532" s="33"/>
      <c r="L7532" s="33"/>
      <c r="M7532" s="33"/>
      <c r="N7532" s="33"/>
      <c r="O7532" s="33"/>
      <c r="P7532" s="33"/>
      <c r="Q7532" s="33"/>
      <c r="R7532" s="33"/>
      <c r="S7532" s="33"/>
      <c r="T7532" s="33"/>
      <c r="U7532" s="33"/>
      <c r="V7532" s="33"/>
      <c r="W7532" s="33"/>
      <c r="X7532" s="33"/>
      <c r="Y7532" s="33"/>
      <c r="Z7532" s="33"/>
      <c r="AA7532" s="33"/>
      <c r="AB7532" s="33"/>
      <c r="AC7532" s="33"/>
      <c r="AD7532" s="33"/>
      <c r="AE7532" s="33"/>
      <c r="AF7532" s="33"/>
      <c r="AG7532" s="33"/>
      <c r="AH7532" s="33"/>
      <c r="AI7532" s="33"/>
      <c r="AJ7532" s="33"/>
      <c r="AK7532" s="33"/>
    </row>
    <row r="7533">
      <c r="A7533" s="33"/>
      <c r="B7533" s="33"/>
      <c r="C7533" s="33"/>
      <c r="D7533" s="33"/>
      <c r="E7533" s="33"/>
      <c r="F7533" s="33"/>
      <c r="G7533" s="33"/>
      <c r="H7533" s="33"/>
      <c r="I7533" s="33"/>
      <c r="J7533" s="33"/>
      <c r="K7533" s="33"/>
      <c r="L7533" s="33"/>
      <c r="M7533" s="33"/>
      <c r="N7533" s="33"/>
      <c r="O7533" s="33"/>
      <c r="P7533" s="33"/>
      <c r="Q7533" s="33"/>
      <c r="R7533" s="33"/>
      <c r="S7533" s="33"/>
      <c r="T7533" s="33"/>
      <c r="U7533" s="33"/>
      <c r="V7533" s="33"/>
      <c r="W7533" s="33"/>
      <c r="X7533" s="33"/>
      <c r="Y7533" s="33"/>
      <c r="Z7533" s="33"/>
      <c r="AA7533" s="33"/>
      <c r="AB7533" s="33"/>
      <c r="AC7533" s="33"/>
      <c r="AD7533" s="33"/>
      <c r="AE7533" s="33"/>
      <c r="AF7533" s="33"/>
      <c r="AG7533" s="33"/>
      <c r="AH7533" s="33"/>
      <c r="AI7533" s="33"/>
      <c r="AJ7533" s="33"/>
      <c r="AK7533" s="33"/>
    </row>
    <row r="7534">
      <c r="A7534" s="33"/>
      <c r="B7534" s="33"/>
      <c r="C7534" s="33"/>
      <c r="D7534" s="33"/>
      <c r="E7534" s="33"/>
      <c r="F7534" s="33"/>
      <c r="G7534" s="33"/>
      <c r="H7534" s="33"/>
      <c r="I7534" s="33"/>
      <c r="J7534" s="33"/>
      <c r="K7534" s="33"/>
      <c r="L7534" s="33"/>
      <c r="M7534" s="33"/>
      <c r="N7534" s="33"/>
      <c r="O7534" s="33"/>
      <c r="P7534" s="33"/>
      <c r="Q7534" s="33"/>
      <c r="R7534" s="33"/>
      <c r="S7534" s="33"/>
      <c r="T7534" s="33"/>
      <c r="U7534" s="33"/>
      <c r="V7534" s="33"/>
      <c r="W7534" s="33"/>
      <c r="X7534" s="33"/>
      <c r="Y7534" s="33"/>
      <c r="Z7534" s="33"/>
      <c r="AA7534" s="33"/>
      <c r="AB7534" s="33"/>
      <c r="AC7534" s="33"/>
      <c r="AD7534" s="33"/>
      <c r="AE7534" s="33"/>
      <c r="AF7534" s="33"/>
      <c r="AG7534" s="33"/>
      <c r="AH7534" s="33"/>
      <c r="AI7534" s="33"/>
      <c r="AJ7534" s="33"/>
      <c r="AK7534" s="33"/>
    </row>
    <row r="7535">
      <c r="A7535" s="33"/>
      <c r="B7535" s="33"/>
      <c r="C7535" s="33"/>
      <c r="D7535" s="33"/>
      <c r="E7535" s="33"/>
      <c r="F7535" s="33"/>
      <c r="G7535" s="33"/>
      <c r="H7535" s="33"/>
      <c r="I7535" s="33"/>
      <c r="J7535" s="33"/>
      <c r="K7535" s="33"/>
      <c r="L7535" s="33"/>
      <c r="M7535" s="33"/>
      <c r="N7535" s="33"/>
      <c r="O7535" s="33"/>
      <c r="P7535" s="33"/>
      <c r="Q7535" s="33"/>
      <c r="R7535" s="33"/>
      <c r="S7535" s="33"/>
      <c r="T7535" s="33"/>
      <c r="U7535" s="33"/>
      <c r="V7535" s="33"/>
      <c r="W7535" s="33"/>
      <c r="X7535" s="33"/>
      <c r="Y7535" s="33"/>
      <c r="Z7535" s="33"/>
      <c r="AA7535" s="33"/>
      <c r="AB7535" s="33"/>
      <c r="AC7535" s="33"/>
      <c r="AD7535" s="33"/>
      <c r="AE7535" s="33"/>
      <c r="AF7535" s="33"/>
      <c r="AG7535" s="33"/>
      <c r="AH7535" s="33"/>
      <c r="AI7535" s="33"/>
      <c r="AJ7535" s="33"/>
      <c r="AK7535" s="33"/>
    </row>
    <row r="7536">
      <c r="A7536" s="33"/>
      <c r="B7536" s="33"/>
      <c r="C7536" s="33"/>
      <c r="D7536" s="33"/>
      <c r="E7536" s="33"/>
      <c r="F7536" s="33"/>
      <c r="G7536" s="33"/>
      <c r="H7536" s="33"/>
      <c r="I7536" s="33"/>
      <c r="J7536" s="33"/>
      <c r="K7536" s="33"/>
      <c r="L7536" s="33"/>
      <c r="M7536" s="33"/>
      <c r="N7536" s="33"/>
      <c r="O7536" s="33"/>
      <c r="P7536" s="33"/>
      <c r="Q7536" s="33"/>
      <c r="R7536" s="33"/>
      <c r="S7536" s="33"/>
      <c r="T7536" s="33"/>
      <c r="U7536" s="33"/>
      <c r="V7536" s="33"/>
      <c r="W7536" s="33"/>
      <c r="X7536" s="33"/>
      <c r="Y7536" s="33"/>
      <c r="Z7536" s="33"/>
      <c r="AA7536" s="33"/>
      <c r="AB7536" s="33"/>
      <c r="AC7536" s="33"/>
      <c r="AD7536" s="33"/>
      <c r="AE7536" s="33"/>
      <c r="AF7536" s="33"/>
      <c r="AG7536" s="33"/>
      <c r="AH7536" s="33"/>
      <c r="AI7536" s="33"/>
      <c r="AJ7536" s="33"/>
      <c r="AK7536" s="33"/>
    </row>
    <row r="7537">
      <c r="A7537" s="33"/>
      <c r="B7537" s="33"/>
      <c r="C7537" s="33"/>
      <c r="D7537" s="33"/>
      <c r="E7537" s="33"/>
      <c r="F7537" s="33"/>
      <c r="G7537" s="33"/>
      <c r="H7537" s="33"/>
      <c r="I7537" s="33"/>
      <c r="J7537" s="33"/>
      <c r="K7537" s="33"/>
      <c r="L7537" s="33"/>
      <c r="M7537" s="33"/>
      <c r="N7537" s="33"/>
      <c r="O7537" s="33"/>
      <c r="P7537" s="33"/>
      <c r="Q7537" s="33"/>
      <c r="R7537" s="33"/>
      <c r="S7537" s="33"/>
      <c r="T7537" s="33"/>
      <c r="U7537" s="33"/>
      <c r="V7537" s="33"/>
      <c r="W7537" s="33"/>
      <c r="X7537" s="33"/>
      <c r="Y7537" s="33"/>
      <c r="Z7537" s="33"/>
      <c r="AA7537" s="33"/>
      <c r="AB7537" s="33"/>
      <c r="AC7537" s="33"/>
      <c r="AD7537" s="33"/>
      <c r="AE7537" s="33"/>
      <c r="AF7537" s="33"/>
      <c r="AG7537" s="33"/>
      <c r="AH7537" s="33"/>
      <c r="AI7537" s="33"/>
      <c r="AJ7537" s="33"/>
      <c r="AK7537" s="33"/>
    </row>
    <row r="7538">
      <c r="A7538" s="33"/>
      <c r="B7538" s="33"/>
      <c r="C7538" s="33"/>
      <c r="D7538" s="33"/>
      <c r="E7538" s="33"/>
      <c r="F7538" s="33"/>
      <c r="G7538" s="33"/>
      <c r="H7538" s="33"/>
      <c r="I7538" s="33"/>
      <c r="J7538" s="33"/>
      <c r="K7538" s="33"/>
      <c r="L7538" s="33"/>
      <c r="M7538" s="33"/>
      <c r="N7538" s="33"/>
      <c r="O7538" s="33"/>
      <c r="P7538" s="33"/>
      <c r="Q7538" s="33"/>
      <c r="R7538" s="33"/>
      <c r="S7538" s="33"/>
      <c r="T7538" s="33"/>
      <c r="U7538" s="33"/>
      <c r="V7538" s="33"/>
      <c r="W7538" s="33"/>
      <c r="X7538" s="33"/>
      <c r="Y7538" s="33"/>
      <c r="Z7538" s="33"/>
      <c r="AA7538" s="33"/>
      <c r="AB7538" s="33"/>
      <c r="AC7538" s="33"/>
      <c r="AD7538" s="33"/>
      <c r="AE7538" s="33"/>
      <c r="AF7538" s="33"/>
      <c r="AG7538" s="33"/>
      <c r="AH7538" s="33"/>
      <c r="AI7538" s="33"/>
      <c r="AJ7538" s="33"/>
      <c r="AK7538" s="33"/>
    </row>
    <row r="7539">
      <c r="A7539" s="33"/>
      <c r="B7539" s="33"/>
      <c r="C7539" s="33"/>
      <c r="D7539" s="33"/>
      <c r="E7539" s="33"/>
      <c r="F7539" s="33"/>
      <c r="G7539" s="33"/>
      <c r="H7539" s="33"/>
      <c r="I7539" s="33"/>
      <c r="J7539" s="33"/>
      <c r="K7539" s="33"/>
      <c r="L7539" s="33"/>
      <c r="M7539" s="33"/>
      <c r="N7539" s="33"/>
      <c r="O7539" s="33"/>
      <c r="P7539" s="33"/>
      <c r="Q7539" s="33"/>
      <c r="R7539" s="33"/>
      <c r="S7539" s="33"/>
      <c r="T7539" s="33"/>
      <c r="U7539" s="33"/>
      <c r="V7539" s="33"/>
      <c r="W7539" s="33"/>
      <c r="X7539" s="33"/>
      <c r="Y7539" s="33"/>
      <c r="Z7539" s="33"/>
      <c r="AA7539" s="33"/>
      <c r="AB7539" s="33"/>
      <c r="AC7539" s="33"/>
      <c r="AD7539" s="33"/>
      <c r="AE7539" s="33"/>
      <c r="AF7539" s="33"/>
      <c r="AG7539" s="33"/>
      <c r="AH7539" s="33"/>
      <c r="AI7539" s="33"/>
      <c r="AJ7539" s="33"/>
      <c r="AK7539" s="33"/>
    </row>
    <row r="7540">
      <c r="A7540" s="33"/>
      <c r="B7540" s="33"/>
      <c r="C7540" s="33"/>
      <c r="D7540" s="33"/>
      <c r="E7540" s="33"/>
      <c r="F7540" s="33"/>
      <c r="G7540" s="33"/>
      <c r="H7540" s="33"/>
      <c r="I7540" s="33"/>
      <c r="J7540" s="33"/>
      <c r="K7540" s="33"/>
      <c r="L7540" s="33"/>
      <c r="M7540" s="33"/>
      <c r="N7540" s="33"/>
      <c r="O7540" s="33"/>
      <c r="P7540" s="33"/>
      <c r="Q7540" s="33"/>
      <c r="R7540" s="33"/>
      <c r="S7540" s="33"/>
      <c r="T7540" s="33"/>
      <c r="U7540" s="33"/>
      <c r="V7540" s="33"/>
      <c r="W7540" s="33"/>
      <c r="X7540" s="33"/>
      <c r="Y7540" s="33"/>
      <c r="Z7540" s="33"/>
      <c r="AA7540" s="33"/>
      <c r="AB7540" s="33"/>
      <c r="AC7540" s="33"/>
      <c r="AD7540" s="33"/>
      <c r="AE7540" s="33"/>
      <c r="AF7540" s="33"/>
      <c r="AG7540" s="33"/>
      <c r="AH7540" s="33"/>
      <c r="AI7540" s="33"/>
      <c r="AJ7540" s="33"/>
      <c r="AK7540" s="33"/>
    </row>
    <row r="7541">
      <c r="A7541" s="33"/>
      <c r="B7541" s="33"/>
      <c r="C7541" s="33"/>
      <c r="D7541" s="33"/>
      <c r="E7541" s="33"/>
      <c r="F7541" s="33"/>
      <c r="G7541" s="33"/>
      <c r="H7541" s="33"/>
      <c r="I7541" s="33"/>
      <c r="J7541" s="33"/>
      <c r="K7541" s="33"/>
      <c r="L7541" s="33"/>
      <c r="M7541" s="33"/>
      <c r="N7541" s="33"/>
      <c r="O7541" s="33"/>
      <c r="P7541" s="33"/>
      <c r="Q7541" s="33"/>
      <c r="R7541" s="33"/>
      <c r="S7541" s="33"/>
      <c r="T7541" s="33"/>
      <c r="U7541" s="33"/>
      <c r="V7541" s="33"/>
      <c r="W7541" s="33"/>
      <c r="X7541" s="33"/>
      <c r="Y7541" s="33"/>
      <c r="Z7541" s="33"/>
      <c r="AA7541" s="33"/>
      <c r="AB7541" s="33"/>
      <c r="AC7541" s="33"/>
      <c r="AD7541" s="33"/>
      <c r="AE7541" s="33"/>
      <c r="AF7541" s="33"/>
      <c r="AG7541" s="33"/>
      <c r="AH7541" s="33"/>
      <c r="AI7541" s="33"/>
      <c r="AJ7541" s="33"/>
      <c r="AK7541" s="33"/>
    </row>
    <row r="7542">
      <c r="A7542" s="33"/>
      <c r="B7542" s="33"/>
      <c r="C7542" s="33"/>
      <c r="D7542" s="33"/>
      <c r="E7542" s="33"/>
      <c r="F7542" s="33"/>
      <c r="G7542" s="33"/>
      <c r="H7542" s="33"/>
      <c r="I7542" s="33"/>
      <c r="J7542" s="33"/>
      <c r="K7542" s="33"/>
      <c r="L7542" s="33"/>
      <c r="M7542" s="33"/>
      <c r="N7542" s="33"/>
      <c r="O7542" s="33"/>
      <c r="P7542" s="33"/>
      <c r="Q7542" s="33"/>
      <c r="R7542" s="33"/>
      <c r="S7542" s="33"/>
      <c r="T7542" s="33"/>
      <c r="U7542" s="33"/>
      <c r="V7542" s="33"/>
      <c r="W7542" s="33"/>
      <c r="X7542" s="33"/>
      <c r="Y7542" s="33"/>
      <c r="Z7542" s="33"/>
      <c r="AA7542" s="33"/>
      <c r="AB7542" s="33"/>
      <c r="AC7542" s="33"/>
      <c r="AD7542" s="33"/>
      <c r="AE7542" s="33"/>
      <c r="AF7542" s="33"/>
      <c r="AG7542" s="33"/>
      <c r="AH7542" s="33"/>
      <c r="AI7542" s="33"/>
      <c r="AJ7542" s="33"/>
      <c r="AK7542" s="33"/>
    </row>
    <row r="7543">
      <c r="A7543" s="33"/>
      <c r="B7543" s="33"/>
      <c r="C7543" s="33"/>
      <c r="D7543" s="33"/>
      <c r="E7543" s="33"/>
      <c r="F7543" s="33"/>
      <c r="G7543" s="33"/>
      <c r="H7543" s="33"/>
      <c r="I7543" s="33"/>
      <c r="J7543" s="33"/>
      <c r="K7543" s="33"/>
      <c r="L7543" s="33"/>
      <c r="M7543" s="33"/>
      <c r="N7543" s="33"/>
      <c r="O7543" s="33"/>
      <c r="P7543" s="33"/>
      <c r="Q7543" s="33"/>
      <c r="R7543" s="33"/>
      <c r="S7543" s="33"/>
      <c r="T7543" s="33"/>
      <c r="U7543" s="33"/>
      <c r="V7543" s="33"/>
      <c r="W7543" s="33"/>
      <c r="X7543" s="33"/>
      <c r="Y7543" s="33"/>
      <c r="Z7543" s="33"/>
      <c r="AA7543" s="33"/>
      <c r="AB7543" s="33"/>
      <c r="AC7543" s="33"/>
      <c r="AD7543" s="33"/>
      <c r="AE7543" s="33"/>
      <c r="AF7543" s="33"/>
      <c r="AG7543" s="33"/>
      <c r="AH7543" s="33"/>
      <c r="AI7543" s="33"/>
      <c r="AJ7543" s="33"/>
      <c r="AK7543" s="33"/>
    </row>
    <row r="7544">
      <c r="A7544" s="33"/>
      <c r="B7544" s="33"/>
      <c r="C7544" s="33"/>
      <c r="D7544" s="33"/>
      <c r="E7544" s="33"/>
      <c r="F7544" s="33"/>
      <c r="G7544" s="33"/>
      <c r="H7544" s="33"/>
      <c r="I7544" s="33"/>
      <c r="J7544" s="33"/>
      <c r="K7544" s="33"/>
      <c r="L7544" s="33"/>
      <c r="M7544" s="33"/>
      <c r="N7544" s="33"/>
      <c r="O7544" s="33"/>
      <c r="P7544" s="33"/>
      <c r="Q7544" s="33"/>
      <c r="R7544" s="33"/>
      <c r="S7544" s="33"/>
      <c r="T7544" s="33"/>
      <c r="U7544" s="33"/>
      <c r="V7544" s="33"/>
      <c r="W7544" s="33"/>
      <c r="X7544" s="33"/>
      <c r="Y7544" s="33"/>
      <c r="Z7544" s="33"/>
      <c r="AA7544" s="33"/>
      <c r="AB7544" s="33"/>
      <c r="AC7544" s="33"/>
      <c r="AD7544" s="33"/>
      <c r="AE7544" s="33"/>
      <c r="AF7544" s="33"/>
      <c r="AG7544" s="33"/>
      <c r="AH7544" s="33"/>
      <c r="AI7544" s="33"/>
      <c r="AJ7544" s="33"/>
      <c r="AK7544" s="33"/>
    </row>
    <row r="7545">
      <c r="A7545" s="33"/>
      <c r="B7545" s="33"/>
      <c r="C7545" s="33"/>
      <c r="D7545" s="33"/>
      <c r="E7545" s="33"/>
      <c r="F7545" s="33"/>
      <c r="G7545" s="33"/>
      <c r="H7545" s="33"/>
      <c r="I7545" s="33"/>
      <c r="J7545" s="33"/>
      <c r="K7545" s="33"/>
      <c r="L7545" s="33"/>
      <c r="M7545" s="33"/>
      <c r="N7545" s="33"/>
      <c r="O7545" s="33"/>
      <c r="P7545" s="33"/>
      <c r="Q7545" s="33"/>
      <c r="R7545" s="33"/>
      <c r="S7545" s="33"/>
      <c r="T7545" s="33"/>
      <c r="U7545" s="33"/>
      <c r="V7545" s="33"/>
      <c r="W7545" s="33"/>
      <c r="X7545" s="33"/>
      <c r="Y7545" s="33"/>
      <c r="Z7545" s="33"/>
      <c r="AA7545" s="33"/>
      <c r="AB7545" s="33"/>
      <c r="AC7545" s="33"/>
      <c r="AD7545" s="33"/>
      <c r="AE7545" s="33"/>
      <c r="AF7545" s="33"/>
      <c r="AG7545" s="33"/>
      <c r="AH7545" s="33"/>
      <c r="AI7545" s="33"/>
      <c r="AJ7545" s="33"/>
      <c r="AK7545" s="33"/>
    </row>
    <row r="7546">
      <c r="A7546" s="33"/>
      <c r="B7546" s="33"/>
      <c r="C7546" s="33"/>
      <c r="D7546" s="33"/>
      <c r="E7546" s="33"/>
      <c r="F7546" s="33"/>
      <c r="G7546" s="33"/>
      <c r="H7546" s="33"/>
      <c r="I7546" s="33"/>
      <c r="J7546" s="33"/>
      <c r="K7546" s="33"/>
      <c r="L7546" s="33"/>
      <c r="M7546" s="33"/>
      <c r="N7546" s="33"/>
      <c r="O7546" s="33"/>
      <c r="P7546" s="33"/>
      <c r="Q7546" s="33"/>
      <c r="R7546" s="33"/>
      <c r="S7546" s="33"/>
      <c r="T7546" s="33"/>
      <c r="U7546" s="33"/>
      <c r="V7546" s="33"/>
      <c r="W7546" s="33"/>
      <c r="X7546" s="33"/>
      <c r="Y7546" s="33"/>
      <c r="Z7546" s="33"/>
      <c r="AA7546" s="33"/>
      <c r="AB7546" s="33"/>
      <c r="AC7546" s="33"/>
      <c r="AD7546" s="33"/>
      <c r="AE7546" s="33"/>
      <c r="AF7546" s="33"/>
      <c r="AG7546" s="33"/>
      <c r="AH7546" s="33"/>
      <c r="AI7546" s="33"/>
      <c r="AJ7546" s="33"/>
      <c r="AK7546" s="33"/>
    </row>
    <row r="7547">
      <c r="A7547" s="33"/>
      <c r="B7547" s="33"/>
      <c r="C7547" s="33"/>
      <c r="D7547" s="33"/>
      <c r="E7547" s="33"/>
      <c r="F7547" s="33"/>
      <c r="G7547" s="33"/>
      <c r="H7547" s="33"/>
      <c r="I7547" s="33"/>
      <c r="J7547" s="33"/>
      <c r="K7547" s="33"/>
      <c r="L7547" s="33"/>
      <c r="M7547" s="33"/>
      <c r="N7547" s="33"/>
      <c r="O7547" s="33"/>
      <c r="P7547" s="33"/>
      <c r="Q7547" s="33"/>
      <c r="R7547" s="33"/>
      <c r="S7547" s="33"/>
      <c r="T7547" s="33"/>
      <c r="U7547" s="33"/>
      <c r="V7547" s="33"/>
      <c r="W7547" s="33"/>
      <c r="X7547" s="33"/>
      <c r="Y7547" s="33"/>
      <c r="Z7547" s="33"/>
      <c r="AA7547" s="33"/>
      <c r="AB7547" s="33"/>
      <c r="AC7547" s="33"/>
      <c r="AD7547" s="33"/>
      <c r="AE7547" s="33"/>
      <c r="AF7547" s="33"/>
      <c r="AG7547" s="33"/>
      <c r="AH7547" s="33"/>
      <c r="AI7547" s="33"/>
      <c r="AJ7547" s="33"/>
      <c r="AK7547" s="33"/>
    </row>
    <row r="7548">
      <c r="A7548" s="33"/>
      <c r="B7548" s="33"/>
      <c r="C7548" s="33"/>
      <c r="D7548" s="33"/>
      <c r="E7548" s="33"/>
      <c r="F7548" s="33"/>
      <c r="G7548" s="33"/>
      <c r="H7548" s="33"/>
      <c r="I7548" s="33"/>
      <c r="J7548" s="33"/>
      <c r="K7548" s="33"/>
      <c r="L7548" s="33"/>
      <c r="M7548" s="33"/>
      <c r="N7548" s="33"/>
      <c r="O7548" s="33"/>
      <c r="P7548" s="33"/>
      <c r="Q7548" s="33"/>
      <c r="R7548" s="33"/>
      <c r="S7548" s="33"/>
      <c r="T7548" s="33"/>
      <c r="U7548" s="33"/>
      <c r="V7548" s="33"/>
      <c r="W7548" s="33"/>
      <c r="X7548" s="33"/>
      <c r="Y7548" s="33"/>
      <c r="Z7548" s="33"/>
      <c r="AA7548" s="33"/>
      <c r="AB7548" s="33"/>
      <c r="AC7548" s="33"/>
      <c r="AD7548" s="33"/>
      <c r="AE7548" s="33"/>
      <c r="AF7548" s="33"/>
      <c r="AG7548" s="33"/>
      <c r="AH7548" s="33"/>
      <c r="AI7548" s="33"/>
      <c r="AJ7548" s="33"/>
      <c r="AK7548" s="33"/>
    </row>
    <row r="7549">
      <c r="A7549" s="33"/>
      <c r="B7549" s="33"/>
      <c r="C7549" s="33"/>
      <c r="D7549" s="33"/>
      <c r="E7549" s="33"/>
      <c r="F7549" s="33"/>
      <c r="G7549" s="33"/>
      <c r="H7549" s="33"/>
      <c r="I7549" s="33"/>
      <c r="J7549" s="33"/>
      <c r="K7549" s="33"/>
      <c r="L7549" s="33"/>
      <c r="M7549" s="33"/>
      <c r="N7549" s="33"/>
      <c r="O7549" s="33"/>
      <c r="P7549" s="33"/>
      <c r="Q7549" s="33"/>
      <c r="R7549" s="33"/>
      <c r="S7549" s="33"/>
      <c r="T7549" s="33"/>
      <c r="U7549" s="33"/>
      <c r="V7549" s="33"/>
      <c r="W7549" s="33"/>
      <c r="X7549" s="33"/>
      <c r="Y7549" s="33"/>
      <c r="Z7549" s="33"/>
      <c r="AA7549" s="33"/>
      <c r="AB7549" s="33"/>
      <c r="AC7549" s="33"/>
      <c r="AD7549" s="33"/>
      <c r="AE7549" s="33"/>
      <c r="AF7549" s="33"/>
      <c r="AG7549" s="33"/>
      <c r="AH7549" s="33"/>
      <c r="AI7549" s="33"/>
      <c r="AJ7549" s="33"/>
      <c r="AK7549" s="33"/>
    </row>
    <row r="7550">
      <c r="A7550" s="33"/>
      <c r="B7550" s="33"/>
      <c r="C7550" s="33"/>
      <c r="D7550" s="33"/>
      <c r="E7550" s="33"/>
      <c r="F7550" s="33"/>
      <c r="G7550" s="33"/>
      <c r="H7550" s="33"/>
      <c r="I7550" s="33"/>
      <c r="J7550" s="33"/>
      <c r="K7550" s="33"/>
      <c r="L7550" s="33"/>
      <c r="M7550" s="33"/>
      <c r="N7550" s="33"/>
      <c r="O7550" s="33"/>
      <c r="P7550" s="33"/>
      <c r="Q7550" s="33"/>
      <c r="R7550" s="33"/>
      <c r="S7550" s="33"/>
      <c r="T7550" s="33"/>
      <c r="U7550" s="33"/>
      <c r="V7550" s="33"/>
      <c r="W7550" s="33"/>
      <c r="X7550" s="33"/>
      <c r="Y7550" s="33"/>
      <c r="Z7550" s="33"/>
      <c r="AA7550" s="33"/>
      <c r="AB7550" s="33"/>
      <c r="AC7550" s="33"/>
      <c r="AD7550" s="33"/>
      <c r="AE7550" s="33"/>
      <c r="AF7550" s="33"/>
      <c r="AG7550" s="33"/>
      <c r="AH7550" s="33"/>
      <c r="AI7550" s="33"/>
      <c r="AJ7550" s="33"/>
      <c r="AK7550" s="33"/>
    </row>
    <row r="7551">
      <c r="A7551" s="33"/>
      <c r="B7551" s="33"/>
      <c r="C7551" s="33"/>
      <c r="D7551" s="33"/>
      <c r="E7551" s="33"/>
      <c r="F7551" s="33"/>
      <c r="G7551" s="33"/>
      <c r="H7551" s="33"/>
      <c r="I7551" s="33"/>
      <c r="J7551" s="33"/>
      <c r="K7551" s="33"/>
      <c r="L7551" s="33"/>
      <c r="M7551" s="33"/>
      <c r="N7551" s="33"/>
      <c r="O7551" s="33"/>
      <c r="P7551" s="33"/>
      <c r="Q7551" s="33"/>
      <c r="R7551" s="33"/>
      <c r="S7551" s="33"/>
      <c r="T7551" s="33"/>
      <c r="U7551" s="33"/>
      <c r="V7551" s="33"/>
      <c r="W7551" s="33"/>
      <c r="X7551" s="33"/>
      <c r="Y7551" s="33"/>
      <c r="Z7551" s="33"/>
      <c r="AA7551" s="33"/>
      <c r="AB7551" s="33"/>
      <c r="AC7551" s="33"/>
      <c r="AD7551" s="33"/>
      <c r="AE7551" s="33"/>
      <c r="AF7551" s="33"/>
      <c r="AG7551" s="33"/>
      <c r="AH7551" s="33"/>
      <c r="AI7551" s="33"/>
      <c r="AJ7551" s="33"/>
      <c r="AK7551" s="33"/>
    </row>
    <row r="7552">
      <c r="A7552" s="33"/>
      <c r="B7552" s="33"/>
      <c r="C7552" s="33"/>
      <c r="D7552" s="33"/>
      <c r="E7552" s="33"/>
      <c r="F7552" s="33"/>
      <c r="G7552" s="33"/>
      <c r="H7552" s="33"/>
      <c r="I7552" s="33"/>
      <c r="J7552" s="33"/>
      <c r="K7552" s="33"/>
      <c r="L7552" s="33"/>
      <c r="M7552" s="33"/>
      <c r="N7552" s="33"/>
      <c r="O7552" s="33"/>
      <c r="P7552" s="33"/>
      <c r="Q7552" s="33"/>
      <c r="R7552" s="33"/>
      <c r="S7552" s="33"/>
      <c r="T7552" s="33"/>
      <c r="U7552" s="33"/>
      <c r="V7552" s="33"/>
      <c r="W7552" s="33"/>
      <c r="X7552" s="33"/>
      <c r="Y7552" s="33"/>
      <c r="Z7552" s="33"/>
      <c r="AA7552" s="33"/>
      <c r="AB7552" s="33"/>
      <c r="AC7552" s="33"/>
      <c r="AD7552" s="33"/>
      <c r="AE7552" s="33"/>
      <c r="AF7552" s="33"/>
      <c r="AG7552" s="33"/>
      <c r="AH7552" s="33"/>
      <c r="AI7552" s="33"/>
      <c r="AJ7552" s="33"/>
      <c r="AK7552" s="33"/>
    </row>
    <row r="7553">
      <c r="A7553" s="33"/>
      <c r="B7553" s="33"/>
      <c r="C7553" s="33"/>
      <c r="D7553" s="33"/>
      <c r="E7553" s="33"/>
      <c r="F7553" s="33"/>
      <c r="G7553" s="33"/>
      <c r="H7553" s="33"/>
      <c r="I7553" s="33"/>
      <c r="J7553" s="33"/>
      <c r="K7553" s="33"/>
      <c r="L7553" s="33"/>
      <c r="M7553" s="33"/>
      <c r="N7553" s="33"/>
      <c r="O7553" s="33"/>
      <c r="P7553" s="33"/>
      <c r="Q7553" s="33"/>
      <c r="R7553" s="33"/>
      <c r="S7553" s="33"/>
      <c r="T7553" s="33"/>
      <c r="U7553" s="33"/>
      <c r="V7553" s="33"/>
      <c r="W7553" s="33"/>
      <c r="X7553" s="33"/>
      <c r="Y7553" s="33"/>
      <c r="Z7553" s="33"/>
      <c r="AA7553" s="33"/>
      <c r="AB7553" s="33"/>
      <c r="AC7553" s="33"/>
      <c r="AD7553" s="33"/>
      <c r="AE7553" s="33"/>
      <c r="AF7553" s="33"/>
      <c r="AG7553" s="33"/>
      <c r="AH7553" s="33"/>
      <c r="AI7553" s="33"/>
      <c r="AJ7553" s="33"/>
      <c r="AK7553" s="33"/>
    </row>
    <row r="7554">
      <c r="A7554" s="33"/>
      <c r="B7554" s="33"/>
      <c r="C7554" s="33"/>
      <c r="D7554" s="33"/>
      <c r="E7554" s="33"/>
      <c r="F7554" s="33"/>
      <c r="G7554" s="33"/>
      <c r="H7554" s="33"/>
      <c r="I7554" s="33"/>
      <c r="J7554" s="33"/>
      <c r="K7554" s="33"/>
      <c r="L7554" s="33"/>
      <c r="M7554" s="33"/>
      <c r="N7554" s="33"/>
      <c r="O7554" s="33"/>
      <c r="P7554" s="33"/>
      <c r="Q7554" s="33"/>
      <c r="R7554" s="33"/>
      <c r="S7554" s="33"/>
      <c r="T7554" s="33"/>
      <c r="U7554" s="33"/>
      <c r="V7554" s="33"/>
      <c r="W7554" s="33"/>
      <c r="X7554" s="33"/>
      <c r="Y7554" s="33"/>
      <c r="Z7554" s="33"/>
      <c r="AA7554" s="33"/>
      <c r="AB7554" s="33"/>
      <c r="AC7554" s="33"/>
      <c r="AD7554" s="33"/>
      <c r="AE7554" s="33"/>
      <c r="AF7554" s="33"/>
      <c r="AG7554" s="33"/>
      <c r="AH7554" s="33"/>
      <c r="AI7554" s="33"/>
      <c r="AJ7554" s="33"/>
      <c r="AK7554" s="33"/>
    </row>
    <row r="7555">
      <c r="A7555" s="33"/>
      <c r="B7555" s="33"/>
      <c r="C7555" s="33"/>
      <c r="D7555" s="33"/>
      <c r="E7555" s="33"/>
      <c r="F7555" s="33"/>
      <c r="G7555" s="33"/>
      <c r="H7555" s="33"/>
      <c r="I7555" s="33"/>
      <c r="J7555" s="33"/>
      <c r="K7555" s="33"/>
      <c r="L7555" s="33"/>
      <c r="M7555" s="33"/>
      <c r="N7555" s="33"/>
      <c r="O7555" s="33"/>
      <c r="P7555" s="33"/>
      <c r="Q7555" s="33"/>
      <c r="R7555" s="33"/>
      <c r="S7555" s="33"/>
      <c r="T7555" s="33"/>
      <c r="U7555" s="33"/>
      <c r="V7555" s="33"/>
      <c r="W7555" s="33"/>
      <c r="X7555" s="33"/>
      <c r="Y7555" s="33"/>
      <c r="Z7555" s="33"/>
      <c r="AA7555" s="33"/>
      <c r="AB7555" s="33"/>
      <c r="AC7555" s="33"/>
      <c r="AD7555" s="33"/>
      <c r="AE7555" s="33"/>
      <c r="AF7555" s="33"/>
      <c r="AG7555" s="33"/>
      <c r="AH7555" s="33"/>
      <c r="AI7555" s="33"/>
      <c r="AJ7555" s="33"/>
      <c r="AK7555" s="33"/>
    </row>
    <row r="7556">
      <c r="A7556" s="33"/>
      <c r="B7556" s="33"/>
      <c r="C7556" s="33"/>
      <c r="D7556" s="33"/>
      <c r="E7556" s="33"/>
      <c r="F7556" s="33"/>
      <c r="G7556" s="33"/>
      <c r="H7556" s="33"/>
      <c r="I7556" s="33"/>
      <c r="J7556" s="33"/>
      <c r="K7556" s="33"/>
      <c r="L7556" s="33"/>
      <c r="M7556" s="33"/>
      <c r="N7556" s="33"/>
      <c r="O7556" s="33"/>
      <c r="P7556" s="33"/>
      <c r="Q7556" s="33"/>
      <c r="R7556" s="33"/>
      <c r="S7556" s="33"/>
      <c r="T7556" s="33"/>
      <c r="U7556" s="33"/>
      <c r="V7556" s="33"/>
      <c r="W7556" s="33"/>
      <c r="X7556" s="33"/>
      <c r="Y7556" s="33"/>
      <c r="Z7556" s="33"/>
      <c r="AA7556" s="33"/>
      <c r="AB7556" s="33"/>
      <c r="AC7556" s="33"/>
      <c r="AD7556" s="33"/>
      <c r="AE7556" s="33"/>
      <c r="AF7556" s="33"/>
      <c r="AG7556" s="33"/>
      <c r="AH7556" s="33"/>
      <c r="AI7556" s="33"/>
      <c r="AJ7556" s="33"/>
      <c r="AK7556" s="33"/>
    </row>
    <row r="7557">
      <c r="A7557" s="33"/>
      <c r="B7557" s="33"/>
      <c r="C7557" s="33"/>
      <c r="D7557" s="33"/>
      <c r="E7557" s="33"/>
      <c r="F7557" s="33"/>
      <c r="G7557" s="33"/>
      <c r="H7557" s="33"/>
      <c r="I7557" s="33"/>
      <c r="J7557" s="33"/>
      <c r="K7557" s="33"/>
      <c r="L7557" s="33"/>
      <c r="M7557" s="33"/>
      <c r="N7557" s="33"/>
      <c r="O7557" s="33"/>
      <c r="P7557" s="33"/>
      <c r="Q7557" s="33"/>
      <c r="R7557" s="33"/>
      <c r="S7557" s="33"/>
      <c r="T7557" s="33"/>
      <c r="U7557" s="33"/>
      <c r="V7557" s="33"/>
      <c r="W7557" s="33"/>
      <c r="X7557" s="33"/>
      <c r="Y7557" s="33"/>
      <c r="Z7557" s="33"/>
      <c r="AA7557" s="33"/>
      <c r="AB7557" s="33"/>
      <c r="AC7557" s="33"/>
      <c r="AD7557" s="33"/>
      <c r="AE7557" s="33"/>
      <c r="AF7557" s="33"/>
      <c r="AG7557" s="33"/>
      <c r="AH7557" s="33"/>
      <c r="AI7557" s="33"/>
      <c r="AJ7557" s="33"/>
      <c r="AK7557" s="33"/>
    </row>
    <row r="7558">
      <c r="A7558" s="33"/>
      <c r="B7558" s="33"/>
      <c r="C7558" s="33"/>
      <c r="D7558" s="33"/>
      <c r="E7558" s="33"/>
      <c r="F7558" s="33"/>
      <c r="G7558" s="33"/>
      <c r="H7558" s="33"/>
      <c r="I7558" s="33"/>
      <c r="J7558" s="33"/>
      <c r="K7558" s="33"/>
      <c r="L7558" s="33"/>
      <c r="M7558" s="33"/>
      <c r="N7558" s="33"/>
      <c r="O7558" s="33"/>
      <c r="P7558" s="33"/>
      <c r="Q7558" s="33"/>
      <c r="R7558" s="33"/>
      <c r="S7558" s="33"/>
      <c r="T7558" s="33"/>
      <c r="U7558" s="33"/>
      <c r="V7558" s="33"/>
      <c r="W7558" s="33"/>
      <c r="X7558" s="33"/>
      <c r="Y7558" s="33"/>
      <c r="Z7558" s="33"/>
      <c r="AA7558" s="33"/>
      <c r="AB7558" s="33"/>
      <c r="AC7558" s="33"/>
      <c r="AD7558" s="33"/>
      <c r="AE7558" s="33"/>
      <c r="AF7558" s="33"/>
      <c r="AG7558" s="33"/>
      <c r="AH7558" s="33"/>
      <c r="AI7558" s="33"/>
      <c r="AJ7558" s="33"/>
      <c r="AK7558" s="33"/>
    </row>
    <row r="7559">
      <c r="A7559" s="33"/>
      <c r="B7559" s="33"/>
      <c r="C7559" s="33"/>
      <c r="D7559" s="33"/>
      <c r="E7559" s="33"/>
      <c r="F7559" s="33"/>
      <c r="G7559" s="33"/>
      <c r="H7559" s="33"/>
      <c r="I7559" s="33"/>
      <c r="J7559" s="33"/>
      <c r="K7559" s="33"/>
      <c r="L7559" s="33"/>
      <c r="M7559" s="33"/>
      <c r="N7559" s="33"/>
      <c r="O7559" s="33"/>
      <c r="P7559" s="33"/>
      <c r="Q7559" s="33"/>
      <c r="R7559" s="33"/>
      <c r="S7559" s="33"/>
      <c r="T7559" s="33"/>
      <c r="U7559" s="33"/>
      <c r="V7559" s="33"/>
      <c r="W7559" s="33"/>
      <c r="X7559" s="33"/>
      <c r="Y7559" s="33"/>
      <c r="Z7559" s="33"/>
      <c r="AA7559" s="33"/>
      <c r="AB7559" s="33"/>
      <c r="AC7559" s="33"/>
      <c r="AD7559" s="33"/>
      <c r="AE7559" s="33"/>
      <c r="AF7559" s="33"/>
      <c r="AG7559" s="33"/>
      <c r="AH7559" s="33"/>
      <c r="AI7559" s="33"/>
      <c r="AJ7559" s="33"/>
      <c r="AK7559" s="33"/>
    </row>
    <row r="7560">
      <c r="A7560" s="33"/>
      <c r="B7560" s="33"/>
      <c r="C7560" s="33"/>
      <c r="D7560" s="33"/>
      <c r="E7560" s="33"/>
      <c r="F7560" s="33"/>
      <c r="G7560" s="33"/>
      <c r="H7560" s="33"/>
      <c r="I7560" s="33"/>
      <c r="J7560" s="33"/>
      <c r="K7560" s="33"/>
      <c r="L7560" s="33"/>
      <c r="M7560" s="33"/>
      <c r="N7560" s="33"/>
      <c r="O7560" s="33"/>
      <c r="P7560" s="33"/>
      <c r="Q7560" s="33"/>
      <c r="R7560" s="33"/>
      <c r="S7560" s="33"/>
      <c r="T7560" s="33"/>
      <c r="U7560" s="33"/>
      <c r="V7560" s="33"/>
      <c r="W7560" s="33"/>
      <c r="X7560" s="33"/>
      <c r="Y7560" s="33"/>
      <c r="Z7560" s="33"/>
      <c r="AA7560" s="33"/>
      <c r="AB7560" s="33"/>
      <c r="AC7560" s="33"/>
      <c r="AD7560" s="33"/>
      <c r="AE7560" s="33"/>
      <c r="AF7560" s="33"/>
      <c r="AG7560" s="33"/>
      <c r="AH7560" s="33"/>
      <c r="AI7560" s="33"/>
      <c r="AJ7560" s="33"/>
      <c r="AK7560" s="33"/>
    </row>
    <row r="7561">
      <c r="A7561" s="33"/>
      <c r="B7561" s="33"/>
      <c r="C7561" s="33"/>
      <c r="D7561" s="33"/>
      <c r="E7561" s="33"/>
      <c r="F7561" s="33"/>
      <c r="G7561" s="33"/>
      <c r="H7561" s="33"/>
      <c r="I7561" s="33"/>
      <c r="J7561" s="33"/>
      <c r="K7561" s="33"/>
      <c r="L7561" s="33"/>
      <c r="M7561" s="33"/>
      <c r="N7561" s="33"/>
      <c r="O7561" s="33"/>
      <c r="P7561" s="33"/>
      <c r="Q7561" s="33"/>
      <c r="R7561" s="33"/>
      <c r="S7561" s="33"/>
      <c r="T7561" s="33"/>
      <c r="U7561" s="33"/>
      <c r="V7561" s="33"/>
      <c r="W7561" s="33"/>
      <c r="X7561" s="33"/>
      <c r="Y7561" s="33"/>
      <c r="Z7561" s="33"/>
      <c r="AA7561" s="33"/>
      <c r="AB7561" s="33"/>
      <c r="AC7561" s="33"/>
      <c r="AD7561" s="33"/>
      <c r="AE7561" s="33"/>
      <c r="AF7561" s="33"/>
      <c r="AG7561" s="33"/>
      <c r="AH7561" s="33"/>
      <c r="AI7561" s="33"/>
      <c r="AJ7561" s="33"/>
      <c r="AK7561" s="33"/>
    </row>
    <row r="7562">
      <c r="A7562" s="33"/>
      <c r="B7562" s="33"/>
      <c r="C7562" s="33"/>
      <c r="D7562" s="33"/>
      <c r="E7562" s="33"/>
      <c r="F7562" s="33"/>
      <c r="G7562" s="33"/>
      <c r="H7562" s="33"/>
      <c r="I7562" s="33"/>
      <c r="J7562" s="33"/>
      <c r="K7562" s="33"/>
      <c r="L7562" s="33"/>
      <c r="M7562" s="33"/>
      <c r="N7562" s="33"/>
      <c r="O7562" s="33"/>
      <c r="P7562" s="33"/>
      <c r="Q7562" s="33"/>
      <c r="R7562" s="33"/>
      <c r="S7562" s="33"/>
      <c r="T7562" s="33"/>
      <c r="U7562" s="33"/>
      <c r="V7562" s="33"/>
      <c r="W7562" s="33"/>
      <c r="X7562" s="33"/>
      <c r="Y7562" s="33"/>
      <c r="Z7562" s="33"/>
      <c r="AA7562" s="33"/>
      <c r="AB7562" s="33"/>
      <c r="AC7562" s="33"/>
      <c r="AD7562" s="33"/>
      <c r="AE7562" s="33"/>
      <c r="AF7562" s="33"/>
      <c r="AG7562" s="33"/>
      <c r="AH7562" s="33"/>
      <c r="AI7562" s="33"/>
      <c r="AJ7562" s="33"/>
      <c r="AK7562" s="33"/>
    </row>
    <row r="7563">
      <c r="A7563" s="33"/>
      <c r="B7563" s="33"/>
      <c r="C7563" s="33"/>
      <c r="D7563" s="33"/>
      <c r="E7563" s="33"/>
      <c r="F7563" s="33"/>
      <c r="G7563" s="33"/>
      <c r="H7563" s="33"/>
      <c r="I7563" s="33"/>
      <c r="J7563" s="33"/>
      <c r="K7563" s="33"/>
      <c r="L7563" s="33"/>
      <c r="M7563" s="33"/>
      <c r="N7563" s="33"/>
      <c r="O7563" s="33"/>
      <c r="P7563" s="33"/>
      <c r="Q7563" s="33"/>
      <c r="R7563" s="33"/>
      <c r="S7563" s="33"/>
      <c r="T7563" s="33"/>
      <c r="U7563" s="33"/>
      <c r="V7563" s="33"/>
      <c r="W7563" s="33"/>
      <c r="X7563" s="33"/>
      <c r="Y7563" s="33"/>
      <c r="Z7563" s="33"/>
      <c r="AA7563" s="33"/>
      <c r="AB7563" s="33"/>
      <c r="AC7563" s="33"/>
      <c r="AD7563" s="33"/>
      <c r="AE7563" s="33"/>
      <c r="AF7563" s="33"/>
      <c r="AG7563" s="33"/>
      <c r="AH7563" s="33"/>
      <c r="AI7563" s="33"/>
      <c r="AJ7563" s="33"/>
      <c r="AK7563" s="33"/>
    </row>
    <row r="7564">
      <c r="A7564" s="33"/>
      <c r="B7564" s="33"/>
      <c r="C7564" s="33"/>
      <c r="D7564" s="33"/>
      <c r="E7564" s="33"/>
      <c r="F7564" s="33"/>
      <c r="G7564" s="33"/>
      <c r="H7564" s="33"/>
      <c r="I7564" s="33"/>
      <c r="J7564" s="33"/>
      <c r="K7564" s="33"/>
      <c r="L7564" s="33"/>
      <c r="M7564" s="33"/>
      <c r="N7564" s="33"/>
      <c r="O7564" s="33"/>
      <c r="P7564" s="33"/>
      <c r="Q7564" s="33"/>
      <c r="R7564" s="33"/>
      <c r="S7564" s="33"/>
      <c r="T7564" s="33"/>
      <c r="U7564" s="33"/>
      <c r="V7564" s="33"/>
      <c r="W7564" s="33"/>
      <c r="X7564" s="33"/>
      <c r="Y7564" s="33"/>
      <c r="Z7564" s="33"/>
      <c r="AA7564" s="33"/>
      <c r="AB7564" s="33"/>
      <c r="AC7564" s="33"/>
      <c r="AD7564" s="33"/>
      <c r="AE7564" s="33"/>
      <c r="AF7564" s="33"/>
      <c r="AG7564" s="33"/>
      <c r="AH7564" s="33"/>
      <c r="AI7564" s="33"/>
      <c r="AJ7564" s="33"/>
      <c r="AK7564" s="33"/>
    </row>
    <row r="7565">
      <c r="A7565" s="33"/>
      <c r="B7565" s="33"/>
      <c r="C7565" s="33"/>
      <c r="D7565" s="33"/>
      <c r="E7565" s="33"/>
      <c r="F7565" s="33"/>
      <c r="G7565" s="33"/>
      <c r="H7565" s="33"/>
      <c r="I7565" s="33"/>
      <c r="J7565" s="33"/>
      <c r="K7565" s="33"/>
      <c r="L7565" s="33"/>
      <c r="M7565" s="33"/>
      <c r="N7565" s="33"/>
      <c r="O7565" s="33"/>
      <c r="P7565" s="33"/>
      <c r="Q7565" s="33"/>
      <c r="R7565" s="33"/>
      <c r="S7565" s="33"/>
      <c r="T7565" s="33"/>
      <c r="U7565" s="33"/>
      <c r="V7565" s="33"/>
      <c r="W7565" s="33"/>
      <c r="X7565" s="33"/>
      <c r="Y7565" s="33"/>
      <c r="Z7565" s="33"/>
      <c r="AA7565" s="33"/>
      <c r="AB7565" s="33"/>
      <c r="AC7565" s="33"/>
      <c r="AD7565" s="33"/>
      <c r="AE7565" s="33"/>
      <c r="AF7565" s="33"/>
      <c r="AG7565" s="33"/>
      <c r="AH7565" s="33"/>
      <c r="AI7565" s="33"/>
      <c r="AJ7565" s="33"/>
      <c r="AK7565" s="33"/>
    </row>
    <row r="7566">
      <c r="A7566" s="33"/>
      <c r="B7566" s="33"/>
      <c r="C7566" s="33"/>
      <c r="D7566" s="33"/>
      <c r="E7566" s="33"/>
      <c r="F7566" s="33"/>
      <c r="G7566" s="33"/>
      <c r="H7566" s="33"/>
      <c r="I7566" s="33"/>
      <c r="J7566" s="33"/>
      <c r="K7566" s="33"/>
      <c r="L7566" s="33"/>
      <c r="M7566" s="33"/>
      <c r="N7566" s="33"/>
      <c r="O7566" s="33"/>
      <c r="P7566" s="33"/>
      <c r="Q7566" s="33"/>
      <c r="R7566" s="33"/>
      <c r="S7566" s="33"/>
      <c r="T7566" s="33"/>
      <c r="U7566" s="33"/>
      <c r="V7566" s="33"/>
      <c r="W7566" s="33"/>
      <c r="X7566" s="33"/>
      <c r="Y7566" s="33"/>
      <c r="Z7566" s="33"/>
      <c r="AA7566" s="33"/>
      <c r="AB7566" s="33"/>
      <c r="AC7566" s="33"/>
      <c r="AD7566" s="33"/>
      <c r="AE7566" s="33"/>
      <c r="AF7566" s="33"/>
      <c r="AG7566" s="33"/>
      <c r="AH7566" s="33"/>
      <c r="AI7566" s="33"/>
      <c r="AJ7566" s="33"/>
      <c r="AK7566" s="33"/>
    </row>
    <row r="7567">
      <c r="A7567" s="33"/>
      <c r="B7567" s="33"/>
      <c r="C7567" s="33"/>
      <c r="D7567" s="33"/>
      <c r="E7567" s="33"/>
      <c r="F7567" s="33"/>
      <c r="G7567" s="33"/>
      <c r="H7567" s="33"/>
      <c r="I7567" s="33"/>
      <c r="J7567" s="33"/>
      <c r="K7567" s="33"/>
      <c r="L7567" s="33"/>
      <c r="M7567" s="33"/>
      <c r="N7567" s="33"/>
      <c r="O7567" s="33"/>
      <c r="P7567" s="33"/>
      <c r="Q7567" s="33"/>
      <c r="R7567" s="33"/>
      <c r="S7567" s="33"/>
      <c r="T7567" s="33"/>
      <c r="U7567" s="33"/>
      <c r="V7567" s="33"/>
      <c r="W7567" s="33"/>
      <c r="X7567" s="33"/>
      <c r="Y7567" s="33"/>
      <c r="Z7567" s="33"/>
      <c r="AA7567" s="33"/>
      <c r="AB7567" s="33"/>
      <c r="AC7567" s="33"/>
      <c r="AD7567" s="33"/>
      <c r="AE7567" s="33"/>
      <c r="AF7567" s="33"/>
      <c r="AG7567" s="33"/>
      <c r="AH7567" s="33"/>
      <c r="AI7567" s="33"/>
      <c r="AJ7567" s="33"/>
      <c r="AK7567" s="33"/>
    </row>
    <row r="7568">
      <c r="A7568" s="33"/>
      <c r="B7568" s="33"/>
      <c r="C7568" s="33"/>
      <c r="D7568" s="33"/>
      <c r="E7568" s="33"/>
      <c r="F7568" s="33"/>
      <c r="G7568" s="33"/>
      <c r="H7568" s="33"/>
      <c r="I7568" s="33"/>
      <c r="J7568" s="33"/>
      <c r="K7568" s="33"/>
      <c r="L7568" s="33"/>
      <c r="M7568" s="33"/>
      <c r="N7568" s="33"/>
      <c r="O7568" s="33"/>
      <c r="P7568" s="33"/>
      <c r="Q7568" s="33"/>
      <c r="R7568" s="33"/>
      <c r="S7568" s="33"/>
      <c r="T7568" s="33"/>
      <c r="U7568" s="33"/>
      <c r="V7568" s="33"/>
      <c r="W7568" s="33"/>
      <c r="X7568" s="33"/>
      <c r="Y7568" s="33"/>
      <c r="Z7568" s="33"/>
      <c r="AA7568" s="33"/>
      <c r="AB7568" s="33"/>
      <c r="AC7568" s="33"/>
      <c r="AD7568" s="33"/>
      <c r="AE7568" s="33"/>
      <c r="AF7568" s="33"/>
      <c r="AG7568" s="33"/>
      <c r="AH7568" s="33"/>
      <c r="AI7568" s="33"/>
      <c r="AJ7568" s="33"/>
      <c r="AK7568" s="33"/>
    </row>
    <row r="7569">
      <c r="A7569" s="33"/>
      <c r="B7569" s="33"/>
      <c r="C7569" s="33"/>
      <c r="D7569" s="33"/>
      <c r="E7569" s="33"/>
      <c r="F7569" s="33"/>
      <c r="G7569" s="33"/>
      <c r="H7569" s="33"/>
      <c r="I7569" s="33"/>
      <c r="J7569" s="33"/>
      <c r="K7569" s="33"/>
      <c r="L7569" s="33"/>
      <c r="M7569" s="33"/>
      <c r="N7569" s="33"/>
      <c r="O7569" s="33"/>
      <c r="P7569" s="33"/>
      <c r="Q7569" s="33"/>
      <c r="R7569" s="33"/>
      <c r="S7569" s="33"/>
      <c r="T7569" s="33"/>
      <c r="U7569" s="33"/>
      <c r="V7569" s="33"/>
      <c r="W7569" s="33"/>
      <c r="X7569" s="33"/>
      <c r="Y7569" s="33"/>
      <c r="Z7569" s="33"/>
      <c r="AA7569" s="33"/>
      <c r="AB7569" s="33"/>
      <c r="AC7569" s="33"/>
      <c r="AD7569" s="33"/>
      <c r="AE7569" s="33"/>
      <c r="AF7569" s="33"/>
      <c r="AG7569" s="33"/>
      <c r="AH7569" s="33"/>
      <c r="AI7569" s="33"/>
      <c r="AJ7569" s="33"/>
      <c r="AK7569" s="33"/>
    </row>
    <row r="7570">
      <c r="A7570" s="33"/>
      <c r="B7570" s="33"/>
      <c r="C7570" s="33"/>
      <c r="D7570" s="33"/>
      <c r="E7570" s="33"/>
      <c r="F7570" s="33"/>
      <c r="G7570" s="33"/>
      <c r="H7570" s="33"/>
      <c r="I7570" s="33"/>
      <c r="J7570" s="33"/>
      <c r="K7570" s="33"/>
      <c r="L7570" s="33"/>
      <c r="M7570" s="33"/>
      <c r="N7570" s="33"/>
      <c r="O7570" s="33"/>
      <c r="P7570" s="33"/>
      <c r="Q7570" s="33"/>
      <c r="R7570" s="33"/>
      <c r="S7570" s="33"/>
      <c r="T7570" s="33"/>
      <c r="U7570" s="33"/>
      <c r="V7570" s="33"/>
      <c r="W7570" s="33"/>
      <c r="X7570" s="33"/>
      <c r="Y7570" s="33"/>
      <c r="Z7570" s="33"/>
      <c r="AA7570" s="33"/>
      <c r="AB7570" s="33"/>
      <c r="AC7570" s="33"/>
      <c r="AD7570" s="33"/>
      <c r="AE7570" s="33"/>
      <c r="AF7570" s="33"/>
      <c r="AG7570" s="33"/>
      <c r="AH7570" s="33"/>
      <c r="AI7570" s="33"/>
      <c r="AJ7570" s="33"/>
      <c r="AK7570" s="33"/>
    </row>
    <row r="7571">
      <c r="A7571" s="33"/>
      <c r="B7571" s="33"/>
      <c r="C7571" s="33"/>
      <c r="D7571" s="33"/>
      <c r="E7571" s="33"/>
      <c r="F7571" s="33"/>
      <c r="G7571" s="33"/>
      <c r="H7571" s="33"/>
      <c r="I7571" s="33"/>
      <c r="J7571" s="33"/>
      <c r="K7571" s="33"/>
      <c r="L7571" s="33"/>
      <c r="M7571" s="33"/>
      <c r="N7571" s="33"/>
      <c r="O7571" s="33"/>
      <c r="P7571" s="33"/>
      <c r="Q7571" s="33"/>
      <c r="R7571" s="33"/>
      <c r="S7571" s="33"/>
      <c r="T7571" s="33"/>
      <c r="U7571" s="33"/>
      <c r="V7571" s="33"/>
      <c r="W7571" s="33"/>
      <c r="X7571" s="33"/>
      <c r="Y7571" s="33"/>
      <c r="Z7571" s="33"/>
      <c r="AA7571" s="33"/>
      <c r="AB7571" s="33"/>
      <c r="AC7571" s="33"/>
      <c r="AD7571" s="33"/>
      <c r="AE7571" s="33"/>
      <c r="AF7571" s="33"/>
      <c r="AG7571" s="33"/>
      <c r="AH7571" s="33"/>
      <c r="AI7571" s="33"/>
      <c r="AJ7571" s="33"/>
      <c r="AK7571" s="33"/>
    </row>
    <row r="7572">
      <c r="A7572" s="33"/>
      <c r="B7572" s="33"/>
      <c r="C7572" s="33"/>
      <c r="D7572" s="33"/>
      <c r="E7572" s="33"/>
      <c r="F7572" s="33"/>
      <c r="G7572" s="33"/>
      <c r="H7572" s="33"/>
      <c r="I7572" s="33"/>
      <c r="J7572" s="33"/>
      <c r="K7572" s="33"/>
      <c r="L7572" s="33"/>
      <c r="M7572" s="33"/>
      <c r="N7572" s="33"/>
      <c r="O7572" s="33"/>
      <c r="P7572" s="33"/>
      <c r="Q7572" s="33"/>
      <c r="R7572" s="33"/>
      <c r="S7572" s="33"/>
      <c r="T7572" s="33"/>
      <c r="U7572" s="33"/>
      <c r="V7572" s="33"/>
      <c r="W7572" s="33"/>
      <c r="X7572" s="33"/>
      <c r="Y7572" s="33"/>
      <c r="Z7572" s="33"/>
      <c r="AA7572" s="33"/>
      <c r="AB7572" s="33"/>
      <c r="AC7572" s="33"/>
      <c r="AD7572" s="33"/>
      <c r="AE7572" s="33"/>
      <c r="AF7572" s="33"/>
      <c r="AG7572" s="33"/>
      <c r="AH7572" s="33"/>
      <c r="AI7572" s="33"/>
      <c r="AJ7572" s="33"/>
      <c r="AK7572" s="33"/>
    </row>
    <row r="7573">
      <c r="A7573" s="33"/>
      <c r="B7573" s="33"/>
      <c r="C7573" s="33"/>
      <c r="D7573" s="33"/>
      <c r="E7573" s="33"/>
      <c r="F7573" s="33"/>
      <c r="G7573" s="33"/>
      <c r="H7573" s="33"/>
      <c r="I7573" s="33"/>
      <c r="J7573" s="33"/>
      <c r="K7573" s="33"/>
      <c r="L7573" s="33"/>
      <c r="M7573" s="33"/>
      <c r="N7573" s="33"/>
      <c r="O7573" s="33"/>
      <c r="P7573" s="33"/>
      <c r="Q7573" s="33"/>
      <c r="R7573" s="33"/>
      <c r="S7573" s="33"/>
      <c r="T7573" s="33"/>
      <c r="U7573" s="33"/>
      <c r="V7573" s="33"/>
      <c r="W7573" s="33"/>
      <c r="X7573" s="33"/>
      <c r="Y7573" s="33"/>
      <c r="Z7573" s="33"/>
      <c r="AA7573" s="33"/>
      <c r="AB7573" s="33"/>
      <c r="AC7573" s="33"/>
      <c r="AD7573" s="33"/>
      <c r="AE7573" s="33"/>
      <c r="AF7573" s="33"/>
      <c r="AG7573" s="33"/>
      <c r="AH7573" s="33"/>
      <c r="AI7573" s="33"/>
      <c r="AJ7573" s="33"/>
      <c r="AK7573" s="33"/>
    </row>
    <row r="7574">
      <c r="A7574" s="33"/>
      <c r="B7574" s="33"/>
      <c r="C7574" s="33"/>
      <c r="D7574" s="33"/>
      <c r="E7574" s="33"/>
      <c r="F7574" s="33"/>
      <c r="G7574" s="33"/>
      <c r="H7574" s="33"/>
      <c r="I7574" s="33"/>
      <c r="J7574" s="33"/>
      <c r="K7574" s="33"/>
      <c r="L7574" s="33"/>
      <c r="M7574" s="33"/>
      <c r="N7574" s="33"/>
      <c r="O7574" s="33"/>
      <c r="P7574" s="33"/>
      <c r="Q7574" s="33"/>
      <c r="R7574" s="33"/>
      <c r="S7574" s="33"/>
      <c r="T7574" s="33"/>
      <c r="U7574" s="33"/>
      <c r="V7574" s="33"/>
      <c r="W7574" s="33"/>
      <c r="X7574" s="33"/>
      <c r="Y7574" s="33"/>
      <c r="Z7574" s="33"/>
      <c r="AA7574" s="33"/>
      <c r="AB7574" s="33"/>
      <c r="AC7574" s="33"/>
      <c r="AD7574" s="33"/>
      <c r="AE7574" s="33"/>
      <c r="AF7574" s="33"/>
      <c r="AG7574" s="33"/>
      <c r="AH7574" s="33"/>
      <c r="AI7574" s="33"/>
      <c r="AJ7574" s="33"/>
      <c r="AK7574" s="33"/>
    </row>
    <row r="7575">
      <c r="A7575" s="33"/>
      <c r="B7575" s="33"/>
      <c r="C7575" s="33"/>
      <c r="D7575" s="33"/>
      <c r="E7575" s="33"/>
      <c r="F7575" s="33"/>
      <c r="G7575" s="33"/>
      <c r="H7575" s="33"/>
      <c r="I7575" s="33"/>
      <c r="J7575" s="33"/>
      <c r="K7575" s="33"/>
      <c r="L7575" s="33"/>
      <c r="M7575" s="33"/>
      <c r="N7575" s="33"/>
      <c r="O7575" s="33"/>
      <c r="P7575" s="33"/>
      <c r="Q7575" s="33"/>
      <c r="R7575" s="33"/>
      <c r="S7575" s="33"/>
      <c r="T7575" s="33"/>
      <c r="U7575" s="33"/>
      <c r="V7575" s="33"/>
      <c r="W7575" s="33"/>
      <c r="X7575" s="33"/>
      <c r="Y7575" s="33"/>
      <c r="Z7575" s="33"/>
      <c r="AA7575" s="33"/>
      <c r="AB7575" s="33"/>
      <c r="AC7575" s="33"/>
      <c r="AD7575" s="33"/>
      <c r="AE7575" s="33"/>
      <c r="AF7575" s="33"/>
      <c r="AG7575" s="33"/>
      <c r="AH7575" s="33"/>
      <c r="AI7575" s="33"/>
      <c r="AJ7575" s="33"/>
      <c r="AK7575" s="33"/>
    </row>
    <row r="7576">
      <c r="A7576" s="33"/>
      <c r="B7576" s="33"/>
      <c r="C7576" s="33"/>
      <c r="D7576" s="33"/>
      <c r="E7576" s="33"/>
      <c r="F7576" s="33"/>
      <c r="G7576" s="33"/>
      <c r="H7576" s="33"/>
      <c r="I7576" s="33"/>
      <c r="J7576" s="33"/>
      <c r="K7576" s="33"/>
      <c r="L7576" s="33"/>
      <c r="M7576" s="33"/>
      <c r="N7576" s="33"/>
      <c r="O7576" s="33"/>
      <c r="P7576" s="33"/>
      <c r="Q7576" s="33"/>
      <c r="R7576" s="33"/>
      <c r="S7576" s="33"/>
      <c r="T7576" s="33"/>
      <c r="U7576" s="33"/>
      <c r="V7576" s="33"/>
      <c r="W7576" s="33"/>
      <c r="X7576" s="33"/>
      <c r="Y7576" s="33"/>
      <c r="Z7576" s="33"/>
      <c r="AA7576" s="33"/>
      <c r="AB7576" s="33"/>
      <c r="AC7576" s="33"/>
      <c r="AD7576" s="33"/>
      <c r="AE7576" s="33"/>
      <c r="AF7576" s="33"/>
      <c r="AG7576" s="33"/>
      <c r="AH7576" s="33"/>
      <c r="AI7576" s="33"/>
      <c r="AJ7576" s="33"/>
      <c r="AK7576" s="33"/>
    </row>
    <row r="7577">
      <c r="A7577" s="33"/>
      <c r="B7577" s="33"/>
      <c r="C7577" s="33"/>
      <c r="D7577" s="33"/>
      <c r="E7577" s="33"/>
      <c r="F7577" s="33"/>
      <c r="G7577" s="33"/>
      <c r="H7577" s="33"/>
      <c r="I7577" s="33"/>
      <c r="J7577" s="33"/>
      <c r="K7577" s="33"/>
      <c r="L7577" s="33"/>
      <c r="M7577" s="33"/>
      <c r="N7577" s="33"/>
      <c r="O7577" s="33"/>
      <c r="P7577" s="33"/>
      <c r="Q7577" s="33"/>
      <c r="R7577" s="33"/>
      <c r="S7577" s="33"/>
      <c r="T7577" s="33"/>
      <c r="U7577" s="33"/>
      <c r="V7577" s="33"/>
      <c r="W7577" s="33"/>
      <c r="X7577" s="33"/>
      <c r="Y7577" s="33"/>
      <c r="Z7577" s="33"/>
      <c r="AA7577" s="33"/>
      <c r="AB7577" s="33"/>
      <c r="AC7577" s="33"/>
      <c r="AD7577" s="33"/>
      <c r="AE7577" s="33"/>
      <c r="AF7577" s="33"/>
      <c r="AG7577" s="33"/>
      <c r="AH7577" s="33"/>
      <c r="AI7577" s="33"/>
      <c r="AJ7577" s="33"/>
      <c r="AK7577" s="33"/>
    </row>
    <row r="7578">
      <c r="A7578" s="33"/>
      <c r="B7578" s="33"/>
      <c r="C7578" s="33"/>
      <c r="D7578" s="33"/>
      <c r="E7578" s="33"/>
      <c r="F7578" s="33"/>
      <c r="G7578" s="33"/>
      <c r="H7578" s="33"/>
      <c r="I7578" s="33"/>
      <c r="J7578" s="33"/>
      <c r="K7578" s="33"/>
      <c r="L7578" s="33"/>
      <c r="M7578" s="33"/>
      <c r="N7578" s="33"/>
      <c r="O7578" s="33"/>
      <c r="P7578" s="33"/>
      <c r="Q7578" s="33"/>
      <c r="R7578" s="33"/>
      <c r="S7578" s="33"/>
      <c r="T7578" s="33"/>
      <c r="U7578" s="33"/>
      <c r="V7578" s="33"/>
      <c r="W7578" s="33"/>
      <c r="X7578" s="33"/>
      <c r="Y7578" s="33"/>
      <c r="Z7578" s="33"/>
      <c r="AA7578" s="33"/>
      <c r="AB7578" s="33"/>
      <c r="AC7578" s="33"/>
      <c r="AD7578" s="33"/>
      <c r="AE7578" s="33"/>
      <c r="AF7578" s="33"/>
      <c r="AG7578" s="33"/>
      <c r="AH7578" s="33"/>
      <c r="AI7578" s="33"/>
      <c r="AJ7578" s="33"/>
      <c r="AK7578" s="33"/>
    </row>
    <row r="7579">
      <c r="A7579" s="33"/>
      <c r="B7579" s="33"/>
      <c r="C7579" s="33"/>
      <c r="D7579" s="33"/>
      <c r="E7579" s="33"/>
      <c r="F7579" s="33"/>
      <c r="G7579" s="33"/>
      <c r="H7579" s="33"/>
      <c r="I7579" s="33"/>
      <c r="J7579" s="33"/>
      <c r="K7579" s="33"/>
      <c r="L7579" s="33"/>
      <c r="M7579" s="33"/>
      <c r="N7579" s="33"/>
      <c r="O7579" s="33"/>
      <c r="P7579" s="33"/>
      <c r="Q7579" s="33"/>
      <c r="R7579" s="33"/>
      <c r="S7579" s="33"/>
      <c r="T7579" s="33"/>
      <c r="U7579" s="33"/>
      <c r="V7579" s="33"/>
      <c r="W7579" s="33"/>
      <c r="X7579" s="33"/>
      <c r="Y7579" s="33"/>
      <c r="Z7579" s="33"/>
      <c r="AA7579" s="33"/>
      <c r="AB7579" s="33"/>
      <c r="AC7579" s="33"/>
      <c r="AD7579" s="33"/>
      <c r="AE7579" s="33"/>
      <c r="AF7579" s="33"/>
      <c r="AG7579" s="33"/>
      <c r="AH7579" s="33"/>
      <c r="AI7579" s="33"/>
      <c r="AJ7579" s="33"/>
      <c r="AK7579" s="33"/>
    </row>
    <row r="7580">
      <c r="A7580" s="33"/>
      <c r="B7580" s="33"/>
      <c r="C7580" s="33"/>
      <c r="D7580" s="33"/>
      <c r="E7580" s="33"/>
      <c r="F7580" s="33"/>
      <c r="G7580" s="33"/>
      <c r="H7580" s="33"/>
      <c r="I7580" s="33"/>
      <c r="J7580" s="33"/>
      <c r="K7580" s="33"/>
      <c r="L7580" s="33"/>
      <c r="M7580" s="33"/>
      <c r="N7580" s="33"/>
      <c r="O7580" s="33"/>
      <c r="P7580" s="33"/>
      <c r="Q7580" s="33"/>
      <c r="R7580" s="33"/>
      <c r="S7580" s="33"/>
      <c r="T7580" s="33"/>
      <c r="U7580" s="33"/>
      <c r="V7580" s="33"/>
      <c r="W7580" s="33"/>
      <c r="X7580" s="33"/>
      <c r="Y7580" s="33"/>
      <c r="Z7580" s="33"/>
      <c r="AA7580" s="33"/>
      <c r="AB7580" s="33"/>
      <c r="AC7580" s="33"/>
      <c r="AD7580" s="33"/>
      <c r="AE7580" s="33"/>
      <c r="AF7580" s="33"/>
      <c r="AG7580" s="33"/>
      <c r="AH7580" s="33"/>
      <c r="AI7580" s="33"/>
      <c r="AJ7580" s="33"/>
      <c r="AK7580" s="33"/>
    </row>
    <row r="7581">
      <c r="A7581" s="33"/>
      <c r="B7581" s="33"/>
      <c r="C7581" s="33"/>
      <c r="D7581" s="33"/>
      <c r="E7581" s="33"/>
      <c r="F7581" s="33"/>
      <c r="G7581" s="33"/>
      <c r="H7581" s="33"/>
      <c r="I7581" s="33"/>
      <c r="J7581" s="33"/>
      <c r="K7581" s="33"/>
      <c r="L7581" s="33"/>
      <c r="M7581" s="33"/>
      <c r="N7581" s="33"/>
      <c r="O7581" s="33"/>
      <c r="P7581" s="33"/>
      <c r="Q7581" s="33"/>
      <c r="R7581" s="33"/>
      <c r="S7581" s="33"/>
      <c r="T7581" s="33"/>
      <c r="U7581" s="33"/>
      <c r="V7581" s="33"/>
      <c r="W7581" s="33"/>
      <c r="X7581" s="33"/>
      <c r="Y7581" s="33"/>
      <c r="Z7581" s="33"/>
      <c r="AA7581" s="33"/>
      <c r="AB7581" s="33"/>
      <c r="AC7581" s="33"/>
      <c r="AD7581" s="33"/>
      <c r="AE7581" s="33"/>
      <c r="AF7581" s="33"/>
      <c r="AG7581" s="33"/>
      <c r="AH7581" s="33"/>
      <c r="AI7581" s="33"/>
      <c r="AJ7581" s="33"/>
      <c r="AK7581" s="33"/>
    </row>
    <row r="7582">
      <c r="A7582" s="33"/>
      <c r="B7582" s="33"/>
      <c r="C7582" s="33"/>
      <c r="D7582" s="33"/>
      <c r="E7582" s="33"/>
      <c r="F7582" s="33"/>
      <c r="G7582" s="33"/>
      <c r="H7582" s="33"/>
      <c r="I7582" s="33"/>
      <c r="J7582" s="33"/>
      <c r="K7582" s="33"/>
      <c r="L7582" s="33"/>
      <c r="M7582" s="33"/>
      <c r="N7582" s="33"/>
      <c r="O7582" s="33"/>
      <c r="P7582" s="33"/>
      <c r="Q7582" s="33"/>
      <c r="R7582" s="33"/>
      <c r="S7582" s="33"/>
      <c r="T7582" s="33"/>
      <c r="U7582" s="33"/>
      <c r="V7582" s="33"/>
      <c r="W7582" s="33"/>
      <c r="X7582" s="33"/>
      <c r="Y7582" s="33"/>
      <c r="Z7582" s="33"/>
      <c r="AA7582" s="33"/>
      <c r="AB7582" s="33"/>
      <c r="AC7582" s="33"/>
      <c r="AD7582" s="33"/>
      <c r="AE7582" s="33"/>
      <c r="AF7582" s="33"/>
      <c r="AG7582" s="33"/>
      <c r="AH7582" s="33"/>
      <c r="AI7582" s="33"/>
      <c r="AJ7582" s="33"/>
      <c r="AK7582" s="33"/>
    </row>
    <row r="7583">
      <c r="A7583" s="33"/>
      <c r="B7583" s="33"/>
      <c r="C7583" s="33"/>
      <c r="D7583" s="33"/>
      <c r="E7583" s="33"/>
      <c r="F7583" s="33"/>
      <c r="G7583" s="33"/>
      <c r="H7583" s="33"/>
      <c r="I7583" s="33"/>
      <c r="J7583" s="33"/>
      <c r="K7583" s="33"/>
      <c r="L7583" s="33"/>
      <c r="M7583" s="33"/>
      <c r="N7583" s="33"/>
      <c r="O7583" s="33"/>
      <c r="P7583" s="33"/>
      <c r="Q7583" s="33"/>
      <c r="R7583" s="33"/>
      <c r="S7583" s="33"/>
      <c r="T7583" s="33"/>
      <c r="U7583" s="33"/>
      <c r="V7583" s="33"/>
      <c r="W7583" s="33"/>
      <c r="X7583" s="33"/>
      <c r="Y7583" s="33"/>
      <c r="Z7583" s="33"/>
      <c r="AA7583" s="33"/>
      <c r="AB7583" s="33"/>
      <c r="AC7583" s="33"/>
      <c r="AD7583" s="33"/>
      <c r="AE7583" s="33"/>
      <c r="AF7583" s="33"/>
      <c r="AG7583" s="33"/>
      <c r="AH7583" s="33"/>
      <c r="AI7583" s="33"/>
      <c r="AJ7583" s="33"/>
      <c r="AK7583" s="33"/>
    </row>
    <row r="7584">
      <c r="A7584" s="33"/>
      <c r="B7584" s="33"/>
      <c r="C7584" s="33"/>
      <c r="D7584" s="33"/>
      <c r="E7584" s="33"/>
      <c r="F7584" s="33"/>
      <c r="G7584" s="33"/>
      <c r="H7584" s="33"/>
      <c r="I7584" s="33"/>
      <c r="J7584" s="33"/>
      <c r="K7584" s="33"/>
      <c r="L7584" s="33"/>
      <c r="M7584" s="33"/>
      <c r="N7584" s="33"/>
      <c r="O7584" s="33"/>
      <c r="P7584" s="33"/>
      <c r="Q7584" s="33"/>
      <c r="R7584" s="33"/>
      <c r="S7584" s="33"/>
      <c r="T7584" s="33"/>
      <c r="U7584" s="33"/>
      <c r="V7584" s="33"/>
      <c r="W7584" s="33"/>
      <c r="X7584" s="33"/>
      <c r="Y7584" s="33"/>
      <c r="Z7584" s="33"/>
      <c r="AA7584" s="33"/>
      <c r="AB7584" s="33"/>
      <c r="AC7584" s="33"/>
      <c r="AD7584" s="33"/>
      <c r="AE7584" s="33"/>
      <c r="AF7584" s="33"/>
      <c r="AG7584" s="33"/>
      <c r="AH7584" s="33"/>
      <c r="AI7584" s="33"/>
      <c r="AJ7584" s="33"/>
      <c r="AK7584" s="33"/>
    </row>
    <row r="7585">
      <c r="A7585" s="33"/>
      <c r="B7585" s="33"/>
      <c r="C7585" s="33"/>
      <c r="D7585" s="33"/>
      <c r="E7585" s="33"/>
      <c r="F7585" s="33"/>
      <c r="G7585" s="33"/>
      <c r="H7585" s="33"/>
      <c r="I7585" s="33"/>
      <c r="J7585" s="33"/>
      <c r="K7585" s="33"/>
      <c r="L7585" s="33"/>
      <c r="M7585" s="33"/>
      <c r="N7585" s="33"/>
      <c r="O7585" s="33"/>
      <c r="P7585" s="33"/>
      <c r="Q7585" s="33"/>
      <c r="R7585" s="33"/>
      <c r="S7585" s="33"/>
      <c r="T7585" s="33"/>
      <c r="U7585" s="33"/>
      <c r="V7585" s="33"/>
      <c r="W7585" s="33"/>
      <c r="X7585" s="33"/>
      <c r="Y7585" s="33"/>
      <c r="Z7585" s="33"/>
      <c r="AA7585" s="33"/>
      <c r="AB7585" s="33"/>
      <c r="AC7585" s="33"/>
      <c r="AD7585" s="33"/>
      <c r="AE7585" s="33"/>
      <c r="AF7585" s="33"/>
      <c r="AG7585" s="33"/>
      <c r="AH7585" s="33"/>
      <c r="AI7585" s="33"/>
      <c r="AJ7585" s="33"/>
      <c r="AK7585" s="33"/>
    </row>
    <row r="7586">
      <c r="A7586" s="33"/>
      <c r="B7586" s="33"/>
      <c r="C7586" s="33"/>
      <c r="D7586" s="33"/>
      <c r="E7586" s="33"/>
      <c r="F7586" s="33"/>
      <c r="G7586" s="33"/>
      <c r="H7586" s="33"/>
      <c r="I7586" s="33"/>
      <c r="J7586" s="33"/>
      <c r="K7586" s="33"/>
      <c r="L7586" s="33"/>
      <c r="M7586" s="33"/>
      <c r="N7586" s="33"/>
      <c r="O7586" s="33"/>
      <c r="P7586" s="33"/>
      <c r="Q7586" s="33"/>
      <c r="R7586" s="33"/>
      <c r="S7586" s="33"/>
      <c r="T7586" s="33"/>
      <c r="U7586" s="33"/>
      <c r="V7586" s="33"/>
      <c r="W7586" s="33"/>
      <c r="X7586" s="33"/>
      <c r="Y7586" s="33"/>
      <c r="Z7586" s="33"/>
      <c r="AA7586" s="33"/>
      <c r="AB7586" s="33"/>
      <c r="AC7586" s="33"/>
      <c r="AD7586" s="33"/>
      <c r="AE7586" s="33"/>
      <c r="AF7586" s="33"/>
      <c r="AG7586" s="33"/>
      <c r="AH7586" s="33"/>
      <c r="AI7586" s="33"/>
      <c r="AJ7586" s="33"/>
      <c r="AK7586" s="33"/>
    </row>
    <row r="7587">
      <c r="A7587" s="33"/>
      <c r="B7587" s="33"/>
      <c r="C7587" s="33"/>
      <c r="D7587" s="33"/>
      <c r="E7587" s="33"/>
      <c r="F7587" s="33"/>
      <c r="G7587" s="33"/>
      <c r="H7587" s="33"/>
      <c r="I7587" s="33"/>
      <c r="J7587" s="33"/>
      <c r="K7587" s="33"/>
      <c r="L7587" s="33"/>
      <c r="M7587" s="33"/>
      <c r="N7587" s="33"/>
      <c r="O7587" s="33"/>
      <c r="P7587" s="33"/>
      <c r="Q7587" s="33"/>
      <c r="R7587" s="33"/>
      <c r="S7587" s="33"/>
      <c r="T7587" s="33"/>
      <c r="U7587" s="33"/>
      <c r="V7587" s="33"/>
      <c r="W7587" s="33"/>
      <c r="X7587" s="33"/>
      <c r="Y7587" s="33"/>
      <c r="Z7587" s="33"/>
      <c r="AA7587" s="33"/>
      <c r="AB7587" s="33"/>
      <c r="AC7587" s="33"/>
      <c r="AD7587" s="33"/>
      <c r="AE7587" s="33"/>
      <c r="AF7587" s="33"/>
      <c r="AG7587" s="33"/>
      <c r="AH7587" s="33"/>
      <c r="AI7587" s="33"/>
      <c r="AJ7587" s="33"/>
      <c r="AK7587" s="33"/>
    </row>
    <row r="7588">
      <c r="A7588" s="33"/>
      <c r="B7588" s="33"/>
      <c r="C7588" s="33"/>
      <c r="D7588" s="33"/>
      <c r="E7588" s="33"/>
      <c r="F7588" s="33"/>
      <c r="G7588" s="33"/>
      <c r="H7588" s="33"/>
      <c r="I7588" s="33"/>
      <c r="J7588" s="33"/>
      <c r="K7588" s="33"/>
      <c r="L7588" s="33"/>
      <c r="M7588" s="33"/>
      <c r="N7588" s="33"/>
      <c r="O7588" s="33"/>
      <c r="P7588" s="33"/>
      <c r="Q7588" s="33"/>
      <c r="R7588" s="33"/>
      <c r="S7588" s="33"/>
      <c r="T7588" s="33"/>
      <c r="U7588" s="33"/>
      <c r="V7588" s="33"/>
      <c r="W7588" s="33"/>
      <c r="X7588" s="33"/>
      <c r="Y7588" s="33"/>
      <c r="Z7588" s="33"/>
      <c r="AA7588" s="33"/>
      <c r="AB7588" s="33"/>
      <c r="AC7588" s="33"/>
      <c r="AD7588" s="33"/>
      <c r="AE7588" s="33"/>
      <c r="AF7588" s="33"/>
      <c r="AG7588" s="33"/>
      <c r="AH7588" s="33"/>
      <c r="AI7588" s="33"/>
      <c r="AJ7588" s="33"/>
      <c r="AK7588" s="33"/>
    </row>
    <row r="7589">
      <c r="A7589" s="33"/>
      <c r="B7589" s="33"/>
      <c r="C7589" s="33"/>
      <c r="D7589" s="33"/>
      <c r="E7589" s="33"/>
      <c r="F7589" s="33"/>
      <c r="G7589" s="33"/>
      <c r="H7589" s="33"/>
      <c r="I7589" s="33"/>
      <c r="J7589" s="33"/>
      <c r="K7589" s="33"/>
      <c r="L7589" s="33"/>
      <c r="M7589" s="33"/>
      <c r="N7589" s="33"/>
      <c r="O7589" s="33"/>
      <c r="P7589" s="33"/>
      <c r="Q7589" s="33"/>
      <c r="R7589" s="33"/>
      <c r="S7589" s="33"/>
      <c r="T7589" s="33"/>
      <c r="U7589" s="33"/>
      <c r="V7589" s="33"/>
      <c r="W7589" s="33"/>
      <c r="X7589" s="33"/>
      <c r="Y7589" s="33"/>
      <c r="Z7589" s="33"/>
      <c r="AA7589" s="33"/>
      <c r="AB7589" s="33"/>
      <c r="AC7589" s="33"/>
      <c r="AD7589" s="33"/>
      <c r="AE7589" s="33"/>
      <c r="AF7589" s="33"/>
      <c r="AG7589" s="33"/>
      <c r="AH7589" s="33"/>
      <c r="AI7589" s="33"/>
      <c r="AJ7589" s="33"/>
      <c r="AK7589" s="33"/>
    </row>
    <row r="7590">
      <c r="A7590" s="33"/>
      <c r="B7590" s="33"/>
      <c r="C7590" s="33"/>
      <c r="D7590" s="33"/>
      <c r="E7590" s="33"/>
      <c r="F7590" s="33"/>
      <c r="G7590" s="33"/>
      <c r="H7590" s="33"/>
      <c r="I7590" s="33"/>
      <c r="J7590" s="33"/>
      <c r="K7590" s="33"/>
      <c r="L7590" s="33"/>
      <c r="M7590" s="33"/>
      <c r="N7590" s="33"/>
      <c r="O7590" s="33"/>
      <c r="P7590" s="33"/>
      <c r="Q7590" s="33"/>
      <c r="R7590" s="33"/>
      <c r="S7590" s="33"/>
      <c r="T7590" s="33"/>
      <c r="U7590" s="33"/>
      <c r="V7590" s="33"/>
      <c r="W7590" s="33"/>
      <c r="X7590" s="33"/>
      <c r="Y7590" s="33"/>
      <c r="Z7590" s="33"/>
      <c r="AA7590" s="33"/>
      <c r="AB7590" s="33"/>
      <c r="AC7590" s="33"/>
      <c r="AD7590" s="33"/>
      <c r="AE7590" s="33"/>
      <c r="AF7590" s="33"/>
      <c r="AG7590" s="33"/>
      <c r="AH7590" s="33"/>
      <c r="AI7590" s="33"/>
      <c r="AJ7590" s="33"/>
      <c r="AK7590" s="33"/>
    </row>
    <row r="7591">
      <c r="A7591" s="33"/>
      <c r="B7591" s="33"/>
      <c r="C7591" s="33"/>
      <c r="D7591" s="33"/>
      <c r="E7591" s="33"/>
      <c r="F7591" s="33"/>
      <c r="G7591" s="33"/>
      <c r="H7591" s="33"/>
      <c r="I7591" s="33"/>
      <c r="J7591" s="33"/>
      <c r="K7591" s="33"/>
      <c r="L7591" s="33"/>
      <c r="M7591" s="33"/>
      <c r="N7591" s="33"/>
      <c r="O7591" s="33"/>
      <c r="P7591" s="33"/>
      <c r="Q7591" s="33"/>
      <c r="R7591" s="33"/>
      <c r="S7591" s="33"/>
      <c r="T7591" s="33"/>
      <c r="U7591" s="33"/>
      <c r="V7591" s="33"/>
      <c r="W7591" s="33"/>
      <c r="X7591" s="33"/>
      <c r="Y7591" s="33"/>
      <c r="Z7591" s="33"/>
      <c r="AA7591" s="33"/>
      <c r="AB7591" s="33"/>
      <c r="AC7591" s="33"/>
      <c r="AD7591" s="33"/>
      <c r="AE7591" s="33"/>
      <c r="AF7591" s="33"/>
      <c r="AG7591" s="33"/>
      <c r="AH7591" s="33"/>
      <c r="AI7591" s="33"/>
      <c r="AJ7591" s="33"/>
      <c r="AK7591" s="33"/>
    </row>
    <row r="7592">
      <c r="A7592" s="33"/>
      <c r="B7592" s="33"/>
      <c r="C7592" s="33"/>
      <c r="D7592" s="33"/>
      <c r="E7592" s="33"/>
      <c r="F7592" s="33"/>
      <c r="G7592" s="33"/>
      <c r="H7592" s="33"/>
      <c r="I7592" s="33"/>
      <c r="J7592" s="33"/>
      <c r="K7592" s="33"/>
      <c r="L7592" s="33"/>
      <c r="M7592" s="33"/>
      <c r="N7592" s="33"/>
      <c r="O7592" s="33"/>
      <c r="P7592" s="33"/>
      <c r="Q7592" s="33"/>
      <c r="R7592" s="33"/>
      <c r="S7592" s="33"/>
      <c r="T7592" s="33"/>
      <c r="U7592" s="33"/>
      <c r="V7592" s="33"/>
      <c r="W7592" s="33"/>
      <c r="X7592" s="33"/>
      <c r="Y7592" s="33"/>
      <c r="Z7592" s="33"/>
      <c r="AA7592" s="33"/>
      <c r="AB7592" s="33"/>
      <c r="AC7592" s="33"/>
      <c r="AD7592" s="33"/>
      <c r="AE7592" s="33"/>
      <c r="AF7592" s="33"/>
      <c r="AG7592" s="33"/>
      <c r="AH7592" s="33"/>
      <c r="AI7592" s="33"/>
      <c r="AJ7592" s="33"/>
      <c r="AK7592" s="33"/>
    </row>
    <row r="7593">
      <c r="A7593" s="33"/>
      <c r="B7593" s="33"/>
      <c r="C7593" s="33"/>
      <c r="D7593" s="33"/>
      <c r="E7593" s="33"/>
      <c r="F7593" s="33"/>
      <c r="G7593" s="33"/>
      <c r="H7593" s="33"/>
      <c r="I7593" s="33"/>
      <c r="J7593" s="33"/>
      <c r="K7593" s="33"/>
      <c r="L7593" s="33"/>
      <c r="M7593" s="33"/>
      <c r="N7593" s="33"/>
      <c r="O7593" s="33"/>
      <c r="P7593" s="33"/>
      <c r="Q7593" s="33"/>
      <c r="R7593" s="33"/>
      <c r="S7593" s="33"/>
      <c r="T7593" s="33"/>
      <c r="U7593" s="33"/>
      <c r="V7593" s="33"/>
      <c r="W7593" s="33"/>
      <c r="X7593" s="33"/>
      <c r="Y7593" s="33"/>
      <c r="Z7593" s="33"/>
      <c r="AA7593" s="33"/>
      <c r="AB7593" s="33"/>
      <c r="AC7593" s="33"/>
      <c r="AD7593" s="33"/>
      <c r="AE7593" s="33"/>
      <c r="AF7593" s="33"/>
      <c r="AG7593" s="33"/>
      <c r="AH7593" s="33"/>
      <c r="AI7593" s="33"/>
      <c r="AJ7593" s="33"/>
      <c r="AK7593" s="33"/>
    </row>
    <row r="7594">
      <c r="A7594" s="33"/>
      <c r="B7594" s="33"/>
      <c r="C7594" s="33"/>
      <c r="D7594" s="33"/>
      <c r="E7594" s="33"/>
      <c r="F7594" s="33"/>
      <c r="G7594" s="33"/>
      <c r="H7594" s="33"/>
      <c r="I7594" s="33"/>
      <c r="J7594" s="33"/>
      <c r="K7594" s="33"/>
      <c r="L7594" s="33"/>
      <c r="M7594" s="33"/>
      <c r="N7594" s="33"/>
      <c r="O7594" s="33"/>
      <c r="P7594" s="33"/>
      <c r="Q7594" s="33"/>
      <c r="R7594" s="33"/>
      <c r="S7594" s="33"/>
      <c r="T7594" s="33"/>
      <c r="U7594" s="33"/>
      <c r="V7594" s="33"/>
      <c r="W7594" s="33"/>
      <c r="X7594" s="33"/>
      <c r="Y7594" s="33"/>
      <c r="Z7594" s="33"/>
      <c r="AA7594" s="33"/>
      <c r="AB7594" s="33"/>
      <c r="AC7594" s="33"/>
      <c r="AD7594" s="33"/>
      <c r="AE7594" s="33"/>
      <c r="AF7594" s="33"/>
      <c r="AG7594" s="33"/>
      <c r="AH7594" s="33"/>
      <c r="AI7594" s="33"/>
      <c r="AJ7594" s="33"/>
      <c r="AK7594" s="33"/>
    </row>
    <row r="7595">
      <c r="A7595" s="33"/>
      <c r="B7595" s="33"/>
      <c r="C7595" s="33"/>
      <c r="D7595" s="33"/>
      <c r="E7595" s="33"/>
      <c r="F7595" s="33"/>
      <c r="G7595" s="33"/>
      <c r="H7595" s="33"/>
      <c r="I7595" s="33"/>
      <c r="J7595" s="33"/>
      <c r="K7595" s="33"/>
      <c r="L7595" s="33"/>
      <c r="M7595" s="33"/>
      <c r="N7595" s="33"/>
      <c r="O7595" s="33"/>
      <c r="P7595" s="33"/>
      <c r="Q7595" s="33"/>
      <c r="R7595" s="33"/>
      <c r="S7595" s="33"/>
      <c r="T7595" s="33"/>
      <c r="U7595" s="33"/>
      <c r="V7595" s="33"/>
      <c r="W7595" s="33"/>
      <c r="X7595" s="33"/>
      <c r="Y7595" s="33"/>
      <c r="Z7595" s="33"/>
      <c r="AA7595" s="33"/>
      <c r="AB7595" s="33"/>
      <c r="AC7595" s="33"/>
      <c r="AD7595" s="33"/>
      <c r="AE7595" s="33"/>
      <c r="AF7595" s="33"/>
      <c r="AG7595" s="33"/>
      <c r="AH7595" s="33"/>
      <c r="AI7595" s="33"/>
      <c r="AJ7595" s="33"/>
      <c r="AK7595" s="33"/>
    </row>
    <row r="7596">
      <c r="A7596" s="33"/>
      <c r="B7596" s="33"/>
      <c r="C7596" s="33"/>
      <c r="D7596" s="33"/>
      <c r="E7596" s="33"/>
      <c r="F7596" s="33"/>
      <c r="G7596" s="33"/>
      <c r="H7596" s="33"/>
      <c r="I7596" s="33"/>
      <c r="J7596" s="33"/>
      <c r="K7596" s="33"/>
      <c r="L7596" s="33"/>
      <c r="M7596" s="33"/>
      <c r="N7596" s="33"/>
      <c r="O7596" s="33"/>
      <c r="P7596" s="33"/>
      <c r="Q7596" s="33"/>
      <c r="R7596" s="33"/>
      <c r="S7596" s="33"/>
      <c r="T7596" s="33"/>
      <c r="U7596" s="33"/>
      <c r="V7596" s="33"/>
      <c r="W7596" s="33"/>
      <c r="X7596" s="33"/>
      <c r="Y7596" s="33"/>
      <c r="Z7596" s="33"/>
      <c r="AA7596" s="33"/>
      <c r="AB7596" s="33"/>
      <c r="AC7596" s="33"/>
      <c r="AD7596" s="33"/>
      <c r="AE7596" s="33"/>
      <c r="AF7596" s="33"/>
      <c r="AG7596" s="33"/>
      <c r="AH7596" s="33"/>
      <c r="AI7596" s="33"/>
      <c r="AJ7596" s="33"/>
      <c r="AK7596" s="33"/>
    </row>
    <row r="7597">
      <c r="A7597" s="33"/>
      <c r="B7597" s="33"/>
      <c r="C7597" s="33"/>
      <c r="D7597" s="33"/>
      <c r="E7597" s="33"/>
      <c r="F7597" s="33"/>
      <c r="G7597" s="33"/>
      <c r="H7597" s="33"/>
      <c r="I7597" s="33"/>
      <c r="J7597" s="33"/>
      <c r="K7597" s="33"/>
      <c r="L7597" s="33"/>
      <c r="M7597" s="33"/>
      <c r="N7597" s="33"/>
      <c r="O7597" s="33"/>
      <c r="P7597" s="33"/>
      <c r="Q7597" s="33"/>
      <c r="R7597" s="33"/>
      <c r="S7597" s="33"/>
      <c r="T7597" s="33"/>
      <c r="U7597" s="33"/>
      <c r="V7597" s="33"/>
      <c r="W7597" s="33"/>
      <c r="X7597" s="33"/>
      <c r="Y7597" s="33"/>
      <c r="Z7597" s="33"/>
      <c r="AA7597" s="33"/>
      <c r="AB7597" s="33"/>
      <c r="AC7597" s="33"/>
      <c r="AD7597" s="33"/>
      <c r="AE7597" s="33"/>
      <c r="AF7597" s="33"/>
      <c r="AG7597" s="33"/>
      <c r="AH7597" s="33"/>
      <c r="AI7597" s="33"/>
      <c r="AJ7597" s="33"/>
      <c r="AK7597" s="33"/>
    </row>
    <row r="7598">
      <c r="A7598" s="33"/>
      <c r="B7598" s="33"/>
      <c r="C7598" s="33"/>
      <c r="D7598" s="33"/>
      <c r="E7598" s="33"/>
      <c r="F7598" s="33"/>
      <c r="G7598" s="33"/>
      <c r="H7598" s="33"/>
      <c r="I7598" s="33"/>
      <c r="J7598" s="33"/>
      <c r="K7598" s="33"/>
      <c r="L7598" s="33"/>
      <c r="M7598" s="33"/>
      <c r="N7598" s="33"/>
      <c r="O7598" s="33"/>
      <c r="P7598" s="33"/>
      <c r="Q7598" s="33"/>
      <c r="R7598" s="33"/>
      <c r="S7598" s="33"/>
      <c r="T7598" s="33"/>
      <c r="U7598" s="33"/>
      <c r="V7598" s="33"/>
      <c r="W7598" s="33"/>
      <c r="X7598" s="33"/>
      <c r="Y7598" s="33"/>
      <c r="Z7598" s="33"/>
      <c r="AA7598" s="33"/>
      <c r="AB7598" s="33"/>
      <c r="AC7598" s="33"/>
      <c r="AD7598" s="33"/>
      <c r="AE7598" s="33"/>
      <c r="AF7598" s="33"/>
      <c r="AG7598" s="33"/>
      <c r="AH7598" s="33"/>
      <c r="AI7598" s="33"/>
      <c r="AJ7598" s="33"/>
      <c r="AK7598" s="33"/>
    </row>
    <row r="7599">
      <c r="A7599" s="33"/>
      <c r="B7599" s="33"/>
      <c r="C7599" s="33"/>
      <c r="D7599" s="33"/>
      <c r="E7599" s="33"/>
      <c r="F7599" s="33"/>
      <c r="G7599" s="33"/>
      <c r="H7599" s="33"/>
      <c r="I7599" s="33"/>
      <c r="J7599" s="33"/>
      <c r="K7599" s="33"/>
      <c r="L7599" s="33"/>
      <c r="M7599" s="33"/>
      <c r="N7599" s="33"/>
      <c r="O7599" s="33"/>
      <c r="P7599" s="33"/>
      <c r="Q7599" s="33"/>
      <c r="R7599" s="33"/>
      <c r="S7599" s="33"/>
      <c r="T7599" s="33"/>
      <c r="U7599" s="33"/>
      <c r="V7599" s="33"/>
      <c r="W7599" s="33"/>
      <c r="X7599" s="33"/>
      <c r="Y7599" s="33"/>
      <c r="Z7599" s="33"/>
      <c r="AA7599" s="33"/>
      <c r="AB7599" s="33"/>
      <c r="AC7599" s="33"/>
      <c r="AD7599" s="33"/>
      <c r="AE7599" s="33"/>
      <c r="AF7599" s="33"/>
      <c r="AG7599" s="33"/>
      <c r="AH7599" s="33"/>
      <c r="AI7599" s="33"/>
      <c r="AJ7599" s="33"/>
      <c r="AK7599" s="33"/>
    </row>
    <row r="7600">
      <c r="A7600" s="33"/>
      <c r="B7600" s="33"/>
      <c r="C7600" s="33"/>
      <c r="D7600" s="33"/>
      <c r="E7600" s="33"/>
      <c r="F7600" s="33"/>
      <c r="G7600" s="33"/>
      <c r="H7600" s="33"/>
      <c r="I7600" s="33"/>
      <c r="J7600" s="33"/>
      <c r="K7600" s="33"/>
      <c r="L7600" s="33"/>
      <c r="M7600" s="33"/>
      <c r="N7600" s="33"/>
      <c r="O7600" s="33"/>
      <c r="P7600" s="33"/>
      <c r="Q7600" s="33"/>
      <c r="R7600" s="33"/>
      <c r="S7600" s="33"/>
      <c r="T7600" s="33"/>
      <c r="U7600" s="33"/>
      <c r="V7600" s="33"/>
      <c r="W7600" s="33"/>
      <c r="X7600" s="33"/>
      <c r="Y7600" s="33"/>
      <c r="Z7600" s="33"/>
      <c r="AA7600" s="33"/>
      <c r="AB7600" s="33"/>
      <c r="AC7600" s="33"/>
      <c r="AD7600" s="33"/>
      <c r="AE7600" s="33"/>
      <c r="AF7600" s="33"/>
      <c r="AG7600" s="33"/>
      <c r="AH7600" s="33"/>
      <c r="AI7600" s="33"/>
      <c r="AJ7600" s="33"/>
      <c r="AK7600" s="33"/>
    </row>
    <row r="7601">
      <c r="A7601" s="33"/>
      <c r="B7601" s="33"/>
      <c r="C7601" s="33"/>
      <c r="D7601" s="33"/>
      <c r="E7601" s="33"/>
      <c r="F7601" s="33"/>
      <c r="G7601" s="33"/>
      <c r="H7601" s="33"/>
      <c r="I7601" s="33"/>
      <c r="J7601" s="33"/>
      <c r="K7601" s="33"/>
      <c r="L7601" s="33"/>
      <c r="M7601" s="33"/>
      <c r="N7601" s="33"/>
      <c r="O7601" s="33"/>
      <c r="P7601" s="33"/>
      <c r="Q7601" s="33"/>
      <c r="R7601" s="33"/>
      <c r="S7601" s="33"/>
      <c r="T7601" s="33"/>
      <c r="U7601" s="33"/>
      <c r="V7601" s="33"/>
      <c r="W7601" s="33"/>
      <c r="X7601" s="33"/>
      <c r="Y7601" s="33"/>
      <c r="Z7601" s="33"/>
      <c r="AA7601" s="33"/>
      <c r="AB7601" s="33"/>
      <c r="AC7601" s="33"/>
      <c r="AD7601" s="33"/>
      <c r="AE7601" s="33"/>
      <c r="AF7601" s="33"/>
      <c r="AG7601" s="33"/>
      <c r="AH7601" s="33"/>
      <c r="AI7601" s="33"/>
      <c r="AJ7601" s="33"/>
      <c r="AK7601" s="33"/>
    </row>
    <row r="7602">
      <c r="A7602" s="33"/>
      <c r="B7602" s="33"/>
      <c r="C7602" s="33"/>
      <c r="D7602" s="33"/>
      <c r="E7602" s="33"/>
      <c r="F7602" s="33"/>
      <c r="G7602" s="33"/>
      <c r="H7602" s="33"/>
      <c r="I7602" s="33"/>
      <c r="J7602" s="33"/>
      <c r="K7602" s="33"/>
      <c r="L7602" s="33"/>
      <c r="M7602" s="33"/>
      <c r="N7602" s="33"/>
      <c r="O7602" s="33"/>
      <c r="P7602" s="33"/>
      <c r="Q7602" s="33"/>
      <c r="R7602" s="33"/>
      <c r="S7602" s="33"/>
      <c r="T7602" s="33"/>
      <c r="U7602" s="33"/>
      <c r="V7602" s="33"/>
      <c r="W7602" s="33"/>
      <c r="X7602" s="33"/>
      <c r="Y7602" s="33"/>
      <c r="Z7602" s="33"/>
      <c r="AA7602" s="33"/>
      <c r="AB7602" s="33"/>
      <c r="AC7602" s="33"/>
      <c r="AD7602" s="33"/>
      <c r="AE7602" s="33"/>
      <c r="AF7602" s="33"/>
      <c r="AG7602" s="33"/>
      <c r="AH7602" s="33"/>
      <c r="AI7602" s="33"/>
      <c r="AJ7602" s="33"/>
      <c r="AK7602" s="33"/>
    </row>
    <row r="7603">
      <c r="A7603" s="33"/>
      <c r="B7603" s="33"/>
      <c r="C7603" s="33"/>
      <c r="D7603" s="33"/>
      <c r="E7603" s="33"/>
      <c r="F7603" s="33"/>
      <c r="G7603" s="33"/>
      <c r="H7603" s="33"/>
      <c r="I7603" s="33"/>
      <c r="J7603" s="33"/>
      <c r="K7603" s="33"/>
      <c r="L7603" s="33"/>
      <c r="M7603" s="33"/>
      <c r="N7603" s="33"/>
      <c r="O7603" s="33"/>
      <c r="P7603" s="33"/>
      <c r="Q7603" s="33"/>
      <c r="R7603" s="33"/>
      <c r="S7603" s="33"/>
      <c r="T7603" s="33"/>
      <c r="U7603" s="33"/>
      <c r="V7603" s="33"/>
      <c r="W7603" s="33"/>
      <c r="X7603" s="33"/>
      <c r="Y7603" s="33"/>
      <c r="Z7603" s="33"/>
      <c r="AA7603" s="33"/>
      <c r="AB7603" s="33"/>
      <c r="AC7603" s="33"/>
      <c r="AD7603" s="33"/>
      <c r="AE7603" s="33"/>
      <c r="AF7603" s="33"/>
      <c r="AG7603" s="33"/>
      <c r="AH7603" s="33"/>
      <c r="AI7603" s="33"/>
      <c r="AJ7603" s="33"/>
      <c r="AK7603" s="33"/>
    </row>
    <row r="7604">
      <c r="A7604" s="33"/>
      <c r="B7604" s="33"/>
      <c r="C7604" s="33"/>
      <c r="D7604" s="33"/>
      <c r="E7604" s="33"/>
      <c r="F7604" s="33"/>
      <c r="G7604" s="33"/>
      <c r="H7604" s="33"/>
      <c r="I7604" s="33"/>
      <c r="J7604" s="33"/>
      <c r="K7604" s="33"/>
      <c r="L7604" s="33"/>
      <c r="M7604" s="33"/>
      <c r="N7604" s="33"/>
      <c r="O7604" s="33"/>
      <c r="P7604" s="33"/>
      <c r="Q7604" s="33"/>
      <c r="R7604" s="33"/>
      <c r="S7604" s="33"/>
      <c r="T7604" s="33"/>
      <c r="U7604" s="33"/>
      <c r="V7604" s="33"/>
      <c r="W7604" s="33"/>
      <c r="X7604" s="33"/>
      <c r="Y7604" s="33"/>
      <c r="Z7604" s="33"/>
      <c r="AA7604" s="33"/>
      <c r="AB7604" s="33"/>
      <c r="AC7604" s="33"/>
      <c r="AD7604" s="33"/>
      <c r="AE7604" s="33"/>
      <c r="AF7604" s="33"/>
      <c r="AG7604" s="33"/>
      <c r="AH7604" s="33"/>
      <c r="AI7604" s="33"/>
      <c r="AJ7604" s="33"/>
      <c r="AK7604" s="33"/>
    </row>
    <row r="7605">
      <c r="A7605" s="33"/>
      <c r="B7605" s="33"/>
      <c r="C7605" s="33"/>
      <c r="D7605" s="33"/>
      <c r="E7605" s="33"/>
      <c r="F7605" s="33"/>
      <c r="G7605" s="33"/>
      <c r="H7605" s="33"/>
      <c r="I7605" s="33"/>
      <c r="J7605" s="33"/>
      <c r="K7605" s="33"/>
      <c r="L7605" s="33"/>
      <c r="M7605" s="33"/>
      <c r="N7605" s="33"/>
      <c r="O7605" s="33"/>
      <c r="P7605" s="33"/>
      <c r="Q7605" s="33"/>
      <c r="R7605" s="33"/>
      <c r="S7605" s="33"/>
      <c r="T7605" s="33"/>
      <c r="U7605" s="33"/>
      <c r="V7605" s="33"/>
      <c r="W7605" s="33"/>
      <c r="X7605" s="33"/>
      <c r="Y7605" s="33"/>
      <c r="Z7605" s="33"/>
      <c r="AA7605" s="33"/>
      <c r="AB7605" s="33"/>
      <c r="AC7605" s="33"/>
      <c r="AD7605" s="33"/>
      <c r="AE7605" s="33"/>
      <c r="AF7605" s="33"/>
      <c r="AG7605" s="33"/>
      <c r="AH7605" s="33"/>
      <c r="AI7605" s="33"/>
      <c r="AJ7605" s="33"/>
      <c r="AK7605" s="33"/>
    </row>
    <row r="7606">
      <c r="A7606" s="33"/>
      <c r="B7606" s="33"/>
      <c r="C7606" s="33"/>
      <c r="D7606" s="33"/>
      <c r="E7606" s="33"/>
      <c r="F7606" s="33"/>
      <c r="G7606" s="33"/>
      <c r="H7606" s="33"/>
      <c r="I7606" s="33"/>
      <c r="J7606" s="33"/>
      <c r="K7606" s="33"/>
      <c r="L7606" s="33"/>
      <c r="M7606" s="33"/>
      <c r="N7606" s="33"/>
      <c r="O7606" s="33"/>
      <c r="P7606" s="33"/>
      <c r="Q7606" s="33"/>
      <c r="R7606" s="33"/>
      <c r="S7606" s="33"/>
      <c r="T7606" s="33"/>
      <c r="U7606" s="33"/>
      <c r="V7606" s="33"/>
      <c r="W7606" s="33"/>
      <c r="X7606" s="33"/>
      <c r="Y7606" s="33"/>
      <c r="Z7606" s="33"/>
      <c r="AA7606" s="33"/>
      <c r="AB7606" s="33"/>
      <c r="AC7606" s="33"/>
      <c r="AD7606" s="33"/>
      <c r="AE7606" s="33"/>
      <c r="AF7606" s="33"/>
      <c r="AG7606" s="33"/>
      <c r="AH7606" s="33"/>
      <c r="AI7606" s="33"/>
      <c r="AJ7606" s="33"/>
      <c r="AK7606" s="33"/>
    </row>
    <row r="7607">
      <c r="A7607" s="33"/>
      <c r="B7607" s="33"/>
      <c r="C7607" s="33"/>
      <c r="D7607" s="33"/>
      <c r="E7607" s="33"/>
      <c r="F7607" s="33"/>
      <c r="G7607" s="33"/>
      <c r="H7607" s="33"/>
      <c r="I7607" s="33"/>
      <c r="J7607" s="33"/>
      <c r="K7607" s="33"/>
      <c r="L7607" s="33"/>
      <c r="M7607" s="33"/>
      <c r="N7607" s="33"/>
      <c r="O7607" s="33"/>
      <c r="P7607" s="33"/>
      <c r="Q7607" s="33"/>
      <c r="R7607" s="33"/>
      <c r="S7607" s="33"/>
      <c r="T7607" s="33"/>
      <c r="U7607" s="33"/>
      <c r="V7607" s="33"/>
      <c r="W7607" s="33"/>
      <c r="X7607" s="33"/>
      <c r="Y7607" s="33"/>
      <c r="Z7607" s="33"/>
      <c r="AA7607" s="33"/>
      <c r="AB7607" s="33"/>
      <c r="AC7607" s="33"/>
      <c r="AD7607" s="33"/>
      <c r="AE7607" s="33"/>
      <c r="AF7607" s="33"/>
      <c r="AG7607" s="33"/>
      <c r="AH7607" s="33"/>
      <c r="AI7607" s="33"/>
      <c r="AJ7607" s="33"/>
      <c r="AK7607" s="33"/>
    </row>
    <row r="7608">
      <c r="A7608" s="33"/>
      <c r="B7608" s="33"/>
      <c r="C7608" s="33"/>
      <c r="D7608" s="33"/>
      <c r="E7608" s="33"/>
      <c r="F7608" s="33"/>
      <c r="G7608" s="33"/>
      <c r="H7608" s="33"/>
      <c r="I7608" s="33"/>
      <c r="J7608" s="33"/>
      <c r="K7608" s="33"/>
      <c r="L7608" s="33"/>
      <c r="M7608" s="33"/>
      <c r="N7608" s="33"/>
      <c r="O7608" s="33"/>
      <c r="P7608" s="33"/>
      <c r="Q7608" s="33"/>
      <c r="R7608" s="33"/>
      <c r="S7608" s="33"/>
      <c r="T7608" s="33"/>
      <c r="U7608" s="33"/>
      <c r="V7608" s="33"/>
      <c r="W7608" s="33"/>
      <c r="X7608" s="33"/>
      <c r="Y7608" s="33"/>
      <c r="Z7608" s="33"/>
      <c r="AA7608" s="33"/>
      <c r="AB7608" s="33"/>
      <c r="AC7608" s="33"/>
      <c r="AD7608" s="33"/>
      <c r="AE7608" s="33"/>
      <c r="AF7608" s="33"/>
      <c r="AG7608" s="33"/>
      <c r="AH7608" s="33"/>
      <c r="AI7608" s="33"/>
      <c r="AJ7608" s="33"/>
      <c r="AK7608" s="33"/>
    </row>
    <row r="7609">
      <c r="A7609" s="33"/>
      <c r="B7609" s="33"/>
      <c r="C7609" s="33"/>
      <c r="D7609" s="33"/>
      <c r="E7609" s="33"/>
      <c r="F7609" s="33"/>
      <c r="G7609" s="33"/>
      <c r="H7609" s="33"/>
      <c r="I7609" s="33"/>
      <c r="J7609" s="33"/>
      <c r="K7609" s="33"/>
      <c r="L7609" s="33"/>
      <c r="M7609" s="33"/>
      <c r="N7609" s="33"/>
      <c r="O7609" s="33"/>
      <c r="P7609" s="33"/>
      <c r="Q7609" s="33"/>
      <c r="R7609" s="33"/>
      <c r="S7609" s="33"/>
      <c r="T7609" s="33"/>
      <c r="U7609" s="33"/>
      <c r="V7609" s="33"/>
      <c r="W7609" s="33"/>
      <c r="X7609" s="33"/>
      <c r="Y7609" s="33"/>
      <c r="Z7609" s="33"/>
      <c r="AA7609" s="33"/>
      <c r="AB7609" s="33"/>
      <c r="AC7609" s="33"/>
      <c r="AD7609" s="33"/>
      <c r="AE7609" s="33"/>
      <c r="AF7609" s="33"/>
      <c r="AG7609" s="33"/>
      <c r="AH7609" s="33"/>
      <c r="AI7609" s="33"/>
      <c r="AJ7609" s="33"/>
      <c r="AK7609" s="33"/>
    </row>
    <row r="7610">
      <c r="A7610" s="33"/>
      <c r="B7610" s="33"/>
      <c r="C7610" s="33"/>
      <c r="D7610" s="33"/>
      <c r="E7610" s="33"/>
      <c r="F7610" s="33"/>
      <c r="G7610" s="33"/>
      <c r="H7610" s="33"/>
      <c r="I7610" s="33"/>
      <c r="J7610" s="33"/>
      <c r="K7610" s="33"/>
      <c r="L7610" s="33"/>
      <c r="M7610" s="33"/>
      <c r="N7610" s="33"/>
      <c r="O7610" s="33"/>
      <c r="P7610" s="33"/>
      <c r="Q7610" s="33"/>
      <c r="R7610" s="33"/>
      <c r="S7610" s="33"/>
      <c r="T7610" s="33"/>
      <c r="U7610" s="33"/>
      <c r="V7610" s="33"/>
      <c r="W7610" s="33"/>
      <c r="X7610" s="33"/>
      <c r="Y7610" s="33"/>
      <c r="Z7610" s="33"/>
      <c r="AA7610" s="33"/>
      <c r="AB7610" s="33"/>
      <c r="AC7610" s="33"/>
      <c r="AD7610" s="33"/>
      <c r="AE7610" s="33"/>
      <c r="AF7610" s="33"/>
      <c r="AG7610" s="33"/>
      <c r="AH7610" s="33"/>
      <c r="AI7610" s="33"/>
      <c r="AJ7610" s="33"/>
      <c r="AK7610" s="33"/>
    </row>
    <row r="7611">
      <c r="A7611" s="33"/>
      <c r="B7611" s="33"/>
      <c r="C7611" s="33"/>
      <c r="D7611" s="33"/>
      <c r="E7611" s="33"/>
      <c r="F7611" s="33"/>
      <c r="G7611" s="33"/>
      <c r="H7611" s="33"/>
      <c r="I7611" s="33"/>
      <c r="J7611" s="33"/>
      <c r="K7611" s="33"/>
      <c r="L7611" s="33"/>
      <c r="M7611" s="33"/>
      <c r="N7611" s="33"/>
      <c r="O7611" s="33"/>
      <c r="P7611" s="33"/>
      <c r="Q7611" s="33"/>
      <c r="R7611" s="33"/>
      <c r="S7611" s="33"/>
      <c r="T7611" s="33"/>
      <c r="U7611" s="33"/>
      <c r="V7611" s="33"/>
      <c r="W7611" s="33"/>
      <c r="X7611" s="33"/>
      <c r="Y7611" s="33"/>
      <c r="Z7611" s="33"/>
      <c r="AA7611" s="33"/>
      <c r="AB7611" s="33"/>
      <c r="AC7611" s="33"/>
      <c r="AD7611" s="33"/>
      <c r="AE7611" s="33"/>
      <c r="AF7611" s="33"/>
      <c r="AG7611" s="33"/>
      <c r="AH7611" s="33"/>
      <c r="AI7611" s="33"/>
      <c r="AJ7611" s="33"/>
      <c r="AK7611" s="33"/>
    </row>
    <row r="7612">
      <c r="A7612" s="33"/>
      <c r="B7612" s="33"/>
      <c r="C7612" s="33"/>
      <c r="D7612" s="33"/>
      <c r="E7612" s="33"/>
      <c r="F7612" s="33"/>
      <c r="G7612" s="33"/>
      <c r="H7612" s="33"/>
      <c r="I7612" s="33"/>
      <c r="J7612" s="33"/>
      <c r="K7612" s="33"/>
      <c r="L7612" s="33"/>
      <c r="M7612" s="33"/>
      <c r="N7612" s="33"/>
      <c r="O7612" s="33"/>
      <c r="P7612" s="33"/>
      <c r="Q7612" s="33"/>
      <c r="R7612" s="33"/>
      <c r="S7612" s="33"/>
      <c r="T7612" s="33"/>
      <c r="U7612" s="33"/>
      <c r="V7612" s="33"/>
      <c r="W7612" s="33"/>
      <c r="X7612" s="33"/>
      <c r="Y7612" s="33"/>
      <c r="Z7612" s="33"/>
      <c r="AA7612" s="33"/>
      <c r="AB7612" s="33"/>
      <c r="AC7612" s="33"/>
      <c r="AD7612" s="33"/>
      <c r="AE7612" s="33"/>
      <c r="AF7612" s="33"/>
      <c r="AG7612" s="33"/>
      <c r="AH7612" s="33"/>
      <c r="AI7612" s="33"/>
      <c r="AJ7612" s="33"/>
      <c r="AK7612" s="33"/>
    </row>
    <row r="7613">
      <c r="A7613" s="33"/>
      <c r="B7613" s="33"/>
      <c r="C7613" s="33"/>
      <c r="D7613" s="33"/>
      <c r="E7613" s="33"/>
      <c r="F7613" s="33"/>
      <c r="G7613" s="33"/>
      <c r="H7613" s="33"/>
      <c r="I7613" s="33"/>
      <c r="J7613" s="33"/>
      <c r="K7613" s="33"/>
      <c r="L7613" s="33"/>
      <c r="M7613" s="33"/>
      <c r="N7613" s="33"/>
      <c r="O7613" s="33"/>
      <c r="P7613" s="33"/>
      <c r="Q7613" s="33"/>
      <c r="R7613" s="33"/>
      <c r="S7613" s="33"/>
      <c r="T7613" s="33"/>
      <c r="U7613" s="33"/>
      <c r="V7613" s="33"/>
      <c r="W7613" s="33"/>
      <c r="X7613" s="33"/>
      <c r="Y7613" s="33"/>
      <c r="Z7613" s="33"/>
      <c r="AA7613" s="33"/>
      <c r="AB7613" s="33"/>
      <c r="AC7613" s="33"/>
      <c r="AD7613" s="33"/>
      <c r="AE7613" s="33"/>
      <c r="AF7613" s="33"/>
      <c r="AG7613" s="33"/>
      <c r="AH7613" s="33"/>
      <c r="AI7613" s="33"/>
      <c r="AJ7613" s="33"/>
      <c r="AK7613" s="33"/>
    </row>
    <row r="7614">
      <c r="A7614" s="33"/>
      <c r="B7614" s="33"/>
      <c r="C7614" s="33"/>
      <c r="D7614" s="33"/>
      <c r="E7614" s="33"/>
      <c r="F7614" s="33"/>
      <c r="G7614" s="33"/>
      <c r="H7614" s="33"/>
      <c r="I7614" s="33"/>
      <c r="J7614" s="33"/>
      <c r="K7614" s="33"/>
      <c r="L7614" s="33"/>
      <c r="M7614" s="33"/>
      <c r="N7614" s="33"/>
      <c r="O7614" s="33"/>
      <c r="P7614" s="33"/>
      <c r="Q7614" s="33"/>
      <c r="R7614" s="33"/>
      <c r="S7614" s="33"/>
      <c r="T7614" s="33"/>
      <c r="U7614" s="33"/>
      <c r="V7614" s="33"/>
      <c r="W7614" s="33"/>
      <c r="X7614" s="33"/>
      <c r="Y7614" s="33"/>
      <c r="Z7614" s="33"/>
      <c r="AA7614" s="33"/>
      <c r="AB7614" s="33"/>
      <c r="AC7614" s="33"/>
      <c r="AD7614" s="33"/>
      <c r="AE7614" s="33"/>
      <c r="AF7614" s="33"/>
      <c r="AG7614" s="33"/>
      <c r="AH7614" s="33"/>
      <c r="AI7614" s="33"/>
      <c r="AJ7614" s="33"/>
      <c r="AK7614" s="33"/>
    </row>
    <row r="7615">
      <c r="A7615" s="33"/>
      <c r="B7615" s="33"/>
      <c r="C7615" s="33"/>
      <c r="D7615" s="33"/>
      <c r="E7615" s="33"/>
      <c r="F7615" s="33"/>
      <c r="G7615" s="33"/>
      <c r="H7615" s="33"/>
      <c r="I7615" s="33"/>
      <c r="J7615" s="33"/>
      <c r="K7615" s="33"/>
      <c r="L7615" s="33"/>
      <c r="M7615" s="33"/>
      <c r="N7615" s="33"/>
      <c r="O7615" s="33"/>
      <c r="P7615" s="33"/>
      <c r="Q7615" s="33"/>
      <c r="R7615" s="33"/>
      <c r="S7615" s="33"/>
      <c r="T7615" s="33"/>
      <c r="U7615" s="33"/>
      <c r="V7615" s="33"/>
      <c r="W7615" s="33"/>
      <c r="X7615" s="33"/>
      <c r="Y7615" s="33"/>
      <c r="Z7615" s="33"/>
      <c r="AA7615" s="33"/>
      <c r="AB7615" s="33"/>
      <c r="AC7615" s="33"/>
      <c r="AD7615" s="33"/>
      <c r="AE7615" s="33"/>
      <c r="AF7615" s="33"/>
      <c r="AG7615" s="33"/>
      <c r="AH7615" s="33"/>
      <c r="AI7615" s="33"/>
      <c r="AJ7615" s="33"/>
      <c r="AK7615" s="33"/>
    </row>
    <row r="7616">
      <c r="A7616" s="33"/>
      <c r="B7616" s="33"/>
      <c r="C7616" s="33"/>
      <c r="D7616" s="33"/>
      <c r="E7616" s="33"/>
      <c r="F7616" s="33"/>
      <c r="G7616" s="33"/>
      <c r="H7616" s="33"/>
      <c r="I7616" s="33"/>
      <c r="J7616" s="33"/>
      <c r="K7616" s="33"/>
      <c r="L7616" s="33"/>
      <c r="M7616" s="33"/>
      <c r="N7616" s="33"/>
      <c r="O7616" s="33"/>
      <c r="P7616" s="33"/>
      <c r="Q7616" s="33"/>
      <c r="R7616" s="33"/>
      <c r="S7616" s="33"/>
      <c r="T7616" s="33"/>
      <c r="U7616" s="33"/>
      <c r="V7616" s="33"/>
      <c r="W7616" s="33"/>
      <c r="X7616" s="33"/>
      <c r="Y7616" s="33"/>
      <c r="Z7616" s="33"/>
      <c r="AA7616" s="33"/>
      <c r="AB7616" s="33"/>
      <c r="AC7616" s="33"/>
      <c r="AD7616" s="33"/>
      <c r="AE7616" s="33"/>
      <c r="AF7616" s="33"/>
      <c r="AG7616" s="33"/>
      <c r="AH7616" s="33"/>
      <c r="AI7616" s="33"/>
      <c r="AJ7616" s="33"/>
      <c r="AK7616" s="33"/>
    </row>
    <row r="7617">
      <c r="A7617" s="33"/>
      <c r="B7617" s="33"/>
      <c r="C7617" s="33"/>
      <c r="D7617" s="33"/>
      <c r="E7617" s="33"/>
      <c r="F7617" s="33"/>
      <c r="G7617" s="33"/>
      <c r="H7617" s="33"/>
      <c r="I7617" s="33"/>
      <c r="J7617" s="33"/>
      <c r="K7617" s="33"/>
      <c r="L7617" s="33"/>
      <c r="M7617" s="33"/>
      <c r="N7617" s="33"/>
      <c r="O7617" s="33"/>
      <c r="P7617" s="33"/>
      <c r="Q7617" s="33"/>
      <c r="R7617" s="33"/>
      <c r="S7617" s="33"/>
      <c r="T7617" s="33"/>
      <c r="U7617" s="33"/>
      <c r="V7617" s="33"/>
      <c r="W7617" s="33"/>
      <c r="X7617" s="33"/>
      <c r="Y7617" s="33"/>
      <c r="Z7617" s="33"/>
      <c r="AA7617" s="33"/>
      <c r="AB7617" s="33"/>
      <c r="AC7617" s="33"/>
      <c r="AD7617" s="33"/>
      <c r="AE7617" s="33"/>
      <c r="AF7617" s="33"/>
      <c r="AG7617" s="33"/>
      <c r="AH7617" s="33"/>
      <c r="AI7617" s="33"/>
      <c r="AJ7617" s="33"/>
      <c r="AK7617" s="33"/>
    </row>
    <row r="7618">
      <c r="A7618" s="33"/>
      <c r="B7618" s="33"/>
      <c r="C7618" s="33"/>
      <c r="D7618" s="33"/>
      <c r="E7618" s="33"/>
      <c r="F7618" s="33"/>
      <c r="G7618" s="33"/>
      <c r="H7618" s="33"/>
      <c r="I7618" s="33"/>
      <c r="J7618" s="33"/>
      <c r="K7618" s="33"/>
      <c r="L7618" s="33"/>
      <c r="M7618" s="33"/>
      <c r="N7618" s="33"/>
      <c r="O7618" s="33"/>
      <c r="P7618" s="33"/>
      <c r="Q7618" s="33"/>
      <c r="R7618" s="33"/>
      <c r="S7618" s="33"/>
      <c r="T7618" s="33"/>
      <c r="U7618" s="33"/>
      <c r="V7618" s="33"/>
      <c r="W7618" s="33"/>
      <c r="X7618" s="33"/>
      <c r="Y7618" s="33"/>
      <c r="Z7618" s="33"/>
      <c r="AA7618" s="33"/>
      <c r="AB7618" s="33"/>
      <c r="AC7618" s="33"/>
      <c r="AD7618" s="33"/>
      <c r="AE7618" s="33"/>
      <c r="AF7618" s="33"/>
      <c r="AG7618" s="33"/>
      <c r="AH7618" s="33"/>
      <c r="AI7618" s="33"/>
      <c r="AJ7618" s="33"/>
      <c r="AK7618" s="33"/>
    </row>
    <row r="7619">
      <c r="A7619" s="33"/>
      <c r="B7619" s="33"/>
      <c r="C7619" s="33"/>
      <c r="D7619" s="33"/>
      <c r="E7619" s="33"/>
      <c r="F7619" s="33"/>
      <c r="G7619" s="33"/>
      <c r="H7619" s="33"/>
      <c r="I7619" s="33"/>
      <c r="J7619" s="33"/>
      <c r="K7619" s="33"/>
      <c r="L7619" s="33"/>
      <c r="M7619" s="33"/>
      <c r="N7619" s="33"/>
      <c r="O7619" s="33"/>
      <c r="P7619" s="33"/>
      <c r="Q7619" s="33"/>
      <c r="R7619" s="33"/>
      <c r="S7619" s="33"/>
      <c r="T7619" s="33"/>
      <c r="U7619" s="33"/>
      <c r="V7619" s="33"/>
      <c r="W7619" s="33"/>
      <c r="X7619" s="33"/>
      <c r="Y7619" s="33"/>
      <c r="Z7619" s="33"/>
      <c r="AA7619" s="33"/>
      <c r="AB7619" s="33"/>
      <c r="AC7619" s="33"/>
      <c r="AD7619" s="33"/>
      <c r="AE7619" s="33"/>
      <c r="AF7619" s="33"/>
      <c r="AG7619" s="33"/>
      <c r="AH7619" s="33"/>
      <c r="AI7619" s="33"/>
      <c r="AJ7619" s="33"/>
      <c r="AK7619" s="33"/>
    </row>
    <row r="7620">
      <c r="A7620" s="33"/>
      <c r="B7620" s="33"/>
      <c r="C7620" s="33"/>
      <c r="D7620" s="33"/>
      <c r="E7620" s="33"/>
      <c r="F7620" s="33"/>
      <c r="G7620" s="33"/>
      <c r="H7620" s="33"/>
      <c r="I7620" s="33"/>
      <c r="J7620" s="33"/>
      <c r="K7620" s="33"/>
      <c r="L7620" s="33"/>
      <c r="M7620" s="33"/>
      <c r="N7620" s="33"/>
      <c r="O7620" s="33"/>
      <c r="P7620" s="33"/>
      <c r="Q7620" s="33"/>
      <c r="R7620" s="33"/>
      <c r="S7620" s="33"/>
      <c r="T7620" s="33"/>
      <c r="U7620" s="33"/>
      <c r="V7620" s="33"/>
      <c r="W7620" s="33"/>
      <c r="X7620" s="33"/>
      <c r="Y7620" s="33"/>
      <c r="Z7620" s="33"/>
      <c r="AA7620" s="33"/>
      <c r="AB7620" s="33"/>
      <c r="AC7620" s="33"/>
      <c r="AD7620" s="33"/>
      <c r="AE7620" s="33"/>
      <c r="AF7620" s="33"/>
      <c r="AG7620" s="33"/>
      <c r="AH7620" s="33"/>
      <c r="AI7620" s="33"/>
      <c r="AJ7620" s="33"/>
      <c r="AK7620" s="33"/>
    </row>
    <row r="7621">
      <c r="A7621" s="33"/>
      <c r="B7621" s="33"/>
      <c r="C7621" s="33"/>
      <c r="D7621" s="33"/>
      <c r="E7621" s="33"/>
      <c r="F7621" s="33"/>
      <c r="G7621" s="33"/>
      <c r="H7621" s="33"/>
      <c r="I7621" s="33"/>
      <c r="J7621" s="33"/>
      <c r="K7621" s="33"/>
      <c r="L7621" s="33"/>
      <c r="M7621" s="33"/>
      <c r="N7621" s="33"/>
      <c r="O7621" s="33"/>
      <c r="P7621" s="33"/>
      <c r="Q7621" s="33"/>
      <c r="R7621" s="33"/>
      <c r="S7621" s="33"/>
      <c r="T7621" s="33"/>
      <c r="U7621" s="33"/>
      <c r="V7621" s="33"/>
      <c r="W7621" s="33"/>
      <c r="X7621" s="33"/>
      <c r="Y7621" s="33"/>
      <c r="Z7621" s="33"/>
      <c r="AA7621" s="33"/>
      <c r="AB7621" s="33"/>
      <c r="AC7621" s="33"/>
      <c r="AD7621" s="33"/>
      <c r="AE7621" s="33"/>
      <c r="AF7621" s="33"/>
      <c r="AG7621" s="33"/>
      <c r="AH7621" s="33"/>
      <c r="AI7621" s="33"/>
      <c r="AJ7621" s="33"/>
      <c r="AK7621" s="33"/>
    </row>
    <row r="7622">
      <c r="A7622" s="33"/>
      <c r="B7622" s="33"/>
      <c r="C7622" s="33"/>
      <c r="D7622" s="33"/>
      <c r="E7622" s="33"/>
      <c r="F7622" s="33"/>
      <c r="G7622" s="33"/>
      <c r="H7622" s="33"/>
      <c r="I7622" s="33"/>
      <c r="J7622" s="33"/>
      <c r="K7622" s="33"/>
      <c r="L7622" s="33"/>
      <c r="M7622" s="33"/>
      <c r="N7622" s="33"/>
      <c r="O7622" s="33"/>
      <c r="P7622" s="33"/>
      <c r="Q7622" s="33"/>
      <c r="R7622" s="33"/>
      <c r="S7622" s="33"/>
      <c r="T7622" s="33"/>
      <c r="U7622" s="33"/>
      <c r="V7622" s="33"/>
      <c r="W7622" s="33"/>
      <c r="X7622" s="33"/>
      <c r="Y7622" s="33"/>
      <c r="Z7622" s="33"/>
      <c r="AA7622" s="33"/>
      <c r="AB7622" s="33"/>
      <c r="AC7622" s="33"/>
      <c r="AD7622" s="33"/>
      <c r="AE7622" s="33"/>
      <c r="AF7622" s="33"/>
      <c r="AG7622" s="33"/>
      <c r="AH7622" s="33"/>
      <c r="AI7622" s="33"/>
      <c r="AJ7622" s="33"/>
      <c r="AK7622" s="33"/>
    </row>
    <row r="7623">
      <c r="A7623" s="33"/>
      <c r="B7623" s="33"/>
      <c r="C7623" s="33"/>
      <c r="D7623" s="33"/>
      <c r="E7623" s="33"/>
      <c r="F7623" s="33"/>
      <c r="G7623" s="33"/>
      <c r="H7623" s="33"/>
      <c r="I7623" s="33"/>
      <c r="J7623" s="33"/>
      <c r="K7623" s="33"/>
      <c r="L7623" s="33"/>
      <c r="M7623" s="33"/>
      <c r="N7623" s="33"/>
      <c r="O7623" s="33"/>
      <c r="P7623" s="33"/>
      <c r="Q7623" s="33"/>
      <c r="R7623" s="33"/>
      <c r="S7623" s="33"/>
      <c r="T7623" s="33"/>
      <c r="U7623" s="33"/>
      <c r="V7623" s="33"/>
      <c r="W7623" s="33"/>
      <c r="X7623" s="33"/>
      <c r="Y7623" s="33"/>
      <c r="Z7623" s="33"/>
      <c r="AA7623" s="33"/>
      <c r="AB7623" s="33"/>
      <c r="AC7623" s="33"/>
      <c r="AD7623" s="33"/>
      <c r="AE7623" s="33"/>
      <c r="AF7623" s="33"/>
      <c r="AG7623" s="33"/>
      <c r="AH7623" s="33"/>
      <c r="AI7623" s="33"/>
      <c r="AJ7623" s="33"/>
      <c r="AK7623" s="33"/>
    </row>
    <row r="7624">
      <c r="A7624" s="33"/>
      <c r="B7624" s="33"/>
      <c r="C7624" s="33"/>
      <c r="D7624" s="33"/>
      <c r="E7624" s="33"/>
      <c r="F7624" s="33"/>
      <c r="G7624" s="33"/>
      <c r="H7624" s="33"/>
      <c r="I7624" s="33"/>
      <c r="J7624" s="33"/>
      <c r="K7624" s="33"/>
      <c r="L7624" s="33"/>
      <c r="M7624" s="33"/>
      <c r="N7624" s="33"/>
      <c r="O7624" s="33"/>
      <c r="P7624" s="33"/>
      <c r="Q7624" s="33"/>
      <c r="R7624" s="33"/>
      <c r="S7624" s="33"/>
      <c r="T7624" s="33"/>
      <c r="U7624" s="33"/>
      <c r="V7624" s="33"/>
      <c r="W7624" s="33"/>
      <c r="X7624" s="33"/>
      <c r="Y7624" s="33"/>
      <c r="Z7624" s="33"/>
      <c r="AA7624" s="33"/>
      <c r="AB7624" s="33"/>
      <c r="AC7624" s="33"/>
      <c r="AD7624" s="33"/>
      <c r="AE7624" s="33"/>
      <c r="AF7624" s="33"/>
      <c r="AG7624" s="33"/>
      <c r="AH7624" s="33"/>
      <c r="AI7624" s="33"/>
      <c r="AJ7624" s="33"/>
      <c r="AK7624" s="33"/>
    </row>
    <row r="7625">
      <c r="A7625" s="33"/>
      <c r="B7625" s="33"/>
      <c r="C7625" s="33"/>
      <c r="D7625" s="33"/>
      <c r="E7625" s="33"/>
      <c r="F7625" s="33"/>
      <c r="G7625" s="33"/>
      <c r="H7625" s="33"/>
      <c r="I7625" s="33"/>
      <c r="J7625" s="33"/>
      <c r="K7625" s="33"/>
      <c r="L7625" s="33"/>
      <c r="M7625" s="33"/>
      <c r="N7625" s="33"/>
      <c r="O7625" s="33"/>
      <c r="P7625" s="33"/>
      <c r="Q7625" s="33"/>
      <c r="R7625" s="33"/>
      <c r="S7625" s="33"/>
      <c r="T7625" s="33"/>
      <c r="U7625" s="33"/>
      <c r="V7625" s="33"/>
      <c r="W7625" s="33"/>
      <c r="X7625" s="33"/>
      <c r="Y7625" s="33"/>
      <c r="Z7625" s="33"/>
      <c r="AA7625" s="33"/>
      <c r="AB7625" s="33"/>
      <c r="AC7625" s="33"/>
      <c r="AD7625" s="33"/>
      <c r="AE7625" s="33"/>
      <c r="AF7625" s="33"/>
      <c r="AG7625" s="33"/>
      <c r="AH7625" s="33"/>
      <c r="AI7625" s="33"/>
      <c r="AJ7625" s="33"/>
      <c r="AK7625" s="33"/>
    </row>
    <row r="7626">
      <c r="A7626" s="33"/>
      <c r="B7626" s="33"/>
      <c r="C7626" s="33"/>
      <c r="D7626" s="33"/>
      <c r="E7626" s="33"/>
      <c r="F7626" s="33"/>
      <c r="G7626" s="33"/>
      <c r="H7626" s="33"/>
      <c r="I7626" s="33"/>
      <c r="J7626" s="33"/>
      <c r="K7626" s="33"/>
      <c r="L7626" s="33"/>
      <c r="M7626" s="33"/>
      <c r="N7626" s="33"/>
      <c r="O7626" s="33"/>
      <c r="P7626" s="33"/>
      <c r="Q7626" s="33"/>
      <c r="R7626" s="33"/>
      <c r="S7626" s="33"/>
      <c r="T7626" s="33"/>
      <c r="U7626" s="33"/>
      <c r="V7626" s="33"/>
      <c r="W7626" s="33"/>
      <c r="X7626" s="33"/>
      <c r="Y7626" s="33"/>
      <c r="Z7626" s="33"/>
      <c r="AA7626" s="33"/>
      <c r="AB7626" s="33"/>
      <c r="AC7626" s="33"/>
      <c r="AD7626" s="33"/>
      <c r="AE7626" s="33"/>
      <c r="AF7626" s="33"/>
      <c r="AG7626" s="33"/>
      <c r="AH7626" s="33"/>
      <c r="AI7626" s="33"/>
      <c r="AJ7626" s="33"/>
      <c r="AK7626" s="33"/>
    </row>
    <row r="7627">
      <c r="A7627" s="33"/>
      <c r="B7627" s="33"/>
      <c r="C7627" s="33"/>
      <c r="D7627" s="33"/>
      <c r="E7627" s="33"/>
      <c r="F7627" s="33"/>
      <c r="G7627" s="33"/>
      <c r="H7627" s="33"/>
      <c r="I7627" s="33"/>
      <c r="J7627" s="33"/>
      <c r="K7627" s="33"/>
      <c r="L7627" s="33"/>
      <c r="M7627" s="33"/>
      <c r="N7627" s="33"/>
      <c r="O7627" s="33"/>
      <c r="P7627" s="33"/>
      <c r="Q7627" s="33"/>
      <c r="R7627" s="33"/>
      <c r="S7627" s="33"/>
      <c r="T7627" s="33"/>
      <c r="U7627" s="33"/>
      <c r="V7627" s="33"/>
      <c r="W7627" s="33"/>
      <c r="X7627" s="33"/>
      <c r="Y7627" s="33"/>
      <c r="Z7627" s="33"/>
      <c r="AA7627" s="33"/>
      <c r="AB7627" s="33"/>
      <c r="AC7627" s="33"/>
      <c r="AD7627" s="33"/>
      <c r="AE7627" s="33"/>
      <c r="AF7627" s="33"/>
      <c r="AG7627" s="33"/>
      <c r="AH7627" s="33"/>
      <c r="AI7627" s="33"/>
      <c r="AJ7627" s="33"/>
      <c r="AK7627" s="33"/>
    </row>
    <row r="7628">
      <c r="A7628" s="33"/>
      <c r="B7628" s="33"/>
      <c r="C7628" s="33"/>
      <c r="D7628" s="33"/>
      <c r="E7628" s="33"/>
      <c r="F7628" s="33"/>
      <c r="G7628" s="33"/>
      <c r="H7628" s="33"/>
      <c r="I7628" s="33"/>
      <c r="J7628" s="33"/>
      <c r="K7628" s="33"/>
      <c r="L7628" s="33"/>
      <c r="M7628" s="33"/>
      <c r="N7628" s="33"/>
      <c r="O7628" s="33"/>
      <c r="P7628" s="33"/>
      <c r="Q7628" s="33"/>
      <c r="R7628" s="33"/>
      <c r="S7628" s="33"/>
      <c r="T7628" s="33"/>
      <c r="U7628" s="33"/>
      <c r="V7628" s="33"/>
      <c r="W7628" s="33"/>
      <c r="X7628" s="33"/>
      <c r="Y7628" s="33"/>
      <c r="Z7628" s="33"/>
      <c r="AA7628" s="33"/>
      <c r="AB7628" s="33"/>
      <c r="AC7628" s="33"/>
      <c r="AD7628" s="33"/>
      <c r="AE7628" s="33"/>
      <c r="AF7628" s="33"/>
      <c r="AG7628" s="33"/>
      <c r="AH7628" s="33"/>
      <c r="AI7628" s="33"/>
      <c r="AJ7628" s="33"/>
      <c r="AK7628" s="33"/>
    </row>
    <row r="7629">
      <c r="A7629" s="33"/>
      <c r="B7629" s="33"/>
      <c r="C7629" s="33"/>
      <c r="D7629" s="33"/>
      <c r="E7629" s="33"/>
      <c r="F7629" s="33"/>
      <c r="G7629" s="33"/>
      <c r="H7629" s="33"/>
      <c r="I7629" s="33"/>
      <c r="J7629" s="33"/>
      <c r="K7629" s="33"/>
      <c r="L7629" s="33"/>
      <c r="M7629" s="33"/>
      <c r="N7629" s="33"/>
      <c r="O7629" s="33"/>
      <c r="P7629" s="33"/>
      <c r="Q7629" s="33"/>
      <c r="R7629" s="33"/>
      <c r="S7629" s="33"/>
      <c r="T7629" s="33"/>
      <c r="U7629" s="33"/>
      <c r="V7629" s="33"/>
      <c r="W7629" s="33"/>
      <c r="X7629" s="33"/>
      <c r="Y7629" s="33"/>
      <c r="Z7629" s="33"/>
      <c r="AA7629" s="33"/>
      <c r="AB7629" s="33"/>
      <c r="AC7629" s="33"/>
      <c r="AD7629" s="33"/>
      <c r="AE7629" s="33"/>
      <c r="AF7629" s="33"/>
      <c r="AG7629" s="33"/>
      <c r="AH7629" s="33"/>
      <c r="AI7629" s="33"/>
      <c r="AJ7629" s="33"/>
      <c r="AK7629" s="33"/>
    </row>
    <row r="7630">
      <c r="A7630" s="33"/>
      <c r="B7630" s="33"/>
      <c r="C7630" s="33"/>
      <c r="D7630" s="33"/>
      <c r="E7630" s="33"/>
      <c r="F7630" s="33"/>
      <c r="G7630" s="33"/>
      <c r="H7630" s="33"/>
      <c r="I7630" s="33"/>
      <c r="J7630" s="33"/>
      <c r="K7630" s="33"/>
      <c r="L7630" s="33"/>
      <c r="M7630" s="33"/>
      <c r="N7630" s="33"/>
      <c r="O7630" s="33"/>
      <c r="P7630" s="33"/>
      <c r="Q7630" s="33"/>
      <c r="R7630" s="33"/>
      <c r="S7630" s="33"/>
      <c r="T7630" s="33"/>
      <c r="U7630" s="33"/>
      <c r="V7630" s="33"/>
      <c r="W7630" s="33"/>
      <c r="X7630" s="33"/>
      <c r="Y7630" s="33"/>
      <c r="Z7630" s="33"/>
      <c r="AA7630" s="33"/>
      <c r="AB7630" s="33"/>
      <c r="AC7630" s="33"/>
      <c r="AD7630" s="33"/>
      <c r="AE7630" s="33"/>
      <c r="AF7630" s="33"/>
      <c r="AG7630" s="33"/>
      <c r="AH7630" s="33"/>
      <c r="AI7630" s="33"/>
      <c r="AJ7630" s="33"/>
      <c r="AK7630" s="33"/>
    </row>
    <row r="7631">
      <c r="A7631" s="33"/>
      <c r="B7631" s="33"/>
      <c r="C7631" s="33"/>
      <c r="D7631" s="33"/>
      <c r="E7631" s="33"/>
      <c r="F7631" s="33"/>
      <c r="G7631" s="33"/>
      <c r="H7631" s="33"/>
      <c r="I7631" s="33"/>
      <c r="J7631" s="33"/>
      <c r="K7631" s="33"/>
      <c r="L7631" s="33"/>
      <c r="M7631" s="33"/>
      <c r="N7631" s="33"/>
      <c r="O7631" s="33"/>
      <c r="P7631" s="33"/>
      <c r="Q7631" s="33"/>
      <c r="R7631" s="33"/>
      <c r="S7631" s="33"/>
      <c r="T7631" s="33"/>
      <c r="U7631" s="33"/>
      <c r="V7631" s="33"/>
      <c r="W7631" s="33"/>
      <c r="X7631" s="33"/>
      <c r="Y7631" s="33"/>
      <c r="Z7631" s="33"/>
      <c r="AA7631" s="33"/>
      <c r="AB7631" s="33"/>
      <c r="AC7631" s="33"/>
      <c r="AD7631" s="33"/>
      <c r="AE7631" s="33"/>
      <c r="AF7631" s="33"/>
      <c r="AG7631" s="33"/>
      <c r="AH7631" s="33"/>
      <c r="AI7631" s="33"/>
      <c r="AJ7631" s="33"/>
      <c r="AK7631" s="33"/>
    </row>
    <row r="7632">
      <c r="A7632" s="33"/>
      <c r="B7632" s="33"/>
      <c r="C7632" s="33"/>
      <c r="D7632" s="33"/>
      <c r="E7632" s="33"/>
      <c r="F7632" s="33"/>
      <c r="G7632" s="33"/>
      <c r="H7632" s="33"/>
      <c r="I7632" s="33"/>
      <c r="J7632" s="33"/>
      <c r="K7632" s="33"/>
      <c r="L7632" s="33"/>
      <c r="M7632" s="33"/>
      <c r="N7632" s="33"/>
      <c r="O7632" s="33"/>
      <c r="P7632" s="33"/>
      <c r="Q7632" s="33"/>
      <c r="R7632" s="33"/>
      <c r="S7632" s="33"/>
      <c r="T7632" s="33"/>
      <c r="U7632" s="33"/>
      <c r="V7632" s="33"/>
      <c r="W7632" s="33"/>
      <c r="X7632" s="33"/>
      <c r="Y7632" s="33"/>
      <c r="Z7632" s="33"/>
      <c r="AA7632" s="33"/>
      <c r="AB7632" s="33"/>
      <c r="AC7632" s="33"/>
      <c r="AD7632" s="33"/>
      <c r="AE7632" s="33"/>
      <c r="AF7632" s="33"/>
      <c r="AG7632" s="33"/>
      <c r="AH7632" s="33"/>
      <c r="AI7632" s="33"/>
      <c r="AJ7632" s="33"/>
      <c r="AK7632" s="33"/>
    </row>
    <row r="7633">
      <c r="A7633" s="33"/>
      <c r="B7633" s="33"/>
      <c r="C7633" s="33"/>
      <c r="D7633" s="33"/>
      <c r="E7633" s="33"/>
      <c r="F7633" s="33"/>
      <c r="G7633" s="33"/>
      <c r="H7633" s="33"/>
      <c r="I7633" s="33"/>
      <c r="J7633" s="33"/>
      <c r="K7633" s="33"/>
      <c r="L7633" s="33"/>
      <c r="M7633" s="33"/>
      <c r="N7633" s="33"/>
      <c r="O7633" s="33"/>
      <c r="P7633" s="33"/>
      <c r="Q7633" s="33"/>
      <c r="R7633" s="33"/>
      <c r="S7633" s="33"/>
      <c r="T7633" s="33"/>
      <c r="U7633" s="33"/>
      <c r="V7633" s="33"/>
      <c r="W7633" s="33"/>
      <c r="X7633" s="33"/>
      <c r="Y7633" s="33"/>
      <c r="Z7633" s="33"/>
      <c r="AA7633" s="33"/>
      <c r="AB7633" s="33"/>
      <c r="AC7633" s="33"/>
      <c r="AD7633" s="33"/>
      <c r="AE7633" s="33"/>
      <c r="AF7633" s="33"/>
      <c r="AG7633" s="33"/>
      <c r="AH7633" s="33"/>
      <c r="AI7633" s="33"/>
      <c r="AJ7633" s="33"/>
      <c r="AK7633" s="33"/>
    </row>
    <row r="7634">
      <c r="A7634" s="33"/>
      <c r="B7634" s="33"/>
      <c r="C7634" s="33"/>
      <c r="D7634" s="33"/>
      <c r="E7634" s="33"/>
      <c r="F7634" s="33"/>
      <c r="G7634" s="33"/>
      <c r="H7634" s="33"/>
      <c r="I7634" s="33"/>
      <c r="J7634" s="33"/>
      <c r="K7634" s="33"/>
      <c r="L7634" s="33"/>
      <c r="M7634" s="33"/>
      <c r="N7634" s="33"/>
      <c r="O7634" s="33"/>
      <c r="P7634" s="33"/>
      <c r="Q7634" s="33"/>
      <c r="R7634" s="33"/>
      <c r="S7634" s="33"/>
      <c r="T7634" s="33"/>
      <c r="U7634" s="33"/>
      <c r="V7634" s="33"/>
      <c r="W7634" s="33"/>
      <c r="X7634" s="33"/>
      <c r="Y7634" s="33"/>
      <c r="Z7634" s="33"/>
      <c r="AA7634" s="33"/>
      <c r="AB7634" s="33"/>
      <c r="AC7634" s="33"/>
      <c r="AD7634" s="33"/>
      <c r="AE7634" s="33"/>
      <c r="AF7634" s="33"/>
      <c r="AG7634" s="33"/>
      <c r="AH7634" s="33"/>
      <c r="AI7634" s="33"/>
      <c r="AJ7634" s="33"/>
      <c r="AK7634" s="33"/>
    </row>
    <row r="7635">
      <c r="A7635" s="33"/>
      <c r="B7635" s="33"/>
      <c r="C7635" s="33"/>
      <c r="D7635" s="33"/>
      <c r="E7635" s="33"/>
      <c r="F7635" s="33"/>
      <c r="G7635" s="33"/>
      <c r="H7635" s="33"/>
      <c r="I7635" s="33"/>
      <c r="J7635" s="33"/>
      <c r="K7635" s="33"/>
      <c r="L7635" s="33"/>
      <c r="M7635" s="33"/>
      <c r="N7635" s="33"/>
      <c r="O7635" s="33"/>
      <c r="P7635" s="33"/>
      <c r="Q7635" s="33"/>
      <c r="R7635" s="33"/>
      <c r="S7635" s="33"/>
      <c r="T7635" s="33"/>
      <c r="U7635" s="33"/>
      <c r="V7635" s="33"/>
      <c r="W7635" s="33"/>
      <c r="X7635" s="33"/>
      <c r="Y7635" s="33"/>
      <c r="Z7635" s="33"/>
      <c r="AA7635" s="33"/>
      <c r="AB7635" s="33"/>
      <c r="AC7635" s="33"/>
      <c r="AD7635" s="33"/>
      <c r="AE7635" s="33"/>
      <c r="AF7635" s="33"/>
      <c r="AG7635" s="33"/>
      <c r="AH7635" s="33"/>
      <c r="AI7635" s="33"/>
      <c r="AJ7635" s="33"/>
      <c r="AK7635" s="33"/>
    </row>
    <row r="7636">
      <c r="A7636" s="33"/>
      <c r="B7636" s="33"/>
      <c r="C7636" s="33"/>
      <c r="D7636" s="33"/>
      <c r="E7636" s="33"/>
      <c r="F7636" s="33"/>
      <c r="G7636" s="33"/>
      <c r="H7636" s="33"/>
      <c r="I7636" s="33"/>
      <c r="J7636" s="33"/>
      <c r="K7636" s="33"/>
      <c r="L7636" s="33"/>
      <c r="M7636" s="33"/>
      <c r="N7636" s="33"/>
      <c r="O7636" s="33"/>
      <c r="P7636" s="33"/>
      <c r="Q7636" s="33"/>
      <c r="R7636" s="33"/>
      <c r="S7636" s="33"/>
      <c r="T7636" s="33"/>
      <c r="U7636" s="33"/>
      <c r="V7636" s="33"/>
      <c r="W7636" s="33"/>
      <c r="X7636" s="33"/>
      <c r="Y7636" s="33"/>
      <c r="Z7636" s="33"/>
      <c r="AA7636" s="33"/>
      <c r="AB7636" s="33"/>
      <c r="AC7636" s="33"/>
      <c r="AD7636" s="33"/>
      <c r="AE7636" s="33"/>
      <c r="AF7636" s="33"/>
      <c r="AG7636" s="33"/>
      <c r="AH7636" s="33"/>
      <c r="AI7636" s="33"/>
      <c r="AJ7636" s="33"/>
      <c r="AK7636" s="33"/>
    </row>
    <row r="7637">
      <c r="A7637" s="33"/>
      <c r="B7637" s="33"/>
      <c r="C7637" s="33"/>
      <c r="D7637" s="33"/>
      <c r="E7637" s="33"/>
      <c r="F7637" s="33"/>
      <c r="G7637" s="33"/>
      <c r="H7637" s="33"/>
      <c r="I7637" s="33"/>
      <c r="J7637" s="33"/>
      <c r="K7637" s="33"/>
      <c r="L7637" s="33"/>
      <c r="M7637" s="33"/>
      <c r="N7637" s="33"/>
      <c r="O7637" s="33"/>
      <c r="P7637" s="33"/>
      <c r="Q7637" s="33"/>
      <c r="R7637" s="33"/>
      <c r="S7637" s="33"/>
      <c r="T7637" s="33"/>
      <c r="U7637" s="33"/>
      <c r="V7637" s="33"/>
      <c r="W7637" s="33"/>
      <c r="X7637" s="33"/>
      <c r="Y7637" s="33"/>
      <c r="Z7637" s="33"/>
      <c r="AA7637" s="33"/>
      <c r="AB7637" s="33"/>
      <c r="AC7637" s="33"/>
      <c r="AD7637" s="33"/>
      <c r="AE7637" s="33"/>
      <c r="AF7637" s="33"/>
      <c r="AG7637" s="33"/>
      <c r="AH7637" s="33"/>
      <c r="AI7637" s="33"/>
      <c r="AJ7637" s="33"/>
      <c r="AK7637" s="33"/>
    </row>
    <row r="7638">
      <c r="A7638" s="33"/>
      <c r="B7638" s="33"/>
      <c r="C7638" s="33"/>
      <c r="D7638" s="33"/>
      <c r="E7638" s="33"/>
      <c r="F7638" s="33"/>
      <c r="G7638" s="33"/>
      <c r="H7638" s="33"/>
      <c r="I7638" s="33"/>
      <c r="J7638" s="33"/>
      <c r="K7638" s="33"/>
      <c r="L7638" s="33"/>
      <c r="M7638" s="33"/>
      <c r="N7638" s="33"/>
      <c r="O7638" s="33"/>
      <c r="P7638" s="33"/>
      <c r="Q7638" s="33"/>
      <c r="R7638" s="33"/>
      <c r="S7638" s="33"/>
      <c r="T7638" s="33"/>
      <c r="U7638" s="33"/>
      <c r="V7638" s="33"/>
      <c r="W7638" s="33"/>
      <c r="X7638" s="33"/>
      <c r="Y7638" s="33"/>
      <c r="Z7638" s="33"/>
      <c r="AA7638" s="33"/>
      <c r="AB7638" s="33"/>
      <c r="AC7638" s="33"/>
      <c r="AD7638" s="33"/>
      <c r="AE7638" s="33"/>
      <c r="AF7638" s="33"/>
      <c r="AG7638" s="33"/>
      <c r="AH7638" s="33"/>
      <c r="AI7638" s="33"/>
      <c r="AJ7638" s="33"/>
      <c r="AK7638" s="33"/>
    </row>
    <row r="7639">
      <c r="A7639" s="33"/>
      <c r="B7639" s="33"/>
      <c r="C7639" s="33"/>
      <c r="D7639" s="33"/>
      <c r="E7639" s="33"/>
      <c r="F7639" s="33"/>
      <c r="G7639" s="33"/>
      <c r="H7639" s="33"/>
      <c r="I7639" s="33"/>
      <c r="J7639" s="33"/>
      <c r="K7639" s="33"/>
      <c r="L7639" s="33"/>
      <c r="M7639" s="33"/>
      <c r="N7639" s="33"/>
      <c r="O7639" s="33"/>
      <c r="P7639" s="33"/>
      <c r="Q7639" s="33"/>
      <c r="R7639" s="33"/>
      <c r="S7639" s="33"/>
      <c r="T7639" s="33"/>
      <c r="U7639" s="33"/>
      <c r="V7639" s="33"/>
      <c r="W7639" s="33"/>
      <c r="X7639" s="33"/>
      <c r="Y7639" s="33"/>
      <c r="Z7639" s="33"/>
      <c r="AA7639" s="33"/>
      <c r="AB7639" s="33"/>
      <c r="AC7639" s="33"/>
      <c r="AD7639" s="33"/>
      <c r="AE7639" s="33"/>
      <c r="AF7639" s="33"/>
      <c r="AG7639" s="33"/>
      <c r="AH7639" s="33"/>
      <c r="AI7639" s="33"/>
      <c r="AJ7639" s="33"/>
      <c r="AK7639" s="33"/>
    </row>
    <row r="7640">
      <c r="A7640" s="33"/>
      <c r="B7640" s="33"/>
      <c r="C7640" s="33"/>
      <c r="D7640" s="33"/>
      <c r="E7640" s="33"/>
      <c r="F7640" s="33"/>
      <c r="G7640" s="33"/>
      <c r="H7640" s="33"/>
      <c r="I7640" s="33"/>
      <c r="J7640" s="33"/>
      <c r="K7640" s="33"/>
      <c r="L7640" s="33"/>
      <c r="M7640" s="33"/>
      <c r="N7640" s="33"/>
      <c r="O7640" s="33"/>
      <c r="P7640" s="33"/>
      <c r="Q7640" s="33"/>
      <c r="R7640" s="33"/>
      <c r="S7640" s="33"/>
      <c r="T7640" s="33"/>
      <c r="U7640" s="33"/>
      <c r="V7640" s="33"/>
      <c r="W7640" s="33"/>
      <c r="X7640" s="33"/>
      <c r="Y7640" s="33"/>
      <c r="Z7640" s="33"/>
      <c r="AA7640" s="33"/>
      <c r="AB7640" s="33"/>
      <c r="AC7640" s="33"/>
      <c r="AD7640" s="33"/>
      <c r="AE7640" s="33"/>
      <c r="AF7640" s="33"/>
      <c r="AG7640" s="33"/>
      <c r="AH7640" s="33"/>
      <c r="AI7640" s="33"/>
      <c r="AJ7640" s="33"/>
      <c r="AK7640" s="33"/>
    </row>
    <row r="7641">
      <c r="A7641" s="33"/>
      <c r="B7641" s="33"/>
      <c r="C7641" s="33"/>
      <c r="D7641" s="33"/>
      <c r="E7641" s="33"/>
      <c r="F7641" s="33"/>
      <c r="G7641" s="33"/>
      <c r="H7641" s="33"/>
      <c r="I7641" s="33"/>
      <c r="J7641" s="33"/>
      <c r="K7641" s="33"/>
      <c r="L7641" s="33"/>
      <c r="M7641" s="33"/>
      <c r="N7641" s="33"/>
      <c r="O7641" s="33"/>
      <c r="P7641" s="33"/>
      <c r="Q7641" s="33"/>
      <c r="R7641" s="33"/>
      <c r="S7641" s="33"/>
      <c r="T7641" s="33"/>
      <c r="U7641" s="33"/>
      <c r="V7641" s="33"/>
      <c r="W7641" s="33"/>
      <c r="X7641" s="33"/>
      <c r="Y7641" s="33"/>
      <c r="Z7641" s="33"/>
      <c r="AA7641" s="33"/>
      <c r="AB7641" s="33"/>
      <c r="AC7641" s="33"/>
      <c r="AD7641" s="33"/>
      <c r="AE7641" s="33"/>
      <c r="AF7641" s="33"/>
      <c r="AG7641" s="33"/>
      <c r="AH7641" s="33"/>
      <c r="AI7641" s="33"/>
      <c r="AJ7641" s="33"/>
      <c r="AK7641" s="33"/>
    </row>
    <row r="7642">
      <c r="A7642" s="33"/>
      <c r="B7642" s="33"/>
      <c r="C7642" s="33"/>
      <c r="D7642" s="33"/>
      <c r="E7642" s="33"/>
      <c r="F7642" s="33"/>
      <c r="G7642" s="33"/>
      <c r="H7642" s="33"/>
      <c r="I7642" s="33"/>
      <c r="J7642" s="33"/>
      <c r="K7642" s="33"/>
      <c r="L7642" s="33"/>
      <c r="M7642" s="33"/>
      <c r="N7642" s="33"/>
      <c r="O7642" s="33"/>
      <c r="P7642" s="33"/>
      <c r="Q7642" s="33"/>
      <c r="R7642" s="33"/>
      <c r="S7642" s="33"/>
      <c r="T7642" s="33"/>
      <c r="U7642" s="33"/>
      <c r="V7642" s="33"/>
      <c r="W7642" s="33"/>
      <c r="X7642" s="33"/>
      <c r="Y7642" s="33"/>
      <c r="Z7642" s="33"/>
      <c r="AA7642" s="33"/>
      <c r="AB7642" s="33"/>
      <c r="AC7642" s="33"/>
      <c r="AD7642" s="33"/>
      <c r="AE7642" s="33"/>
      <c r="AF7642" s="33"/>
      <c r="AG7642" s="33"/>
      <c r="AH7642" s="33"/>
      <c r="AI7642" s="33"/>
      <c r="AJ7642" s="33"/>
      <c r="AK7642" s="33"/>
    </row>
    <row r="7643">
      <c r="A7643" s="33"/>
      <c r="B7643" s="33"/>
      <c r="C7643" s="33"/>
      <c r="D7643" s="33"/>
      <c r="E7643" s="33"/>
      <c r="F7643" s="33"/>
      <c r="G7643" s="33"/>
      <c r="H7643" s="33"/>
      <c r="I7643" s="33"/>
      <c r="J7643" s="33"/>
      <c r="K7643" s="33"/>
      <c r="L7643" s="33"/>
      <c r="M7643" s="33"/>
      <c r="N7643" s="33"/>
      <c r="O7643" s="33"/>
      <c r="P7643" s="33"/>
      <c r="Q7643" s="33"/>
      <c r="R7643" s="33"/>
      <c r="S7643" s="33"/>
      <c r="T7643" s="33"/>
      <c r="U7643" s="33"/>
      <c r="V7643" s="33"/>
      <c r="W7643" s="33"/>
      <c r="X7643" s="33"/>
      <c r="Y7643" s="33"/>
      <c r="Z7643" s="33"/>
      <c r="AA7643" s="33"/>
      <c r="AB7643" s="33"/>
      <c r="AC7643" s="33"/>
      <c r="AD7643" s="33"/>
      <c r="AE7643" s="33"/>
      <c r="AF7643" s="33"/>
      <c r="AG7643" s="33"/>
      <c r="AH7643" s="33"/>
      <c r="AI7643" s="33"/>
      <c r="AJ7643" s="33"/>
      <c r="AK7643" s="33"/>
    </row>
    <row r="7644">
      <c r="A7644" s="33"/>
      <c r="B7644" s="33"/>
      <c r="C7644" s="33"/>
      <c r="D7644" s="33"/>
      <c r="E7644" s="33"/>
      <c r="F7644" s="33"/>
      <c r="G7644" s="33"/>
      <c r="H7644" s="33"/>
      <c r="I7644" s="33"/>
      <c r="J7644" s="33"/>
      <c r="K7644" s="33"/>
      <c r="L7644" s="33"/>
      <c r="M7644" s="33"/>
      <c r="N7644" s="33"/>
      <c r="O7644" s="33"/>
      <c r="P7644" s="33"/>
      <c r="Q7644" s="33"/>
      <c r="R7644" s="33"/>
      <c r="S7644" s="33"/>
      <c r="T7644" s="33"/>
      <c r="U7644" s="33"/>
      <c r="V7644" s="33"/>
      <c r="W7644" s="33"/>
      <c r="X7644" s="33"/>
      <c r="Y7644" s="33"/>
      <c r="Z7644" s="33"/>
      <c r="AA7644" s="33"/>
      <c r="AB7644" s="33"/>
      <c r="AC7644" s="33"/>
      <c r="AD7644" s="33"/>
      <c r="AE7644" s="33"/>
      <c r="AF7644" s="33"/>
      <c r="AG7644" s="33"/>
      <c r="AH7644" s="33"/>
      <c r="AI7644" s="33"/>
      <c r="AJ7644" s="33"/>
      <c r="AK7644" s="33"/>
    </row>
    <row r="7645">
      <c r="A7645" s="33"/>
      <c r="B7645" s="33"/>
      <c r="C7645" s="33"/>
      <c r="D7645" s="33"/>
      <c r="E7645" s="33"/>
      <c r="F7645" s="33"/>
      <c r="G7645" s="33"/>
      <c r="H7645" s="33"/>
      <c r="I7645" s="33"/>
      <c r="J7645" s="33"/>
      <c r="K7645" s="33"/>
      <c r="L7645" s="33"/>
      <c r="M7645" s="33"/>
      <c r="N7645" s="33"/>
      <c r="O7645" s="33"/>
      <c r="P7645" s="33"/>
      <c r="Q7645" s="33"/>
      <c r="R7645" s="33"/>
      <c r="S7645" s="33"/>
      <c r="T7645" s="33"/>
      <c r="U7645" s="33"/>
      <c r="V7645" s="33"/>
      <c r="W7645" s="33"/>
      <c r="X7645" s="33"/>
      <c r="Y7645" s="33"/>
      <c r="Z7645" s="33"/>
      <c r="AA7645" s="33"/>
      <c r="AB7645" s="33"/>
      <c r="AC7645" s="33"/>
      <c r="AD7645" s="33"/>
      <c r="AE7645" s="33"/>
      <c r="AF7645" s="33"/>
      <c r="AG7645" s="33"/>
      <c r="AH7645" s="33"/>
      <c r="AI7645" s="33"/>
      <c r="AJ7645" s="33"/>
      <c r="AK7645" s="33"/>
    </row>
    <row r="7646">
      <c r="A7646" s="33"/>
      <c r="B7646" s="33"/>
      <c r="C7646" s="33"/>
      <c r="D7646" s="33"/>
      <c r="E7646" s="33"/>
      <c r="F7646" s="33"/>
      <c r="G7646" s="33"/>
      <c r="H7646" s="33"/>
      <c r="I7646" s="33"/>
      <c r="J7646" s="33"/>
      <c r="K7646" s="33"/>
      <c r="L7646" s="33"/>
      <c r="M7646" s="33"/>
      <c r="N7646" s="33"/>
      <c r="O7646" s="33"/>
      <c r="P7646" s="33"/>
      <c r="Q7646" s="33"/>
      <c r="R7646" s="33"/>
      <c r="S7646" s="33"/>
      <c r="T7646" s="33"/>
      <c r="U7646" s="33"/>
      <c r="V7646" s="33"/>
      <c r="W7646" s="33"/>
      <c r="X7646" s="33"/>
      <c r="Y7646" s="33"/>
      <c r="Z7646" s="33"/>
      <c r="AA7646" s="33"/>
      <c r="AB7646" s="33"/>
      <c r="AC7646" s="33"/>
      <c r="AD7646" s="33"/>
      <c r="AE7646" s="33"/>
      <c r="AF7646" s="33"/>
      <c r="AG7646" s="33"/>
      <c r="AH7646" s="33"/>
      <c r="AI7646" s="33"/>
      <c r="AJ7646" s="33"/>
      <c r="AK7646" s="33"/>
    </row>
    <row r="7647">
      <c r="A7647" s="33"/>
      <c r="B7647" s="33"/>
      <c r="C7647" s="33"/>
      <c r="D7647" s="33"/>
      <c r="E7647" s="33"/>
      <c r="F7647" s="33"/>
      <c r="G7647" s="33"/>
      <c r="H7647" s="33"/>
      <c r="I7647" s="33"/>
      <c r="J7647" s="33"/>
      <c r="K7647" s="33"/>
      <c r="L7647" s="33"/>
      <c r="M7647" s="33"/>
      <c r="N7647" s="33"/>
      <c r="O7647" s="33"/>
      <c r="P7647" s="33"/>
      <c r="Q7647" s="33"/>
      <c r="R7647" s="33"/>
      <c r="S7647" s="33"/>
      <c r="T7647" s="33"/>
      <c r="U7647" s="33"/>
      <c r="V7647" s="33"/>
      <c r="W7647" s="33"/>
      <c r="X7647" s="33"/>
      <c r="Y7647" s="33"/>
      <c r="Z7647" s="33"/>
      <c r="AA7647" s="33"/>
      <c r="AB7647" s="33"/>
      <c r="AC7647" s="33"/>
      <c r="AD7647" s="33"/>
      <c r="AE7647" s="33"/>
      <c r="AF7647" s="33"/>
      <c r="AG7647" s="33"/>
      <c r="AH7647" s="33"/>
      <c r="AI7647" s="33"/>
      <c r="AJ7647" s="33"/>
      <c r="AK7647" s="33"/>
    </row>
    <row r="7648">
      <c r="A7648" s="33"/>
      <c r="B7648" s="33"/>
      <c r="C7648" s="33"/>
      <c r="D7648" s="33"/>
      <c r="E7648" s="33"/>
      <c r="F7648" s="33"/>
      <c r="G7648" s="33"/>
      <c r="H7648" s="33"/>
      <c r="I7648" s="33"/>
      <c r="J7648" s="33"/>
      <c r="K7648" s="33"/>
      <c r="L7648" s="33"/>
      <c r="M7648" s="33"/>
      <c r="N7648" s="33"/>
      <c r="O7648" s="33"/>
      <c r="P7648" s="33"/>
      <c r="Q7648" s="33"/>
      <c r="R7648" s="33"/>
      <c r="S7648" s="33"/>
      <c r="T7648" s="33"/>
      <c r="U7648" s="33"/>
      <c r="V7648" s="33"/>
      <c r="W7648" s="33"/>
      <c r="X7648" s="33"/>
      <c r="Y7648" s="33"/>
      <c r="Z7648" s="33"/>
      <c r="AA7648" s="33"/>
      <c r="AB7648" s="33"/>
      <c r="AC7648" s="33"/>
      <c r="AD7648" s="33"/>
      <c r="AE7648" s="33"/>
      <c r="AF7648" s="33"/>
      <c r="AG7648" s="33"/>
      <c r="AH7648" s="33"/>
      <c r="AI7648" s="33"/>
      <c r="AJ7648" s="33"/>
      <c r="AK7648" s="33"/>
    </row>
    <row r="7649">
      <c r="A7649" s="33"/>
      <c r="B7649" s="33"/>
      <c r="C7649" s="33"/>
      <c r="D7649" s="33"/>
      <c r="E7649" s="33"/>
      <c r="F7649" s="33"/>
      <c r="G7649" s="33"/>
      <c r="H7649" s="33"/>
      <c r="I7649" s="33"/>
      <c r="J7649" s="33"/>
      <c r="K7649" s="33"/>
      <c r="L7649" s="33"/>
      <c r="M7649" s="33"/>
      <c r="N7649" s="33"/>
      <c r="O7649" s="33"/>
      <c r="P7649" s="33"/>
      <c r="Q7649" s="33"/>
      <c r="R7649" s="33"/>
      <c r="S7649" s="33"/>
      <c r="T7649" s="33"/>
      <c r="U7649" s="33"/>
      <c r="V7649" s="33"/>
      <c r="W7649" s="33"/>
      <c r="X7649" s="33"/>
      <c r="Y7649" s="33"/>
      <c r="Z7649" s="33"/>
      <c r="AA7649" s="33"/>
      <c r="AB7649" s="33"/>
      <c r="AC7649" s="33"/>
      <c r="AD7649" s="33"/>
      <c r="AE7649" s="33"/>
      <c r="AF7649" s="33"/>
      <c r="AG7649" s="33"/>
      <c r="AH7649" s="33"/>
      <c r="AI7649" s="33"/>
      <c r="AJ7649" s="33"/>
      <c r="AK7649" s="33"/>
    </row>
    <row r="7650">
      <c r="A7650" s="33"/>
      <c r="B7650" s="33"/>
      <c r="C7650" s="33"/>
      <c r="D7650" s="33"/>
      <c r="E7650" s="33"/>
      <c r="F7650" s="33"/>
      <c r="G7650" s="33"/>
      <c r="H7650" s="33"/>
      <c r="I7650" s="33"/>
      <c r="J7650" s="33"/>
      <c r="K7650" s="33"/>
      <c r="L7650" s="33"/>
      <c r="M7650" s="33"/>
      <c r="N7650" s="33"/>
      <c r="O7650" s="33"/>
      <c r="P7650" s="33"/>
      <c r="Q7650" s="33"/>
      <c r="R7650" s="33"/>
      <c r="S7650" s="33"/>
      <c r="T7650" s="33"/>
      <c r="U7650" s="33"/>
      <c r="V7650" s="33"/>
      <c r="W7650" s="33"/>
      <c r="X7650" s="33"/>
      <c r="Y7650" s="33"/>
      <c r="Z7650" s="33"/>
      <c r="AA7650" s="33"/>
      <c r="AB7650" s="33"/>
      <c r="AC7650" s="33"/>
      <c r="AD7650" s="33"/>
      <c r="AE7650" s="33"/>
      <c r="AF7650" s="33"/>
      <c r="AG7650" s="33"/>
      <c r="AH7650" s="33"/>
      <c r="AI7650" s="33"/>
      <c r="AJ7650" s="33"/>
      <c r="AK7650" s="33"/>
    </row>
    <row r="7651">
      <c r="A7651" s="33"/>
      <c r="B7651" s="33"/>
      <c r="C7651" s="33"/>
      <c r="D7651" s="33"/>
      <c r="E7651" s="33"/>
      <c r="F7651" s="33"/>
      <c r="G7651" s="33"/>
      <c r="H7651" s="33"/>
      <c r="I7651" s="33"/>
      <c r="J7651" s="33"/>
      <c r="K7651" s="33"/>
      <c r="L7651" s="33"/>
      <c r="M7651" s="33"/>
      <c r="N7651" s="33"/>
      <c r="O7651" s="33"/>
      <c r="P7651" s="33"/>
      <c r="Q7651" s="33"/>
      <c r="R7651" s="33"/>
      <c r="S7651" s="33"/>
      <c r="T7651" s="33"/>
      <c r="U7651" s="33"/>
      <c r="V7651" s="33"/>
      <c r="W7651" s="33"/>
      <c r="X7651" s="33"/>
      <c r="Y7651" s="33"/>
      <c r="Z7651" s="33"/>
      <c r="AA7651" s="33"/>
      <c r="AB7651" s="33"/>
      <c r="AC7651" s="33"/>
      <c r="AD7651" s="33"/>
      <c r="AE7651" s="33"/>
      <c r="AF7651" s="33"/>
      <c r="AG7651" s="33"/>
      <c r="AH7651" s="33"/>
      <c r="AI7651" s="33"/>
      <c r="AJ7651" s="33"/>
      <c r="AK7651" s="33"/>
    </row>
    <row r="7652">
      <c r="A7652" s="33"/>
      <c r="B7652" s="33"/>
      <c r="C7652" s="33"/>
      <c r="D7652" s="33"/>
      <c r="E7652" s="33"/>
      <c r="F7652" s="33"/>
      <c r="G7652" s="33"/>
      <c r="H7652" s="33"/>
      <c r="I7652" s="33"/>
      <c r="J7652" s="33"/>
      <c r="K7652" s="33"/>
      <c r="L7652" s="33"/>
      <c r="M7652" s="33"/>
      <c r="N7652" s="33"/>
      <c r="O7652" s="33"/>
      <c r="P7652" s="33"/>
      <c r="Q7652" s="33"/>
      <c r="R7652" s="33"/>
      <c r="S7652" s="33"/>
      <c r="T7652" s="33"/>
      <c r="U7652" s="33"/>
      <c r="V7652" s="33"/>
      <c r="W7652" s="33"/>
      <c r="X7652" s="33"/>
      <c r="Y7652" s="33"/>
      <c r="Z7652" s="33"/>
      <c r="AA7652" s="33"/>
      <c r="AB7652" s="33"/>
      <c r="AC7652" s="33"/>
      <c r="AD7652" s="33"/>
      <c r="AE7652" s="33"/>
      <c r="AF7652" s="33"/>
      <c r="AG7652" s="33"/>
      <c r="AH7652" s="33"/>
      <c r="AI7652" s="33"/>
      <c r="AJ7652" s="33"/>
      <c r="AK7652" s="33"/>
    </row>
    <row r="7653">
      <c r="A7653" s="33"/>
      <c r="B7653" s="33"/>
      <c r="C7653" s="33"/>
      <c r="D7653" s="33"/>
      <c r="E7653" s="33"/>
      <c r="F7653" s="33"/>
      <c r="G7653" s="33"/>
      <c r="H7653" s="33"/>
      <c r="I7653" s="33"/>
      <c r="J7653" s="33"/>
      <c r="K7653" s="33"/>
      <c r="L7653" s="33"/>
      <c r="M7653" s="33"/>
      <c r="N7653" s="33"/>
      <c r="O7653" s="33"/>
      <c r="P7653" s="33"/>
      <c r="Q7653" s="33"/>
      <c r="R7653" s="33"/>
      <c r="S7653" s="33"/>
      <c r="T7653" s="33"/>
      <c r="U7653" s="33"/>
      <c r="V7653" s="33"/>
      <c r="W7653" s="33"/>
      <c r="X7653" s="33"/>
      <c r="Y7653" s="33"/>
      <c r="Z7653" s="33"/>
      <c r="AA7653" s="33"/>
      <c r="AB7653" s="33"/>
      <c r="AC7653" s="33"/>
      <c r="AD7653" s="33"/>
      <c r="AE7653" s="33"/>
      <c r="AF7653" s="33"/>
      <c r="AG7653" s="33"/>
      <c r="AH7653" s="33"/>
      <c r="AI7653" s="33"/>
      <c r="AJ7653" s="33"/>
      <c r="AK7653" s="33"/>
    </row>
    <row r="7654">
      <c r="A7654" s="33"/>
      <c r="B7654" s="33"/>
      <c r="C7654" s="33"/>
      <c r="D7654" s="33"/>
      <c r="E7654" s="33"/>
      <c r="F7654" s="33"/>
      <c r="G7654" s="33"/>
      <c r="H7654" s="33"/>
      <c r="I7654" s="33"/>
      <c r="J7654" s="33"/>
      <c r="K7654" s="33"/>
      <c r="L7654" s="33"/>
      <c r="M7654" s="33"/>
      <c r="N7654" s="33"/>
      <c r="O7654" s="33"/>
      <c r="P7654" s="33"/>
      <c r="Q7654" s="33"/>
      <c r="R7654" s="33"/>
      <c r="S7654" s="33"/>
      <c r="T7654" s="33"/>
      <c r="U7654" s="33"/>
      <c r="V7654" s="33"/>
      <c r="W7654" s="33"/>
      <c r="X7654" s="33"/>
      <c r="Y7654" s="33"/>
      <c r="Z7654" s="33"/>
      <c r="AA7654" s="33"/>
      <c r="AB7654" s="33"/>
      <c r="AC7654" s="33"/>
      <c r="AD7654" s="33"/>
      <c r="AE7654" s="33"/>
      <c r="AF7654" s="33"/>
      <c r="AG7654" s="33"/>
      <c r="AH7654" s="33"/>
      <c r="AI7654" s="33"/>
      <c r="AJ7654" s="33"/>
      <c r="AK7654" s="33"/>
    </row>
    <row r="7655">
      <c r="A7655" s="33"/>
      <c r="B7655" s="33"/>
      <c r="C7655" s="33"/>
      <c r="D7655" s="33"/>
      <c r="E7655" s="33"/>
      <c r="F7655" s="33"/>
      <c r="G7655" s="33"/>
      <c r="H7655" s="33"/>
      <c r="I7655" s="33"/>
      <c r="J7655" s="33"/>
      <c r="K7655" s="33"/>
      <c r="L7655" s="33"/>
      <c r="M7655" s="33"/>
      <c r="N7655" s="33"/>
      <c r="O7655" s="33"/>
      <c r="P7655" s="33"/>
      <c r="Q7655" s="33"/>
      <c r="R7655" s="33"/>
      <c r="S7655" s="33"/>
      <c r="T7655" s="33"/>
      <c r="U7655" s="33"/>
      <c r="V7655" s="33"/>
      <c r="W7655" s="33"/>
      <c r="X7655" s="33"/>
      <c r="Y7655" s="33"/>
      <c r="Z7655" s="33"/>
      <c r="AA7655" s="33"/>
      <c r="AB7655" s="33"/>
      <c r="AC7655" s="33"/>
      <c r="AD7655" s="33"/>
      <c r="AE7655" s="33"/>
      <c r="AF7655" s="33"/>
      <c r="AG7655" s="33"/>
      <c r="AH7655" s="33"/>
      <c r="AI7655" s="33"/>
      <c r="AJ7655" s="33"/>
      <c r="AK7655" s="33"/>
    </row>
    <row r="7656">
      <c r="A7656" s="33"/>
      <c r="B7656" s="33"/>
      <c r="C7656" s="33"/>
      <c r="D7656" s="33"/>
      <c r="E7656" s="33"/>
      <c r="F7656" s="33"/>
      <c r="G7656" s="33"/>
      <c r="H7656" s="33"/>
      <c r="I7656" s="33"/>
      <c r="J7656" s="33"/>
      <c r="K7656" s="33"/>
      <c r="L7656" s="33"/>
      <c r="M7656" s="33"/>
      <c r="N7656" s="33"/>
      <c r="O7656" s="33"/>
      <c r="P7656" s="33"/>
      <c r="Q7656" s="33"/>
      <c r="R7656" s="33"/>
      <c r="S7656" s="33"/>
      <c r="T7656" s="33"/>
      <c r="U7656" s="33"/>
      <c r="V7656" s="33"/>
      <c r="W7656" s="33"/>
      <c r="X7656" s="33"/>
      <c r="Y7656" s="33"/>
      <c r="Z7656" s="33"/>
      <c r="AA7656" s="33"/>
      <c r="AB7656" s="33"/>
      <c r="AC7656" s="33"/>
      <c r="AD7656" s="33"/>
      <c r="AE7656" s="33"/>
      <c r="AF7656" s="33"/>
      <c r="AG7656" s="33"/>
      <c r="AH7656" s="33"/>
      <c r="AI7656" s="33"/>
      <c r="AJ7656" s="33"/>
      <c r="AK7656" s="33"/>
    </row>
    <row r="7657">
      <c r="A7657" s="33"/>
      <c r="B7657" s="33"/>
      <c r="C7657" s="33"/>
      <c r="D7657" s="33"/>
      <c r="E7657" s="33"/>
      <c r="F7657" s="33"/>
      <c r="G7657" s="33"/>
      <c r="H7657" s="33"/>
      <c r="I7657" s="33"/>
      <c r="J7657" s="33"/>
      <c r="K7657" s="33"/>
      <c r="L7657" s="33"/>
      <c r="M7657" s="33"/>
      <c r="N7657" s="33"/>
      <c r="O7657" s="33"/>
      <c r="P7657" s="33"/>
      <c r="Q7657" s="33"/>
      <c r="R7657" s="33"/>
      <c r="S7657" s="33"/>
      <c r="T7657" s="33"/>
      <c r="U7657" s="33"/>
      <c r="V7657" s="33"/>
      <c r="W7657" s="33"/>
      <c r="X7657" s="33"/>
      <c r="Y7657" s="33"/>
      <c r="Z7657" s="33"/>
      <c r="AA7657" s="33"/>
      <c r="AB7657" s="33"/>
      <c r="AC7657" s="33"/>
      <c r="AD7657" s="33"/>
      <c r="AE7657" s="33"/>
      <c r="AF7657" s="33"/>
      <c r="AG7657" s="33"/>
      <c r="AH7657" s="33"/>
      <c r="AI7657" s="33"/>
      <c r="AJ7657" s="33"/>
      <c r="AK7657" s="33"/>
    </row>
    <row r="7658">
      <c r="A7658" s="33"/>
      <c r="B7658" s="33"/>
      <c r="C7658" s="33"/>
      <c r="D7658" s="33"/>
      <c r="E7658" s="33"/>
      <c r="F7658" s="33"/>
      <c r="G7658" s="33"/>
      <c r="H7658" s="33"/>
      <c r="I7658" s="33"/>
      <c r="J7658" s="33"/>
      <c r="K7658" s="33"/>
      <c r="L7658" s="33"/>
      <c r="M7658" s="33"/>
      <c r="N7658" s="33"/>
      <c r="O7658" s="33"/>
      <c r="P7658" s="33"/>
      <c r="Q7658" s="33"/>
      <c r="R7658" s="33"/>
      <c r="S7658" s="33"/>
      <c r="T7658" s="33"/>
      <c r="U7658" s="33"/>
      <c r="V7658" s="33"/>
      <c r="W7658" s="33"/>
      <c r="X7658" s="33"/>
      <c r="Y7658" s="33"/>
      <c r="Z7658" s="33"/>
      <c r="AA7658" s="33"/>
      <c r="AB7658" s="33"/>
      <c r="AC7658" s="33"/>
      <c r="AD7658" s="33"/>
      <c r="AE7658" s="33"/>
      <c r="AF7658" s="33"/>
      <c r="AG7658" s="33"/>
      <c r="AH7658" s="33"/>
      <c r="AI7658" s="33"/>
      <c r="AJ7658" s="33"/>
      <c r="AK7658" s="33"/>
    </row>
    <row r="7659">
      <c r="A7659" s="33"/>
      <c r="B7659" s="33"/>
      <c r="C7659" s="33"/>
      <c r="D7659" s="33"/>
      <c r="E7659" s="33"/>
      <c r="F7659" s="33"/>
      <c r="G7659" s="33"/>
      <c r="H7659" s="33"/>
      <c r="I7659" s="33"/>
      <c r="J7659" s="33"/>
      <c r="K7659" s="33"/>
      <c r="L7659" s="33"/>
      <c r="M7659" s="33"/>
      <c r="N7659" s="33"/>
      <c r="O7659" s="33"/>
      <c r="P7659" s="33"/>
      <c r="Q7659" s="33"/>
      <c r="R7659" s="33"/>
      <c r="S7659" s="33"/>
      <c r="T7659" s="33"/>
      <c r="U7659" s="33"/>
      <c r="V7659" s="33"/>
      <c r="W7659" s="33"/>
      <c r="X7659" s="33"/>
      <c r="Y7659" s="33"/>
      <c r="Z7659" s="33"/>
      <c r="AA7659" s="33"/>
      <c r="AB7659" s="33"/>
      <c r="AC7659" s="33"/>
      <c r="AD7659" s="33"/>
      <c r="AE7659" s="33"/>
      <c r="AF7659" s="33"/>
      <c r="AG7659" s="33"/>
      <c r="AH7659" s="33"/>
      <c r="AI7659" s="33"/>
      <c r="AJ7659" s="33"/>
      <c r="AK7659" s="33"/>
    </row>
    <row r="7660">
      <c r="A7660" s="33"/>
      <c r="B7660" s="33"/>
      <c r="C7660" s="33"/>
      <c r="D7660" s="33"/>
      <c r="E7660" s="33"/>
      <c r="F7660" s="33"/>
      <c r="G7660" s="33"/>
      <c r="H7660" s="33"/>
      <c r="I7660" s="33"/>
      <c r="J7660" s="33"/>
      <c r="K7660" s="33"/>
      <c r="L7660" s="33"/>
      <c r="M7660" s="33"/>
      <c r="N7660" s="33"/>
      <c r="O7660" s="33"/>
      <c r="P7660" s="33"/>
      <c r="Q7660" s="33"/>
      <c r="R7660" s="33"/>
      <c r="S7660" s="33"/>
      <c r="T7660" s="33"/>
      <c r="U7660" s="33"/>
      <c r="V7660" s="33"/>
      <c r="W7660" s="33"/>
      <c r="X7660" s="33"/>
      <c r="Y7660" s="33"/>
      <c r="Z7660" s="33"/>
      <c r="AA7660" s="33"/>
      <c r="AB7660" s="33"/>
      <c r="AC7660" s="33"/>
      <c r="AD7660" s="33"/>
      <c r="AE7660" s="33"/>
      <c r="AF7660" s="33"/>
      <c r="AG7660" s="33"/>
      <c r="AH7660" s="33"/>
      <c r="AI7660" s="33"/>
      <c r="AJ7660" s="33"/>
      <c r="AK7660" s="33"/>
    </row>
    <row r="7661">
      <c r="A7661" s="33"/>
      <c r="B7661" s="33"/>
      <c r="C7661" s="33"/>
      <c r="D7661" s="33"/>
      <c r="E7661" s="33"/>
      <c r="F7661" s="33"/>
      <c r="G7661" s="33"/>
      <c r="H7661" s="33"/>
      <c r="I7661" s="33"/>
      <c r="J7661" s="33"/>
      <c r="K7661" s="33"/>
      <c r="L7661" s="33"/>
      <c r="M7661" s="33"/>
      <c r="N7661" s="33"/>
      <c r="O7661" s="33"/>
      <c r="P7661" s="33"/>
      <c r="Q7661" s="33"/>
      <c r="R7661" s="33"/>
      <c r="S7661" s="33"/>
      <c r="T7661" s="33"/>
      <c r="U7661" s="33"/>
      <c r="V7661" s="33"/>
      <c r="W7661" s="33"/>
      <c r="X7661" s="33"/>
      <c r="Y7661" s="33"/>
      <c r="Z7661" s="33"/>
      <c r="AA7661" s="33"/>
      <c r="AB7661" s="33"/>
      <c r="AC7661" s="33"/>
      <c r="AD7661" s="33"/>
      <c r="AE7661" s="33"/>
      <c r="AF7661" s="33"/>
      <c r="AG7661" s="33"/>
      <c r="AH7661" s="33"/>
      <c r="AI7661" s="33"/>
      <c r="AJ7661" s="33"/>
      <c r="AK7661" s="33"/>
    </row>
    <row r="7662">
      <c r="A7662" s="33"/>
      <c r="B7662" s="33"/>
      <c r="C7662" s="33"/>
      <c r="D7662" s="33"/>
      <c r="E7662" s="33"/>
      <c r="F7662" s="33"/>
      <c r="G7662" s="33"/>
      <c r="H7662" s="33"/>
      <c r="I7662" s="33"/>
      <c r="J7662" s="33"/>
      <c r="K7662" s="33"/>
      <c r="L7662" s="33"/>
      <c r="M7662" s="33"/>
      <c r="N7662" s="33"/>
      <c r="O7662" s="33"/>
      <c r="P7662" s="33"/>
      <c r="Q7662" s="33"/>
      <c r="R7662" s="33"/>
      <c r="S7662" s="33"/>
      <c r="T7662" s="33"/>
      <c r="U7662" s="33"/>
      <c r="V7662" s="33"/>
      <c r="W7662" s="33"/>
      <c r="X7662" s="33"/>
      <c r="Y7662" s="33"/>
      <c r="Z7662" s="33"/>
      <c r="AA7662" s="33"/>
      <c r="AB7662" s="33"/>
      <c r="AC7662" s="33"/>
      <c r="AD7662" s="33"/>
      <c r="AE7662" s="33"/>
      <c r="AF7662" s="33"/>
      <c r="AG7662" s="33"/>
      <c r="AH7662" s="33"/>
      <c r="AI7662" s="33"/>
      <c r="AJ7662" s="33"/>
      <c r="AK7662" s="33"/>
    </row>
    <row r="7663">
      <c r="A7663" s="33"/>
      <c r="B7663" s="33"/>
      <c r="C7663" s="33"/>
      <c r="D7663" s="33"/>
      <c r="E7663" s="33"/>
      <c r="F7663" s="33"/>
      <c r="G7663" s="33"/>
      <c r="H7663" s="33"/>
      <c r="I7663" s="33"/>
      <c r="J7663" s="33"/>
      <c r="K7663" s="33"/>
      <c r="L7663" s="33"/>
      <c r="M7663" s="33"/>
      <c r="N7663" s="33"/>
      <c r="O7663" s="33"/>
      <c r="P7663" s="33"/>
      <c r="Q7663" s="33"/>
      <c r="R7663" s="33"/>
      <c r="S7663" s="33"/>
      <c r="T7663" s="33"/>
      <c r="U7663" s="33"/>
      <c r="V7663" s="33"/>
      <c r="W7663" s="33"/>
      <c r="X7663" s="33"/>
      <c r="Y7663" s="33"/>
      <c r="Z7663" s="33"/>
      <c r="AA7663" s="33"/>
      <c r="AB7663" s="33"/>
      <c r="AC7663" s="33"/>
      <c r="AD7663" s="33"/>
      <c r="AE7663" s="33"/>
      <c r="AF7663" s="33"/>
      <c r="AG7663" s="33"/>
      <c r="AH7663" s="33"/>
      <c r="AI7663" s="33"/>
      <c r="AJ7663" s="33"/>
      <c r="AK7663" s="33"/>
    </row>
    <row r="7664">
      <c r="A7664" s="33"/>
      <c r="B7664" s="33"/>
      <c r="C7664" s="33"/>
      <c r="D7664" s="33"/>
      <c r="E7664" s="33"/>
      <c r="F7664" s="33"/>
      <c r="G7664" s="33"/>
      <c r="H7664" s="33"/>
      <c r="I7664" s="33"/>
      <c r="J7664" s="33"/>
      <c r="K7664" s="33"/>
      <c r="L7664" s="33"/>
      <c r="M7664" s="33"/>
      <c r="N7664" s="33"/>
      <c r="O7664" s="33"/>
      <c r="P7664" s="33"/>
      <c r="Q7664" s="33"/>
      <c r="R7664" s="33"/>
      <c r="S7664" s="33"/>
      <c r="T7664" s="33"/>
      <c r="U7664" s="33"/>
      <c r="V7664" s="33"/>
      <c r="W7664" s="33"/>
      <c r="X7664" s="33"/>
      <c r="Y7664" s="33"/>
      <c r="Z7664" s="33"/>
      <c r="AA7664" s="33"/>
      <c r="AB7664" s="33"/>
      <c r="AC7664" s="33"/>
      <c r="AD7664" s="33"/>
      <c r="AE7664" s="33"/>
      <c r="AF7664" s="33"/>
      <c r="AG7664" s="33"/>
      <c r="AH7664" s="33"/>
      <c r="AI7664" s="33"/>
      <c r="AJ7664" s="33"/>
      <c r="AK7664" s="33"/>
    </row>
    <row r="7665">
      <c r="A7665" s="33"/>
      <c r="B7665" s="33"/>
      <c r="C7665" s="33"/>
      <c r="D7665" s="33"/>
      <c r="E7665" s="33"/>
      <c r="F7665" s="33"/>
      <c r="G7665" s="33"/>
      <c r="H7665" s="33"/>
      <c r="I7665" s="33"/>
      <c r="J7665" s="33"/>
      <c r="K7665" s="33"/>
      <c r="L7665" s="33"/>
      <c r="M7665" s="33"/>
      <c r="N7665" s="33"/>
      <c r="O7665" s="33"/>
      <c r="P7665" s="33"/>
      <c r="Q7665" s="33"/>
      <c r="R7665" s="33"/>
      <c r="S7665" s="33"/>
      <c r="T7665" s="33"/>
      <c r="U7665" s="33"/>
      <c r="V7665" s="33"/>
      <c r="W7665" s="33"/>
      <c r="X7665" s="33"/>
      <c r="Y7665" s="33"/>
      <c r="Z7665" s="33"/>
      <c r="AA7665" s="33"/>
      <c r="AB7665" s="33"/>
      <c r="AC7665" s="33"/>
      <c r="AD7665" s="33"/>
      <c r="AE7665" s="33"/>
      <c r="AF7665" s="33"/>
      <c r="AG7665" s="33"/>
      <c r="AH7665" s="33"/>
      <c r="AI7665" s="33"/>
      <c r="AJ7665" s="33"/>
      <c r="AK7665" s="33"/>
    </row>
    <row r="7666">
      <c r="A7666" s="33"/>
      <c r="B7666" s="33"/>
      <c r="C7666" s="33"/>
      <c r="D7666" s="33"/>
      <c r="E7666" s="33"/>
      <c r="F7666" s="33"/>
      <c r="G7666" s="33"/>
      <c r="H7666" s="33"/>
      <c r="I7666" s="33"/>
      <c r="J7666" s="33"/>
      <c r="K7666" s="33"/>
      <c r="L7666" s="33"/>
      <c r="M7666" s="33"/>
      <c r="N7666" s="33"/>
      <c r="O7666" s="33"/>
      <c r="P7666" s="33"/>
      <c r="Q7666" s="33"/>
      <c r="R7666" s="33"/>
      <c r="S7666" s="33"/>
      <c r="T7666" s="33"/>
      <c r="U7666" s="33"/>
      <c r="V7666" s="33"/>
      <c r="W7666" s="33"/>
      <c r="X7666" s="33"/>
      <c r="Y7666" s="33"/>
      <c r="Z7666" s="33"/>
      <c r="AA7666" s="33"/>
      <c r="AB7666" s="33"/>
      <c r="AC7666" s="33"/>
      <c r="AD7666" s="33"/>
      <c r="AE7666" s="33"/>
      <c r="AF7666" s="33"/>
      <c r="AG7666" s="33"/>
      <c r="AH7666" s="33"/>
      <c r="AI7666" s="33"/>
      <c r="AJ7666" s="33"/>
      <c r="AK7666" s="33"/>
    </row>
    <row r="7667">
      <c r="A7667" s="33"/>
      <c r="B7667" s="33"/>
      <c r="C7667" s="33"/>
      <c r="D7667" s="33"/>
      <c r="E7667" s="33"/>
      <c r="F7667" s="33"/>
      <c r="G7667" s="33"/>
      <c r="H7667" s="33"/>
      <c r="I7667" s="33"/>
      <c r="J7667" s="33"/>
      <c r="K7667" s="33"/>
      <c r="L7667" s="33"/>
      <c r="M7667" s="33"/>
      <c r="N7667" s="33"/>
      <c r="O7667" s="33"/>
      <c r="P7667" s="33"/>
      <c r="Q7667" s="33"/>
      <c r="R7667" s="33"/>
      <c r="S7667" s="33"/>
      <c r="T7667" s="33"/>
      <c r="U7667" s="33"/>
      <c r="V7667" s="33"/>
      <c r="W7667" s="33"/>
      <c r="X7667" s="33"/>
      <c r="Y7667" s="33"/>
      <c r="Z7667" s="33"/>
      <c r="AA7667" s="33"/>
      <c r="AB7667" s="33"/>
      <c r="AC7667" s="33"/>
      <c r="AD7667" s="33"/>
      <c r="AE7667" s="33"/>
      <c r="AF7667" s="33"/>
      <c r="AG7667" s="33"/>
      <c r="AH7667" s="33"/>
      <c r="AI7667" s="33"/>
      <c r="AJ7667" s="33"/>
      <c r="AK7667" s="33"/>
    </row>
    <row r="7668">
      <c r="A7668" s="33"/>
      <c r="B7668" s="33"/>
      <c r="C7668" s="33"/>
      <c r="D7668" s="33"/>
      <c r="E7668" s="33"/>
      <c r="F7668" s="33"/>
      <c r="G7668" s="33"/>
      <c r="H7668" s="33"/>
      <c r="I7668" s="33"/>
      <c r="J7668" s="33"/>
      <c r="K7668" s="33"/>
      <c r="L7668" s="33"/>
      <c r="M7668" s="33"/>
      <c r="N7668" s="33"/>
      <c r="O7668" s="33"/>
      <c r="P7668" s="33"/>
      <c r="Q7668" s="33"/>
      <c r="R7668" s="33"/>
      <c r="S7668" s="33"/>
      <c r="T7668" s="33"/>
      <c r="U7668" s="33"/>
      <c r="V7668" s="33"/>
      <c r="W7668" s="33"/>
      <c r="X7668" s="33"/>
      <c r="Y7668" s="33"/>
      <c r="Z7668" s="33"/>
      <c r="AA7668" s="33"/>
      <c r="AB7668" s="33"/>
      <c r="AC7668" s="33"/>
      <c r="AD7668" s="33"/>
      <c r="AE7668" s="33"/>
      <c r="AF7668" s="33"/>
      <c r="AG7668" s="33"/>
      <c r="AH7668" s="33"/>
      <c r="AI7668" s="33"/>
      <c r="AJ7668" s="33"/>
      <c r="AK7668" s="33"/>
    </row>
    <row r="7669">
      <c r="A7669" s="33"/>
      <c r="B7669" s="33"/>
      <c r="C7669" s="33"/>
      <c r="D7669" s="33"/>
      <c r="E7669" s="33"/>
      <c r="F7669" s="33"/>
      <c r="G7669" s="33"/>
      <c r="H7669" s="33"/>
      <c r="I7669" s="33"/>
      <c r="J7669" s="33"/>
      <c r="K7669" s="33"/>
      <c r="L7669" s="33"/>
      <c r="M7669" s="33"/>
      <c r="N7669" s="33"/>
      <c r="O7669" s="33"/>
      <c r="P7669" s="33"/>
      <c r="Q7669" s="33"/>
      <c r="R7669" s="33"/>
      <c r="S7669" s="33"/>
      <c r="T7669" s="33"/>
      <c r="U7669" s="33"/>
      <c r="V7669" s="33"/>
      <c r="W7669" s="33"/>
      <c r="X7669" s="33"/>
      <c r="Y7669" s="33"/>
      <c r="Z7669" s="33"/>
      <c r="AA7669" s="33"/>
      <c r="AB7669" s="33"/>
      <c r="AC7669" s="33"/>
      <c r="AD7669" s="33"/>
      <c r="AE7669" s="33"/>
      <c r="AF7669" s="33"/>
      <c r="AG7669" s="33"/>
      <c r="AH7669" s="33"/>
      <c r="AI7669" s="33"/>
      <c r="AJ7669" s="33"/>
      <c r="AK7669" s="33"/>
    </row>
    <row r="7670">
      <c r="A7670" s="33"/>
      <c r="B7670" s="33"/>
      <c r="C7670" s="33"/>
      <c r="D7670" s="33"/>
      <c r="E7670" s="33"/>
      <c r="F7670" s="33"/>
      <c r="G7670" s="33"/>
      <c r="H7670" s="33"/>
      <c r="I7670" s="33"/>
      <c r="J7670" s="33"/>
      <c r="K7670" s="33"/>
      <c r="L7670" s="33"/>
      <c r="M7670" s="33"/>
      <c r="N7670" s="33"/>
      <c r="O7670" s="33"/>
      <c r="P7670" s="33"/>
      <c r="Q7670" s="33"/>
      <c r="R7670" s="33"/>
      <c r="S7670" s="33"/>
      <c r="T7670" s="33"/>
      <c r="U7670" s="33"/>
      <c r="V7670" s="33"/>
      <c r="W7670" s="33"/>
      <c r="X7670" s="33"/>
      <c r="Y7670" s="33"/>
      <c r="Z7670" s="33"/>
      <c r="AA7670" s="33"/>
      <c r="AB7670" s="33"/>
      <c r="AC7670" s="33"/>
      <c r="AD7670" s="33"/>
      <c r="AE7670" s="33"/>
      <c r="AF7670" s="33"/>
      <c r="AG7670" s="33"/>
      <c r="AH7670" s="33"/>
      <c r="AI7670" s="33"/>
      <c r="AJ7670" s="33"/>
      <c r="AK7670" s="33"/>
    </row>
    <row r="7671">
      <c r="A7671" s="33"/>
      <c r="B7671" s="33"/>
      <c r="C7671" s="33"/>
      <c r="D7671" s="33"/>
      <c r="E7671" s="33"/>
      <c r="F7671" s="33"/>
      <c r="G7671" s="33"/>
      <c r="H7671" s="33"/>
      <c r="I7671" s="33"/>
      <c r="J7671" s="33"/>
      <c r="K7671" s="33"/>
      <c r="L7671" s="33"/>
      <c r="M7671" s="33"/>
      <c r="N7671" s="33"/>
      <c r="O7671" s="33"/>
      <c r="P7671" s="33"/>
      <c r="Q7671" s="33"/>
      <c r="R7671" s="33"/>
      <c r="S7671" s="33"/>
      <c r="T7671" s="33"/>
      <c r="U7671" s="33"/>
      <c r="V7671" s="33"/>
      <c r="W7671" s="33"/>
      <c r="X7671" s="33"/>
      <c r="Y7671" s="33"/>
      <c r="Z7671" s="33"/>
      <c r="AA7671" s="33"/>
      <c r="AB7671" s="33"/>
      <c r="AC7671" s="33"/>
      <c r="AD7671" s="33"/>
      <c r="AE7671" s="33"/>
      <c r="AF7671" s="33"/>
      <c r="AG7671" s="33"/>
      <c r="AH7671" s="33"/>
      <c r="AI7671" s="33"/>
      <c r="AJ7671" s="33"/>
      <c r="AK7671" s="33"/>
    </row>
    <row r="7672">
      <c r="A7672" s="33"/>
      <c r="B7672" s="33"/>
      <c r="C7672" s="33"/>
      <c r="D7672" s="33"/>
      <c r="E7672" s="33"/>
      <c r="F7672" s="33"/>
      <c r="G7672" s="33"/>
      <c r="H7672" s="33"/>
      <c r="I7672" s="33"/>
      <c r="J7672" s="33"/>
      <c r="K7672" s="33"/>
      <c r="L7672" s="33"/>
      <c r="M7672" s="33"/>
      <c r="N7672" s="33"/>
      <c r="O7672" s="33"/>
      <c r="P7672" s="33"/>
      <c r="Q7672" s="33"/>
      <c r="R7672" s="33"/>
      <c r="S7672" s="33"/>
      <c r="T7672" s="33"/>
      <c r="U7672" s="33"/>
      <c r="V7672" s="33"/>
      <c r="W7672" s="33"/>
      <c r="X7672" s="33"/>
      <c r="Y7672" s="33"/>
      <c r="Z7672" s="33"/>
      <c r="AA7672" s="33"/>
      <c r="AB7672" s="33"/>
      <c r="AC7672" s="33"/>
      <c r="AD7672" s="33"/>
      <c r="AE7672" s="33"/>
      <c r="AF7672" s="33"/>
      <c r="AG7672" s="33"/>
      <c r="AH7672" s="33"/>
      <c r="AI7672" s="33"/>
      <c r="AJ7672" s="33"/>
      <c r="AK7672" s="33"/>
    </row>
    <row r="7673">
      <c r="A7673" s="33"/>
      <c r="B7673" s="33"/>
      <c r="C7673" s="33"/>
      <c r="D7673" s="33"/>
      <c r="E7673" s="33"/>
      <c r="F7673" s="33"/>
      <c r="G7673" s="33"/>
      <c r="H7673" s="33"/>
      <c r="I7673" s="33"/>
      <c r="J7673" s="33"/>
      <c r="K7673" s="33"/>
      <c r="L7673" s="33"/>
      <c r="M7673" s="33"/>
      <c r="N7673" s="33"/>
      <c r="O7673" s="33"/>
      <c r="P7673" s="33"/>
      <c r="Q7673" s="33"/>
      <c r="R7673" s="33"/>
      <c r="S7673" s="33"/>
      <c r="T7673" s="33"/>
      <c r="U7673" s="33"/>
      <c r="V7673" s="33"/>
      <c r="W7673" s="33"/>
      <c r="X7673" s="33"/>
      <c r="Y7673" s="33"/>
      <c r="Z7673" s="33"/>
      <c r="AA7673" s="33"/>
      <c r="AB7673" s="33"/>
      <c r="AC7673" s="33"/>
      <c r="AD7673" s="33"/>
      <c r="AE7673" s="33"/>
      <c r="AF7673" s="33"/>
      <c r="AG7673" s="33"/>
      <c r="AH7673" s="33"/>
      <c r="AI7673" s="33"/>
      <c r="AJ7673" s="33"/>
      <c r="AK7673" s="33"/>
    </row>
    <row r="7674">
      <c r="A7674" s="33"/>
      <c r="B7674" s="33"/>
      <c r="C7674" s="33"/>
      <c r="D7674" s="33"/>
      <c r="E7674" s="33"/>
      <c r="F7674" s="33"/>
      <c r="G7674" s="33"/>
      <c r="H7674" s="33"/>
      <c r="I7674" s="33"/>
      <c r="J7674" s="33"/>
      <c r="K7674" s="33"/>
      <c r="L7674" s="33"/>
      <c r="M7674" s="33"/>
      <c r="N7674" s="33"/>
      <c r="O7674" s="33"/>
      <c r="P7674" s="33"/>
      <c r="Q7674" s="33"/>
      <c r="R7674" s="33"/>
      <c r="S7674" s="33"/>
      <c r="T7674" s="33"/>
      <c r="U7674" s="33"/>
      <c r="V7674" s="33"/>
      <c r="W7674" s="33"/>
      <c r="X7674" s="33"/>
      <c r="Y7674" s="33"/>
      <c r="Z7674" s="33"/>
      <c r="AA7674" s="33"/>
      <c r="AB7674" s="33"/>
      <c r="AC7674" s="33"/>
      <c r="AD7674" s="33"/>
      <c r="AE7674" s="33"/>
      <c r="AF7674" s="33"/>
      <c r="AG7674" s="33"/>
      <c r="AH7674" s="33"/>
      <c r="AI7674" s="33"/>
      <c r="AJ7674" s="33"/>
      <c r="AK7674" s="33"/>
    </row>
    <row r="7675">
      <c r="A7675" s="33"/>
      <c r="B7675" s="33"/>
      <c r="C7675" s="33"/>
      <c r="D7675" s="33"/>
      <c r="E7675" s="33"/>
      <c r="F7675" s="33"/>
      <c r="G7675" s="33"/>
      <c r="H7675" s="33"/>
      <c r="I7675" s="33"/>
      <c r="J7675" s="33"/>
      <c r="K7675" s="33"/>
      <c r="L7675" s="33"/>
      <c r="M7675" s="33"/>
      <c r="N7675" s="33"/>
      <c r="O7675" s="33"/>
      <c r="P7675" s="33"/>
      <c r="Q7675" s="33"/>
      <c r="R7675" s="33"/>
      <c r="S7675" s="33"/>
      <c r="T7675" s="33"/>
      <c r="U7675" s="33"/>
      <c r="V7675" s="33"/>
      <c r="W7675" s="33"/>
      <c r="X7675" s="33"/>
      <c r="Y7675" s="33"/>
      <c r="Z7675" s="33"/>
      <c r="AA7675" s="33"/>
      <c r="AB7675" s="33"/>
      <c r="AC7675" s="33"/>
      <c r="AD7675" s="33"/>
      <c r="AE7675" s="33"/>
      <c r="AF7675" s="33"/>
      <c r="AG7675" s="33"/>
      <c r="AH7675" s="33"/>
      <c r="AI7675" s="33"/>
      <c r="AJ7675" s="33"/>
      <c r="AK7675" s="33"/>
    </row>
    <row r="7676">
      <c r="A7676" s="33"/>
      <c r="B7676" s="33"/>
      <c r="C7676" s="33"/>
      <c r="D7676" s="33"/>
      <c r="E7676" s="33"/>
      <c r="F7676" s="33"/>
      <c r="G7676" s="33"/>
      <c r="H7676" s="33"/>
      <c r="I7676" s="33"/>
      <c r="J7676" s="33"/>
      <c r="K7676" s="33"/>
      <c r="L7676" s="33"/>
      <c r="M7676" s="33"/>
      <c r="N7676" s="33"/>
      <c r="O7676" s="33"/>
      <c r="P7676" s="33"/>
      <c r="Q7676" s="33"/>
      <c r="R7676" s="33"/>
      <c r="S7676" s="33"/>
      <c r="T7676" s="33"/>
      <c r="U7676" s="33"/>
      <c r="V7676" s="33"/>
      <c r="W7676" s="33"/>
      <c r="X7676" s="33"/>
      <c r="Y7676" s="33"/>
      <c r="Z7676" s="33"/>
      <c r="AA7676" s="33"/>
      <c r="AB7676" s="33"/>
      <c r="AC7676" s="33"/>
      <c r="AD7676" s="33"/>
      <c r="AE7676" s="33"/>
      <c r="AF7676" s="33"/>
      <c r="AG7676" s="33"/>
      <c r="AH7676" s="33"/>
      <c r="AI7676" s="33"/>
      <c r="AJ7676" s="33"/>
      <c r="AK7676" s="33"/>
    </row>
    <row r="7677">
      <c r="A7677" s="33"/>
      <c r="B7677" s="33"/>
      <c r="C7677" s="33"/>
      <c r="D7677" s="33"/>
      <c r="E7677" s="33"/>
      <c r="F7677" s="33"/>
      <c r="G7677" s="33"/>
      <c r="H7677" s="33"/>
      <c r="I7677" s="33"/>
      <c r="J7677" s="33"/>
      <c r="K7677" s="33"/>
      <c r="L7677" s="33"/>
      <c r="M7677" s="33"/>
      <c r="N7677" s="33"/>
      <c r="O7677" s="33"/>
      <c r="P7677" s="33"/>
      <c r="Q7677" s="33"/>
      <c r="R7677" s="33"/>
      <c r="S7677" s="33"/>
      <c r="T7677" s="33"/>
      <c r="U7677" s="33"/>
      <c r="V7677" s="33"/>
      <c r="W7677" s="33"/>
      <c r="X7677" s="33"/>
      <c r="Y7677" s="33"/>
      <c r="Z7677" s="33"/>
      <c r="AA7677" s="33"/>
      <c r="AB7677" s="33"/>
      <c r="AC7677" s="33"/>
      <c r="AD7677" s="33"/>
      <c r="AE7677" s="33"/>
      <c r="AF7677" s="33"/>
      <c r="AG7677" s="33"/>
      <c r="AH7677" s="33"/>
      <c r="AI7677" s="33"/>
      <c r="AJ7677" s="33"/>
      <c r="AK7677" s="33"/>
    </row>
    <row r="7678">
      <c r="A7678" s="33"/>
      <c r="B7678" s="33"/>
      <c r="C7678" s="33"/>
      <c r="D7678" s="33"/>
      <c r="E7678" s="33"/>
      <c r="F7678" s="33"/>
      <c r="G7678" s="33"/>
      <c r="H7678" s="33"/>
      <c r="I7678" s="33"/>
      <c r="J7678" s="33"/>
      <c r="K7678" s="33"/>
      <c r="L7678" s="33"/>
      <c r="M7678" s="33"/>
      <c r="N7678" s="33"/>
      <c r="O7678" s="33"/>
      <c r="P7678" s="33"/>
      <c r="Q7678" s="33"/>
      <c r="R7678" s="33"/>
      <c r="S7678" s="33"/>
      <c r="T7678" s="33"/>
      <c r="U7678" s="33"/>
      <c r="V7678" s="33"/>
      <c r="W7678" s="33"/>
      <c r="X7678" s="33"/>
      <c r="Y7678" s="33"/>
      <c r="Z7678" s="33"/>
      <c r="AA7678" s="33"/>
      <c r="AB7678" s="33"/>
      <c r="AC7678" s="33"/>
      <c r="AD7678" s="33"/>
      <c r="AE7678" s="33"/>
      <c r="AF7678" s="33"/>
      <c r="AG7678" s="33"/>
      <c r="AH7678" s="33"/>
      <c r="AI7678" s="33"/>
      <c r="AJ7678" s="33"/>
      <c r="AK7678" s="33"/>
    </row>
    <row r="7679">
      <c r="A7679" s="33"/>
      <c r="B7679" s="33"/>
      <c r="C7679" s="33"/>
      <c r="D7679" s="33"/>
      <c r="E7679" s="33"/>
      <c r="F7679" s="33"/>
      <c r="G7679" s="33"/>
      <c r="H7679" s="33"/>
      <c r="I7679" s="33"/>
      <c r="J7679" s="33"/>
      <c r="K7679" s="33"/>
      <c r="L7679" s="33"/>
      <c r="M7679" s="33"/>
      <c r="N7679" s="33"/>
      <c r="O7679" s="33"/>
      <c r="P7679" s="33"/>
      <c r="Q7679" s="33"/>
      <c r="R7679" s="33"/>
      <c r="S7679" s="33"/>
      <c r="T7679" s="33"/>
      <c r="U7679" s="33"/>
      <c r="V7679" s="33"/>
      <c r="W7679" s="33"/>
      <c r="X7679" s="33"/>
      <c r="Y7679" s="33"/>
      <c r="Z7679" s="33"/>
      <c r="AA7679" s="33"/>
      <c r="AB7679" s="33"/>
      <c r="AC7679" s="33"/>
      <c r="AD7679" s="33"/>
      <c r="AE7679" s="33"/>
      <c r="AF7679" s="33"/>
      <c r="AG7679" s="33"/>
      <c r="AH7679" s="33"/>
      <c r="AI7679" s="33"/>
      <c r="AJ7679" s="33"/>
      <c r="AK7679" s="33"/>
    </row>
    <row r="7680">
      <c r="A7680" s="33"/>
      <c r="B7680" s="33"/>
      <c r="C7680" s="33"/>
      <c r="D7680" s="33"/>
      <c r="E7680" s="33"/>
      <c r="F7680" s="33"/>
      <c r="G7680" s="33"/>
      <c r="H7680" s="33"/>
      <c r="I7680" s="33"/>
      <c r="J7680" s="33"/>
      <c r="K7680" s="33"/>
      <c r="L7680" s="33"/>
      <c r="M7680" s="33"/>
      <c r="N7680" s="33"/>
      <c r="O7680" s="33"/>
      <c r="P7680" s="33"/>
      <c r="Q7680" s="33"/>
      <c r="R7680" s="33"/>
      <c r="S7680" s="33"/>
      <c r="T7680" s="33"/>
      <c r="U7680" s="33"/>
      <c r="V7680" s="33"/>
      <c r="W7680" s="33"/>
      <c r="X7680" s="33"/>
      <c r="Y7680" s="33"/>
      <c r="Z7680" s="33"/>
      <c r="AA7680" s="33"/>
      <c r="AB7680" s="33"/>
      <c r="AC7680" s="33"/>
      <c r="AD7680" s="33"/>
      <c r="AE7680" s="33"/>
      <c r="AF7680" s="33"/>
      <c r="AG7680" s="33"/>
      <c r="AH7680" s="33"/>
      <c r="AI7680" s="33"/>
      <c r="AJ7680" s="33"/>
      <c r="AK7680" s="33"/>
    </row>
    <row r="7681">
      <c r="A7681" s="33"/>
      <c r="B7681" s="33"/>
      <c r="C7681" s="33"/>
      <c r="D7681" s="33"/>
      <c r="E7681" s="33"/>
      <c r="F7681" s="33"/>
      <c r="G7681" s="33"/>
      <c r="H7681" s="33"/>
      <c r="I7681" s="33"/>
      <c r="J7681" s="33"/>
      <c r="K7681" s="33"/>
      <c r="L7681" s="33"/>
      <c r="M7681" s="33"/>
      <c r="N7681" s="33"/>
      <c r="O7681" s="33"/>
      <c r="P7681" s="33"/>
      <c r="Q7681" s="33"/>
      <c r="R7681" s="33"/>
      <c r="S7681" s="33"/>
      <c r="T7681" s="33"/>
      <c r="U7681" s="33"/>
      <c r="V7681" s="33"/>
      <c r="W7681" s="33"/>
      <c r="X7681" s="33"/>
      <c r="Y7681" s="33"/>
      <c r="Z7681" s="33"/>
      <c r="AA7681" s="33"/>
      <c r="AB7681" s="33"/>
      <c r="AC7681" s="33"/>
      <c r="AD7681" s="33"/>
      <c r="AE7681" s="33"/>
      <c r="AF7681" s="33"/>
      <c r="AG7681" s="33"/>
      <c r="AH7681" s="33"/>
      <c r="AI7681" s="33"/>
      <c r="AJ7681" s="33"/>
      <c r="AK7681" s="33"/>
    </row>
    <row r="7682">
      <c r="A7682" s="33"/>
      <c r="B7682" s="33"/>
      <c r="C7682" s="33"/>
      <c r="D7682" s="33"/>
      <c r="E7682" s="33"/>
      <c r="F7682" s="33"/>
      <c r="G7682" s="33"/>
      <c r="H7682" s="33"/>
      <c r="I7682" s="33"/>
      <c r="J7682" s="33"/>
      <c r="K7682" s="33"/>
      <c r="L7682" s="33"/>
      <c r="M7682" s="33"/>
      <c r="N7682" s="33"/>
      <c r="O7682" s="33"/>
      <c r="P7682" s="33"/>
      <c r="Q7682" s="33"/>
      <c r="R7682" s="33"/>
      <c r="S7682" s="33"/>
      <c r="T7682" s="33"/>
      <c r="U7682" s="33"/>
      <c r="V7682" s="33"/>
      <c r="W7682" s="33"/>
      <c r="X7682" s="33"/>
      <c r="Y7682" s="33"/>
      <c r="Z7682" s="33"/>
      <c r="AA7682" s="33"/>
      <c r="AB7682" s="33"/>
      <c r="AC7682" s="33"/>
      <c r="AD7682" s="33"/>
      <c r="AE7682" s="33"/>
      <c r="AF7682" s="33"/>
      <c r="AG7682" s="33"/>
      <c r="AH7682" s="33"/>
      <c r="AI7682" s="33"/>
      <c r="AJ7682" s="33"/>
      <c r="AK7682" s="33"/>
    </row>
    <row r="7683">
      <c r="A7683" s="33"/>
      <c r="B7683" s="33"/>
      <c r="C7683" s="33"/>
      <c r="D7683" s="33"/>
      <c r="E7683" s="33"/>
      <c r="F7683" s="33"/>
      <c r="G7683" s="33"/>
      <c r="H7683" s="33"/>
      <c r="I7683" s="33"/>
      <c r="J7683" s="33"/>
      <c r="K7683" s="33"/>
      <c r="L7683" s="33"/>
      <c r="M7683" s="33"/>
      <c r="N7683" s="33"/>
      <c r="O7683" s="33"/>
      <c r="P7683" s="33"/>
      <c r="Q7683" s="33"/>
      <c r="R7683" s="33"/>
      <c r="S7683" s="33"/>
      <c r="T7683" s="33"/>
      <c r="U7683" s="33"/>
      <c r="V7683" s="33"/>
      <c r="W7683" s="33"/>
      <c r="X7683" s="33"/>
      <c r="Y7683" s="33"/>
      <c r="Z7683" s="33"/>
      <c r="AA7683" s="33"/>
      <c r="AB7683" s="33"/>
      <c r="AC7683" s="33"/>
      <c r="AD7683" s="33"/>
      <c r="AE7683" s="33"/>
      <c r="AF7683" s="33"/>
      <c r="AG7683" s="33"/>
      <c r="AH7683" s="33"/>
      <c r="AI7683" s="33"/>
      <c r="AJ7683" s="33"/>
      <c r="AK7683" s="33"/>
    </row>
    <row r="7684">
      <c r="A7684" s="33"/>
      <c r="B7684" s="33"/>
      <c r="C7684" s="33"/>
      <c r="D7684" s="33"/>
      <c r="E7684" s="33"/>
      <c r="F7684" s="33"/>
      <c r="G7684" s="33"/>
      <c r="H7684" s="33"/>
      <c r="I7684" s="33"/>
      <c r="J7684" s="33"/>
      <c r="K7684" s="33"/>
      <c r="L7684" s="33"/>
      <c r="M7684" s="33"/>
      <c r="N7684" s="33"/>
      <c r="O7684" s="33"/>
      <c r="P7684" s="33"/>
      <c r="Q7684" s="33"/>
      <c r="R7684" s="33"/>
      <c r="S7684" s="33"/>
      <c r="T7684" s="33"/>
      <c r="U7684" s="33"/>
      <c r="V7684" s="33"/>
      <c r="W7684" s="33"/>
      <c r="X7684" s="33"/>
      <c r="Y7684" s="33"/>
      <c r="Z7684" s="33"/>
      <c r="AA7684" s="33"/>
      <c r="AB7684" s="33"/>
      <c r="AC7684" s="33"/>
      <c r="AD7684" s="33"/>
      <c r="AE7684" s="33"/>
      <c r="AF7684" s="33"/>
      <c r="AG7684" s="33"/>
      <c r="AH7684" s="33"/>
      <c r="AI7684" s="33"/>
      <c r="AJ7684" s="33"/>
      <c r="AK7684" s="33"/>
    </row>
    <row r="7685">
      <c r="A7685" s="33"/>
      <c r="B7685" s="33"/>
      <c r="C7685" s="33"/>
      <c r="D7685" s="33"/>
      <c r="E7685" s="33"/>
      <c r="F7685" s="33"/>
      <c r="G7685" s="33"/>
      <c r="H7685" s="33"/>
      <c r="I7685" s="33"/>
      <c r="J7685" s="33"/>
      <c r="K7685" s="33"/>
      <c r="L7685" s="33"/>
      <c r="M7685" s="33"/>
      <c r="N7685" s="33"/>
      <c r="O7685" s="33"/>
      <c r="P7685" s="33"/>
      <c r="Q7685" s="33"/>
      <c r="R7685" s="33"/>
      <c r="S7685" s="33"/>
      <c r="T7685" s="33"/>
      <c r="U7685" s="33"/>
      <c r="V7685" s="33"/>
      <c r="W7685" s="33"/>
      <c r="X7685" s="33"/>
      <c r="Y7685" s="33"/>
      <c r="Z7685" s="33"/>
      <c r="AA7685" s="33"/>
      <c r="AB7685" s="33"/>
      <c r="AC7685" s="33"/>
      <c r="AD7685" s="33"/>
      <c r="AE7685" s="33"/>
      <c r="AF7685" s="33"/>
      <c r="AG7685" s="33"/>
      <c r="AH7685" s="33"/>
      <c r="AI7685" s="33"/>
      <c r="AJ7685" s="33"/>
      <c r="AK7685" s="33"/>
    </row>
    <row r="7686">
      <c r="A7686" s="33"/>
      <c r="B7686" s="33"/>
      <c r="C7686" s="33"/>
      <c r="D7686" s="33"/>
      <c r="E7686" s="33"/>
      <c r="F7686" s="33"/>
      <c r="G7686" s="33"/>
      <c r="H7686" s="33"/>
      <c r="I7686" s="33"/>
      <c r="J7686" s="33"/>
      <c r="K7686" s="33"/>
      <c r="L7686" s="33"/>
      <c r="M7686" s="33"/>
      <c r="N7686" s="33"/>
      <c r="O7686" s="33"/>
      <c r="P7686" s="33"/>
      <c r="Q7686" s="33"/>
      <c r="R7686" s="33"/>
      <c r="S7686" s="33"/>
      <c r="T7686" s="33"/>
      <c r="U7686" s="33"/>
      <c r="V7686" s="33"/>
      <c r="W7686" s="33"/>
      <c r="X7686" s="33"/>
      <c r="Y7686" s="33"/>
      <c r="Z7686" s="33"/>
      <c r="AA7686" s="33"/>
      <c r="AB7686" s="33"/>
      <c r="AC7686" s="33"/>
      <c r="AD7686" s="33"/>
      <c r="AE7686" s="33"/>
      <c r="AF7686" s="33"/>
      <c r="AG7686" s="33"/>
      <c r="AH7686" s="33"/>
      <c r="AI7686" s="33"/>
      <c r="AJ7686" s="33"/>
      <c r="AK7686" s="33"/>
    </row>
    <row r="7687">
      <c r="A7687" s="33"/>
      <c r="B7687" s="33"/>
      <c r="C7687" s="33"/>
      <c r="D7687" s="33"/>
      <c r="E7687" s="33"/>
      <c r="F7687" s="33"/>
      <c r="G7687" s="33"/>
      <c r="H7687" s="33"/>
      <c r="I7687" s="33"/>
      <c r="J7687" s="33"/>
      <c r="K7687" s="33"/>
      <c r="L7687" s="33"/>
      <c r="M7687" s="33"/>
      <c r="N7687" s="33"/>
      <c r="O7687" s="33"/>
      <c r="P7687" s="33"/>
      <c r="Q7687" s="33"/>
      <c r="R7687" s="33"/>
      <c r="S7687" s="33"/>
      <c r="T7687" s="33"/>
      <c r="U7687" s="33"/>
      <c r="V7687" s="33"/>
      <c r="W7687" s="33"/>
      <c r="X7687" s="33"/>
      <c r="Y7687" s="33"/>
      <c r="Z7687" s="33"/>
      <c r="AA7687" s="33"/>
      <c r="AB7687" s="33"/>
      <c r="AC7687" s="33"/>
      <c r="AD7687" s="33"/>
      <c r="AE7687" s="33"/>
      <c r="AF7687" s="33"/>
      <c r="AG7687" s="33"/>
      <c r="AH7687" s="33"/>
      <c r="AI7687" s="33"/>
      <c r="AJ7687" s="33"/>
      <c r="AK7687" s="33"/>
    </row>
    <row r="7688">
      <c r="A7688" s="33"/>
      <c r="B7688" s="33"/>
      <c r="C7688" s="33"/>
      <c r="D7688" s="33"/>
      <c r="E7688" s="33"/>
      <c r="F7688" s="33"/>
      <c r="G7688" s="33"/>
      <c r="H7688" s="33"/>
      <c r="I7688" s="33"/>
      <c r="J7688" s="33"/>
      <c r="K7688" s="33"/>
      <c r="L7688" s="33"/>
      <c r="M7688" s="33"/>
      <c r="N7688" s="33"/>
      <c r="O7688" s="33"/>
      <c r="P7688" s="33"/>
      <c r="Q7688" s="33"/>
      <c r="R7688" s="33"/>
      <c r="S7688" s="33"/>
      <c r="T7688" s="33"/>
      <c r="U7688" s="33"/>
      <c r="V7688" s="33"/>
      <c r="W7688" s="33"/>
      <c r="X7688" s="33"/>
      <c r="Y7688" s="33"/>
      <c r="Z7688" s="33"/>
      <c r="AA7688" s="33"/>
      <c r="AB7688" s="33"/>
      <c r="AC7688" s="33"/>
      <c r="AD7688" s="33"/>
      <c r="AE7688" s="33"/>
      <c r="AF7688" s="33"/>
      <c r="AG7688" s="33"/>
      <c r="AH7688" s="33"/>
      <c r="AI7688" s="33"/>
      <c r="AJ7688" s="33"/>
      <c r="AK7688" s="33"/>
    </row>
    <row r="7689">
      <c r="A7689" s="33"/>
      <c r="B7689" s="33"/>
      <c r="C7689" s="33"/>
      <c r="D7689" s="33"/>
      <c r="E7689" s="33"/>
      <c r="F7689" s="33"/>
      <c r="G7689" s="33"/>
      <c r="H7689" s="33"/>
      <c r="I7689" s="33"/>
      <c r="J7689" s="33"/>
      <c r="K7689" s="33"/>
      <c r="L7689" s="33"/>
      <c r="M7689" s="33"/>
      <c r="N7689" s="33"/>
      <c r="O7689" s="33"/>
      <c r="P7689" s="33"/>
      <c r="Q7689" s="33"/>
      <c r="R7689" s="33"/>
      <c r="S7689" s="33"/>
      <c r="T7689" s="33"/>
      <c r="U7689" s="33"/>
      <c r="V7689" s="33"/>
      <c r="W7689" s="33"/>
      <c r="X7689" s="33"/>
      <c r="Y7689" s="33"/>
      <c r="Z7689" s="33"/>
      <c r="AA7689" s="33"/>
      <c r="AB7689" s="33"/>
      <c r="AC7689" s="33"/>
      <c r="AD7689" s="33"/>
      <c r="AE7689" s="33"/>
      <c r="AF7689" s="33"/>
      <c r="AG7689" s="33"/>
      <c r="AH7689" s="33"/>
      <c r="AI7689" s="33"/>
      <c r="AJ7689" s="33"/>
      <c r="AK7689" s="33"/>
    </row>
    <row r="7690">
      <c r="A7690" s="33"/>
      <c r="B7690" s="33"/>
      <c r="C7690" s="33"/>
      <c r="D7690" s="33"/>
      <c r="E7690" s="33"/>
      <c r="F7690" s="33"/>
      <c r="G7690" s="33"/>
      <c r="H7690" s="33"/>
      <c r="I7690" s="33"/>
      <c r="J7690" s="33"/>
      <c r="K7690" s="33"/>
      <c r="L7690" s="33"/>
      <c r="M7690" s="33"/>
      <c r="N7690" s="33"/>
      <c r="O7690" s="33"/>
      <c r="P7690" s="33"/>
      <c r="Q7690" s="33"/>
      <c r="R7690" s="33"/>
      <c r="S7690" s="33"/>
      <c r="T7690" s="33"/>
      <c r="U7690" s="33"/>
      <c r="V7690" s="33"/>
      <c r="W7690" s="33"/>
      <c r="X7690" s="33"/>
      <c r="Y7690" s="33"/>
      <c r="Z7690" s="33"/>
      <c r="AA7690" s="33"/>
      <c r="AB7690" s="33"/>
      <c r="AC7690" s="33"/>
      <c r="AD7690" s="33"/>
      <c r="AE7690" s="33"/>
      <c r="AF7690" s="33"/>
      <c r="AG7690" s="33"/>
      <c r="AH7690" s="33"/>
      <c r="AI7690" s="33"/>
      <c r="AJ7690" s="33"/>
      <c r="AK7690" s="33"/>
    </row>
    <row r="7691">
      <c r="A7691" s="33"/>
      <c r="B7691" s="33"/>
      <c r="C7691" s="33"/>
      <c r="D7691" s="33"/>
      <c r="E7691" s="33"/>
      <c r="F7691" s="33"/>
      <c r="G7691" s="33"/>
      <c r="H7691" s="33"/>
      <c r="I7691" s="33"/>
      <c r="J7691" s="33"/>
      <c r="K7691" s="33"/>
      <c r="L7691" s="33"/>
      <c r="M7691" s="33"/>
      <c r="N7691" s="33"/>
      <c r="O7691" s="33"/>
      <c r="P7691" s="33"/>
      <c r="Q7691" s="33"/>
      <c r="R7691" s="33"/>
      <c r="S7691" s="33"/>
      <c r="T7691" s="33"/>
      <c r="U7691" s="33"/>
      <c r="V7691" s="33"/>
      <c r="W7691" s="33"/>
      <c r="X7691" s="33"/>
      <c r="Y7691" s="33"/>
      <c r="Z7691" s="33"/>
      <c r="AA7691" s="33"/>
      <c r="AB7691" s="33"/>
      <c r="AC7691" s="33"/>
      <c r="AD7691" s="33"/>
      <c r="AE7691" s="33"/>
      <c r="AF7691" s="33"/>
      <c r="AG7691" s="33"/>
      <c r="AH7691" s="33"/>
      <c r="AI7691" s="33"/>
      <c r="AJ7691" s="33"/>
      <c r="AK7691" s="33"/>
    </row>
    <row r="7692">
      <c r="A7692" s="33"/>
      <c r="B7692" s="33"/>
      <c r="C7692" s="33"/>
      <c r="D7692" s="33"/>
      <c r="E7692" s="33"/>
      <c r="F7692" s="33"/>
      <c r="G7692" s="33"/>
      <c r="H7692" s="33"/>
      <c r="I7692" s="33"/>
      <c r="J7692" s="33"/>
      <c r="K7692" s="33"/>
      <c r="L7692" s="33"/>
      <c r="M7692" s="33"/>
      <c r="N7692" s="33"/>
      <c r="O7692" s="33"/>
      <c r="P7692" s="33"/>
      <c r="Q7692" s="33"/>
      <c r="R7692" s="33"/>
      <c r="S7692" s="33"/>
      <c r="T7692" s="33"/>
      <c r="U7692" s="33"/>
      <c r="V7692" s="33"/>
      <c r="W7692" s="33"/>
      <c r="X7692" s="33"/>
      <c r="Y7692" s="33"/>
      <c r="Z7692" s="33"/>
      <c r="AA7692" s="33"/>
      <c r="AB7692" s="33"/>
      <c r="AC7692" s="33"/>
      <c r="AD7692" s="33"/>
      <c r="AE7692" s="33"/>
      <c r="AF7692" s="33"/>
      <c r="AG7692" s="33"/>
      <c r="AH7692" s="33"/>
      <c r="AI7692" s="33"/>
      <c r="AJ7692" s="33"/>
      <c r="AK7692" s="33"/>
    </row>
    <row r="7693">
      <c r="A7693" s="33"/>
      <c r="B7693" s="33"/>
      <c r="C7693" s="33"/>
      <c r="D7693" s="33"/>
      <c r="E7693" s="33"/>
      <c r="F7693" s="33"/>
      <c r="G7693" s="33"/>
      <c r="H7693" s="33"/>
      <c r="I7693" s="33"/>
      <c r="J7693" s="33"/>
      <c r="K7693" s="33"/>
      <c r="L7693" s="33"/>
      <c r="M7693" s="33"/>
      <c r="N7693" s="33"/>
      <c r="O7693" s="33"/>
      <c r="P7693" s="33"/>
      <c r="Q7693" s="33"/>
      <c r="R7693" s="33"/>
      <c r="S7693" s="33"/>
      <c r="T7693" s="33"/>
      <c r="U7693" s="33"/>
      <c r="V7693" s="33"/>
      <c r="W7693" s="33"/>
      <c r="X7693" s="33"/>
      <c r="Y7693" s="33"/>
      <c r="Z7693" s="33"/>
      <c r="AA7693" s="33"/>
      <c r="AB7693" s="33"/>
      <c r="AC7693" s="33"/>
      <c r="AD7693" s="33"/>
      <c r="AE7693" s="33"/>
      <c r="AF7693" s="33"/>
      <c r="AG7693" s="33"/>
      <c r="AH7693" s="33"/>
      <c r="AI7693" s="33"/>
      <c r="AJ7693" s="33"/>
      <c r="AK7693" s="33"/>
    </row>
    <row r="7694">
      <c r="A7694" s="33"/>
      <c r="B7694" s="33"/>
      <c r="C7694" s="33"/>
      <c r="D7694" s="33"/>
      <c r="E7694" s="33"/>
      <c r="F7694" s="33"/>
      <c r="G7694" s="33"/>
      <c r="H7694" s="33"/>
      <c r="I7694" s="33"/>
      <c r="J7694" s="33"/>
      <c r="K7694" s="33"/>
      <c r="L7694" s="33"/>
      <c r="M7694" s="33"/>
      <c r="N7694" s="33"/>
      <c r="O7694" s="33"/>
      <c r="P7694" s="33"/>
      <c r="Q7694" s="33"/>
      <c r="R7694" s="33"/>
      <c r="S7694" s="33"/>
      <c r="T7694" s="33"/>
      <c r="U7694" s="33"/>
      <c r="V7694" s="33"/>
      <c r="W7694" s="33"/>
      <c r="X7694" s="33"/>
      <c r="Y7694" s="33"/>
      <c r="Z7694" s="33"/>
      <c r="AA7694" s="33"/>
      <c r="AB7694" s="33"/>
      <c r="AC7694" s="33"/>
      <c r="AD7694" s="33"/>
      <c r="AE7694" s="33"/>
      <c r="AF7694" s="33"/>
      <c r="AG7694" s="33"/>
      <c r="AH7694" s="33"/>
      <c r="AI7694" s="33"/>
      <c r="AJ7694" s="33"/>
      <c r="AK7694" s="33"/>
    </row>
    <row r="7695">
      <c r="A7695" s="33"/>
      <c r="B7695" s="33"/>
      <c r="C7695" s="33"/>
      <c r="D7695" s="33"/>
      <c r="E7695" s="33"/>
      <c r="F7695" s="33"/>
      <c r="G7695" s="33"/>
      <c r="H7695" s="33"/>
      <c r="I7695" s="33"/>
      <c r="J7695" s="33"/>
      <c r="K7695" s="33"/>
      <c r="L7695" s="33"/>
      <c r="M7695" s="33"/>
      <c r="N7695" s="33"/>
      <c r="O7695" s="33"/>
      <c r="P7695" s="33"/>
      <c r="Q7695" s="33"/>
      <c r="R7695" s="33"/>
      <c r="S7695" s="33"/>
      <c r="T7695" s="33"/>
      <c r="U7695" s="33"/>
      <c r="V7695" s="33"/>
      <c r="W7695" s="33"/>
      <c r="X7695" s="33"/>
      <c r="Y7695" s="33"/>
      <c r="Z7695" s="33"/>
      <c r="AA7695" s="33"/>
      <c r="AB7695" s="33"/>
      <c r="AC7695" s="33"/>
      <c r="AD7695" s="33"/>
      <c r="AE7695" s="33"/>
      <c r="AF7695" s="33"/>
      <c r="AG7695" s="33"/>
      <c r="AH7695" s="33"/>
      <c r="AI7695" s="33"/>
      <c r="AJ7695" s="33"/>
      <c r="AK7695" s="33"/>
    </row>
    <row r="7696">
      <c r="A7696" s="33"/>
      <c r="B7696" s="33"/>
      <c r="C7696" s="33"/>
      <c r="D7696" s="33"/>
      <c r="E7696" s="33"/>
      <c r="F7696" s="33"/>
      <c r="G7696" s="33"/>
      <c r="H7696" s="33"/>
      <c r="I7696" s="33"/>
      <c r="J7696" s="33"/>
      <c r="K7696" s="33"/>
      <c r="L7696" s="33"/>
      <c r="M7696" s="33"/>
      <c r="N7696" s="33"/>
      <c r="O7696" s="33"/>
      <c r="P7696" s="33"/>
      <c r="Q7696" s="33"/>
      <c r="R7696" s="33"/>
      <c r="S7696" s="33"/>
      <c r="T7696" s="33"/>
      <c r="U7696" s="33"/>
      <c r="V7696" s="33"/>
      <c r="W7696" s="33"/>
      <c r="X7696" s="33"/>
      <c r="Y7696" s="33"/>
      <c r="Z7696" s="33"/>
      <c r="AA7696" s="33"/>
      <c r="AB7696" s="33"/>
      <c r="AC7696" s="33"/>
      <c r="AD7696" s="33"/>
      <c r="AE7696" s="33"/>
      <c r="AF7696" s="33"/>
      <c r="AG7696" s="33"/>
      <c r="AH7696" s="33"/>
      <c r="AI7696" s="33"/>
      <c r="AJ7696" s="33"/>
      <c r="AK7696" s="33"/>
    </row>
    <row r="7697">
      <c r="A7697" s="33"/>
      <c r="B7697" s="33"/>
      <c r="C7697" s="33"/>
      <c r="D7697" s="33"/>
      <c r="E7697" s="33"/>
      <c r="F7697" s="33"/>
      <c r="G7697" s="33"/>
      <c r="H7697" s="33"/>
      <c r="I7697" s="33"/>
      <c r="J7697" s="33"/>
      <c r="K7697" s="33"/>
      <c r="L7697" s="33"/>
      <c r="M7697" s="33"/>
      <c r="N7697" s="33"/>
      <c r="O7697" s="33"/>
      <c r="P7697" s="33"/>
      <c r="Q7697" s="33"/>
      <c r="R7697" s="33"/>
      <c r="S7697" s="33"/>
      <c r="T7697" s="33"/>
      <c r="U7697" s="33"/>
      <c r="V7697" s="33"/>
      <c r="W7697" s="33"/>
      <c r="X7697" s="33"/>
      <c r="Y7697" s="33"/>
      <c r="Z7697" s="33"/>
      <c r="AA7697" s="33"/>
      <c r="AB7697" s="33"/>
      <c r="AC7697" s="33"/>
      <c r="AD7697" s="33"/>
      <c r="AE7697" s="33"/>
      <c r="AF7697" s="33"/>
      <c r="AG7697" s="33"/>
      <c r="AH7697" s="33"/>
      <c r="AI7697" s="33"/>
      <c r="AJ7697" s="33"/>
      <c r="AK7697" s="33"/>
    </row>
    <row r="7698">
      <c r="A7698" s="33"/>
      <c r="B7698" s="33"/>
      <c r="C7698" s="33"/>
      <c r="D7698" s="33"/>
      <c r="E7698" s="33"/>
      <c r="F7698" s="33"/>
      <c r="G7698" s="33"/>
      <c r="H7698" s="33"/>
      <c r="I7698" s="33"/>
      <c r="J7698" s="33"/>
      <c r="K7698" s="33"/>
      <c r="L7698" s="33"/>
      <c r="M7698" s="33"/>
      <c r="N7698" s="33"/>
      <c r="O7698" s="33"/>
      <c r="P7698" s="33"/>
      <c r="Q7698" s="33"/>
      <c r="R7698" s="33"/>
      <c r="S7698" s="33"/>
      <c r="T7698" s="33"/>
      <c r="U7698" s="33"/>
      <c r="V7698" s="33"/>
      <c r="W7698" s="33"/>
      <c r="X7698" s="33"/>
      <c r="Y7698" s="33"/>
      <c r="Z7698" s="33"/>
      <c r="AA7698" s="33"/>
      <c r="AB7698" s="33"/>
      <c r="AC7698" s="33"/>
      <c r="AD7698" s="33"/>
      <c r="AE7698" s="33"/>
      <c r="AF7698" s="33"/>
      <c r="AG7698" s="33"/>
      <c r="AH7698" s="33"/>
      <c r="AI7698" s="33"/>
      <c r="AJ7698" s="33"/>
      <c r="AK7698" s="33"/>
    </row>
    <row r="7699">
      <c r="A7699" s="33"/>
      <c r="B7699" s="33"/>
      <c r="C7699" s="33"/>
      <c r="D7699" s="33"/>
      <c r="E7699" s="33"/>
      <c r="F7699" s="33"/>
      <c r="G7699" s="33"/>
      <c r="H7699" s="33"/>
      <c r="I7699" s="33"/>
      <c r="J7699" s="33"/>
      <c r="K7699" s="33"/>
      <c r="L7699" s="33"/>
      <c r="M7699" s="33"/>
      <c r="N7699" s="33"/>
      <c r="O7699" s="33"/>
      <c r="P7699" s="33"/>
      <c r="Q7699" s="33"/>
      <c r="R7699" s="33"/>
      <c r="S7699" s="33"/>
      <c r="T7699" s="33"/>
      <c r="U7699" s="33"/>
      <c r="V7699" s="33"/>
      <c r="W7699" s="33"/>
      <c r="X7699" s="33"/>
      <c r="Y7699" s="33"/>
      <c r="Z7699" s="33"/>
      <c r="AA7699" s="33"/>
      <c r="AB7699" s="33"/>
      <c r="AC7699" s="33"/>
      <c r="AD7699" s="33"/>
      <c r="AE7699" s="33"/>
      <c r="AF7699" s="33"/>
      <c r="AG7699" s="33"/>
      <c r="AH7699" s="33"/>
      <c r="AI7699" s="33"/>
      <c r="AJ7699" s="33"/>
      <c r="AK7699" s="33"/>
    </row>
    <row r="7700">
      <c r="A7700" s="33"/>
      <c r="B7700" s="33"/>
      <c r="C7700" s="33"/>
      <c r="D7700" s="33"/>
      <c r="E7700" s="33"/>
      <c r="F7700" s="33"/>
      <c r="G7700" s="33"/>
      <c r="H7700" s="33"/>
      <c r="I7700" s="33"/>
      <c r="J7700" s="33"/>
      <c r="K7700" s="33"/>
      <c r="L7700" s="33"/>
      <c r="M7700" s="33"/>
      <c r="N7700" s="33"/>
      <c r="O7700" s="33"/>
      <c r="P7700" s="33"/>
      <c r="Q7700" s="33"/>
      <c r="R7700" s="33"/>
      <c r="S7700" s="33"/>
      <c r="T7700" s="33"/>
      <c r="U7700" s="33"/>
      <c r="V7700" s="33"/>
      <c r="W7700" s="33"/>
      <c r="X7700" s="33"/>
      <c r="Y7700" s="33"/>
      <c r="Z7700" s="33"/>
      <c r="AA7700" s="33"/>
      <c r="AB7700" s="33"/>
      <c r="AC7700" s="33"/>
      <c r="AD7700" s="33"/>
      <c r="AE7700" s="33"/>
      <c r="AF7700" s="33"/>
      <c r="AG7700" s="33"/>
      <c r="AH7700" s="33"/>
      <c r="AI7700" s="33"/>
      <c r="AJ7700" s="33"/>
      <c r="AK7700" s="33"/>
    </row>
    <row r="7701">
      <c r="A7701" s="33"/>
      <c r="B7701" s="33"/>
      <c r="C7701" s="33"/>
      <c r="D7701" s="33"/>
      <c r="E7701" s="33"/>
      <c r="F7701" s="33"/>
      <c r="G7701" s="33"/>
      <c r="H7701" s="33"/>
      <c r="I7701" s="33"/>
      <c r="J7701" s="33"/>
      <c r="K7701" s="33"/>
      <c r="L7701" s="33"/>
      <c r="M7701" s="33"/>
      <c r="N7701" s="33"/>
      <c r="O7701" s="33"/>
      <c r="P7701" s="33"/>
      <c r="Q7701" s="33"/>
      <c r="R7701" s="33"/>
      <c r="S7701" s="33"/>
      <c r="T7701" s="33"/>
      <c r="U7701" s="33"/>
      <c r="V7701" s="33"/>
      <c r="W7701" s="33"/>
      <c r="X7701" s="33"/>
      <c r="Y7701" s="33"/>
      <c r="Z7701" s="33"/>
      <c r="AA7701" s="33"/>
      <c r="AB7701" s="33"/>
      <c r="AC7701" s="33"/>
      <c r="AD7701" s="33"/>
      <c r="AE7701" s="33"/>
      <c r="AF7701" s="33"/>
      <c r="AG7701" s="33"/>
      <c r="AH7701" s="33"/>
      <c r="AI7701" s="33"/>
      <c r="AJ7701" s="33"/>
      <c r="AK7701" s="33"/>
    </row>
    <row r="7702">
      <c r="A7702" s="33"/>
      <c r="B7702" s="33"/>
      <c r="C7702" s="33"/>
      <c r="D7702" s="33"/>
      <c r="E7702" s="33"/>
      <c r="F7702" s="33"/>
      <c r="G7702" s="33"/>
      <c r="H7702" s="33"/>
      <c r="I7702" s="33"/>
      <c r="J7702" s="33"/>
      <c r="K7702" s="33"/>
      <c r="L7702" s="33"/>
      <c r="M7702" s="33"/>
      <c r="N7702" s="33"/>
      <c r="O7702" s="33"/>
      <c r="P7702" s="33"/>
      <c r="Q7702" s="33"/>
      <c r="R7702" s="33"/>
      <c r="S7702" s="33"/>
      <c r="T7702" s="33"/>
      <c r="U7702" s="33"/>
      <c r="V7702" s="33"/>
      <c r="W7702" s="33"/>
      <c r="X7702" s="33"/>
      <c r="Y7702" s="33"/>
      <c r="Z7702" s="33"/>
      <c r="AA7702" s="33"/>
      <c r="AB7702" s="33"/>
      <c r="AC7702" s="33"/>
      <c r="AD7702" s="33"/>
      <c r="AE7702" s="33"/>
      <c r="AF7702" s="33"/>
      <c r="AG7702" s="33"/>
      <c r="AH7702" s="33"/>
      <c r="AI7702" s="33"/>
      <c r="AJ7702" s="33"/>
      <c r="AK7702" s="33"/>
    </row>
    <row r="7703">
      <c r="A7703" s="33"/>
      <c r="B7703" s="33"/>
      <c r="C7703" s="33"/>
      <c r="D7703" s="33"/>
      <c r="E7703" s="33"/>
      <c r="F7703" s="33"/>
      <c r="G7703" s="33"/>
      <c r="H7703" s="33"/>
      <c r="I7703" s="33"/>
      <c r="J7703" s="33"/>
      <c r="K7703" s="33"/>
      <c r="L7703" s="33"/>
      <c r="M7703" s="33"/>
      <c r="N7703" s="33"/>
      <c r="O7703" s="33"/>
      <c r="P7703" s="33"/>
      <c r="Q7703" s="33"/>
      <c r="R7703" s="33"/>
      <c r="S7703" s="33"/>
      <c r="T7703" s="33"/>
      <c r="U7703" s="33"/>
      <c r="V7703" s="33"/>
      <c r="W7703" s="33"/>
      <c r="X7703" s="33"/>
      <c r="Y7703" s="33"/>
      <c r="Z7703" s="33"/>
      <c r="AA7703" s="33"/>
      <c r="AB7703" s="33"/>
      <c r="AC7703" s="33"/>
      <c r="AD7703" s="33"/>
      <c r="AE7703" s="33"/>
      <c r="AF7703" s="33"/>
      <c r="AG7703" s="33"/>
      <c r="AH7703" s="33"/>
      <c r="AI7703" s="33"/>
      <c r="AJ7703" s="33"/>
      <c r="AK7703" s="33"/>
    </row>
    <row r="7704">
      <c r="A7704" s="33"/>
      <c r="B7704" s="33"/>
      <c r="C7704" s="33"/>
      <c r="D7704" s="33"/>
      <c r="E7704" s="33"/>
      <c r="F7704" s="33"/>
      <c r="G7704" s="33"/>
      <c r="H7704" s="33"/>
      <c r="I7704" s="33"/>
      <c r="J7704" s="33"/>
      <c r="K7704" s="33"/>
      <c r="L7704" s="33"/>
      <c r="M7704" s="33"/>
      <c r="N7704" s="33"/>
      <c r="O7704" s="33"/>
      <c r="P7704" s="33"/>
      <c r="Q7704" s="33"/>
      <c r="R7704" s="33"/>
      <c r="S7704" s="33"/>
      <c r="T7704" s="33"/>
      <c r="U7704" s="33"/>
      <c r="V7704" s="33"/>
      <c r="W7704" s="33"/>
      <c r="X7704" s="33"/>
      <c r="Y7704" s="33"/>
      <c r="Z7704" s="33"/>
      <c r="AA7704" s="33"/>
      <c r="AB7704" s="33"/>
      <c r="AC7704" s="33"/>
      <c r="AD7704" s="33"/>
      <c r="AE7704" s="33"/>
      <c r="AF7704" s="33"/>
      <c r="AG7704" s="33"/>
      <c r="AH7704" s="33"/>
      <c r="AI7704" s="33"/>
      <c r="AJ7704" s="33"/>
      <c r="AK7704" s="33"/>
    </row>
    <row r="7705">
      <c r="A7705" s="33"/>
      <c r="B7705" s="33"/>
      <c r="C7705" s="33"/>
      <c r="D7705" s="33"/>
      <c r="E7705" s="33"/>
      <c r="F7705" s="33"/>
      <c r="G7705" s="33"/>
      <c r="H7705" s="33"/>
      <c r="I7705" s="33"/>
      <c r="J7705" s="33"/>
      <c r="K7705" s="33"/>
      <c r="L7705" s="33"/>
      <c r="M7705" s="33"/>
      <c r="N7705" s="33"/>
      <c r="O7705" s="33"/>
      <c r="P7705" s="33"/>
      <c r="Q7705" s="33"/>
      <c r="R7705" s="33"/>
      <c r="S7705" s="33"/>
      <c r="T7705" s="33"/>
      <c r="U7705" s="33"/>
      <c r="V7705" s="33"/>
      <c r="W7705" s="33"/>
      <c r="X7705" s="33"/>
      <c r="Y7705" s="33"/>
      <c r="Z7705" s="33"/>
      <c r="AA7705" s="33"/>
      <c r="AB7705" s="33"/>
      <c r="AC7705" s="33"/>
      <c r="AD7705" s="33"/>
      <c r="AE7705" s="33"/>
      <c r="AF7705" s="33"/>
      <c r="AG7705" s="33"/>
      <c r="AH7705" s="33"/>
      <c r="AI7705" s="33"/>
      <c r="AJ7705" s="33"/>
      <c r="AK7705" s="33"/>
    </row>
    <row r="7706">
      <c r="A7706" s="33"/>
      <c r="B7706" s="33"/>
      <c r="C7706" s="33"/>
      <c r="D7706" s="33"/>
      <c r="E7706" s="33"/>
      <c r="F7706" s="33"/>
      <c r="G7706" s="33"/>
      <c r="H7706" s="33"/>
      <c r="I7706" s="33"/>
      <c r="J7706" s="33"/>
      <c r="K7706" s="33"/>
      <c r="L7706" s="33"/>
      <c r="M7706" s="33"/>
      <c r="N7706" s="33"/>
      <c r="O7706" s="33"/>
      <c r="P7706" s="33"/>
      <c r="Q7706" s="33"/>
      <c r="R7706" s="33"/>
      <c r="S7706" s="33"/>
      <c r="T7706" s="33"/>
      <c r="U7706" s="33"/>
      <c r="V7706" s="33"/>
      <c r="W7706" s="33"/>
      <c r="X7706" s="33"/>
      <c r="Y7706" s="33"/>
      <c r="Z7706" s="33"/>
      <c r="AA7706" s="33"/>
      <c r="AB7706" s="33"/>
      <c r="AC7706" s="33"/>
      <c r="AD7706" s="33"/>
      <c r="AE7706" s="33"/>
      <c r="AF7706" s="33"/>
      <c r="AG7706" s="33"/>
      <c r="AH7706" s="33"/>
      <c r="AI7706" s="33"/>
      <c r="AJ7706" s="33"/>
      <c r="AK7706" s="33"/>
    </row>
    <row r="7707">
      <c r="A7707" s="33"/>
      <c r="B7707" s="33"/>
      <c r="C7707" s="33"/>
      <c r="D7707" s="33"/>
      <c r="E7707" s="33"/>
      <c r="F7707" s="33"/>
      <c r="G7707" s="33"/>
      <c r="H7707" s="33"/>
      <c r="I7707" s="33"/>
      <c r="J7707" s="33"/>
      <c r="K7707" s="33"/>
      <c r="L7707" s="33"/>
      <c r="M7707" s="33"/>
      <c r="N7707" s="33"/>
      <c r="O7707" s="33"/>
      <c r="P7707" s="33"/>
      <c r="Q7707" s="33"/>
      <c r="R7707" s="33"/>
      <c r="S7707" s="33"/>
      <c r="T7707" s="33"/>
      <c r="U7707" s="33"/>
      <c r="V7707" s="33"/>
      <c r="W7707" s="33"/>
      <c r="X7707" s="33"/>
      <c r="Y7707" s="33"/>
      <c r="Z7707" s="33"/>
      <c r="AA7707" s="33"/>
      <c r="AB7707" s="33"/>
      <c r="AC7707" s="33"/>
      <c r="AD7707" s="33"/>
      <c r="AE7707" s="33"/>
      <c r="AF7707" s="33"/>
      <c r="AG7707" s="33"/>
      <c r="AH7707" s="33"/>
      <c r="AI7707" s="33"/>
      <c r="AJ7707" s="33"/>
      <c r="AK7707" s="33"/>
    </row>
    <row r="7708">
      <c r="A7708" s="33"/>
      <c r="B7708" s="33"/>
      <c r="C7708" s="33"/>
      <c r="D7708" s="33"/>
      <c r="E7708" s="33"/>
      <c r="F7708" s="33"/>
      <c r="G7708" s="33"/>
      <c r="H7708" s="33"/>
      <c r="I7708" s="33"/>
      <c r="J7708" s="33"/>
      <c r="K7708" s="33"/>
      <c r="L7708" s="33"/>
      <c r="M7708" s="33"/>
      <c r="N7708" s="33"/>
      <c r="O7708" s="33"/>
      <c r="P7708" s="33"/>
      <c r="Q7708" s="33"/>
      <c r="R7708" s="33"/>
      <c r="S7708" s="33"/>
      <c r="T7708" s="33"/>
      <c r="U7708" s="33"/>
      <c r="V7708" s="33"/>
      <c r="W7708" s="33"/>
      <c r="X7708" s="33"/>
      <c r="Y7708" s="33"/>
      <c r="Z7708" s="33"/>
      <c r="AA7708" s="33"/>
      <c r="AB7708" s="33"/>
      <c r="AC7708" s="33"/>
      <c r="AD7708" s="33"/>
      <c r="AE7708" s="33"/>
      <c r="AF7708" s="33"/>
      <c r="AG7708" s="33"/>
      <c r="AH7708" s="33"/>
      <c r="AI7708" s="33"/>
      <c r="AJ7708" s="33"/>
      <c r="AK7708" s="33"/>
    </row>
    <row r="7709">
      <c r="A7709" s="33"/>
      <c r="B7709" s="33"/>
      <c r="C7709" s="33"/>
      <c r="D7709" s="33"/>
      <c r="E7709" s="33"/>
      <c r="F7709" s="33"/>
      <c r="G7709" s="33"/>
      <c r="H7709" s="33"/>
      <c r="I7709" s="33"/>
      <c r="J7709" s="33"/>
      <c r="K7709" s="33"/>
      <c r="L7709" s="33"/>
      <c r="M7709" s="33"/>
      <c r="N7709" s="33"/>
      <c r="O7709" s="33"/>
      <c r="P7709" s="33"/>
      <c r="Q7709" s="33"/>
      <c r="R7709" s="33"/>
      <c r="S7709" s="33"/>
      <c r="T7709" s="33"/>
      <c r="U7709" s="33"/>
      <c r="V7709" s="33"/>
      <c r="W7709" s="33"/>
      <c r="X7709" s="33"/>
      <c r="Y7709" s="33"/>
      <c r="Z7709" s="33"/>
      <c r="AA7709" s="33"/>
      <c r="AB7709" s="33"/>
      <c r="AC7709" s="33"/>
      <c r="AD7709" s="33"/>
      <c r="AE7709" s="33"/>
      <c r="AF7709" s="33"/>
      <c r="AG7709" s="33"/>
      <c r="AH7709" s="33"/>
      <c r="AI7709" s="33"/>
      <c r="AJ7709" s="33"/>
      <c r="AK7709" s="33"/>
    </row>
    <row r="7710">
      <c r="A7710" s="33"/>
      <c r="B7710" s="33"/>
      <c r="C7710" s="33"/>
      <c r="D7710" s="33"/>
      <c r="E7710" s="33"/>
      <c r="F7710" s="33"/>
      <c r="G7710" s="33"/>
      <c r="H7710" s="33"/>
      <c r="I7710" s="33"/>
      <c r="J7710" s="33"/>
      <c r="K7710" s="33"/>
      <c r="L7710" s="33"/>
      <c r="M7710" s="33"/>
      <c r="N7710" s="33"/>
      <c r="O7710" s="33"/>
      <c r="P7710" s="33"/>
      <c r="Q7710" s="33"/>
      <c r="R7710" s="33"/>
      <c r="S7710" s="33"/>
      <c r="T7710" s="33"/>
      <c r="U7710" s="33"/>
      <c r="V7710" s="33"/>
      <c r="W7710" s="33"/>
      <c r="X7710" s="33"/>
      <c r="Y7710" s="33"/>
      <c r="Z7710" s="33"/>
      <c r="AA7710" s="33"/>
      <c r="AB7710" s="33"/>
      <c r="AC7710" s="33"/>
      <c r="AD7710" s="33"/>
      <c r="AE7710" s="33"/>
      <c r="AF7710" s="33"/>
      <c r="AG7710" s="33"/>
      <c r="AH7710" s="33"/>
      <c r="AI7710" s="33"/>
      <c r="AJ7710" s="33"/>
      <c r="AK7710" s="33"/>
    </row>
    <row r="7711">
      <c r="A7711" s="33"/>
      <c r="B7711" s="33"/>
      <c r="C7711" s="33"/>
      <c r="D7711" s="33"/>
      <c r="E7711" s="33"/>
      <c r="F7711" s="33"/>
      <c r="G7711" s="33"/>
      <c r="H7711" s="33"/>
      <c r="I7711" s="33"/>
      <c r="J7711" s="33"/>
      <c r="K7711" s="33"/>
      <c r="L7711" s="33"/>
      <c r="M7711" s="33"/>
      <c r="N7711" s="33"/>
      <c r="O7711" s="33"/>
      <c r="P7711" s="33"/>
      <c r="Q7711" s="33"/>
      <c r="R7711" s="33"/>
      <c r="S7711" s="33"/>
      <c r="T7711" s="33"/>
      <c r="U7711" s="33"/>
      <c r="V7711" s="33"/>
      <c r="W7711" s="33"/>
      <c r="X7711" s="33"/>
      <c r="Y7711" s="33"/>
      <c r="Z7711" s="33"/>
      <c r="AA7711" s="33"/>
      <c r="AB7711" s="33"/>
      <c r="AC7711" s="33"/>
      <c r="AD7711" s="33"/>
      <c r="AE7711" s="33"/>
      <c r="AF7711" s="33"/>
      <c r="AG7711" s="33"/>
      <c r="AH7711" s="33"/>
      <c r="AI7711" s="33"/>
      <c r="AJ7711" s="33"/>
      <c r="AK7711" s="33"/>
    </row>
    <row r="7712">
      <c r="A7712" s="33"/>
      <c r="B7712" s="33"/>
      <c r="C7712" s="33"/>
      <c r="D7712" s="33"/>
      <c r="E7712" s="33"/>
      <c r="F7712" s="33"/>
      <c r="G7712" s="33"/>
      <c r="H7712" s="33"/>
      <c r="I7712" s="33"/>
      <c r="J7712" s="33"/>
      <c r="K7712" s="33"/>
      <c r="L7712" s="33"/>
      <c r="M7712" s="33"/>
      <c r="N7712" s="33"/>
      <c r="O7712" s="33"/>
      <c r="P7712" s="33"/>
      <c r="Q7712" s="33"/>
      <c r="R7712" s="33"/>
      <c r="S7712" s="33"/>
      <c r="T7712" s="33"/>
      <c r="U7712" s="33"/>
      <c r="V7712" s="33"/>
      <c r="W7712" s="33"/>
      <c r="X7712" s="33"/>
      <c r="Y7712" s="33"/>
      <c r="Z7712" s="33"/>
      <c r="AA7712" s="33"/>
      <c r="AB7712" s="33"/>
      <c r="AC7712" s="33"/>
      <c r="AD7712" s="33"/>
      <c r="AE7712" s="33"/>
      <c r="AF7712" s="33"/>
      <c r="AG7712" s="33"/>
      <c r="AH7712" s="33"/>
      <c r="AI7712" s="33"/>
      <c r="AJ7712" s="33"/>
      <c r="AK7712" s="33"/>
    </row>
    <row r="7713">
      <c r="A7713" s="33"/>
      <c r="B7713" s="33"/>
      <c r="C7713" s="33"/>
      <c r="D7713" s="33"/>
      <c r="E7713" s="33"/>
      <c r="F7713" s="33"/>
      <c r="G7713" s="33"/>
      <c r="H7713" s="33"/>
      <c r="I7713" s="33"/>
      <c r="J7713" s="33"/>
      <c r="K7713" s="33"/>
      <c r="L7713" s="33"/>
      <c r="M7713" s="33"/>
      <c r="N7713" s="33"/>
      <c r="O7713" s="33"/>
      <c r="P7713" s="33"/>
      <c r="Q7713" s="33"/>
      <c r="R7713" s="33"/>
      <c r="S7713" s="33"/>
      <c r="T7713" s="33"/>
      <c r="U7713" s="33"/>
      <c r="V7713" s="33"/>
      <c r="W7713" s="33"/>
      <c r="X7713" s="33"/>
      <c r="Y7713" s="33"/>
      <c r="Z7713" s="33"/>
      <c r="AA7713" s="33"/>
      <c r="AB7713" s="33"/>
      <c r="AC7713" s="33"/>
      <c r="AD7713" s="33"/>
      <c r="AE7713" s="33"/>
      <c r="AF7713" s="33"/>
      <c r="AG7713" s="33"/>
      <c r="AH7713" s="33"/>
      <c r="AI7713" s="33"/>
      <c r="AJ7713" s="33"/>
      <c r="AK7713" s="33"/>
    </row>
    <row r="7714">
      <c r="A7714" s="33"/>
      <c r="B7714" s="33"/>
      <c r="C7714" s="33"/>
      <c r="D7714" s="33"/>
      <c r="E7714" s="33"/>
      <c r="F7714" s="33"/>
      <c r="G7714" s="33"/>
      <c r="H7714" s="33"/>
      <c r="I7714" s="33"/>
      <c r="J7714" s="33"/>
      <c r="K7714" s="33"/>
      <c r="L7714" s="33"/>
      <c r="M7714" s="33"/>
      <c r="N7714" s="33"/>
      <c r="O7714" s="33"/>
      <c r="P7714" s="33"/>
      <c r="Q7714" s="33"/>
      <c r="R7714" s="33"/>
      <c r="S7714" s="33"/>
      <c r="T7714" s="33"/>
      <c r="U7714" s="33"/>
      <c r="V7714" s="33"/>
      <c r="W7714" s="33"/>
      <c r="X7714" s="33"/>
      <c r="Y7714" s="33"/>
      <c r="Z7714" s="33"/>
      <c r="AA7714" s="33"/>
      <c r="AB7714" s="33"/>
      <c r="AC7714" s="33"/>
      <c r="AD7714" s="33"/>
      <c r="AE7714" s="33"/>
      <c r="AF7714" s="33"/>
      <c r="AG7714" s="33"/>
      <c r="AH7714" s="33"/>
      <c r="AI7714" s="33"/>
      <c r="AJ7714" s="33"/>
      <c r="AK7714" s="33"/>
    </row>
    <row r="7715">
      <c r="A7715" s="33"/>
      <c r="B7715" s="33"/>
      <c r="C7715" s="33"/>
      <c r="D7715" s="33"/>
      <c r="E7715" s="33"/>
      <c r="F7715" s="33"/>
      <c r="G7715" s="33"/>
      <c r="H7715" s="33"/>
      <c r="I7715" s="33"/>
      <c r="J7715" s="33"/>
      <c r="K7715" s="33"/>
      <c r="L7715" s="33"/>
      <c r="M7715" s="33"/>
      <c r="N7715" s="33"/>
      <c r="O7715" s="33"/>
      <c r="P7715" s="33"/>
      <c r="Q7715" s="33"/>
      <c r="R7715" s="33"/>
      <c r="S7715" s="33"/>
      <c r="T7715" s="33"/>
      <c r="U7715" s="33"/>
      <c r="V7715" s="33"/>
      <c r="W7715" s="33"/>
      <c r="X7715" s="33"/>
      <c r="Y7715" s="33"/>
      <c r="Z7715" s="33"/>
      <c r="AA7715" s="33"/>
      <c r="AB7715" s="33"/>
      <c r="AC7715" s="33"/>
      <c r="AD7715" s="33"/>
      <c r="AE7715" s="33"/>
      <c r="AF7715" s="33"/>
      <c r="AG7715" s="33"/>
      <c r="AH7715" s="33"/>
      <c r="AI7715" s="33"/>
      <c r="AJ7715" s="33"/>
      <c r="AK7715" s="33"/>
    </row>
    <row r="7716">
      <c r="A7716" s="33"/>
      <c r="B7716" s="33"/>
      <c r="C7716" s="33"/>
      <c r="D7716" s="33"/>
      <c r="E7716" s="33"/>
      <c r="F7716" s="33"/>
      <c r="G7716" s="33"/>
      <c r="H7716" s="33"/>
      <c r="I7716" s="33"/>
      <c r="J7716" s="33"/>
      <c r="K7716" s="33"/>
      <c r="L7716" s="33"/>
      <c r="M7716" s="33"/>
      <c r="N7716" s="33"/>
      <c r="O7716" s="33"/>
      <c r="P7716" s="33"/>
      <c r="Q7716" s="33"/>
      <c r="R7716" s="33"/>
      <c r="S7716" s="33"/>
      <c r="T7716" s="33"/>
      <c r="U7716" s="33"/>
      <c r="V7716" s="33"/>
      <c r="W7716" s="33"/>
      <c r="X7716" s="33"/>
      <c r="Y7716" s="33"/>
      <c r="Z7716" s="33"/>
      <c r="AA7716" s="33"/>
      <c r="AB7716" s="33"/>
      <c r="AC7716" s="33"/>
      <c r="AD7716" s="33"/>
      <c r="AE7716" s="33"/>
      <c r="AF7716" s="33"/>
      <c r="AG7716" s="33"/>
      <c r="AH7716" s="33"/>
      <c r="AI7716" s="33"/>
      <c r="AJ7716" s="33"/>
      <c r="AK7716" s="33"/>
    </row>
    <row r="7717">
      <c r="A7717" s="33"/>
      <c r="B7717" s="33"/>
      <c r="C7717" s="33"/>
      <c r="D7717" s="33"/>
      <c r="E7717" s="33"/>
      <c r="F7717" s="33"/>
      <c r="G7717" s="33"/>
      <c r="H7717" s="33"/>
      <c r="I7717" s="33"/>
      <c r="J7717" s="33"/>
      <c r="K7717" s="33"/>
      <c r="L7717" s="33"/>
      <c r="M7717" s="33"/>
      <c r="N7717" s="33"/>
      <c r="O7717" s="33"/>
      <c r="P7717" s="33"/>
      <c r="Q7717" s="33"/>
      <c r="R7717" s="33"/>
      <c r="S7717" s="33"/>
      <c r="T7717" s="33"/>
      <c r="U7717" s="33"/>
      <c r="V7717" s="33"/>
      <c r="W7717" s="33"/>
      <c r="X7717" s="33"/>
      <c r="Y7717" s="33"/>
      <c r="Z7717" s="33"/>
      <c r="AA7717" s="33"/>
      <c r="AB7717" s="33"/>
      <c r="AC7717" s="33"/>
      <c r="AD7717" s="33"/>
      <c r="AE7717" s="33"/>
      <c r="AF7717" s="33"/>
      <c r="AG7717" s="33"/>
      <c r="AH7717" s="33"/>
      <c r="AI7717" s="33"/>
      <c r="AJ7717" s="33"/>
      <c r="AK7717" s="33"/>
    </row>
    <row r="7718">
      <c r="A7718" s="33"/>
      <c r="B7718" s="33"/>
      <c r="C7718" s="33"/>
      <c r="D7718" s="33"/>
      <c r="E7718" s="33"/>
      <c r="F7718" s="33"/>
      <c r="G7718" s="33"/>
      <c r="H7718" s="33"/>
      <c r="I7718" s="33"/>
      <c r="J7718" s="33"/>
      <c r="K7718" s="33"/>
      <c r="L7718" s="33"/>
      <c r="M7718" s="33"/>
      <c r="N7718" s="33"/>
      <c r="O7718" s="33"/>
      <c r="P7718" s="33"/>
      <c r="Q7718" s="33"/>
      <c r="R7718" s="33"/>
      <c r="S7718" s="33"/>
      <c r="T7718" s="33"/>
      <c r="U7718" s="33"/>
      <c r="V7718" s="33"/>
      <c r="W7718" s="33"/>
      <c r="X7718" s="33"/>
      <c r="Y7718" s="33"/>
      <c r="Z7718" s="33"/>
      <c r="AA7718" s="33"/>
      <c r="AB7718" s="33"/>
      <c r="AC7718" s="33"/>
      <c r="AD7718" s="33"/>
      <c r="AE7718" s="33"/>
      <c r="AF7718" s="33"/>
      <c r="AG7718" s="33"/>
      <c r="AH7718" s="33"/>
      <c r="AI7718" s="33"/>
      <c r="AJ7718" s="33"/>
      <c r="AK7718" s="33"/>
    </row>
    <row r="7719">
      <c r="A7719" s="33"/>
      <c r="B7719" s="33"/>
      <c r="C7719" s="33"/>
      <c r="D7719" s="33"/>
      <c r="E7719" s="33"/>
      <c r="F7719" s="33"/>
      <c r="G7719" s="33"/>
      <c r="H7719" s="33"/>
      <c r="I7719" s="33"/>
      <c r="J7719" s="33"/>
      <c r="K7719" s="33"/>
      <c r="L7719" s="33"/>
      <c r="M7719" s="33"/>
      <c r="N7719" s="33"/>
      <c r="O7719" s="33"/>
      <c r="P7719" s="33"/>
      <c r="Q7719" s="33"/>
      <c r="R7719" s="33"/>
      <c r="S7719" s="33"/>
      <c r="T7719" s="33"/>
      <c r="U7719" s="33"/>
      <c r="V7719" s="33"/>
      <c r="W7719" s="33"/>
      <c r="X7719" s="33"/>
      <c r="Y7719" s="33"/>
      <c r="Z7719" s="33"/>
      <c r="AA7719" s="33"/>
      <c r="AB7719" s="33"/>
      <c r="AC7719" s="33"/>
      <c r="AD7719" s="33"/>
      <c r="AE7719" s="33"/>
      <c r="AF7719" s="33"/>
      <c r="AG7719" s="33"/>
      <c r="AH7719" s="33"/>
      <c r="AI7719" s="33"/>
      <c r="AJ7719" s="33"/>
      <c r="AK7719" s="33"/>
    </row>
    <row r="7720">
      <c r="A7720" s="33"/>
      <c r="B7720" s="33"/>
      <c r="C7720" s="33"/>
      <c r="D7720" s="33"/>
      <c r="E7720" s="33"/>
      <c r="F7720" s="33"/>
      <c r="G7720" s="33"/>
      <c r="H7720" s="33"/>
      <c r="I7720" s="33"/>
      <c r="J7720" s="33"/>
      <c r="K7720" s="33"/>
      <c r="L7720" s="33"/>
      <c r="M7720" s="33"/>
      <c r="N7720" s="33"/>
      <c r="O7720" s="33"/>
      <c r="P7720" s="33"/>
      <c r="Q7720" s="33"/>
      <c r="R7720" s="33"/>
      <c r="S7720" s="33"/>
      <c r="T7720" s="33"/>
      <c r="U7720" s="33"/>
      <c r="V7720" s="33"/>
      <c r="W7720" s="33"/>
      <c r="X7720" s="33"/>
      <c r="Y7720" s="33"/>
      <c r="Z7720" s="33"/>
      <c r="AA7720" s="33"/>
      <c r="AB7720" s="33"/>
      <c r="AC7720" s="33"/>
      <c r="AD7720" s="33"/>
      <c r="AE7720" s="33"/>
      <c r="AF7720" s="33"/>
      <c r="AG7720" s="33"/>
      <c r="AH7720" s="33"/>
      <c r="AI7720" s="33"/>
      <c r="AJ7720" s="33"/>
      <c r="AK7720" s="33"/>
    </row>
    <row r="7721">
      <c r="A7721" s="33"/>
      <c r="B7721" s="33"/>
      <c r="C7721" s="33"/>
      <c r="D7721" s="33"/>
      <c r="E7721" s="33"/>
      <c r="F7721" s="33"/>
      <c r="G7721" s="33"/>
      <c r="H7721" s="33"/>
      <c r="I7721" s="33"/>
      <c r="J7721" s="33"/>
      <c r="K7721" s="33"/>
      <c r="L7721" s="33"/>
      <c r="M7721" s="33"/>
      <c r="N7721" s="33"/>
      <c r="O7721" s="33"/>
      <c r="P7721" s="33"/>
      <c r="Q7721" s="33"/>
      <c r="R7721" s="33"/>
      <c r="S7721" s="33"/>
      <c r="T7721" s="33"/>
      <c r="U7721" s="33"/>
      <c r="V7721" s="33"/>
      <c r="W7721" s="33"/>
      <c r="X7721" s="33"/>
      <c r="Y7721" s="33"/>
      <c r="Z7721" s="33"/>
      <c r="AA7721" s="33"/>
      <c r="AB7721" s="33"/>
      <c r="AC7721" s="33"/>
      <c r="AD7721" s="33"/>
      <c r="AE7721" s="33"/>
      <c r="AF7721" s="33"/>
      <c r="AG7721" s="33"/>
      <c r="AH7721" s="33"/>
      <c r="AI7721" s="33"/>
      <c r="AJ7721" s="33"/>
      <c r="AK7721" s="33"/>
    </row>
    <row r="7722">
      <c r="A7722" s="33"/>
      <c r="B7722" s="33"/>
      <c r="C7722" s="33"/>
      <c r="D7722" s="33"/>
      <c r="E7722" s="33"/>
      <c r="F7722" s="33"/>
      <c r="G7722" s="33"/>
      <c r="H7722" s="33"/>
      <c r="I7722" s="33"/>
      <c r="J7722" s="33"/>
      <c r="K7722" s="33"/>
      <c r="L7722" s="33"/>
      <c r="M7722" s="33"/>
      <c r="N7722" s="33"/>
      <c r="O7722" s="33"/>
      <c r="P7722" s="33"/>
      <c r="Q7722" s="33"/>
      <c r="R7722" s="33"/>
      <c r="S7722" s="33"/>
      <c r="T7722" s="33"/>
      <c r="U7722" s="33"/>
      <c r="V7722" s="33"/>
      <c r="W7722" s="33"/>
      <c r="X7722" s="33"/>
      <c r="Y7722" s="33"/>
      <c r="Z7722" s="33"/>
      <c r="AA7722" s="33"/>
      <c r="AB7722" s="33"/>
      <c r="AC7722" s="33"/>
      <c r="AD7722" s="33"/>
      <c r="AE7722" s="33"/>
      <c r="AF7722" s="33"/>
      <c r="AG7722" s="33"/>
      <c r="AH7722" s="33"/>
      <c r="AI7722" s="33"/>
      <c r="AJ7722" s="33"/>
      <c r="AK7722" s="33"/>
    </row>
    <row r="7723">
      <c r="A7723" s="33"/>
      <c r="B7723" s="33"/>
      <c r="C7723" s="33"/>
      <c r="D7723" s="33"/>
      <c r="E7723" s="33"/>
      <c r="F7723" s="33"/>
      <c r="G7723" s="33"/>
      <c r="H7723" s="33"/>
      <c r="I7723" s="33"/>
      <c r="J7723" s="33"/>
      <c r="K7723" s="33"/>
      <c r="L7723" s="33"/>
      <c r="M7723" s="33"/>
      <c r="N7723" s="33"/>
      <c r="O7723" s="33"/>
      <c r="P7723" s="33"/>
      <c r="Q7723" s="33"/>
      <c r="R7723" s="33"/>
      <c r="S7723" s="33"/>
      <c r="T7723" s="33"/>
      <c r="U7723" s="33"/>
      <c r="V7723" s="33"/>
      <c r="W7723" s="33"/>
      <c r="X7723" s="33"/>
      <c r="Y7723" s="33"/>
      <c r="Z7723" s="33"/>
      <c r="AA7723" s="33"/>
      <c r="AB7723" s="33"/>
      <c r="AC7723" s="33"/>
      <c r="AD7723" s="33"/>
      <c r="AE7723" s="33"/>
      <c r="AF7723" s="33"/>
      <c r="AG7723" s="33"/>
      <c r="AH7723" s="33"/>
      <c r="AI7723" s="33"/>
      <c r="AJ7723" s="33"/>
      <c r="AK7723" s="33"/>
    </row>
    <row r="7724">
      <c r="A7724" s="33"/>
      <c r="B7724" s="33"/>
      <c r="C7724" s="33"/>
      <c r="D7724" s="33"/>
      <c r="E7724" s="33"/>
      <c r="F7724" s="33"/>
      <c r="G7724" s="33"/>
      <c r="H7724" s="33"/>
      <c r="I7724" s="33"/>
      <c r="J7724" s="33"/>
      <c r="K7724" s="33"/>
      <c r="L7724" s="33"/>
      <c r="M7724" s="33"/>
      <c r="N7724" s="33"/>
      <c r="O7724" s="33"/>
      <c r="P7724" s="33"/>
      <c r="Q7724" s="33"/>
      <c r="R7724" s="33"/>
      <c r="S7724" s="33"/>
      <c r="T7724" s="33"/>
      <c r="U7724" s="33"/>
      <c r="V7724" s="33"/>
      <c r="W7724" s="33"/>
      <c r="X7724" s="33"/>
      <c r="Y7724" s="33"/>
      <c r="Z7724" s="33"/>
      <c r="AA7724" s="33"/>
      <c r="AB7724" s="33"/>
      <c r="AC7724" s="33"/>
      <c r="AD7724" s="33"/>
      <c r="AE7724" s="33"/>
      <c r="AF7724" s="33"/>
      <c r="AG7724" s="33"/>
      <c r="AH7724" s="33"/>
      <c r="AI7724" s="33"/>
      <c r="AJ7724" s="33"/>
      <c r="AK7724" s="33"/>
    </row>
    <row r="7725">
      <c r="A7725" s="33"/>
      <c r="B7725" s="33"/>
      <c r="C7725" s="33"/>
      <c r="D7725" s="33"/>
      <c r="E7725" s="33"/>
      <c r="F7725" s="33"/>
      <c r="G7725" s="33"/>
      <c r="H7725" s="33"/>
      <c r="I7725" s="33"/>
      <c r="J7725" s="33"/>
      <c r="K7725" s="33"/>
      <c r="L7725" s="33"/>
      <c r="M7725" s="33"/>
      <c r="N7725" s="33"/>
      <c r="O7725" s="33"/>
      <c r="P7725" s="33"/>
      <c r="Q7725" s="33"/>
      <c r="R7725" s="33"/>
      <c r="S7725" s="33"/>
      <c r="T7725" s="33"/>
      <c r="U7725" s="33"/>
      <c r="V7725" s="33"/>
      <c r="W7725" s="33"/>
      <c r="X7725" s="33"/>
      <c r="Y7725" s="33"/>
      <c r="Z7725" s="33"/>
      <c r="AA7725" s="33"/>
      <c r="AB7725" s="33"/>
      <c r="AC7725" s="33"/>
      <c r="AD7725" s="33"/>
      <c r="AE7725" s="33"/>
      <c r="AF7725" s="33"/>
      <c r="AG7725" s="33"/>
      <c r="AH7725" s="33"/>
      <c r="AI7725" s="33"/>
      <c r="AJ7725" s="33"/>
      <c r="AK7725" s="33"/>
    </row>
    <row r="7726">
      <c r="A7726" s="33"/>
      <c r="B7726" s="33"/>
      <c r="C7726" s="33"/>
      <c r="D7726" s="33"/>
      <c r="E7726" s="33"/>
      <c r="F7726" s="33"/>
      <c r="G7726" s="33"/>
      <c r="H7726" s="33"/>
      <c r="I7726" s="33"/>
      <c r="J7726" s="33"/>
      <c r="K7726" s="33"/>
      <c r="L7726" s="33"/>
      <c r="M7726" s="33"/>
      <c r="N7726" s="33"/>
      <c r="O7726" s="33"/>
      <c r="P7726" s="33"/>
      <c r="Q7726" s="33"/>
      <c r="R7726" s="33"/>
      <c r="S7726" s="33"/>
      <c r="T7726" s="33"/>
      <c r="U7726" s="33"/>
      <c r="V7726" s="33"/>
      <c r="W7726" s="33"/>
      <c r="X7726" s="33"/>
      <c r="Y7726" s="33"/>
      <c r="Z7726" s="33"/>
      <c r="AA7726" s="33"/>
      <c r="AB7726" s="33"/>
      <c r="AC7726" s="33"/>
      <c r="AD7726" s="33"/>
      <c r="AE7726" s="33"/>
      <c r="AF7726" s="33"/>
      <c r="AG7726" s="33"/>
      <c r="AH7726" s="33"/>
      <c r="AI7726" s="33"/>
      <c r="AJ7726" s="33"/>
      <c r="AK7726" s="33"/>
    </row>
    <row r="7727">
      <c r="A7727" s="33"/>
      <c r="B7727" s="33"/>
      <c r="C7727" s="33"/>
      <c r="D7727" s="33"/>
      <c r="E7727" s="33"/>
      <c r="F7727" s="33"/>
      <c r="G7727" s="33"/>
      <c r="H7727" s="33"/>
      <c r="I7727" s="33"/>
      <c r="J7727" s="33"/>
      <c r="K7727" s="33"/>
      <c r="L7727" s="33"/>
      <c r="M7727" s="33"/>
      <c r="N7727" s="33"/>
      <c r="O7727" s="33"/>
      <c r="P7727" s="33"/>
      <c r="Q7727" s="33"/>
      <c r="R7727" s="33"/>
      <c r="S7727" s="33"/>
      <c r="T7727" s="33"/>
      <c r="U7727" s="33"/>
      <c r="V7727" s="33"/>
      <c r="W7727" s="33"/>
      <c r="X7727" s="33"/>
      <c r="Y7727" s="33"/>
      <c r="Z7727" s="33"/>
      <c r="AA7727" s="33"/>
      <c r="AB7727" s="33"/>
      <c r="AC7727" s="33"/>
      <c r="AD7727" s="33"/>
      <c r="AE7727" s="33"/>
      <c r="AF7727" s="33"/>
      <c r="AG7727" s="33"/>
      <c r="AH7727" s="33"/>
      <c r="AI7727" s="33"/>
      <c r="AJ7727" s="33"/>
      <c r="AK7727" s="33"/>
    </row>
    <row r="7728">
      <c r="A7728" s="33"/>
      <c r="B7728" s="33"/>
      <c r="C7728" s="33"/>
      <c r="D7728" s="33"/>
      <c r="E7728" s="33"/>
      <c r="F7728" s="33"/>
      <c r="G7728" s="33"/>
      <c r="H7728" s="33"/>
      <c r="I7728" s="33"/>
      <c r="J7728" s="33"/>
      <c r="K7728" s="33"/>
      <c r="L7728" s="33"/>
      <c r="M7728" s="33"/>
      <c r="N7728" s="33"/>
      <c r="O7728" s="33"/>
      <c r="P7728" s="33"/>
      <c r="Q7728" s="33"/>
      <c r="R7728" s="33"/>
      <c r="S7728" s="33"/>
      <c r="T7728" s="33"/>
      <c r="U7728" s="33"/>
      <c r="V7728" s="33"/>
      <c r="W7728" s="33"/>
      <c r="X7728" s="33"/>
      <c r="Y7728" s="33"/>
      <c r="Z7728" s="33"/>
      <c r="AA7728" s="33"/>
      <c r="AB7728" s="33"/>
      <c r="AC7728" s="33"/>
      <c r="AD7728" s="33"/>
      <c r="AE7728" s="33"/>
      <c r="AF7728" s="33"/>
      <c r="AG7728" s="33"/>
      <c r="AH7728" s="33"/>
      <c r="AI7728" s="33"/>
      <c r="AJ7728" s="33"/>
      <c r="AK7728" s="33"/>
    </row>
    <row r="7729">
      <c r="A7729" s="33"/>
      <c r="B7729" s="33"/>
      <c r="C7729" s="33"/>
      <c r="D7729" s="33"/>
      <c r="E7729" s="33"/>
      <c r="F7729" s="33"/>
      <c r="G7729" s="33"/>
      <c r="H7729" s="33"/>
      <c r="I7729" s="33"/>
      <c r="J7729" s="33"/>
      <c r="K7729" s="33"/>
      <c r="L7729" s="33"/>
      <c r="M7729" s="33"/>
      <c r="N7729" s="33"/>
      <c r="O7729" s="33"/>
      <c r="P7729" s="33"/>
      <c r="Q7729" s="33"/>
      <c r="R7729" s="33"/>
      <c r="S7729" s="33"/>
      <c r="T7729" s="33"/>
      <c r="U7729" s="33"/>
      <c r="V7729" s="33"/>
      <c r="W7729" s="33"/>
      <c r="X7729" s="33"/>
      <c r="Y7729" s="33"/>
      <c r="Z7729" s="33"/>
      <c r="AA7729" s="33"/>
      <c r="AB7729" s="33"/>
      <c r="AC7729" s="33"/>
      <c r="AD7729" s="33"/>
      <c r="AE7729" s="33"/>
      <c r="AF7729" s="33"/>
      <c r="AG7729" s="33"/>
      <c r="AH7729" s="33"/>
      <c r="AI7729" s="33"/>
      <c r="AJ7729" s="33"/>
      <c r="AK7729" s="33"/>
    </row>
    <row r="7730">
      <c r="A7730" s="33"/>
      <c r="B7730" s="33"/>
      <c r="C7730" s="33"/>
      <c r="D7730" s="33"/>
      <c r="E7730" s="33"/>
      <c r="F7730" s="33"/>
      <c r="G7730" s="33"/>
      <c r="H7730" s="33"/>
      <c r="I7730" s="33"/>
      <c r="J7730" s="33"/>
      <c r="K7730" s="33"/>
      <c r="L7730" s="33"/>
      <c r="M7730" s="33"/>
      <c r="N7730" s="33"/>
      <c r="O7730" s="33"/>
      <c r="P7730" s="33"/>
      <c r="Q7730" s="33"/>
      <c r="R7730" s="33"/>
      <c r="S7730" s="33"/>
      <c r="T7730" s="33"/>
      <c r="U7730" s="33"/>
      <c r="V7730" s="33"/>
      <c r="W7730" s="33"/>
      <c r="X7730" s="33"/>
      <c r="Y7730" s="33"/>
      <c r="Z7730" s="33"/>
      <c r="AA7730" s="33"/>
      <c r="AB7730" s="33"/>
      <c r="AC7730" s="33"/>
      <c r="AD7730" s="33"/>
      <c r="AE7730" s="33"/>
      <c r="AF7730" s="33"/>
      <c r="AG7730" s="33"/>
      <c r="AH7730" s="33"/>
      <c r="AI7730" s="33"/>
      <c r="AJ7730" s="33"/>
      <c r="AK7730" s="33"/>
    </row>
    <row r="7731">
      <c r="A7731" s="33"/>
      <c r="B7731" s="33"/>
      <c r="C7731" s="33"/>
      <c r="D7731" s="33"/>
      <c r="E7731" s="33"/>
      <c r="F7731" s="33"/>
      <c r="G7731" s="33"/>
      <c r="H7731" s="33"/>
      <c r="I7731" s="33"/>
      <c r="J7731" s="33"/>
      <c r="K7731" s="33"/>
      <c r="L7731" s="33"/>
      <c r="M7731" s="33"/>
      <c r="N7731" s="33"/>
      <c r="O7731" s="33"/>
      <c r="P7731" s="33"/>
      <c r="Q7731" s="33"/>
      <c r="R7731" s="33"/>
      <c r="S7731" s="33"/>
      <c r="T7731" s="33"/>
      <c r="U7731" s="33"/>
      <c r="V7731" s="33"/>
      <c r="W7731" s="33"/>
      <c r="X7731" s="33"/>
      <c r="Y7731" s="33"/>
      <c r="Z7731" s="33"/>
      <c r="AA7731" s="33"/>
      <c r="AB7731" s="33"/>
      <c r="AC7731" s="33"/>
      <c r="AD7731" s="33"/>
      <c r="AE7731" s="33"/>
      <c r="AF7731" s="33"/>
      <c r="AG7731" s="33"/>
      <c r="AH7731" s="33"/>
      <c r="AI7731" s="33"/>
      <c r="AJ7731" s="33"/>
      <c r="AK7731" s="33"/>
    </row>
    <row r="7732">
      <c r="A7732" s="33"/>
      <c r="B7732" s="33"/>
      <c r="C7732" s="33"/>
      <c r="D7732" s="33"/>
      <c r="E7732" s="33"/>
      <c r="F7732" s="33"/>
      <c r="G7732" s="33"/>
      <c r="H7732" s="33"/>
      <c r="I7732" s="33"/>
      <c r="J7732" s="33"/>
      <c r="K7732" s="33"/>
      <c r="L7732" s="33"/>
      <c r="M7732" s="33"/>
      <c r="N7732" s="33"/>
      <c r="O7732" s="33"/>
      <c r="P7732" s="33"/>
      <c r="Q7732" s="33"/>
      <c r="R7732" s="33"/>
      <c r="S7732" s="33"/>
      <c r="T7732" s="33"/>
      <c r="U7732" s="33"/>
      <c r="V7732" s="33"/>
      <c r="W7732" s="33"/>
      <c r="X7732" s="33"/>
      <c r="Y7732" s="33"/>
      <c r="Z7732" s="33"/>
      <c r="AA7732" s="33"/>
      <c r="AB7732" s="33"/>
      <c r="AC7732" s="33"/>
      <c r="AD7732" s="33"/>
      <c r="AE7732" s="33"/>
      <c r="AF7732" s="33"/>
      <c r="AG7732" s="33"/>
      <c r="AH7732" s="33"/>
      <c r="AI7732" s="33"/>
      <c r="AJ7732" s="33"/>
      <c r="AK7732" s="33"/>
    </row>
    <row r="7733">
      <c r="A7733" s="33"/>
      <c r="B7733" s="33"/>
      <c r="C7733" s="33"/>
      <c r="D7733" s="33"/>
      <c r="E7733" s="33"/>
      <c r="F7733" s="33"/>
      <c r="G7733" s="33"/>
      <c r="H7733" s="33"/>
      <c r="I7733" s="33"/>
      <c r="J7733" s="33"/>
      <c r="K7733" s="33"/>
      <c r="L7733" s="33"/>
      <c r="M7733" s="33"/>
      <c r="N7733" s="33"/>
      <c r="O7733" s="33"/>
      <c r="P7733" s="33"/>
      <c r="Q7733" s="33"/>
      <c r="R7733" s="33"/>
      <c r="S7733" s="33"/>
      <c r="T7733" s="33"/>
      <c r="U7733" s="33"/>
      <c r="V7733" s="33"/>
      <c r="W7733" s="33"/>
      <c r="X7733" s="33"/>
      <c r="Y7733" s="33"/>
      <c r="Z7733" s="33"/>
      <c r="AA7733" s="33"/>
      <c r="AB7733" s="33"/>
      <c r="AC7733" s="33"/>
      <c r="AD7733" s="33"/>
      <c r="AE7733" s="33"/>
      <c r="AF7733" s="33"/>
      <c r="AG7733" s="33"/>
      <c r="AH7733" s="33"/>
      <c r="AI7733" s="33"/>
      <c r="AJ7733" s="33"/>
      <c r="AK7733" s="33"/>
    </row>
    <row r="7734">
      <c r="A7734" s="33"/>
      <c r="B7734" s="33"/>
      <c r="C7734" s="33"/>
      <c r="D7734" s="33"/>
      <c r="E7734" s="33"/>
      <c r="F7734" s="33"/>
      <c r="G7734" s="33"/>
      <c r="H7734" s="33"/>
      <c r="I7734" s="33"/>
      <c r="J7734" s="33"/>
      <c r="K7734" s="33"/>
      <c r="L7734" s="33"/>
      <c r="M7734" s="33"/>
      <c r="N7734" s="33"/>
      <c r="O7734" s="33"/>
      <c r="P7734" s="33"/>
      <c r="Q7734" s="33"/>
      <c r="R7734" s="33"/>
      <c r="S7734" s="33"/>
      <c r="T7734" s="33"/>
      <c r="U7734" s="33"/>
      <c r="V7734" s="33"/>
      <c r="W7734" s="33"/>
      <c r="X7734" s="33"/>
      <c r="Y7734" s="33"/>
      <c r="Z7734" s="33"/>
      <c r="AA7734" s="33"/>
      <c r="AB7734" s="33"/>
      <c r="AC7734" s="33"/>
      <c r="AD7734" s="33"/>
      <c r="AE7734" s="33"/>
      <c r="AF7734" s="33"/>
      <c r="AG7734" s="33"/>
      <c r="AH7734" s="33"/>
      <c r="AI7734" s="33"/>
      <c r="AJ7734" s="33"/>
      <c r="AK7734" s="33"/>
    </row>
    <row r="7735">
      <c r="A7735" s="33"/>
      <c r="B7735" s="33"/>
      <c r="C7735" s="33"/>
      <c r="D7735" s="33"/>
      <c r="E7735" s="33"/>
      <c r="F7735" s="33"/>
      <c r="G7735" s="33"/>
      <c r="H7735" s="33"/>
      <c r="I7735" s="33"/>
      <c r="J7735" s="33"/>
      <c r="K7735" s="33"/>
      <c r="L7735" s="33"/>
      <c r="M7735" s="33"/>
      <c r="N7735" s="33"/>
      <c r="O7735" s="33"/>
      <c r="P7735" s="33"/>
      <c r="Q7735" s="33"/>
      <c r="R7735" s="33"/>
      <c r="S7735" s="33"/>
      <c r="T7735" s="33"/>
      <c r="U7735" s="33"/>
      <c r="V7735" s="33"/>
      <c r="W7735" s="33"/>
      <c r="X7735" s="33"/>
      <c r="Y7735" s="33"/>
      <c r="Z7735" s="33"/>
      <c r="AA7735" s="33"/>
      <c r="AB7735" s="33"/>
      <c r="AC7735" s="33"/>
      <c r="AD7735" s="33"/>
      <c r="AE7735" s="33"/>
      <c r="AF7735" s="33"/>
      <c r="AG7735" s="33"/>
      <c r="AH7735" s="33"/>
      <c r="AI7735" s="33"/>
      <c r="AJ7735" s="33"/>
      <c r="AK7735" s="33"/>
    </row>
    <row r="7736">
      <c r="A7736" s="33"/>
      <c r="B7736" s="33"/>
      <c r="C7736" s="33"/>
      <c r="D7736" s="33"/>
      <c r="E7736" s="33"/>
      <c r="F7736" s="33"/>
      <c r="G7736" s="33"/>
      <c r="H7736" s="33"/>
      <c r="I7736" s="33"/>
      <c r="J7736" s="33"/>
      <c r="K7736" s="33"/>
      <c r="L7736" s="33"/>
      <c r="M7736" s="33"/>
      <c r="N7736" s="33"/>
      <c r="O7736" s="33"/>
      <c r="P7736" s="33"/>
      <c r="Q7736" s="33"/>
      <c r="R7736" s="33"/>
      <c r="S7736" s="33"/>
      <c r="T7736" s="33"/>
      <c r="U7736" s="33"/>
      <c r="V7736" s="33"/>
      <c r="W7736" s="33"/>
      <c r="X7736" s="33"/>
      <c r="Y7736" s="33"/>
      <c r="Z7736" s="33"/>
      <c r="AA7736" s="33"/>
      <c r="AB7736" s="33"/>
      <c r="AC7736" s="33"/>
      <c r="AD7736" s="33"/>
      <c r="AE7736" s="33"/>
      <c r="AF7736" s="33"/>
      <c r="AG7736" s="33"/>
      <c r="AH7736" s="33"/>
      <c r="AI7736" s="33"/>
      <c r="AJ7736" s="33"/>
      <c r="AK7736" s="33"/>
    </row>
    <row r="7737">
      <c r="A7737" s="33"/>
      <c r="B7737" s="33"/>
      <c r="C7737" s="33"/>
      <c r="D7737" s="33"/>
      <c r="E7737" s="33"/>
      <c r="F7737" s="33"/>
      <c r="G7737" s="33"/>
      <c r="H7737" s="33"/>
      <c r="I7737" s="33"/>
      <c r="J7737" s="33"/>
      <c r="K7737" s="33"/>
      <c r="L7737" s="33"/>
      <c r="M7737" s="33"/>
      <c r="N7737" s="33"/>
      <c r="O7737" s="33"/>
      <c r="P7737" s="33"/>
      <c r="Q7737" s="33"/>
      <c r="R7737" s="33"/>
      <c r="S7737" s="33"/>
      <c r="T7737" s="33"/>
      <c r="U7737" s="33"/>
      <c r="V7737" s="33"/>
      <c r="W7737" s="33"/>
      <c r="X7737" s="33"/>
      <c r="Y7737" s="33"/>
      <c r="Z7737" s="33"/>
      <c r="AA7737" s="33"/>
      <c r="AB7737" s="33"/>
      <c r="AC7737" s="33"/>
      <c r="AD7737" s="33"/>
      <c r="AE7737" s="33"/>
      <c r="AF7737" s="33"/>
      <c r="AG7737" s="33"/>
      <c r="AH7737" s="33"/>
      <c r="AI7737" s="33"/>
      <c r="AJ7737" s="33"/>
      <c r="AK7737" s="33"/>
    </row>
    <row r="7738">
      <c r="A7738" s="33"/>
      <c r="B7738" s="33"/>
      <c r="C7738" s="33"/>
      <c r="D7738" s="33"/>
      <c r="E7738" s="33"/>
      <c r="F7738" s="33"/>
      <c r="G7738" s="33"/>
      <c r="H7738" s="33"/>
      <c r="I7738" s="33"/>
      <c r="J7738" s="33"/>
      <c r="K7738" s="33"/>
      <c r="L7738" s="33"/>
      <c r="M7738" s="33"/>
      <c r="N7738" s="33"/>
      <c r="O7738" s="33"/>
      <c r="P7738" s="33"/>
      <c r="Q7738" s="33"/>
      <c r="R7738" s="33"/>
      <c r="S7738" s="33"/>
      <c r="T7738" s="33"/>
      <c r="U7738" s="33"/>
      <c r="V7738" s="33"/>
      <c r="W7738" s="33"/>
      <c r="X7738" s="33"/>
      <c r="Y7738" s="33"/>
      <c r="Z7738" s="33"/>
      <c r="AA7738" s="33"/>
      <c r="AB7738" s="33"/>
      <c r="AC7738" s="33"/>
      <c r="AD7738" s="33"/>
      <c r="AE7738" s="33"/>
      <c r="AF7738" s="33"/>
      <c r="AG7738" s="33"/>
      <c r="AH7738" s="33"/>
      <c r="AI7738" s="33"/>
      <c r="AJ7738" s="33"/>
      <c r="AK7738" s="33"/>
    </row>
    <row r="7739">
      <c r="A7739" s="33"/>
      <c r="B7739" s="33"/>
      <c r="C7739" s="33"/>
      <c r="D7739" s="33"/>
      <c r="E7739" s="33"/>
      <c r="F7739" s="33"/>
      <c r="G7739" s="33"/>
      <c r="H7739" s="33"/>
      <c r="I7739" s="33"/>
      <c r="J7739" s="33"/>
      <c r="K7739" s="33"/>
      <c r="L7739" s="33"/>
      <c r="M7739" s="33"/>
      <c r="N7739" s="33"/>
      <c r="O7739" s="33"/>
      <c r="P7739" s="33"/>
      <c r="Q7739" s="33"/>
      <c r="R7739" s="33"/>
      <c r="S7739" s="33"/>
      <c r="T7739" s="33"/>
      <c r="U7739" s="33"/>
      <c r="V7739" s="33"/>
      <c r="W7739" s="33"/>
      <c r="X7739" s="33"/>
      <c r="Y7739" s="33"/>
      <c r="Z7739" s="33"/>
      <c r="AA7739" s="33"/>
      <c r="AB7739" s="33"/>
      <c r="AC7739" s="33"/>
      <c r="AD7739" s="33"/>
      <c r="AE7739" s="33"/>
      <c r="AF7739" s="33"/>
      <c r="AG7739" s="33"/>
      <c r="AH7739" s="33"/>
      <c r="AI7739" s="33"/>
      <c r="AJ7739" s="33"/>
      <c r="AK7739" s="33"/>
    </row>
    <row r="7740">
      <c r="A7740" s="33"/>
      <c r="B7740" s="33"/>
      <c r="C7740" s="33"/>
      <c r="D7740" s="33"/>
      <c r="E7740" s="33"/>
      <c r="F7740" s="33"/>
      <c r="G7740" s="33"/>
      <c r="H7740" s="33"/>
      <c r="I7740" s="33"/>
      <c r="J7740" s="33"/>
      <c r="K7740" s="33"/>
      <c r="L7740" s="33"/>
      <c r="M7740" s="33"/>
      <c r="N7740" s="33"/>
      <c r="O7740" s="33"/>
      <c r="P7740" s="33"/>
      <c r="Q7740" s="33"/>
      <c r="R7740" s="33"/>
      <c r="S7740" s="33"/>
      <c r="T7740" s="33"/>
      <c r="U7740" s="33"/>
      <c r="V7740" s="33"/>
      <c r="W7740" s="33"/>
      <c r="X7740" s="33"/>
      <c r="Y7740" s="33"/>
      <c r="Z7740" s="33"/>
      <c r="AA7740" s="33"/>
      <c r="AB7740" s="33"/>
      <c r="AC7740" s="33"/>
      <c r="AD7740" s="33"/>
      <c r="AE7740" s="33"/>
      <c r="AF7740" s="33"/>
      <c r="AG7740" s="33"/>
      <c r="AH7740" s="33"/>
      <c r="AI7740" s="33"/>
      <c r="AJ7740" s="33"/>
      <c r="AK7740" s="33"/>
    </row>
    <row r="7741">
      <c r="A7741" s="33"/>
      <c r="B7741" s="33"/>
      <c r="C7741" s="33"/>
      <c r="D7741" s="33"/>
      <c r="E7741" s="33"/>
      <c r="F7741" s="33"/>
      <c r="G7741" s="33"/>
      <c r="H7741" s="33"/>
      <c r="I7741" s="33"/>
      <c r="J7741" s="33"/>
      <c r="K7741" s="33"/>
      <c r="L7741" s="33"/>
      <c r="M7741" s="33"/>
      <c r="N7741" s="33"/>
      <c r="O7741" s="33"/>
      <c r="P7741" s="33"/>
      <c r="Q7741" s="33"/>
      <c r="R7741" s="33"/>
      <c r="S7741" s="33"/>
      <c r="T7741" s="33"/>
      <c r="U7741" s="33"/>
      <c r="V7741" s="33"/>
      <c r="W7741" s="33"/>
      <c r="X7741" s="33"/>
      <c r="Y7741" s="33"/>
      <c r="Z7741" s="33"/>
      <c r="AA7741" s="33"/>
      <c r="AB7741" s="33"/>
      <c r="AC7741" s="33"/>
      <c r="AD7741" s="33"/>
      <c r="AE7741" s="33"/>
      <c r="AF7741" s="33"/>
      <c r="AG7741" s="33"/>
      <c r="AH7741" s="33"/>
      <c r="AI7741" s="33"/>
      <c r="AJ7741" s="33"/>
      <c r="AK7741" s="33"/>
    </row>
    <row r="7742">
      <c r="A7742" s="33"/>
      <c r="B7742" s="33"/>
      <c r="C7742" s="33"/>
      <c r="D7742" s="33"/>
      <c r="E7742" s="33"/>
      <c r="F7742" s="33"/>
      <c r="G7742" s="33"/>
      <c r="H7742" s="33"/>
      <c r="I7742" s="33"/>
      <c r="J7742" s="33"/>
      <c r="K7742" s="33"/>
      <c r="L7742" s="33"/>
      <c r="M7742" s="33"/>
      <c r="N7742" s="33"/>
      <c r="O7742" s="33"/>
      <c r="P7742" s="33"/>
      <c r="Q7742" s="33"/>
      <c r="R7742" s="33"/>
      <c r="S7742" s="33"/>
      <c r="T7742" s="33"/>
      <c r="U7742" s="33"/>
      <c r="V7742" s="33"/>
      <c r="W7742" s="33"/>
      <c r="X7742" s="33"/>
      <c r="Y7742" s="33"/>
      <c r="Z7742" s="33"/>
      <c r="AA7742" s="33"/>
      <c r="AB7742" s="33"/>
      <c r="AC7742" s="33"/>
      <c r="AD7742" s="33"/>
      <c r="AE7742" s="33"/>
      <c r="AF7742" s="33"/>
      <c r="AG7742" s="33"/>
      <c r="AH7742" s="33"/>
      <c r="AI7742" s="33"/>
      <c r="AJ7742" s="33"/>
      <c r="AK7742" s="33"/>
    </row>
    <row r="7743">
      <c r="A7743" s="33"/>
      <c r="B7743" s="33"/>
      <c r="C7743" s="33"/>
      <c r="D7743" s="33"/>
      <c r="E7743" s="33"/>
      <c r="F7743" s="33"/>
      <c r="G7743" s="33"/>
      <c r="H7743" s="33"/>
      <c r="I7743" s="33"/>
      <c r="J7743" s="33"/>
      <c r="K7743" s="33"/>
      <c r="L7743" s="33"/>
      <c r="M7743" s="33"/>
      <c r="N7743" s="33"/>
      <c r="O7743" s="33"/>
      <c r="P7743" s="33"/>
      <c r="Q7743" s="33"/>
      <c r="R7743" s="33"/>
      <c r="S7743" s="33"/>
      <c r="T7743" s="33"/>
      <c r="U7743" s="33"/>
      <c r="V7743" s="33"/>
      <c r="W7743" s="33"/>
      <c r="X7743" s="33"/>
      <c r="Y7743" s="33"/>
      <c r="Z7743" s="33"/>
      <c r="AA7743" s="33"/>
      <c r="AB7743" s="33"/>
      <c r="AC7743" s="33"/>
      <c r="AD7743" s="33"/>
      <c r="AE7743" s="33"/>
      <c r="AF7743" s="33"/>
      <c r="AG7743" s="33"/>
      <c r="AH7743" s="33"/>
      <c r="AI7743" s="33"/>
      <c r="AJ7743" s="33"/>
      <c r="AK7743" s="33"/>
    </row>
    <row r="7744">
      <c r="A7744" s="33"/>
      <c r="B7744" s="33"/>
      <c r="C7744" s="33"/>
      <c r="D7744" s="33"/>
      <c r="E7744" s="33"/>
      <c r="F7744" s="33"/>
      <c r="G7744" s="33"/>
      <c r="H7744" s="33"/>
      <c r="I7744" s="33"/>
      <c r="J7744" s="33"/>
      <c r="K7744" s="33"/>
      <c r="L7744" s="33"/>
      <c r="M7744" s="33"/>
      <c r="N7744" s="33"/>
      <c r="O7744" s="33"/>
      <c r="P7744" s="33"/>
      <c r="Q7744" s="33"/>
      <c r="R7744" s="33"/>
      <c r="S7744" s="33"/>
      <c r="T7744" s="33"/>
      <c r="U7744" s="33"/>
      <c r="V7744" s="33"/>
      <c r="W7744" s="33"/>
      <c r="X7744" s="33"/>
      <c r="Y7744" s="33"/>
      <c r="Z7744" s="33"/>
      <c r="AA7744" s="33"/>
      <c r="AB7744" s="33"/>
      <c r="AC7744" s="33"/>
      <c r="AD7744" s="33"/>
      <c r="AE7744" s="33"/>
      <c r="AF7744" s="33"/>
      <c r="AG7744" s="33"/>
      <c r="AH7744" s="33"/>
      <c r="AI7744" s="33"/>
      <c r="AJ7744" s="33"/>
      <c r="AK7744" s="33"/>
    </row>
    <row r="7745">
      <c r="A7745" s="33"/>
      <c r="B7745" s="33"/>
      <c r="C7745" s="33"/>
      <c r="D7745" s="33"/>
      <c r="E7745" s="33"/>
      <c r="F7745" s="33"/>
      <c r="G7745" s="33"/>
      <c r="H7745" s="33"/>
      <c r="I7745" s="33"/>
      <c r="J7745" s="33"/>
      <c r="K7745" s="33"/>
      <c r="L7745" s="33"/>
      <c r="M7745" s="33"/>
      <c r="N7745" s="33"/>
      <c r="O7745" s="33"/>
      <c r="P7745" s="33"/>
      <c r="Q7745" s="33"/>
      <c r="R7745" s="33"/>
      <c r="S7745" s="33"/>
      <c r="T7745" s="33"/>
      <c r="U7745" s="33"/>
      <c r="V7745" s="33"/>
      <c r="W7745" s="33"/>
      <c r="X7745" s="33"/>
      <c r="Y7745" s="33"/>
      <c r="Z7745" s="33"/>
      <c r="AA7745" s="33"/>
      <c r="AB7745" s="33"/>
      <c r="AC7745" s="33"/>
      <c r="AD7745" s="33"/>
      <c r="AE7745" s="33"/>
      <c r="AF7745" s="33"/>
      <c r="AG7745" s="33"/>
      <c r="AH7745" s="33"/>
      <c r="AI7745" s="33"/>
      <c r="AJ7745" s="33"/>
      <c r="AK7745" s="33"/>
    </row>
    <row r="7746">
      <c r="A7746" s="33"/>
      <c r="B7746" s="33"/>
      <c r="C7746" s="33"/>
      <c r="D7746" s="33"/>
      <c r="E7746" s="33"/>
      <c r="F7746" s="33"/>
      <c r="G7746" s="33"/>
      <c r="H7746" s="33"/>
      <c r="I7746" s="33"/>
      <c r="J7746" s="33"/>
      <c r="K7746" s="33"/>
      <c r="L7746" s="33"/>
      <c r="M7746" s="33"/>
      <c r="N7746" s="33"/>
      <c r="O7746" s="33"/>
      <c r="P7746" s="33"/>
      <c r="Q7746" s="33"/>
      <c r="R7746" s="33"/>
      <c r="S7746" s="33"/>
      <c r="T7746" s="33"/>
      <c r="U7746" s="33"/>
      <c r="V7746" s="33"/>
      <c r="W7746" s="33"/>
      <c r="X7746" s="33"/>
      <c r="Y7746" s="33"/>
      <c r="Z7746" s="33"/>
      <c r="AA7746" s="33"/>
      <c r="AB7746" s="33"/>
      <c r="AC7746" s="33"/>
      <c r="AD7746" s="33"/>
      <c r="AE7746" s="33"/>
      <c r="AF7746" s="33"/>
      <c r="AG7746" s="33"/>
      <c r="AH7746" s="33"/>
      <c r="AI7746" s="33"/>
      <c r="AJ7746" s="33"/>
      <c r="AK7746" s="33"/>
    </row>
    <row r="7747">
      <c r="A7747" s="33"/>
      <c r="B7747" s="33"/>
      <c r="C7747" s="33"/>
      <c r="D7747" s="33"/>
      <c r="E7747" s="33"/>
      <c r="F7747" s="33"/>
      <c r="G7747" s="33"/>
      <c r="H7747" s="33"/>
      <c r="I7747" s="33"/>
      <c r="J7747" s="33"/>
      <c r="K7747" s="33"/>
      <c r="L7747" s="33"/>
      <c r="M7747" s="33"/>
      <c r="N7747" s="33"/>
      <c r="O7747" s="33"/>
      <c r="P7747" s="33"/>
      <c r="Q7747" s="33"/>
      <c r="R7747" s="33"/>
      <c r="S7747" s="33"/>
      <c r="T7747" s="33"/>
      <c r="U7747" s="33"/>
      <c r="V7747" s="33"/>
      <c r="W7747" s="33"/>
      <c r="X7747" s="33"/>
      <c r="Y7747" s="33"/>
      <c r="Z7747" s="33"/>
      <c r="AA7747" s="33"/>
      <c r="AB7747" s="33"/>
      <c r="AC7747" s="33"/>
      <c r="AD7747" s="33"/>
      <c r="AE7747" s="33"/>
      <c r="AF7747" s="33"/>
      <c r="AG7747" s="33"/>
      <c r="AH7747" s="33"/>
      <c r="AI7747" s="33"/>
      <c r="AJ7747" s="33"/>
      <c r="AK7747" s="33"/>
    </row>
    <row r="7748">
      <c r="A7748" s="33"/>
      <c r="B7748" s="33"/>
      <c r="C7748" s="33"/>
      <c r="D7748" s="33"/>
      <c r="E7748" s="33"/>
      <c r="F7748" s="33"/>
      <c r="G7748" s="33"/>
      <c r="H7748" s="33"/>
      <c r="I7748" s="33"/>
      <c r="J7748" s="33"/>
      <c r="K7748" s="33"/>
      <c r="L7748" s="33"/>
      <c r="M7748" s="33"/>
      <c r="N7748" s="33"/>
      <c r="O7748" s="33"/>
      <c r="P7748" s="33"/>
      <c r="Q7748" s="33"/>
      <c r="R7748" s="33"/>
      <c r="S7748" s="33"/>
      <c r="T7748" s="33"/>
      <c r="U7748" s="33"/>
      <c r="V7748" s="33"/>
      <c r="W7748" s="33"/>
      <c r="X7748" s="33"/>
      <c r="Y7748" s="33"/>
      <c r="Z7748" s="33"/>
      <c r="AA7748" s="33"/>
      <c r="AB7748" s="33"/>
      <c r="AC7748" s="33"/>
      <c r="AD7748" s="33"/>
      <c r="AE7748" s="33"/>
      <c r="AF7748" s="33"/>
      <c r="AG7748" s="33"/>
      <c r="AH7748" s="33"/>
      <c r="AI7748" s="33"/>
      <c r="AJ7748" s="33"/>
      <c r="AK7748" s="33"/>
    </row>
    <row r="7749">
      <c r="A7749" s="33"/>
      <c r="B7749" s="33"/>
      <c r="C7749" s="33"/>
      <c r="D7749" s="33"/>
      <c r="E7749" s="33"/>
      <c r="F7749" s="33"/>
      <c r="G7749" s="33"/>
      <c r="H7749" s="33"/>
      <c r="I7749" s="33"/>
      <c r="J7749" s="33"/>
      <c r="K7749" s="33"/>
      <c r="L7749" s="33"/>
      <c r="M7749" s="33"/>
      <c r="N7749" s="33"/>
      <c r="O7749" s="33"/>
      <c r="P7749" s="33"/>
      <c r="Q7749" s="33"/>
      <c r="R7749" s="33"/>
      <c r="S7749" s="33"/>
      <c r="T7749" s="33"/>
      <c r="U7749" s="33"/>
      <c r="V7749" s="33"/>
      <c r="W7749" s="33"/>
      <c r="X7749" s="33"/>
      <c r="Y7749" s="33"/>
      <c r="Z7749" s="33"/>
      <c r="AA7749" s="33"/>
      <c r="AB7749" s="33"/>
      <c r="AC7749" s="33"/>
      <c r="AD7749" s="33"/>
      <c r="AE7749" s="33"/>
      <c r="AF7749" s="33"/>
      <c r="AG7749" s="33"/>
      <c r="AH7749" s="33"/>
      <c r="AI7749" s="33"/>
      <c r="AJ7749" s="33"/>
      <c r="AK7749" s="33"/>
    </row>
    <row r="7750">
      <c r="A7750" s="33"/>
      <c r="B7750" s="33"/>
      <c r="C7750" s="33"/>
      <c r="D7750" s="33"/>
      <c r="E7750" s="33"/>
      <c r="F7750" s="33"/>
      <c r="G7750" s="33"/>
      <c r="H7750" s="33"/>
      <c r="I7750" s="33"/>
      <c r="J7750" s="33"/>
      <c r="K7750" s="33"/>
      <c r="L7750" s="33"/>
      <c r="M7750" s="33"/>
      <c r="N7750" s="33"/>
      <c r="O7750" s="33"/>
      <c r="P7750" s="33"/>
      <c r="Q7750" s="33"/>
      <c r="R7750" s="33"/>
      <c r="S7750" s="33"/>
      <c r="T7750" s="33"/>
      <c r="U7750" s="33"/>
      <c r="V7750" s="33"/>
      <c r="W7750" s="33"/>
      <c r="X7750" s="33"/>
      <c r="Y7750" s="33"/>
      <c r="Z7750" s="33"/>
      <c r="AA7750" s="33"/>
      <c r="AB7750" s="33"/>
      <c r="AC7750" s="33"/>
      <c r="AD7750" s="33"/>
      <c r="AE7750" s="33"/>
      <c r="AF7750" s="33"/>
      <c r="AG7750" s="33"/>
      <c r="AH7750" s="33"/>
      <c r="AI7750" s="33"/>
      <c r="AJ7750" s="33"/>
      <c r="AK7750" s="33"/>
    </row>
    <row r="7751">
      <c r="A7751" s="33"/>
      <c r="B7751" s="33"/>
      <c r="C7751" s="33"/>
      <c r="D7751" s="33"/>
      <c r="E7751" s="33"/>
      <c r="F7751" s="33"/>
      <c r="G7751" s="33"/>
      <c r="H7751" s="33"/>
      <c r="I7751" s="33"/>
      <c r="J7751" s="33"/>
      <c r="K7751" s="33"/>
      <c r="L7751" s="33"/>
      <c r="M7751" s="33"/>
      <c r="N7751" s="33"/>
      <c r="O7751" s="33"/>
      <c r="P7751" s="33"/>
      <c r="Q7751" s="33"/>
      <c r="R7751" s="33"/>
      <c r="S7751" s="33"/>
      <c r="T7751" s="33"/>
      <c r="U7751" s="33"/>
      <c r="V7751" s="33"/>
      <c r="W7751" s="33"/>
      <c r="X7751" s="33"/>
      <c r="Y7751" s="33"/>
      <c r="Z7751" s="33"/>
      <c r="AA7751" s="33"/>
      <c r="AB7751" s="33"/>
      <c r="AC7751" s="33"/>
      <c r="AD7751" s="33"/>
      <c r="AE7751" s="33"/>
      <c r="AF7751" s="33"/>
      <c r="AG7751" s="33"/>
      <c r="AH7751" s="33"/>
      <c r="AI7751" s="33"/>
      <c r="AJ7751" s="33"/>
      <c r="AK7751" s="33"/>
    </row>
    <row r="7752">
      <c r="A7752" s="33"/>
      <c r="B7752" s="33"/>
      <c r="C7752" s="33"/>
      <c r="D7752" s="33"/>
      <c r="E7752" s="33"/>
      <c r="F7752" s="33"/>
      <c r="G7752" s="33"/>
      <c r="H7752" s="33"/>
      <c r="I7752" s="33"/>
      <c r="J7752" s="33"/>
      <c r="K7752" s="33"/>
      <c r="L7752" s="33"/>
      <c r="M7752" s="33"/>
      <c r="N7752" s="33"/>
      <c r="O7752" s="33"/>
      <c r="P7752" s="33"/>
      <c r="Q7752" s="33"/>
      <c r="R7752" s="33"/>
      <c r="S7752" s="33"/>
      <c r="T7752" s="33"/>
      <c r="U7752" s="33"/>
      <c r="V7752" s="33"/>
      <c r="W7752" s="33"/>
      <c r="X7752" s="33"/>
      <c r="Y7752" s="33"/>
      <c r="Z7752" s="33"/>
      <c r="AA7752" s="33"/>
      <c r="AB7752" s="33"/>
      <c r="AC7752" s="33"/>
      <c r="AD7752" s="33"/>
      <c r="AE7752" s="33"/>
      <c r="AF7752" s="33"/>
      <c r="AG7752" s="33"/>
      <c r="AH7752" s="33"/>
      <c r="AI7752" s="33"/>
      <c r="AJ7752" s="33"/>
      <c r="AK7752" s="33"/>
    </row>
    <row r="7753">
      <c r="A7753" s="33"/>
      <c r="B7753" s="33"/>
      <c r="C7753" s="33"/>
      <c r="D7753" s="33"/>
      <c r="E7753" s="33"/>
      <c r="F7753" s="33"/>
      <c r="G7753" s="33"/>
      <c r="H7753" s="33"/>
      <c r="I7753" s="33"/>
      <c r="J7753" s="33"/>
      <c r="K7753" s="33"/>
      <c r="L7753" s="33"/>
      <c r="M7753" s="33"/>
      <c r="N7753" s="33"/>
      <c r="O7753" s="33"/>
      <c r="P7753" s="33"/>
      <c r="Q7753" s="33"/>
      <c r="R7753" s="33"/>
      <c r="S7753" s="33"/>
      <c r="T7753" s="33"/>
      <c r="U7753" s="33"/>
      <c r="V7753" s="33"/>
      <c r="W7753" s="33"/>
      <c r="X7753" s="33"/>
      <c r="Y7753" s="33"/>
      <c r="Z7753" s="33"/>
      <c r="AA7753" s="33"/>
      <c r="AB7753" s="33"/>
      <c r="AC7753" s="33"/>
      <c r="AD7753" s="33"/>
      <c r="AE7753" s="33"/>
      <c r="AF7753" s="33"/>
      <c r="AG7753" s="33"/>
      <c r="AH7753" s="33"/>
      <c r="AI7753" s="33"/>
      <c r="AJ7753" s="33"/>
      <c r="AK7753" s="33"/>
    </row>
    <row r="7754">
      <c r="A7754" s="33"/>
      <c r="B7754" s="33"/>
      <c r="C7754" s="33"/>
      <c r="D7754" s="33"/>
      <c r="E7754" s="33"/>
      <c r="F7754" s="33"/>
      <c r="G7754" s="33"/>
      <c r="H7754" s="33"/>
      <c r="I7754" s="33"/>
      <c r="J7754" s="33"/>
      <c r="K7754" s="33"/>
      <c r="L7754" s="33"/>
      <c r="M7754" s="33"/>
      <c r="N7754" s="33"/>
      <c r="O7754" s="33"/>
      <c r="P7754" s="33"/>
      <c r="Q7754" s="33"/>
      <c r="R7754" s="33"/>
      <c r="S7754" s="33"/>
      <c r="T7754" s="33"/>
      <c r="U7754" s="33"/>
      <c r="V7754" s="33"/>
      <c r="W7754" s="33"/>
      <c r="X7754" s="33"/>
      <c r="Y7754" s="33"/>
      <c r="Z7754" s="33"/>
      <c r="AA7754" s="33"/>
      <c r="AB7754" s="33"/>
      <c r="AC7754" s="33"/>
      <c r="AD7754" s="33"/>
      <c r="AE7754" s="33"/>
      <c r="AF7754" s="33"/>
      <c r="AG7754" s="33"/>
      <c r="AH7754" s="33"/>
      <c r="AI7754" s="33"/>
      <c r="AJ7754" s="33"/>
      <c r="AK7754" s="33"/>
    </row>
    <row r="7755">
      <c r="A7755" s="33"/>
      <c r="B7755" s="33"/>
      <c r="C7755" s="33"/>
      <c r="D7755" s="33"/>
      <c r="E7755" s="33"/>
      <c r="F7755" s="33"/>
      <c r="G7755" s="33"/>
      <c r="H7755" s="33"/>
      <c r="I7755" s="33"/>
      <c r="J7755" s="33"/>
      <c r="K7755" s="33"/>
      <c r="L7755" s="33"/>
      <c r="M7755" s="33"/>
      <c r="N7755" s="33"/>
      <c r="O7755" s="33"/>
      <c r="P7755" s="33"/>
      <c r="Q7755" s="33"/>
      <c r="R7755" s="33"/>
      <c r="S7755" s="33"/>
      <c r="T7755" s="33"/>
      <c r="U7755" s="33"/>
      <c r="V7755" s="33"/>
      <c r="W7755" s="33"/>
      <c r="X7755" s="33"/>
      <c r="Y7755" s="33"/>
      <c r="Z7755" s="33"/>
      <c r="AA7755" s="33"/>
      <c r="AB7755" s="33"/>
      <c r="AC7755" s="33"/>
      <c r="AD7755" s="33"/>
      <c r="AE7755" s="33"/>
      <c r="AF7755" s="33"/>
      <c r="AG7755" s="33"/>
      <c r="AH7755" s="33"/>
      <c r="AI7755" s="33"/>
      <c r="AJ7755" s="33"/>
      <c r="AK7755" s="33"/>
    </row>
    <row r="7756">
      <c r="A7756" s="33"/>
      <c r="B7756" s="33"/>
      <c r="C7756" s="33"/>
      <c r="D7756" s="33"/>
      <c r="E7756" s="33"/>
      <c r="F7756" s="33"/>
      <c r="G7756" s="33"/>
      <c r="H7756" s="33"/>
      <c r="I7756" s="33"/>
      <c r="J7756" s="33"/>
      <c r="K7756" s="33"/>
      <c r="L7756" s="33"/>
      <c r="M7756" s="33"/>
      <c r="N7756" s="33"/>
      <c r="O7756" s="33"/>
      <c r="P7756" s="33"/>
      <c r="Q7756" s="33"/>
      <c r="R7756" s="33"/>
      <c r="S7756" s="33"/>
      <c r="T7756" s="33"/>
      <c r="U7756" s="33"/>
      <c r="V7756" s="33"/>
      <c r="W7756" s="33"/>
      <c r="X7756" s="33"/>
      <c r="Y7756" s="33"/>
      <c r="Z7756" s="33"/>
      <c r="AA7756" s="33"/>
      <c r="AB7756" s="33"/>
      <c r="AC7756" s="33"/>
      <c r="AD7756" s="33"/>
      <c r="AE7756" s="33"/>
      <c r="AF7756" s="33"/>
      <c r="AG7756" s="33"/>
      <c r="AH7756" s="33"/>
      <c r="AI7756" s="33"/>
      <c r="AJ7756" s="33"/>
      <c r="AK7756" s="33"/>
    </row>
    <row r="7757">
      <c r="A7757" s="33"/>
      <c r="B7757" s="33"/>
      <c r="C7757" s="33"/>
      <c r="D7757" s="33"/>
      <c r="E7757" s="33"/>
      <c r="F7757" s="33"/>
      <c r="G7757" s="33"/>
      <c r="H7757" s="33"/>
      <c r="I7757" s="33"/>
      <c r="J7757" s="33"/>
      <c r="K7757" s="33"/>
      <c r="L7757" s="33"/>
      <c r="M7757" s="33"/>
      <c r="N7757" s="33"/>
      <c r="O7757" s="33"/>
      <c r="P7757" s="33"/>
      <c r="Q7757" s="33"/>
      <c r="R7757" s="33"/>
      <c r="S7757" s="33"/>
      <c r="T7757" s="33"/>
      <c r="U7757" s="33"/>
      <c r="V7757" s="33"/>
      <c r="W7757" s="33"/>
      <c r="X7757" s="33"/>
      <c r="Y7757" s="33"/>
      <c r="Z7757" s="33"/>
      <c r="AA7757" s="33"/>
      <c r="AB7757" s="33"/>
      <c r="AC7757" s="33"/>
      <c r="AD7757" s="33"/>
      <c r="AE7757" s="33"/>
      <c r="AF7757" s="33"/>
      <c r="AG7757" s="33"/>
      <c r="AH7757" s="33"/>
      <c r="AI7757" s="33"/>
      <c r="AJ7757" s="33"/>
      <c r="AK7757" s="33"/>
    </row>
    <row r="7758">
      <c r="A7758" s="33"/>
      <c r="B7758" s="33"/>
      <c r="C7758" s="33"/>
      <c r="D7758" s="33"/>
      <c r="E7758" s="33"/>
      <c r="F7758" s="33"/>
      <c r="G7758" s="33"/>
      <c r="H7758" s="33"/>
      <c r="I7758" s="33"/>
      <c r="J7758" s="33"/>
      <c r="K7758" s="33"/>
      <c r="L7758" s="33"/>
      <c r="M7758" s="33"/>
      <c r="N7758" s="33"/>
      <c r="O7758" s="33"/>
      <c r="P7758" s="33"/>
      <c r="Q7758" s="33"/>
      <c r="R7758" s="33"/>
      <c r="S7758" s="33"/>
      <c r="T7758" s="33"/>
      <c r="U7758" s="33"/>
      <c r="V7758" s="33"/>
      <c r="W7758" s="33"/>
      <c r="X7758" s="33"/>
      <c r="Y7758" s="33"/>
      <c r="Z7758" s="33"/>
      <c r="AA7758" s="33"/>
      <c r="AB7758" s="33"/>
      <c r="AC7758" s="33"/>
      <c r="AD7758" s="33"/>
      <c r="AE7758" s="33"/>
      <c r="AF7758" s="33"/>
      <c r="AG7758" s="33"/>
      <c r="AH7758" s="33"/>
      <c r="AI7758" s="33"/>
      <c r="AJ7758" s="33"/>
      <c r="AK7758" s="33"/>
    </row>
    <row r="7759">
      <c r="A7759" s="33"/>
      <c r="B7759" s="33"/>
      <c r="C7759" s="33"/>
      <c r="D7759" s="33"/>
      <c r="E7759" s="33"/>
      <c r="F7759" s="33"/>
      <c r="G7759" s="33"/>
      <c r="H7759" s="33"/>
      <c r="I7759" s="33"/>
      <c r="J7759" s="33"/>
      <c r="K7759" s="33"/>
      <c r="L7759" s="33"/>
      <c r="M7759" s="33"/>
      <c r="N7759" s="33"/>
      <c r="O7759" s="33"/>
      <c r="P7759" s="33"/>
      <c r="Q7759" s="33"/>
      <c r="R7759" s="33"/>
      <c r="S7759" s="33"/>
      <c r="T7759" s="33"/>
      <c r="U7759" s="33"/>
      <c r="V7759" s="33"/>
      <c r="W7759" s="33"/>
      <c r="X7759" s="33"/>
      <c r="Y7759" s="33"/>
      <c r="Z7759" s="33"/>
      <c r="AA7759" s="33"/>
      <c r="AB7759" s="33"/>
      <c r="AC7759" s="33"/>
      <c r="AD7759" s="33"/>
      <c r="AE7759" s="33"/>
      <c r="AF7759" s="33"/>
      <c r="AG7759" s="33"/>
      <c r="AH7759" s="33"/>
      <c r="AI7759" s="33"/>
      <c r="AJ7759" s="33"/>
      <c r="AK7759" s="33"/>
    </row>
    <row r="7760">
      <c r="A7760" s="33"/>
      <c r="B7760" s="33"/>
      <c r="C7760" s="33"/>
      <c r="D7760" s="33"/>
      <c r="E7760" s="33"/>
      <c r="F7760" s="33"/>
      <c r="G7760" s="33"/>
      <c r="H7760" s="33"/>
      <c r="I7760" s="33"/>
      <c r="J7760" s="33"/>
      <c r="K7760" s="33"/>
      <c r="L7760" s="33"/>
      <c r="M7760" s="33"/>
      <c r="N7760" s="33"/>
      <c r="O7760" s="33"/>
      <c r="P7760" s="33"/>
      <c r="Q7760" s="33"/>
      <c r="R7760" s="33"/>
      <c r="S7760" s="33"/>
      <c r="T7760" s="33"/>
      <c r="U7760" s="33"/>
      <c r="V7760" s="33"/>
      <c r="W7760" s="33"/>
      <c r="X7760" s="33"/>
      <c r="Y7760" s="33"/>
      <c r="Z7760" s="33"/>
      <c r="AA7760" s="33"/>
      <c r="AB7760" s="33"/>
      <c r="AC7760" s="33"/>
      <c r="AD7760" s="33"/>
      <c r="AE7760" s="33"/>
      <c r="AF7760" s="33"/>
      <c r="AG7760" s="33"/>
      <c r="AH7760" s="33"/>
      <c r="AI7760" s="33"/>
      <c r="AJ7760" s="33"/>
      <c r="AK7760" s="33"/>
    </row>
    <row r="7761">
      <c r="A7761" s="33"/>
      <c r="B7761" s="33"/>
      <c r="C7761" s="33"/>
      <c r="D7761" s="33"/>
      <c r="E7761" s="33"/>
      <c r="F7761" s="33"/>
      <c r="G7761" s="33"/>
      <c r="H7761" s="33"/>
      <c r="I7761" s="33"/>
      <c r="J7761" s="33"/>
      <c r="K7761" s="33"/>
      <c r="L7761" s="33"/>
      <c r="M7761" s="33"/>
      <c r="N7761" s="33"/>
      <c r="O7761" s="33"/>
      <c r="P7761" s="33"/>
      <c r="Q7761" s="33"/>
      <c r="R7761" s="33"/>
      <c r="S7761" s="33"/>
      <c r="T7761" s="33"/>
      <c r="U7761" s="33"/>
      <c r="V7761" s="33"/>
      <c r="W7761" s="33"/>
      <c r="X7761" s="33"/>
      <c r="Y7761" s="33"/>
      <c r="Z7761" s="33"/>
      <c r="AA7761" s="33"/>
      <c r="AB7761" s="33"/>
      <c r="AC7761" s="33"/>
      <c r="AD7761" s="33"/>
      <c r="AE7761" s="33"/>
      <c r="AF7761" s="33"/>
      <c r="AG7761" s="33"/>
      <c r="AH7761" s="33"/>
      <c r="AI7761" s="33"/>
      <c r="AJ7761" s="33"/>
      <c r="AK7761" s="33"/>
    </row>
    <row r="7762">
      <c r="A7762" s="33"/>
      <c r="B7762" s="33"/>
      <c r="C7762" s="33"/>
      <c r="D7762" s="33"/>
      <c r="E7762" s="33"/>
      <c r="F7762" s="33"/>
      <c r="G7762" s="33"/>
      <c r="H7762" s="33"/>
      <c r="I7762" s="33"/>
      <c r="J7762" s="33"/>
      <c r="K7762" s="33"/>
      <c r="L7762" s="33"/>
      <c r="M7762" s="33"/>
      <c r="N7762" s="33"/>
      <c r="O7762" s="33"/>
      <c r="P7762" s="33"/>
      <c r="Q7762" s="33"/>
      <c r="R7762" s="33"/>
      <c r="S7762" s="33"/>
      <c r="T7762" s="33"/>
      <c r="U7762" s="33"/>
      <c r="V7762" s="33"/>
      <c r="W7762" s="33"/>
      <c r="X7762" s="33"/>
      <c r="Y7762" s="33"/>
      <c r="Z7762" s="33"/>
      <c r="AA7762" s="33"/>
      <c r="AB7762" s="33"/>
      <c r="AC7762" s="33"/>
      <c r="AD7762" s="33"/>
      <c r="AE7762" s="33"/>
      <c r="AF7762" s="33"/>
      <c r="AG7762" s="33"/>
      <c r="AH7762" s="33"/>
      <c r="AI7762" s="33"/>
      <c r="AJ7762" s="33"/>
      <c r="AK7762" s="33"/>
    </row>
    <row r="7763">
      <c r="A7763" s="33"/>
      <c r="B7763" s="33"/>
      <c r="C7763" s="33"/>
      <c r="D7763" s="33"/>
      <c r="E7763" s="33"/>
      <c r="F7763" s="33"/>
      <c r="G7763" s="33"/>
      <c r="H7763" s="33"/>
      <c r="I7763" s="33"/>
      <c r="J7763" s="33"/>
      <c r="K7763" s="33"/>
      <c r="L7763" s="33"/>
      <c r="M7763" s="33"/>
      <c r="N7763" s="33"/>
      <c r="O7763" s="33"/>
      <c r="P7763" s="33"/>
      <c r="Q7763" s="33"/>
      <c r="R7763" s="33"/>
      <c r="S7763" s="33"/>
      <c r="T7763" s="33"/>
      <c r="U7763" s="33"/>
      <c r="V7763" s="33"/>
      <c r="W7763" s="33"/>
      <c r="X7763" s="33"/>
      <c r="Y7763" s="33"/>
      <c r="Z7763" s="33"/>
      <c r="AA7763" s="33"/>
      <c r="AB7763" s="33"/>
      <c r="AC7763" s="33"/>
      <c r="AD7763" s="33"/>
      <c r="AE7763" s="33"/>
      <c r="AF7763" s="33"/>
      <c r="AG7763" s="33"/>
      <c r="AH7763" s="33"/>
      <c r="AI7763" s="33"/>
      <c r="AJ7763" s="33"/>
      <c r="AK7763" s="33"/>
    </row>
    <row r="7764">
      <c r="A7764" s="33"/>
      <c r="B7764" s="33"/>
      <c r="C7764" s="33"/>
      <c r="D7764" s="33"/>
      <c r="E7764" s="33"/>
      <c r="F7764" s="33"/>
      <c r="G7764" s="33"/>
      <c r="H7764" s="33"/>
      <c r="I7764" s="33"/>
      <c r="J7764" s="33"/>
      <c r="K7764" s="33"/>
      <c r="L7764" s="33"/>
      <c r="M7764" s="33"/>
      <c r="N7764" s="33"/>
      <c r="O7764" s="33"/>
      <c r="P7764" s="33"/>
      <c r="Q7764" s="33"/>
      <c r="R7764" s="33"/>
      <c r="S7764" s="33"/>
      <c r="T7764" s="33"/>
      <c r="U7764" s="33"/>
      <c r="V7764" s="33"/>
      <c r="W7764" s="33"/>
      <c r="X7764" s="33"/>
      <c r="Y7764" s="33"/>
      <c r="Z7764" s="33"/>
      <c r="AA7764" s="33"/>
      <c r="AB7764" s="33"/>
      <c r="AC7764" s="33"/>
      <c r="AD7764" s="33"/>
      <c r="AE7764" s="33"/>
      <c r="AF7764" s="33"/>
      <c r="AG7764" s="33"/>
      <c r="AH7764" s="33"/>
      <c r="AI7764" s="33"/>
      <c r="AJ7764" s="33"/>
      <c r="AK7764" s="33"/>
    </row>
    <row r="7765">
      <c r="A7765" s="33"/>
      <c r="B7765" s="33"/>
      <c r="C7765" s="33"/>
      <c r="D7765" s="33"/>
      <c r="E7765" s="33"/>
      <c r="F7765" s="33"/>
      <c r="G7765" s="33"/>
      <c r="H7765" s="33"/>
      <c r="I7765" s="33"/>
      <c r="J7765" s="33"/>
      <c r="K7765" s="33"/>
      <c r="L7765" s="33"/>
      <c r="M7765" s="33"/>
      <c r="N7765" s="33"/>
      <c r="O7765" s="33"/>
      <c r="P7765" s="33"/>
      <c r="Q7765" s="33"/>
      <c r="R7765" s="33"/>
      <c r="S7765" s="33"/>
      <c r="T7765" s="33"/>
      <c r="U7765" s="33"/>
      <c r="V7765" s="33"/>
      <c r="W7765" s="33"/>
      <c r="X7765" s="33"/>
      <c r="Y7765" s="33"/>
      <c r="Z7765" s="33"/>
      <c r="AA7765" s="33"/>
      <c r="AB7765" s="33"/>
      <c r="AC7765" s="33"/>
      <c r="AD7765" s="33"/>
      <c r="AE7765" s="33"/>
      <c r="AF7765" s="33"/>
      <c r="AG7765" s="33"/>
      <c r="AH7765" s="33"/>
      <c r="AI7765" s="33"/>
      <c r="AJ7765" s="33"/>
      <c r="AK7765" s="33"/>
    </row>
    <row r="7766">
      <c r="A7766" s="33"/>
      <c r="B7766" s="33"/>
      <c r="C7766" s="33"/>
      <c r="D7766" s="33"/>
      <c r="E7766" s="33"/>
      <c r="F7766" s="33"/>
      <c r="G7766" s="33"/>
      <c r="H7766" s="33"/>
      <c r="I7766" s="33"/>
      <c r="J7766" s="33"/>
      <c r="K7766" s="33"/>
      <c r="L7766" s="33"/>
      <c r="M7766" s="33"/>
      <c r="N7766" s="33"/>
      <c r="O7766" s="33"/>
      <c r="P7766" s="33"/>
      <c r="Q7766" s="33"/>
      <c r="R7766" s="33"/>
      <c r="S7766" s="33"/>
      <c r="T7766" s="33"/>
      <c r="U7766" s="33"/>
      <c r="V7766" s="33"/>
      <c r="W7766" s="33"/>
      <c r="X7766" s="33"/>
      <c r="Y7766" s="33"/>
      <c r="Z7766" s="33"/>
      <c r="AA7766" s="33"/>
      <c r="AB7766" s="33"/>
      <c r="AC7766" s="33"/>
      <c r="AD7766" s="33"/>
      <c r="AE7766" s="33"/>
      <c r="AF7766" s="33"/>
      <c r="AG7766" s="33"/>
      <c r="AH7766" s="33"/>
      <c r="AI7766" s="33"/>
      <c r="AJ7766" s="33"/>
      <c r="AK7766" s="33"/>
    </row>
    <row r="7767">
      <c r="A7767" s="33"/>
      <c r="B7767" s="33"/>
      <c r="C7767" s="33"/>
      <c r="D7767" s="33"/>
      <c r="E7767" s="33"/>
      <c r="F7767" s="33"/>
      <c r="G7767" s="33"/>
      <c r="H7767" s="33"/>
      <c r="I7767" s="33"/>
      <c r="J7767" s="33"/>
      <c r="K7767" s="33"/>
      <c r="L7767" s="33"/>
      <c r="M7767" s="33"/>
      <c r="N7767" s="33"/>
      <c r="O7767" s="33"/>
      <c r="P7767" s="33"/>
      <c r="Q7767" s="33"/>
      <c r="R7767" s="33"/>
      <c r="S7767" s="33"/>
      <c r="T7767" s="33"/>
      <c r="U7767" s="33"/>
      <c r="V7767" s="33"/>
      <c r="W7767" s="33"/>
      <c r="X7767" s="33"/>
      <c r="Y7767" s="33"/>
      <c r="Z7767" s="33"/>
      <c r="AA7767" s="33"/>
      <c r="AB7767" s="33"/>
      <c r="AC7767" s="33"/>
      <c r="AD7767" s="33"/>
      <c r="AE7767" s="33"/>
      <c r="AF7767" s="33"/>
      <c r="AG7767" s="33"/>
      <c r="AH7767" s="33"/>
      <c r="AI7767" s="33"/>
      <c r="AJ7767" s="33"/>
      <c r="AK7767" s="33"/>
    </row>
    <row r="7768">
      <c r="A7768" s="33"/>
      <c r="B7768" s="33"/>
      <c r="C7768" s="33"/>
      <c r="D7768" s="33"/>
      <c r="E7768" s="33"/>
      <c r="F7768" s="33"/>
      <c r="G7768" s="33"/>
      <c r="H7768" s="33"/>
      <c r="I7768" s="33"/>
      <c r="J7768" s="33"/>
      <c r="K7768" s="33"/>
      <c r="L7768" s="33"/>
      <c r="M7768" s="33"/>
      <c r="N7768" s="33"/>
      <c r="O7768" s="33"/>
      <c r="P7768" s="33"/>
      <c r="Q7768" s="33"/>
      <c r="R7768" s="33"/>
      <c r="S7768" s="33"/>
      <c r="T7768" s="33"/>
      <c r="U7768" s="33"/>
      <c r="V7768" s="33"/>
      <c r="W7768" s="33"/>
      <c r="X7768" s="33"/>
      <c r="Y7768" s="33"/>
      <c r="Z7768" s="33"/>
      <c r="AA7768" s="33"/>
      <c r="AB7768" s="33"/>
      <c r="AC7768" s="33"/>
      <c r="AD7768" s="33"/>
      <c r="AE7768" s="33"/>
      <c r="AF7768" s="33"/>
      <c r="AG7768" s="33"/>
      <c r="AH7768" s="33"/>
      <c r="AI7768" s="33"/>
      <c r="AJ7768" s="33"/>
      <c r="AK7768" s="33"/>
    </row>
    <row r="7769">
      <c r="A7769" s="33"/>
      <c r="B7769" s="33"/>
      <c r="C7769" s="33"/>
      <c r="D7769" s="33"/>
      <c r="E7769" s="33"/>
      <c r="F7769" s="33"/>
      <c r="G7769" s="33"/>
      <c r="H7769" s="33"/>
      <c r="I7769" s="33"/>
      <c r="J7769" s="33"/>
      <c r="K7769" s="33"/>
      <c r="L7769" s="33"/>
      <c r="M7769" s="33"/>
      <c r="N7769" s="33"/>
      <c r="O7769" s="33"/>
      <c r="P7769" s="33"/>
      <c r="Q7769" s="33"/>
      <c r="R7769" s="33"/>
      <c r="S7769" s="33"/>
      <c r="T7769" s="33"/>
      <c r="U7769" s="33"/>
      <c r="V7769" s="33"/>
      <c r="W7769" s="33"/>
      <c r="X7769" s="33"/>
      <c r="Y7769" s="33"/>
      <c r="Z7769" s="33"/>
      <c r="AA7769" s="33"/>
      <c r="AB7769" s="33"/>
      <c r="AC7769" s="33"/>
      <c r="AD7769" s="33"/>
      <c r="AE7769" s="33"/>
      <c r="AF7769" s="33"/>
      <c r="AG7769" s="33"/>
      <c r="AH7769" s="33"/>
      <c r="AI7769" s="33"/>
      <c r="AJ7769" s="33"/>
      <c r="AK7769" s="33"/>
    </row>
    <row r="7770">
      <c r="A7770" s="33"/>
      <c r="B7770" s="33"/>
      <c r="C7770" s="33"/>
      <c r="D7770" s="33"/>
      <c r="E7770" s="33"/>
      <c r="F7770" s="33"/>
      <c r="G7770" s="33"/>
      <c r="H7770" s="33"/>
      <c r="I7770" s="33"/>
      <c r="J7770" s="33"/>
      <c r="K7770" s="33"/>
      <c r="L7770" s="33"/>
      <c r="M7770" s="33"/>
      <c r="N7770" s="33"/>
      <c r="O7770" s="33"/>
      <c r="P7770" s="33"/>
      <c r="Q7770" s="33"/>
      <c r="R7770" s="33"/>
      <c r="S7770" s="33"/>
      <c r="T7770" s="33"/>
      <c r="U7770" s="33"/>
      <c r="V7770" s="33"/>
      <c r="W7770" s="33"/>
      <c r="X7770" s="33"/>
      <c r="Y7770" s="33"/>
      <c r="Z7770" s="33"/>
      <c r="AA7770" s="33"/>
      <c r="AB7770" s="33"/>
      <c r="AC7770" s="33"/>
      <c r="AD7770" s="33"/>
      <c r="AE7770" s="33"/>
      <c r="AF7770" s="33"/>
      <c r="AG7770" s="33"/>
      <c r="AH7770" s="33"/>
      <c r="AI7770" s="33"/>
      <c r="AJ7770" s="33"/>
      <c r="AK7770" s="33"/>
    </row>
    <row r="7771">
      <c r="A7771" s="33"/>
      <c r="B7771" s="33"/>
      <c r="C7771" s="33"/>
      <c r="D7771" s="33"/>
      <c r="E7771" s="33"/>
      <c r="F7771" s="33"/>
      <c r="G7771" s="33"/>
      <c r="H7771" s="33"/>
      <c r="I7771" s="33"/>
      <c r="J7771" s="33"/>
      <c r="K7771" s="33"/>
      <c r="L7771" s="33"/>
      <c r="M7771" s="33"/>
      <c r="N7771" s="33"/>
      <c r="O7771" s="33"/>
      <c r="P7771" s="33"/>
      <c r="Q7771" s="33"/>
      <c r="R7771" s="33"/>
      <c r="S7771" s="33"/>
      <c r="T7771" s="33"/>
      <c r="U7771" s="33"/>
      <c r="V7771" s="33"/>
      <c r="W7771" s="33"/>
      <c r="X7771" s="33"/>
      <c r="Y7771" s="33"/>
      <c r="Z7771" s="33"/>
      <c r="AA7771" s="33"/>
      <c r="AB7771" s="33"/>
      <c r="AC7771" s="33"/>
      <c r="AD7771" s="33"/>
      <c r="AE7771" s="33"/>
      <c r="AF7771" s="33"/>
      <c r="AG7771" s="33"/>
      <c r="AH7771" s="33"/>
      <c r="AI7771" s="33"/>
      <c r="AJ7771" s="33"/>
      <c r="AK7771" s="33"/>
    </row>
    <row r="7772">
      <c r="A7772" s="33"/>
      <c r="B7772" s="33"/>
      <c r="C7772" s="33"/>
      <c r="D7772" s="33"/>
      <c r="E7772" s="33"/>
      <c r="F7772" s="33"/>
      <c r="G7772" s="33"/>
      <c r="H7772" s="33"/>
      <c r="I7772" s="33"/>
      <c r="J7772" s="33"/>
      <c r="K7772" s="33"/>
      <c r="L7772" s="33"/>
      <c r="M7772" s="33"/>
      <c r="N7772" s="33"/>
      <c r="O7772" s="33"/>
      <c r="P7772" s="33"/>
      <c r="Q7772" s="33"/>
      <c r="R7772" s="33"/>
      <c r="S7772" s="33"/>
      <c r="T7772" s="33"/>
      <c r="U7772" s="33"/>
      <c r="V7772" s="33"/>
      <c r="W7772" s="33"/>
      <c r="X7772" s="33"/>
      <c r="Y7772" s="33"/>
      <c r="Z7772" s="33"/>
      <c r="AA7772" s="33"/>
      <c r="AB7772" s="33"/>
      <c r="AC7772" s="33"/>
      <c r="AD7772" s="33"/>
      <c r="AE7772" s="33"/>
      <c r="AF7772" s="33"/>
      <c r="AG7772" s="33"/>
      <c r="AH7772" s="33"/>
      <c r="AI7772" s="33"/>
      <c r="AJ7772" s="33"/>
      <c r="AK7772" s="33"/>
    </row>
    <row r="7773">
      <c r="A7773" s="33"/>
      <c r="B7773" s="33"/>
      <c r="C7773" s="33"/>
      <c r="D7773" s="33"/>
      <c r="E7773" s="33"/>
      <c r="F7773" s="33"/>
      <c r="G7773" s="33"/>
      <c r="H7773" s="33"/>
      <c r="I7773" s="33"/>
      <c r="J7773" s="33"/>
      <c r="K7773" s="33"/>
      <c r="L7773" s="33"/>
      <c r="M7773" s="33"/>
      <c r="N7773" s="33"/>
      <c r="O7773" s="33"/>
      <c r="P7773" s="33"/>
      <c r="Q7773" s="33"/>
      <c r="R7773" s="33"/>
      <c r="S7773" s="33"/>
      <c r="T7773" s="33"/>
      <c r="U7773" s="33"/>
      <c r="V7773" s="33"/>
      <c r="W7773" s="33"/>
      <c r="X7773" s="33"/>
      <c r="Y7773" s="33"/>
      <c r="Z7773" s="33"/>
      <c r="AA7773" s="33"/>
      <c r="AB7773" s="33"/>
      <c r="AC7773" s="33"/>
      <c r="AD7773" s="33"/>
      <c r="AE7773" s="33"/>
      <c r="AF7773" s="33"/>
      <c r="AG7773" s="33"/>
      <c r="AH7773" s="33"/>
      <c r="AI7773" s="33"/>
      <c r="AJ7773" s="33"/>
      <c r="AK7773" s="33"/>
    </row>
    <row r="7774">
      <c r="A7774" s="33"/>
      <c r="B7774" s="33"/>
      <c r="C7774" s="33"/>
      <c r="D7774" s="33"/>
      <c r="E7774" s="33"/>
      <c r="F7774" s="33"/>
      <c r="G7774" s="33"/>
      <c r="H7774" s="33"/>
      <c r="I7774" s="33"/>
      <c r="J7774" s="33"/>
      <c r="K7774" s="33"/>
      <c r="L7774" s="33"/>
      <c r="M7774" s="33"/>
      <c r="N7774" s="33"/>
      <c r="O7774" s="33"/>
      <c r="P7774" s="33"/>
      <c r="Q7774" s="33"/>
      <c r="R7774" s="33"/>
      <c r="S7774" s="33"/>
      <c r="T7774" s="33"/>
      <c r="U7774" s="33"/>
      <c r="V7774" s="33"/>
      <c r="W7774" s="33"/>
      <c r="X7774" s="33"/>
      <c r="Y7774" s="33"/>
      <c r="Z7774" s="33"/>
      <c r="AA7774" s="33"/>
      <c r="AB7774" s="33"/>
      <c r="AC7774" s="33"/>
      <c r="AD7774" s="33"/>
      <c r="AE7774" s="33"/>
      <c r="AF7774" s="33"/>
      <c r="AG7774" s="33"/>
      <c r="AH7774" s="33"/>
      <c r="AI7774" s="33"/>
      <c r="AJ7774" s="33"/>
      <c r="AK7774" s="33"/>
    </row>
    <row r="7775">
      <c r="A7775" s="33"/>
      <c r="B7775" s="33"/>
      <c r="C7775" s="33"/>
      <c r="D7775" s="33"/>
      <c r="E7775" s="33"/>
      <c r="F7775" s="33"/>
      <c r="G7775" s="33"/>
      <c r="H7775" s="33"/>
      <c r="I7775" s="33"/>
      <c r="J7775" s="33"/>
      <c r="K7775" s="33"/>
      <c r="L7775" s="33"/>
      <c r="M7775" s="33"/>
      <c r="N7775" s="33"/>
      <c r="O7775" s="33"/>
      <c r="P7775" s="33"/>
      <c r="Q7775" s="33"/>
      <c r="R7775" s="33"/>
      <c r="S7775" s="33"/>
      <c r="T7775" s="33"/>
      <c r="U7775" s="33"/>
      <c r="V7775" s="33"/>
      <c r="W7775" s="33"/>
      <c r="X7775" s="33"/>
      <c r="Y7775" s="33"/>
      <c r="Z7775" s="33"/>
      <c r="AA7775" s="33"/>
      <c r="AB7775" s="33"/>
      <c r="AC7775" s="33"/>
      <c r="AD7775" s="33"/>
      <c r="AE7775" s="33"/>
      <c r="AF7775" s="33"/>
      <c r="AG7775" s="33"/>
      <c r="AH7775" s="33"/>
      <c r="AI7775" s="33"/>
      <c r="AJ7775" s="33"/>
      <c r="AK7775" s="33"/>
    </row>
    <row r="7776">
      <c r="A7776" s="33"/>
      <c r="B7776" s="33"/>
      <c r="C7776" s="33"/>
      <c r="D7776" s="33"/>
      <c r="E7776" s="33"/>
      <c r="F7776" s="33"/>
      <c r="G7776" s="33"/>
      <c r="H7776" s="33"/>
      <c r="I7776" s="33"/>
      <c r="J7776" s="33"/>
      <c r="K7776" s="33"/>
      <c r="L7776" s="33"/>
      <c r="M7776" s="33"/>
      <c r="N7776" s="33"/>
      <c r="O7776" s="33"/>
      <c r="P7776" s="33"/>
      <c r="Q7776" s="33"/>
      <c r="R7776" s="33"/>
      <c r="S7776" s="33"/>
      <c r="T7776" s="33"/>
      <c r="U7776" s="33"/>
      <c r="V7776" s="33"/>
      <c r="W7776" s="33"/>
      <c r="X7776" s="33"/>
      <c r="Y7776" s="33"/>
      <c r="Z7776" s="33"/>
      <c r="AA7776" s="33"/>
      <c r="AB7776" s="33"/>
      <c r="AC7776" s="33"/>
      <c r="AD7776" s="33"/>
      <c r="AE7776" s="33"/>
      <c r="AF7776" s="33"/>
      <c r="AG7776" s="33"/>
      <c r="AH7776" s="33"/>
      <c r="AI7776" s="33"/>
      <c r="AJ7776" s="33"/>
      <c r="AK7776" s="33"/>
    </row>
    <row r="7777">
      <c r="A7777" s="33"/>
      <c r="B7777" s="33"/>
      <c r="C7777" s="33"/>
      <c r="D7777" s="33"/>
      <c r="E7777" s="33"/>
      <c r="F7777" s="33"/>
      <c r="G7777" s="33"/>
      <c r="H7777" s="33"/>
      <c r="I7777" s="33"/>
      <c r="J7777" s="33"/>
      <c r="K7777" s="33"/>
      <c r="L7777" s="33"/>
      <c r="M7777" s="33"/>
      <c r="N7777" s="33"/>
      <c r="O7777" s="33"/>
      <c r="P7777" s="33"/>
      <c r="Q7777" s="33"/>
      <c r="R7777" s="33"/>
      <c r="S7777" s="33"/>
      <c r="T7777" s="33"/>
      <c r="U7777" s="33"/>
      <c r="V7777" s="33"/>
      <c r="W7777" s="33"/>
      <c r="X7777" s="33"/>
      <c r="Y7777" s="33"/>
      <c r="Z7777" s="33"/>
      <c r="AA7777" s="33"/>
      <c r="AB7777" s="33"/>
      <c r="AC7777" s="33"/>
      <c r="AD7777" s="33"/>
      <c r="AE7777" s="33"/>
      <c r="AF7777" s="33"/>
      <c r="AG7777" s="33"/>
      <c r="AH7777" s="33"/>
      <c r="AI7777" s="33"/>
      <c r="AJ7777" s="33"/>
      <c r="AK7777" s="33"/>
    </row>
    <row r="7778">
      <c r="A7778" s="33"/>
      <c r="B7778" s="33"/>
      <c r="C7778" s="33"/>
      <c r="D7778" s="33"/>
      <c r="E7778" s="33"/>
      <c r="F7778" s="33"/>
      <c r="G7778" s="33"/>
      <c r="H7778" s="33"/>
      <c r="I7778" s="33"/>
      <c r="J7778" s="33"/>
      <c r="K7778" s="33"/>
      <c r="L7778" s="33"/>
      <c r="M7778" s="33"/>
      <c r="N7778" s="33"/>
      <c r="O7778" s="33"/>
      <c r="P7778" s="33"/>
      <c r="Q7778" s="33"/>
      <c r="R7778" s="33"/>
      <c r="S7778" s="33"/>
      <c r="T7778" s="33"/>
      <c r="U7778" s="33"/>
      <c r="V7778" s="33"/>
      <c r="W7778" s="33"/>
      <c r="X7778" s="33"/>
      <c r="Y7778" s="33"/>
      <c r="Z7778" s="33"/>
      <c r="AA7778" s="33"/>
      <c r="AB7778" s="33"/>
      <c r="AC7778" s="33"/>
      <c r="AD7778" s="33"/>
      <c r="AE7778" s="33"/>
      <c r="AF7778" s="33"/>
      <c r="AG7778" s="33"/>
      <c r="AH7778" s="33"/>
      <c r="AI7778" s="33"/>
      <c r="AJ7778" s="33"/>
      <c r="AK7778" s="33"/>
    </row>
    <row r="7779">
      <c r="A7779" s="33"/>
      <c r="B7779" s="33"/>
      <c r="C7779" s="33"/>
      <c r="D7779" s="33"/>
      <c r="E7779" s="33"/>
      <c r="F7779" s="33"/>
      <c r="G7779" s="33"/>
      <c r="H7779" s="33"/>
      <c r="I7779" s="33"/>
      <c r="J7779" s="33"/>
      <c r="K7779" s="33"/>
      <c r="L7779" s="33"/>
      <c r="M7779" s="33"/>
      <c r="N7779" s="33"/>
      <c r="O7779" s="33"/>
      <c r="P7779" s="33"/>
      <c r="Q7779" s="33"/>
      <c r="R7779" s="33"/>
      <c r="S7779" s="33"/>
      <c r="T7779" s="33"/>
      <c r="U7779" s="33"/>
      <c r="V7779" s="33"/>
      <c r="W7779" s="33"/>
      <c r="X7779" s="33"/>
      <c r="Y7779" s="33"/>
      <c r="Z7779" s="33"/>
      <c r="AA7779" s="33"/>
      <c r="AB7779" s="33"/>
      <c r="AC7779" s="33"/>
      <c r="AD7779" s="33"/>
      <c r="AE7779" s="33"/>
      <c r="AF7779" s="33"/>
      <c r="AG7779" s="33"/>
      <c r="AH7779" s="33"/>
      <c r="AI7779" s="33"/>
      <c r="AJ7779" s="33"/>
      <c r="AK7779" s="33"/>
    </row>
    <row r="7780">
      <c r="A7780" s="33"/>
      <c r="B7780" s="33"/>
      <c r="C7780" s="33"/>
      <c r="D7780" s="33"/>
      <c r="E7780" s="33"/>
      <c r="F7780" s="33"/>
      <c r="G7780" s="33"/>
      <c r="H7780" s="33"/>
      <c r="I7780" s="33"/>
      <c r="J7780" s="33"/>
      <c r="K7780" s="33"/>
      <c r="L7780" s="33"/>
      <c r="M7780" s="33"/>
      <c r="N7780" s="33"/>
      <c r="O7780" s="33"/>
      <c r="P7780" s="33"/>
      <c r="Q7780" s="33"/>
      <c r="R7780" s="33"/>
      <c r="S7780" s="33"/>
      <c r="T7780" s="33"/>
      <c r="U7780" s="33"/>
      <c r="V7780" s="33"/>
      <c r="W7780" s="33"/>
      <c r="X7780" s="33"/>
      <c r="Y7780" s="33"/>
      <c r="Z7780" s="33"/>
      <c r="AA7780" s="33"/>
      <c r="AB7780" s="33"/>
      <c r="AC7780" s="33"/>
      <c r="AD7780" s="33"/>
      <c r="AE7780" s="33"/>
      <c r="AF7780" s="33"/>
      <c r="AG7780" s="33"/>
      <c r="AH7780" s="33"/>
      <c r="AI7780" s="33"/>
      <c r="AJ7780" s="33"/>
      <c r="AK7780" s="33"/>
    </row>
    <row r="7781">
      <c r="A7781" s="33"/>
      <c r="B7781" s="33"/>
      <c r="C7781" s="33"/>
      <c r="D7781" s="33"/>
      <c r="E7781" s="33"/>
      <c r="F7781" s="33"/>
      <c r="G7781" s="33"/>
      <c r="H7781" s="33"/>
      <c r="I7781" s="33"/>
      <c r="J7781" s="33"/>
      <c r="K7781" s="33"/>
      <c r="L7781" s="33"/>
      <c r="M7781" s="33"/>
      <c r="N7781" s="33"/>
      <c r="O7781" s="33"/>
      <c r="P7781" s="33"/>
      <c r="Q7781" s="33"/>
      <c r="R7781" s="33"/>
      <c r="S7781" s="33"/>
      <c r="T7781" s="33"/>
      <c r="U7781" s="33"/>
      <c r="V7781" s="33"/>
      <c r="W7781" s="33"/>
      <c r="X7781" s="33"/>
      <c r="Y7781" s="33"/>
      <c r="Z7781" s="33"/>
      <c r="AA7781" s="33"/>
      <c r="AB7781" s="33"/>
      <c r="AC7781" s="33"/>
      <c r="AD7781" s="33"/>
      <c r="AE7781" s="33"/>
      <c r="AF7781" s="33"/>
      <c r="AG7781" s="33"/>
      <c r="AH7781" s="33"/>
      <c r="AI7781" s="33"/>
      <c r="AJ7781" s="33"/>
      <c r="AK7781" s="33"/>
    </row>
    <row r="7782">
      <c r="A7782" s="33"/>
      <c r="B7782" s="33"/>
      <c r="C7782" s="33"/>
      <c r="D7782" s="33"/>
      <c r="E7782" s="33"/>
      <c r="F7782" s="33"/>
      <c r="G7782" s="33"/>
      <c r="H7782" s="33"/>
      <c r="I7782" s="33"/>
      <c r="J7782" s="33"/>
      <c r="K7782" s="33"/>
      <c r="L7782" s="33"/>
      <c r="M7782" s="33"/>
      <c r="N7782" s="33"/>
      <c r="O7782" s="33"/>
      <c r="P7782" s="33"/>
      <c r="Q7782" s="33"/>
      <c r="R7782" s="33"/>
      <c r="S7782" s="33"/>
      <c r="T7782" s="33"/>
      <c r="U7782" s="33"/>
      <c r="V7782" s="33"/>
      <c r="W7782" s="33"/>
      <c r="X7782" s="33"/>
      <c r="Y7782" s="33"/>
      <c r="Z7782" s="33"/>
      <c r="AA7782" s="33"/>
      <c r="AB7782" s="33"/>
      <c r="AC7782" s="33"/>
      <c r="AD7782" s="33"/>
      <c r="AE7782" s="33"/>
      <c r="AF7782" s="33"/>
      <c r="AG7782" s="33"/>
      <c r="AH7782" s="33"/>
      <c r="AI7782" s="33"/>
      <c r="AJ7782" s="33"/>
      <c r="AK7782" s="33"/>
    </row>
    <row r="7783">
      <c r="A7783" s="33"/>
      <c r="B7783" s="33"/>
      <c r="C7783" s="33"/>
      <c r="D7783" s="33"/>
      <c r="E7783" s="33"/>
      <c r="F7783" s="33"/>
      <c r="G7783" s="33"/>
      <c r="H7783" s="33"/>
      <c r="I7783" s="33"/>
      <c r="J7783" s="33"/>
      <c r="K7783" s="33"/>
      <c r="L7783" s="33"/>
      <c r="M7783" s="33"/>
      <c r="N7783" s="33"/>
      <c r="O7783" s="33"/>
      <c r="P7783" s="33"/>
      <c r="Q7783" s="33"/>
      <c r="R7783" s="33"/>
      <c r="S7783" s="33"/>
      <c r="T7783" s="33"/>
      <c r="U7783" s="33"/>
      <c r="V7783" s="33"/>
      <c r="W7783" s="33"/>
      <c r="X7783" s="33"/>
      <c r="Y7783" s="33"/>
      <c r="Z7783" s="33"/>
      <c r="AA7783" s="33"/>
      <c r="AB7783" s="33"/>
      <c r="AC7783" s="33"/>
      <c r="AD7783" s="33"/>
      <c r="AE7783" s="33"/>
      <c r="AF7783" s="33"/>
      <c r="AG7783" s="33"/>
      <c r="AH7783" s="33"/>
      <c r="AI7783" s="33"/>
      <c r="AJ7783" s="33"/>
      <c r="AK7783" s="33"/>
    </row>
    <row r="7784">
      <c r="A7784" s="33"/>
      <c r="B7784" s="33"/>
      <c r="C7784" s="33"/>
      <c r="D7784" s="33"/>
      <c r="E7784" s="33"/>
      <c r="F7784" s="33"/>
      <c r="G7784" s="33"/>
      <c r="H7784" s="33"/>
      <c r="I7784" s="33"/>
      <c r="J7784" s="33"/>
      <c r="K7784" s="33"/>
      <c r="L7784" s="33"/>
      <c r="M7784" s="33"/>
      <c r="N7784" s="33"/>
      <c r="O7784" s="33"/>
      <c r="P7784" s="33"/>
      <c r="Q7784" s="33"/>
      <c r="R7784" s="33"/>
      <c r="S7784" s="33"/>
      <c r="T7784" s="33"/>
      <c r="U7784" s="33"/>
      <c r="V7784" s="33"/>
      <c r="W7784" s="33"/>
      <c r="X7784" s="33"/>
      <c r="Y7784" s="33"/>
      <c r="Z7784" s="33"/>
      <c r="AA7784" s="33"/>
      <c r="AB7784" s="33"/>
      <c r="AC7784" s="33"/>
      <c r="AD7784" s="33"/>
      <c r="AE7784" s="33"/>
      <c r="AF7784" s="33"/>
      <c r="AG7784" s="33"/>
      <c r="AH7784" s="33"/>
      <c r="AI7784" s="33"/>
      <c r="AJ7784" s="33"/>
      <c r="AK7784" s="33"/>
    </row>
    <row r="7785">
      <c r="A7785" s="33"/>
      <c r="B7785" s="33"/>
      <c r="C7785" s="33"/>
      <c r="D7785" s="33"/>
      <c r="E7785" s="33"/>
      <c r="F7785" s="33"/>
      <c r="G7785" s="33"/>
      <c r="H7785" s="33"/>
      <c r="I7785" s="33"/>
      <c r="J7785" s="33"/>
      <c r="K7785" s="33"/>
      <c r="L7785" s="33"/>
      <c r="M7785" s="33"/>
      <c r="N7785" s="33"/>
      <c r="O7785" s="33"/>
      <c r="P7785" s="33"/>
      <c r="Q7785" s="33"/>
      <c r="R7785" s="33"/>
      <c r="S7785" s="33"/>
      <c r="T7785" s="33"/>
      <c r="U7785" s="33"/>
      <c r="V7785" s="33"/>
      <c r="W7785" s="33"/>
      <c r="X7785" s="33"/>
      <c r="Y7785" s="33"/>
      <c r="Z7785" s="33"/>
      <c r="AA7785" s="33"/>
      <c r="AB7785" s="33"/>
      <c r="AC7785" s="33"/>
      <c r="AD7785" s="33"/>
      <c r="AE7785" s="33"/>
      <c r="AF7785" s="33"/>
      <c r="AG7785" s="33"/>
      <c r="AH7785" s="33"/>
      <c r="AI7785" s="33"/>
      <c r="AJ7785" s="33"/>
      <c r="AK7785" s="33"/>
    </row>
    <row r="7786">
      <c r="A7786" s="33"/>
      <c r="B7786" s="33"/>
      <c r="C7786" s="33"/>
      <c r="D7786" s="33"/>
      <c r="E7786" s="33"/>
      <c r="F7786" s="33"/>
      <c r="G7786" s="33"/>
      <c r="H7786" s="33"/>
      <c r="I7786" s="33"/>
      <c r="J7786" s="33"/>
      <c r="K7786" s="33"/>
      <c r="L7786" s="33"/>
      <c r="M7786" s="33"/>
      <c r="N7786" s="33"/>
      <c r="O7786" s="33"/>
      <c r="P7786" s="33"/>
      <c r="Q7786" s="33"/>
      <c r="R7786" s="33"/>
      <c r="S7786" s="33"/>
      <c r="T7786" s="33"/>
      <c r="U7786" s="33"/>
      <c r="V7786" s="33"/>
      <c r="W7786" s="33"/>
      <c r="X7786" s="33"/>
      <c r="Y7786" s="33"/>
      <c r="Z7786" s="33"/>
      <c r="AA7786" s="33"/>
      <c r="AB7786" s="33"/>
      <c r="AC7786" s="33"/>
      <c r="AD7786" s="33"/>
      <c r="AE7786" s="33"/>
      <c r="AF7786" s="33"/>
      <c r="AG7786" s="33"/>
      <c r="AH7786" s="33"/>
      <c r="AI7786" s="33"/>
      <c r="AJ7786" s="33"/>
      <c r="AK7786" s="33"/>
    </row>
    <row r="7787">
      <c r="A7787" s="33"/>
      <c r="B7787" s="33"/>
      <c r="C7787" s="33"/>
      <c r="D7787" s="33"/>
      <c r="E7787" s="33"/>
      <c r="F7787" s="33"/>
      <c r="G7787" s="33"/>
      <c r="H7787" s="33"/>
      <c r="I7787" s="33"/>
      <c r="J7787" s="33"/>
      <c r="K7787" s="33"/>
      <c r="L7787" s="33"/>
      <c r="M7787" s="33"/>
      <c r="N7787" s="33"/>
      <c r="O7787" s="33"/>
      <c r="P7787" s="33"/>
      <c r="Q7787" s="33"/>
      <c r="R7787" s="33"/>
      <c r="S7787" s="33"/>
      <c r="T7787" s="33"/>
      <c r="U7787" s="33"/>
      <c r="V7787" s="33"/>
      <c r="W7787" s="33"/>
      <c r="X7787" s="33"/>
      <c r="Y7787" s="33"/>
      <c r="Z7787" s="33"/>
      <c r="AA7787" s="33"/>
      <c r="AB7787" s="33"/>
      <c r="AC7787" s="33"/>
      <c r="AD7787" s="33"/>
      <c r="AE7787" s="33"/>
      <c r="AF7787" s="33"/>
      <c r="AG7787" s="33"/>
      <c r="AH7787" s="33"/>
      <c r="AI7787" s="33"/>
      <c r="AJ7787" s="33"/>
      <c r="AK7787" s="33"/>
    </row>
    <row r="7788">
      <c r="A7788" s="33"/>
      <c r="B7788" s="33"/>
      <c r="C7788" s="33"/>
      <c r="D7788" s="33"/>
      <c r="E7788" s="33"/>
      <c r="F7788" s="33"/>
      <c r="G7788" s="33"/>
      <c r="H7788" s="33"/>
      <c r="I7788" s="33"/>
      <c r="J7788" s="33"/>
      <c r="K7788" s="33"/>
      <c r="L7788" s="33"/>
      <c r="M7788" s="33"/>
      <c r="N7788" s="33"/>
      <c r="O7788" s="33"/>
      <c r="P7788" s="33"/>
      <c r="Q7788" s="33"/>
      <c r="R7788" s="33"/>
      <c r="S7788" s="33"/>
      <c r="T7788" s="33"/>
      <c r="U7788" s="33"/>
      <c r="V7788" s="33"/>
      <c r="W7788" s="33"/>
      <c r="X7788" s="33"/>
      <c r="Y7788" s="33"/>
      <c r="Z7788" s="33"/>
      <c r="AA7788" s="33"/>
      <c r="AB7788" s="33"/>
      <c r="AC7788" s="33"/>
      <c r="AD7788" s="33"/>
      <c r="AE7788" s="33"/>
      <c r="AF7788" s="33"/>
      <c r="AG7788" s="33"/>
      <c r="AH7788" s="33"/>
      <c r="AI7788" s="33"/>
      <c r="AJ7788" s="33"/>
      <c r="AK7788" s="33"/>
    </row>
    <row r="7789">
      <c r="A7789" s="33"/>
      <c r="B7789" s="33"/>
      <c r="C7789" s="33"/>
      <c r="D7789" s="33"/>
      <c r="E7789" s="33"/>
      <c r="F7789" s="33"/>
      <c r="G7789" s="33"/>
      <c r="H7789" s="33"/>
      <c r="I7789" s="33"/>
      <c r="J7789" s="33"/>
      <c r="K7789" s="33"/>
      <c r="L7789" s="33"/>
      <c r="M7789" s="33"/>
      <c r="N7789" s="33"/>
      <c r="O7789" s="33"/>
      <c r="P7789" s="33"/>
      <c r="Q7789" s="33"/>
      <c r="R7789" s="33"/>
      <c r="S7789" s="33"/>
      <c r="T7789" s="33"/>
      <c r="U7789" s="33"/>
      <c r="V7789" s="33"/>
      <c r="W7789" s="33"/>
      <c r="X7789" s="33"/>
      <c r="Y7789" s="33"/>
      <c r="Z7789" s="33"/>
      <c r="AA7789" s="33"/>
      <c r="AB7789" s="33"/>
      <c r="AC7789" s="33"/>
      <c r="AD7789" s="33"/>
      <c r="AE7789" s="33"/>
      <c r="AF7789" s="33"/>
      <c r="AG7789" s="33"/>
      <c r="AH7789" s="33"/>
      <c r="AI7789" s="33"/>
      <c r="AJ7789" s="33"/>
      <c r="AK7789" s="33"/>
    </row>
    <row r="7790">
      <c r="A7790" s="33"/>
      <c r="B7790" s="33"/>
      <c r="C7790" s="33"/>
      <c r="D7790" s="33"/>
      <c r="E7790" s="33"/>
      <c r="F7790" s="33"/>
      <c r="G7790" s="33"/>
      <c r="H7790" s="33"/>
      <c r="I7790" s="33"/>
      <c r="J7790" s="33"/>
      <c r="K7790" s="33"/>
      <c r="L7790" s="33"/>
      <c r="M7790" s="33"/>
      <c r="N7790" s="33"/>
      <c r="O7790" s="33"/>
      <c r="P7790" s="33"/>
      <c r="Q7790" s="33"/>
      <c r="R7790" s="33"/>
      <c r="S7790" s="33"/>
      <c r="T7790" s="33"/>
      <c r="U7790" s="33"/>
      <c r="V7790" s="33"/>
      <c r="W7790" s="33"/>
      <c r="X7790" s="33"/>
      <c r="Y7790" s="33"/>
      <c r="Z7790" s="33"/>
      <c r="AA7790" s="33"/>
      <c r="AB7790" s="33"/>
      <c r="AC7790" s="33"/>
      <c r="AD7790" s="33"/>
      <c r="AE7790" s="33"/>
      <c r="AF7790" s="33"/>
      <c r="AG7790" s="33"/>
      <c r="AH7790" s="33"/>
      <c r="AI7790" s="33"/>
      <c r="AJ7790" s="33"/>
      <c r="AK7790" s="33"/>
    </row>
    <row r="7791">
      <c r="A7791" s="33"/>
      <c r="B7791" s="33"/>
      <c r="C7791" s="33"/>
      <c r="D7791" s="33"/>
      <c r="E7791" s="33"/>
      <c r="F7791" s="33"/>
      <c r="G7791" s="33"/>
      <c r="H7791" s="33"/>
      <c r="I7791" s="33"/>
      <c r="J7791" s="33"/>
      <c r="K7791" s="33"/>
      <c r="L7791" s="33"/>
      <c r="M7791" s="33"/>
      <c r="N7791" s="33"/>
      <c r="O7791" s="33"/>
      <c r="P7791" s="33"/>
      <c r="Q7791" s="33"/>
      <c r="R7791" s="33"/>
      <c r="S7791" s="33"/>
      <c r="T7791" s="33"/>
      <c r="U7791" s="33"/>
      <c r="V7791" s="33"/>
      <c r="W7791" s="33"/>
      <c r="X7791" s="33"/>
      <c r="Y7791" s="33"/>
      <c r="Z7791" s="33"/>
      <c r="AA7791" s="33"/>
      <c r="AB7791" s="33"/>
      <c r="AC7791" s="33"/>
      <c r="AD7791" s="33"/>
      <c r="AE7791" s="33"/>
      <c r="AF7791" s="33"/>
      <c r="AG7791" s="33"/>
      <c r="AH7791" s="33"/>
      <c r="AI7791" s="33"/>
      <c r="AJ7791" s="33"/>
      <c r="AK7791" s="33"/>
    </row>
    <row r="7792">
      <c r="A7792" s="33"/>
      <c r="B7792" s="33"/>
      <c r="C7792" s="33"/>
      <c r="D7792" s="33"/>
      <c r="E7792" s="33"/>
      <c r="F7792" s="33"/>
      <c r="G7792" s="33"/>
      <c r="H7792" s="33"/>
      <c r="I7792" s="33"/>
      <c r="J7792" s="33"/>
      <c r="K7792" s="33"/>
      <c r="L7792" s="33"/>
      <c r="M7792" s="33"/>
      <c r="N7792" s="33"/>
      <c r="O7792" s="33"/>
      <c r="P7792" s="33"/>
      <c r="Q7792" s="33"/>
      <c r="R7792" s="33"/>
      <c r="S7792" s="33"/>
      <c r="T7792" s="33"/>
      <c r="U7792" s="33"/>
      <c r="V7792" s="33"/>
      <c r="W7792" s="33"/>
      <c r="X7792" s="33"/>
      <c r="Y7792" s="33"/>
      <c r="Z7792" s="33"/>
      <c r="AA7792" s="33"/>
      <c r="AB7792" s="33"/>
      <c r="AC7792" s="33"/>
      <c r="AD7792" s="33"/>
      <c r="AE7792" s="33"/>
      <c r="AF7792" s="33"/>
      <c r="AG7792" s="33"/>
      <c r="AH7792" s="33"/>
      <c r="AI7792" s="33"/>
      <c r="AJ7792" s="33"/>
      <c r="AK7792" s="33"/>
    </row>
    <row r="7793">
      <c r="A7793" s="33"/>
      <c r="B7793" s="33"/>
      <c r="C7793" s="33"/>
      <c r="D7793" s="33"/>
      <c r="E7793" s="33"/>
      <c r="F7793" s="33"/>
      <c r="G7793" s="33"/>
      <c r="H7793" s="33"/>
      <c r="I7793" s="33"/>
      <c r="J7793" s="33"/>
      <c r="K7793" s="33"/>
      <c r="L7793" s="33"/>
      <c r="M7793" s="33"/>
      <c r="N7793" s="33"/>
      <c r="O7793" s="33"/>
      <c r="P7793" s="33"/>
      <c r="Q7793" s="33"/>
      <c r="R7793" s="33"/>
      <c r="S7793" s="33"/>
      <c r="T7793" s="33"/>
      <c r="U7793" s="33"/>
      <c r="V7793" s="33"/>
      <c r="W7793" s="33"/>
      <c r="X7793" s="33"/>
      <c r="Y7793" s="33"/>
      <c r="Z7793" s="33"/>
      <c r="AA7793" s="33"/>
      <c r="AB7793" s="33"/>
      <c r="AC7793" s="33"/>
      <c r="AD7793" s="33"/>
      <c r="AE7793" s="33"/>
      <c r="AF7793" s="33"/>
      <c r="AG7793" s="33"/>
      <c r="AH7793" s="33"/>
      <c r="AI7793" s="33"/>
      <c r="AJ7793" s="33"/>
      <c r="AK7793" s="33"/>
    </row>
    <row r="7794">
      <c r="A7794" s="33"/>
      <c r="B7794" s="33"/>
      <c r="C7794" s="33"/>
      <c r="D7794" s="33"/>
      <c r="E7794" s="33"/>
      <c r="F7794" s="33"/>
      <c r="G7794" s="33"/>
      <c r="H7794" s="33"/>
      <c r="I7794" s="33"/>
      <c r="J7794" s="33"/>
      <c r="K7794" s="33"/>
      <c r="L7794" s="33"/>
      <c r="M7794" s="33"/>
      <c r="N7794" s="33"/>
      <c r="O7794" s="33"/>
      <c r="P7794" s="33"/>
      <c r="Q7794" s="33"/>
      <c r="R7794" s="33"/>
      <c r="S7794" s="33"/>
      <c r="T7794" s="33"/>
      <c r="U7794" s="33"/>
      <c r="V7794" s="33"/>
      <c r="W7794" s="33"/>
      <c r="X7794" s="33"/>
      <c r="Y7794" s="33"/>
      <c r="Z7794" s="33"/>
      <c r="AA7794" s="33"/>
      <c r="AB7794" s="33"/>
      <c r="AC7794" s="33"/>
      <c r="AD7794" s="33"/>
      <c r="AE7794" s="33"/>
      <c r="AF7794" s="33"/>
      <c r="AG7794" s="33"/>
      <c r="AH7794" s="33"/>
      <c r="AI7794" s="33"/>
      <c r="AJ7794" s="33"/>
      <c r="AK7794" s="33"/>
    </row>
    <row r="7795">
      <c r="A7795" s="33"/>
      <c r="B7795" s="33"/>
      <c r="C7795" s="33"/>
      <c r="D7795" s="33"/>
      <c r="E7795" s="33"/>
      <c r="F7795" s="33"/>
      <c r="G7795" s="33"/>
      <c r="H7795" s="33"/>
      <c r="I7795" s="33"/>
      <c r="J7795" s="33"/>
      <c r="K7795" s="33"/>
      <c r="L7795" s="33"/>
      <c r="M7795" s="33"/>
      <c r="N7795" s="33"/>
      <c r="O7795" s="33"/>
      <c r="P7795" s="33"/>
      <c r="Q7795" s="33"/>
      <c r="R7795" s="33"/>
      <c r="S7795" s="33"/>
      <c r="T7795" s="33"/>
      <c r="U7795" s="33"/>
      <c r="V7795" s="33"/>
      <c r="W7795" s="33"/>
      <c r="X7795" s="33"/>
      <c r="Y7795" s="33"/>
      <c r="Z7795" s="33"/>
      <c r="AA7795" s="33"/>
      <c r="AB7795" s="33"/>
      <c r="AC7795" s="33"/>
      <c r="AD7795" s="33"/>
      <c r="AE7795" s="33"/>
      <c r="AF7795" s="33"/>
      <c r="AG7795" s="33"/>
      <c r="AH7795" s="33"/>
      <c r="AI7795" s="33"/>
      <c r="AJ7795" s="33"/>
      <c r="AK7795" s="33"/>
    </row>
    <row r="7796">
      <c r="A7796" s="33"/>
      <c r="B7796" s="33"/>
      <c r="C7796" s="33"/>
      <c r="D7796" s="33"/>
      <c r="E7796" s="33"/>
      <c r="F7796" s="33"/>
      <c r="G7796" s="33"/>
      <c r="H7796" s="33"/>
      <c r="I7796" s="33"/>
      <c r="J7796" s="33"/>
      <c r="K7796" s="33"/>
      <c r="L7796" s="33"/>
      <c r="M7796" s="33"/>
      <c r="N7796" s="33"/>
      <c r="O7796" s="33"/>
      <c r="P7796" s="33"/>
      <c r="Q7796" s="33"/>
      <c r="R7796" s="33"/>
      <c r="S7796" s="33"/>
      <c r="T7796" s="33"/>
      <c r="U7796" s="33"/>
      <c r="V7796" s="33"/>
      <c r="W7796" s="33"/>
      <c r="X7796" s="33"/>
      <c r="Y7796" s="33"/>
      <c r="Z7796" s="33"/>
      <c r="AA7796" s="33"/>
      <c r="AB7796" s="33"/>
      <c r="AC7796" s="33"/>
      <c r="AD7796" s="33"/>
      <c r="AE7796" s="33"/>
      <c r="AF7796" s="33"/>
      <c r="AG7796" s="33"/>
      <c r="AH7796" s="33"/>
      <c r="AI7796" s="33"/>
      <c r="AJ7796" s="33"/>
      <c r="AK7796" s="33"/>
    </row>
    <row r="7797">
      <c r="A7797" s="33"/>
      <c r="B7797" s="33"/>
      <c r="C7797" s="33"/>
      <c r="D7797" s="33"/>
      <c r="E7797" s="33"/>
      <c r="F7797" s="33"/>
      <c r="G7797" s="33"/>
      <c r="H7797" s="33"/>
      <c r="I7797" s="33"/>
      <c r="J7797" s="33"/>
      <c r="K7797" s="33"/>
      <c r="L7797" s="33"/>
      <c r="M7797" s="33"/>
      <c r="N7797" s="33"/>
      <c r="O7797" s="33"/>
      <c r="P7797" s="33"/>
      <c r="Q7797" s="33"/>
      <c r="R7797" s="33"/>
      <c r="S7797" s="33"/>
      <c r="T7797" s="33"/>
      <c r="U7797" s="33"/>
      <c r="V7797" s="33"/>
      <c r="W7797" s="33"/>
      <c r="X7797" s="33"/>
      <c r="Y7797" s="33"/>
      <c r="Z7797" s="33"/>
      <c r="AA7797" s="33"/>
      <c r="AB7797" s="33"/>
      <c r="AC7797" s="33"/>
      <c r="AD7797" s="33"/>
      <c r="AE7797" s="33"/>
      <c r="AF7797" s="33"/>
      <c r="AG7797" s="33"/>
      <c r="AH7797" s="33"/>
      <c r="AI7797" s="33"/>
      <c r="AJ7797" s="33"/>
      <c r="AK7797" s="33"/>
    </row>
    <row r="7798">
      <c r="A7798" s="33"/>
      <c r="B7798" s="33"/>
      <c r="C7798" s="33"/>
      <c r="D7798" s="33"/>
      <c r="E7798" s="33"/>
      <c r="F7798" s="33"/>
      <c r="G7798" s="33"/>
      <c r="H7798" s="33"/>
      <c r="I7798" s="33"/>
      <c r="J7798" s="33"/>
      <c r="K7798" s="33"/>
      <c r="L7798" s="33"/>
      <c r="M7798" s="33"/>
      <c r="N7798" s="33"/>
      <c r="O7798" s="33"/>
      <c r="P7798" s="33"/>
      <c r="Q7798" s="33"/>
      <c r="R7798" s="33"/>
      <c r="S7798" s="33"/>
      <c r="T7798" s="33"/>
      <c r="U7798" s="33"/>
      <c r="V7798" s="33"/>
      <c r="W7798" s="33"/>
      <c r="X7798" s="33"/>
      <c r="Y7798" s="33"/>
      <c r="Z7798" s="33"/>
      <c r="AA7798" s="33"/>
      <c r="AB7798" s="33"/>
      <c r="AC7798" s="33"/>
      <c r="AD7798" s="33"/>
      <c r="AE7798" s="33"/>
      <c r="AF7798" s="33"/>
      <c r="AG7798" s="33"/>
      <c r="AH7798" s="33"/>
      <c r="AI7798" s="33"/>
      <c r="AJ7798" s="33"/>
      <c r="AK7798" s="33"/>
    </row>
    <row r="7799">
      <c r="A7799" s="33"/>
      <c r="B7799" s="33"/>
      <c r="C7799" s="33"/>
      <c r="D7799" s="33"/>
      <c r="E7799" s="33"/>
      <c r="F7799" s="33"/>
      <c r="G7799" s="33"/>
      <c r="H7799" s="33"/>
      <c r="I7799" s="33"/>
      <c r="J7799" s="33"/>
      <c r="K7799" s="33"/>
      <c r="L7799" s="33"/>
      <c r="M7799" s="33"/>
      <c r="N7799" s="33"/>
      <c r="O7799" s="33"/>
      <c r="P7799" s="33"/>
      <c r="Q7799" s="33"/>
      <c r="R7799" s="33"/>
      <c r="S7799" s="33"/>
      <c r="T7799" s="33"/>
      <c r="U7799" s="33"/>
      <c r="V7799" s="33"/>
      <c r="W7799" s="33"/>
      <c r="X7799" s="33"/>
      <c r="Y7799" s="33"/>
      <c r="Z7799" s="33"/>
      <c r="AA7799" s="33"/>
      <c r="AB7799" s="33"/>
      <c r="AC7799" s="33"/>
      <c r="AD7799" s="33"/>
      <c r="AE7799" s="33"/>
      <c r="AF7799" s="33"/>
      <c r="AG7799" s="33"/>
      <c r="AH7799" s="33"/>
      <c r="AI7799" s="33"/>
      <c r="AJ7799" s="33"/>
      <c r="AK7799" s="33"/>
    </row>
    <row r="7800">
      <c r="A7800" s="33"/>
      <c r="B7800" s="33"/>
      <c r="C7800" s="33"/>
      <c r="D7800" s="33"/>
      <c r="E7800" s="33"/>
      <c r="F7800" s="33"/>
      <c r="G7800" s="33"/>
      <c r="H7800" s="33"/>
      <c r="I7800" s="33"/>
      <c r="J7800" s="33"/>
      <c r="K7800" s="33"/>
      <c r="L7800" s="33"/>
      <c r="M7800" s="33"/>
      <c r="N7800" s="33"/>
      <c r="O7800" s="33"/>
      <c r="P7800" s="33"/>
      <c r="Q7800" s="33"/>
      <c r="R7800" s="33"/>
      <c r="S7800" s="33"/>
      <c r="T7800" s="33"/>
      <c r="U7800" s="33"/>
      <c r="V7800" s="33"/>
      <c r="W7800" s="33"/>
      <c r="X7800" s="33"/>
      <c r="Y7800" s="33"/>
      <c r="Z7800" s="33"/>
      <c r="AA7800" s="33"/>
      <c r="AB7800" s="33"/>
      <c r="AC7800" s="33"/>
      <c r="AD7800" s="33"/>
      <c r="AE7800" s="33"/>
      <c r="AF7800" s="33"/>
      <c r="AG7800" s="33"/>
      <c r="AH7800" s="33"/>
      <c r="AI7800" s="33"/>
      <c r="AJ7800" s="33"/>
      <c r="AK7800" s="33"/>
    </row>
    <row r="7801">
      <c r="A7801" s="33"/>
      <c r="B7801" s="33"/>
      <c r="C7801" s="33"/>
      <c r="D7801" s="33"/>
      <c r="E7801" s="33"/>
      <c r="F7801" s="33"/>
      <c r="G7801" s="33"/>
      <c r="H7801" s="33"/>
      <c r="I7801" s="33"/>
      <c r="J7801" s="33"/>
      <c r="K7801" s="33"/>
      <c r="L7801" s="33"/>
      <c r="M7801" s="33"/>
      <c r="N7801" s="33"/>
      <c r="O7801" s="33"/>
      <c r="P7801" s="33"/>
      <c r="Q7801" s="33"/>
      <c r="R7801" s="33"/>
      <c r="S7801" s="33"/>
      <c r="T7801" s="33"/>
      <c r="U7801" s="33"/>
      <c r="V7801" s="33"/>
      <c r="W7801" s="33"/>
      <c r="X7801" s="33"/>
      <c r="Y7801" s="33"/>
      <c r="Z7801" s="33"/>
      <c r="AA7801" s="33"/>
      <c r="AB7801" s="33"/>
      <c r="AC7801" s="33"/>
      <c r="AD7801" s="33"/>
      <c r="AE7801" s="33"/>
      <c r="AF7801" s="33"/>
      <c r="AG7801" s="33"/>
      <c r="AH7801" s="33"/>
      <c r="AI7801" s="33"/>
      <c r="AJ7801" s="33"/>
      <c r="AK7801" s="33"/>
    </row>
    <row r="7802">
      <c r="A7802" s="33"/>
      <c r="B7802" s="33"/>
      <c r="C7802" s="33"/>
      <c r="D7802" s="33"/>
      <c r="E7802" s="33"/>
      <c r="F7802" s="33"/>
      <c r="G7802" s="33"/>
      <c r="H7802" s="33"/>
      <c r="I7802" s="33"/>
      <c r="J7802" s="33"/>
      <c r="K7802" s="33"/>
      <c r="L7802" s="33"/>
      <c r="M7802" s="33"/>
      <c r="N7802" s="33"/>
      <c r="O7802" s="33"/>
      <c r="P7802" s="33"/>
      <c r="Q7802" s="33"/>
      <c r="R7802" s="33"/>
      <c r="S7802" s="33"/>
      <c r="T7802" s="33"/>
      <c r="U7802" s="33"/>
      <c r="V7802" s="33"/>
      <c r="W7802" s="33"/>
      <c r="X7802" s="33"/>
      <c r="Y7802" s="33"/>
      <c r="Z7802" s="33"/>
      <c r="AA7802" s="33"/>
      <c r="AB7802" s="33"/>
      <c r="AC7802" s="33"/>
      <c r="AD7802" s="33"/>
      <c r="AE7802" s="33"/>
      <c r="AF7802" s="33"/>
      <c r="AG7802" s="33"/>
      <c r="AH7802" s="33"/>
      <c r="AI7802" s="33"/>
      <c r="AJ7802" s="33"/>
      <c r="AK7802" s="33"/>
    </row>
    <row r="7803">
      <c r="A7803" s="33"/>
      <c r="B7803" s="33"/>
      <c r="C7803" s="33"/>
      <c r="D7803" s="33"/>
      <c r="E7803" s="33"/>
      <c r="F7803" s="33"/>
      <c r="G7803" s="33"/>
      <c r="H7803" s="33"/>
      <c r="I7803" s="33"/>
      <c r="J7803" s="33"/>
      <c r="K7803" s="33"/>
      <c r="L7803" s="33"/>
      <c r="M7803" s="33"/>
      <c r="N7803" s="33"/>
      <c r="O7803" s="33"/>
      <c r="P7803" s="33"/>
      <c r="Q7803" s="33"/>
      <c r="R7803" s="33"/>
      <c r="S7803" s="33"/>
      <c r="T7803" s="33"/>
      <c r="U7803" s="33"/>
      <c r="V7803" s="33"/>
      <c r="W7803" s="33"/>
      <c r="X7803" s="33"/>
      <c r="Y7803" s="33"/>
      <c r="Z7803" s="33"/>
      <c r="AA7803" s="33"/>
      <c r="AB7803" s="33"/>
      <c r="AC7803" s="33"/>
      <c r="AD7803" s="33"/>
      <c r="AE7803" s="33"/>
      <c r="AF7803" s="33"/>
      <c r="AG7803" s="33"/>
      <c r="AH7803" s="33"/>
      <c r="AI7803" s="33"/>
      <c r="AJ7803" s="33"/>
      <c r="AK7803" s="33"/>
    </row>
    <row r="7804">
      <c r="A7804" s="33"/>
      <c r="B7804" s="33"/>
      <c r="C7804" s="33"/>
      <c r="D7804" s="33"/>
      <c r="E7804" s="33"/>
      <c r="F7804" s="33"/>
      <c r="G7804" s="33"/>
      <c r="H7804" s="33"/>
      <c r="I7804" s="33"/>
      <c r="J7804" s="33"/>
      <c r="K7804" s="33"/>
      <c r="L7804" s="33"/>
      <c r="M7804" s="33"/>
      <c r="N7804" s="33"/>
      <c r="O7804" s="33"/>
      <c r="P7804" s="33"/>
      <c r="Q7804" s="33"/>
      <c r="R7804" s="33"/>
      <c r="S7804" s="33"/>
      <c r="T7804" s="33"/>
      <c r="U7804" s="33"/>
      <c r="V7804" s="33"/>
      <c r="W7804" s="33"/>
      <c r="X7804" s="33"/>
      <c r="Y7804" s="33"/>
      <c r="Z7804" s="33"/>
      <c r="AA7804" s="33"/>
      <c r="AB7804" s="33"/>
      <c r="AC7804" s="33"/>
      <c r="AD7804" s="33"/>
      <c r="AE7804" s="33"/>
      <c r="AF7804" s="33"/>
      <c r="AG7804" s="33"/>
      <c r="AH7804" s="33"/>
      <c r="AI7804" s="33"/>
      <c r="AJ7804" s="33"/>
      <c r="AK7804" s="33"/>
    </row>
    <row r="7805">
      <c r="A7805" s="33"/>
      <c r="B7805" s="33"/>
      <c r="C7805" s="33"/>
      <c r="D7805" s="33"/>
      <c r="E7805" s="33"/>
      <c r="F7805" s="33"/>
      <c r="G7805" s="33"/>
      <c r="H7805" s="33"/>
      <c r="I7805" s="33"/>
      <c r="J7805" s="33"/>
      <c r="K7805" s="33"/>
      <c r="L7805" s="33"/>
      <c r="M7805" s="33"/>
      <c r="N7805" s="33"/>
      <c r="O7805" s="33"/>
      <c r="P7805" s="33"/>
      <c r="Q7805" s="33"/>
      <c r="R7805" s="33"/>
      <c r="S7805" s="33"/>
      <c r="T7805" s="33"/>
      <c r="U7805" s="33"/>
      <c r="V7805" s="33"/>
      <c r="W7805" s="33"/>
      <c r="X7805" s="33"/>
      <c r="Y7805" s="33"/>
      <c r="Z7805" s="33"/>
      <c r="AA7805" s="33"/>
      <c r="AB7805" s="33"/>
      <c r="AC7805" s="33"/>
      <c r="AD7805" s="33"/>
      <c r="AE7805" s="33"/>
      <c r="AF7805" s="33"/>
      <c r="AG7805" s="33"/>
      <c r="AH7805" s="33"/>
      <c r="AI7805" s="33"/>
      <c r="AJ7805" s="33"/>
      <c r="AK7805" s="33"/>
    </row>
    <row r="7806">
      <c r="A7806" s="33"/>
      <c r="B7806" s="33"/>
      <c r="C7806" s="33"/>
      <c r="D7806" s="33"/>
      <c r="E7806" s="33"/>
      <c r="F7806" s="33"/>
      <c r="G7806" s="33"/>
      <c r="H7806" s="33"/>
      <c r="I7806" s="33"/>
      <c r="J7806" s="33"/>
      <c r="K7806" s="33"/>
      <c r="L7806" s="33"/>
      <c r="M7806" s="33"/>
      <c r="N7806" s="33"/>
      <c r="O7806" s="33"/>
      <c r="P7806" s="33"/>
      <c r="Q7806" s="33"/>
      <c r="R7806" s="33"/>
      <c r="S7806" s="33"/>
      <c r="T7806" s="33"/>
      <c r="U7806" s="33"/>
      <c r="V7806" s="33"/>
      <c r="W7806" s="33"/>
      <c r="X7806" s="33"/>
      <c r="Y7806" s="33"/>
      <c r="Z7806" s="33"/>
      <c r="AA7806" s="33"/>
      <c r="AB7806" s="33"/>
      <c r="AC7806" s="33"/>
      <c r="AD7806" s="33"/>
      <c r="AE7806" s="33"/>
      <c r="AF7806" s="33"/>
      <c r="AG7806" s="33"/>
      <c r="AH7806" s="33"/>
      <c r="AI7806" s="33"/>
      <c r="AJ7806" s="33"/>
      <c r="AK7806" s="33"/>
    </row>
    <row r="7807">
      <c r="A7807" s="33"/>
      <c r="B7807" s="33"/>
      <c r="C7807" s="33"/>
      <c r="D7807" s="33"/>
      <c r="E7807" s="33"/>
      <c r="F7807" s="33"/>
      <c r="G7807" s="33"/>
      <c r="H7807" s="33"/>
      <c r="I7807" s="33"/>
      <c r="J7807" s="33"/>
      <c r="K7807" s="33"/>
      <c r="L7807" s="33"/>
      <c r="M7807" s="33"/>
      <c r="N7807" s="33"/>
      <c r="O7807" s="33"/>
      <c r="P7807" s="33"/>
      <c r="Q7807" s="33"/>
      <c r="R7807" s="33"/>
      <c r="S7807" s="33"/>
      <c r="T7807" s="33"/>
      <c r="U7807" s="33"/>
      <c r="V7807" s="33"/>
      <c r="W7807" s="33"/>
      <c r="X7807" s="33"/>
      <c r="Y7807" s="33"/>
      <c r="Z7807" s="33"/>
      <c r="AA7807" s="33"/>
      <c r="AB7807" s="33"/>
      <c r="AC7807" s="33"/>
      <c r="AD7807" s="33"/>
      <c r="AE7807" s="33"/>
      <c r="AF7807" s="33"/>
      <c r="AG7807" s="33"/>
      <c r="AH7807" s="33"/>
      <c r="AI7807" s="33"/>
      <c r="AJ7807" s="33"/>
      <c r="AK7807" s="33"/>
    </row>
    <row r="7808">
      <c r="A7808" s="33"/>
      <c r="B7808" s="33"/>
      <c r="C7808" s="33"/>
      <c r="D7808" s="33"/>
      <c r="E7808" s="33"/>
      <c r="F7808" s="33"/>
      <c r="G7808" s="33"/>
      <c r="H7808" s="33"/>
      <c r="I7808" s="33"/>
      <c r="J7808" s="33"/>
      <c r="K7808" s="33"/>
      <c r="L7808" s="33"/>
      <c r="M7808" s="33"/>
      <c r="N7808" s="33"/>
      <c r="O7808" s="33"/>
      <c r="P7808" s="33"/>
      <c r="Q7808" s="33"/>
      <c r="R7808" s="33"/>
      <c r="S7808" s="33"/>
      <c r="T7808" s="33"/>
      <c r="U7808" s="33"/>
      <c r="V7808" s="33"/>
      <c r="W7808" s="33"/>
      <c r="X7808" s="33"/>
      <c r="Y7808" s="33"/>
      <c r="Z7808" s="33"/>
      <c r="AA7808" s="33"/>
      <c r="AB7808" s="33"/>
      <c r="AC7808" s="33"/>
      <c r="AD7808" s="33"/>
      <c r="AE7808" s="33"/>
      <c r="AF7808" s="33"/>
      <c r="AG7808" s="33"/>
      <c r="AH7808" s="33"/>
      <c r="AI7808" s="33"/>
      <c r="AJ7808" s="33"/>
      <c r="AK7808" s="33"/>
    </row>
    <row r="7809">
      <c r="A7809" s="33"/>
      <c r="B7809" s="33"/>
      <c r="C7809" s="33"/>
      <c r="D7809" s="33"/>
      <c r="E7809" s="33"/>
      <c r="F7809" s="33"/>
      <c r="G7809" s="33"/>
      <c r="H7809" s="33"/>
      <c r="I7809" s="33"/>
      <c r="J7809" s="33"/>
      <c r="K7809" s="33"/>
      <c r="L7809" s="33"/>
      <c r="M7809" s="33"/>
      <c r="N7809" s="33"/>
      <c r="O7809" s="33"/>
      <c r="P7809" s="33"/>
      <c r="Q7809" s="33"/>
      <c r="R7809" s="33"/>
      <c r="S7809" s="33"/>
      <c r="T7809" s="33"/>
      <c r="U7809" s="33"/>
      <c r="V7809" s="33"/>
      <c r="W7809" s="33"/>
      <c r="X7809" s="33"/>
      <c r="Y7809" s="33"/>
      <c r="Z7809" s="33"/>
      <c r="AA7809" s="33"/>
      <c r="AB7809" s="33"/>
      <c r="AC7809" s="33"/>
      <c r="AD7809" s="33"/>
      <c r="AE7809" s="33"/>
      <c r="AF7809" s="33"/>
      <c r="AG7809" s="33"/>
      <c r="AH7809" s="33"/>
      <c r="AI7809" s="33"/>
      <c r="AJ7809" s="33"/>
      <c r="AK7809" s="33"/>
    </row>
    <row r="7810">
      <c r="A7810" s="33"/>
      <c r="B7810" s="33"/>
      <c r="C7810" s="33"/>
      <c r="D7810" s="33"/>
      <c r="E7810" s="33"/>
      <c r="F7810" s="33"/>
      <c r="G7810" s="33"/>
      <c r="H7810" s="33"/>
      <c r="I7810" s="33"/>
      <c r="J7810" s="33"/>
      <c r="K7810" s="33"/>
      <c r="L7810" s="33"/>
      <c r="M7810" s="33"/>
      <c r="N7810" s="33"/>
      <c r="O7810" s="33"/>
      <c r="P7810" s="33"/>
      <c r="Q7810" s="33"/>
      <c r="R7810" s="33"/>
      <c r="S7810" s="33"/>
      <c r="T7810" s="33"/>
      <c r="U7810" s="33"/>
      <c r="V7810" s="33"/>
      <c r="W7810" s="33"/>
      <c r="X7810" s="33"/>
      <c r="Y7810" s="33"/>
      <c r="Z7810" s="33"/>
      <c r="AA7810" s="33"/>
      <c r="AB7810" s="33"/>
      <c r="AC7810" s="33"/>
      <c r="AD7810" s="33"/>
      <c r="AE7810" s="33"/>
      <c r="AF7810" s="33"/>
      <c r="AG7810" s="33"/>
      <c r="AH7810" s="33"/>
      <c r="AI7810" s="33"/>
      <c r="AJ7810" s="33"/>
      <c r="AK7810" s="33"/>
    </row>
    <row r="7811">
      <c r="A7811" s="33"/>
      <c r="B7811" s="33"/>
      <c r="C7811" s="33"/>
      <c r="D7811" s="33"/>
      <c r="E7811" s="33"/>
      <c r="F7811" s="33"/>
      <c r="G7811" s="33"/>
      <c r="H7811" s="33"/>
      <c r="I7811" s="33"/>
      <c r="J7811" s="33"/>
      <c r="K7811" s="33"/>
      <c r="L7811" s="33"/>
      <c r="M7811" s="33"/>
      <c r="N7811" s="33"/>
      <c r="O7811" s="33"/>
      <c r="P7811" s="33"/>
      <c r="Q7811" s="33"/>
      <c r="R7811" s="33"/>
      <c r="S7811" s="33"/>
      <c r="T7811" s="33"/>
      <c r="U7811" s="33"/>
      <c r="V7811" s="33"/>
      <c r="W7811" s="33"/>
      <c r="X7811" s="33"/>
      <c r="Y7811" s="33"/>
      <c r="Z7811" s="33"/>
      <c r="AA7811" s="33"/>
      <c r="AB7811" s="33"/>
      <c r="AC7811" s="33"/>
      <c r="AD7811" s="33"/>
      <c r="AE7811" s="33"/>
      <c r="AF7811" s="33"/>
      <c r="AG7811" s="33"/>
      <c r="AH7811" s="33"/>
      <c r="AI7811" s="33"/>
      <c r="AJ7811" s="33"/>
      <c r="AK7811" s="33"/>
    </row>
    <row r="7812">
      <c r="A7812" s="33"/>
      <c r="B7812" s="33"/>
      <c r="C7812" s="33"/>
      <c r="D7812" s="33"/>
      <c r="E7812" s="33"/>
      <c r="F7812" s="33"/>
      <c r="G7812" s="33"/>
      <c r="H7812" s="33"/>
      <c r="I7812" s="33"/>
      <c r="J7812" s="33"/>
      <c r="K7812" s="33"/>
      <c r="L7812" s="33"/>
      <c r="M7812" s="33"/>
      <c r="N7812" s="33"/>
      <c r="O7812" s="33"/>
      <c r="P7812" s="33"/>
      <c r="Q7812" s="33"/>
      <c r="R7812" s="33"/>
      <c r="S7812" s="33"/>
      <c r="T7812" s="33"/>
      <c r="U7812" s="33"/>
      <c r="V7812" s="33"/>
      <c r="W7812" s="33"/>
      <c r="X7812" s="33"/>
      <c r="Y7812" s="33"/>
      <c r="Z7812" s="33"/>
      <c r="AA7812" s="33"/>
      <c r="AB7812" s="33"/>
      <c r="AC7812" s="33"/>
      <c r="AD7812" s="33"/>
      <c r="AE7812" s="33"/>
      <c r="AF7812" s="33"/>
      <c r="AG7812" s="33"/>
      <c r="AH7812" s="33"/>
      <c r="AI7812" s="33"/>
      <c r="AJ7812" s="33"/>
      <c r="AK7812" s="33"/>
    </row>
    <row r="7813">
      <c r="A7813" s="33"/>
      <c r="B7813" s="33"/>
      <c r="C7813" s="33"/>
      <c r="D7813" s="33"/>
      <c r="E7813" s="33"/>
      <c r="F7813" s="33"/>
      <c r="G7813" s="33"/>
      <c r="H7813" s="33"/>
      <c r="I7813" s="33"/>
      <c r="J7813" s="33"/>
      <c r="K7813" s="33"/>
      <c r="L7813" s="33"/>
      <c r="M7813" s="33"/>
      <c r="N7813" s="33"/>
      <c r="O7813" s="33"/>
      <c r="P7813" s="33"/>
      <c r="Q7813" s="33"/>
      <c r="R7813" s="33"/>
      <c r="S7813" s="33"/>
      <c r="T7813" s="33"/>
      <c r="U7813" s="33"/>
      <c r="V7813" s="33"/>
      <c r="W7813" s="33"/>
      <c r="X7813" s="33"/>
      <c r="Y7813" s="33"/>
      <c r="Z7813" s="33"/>
      <c r="AA7813" s="33"/>
      <c r="AB7813" s="33"/>
      <c r="AC7813" s="33"/>
      <c r="AD7813" s="33"/>
      <c r="AE7813" s="33"/>
      <c r="AF7813" s="33"/>
      <c r="AG7813" s="33"/>
      <c r="AH7813" s="33"/>
      <c r="AI7813" s="33"/>
      <c r="AJ7813" s="33"/>
      <c r="AK7813" s="33"/>
    </row>
    <row r="7814">
      <c r="A7814" s="33"/>
      <c r="B7814" s="33"/>
      <c r="C7814" s="33"/>
      <c r="D7814" s="33"/>
      <c r="E7814" s="33"/>
      <c r="F7814" s="33"/>
      <c r="G7814" s="33"/>
      <c r="H7814" s="33"/>
      <c r="I7814" s="33"/>
      <c r="J7814" s="33"/>
      <c r="K7814" s="33"/>
      <c r="L7814" s="33"/>
      <c r="M7814" s="33"/>
      <c r="N7814" s="33"/>
      <c r="O7814" s="33"/>
      <c r="P7814" s="33"/>
      <c r="Q7814" s="33"/>
      <c r="R7814" s="33"/>
      <c r="S7814" s="33"/>
      <c r="T7814" s="33"/>
      <c r="U7814" s="33"/>
      <c r="V7814" s="33"/>
      <c r="W7814" s="33"/>
      <c r="X7814" s="33"/>
      <c r="Y7814" s="33"/>
      <c r="Z7814" s="33"/>
      <c r="AA7814" s="33"/>
      <c r="AB7814" s="33"/>
      <c r="AC7814" s="33"/>
      <c r="AD7814" s="33"/>
      <c r="AE7814" s="33"/>
      <c r="AF7814" s="33"/>
      <c r="AG7814" s="33"/>
      <c r="AH7814" s="33"/>
      <c r="AI7814" s="33"/>
      <c r="AJ7814" s="33"/>
      <c r="AK7814" s="33"/>
    </row>
    <row r="7815">
      <c r="A7815" s="33"/>
      <c r="B7815" s="33"/>
      <c r="C7815" s="33"/>
      <c r="D7815" s="33"/>
      <c r="E7815" s="33"/>
      <c r="F7815" s="33"/>
      <c r="G7815" s="33"/>
      <c r="H7815" s="33"/>
      <c r="I7815" s="33"/>
      <c r="J7815" s="33"/>
      <c r="K7815" s="33"/>
      <c r="L7815" s="33"/>
      <c r="M7815" s="33"/>
      <c r="N7815" s="33"/>
      <c r="O7815" s="33"/>
      <c r="P7815" s="33"/>
      <c r="Q7815" s="33"/>
      <c r="R7815" s="33"/>
      <c r="S7815" s="33"/>
      <c r="T7815" s="33"/>
      <c r="U7815" s="33"/>
      <c r="V7815" s="33"/>
      <c r="W7815" s="33"/>
      <c r="X7815" s="33"/>
      <c r="Y7815" s="33"/>
      <c r="Z7815" s="33"/>
      <c r="AA7815" s="33"/>
      <c r="AB7815" s="33"/>
      <c r="AC7815" s="33"/>
      <c r="AD7815" s="33"/>
      <c r="AE7815" s="33"/>
      <c r="AF7815" s="33"/>
      <c r="AG7815" s="33"/>
      <c r="AH7815" s="33"/>
      <c r="AI7815" s="33"/>
      <c r="AJ7815" s="33"/>
      <c r="AK7815" s="33"/>
    </row>
    <row r="7816">
      <c r="A7816" s="33"/>
      <c r="B7816" s="33"/>
      <c r="C7816" s="33"/>
      <c r="D7816" s="33"/>
      <c r="E7816" s="33"/>
      <c r="F7816" s="33"/>
      <c r="G7816" s="33"/>
      <c r="H7816" s="33"/>
      <c r="I7816" s="33"/>
      <c r="J7816" s="33"/>
      <c r="K7816" s="33"/>
      <c r="L7816" s="33"/>
      <c r="M7816" s="33"/>
      <c r="N7816" s="33"/>
      <c r="O7816" s="33"/>
      <c r="P7816" s="33"/>
      <c r="Q7816" s="33"/>
      <c r="R7816" s="33"/>
      <c r="S7816" s="33"/>
      <c r="T7816" s="33"/>
      <c r="U7816" s="33"/>
      <c r="V7816" s="33"/>
      <c r="W7816" s="33"/>
      <c r="X7816" s="33"/>
      <c r="Y7816" s="33"/>
      <c r="Z7816" s="33"/>
      <c r="AA7816" s="33"/>
      <c r="AB7816" s="33"/>
      <c r="AC7816" s="33"/>
      <c r="AD7816" s="33"/>
      <c r="AE7816" s="33"/>
      <c r="AF7816" s="33"/>
      <c r="AG7816" s="33"/>
      <c r="AH7816" s="33"/>
      <c r="AI7816" s="33"/>
      <c r="AJ7816" s="33"/>
      <c r="AK7816" s="33"/>
    </row>
    <row r="7817">
      <c r="A7817" s="33"/>
      <c r="B7817" s="33"/>
      <c r="C7817" s="33"/>
      <c r="D7817" s="33"/>
      <c r="E7817" s="33"/>
      <c r="F7817" s="33"/>
      <c r="G7817" s="33"/>
      <c r="H7817" s="33"/>
      <c r="I7817" s="33"/>
      <c r="J7817" s="33"/>
      <c r="K7817" s="33"/>
      <c r="L7817" s="33"/>
      <c r="M7817" s="33"/>
      <c r="N7817" s="33"/>
      <c r="O7817" s="33"/>
      <c r="P7817" s="33"/>
      <c r="Q7817" s="33"/>
      <c r="R7817" s="33"/>
      <c r="S7817" s="33"/>
      <c r="T7817" s="33"/>
      <c r="U7817" s="33"/>
      <c r="V7817" s="33"/>
      <c r="W7817" s="33"/>
      <c r="X7817" s="33"/>
      <c r="Y7817" s="33"/>
      <c r="Z7817" s="33"/>
      <c r="AA7817" s="33"/>
      <c r="AB7817" s="33"/>
      <c r="AC7817" s="33"/>
      <c r="AD7817" s="33"/>
      <c r="AE7817" s="33"/>
      <c r="AF7817" s="33"/>
      <c r="AG7817" s="33"/>
      <c r="AH7817" s="33"/>
      <c r="AI7817" s="33"/>
      <c r="AJ7817" s="33"/>
      <c r="AK7817" s="33"/>
    </row>
    <row r="7818">
      <c r="A7818" s="33"/>
      <c r="B7818" s="33"/>
      <c r="C7818" s="33"/>
      <c r="D7818" s="33"/>
      <c r="E7818" s="33"/>
      <c r="F7818" s="33"/>
      <c r="G7818" s="33"/>
      <c r="H7818" s="33"/>
      <c r="I7818" s="33"/>
      <c r="J7818" s="33"/>
      <c r="K7818" s="33"/>
      <c r="L7818" s="33"/>
      <c r="M7818" s="33"/>
      <c r="N7818" s="33"/>
      <c r="O7818" s="33"/>
      <c r="P7818" s="33"/>
      <c r="Q7818" s="33"/>
      <c r="R7818" s="33"/>
      <c r="S7818" s="33"/>
      <c r="T7818" s="33"/>
      <c r="U7818" s="33"/>
      <c r="V7818" s="33"/>
      <c r="W7818" s="33"/>
      <c r="X7818" s="33"/>
      <c r="Y7818" s="33"/>
      <c r="Z7818" s="33"/>
      <c r="AA7818" s="33"/>
      <c r="AB7818" s="33"/>
      <c r="AC7818" s="33"/>
      <c r="AD7818" s="33"/>
      <c r="AE7818" s="33"/>
      <c r="AF7818" s="33"/>
      <c r="AG7818" s="33"/>
      <c r="AH7818" s="33"/>
      <c r="AI7818" s="33"/>
      <c r="AJ7818" s="33"/>
      <c r="AK7818" s="33"/>
    </row>
    <row r="7819">
      <c r="A7819" s="33"/>
      <c r="B7819" s="33"/>
      <c r="C7819" s="33"/>
      <c r="D7819" s="33"/>
      <c r="E7819" s="33"/>
      <c r="F7819" s="33"/>
      <c r="G7819" s="33"/>
      <c r="H7819" s="33"/>
      <c r="I7819" s="33"/>
      <c r="J7819" s="33"/>
      <c r="K7819" s="33"/>
      <c r="L7819" s="33"/>
      <c r="M7819" s="33"/>
      <c r="N7819" s="33"/>
      <c r="O7819" s="33"/>
      <c r="P7819" s="33"/>
      <c r="Q7819" s="33"/>
      <c r="R7819" s="33"/>
      <c r="S7819" s="33"/>
      <c r="T7819" s="33"/>
      <c r="U7819" s="33"/>
      <c r="V7819" s="33"/>
      <c r="W7819" s="33"/>
      <c r="X7819" s="33"/>
      <c r="Y7819" s="33"/>
      <c r="Z7819" s="33"/>
      <c r="AA7819" s="33"/>
      <c r="AB7819" s="33"/>
      <c r="AC7819" s="33"/>
      <c r="AD7819" s="33"/>
      <c r="AE7819" s="33"/>
      <c r="AF7819" s="33"/>
      <c r="AG7819" s="33"/>
      <c r="AH7819" s="33"/>
      <c r="AI7819" s="33"/>
      <c r="AJ7819" s="33"/>
      <c r="AK7819" s="33"/>
    </row>
    <row r="7820">
      <c r="A7820" s="33"/>
      <c r="B7820" s="33"/>
      <c r="C7820" s="33"/>
      <c r="D7820" s="33"/>
      <c r="E7820" s="33"/>
      <c r="F7820" s="33"/>
      <c r="G7820" s="33"/>
      <c r="H7820" s="33"/>
      <c r="I7820" s="33"/>
      <c r="J7820" s="33"/>
      <c r="K7820" s="33"/>
      <c r="L7820" s="33"/>
      <c r="M7820" s="33"/>
      <c r="N7820" s="33"/>
      <c r="O7820" s="33"/>
      <c r="P7820" s="33"/>
      <c r="Q7820" s="33"/>
      <c r="R7820" s="33"/>
      <c r="S7820" s="33"/>
      <c r="T7820" s="33"/>
      <c r="U7820" s="33"/>
      <c r="V7820" s="33"/>
      <c r="W7820" s="33"/>
      <c r="X7820" s="33"/>
      <c r="Y7820" s="33"/>
      <c r="Z7820" s="33"/>
      <c r="AA7820" s="33"/>
      <c r="AB7820" s="33"/>
      <c r="AC7820" s="33"/>
      <c r="AD7820" s="33"/>
      <c r="AE7820" s="33"/>
      <c r="AF7820" s="33"/>
      <c r="AG7820" s="33"/>
      <c r="AH7820" s="33"/>
      <c r="AI7820" s="33"/>
      <c r="AJ7820" s="33"/>
      <c r="AK7820" s="33"/>
    </row>
    <row r="7821">
      <c r="A7821" s="33"/>
      <c r="B7821" s="33"/>
      <c r="C7821" s="33"/>
      <c r="D7821" s="33"/>
      <c r="E7821" s="33"/>
      <c r="F7821" s="33"/>
      <c r="G7821" s="33"/>
      <c r="H7821" s="33"/>
      <c r="I7821" s="33"/>
      <c r="J7821" s="33"/>
      <c r="K7821" s="33"/>
      <c r="L7821" s="33"/>
      <c r="M7821" s="33"/>
      <c r="N7821" s="33"/>
      <c r="O7821" s="33"/>
      <c r="P7821" s="33"/>
      <c r="Q7821" s="33"/>
      <c r="R7821" s="33"/>
      <c r="S7821" s="33"/>
      <c r="T7821" s="33"/>
      <c r="U7821" s="33"/>
      <c r="V7821" s="33"/>
      <c r="W7821" s="33"/>
      <c r="X7821" s="33"/>
      <c r="Y7821" s="33"/>
      <c r="Z7821" s="33"/>
      <c r="AA7821" s="33"/>
      <c r="AB7821" s="33"/>
      <c r="AC7821" s="33"/>
      <c r="AD7821" s="33"/>
      <c r="AE7821" s="33"/>
      <c r="AF7821" s="33"/>
      <c r="AG7821" s="33"/>
      <c r="AH7821" s="33"/>
      <c r="AI7821" s="33"/>
      <c r="AJ7821" s="33"/>
      <c r="AK7821" s="33"/>
    </row>
    <row r="7822">
      <c r="A7822" s="33"/>
      <c r="B7822" s="33"/>
      <c r="C7822" s="33"/>
      <c r="D7822" s="33"/>
      <c r="E7822" s="33"/>
      <c r="F7822" s="33"/>
      <c r="G7822" s="33"/>
      <c r="H7822" s="33"/>
      <c r="I7822" s="33"/>
      <c r="J7822" s="33"/>
      <c r="K7822" s="33"/>
      <c r="L7822" s="33"/>
      <c r="M7822" s="33"/>
      <c r="N7822" s="33"/>
      <c r="O7822" s="33"/>
      <c r="P7822" s="33"/>
      <c r="Q7822" s="33"/>
      <c r="R7822" s="33"/>
      <c r="S7822" s="33"/>
      <c r="T7822" s="33"/>
      <c r="U7822" s="33"/>
      <c r="V7822" s="33"/>
      <c r="W7822" s="33"/>
      <c r="X7822" s="33"/>
      <c r="Y7822" s="33"/>
      <c r="Z7822" s="33"/>
      <c r="AA7822" s="33"/>
      <c r="AB7822" s="33"/>
      <c r="AC7822" s="33"/>
      <c r="AD7822" s="33"/>
      <c r="AE7822" s="33"/>
      <c r="AF7822" s="33"/>
      <c r="AG7822" s="33"/>
      <c r="AH7822" s="33"/>
      <c r="AI7822" s="33"/>
      <c r="AJ7822" s="33"/>
      <c r="AK7822" s="33"/>
    </row>
    <row r="7823">
      <c r="A7823" s="33"/>
      <c r="B7823" s="33"/>
      <c r="C7823" s="33"/>
      <c r="D7823" s="33"/>
      <c r="E7823" s="33"/>
      <c r="F7823" s="33"/>
      <c r="G7823" s="33"/>
      <c r="H7823" s="33"/>
      <c r="I7823" s="33"/>
      <c r="J7823" s="33"/>
      <c r="K7823" s="33"/>
      <c r="L7823" s="33"/>
      <c r="M7823" s="33"/>
      <c r="N7823" s="33"/>
      <c r="O7823" s="33"/>
      <c r="P7823" s="33"/>
      <c r="Q7823" s="33"/>
      <c r="R7823" s="33"/>
      <c r="S7823" s="33"/>
      <c r="T7823" s="33"/>
      <c r="U7823" s="33"/>
      <c r="V7823" s="33"/>
      <c r="W7823" s="33"/>
      <c r="X7823" s="33"/>
      <c r="Y7823" s="33"/>
      <c r="Z7823" s="33"/>
      <c r="AA7823" s="33"/>
      <c r="AB7823" s="33"/>
      <c r="AC7823" s="33"/>
      <c r="AD7823" s="33"/>
      <c r="AE7823" s="33"/>
      <c r="AF7823" s="33"/>
      <c r="AG7823" s="33"/>
      <c r="AH7823" s="33"/>
      <c r="AI7823" s="33"/>
      <c r="AJ7823" s="33"/>
      <c r="AK7823" s="33"/>
    </row>
    <row r="7824">
      <c r="A7824" s="33"/>
      <c r="B7824" s="33"/>
      <c r="C7824" s="33"/>
      <c r="D7824" s="33"/>
      <c r="E7824" s="33"/>
      <c r="F7824" s="33"/>
      <c r="G7824" s="33"/>
      <c r="H7824" s="33"/>
      <c r="I7824" s="33"/>
      <c r="J7824" s="33"/>
      <c r="K7824" s="33"/>
      <c r="L7824" s="33"/>
      <c r="M7824" s="33"/>
      <c r="N7824" s="33"/>
      <c r="O7824" s="33"/>
      <c r="P7824" s="33"/>
      <c r="Q7824" s="33"/>
      <c r="R7824" s="33"/>
      <c r="S7824" s="33"/>
      <c r="T7824" s="33"/>
      <c r="U7824" s="33"/>
      <c r="V7824" s="33"/>
      <c r="W7824" s="33"/>
      <c r="X7824" s="33"/>
      <c r="Y7824" s="33"/>
      <c r="Z7824" s="33"/>
      <c r="AA7824" s="33"/>
      <c r="AB7824" s="33"/>
      <c r="AC7824" s="33"/>
      <c r="AD7824" s="33"/>
      <c r="AE7824" s="33"/>
      <c r="AF7824" s="33"/>
      <c r="AG7824" s="33"/>
      <c r="AH7824" s="33"/>
      <c r="AI7824" s="33"/>
      <c r="AJ7824" s="33"/>
      <c r="AK7824" s="33"/>
    </row>
    <row r="7825">
      <c r="A7825" s="33"/>
      <c r="B7825" s="33"/>
      <c r="C7825" s="33"/>
      <c r="D7825" s="33"/>
      <c r="E7825" s="33"/>
      <c r="F7825" s="33"/>
      <c r="G7825" s="33"/>
      <c r="H7825" s="33"/>
      <c r="I7825" s="33"/>
      <c r="J7825" s="33"/>
      <c r="K7825" s="33"/>
      <c r="L7825" s="33"/>
      <c r="M7825" s="33"/>
      <c r="N7825" s="33"/>
      <c r="O7825" s="33"/>
      <c r="P7825" s="33"/>
      <c r="Q7825" s="33"/>
      <c r="R7825" s="33"/>
      <c r="S7825" s="33"/>
      <c r="T7825" s="33"/>
      <c r="U7825" s="33"/>
      <c r="V7825" s="33"/>
      <c r="W7825" s="33"/>
      <c r="X7825" s="33"/>
      <c r="Y7825" s="33"/>
      <c r="Z7825" s="33"/>
      <c r="AA7825" s="33"/>
      <c r="AB7825" s="33"/>
      <c r="AC7825" s="33"/>
      <c r="AD7825" s="33"/>
      <c r="AE7825" s="33"/>
      <c r="AF7825" s="33"/>
      <c r="AG7825" s="33"/>
      <c r="AH7825" s="33"/>
      <c r="AI7825" s="33"/>
      <c r="AJ7825" s="33"/>
      <c r="AK7825" s="33"/>
    </row>
    <row r="7826">
      <c r="A7826" s="33"/>
      <c r="B7826" s="33"/>
      <c r="C7826" s="33"/>
      <c r="D7826" s="33"/>
      <c r="E7826" s="33"/>
      <c r="F7826" s="33"/>
      <c r="G7826" s="33"/>
      <c r="H7826" s="33"/>
      <c r="I7826" s="33"/>
      <c r="J7826" s="33"/>
      <c r="K7826" s="33"/>
      <c r="L7826" s="33"/>
      <c r="M7826" s="33"/>
      <c r="N7826" s="33"/>
      <c r="O7826" s="33"/>
      <c r="P7826" s="33"/>
      <c r="Q7826" s="33"/>
      <c r="R7826" s="33"/>
      <c r="S7826" s="33"/>
      <c r="T7826" s="33"/>
      <c r="U7826" s="33"/>
      <c r="V7826" s="33"/>
      <c r="W7826" s="33"/>
      <c r="X7826" s="33"/>
      <c r="Y7826" s="33"/>
      <c r="Z7826" s="33"/>
      <c r="AA7826" s="33"/>
      <c r="AB7826" s="33"/>
      <c r="AC7826" s="33"/>
      <c r="AD7826" s="33"/>
      <c r="AE7826" s="33"/>
      <c r="AF7826" s="33"/>
      <c r="AG7826" s="33"/>
      <c r="AH7826" s="33"/>
      <c r="AI7826" s="33"/>
      <c r="AJ7826" s="33"/>
      <c r="AK7826" s="33"/>
    </row>
    <row r="7827">
      <c r="A7827" s="33"/>
      <c r="B7827" s="33"/>
      <c r="C7827" s="33"/>
      <c r="D7827" s="33"/>
      <c r="E7827" s="33"/>
      <c r="F7827" s="33"/>
      <c r="G7827" s="33"/>
      <c r="H7827" s="33"/>
      <c r="I7827" s="33"/>
      <c r="J7827" s="33"/>
      <c r="K7827" s="33"/>
      <c r="L7827" s="33"/>
      <c r="M7827" s="33"/>
      <c r="N7827" s="33"/>
      <c r="O7827" s="33"/>
      <c r="P7827" s="33"/>
      <c r="Q7827" s="33"/>
      <c r="R7827" s="33"/>
      <c r="S7827" s="33"/>
      <c r="T7827" s="33"/>
      <c r="U7827" s="33"/>
      <c r="V7827" s="33"/>
      <c r="W7827" s="33"/>
      <c r="X7827" s="33"/>
      <c r="Y7827" s="33"/>
      <c r="Z7827" s="33"/>
      <c r="AA7827" s="33"/>
      <c r="AB7827" s="33"/>
      <c r="AC7827" s="33"/>
      <c r="AD7827" s="33"/>
      <c r="AE7827" s="33"/>
      <c r="AF7827" s="33"/>
      <c r="AG7827" s="33"/>
      <c r="AH7827" s="33"/>
      <c r="AI7827" s="33"/>
      <c r="AJ7827" s="33"/>
      <c r="AK7827" s="33"/>
    </row>
    <row r="7828">
      <c r="A7828" s="33"/>
      <c r="B7828" s="33"/>
      <c r="C7828" s="33"/>
      <c r="D7828" s="33"/>
      <c r="E7828" s="33"/>
      <c r="F7828" s="33"/>
      <c r="G7828" s="33"/>
      <c r="H7828" s="33"/>
      <c r="I7828" s="33"/>
      <c r="J7828" s="33"/>
      <c r="K7828" s="33"/>
      <c r="L7828" s="33"/>
      <c r="M7828" s="33"/>
      <c r="N7828" s="33"/>
      <c r="O7828" s="33"/>
      <c r="P7828" s="33"/>
      <c r="Q7828" s="33"/>
      <c r="R7828" s="33"/>
      <c r="S7828" s="33"/>
      <c r="T7828" s="33"/>
      <c r="U7828" s="33"/>
      <c r="V7828" s="33"/>
      <c r="W7828" s="33"/>
      <c r="X7828" s="33"/>
      <c r="Y7828" s="33"/>
      <c r="Z7828" s="33"/>
      <c r="AA7828" s="33"/>
      <c r="AB7828" s="33"/>
      <c r="AC7828" s="33"/>
      <c r="AD7828" s="33"/>
      <c r="AE7828" s="33"/>
      <c r="AF7828" s="33"/>
      <c r="AG7828" s="33"/>
      <c r="AH7828" s="33"/>
      <c r="AI7828" s="33"/>
      <c r="AJ7828" s="33"/>
      <c r="AK7828" s="33"/>
    </row>
    <row r="7829">
      <c r="A7829" s="33"/>
      <c r="B7829" s="33"/>
      <c r="C7829" s="33"/>
      <c r="D7829" s="33"/>
      <c r="E7829" s="33"/>
      <c r="F7829" s="33"/>
      <c r="G7829" s="33"/>
      <c r="H7829" s="33"/>
      <c r="I7829" s="33"/>
      <c r="J7829" s="33"/>
      <c r="K7829" s="33"/>
      <c r="L7829" s="33"/>
      <c r="M7829" s="33"/>
      <c r="N7829" s="33"/>
      <c r="O7829" s="33"/>
      <c r="P7829" s="33"/>
      <c r="Q7829" s="33"/>
      <c r="R7829" s="33"/>
      <c r="S7829" s="33"/>
      <c r="T7829" s="33"/>
      <c r="U7829" s="33"/>
      <c r="V7829" s="33"/>
      <c r="W7829" s="33"/>
      <c r="X7829" s="33"/>
      <c r="Y7829" s="33"/>
      <c r="Z7829" s="33"/>
      <c r="AA7829" s="33"/>
      <c r="AB7829" s="33"/>
      <c r="AC7829" s="33"/>
      <c r="AD7829" s="33"/>
      <c r="AE7829" s="33"/>
      <c r="AF7829" s="33"/>
      <c r="AG7829" s="33"/>
      <c r="AH7829" s="33"/>
      <c r="AI7829" s="33"/>
      <c r="AJ7829" s="33"/>
      <c r="AK7829" s="33"/>
    </row>
    <row r="7830">
      <c r="A7830" s="33"/>
      <c r="B7830" s="33"/>
      <c r="C7830" s="33"/>
      <c r="D7830" s="33"/>
      <c r="E7830" s="33"/>
      <c r="F7830" s="33"/>
      <c r="G7830" s="33"/>
      <c r="H7830" s="33"/>
      <c r="I7830" s="33"/>
      <c r="J7830" s="33"/>
      <c r="K7830" s="33"/>
      <c r="L7830" s="33"/>
      <c r="M7830" s="33"/>
      <c r="N7830" s="33"/>
      <c r="O7830" s="33"/>
      <c r="P7830" s="33"/>
      <c r="Q7830" s="33"/>
      <c r="R7830" s="33"/>
      <c r="S7830" s="33"/>
      <c r="T7830" s="33"/>
      <c r="U7830" s="33"/>
      <c r="V7830" s="33"/>
      <c r="W7830" s="33"/>
      <c r="X7830" s="33"/>
      <c r="Y7830" s="33"/>
      <c r="Z7830" s="33"/>
      <c r="AA7830" s="33"/>
      <c r="AB7830" s="33"/>
      <c r="AC7830" s="33"/>
      <c r="AD7830" s="33"/>
      <c r="AE7830" s="33"/>
      <c r="AF7830" s="33"/>
      <c r="AG7830" s="33"/>
      <c r="AH7830" s="33"/>
      <c r="AI7830" s="33"/>
      <c r="AJ7830" s="33"/>
      <c r="AK7830" s="33"/>
    </row>
    <row r="7831">
      <c r="A7831" s="33"/>
      <c r="B7831" s="33"/>
      <c r="C7831" s="33"/>
      <c r="D7831" s="33"/>
      <c r="E7831" s="33"/>
      <c r="F7831" s="33"/>
      <c r="G7831" s="33"/>
      <c r="H7831" s="33"/>
      <c r="I7831" s="33"/>
      <c r="J7831" s="33"/>
      <c r="K7831" s="33"/>
      <c r="L7831" s="33"/>
      <c r="M7831" s="33"/>
      <c r="N7831" s="33"/>
      <c r="O7831" s="33"/>
      <c r="P7831" s="33"/>
      <c r="Q7831" s="33"/>
      <c r="R7831" s="33"/>
      <c r="S7831" s="33"/>
      <c r="T7831" s="33"/>
      <c r="U7831" s="33"/>
      <c r="V7831" s="33"/>
      <c r="W7831" s="33"/>
      <c r="X7831" s="33"/>
      <c r="Y7831" s="33"/>
      <c r="Z7831" s="33"/>
      <c r="AA7831" s="33"/>
      <c r="AB7831" s="33"/>
      <c r="AC7831" s="33"/>
      <c r="AD7831" s="33"/>
      <c r="AE7831" s="33"/>
      <c r="AF7831" s="33"/>
      <c r="AG7831" s="33"/>
      <c r="AH7831" s="33"/>
      <c r="AI7831" s="33"/>
      <c r="AJ7831" s="33"/>
      <c r="AK7831" s="33"/>
    </row>
    <row r="7832">
      <c r="A7832" s="33"/>
      <c r="B7832" s="33"/>
      <c r="C7832" s="33"/>
      <c r="D7832" s="33"/>
      <c r="E7832" s="33"/>
      <c r="F7832" s="33"/>
      <c r="G7832" s="33"/>
      <c r="H7832" s="33"/>
      <c r="I7832" s="33"/>
      <c r="J7832" s="33"/>
      <c r="K7832" s="33"/>
      <c r="L7832" s="33"/>
      <c r="M7832" s="33"/>
      <c r="N7832" s="33"/>
      <c r="O7832" s="33"/>
      <c r="P7832" s="33"/>
      <c r="Q7832" s="33"/>
      <c r="R7832" s="33"/>
      <c r="S7832" s="33"/>
      <c r="T7832" s="33"/>
      <c r="U7832" s="33"/>
      <c r="V7832" s="33"/>
      <c r="W7832" s="33"/>
      <c r="X7832" s="33"/>
      <c r="Y7832" s="33"/>
      <c r="Z7832" s="33"/>
      <c r="AA7832" s="33"/>
      <c r="AB7832" s="33"/>
      <c r="AC7832" s="33"/>
      <c r="AD7832" s="33"/>
      <c r="AE7832" s="33"/>
      <c r="AF7832" s="33"/>
      <c r="AG7832" s="33"/>
      <c r="AH7832" s="33"/>
      <c r="AI7832" s="33"/>
      <c r="AJ7832" s="33"/>
      <c r="AK7832" s="33"/>
    </row>
    <row r="7833">
      <c r="A7833" s="33"/>
      <c r="B7833" s="33"/>
      <c r="C7833" s="33"/>
      <c r="D7833" s="33"/>
      <c r="E7833" s="33"/>
      <c r="F7833" s="33"/>
      <c r="G7833" s="33"/>
      <c r="H7833" s="33"/>
      <c r="I7833" s="33"/>
      <c r="J7833" s="33"/>
      <c r="K7833" s="33"/>
      <c r="L7833" s="33"/>
      <c r="M7833" s="33"/>
      <c r="N7833" s="33"/>
      <c r="O7833" s="33"/>
      <c r="P7833" s="33"/>
      <c r="Q7833" s="33"/>
      <c r="R7833" s="33"/>
      <c r="S7833" s="33"/>
      <c r="T7833" s="33"/>
      <c r="U7833" s="33"/>
      <c r="V7833" s="33"/>
      <c r="W7833" s="33"/>
      <c r="X7833" s="33"/>
      <c r="Y7833" s="33"/>
      <c r="Z7833" s="33"/>
      <c r="AA7833" s="33"/>
      <c r="AB7833" s="33"/>
      <c r="AC7833" s="33"/>
      <c r="AD7833" s="33"/>
      <c r="AE7833" s="33"/>
      <c r="AF7833" s="33"/>
      <c r="AG7833" s="33"/>
      <c r="AH7833" s="33"/>
      <c r="AI7833" s="33"/>
      <c r="AJ7833" s="33"/>
      <c r="AK7833" s="33"/>
    </row>
    <row r="7834">
      <c r="A7834" s="33"/>
      <c r="B7834" s="33"/>
      <c r="C7834" s="33"/>
      <c r="D7834" s="33"/>
      <c r="E7834" s="33"/>
      <c r="F7834" s="33"/>
      <c r="G7834" s="33"/>
      <c r="H7834" s="33"/>
      <c r="I7834" s="33"/>
      <c r="J7834" s="33"/>
      <c r="K7834" s="33"/>
      <c r="L7834" s="33"/>
      <c r="M7834" s="33"/>
      <c r="N7834" s="33"/>
      <c r="O7834" s="33"/>
      <c r="P7834" s="33"/>
      <c r="Q7834" s="33"/>
      <c r="R7834" s="33"/>
      <c r="S7834" s="33"/>
      <c r="T7834" s="33"/>
      <c r="U7834" s="33"/>
      <c r="V7834" s="33"/>
      <c r="W7834" s="33"/>
      <c r="X7834" s="33"/>
      <c r="Y7834" s="33"/>
      <c r="Z7834" s="33"/>
      <c r="AA7834" s="33"/>
      <c r="AB7834" s="33"/>
      <c r="AC7834" s="33"/>
      <c r="AD7834" s="33"/>
      <c r="AE7834" s="33"/>
      <c r="AF7834" s="33"/>
      <c r="AG7834" s="33"/>
      <c r="AH7834" s="33"/>
      <c r="AI7834" s="33"/>
      <c r="AJ7834" s="33"/>
      <c r="AK7834" s="33"/>
    </row>
    <row r="7835">
      <c r="A7835" s="33"/>
      <c r="B7835" s="33"/>
      <c r="C7835" s="33"/>
      <c r="D7835" s="33"/>
      <c r="E7835" s="33"/>
      <c r="F7835" s="33"/>
      <c r="G7835" s="33"/>
      <c r="H7835" s="33"/>
      <c r="I7835" s="33"/>
      <c r="J7835" s="33"/>
      <c r="K7835" s="33"/>
      <c r="L7835" s="33"/>
      <c r="M7835" s="33"/>
      <c r="N7835" s="33"/>
      <c r="O7835" s="33"/>
      <c r="P7835" s="33"/>
      <c r="Q7835" s="33"/>
      <c r="R7835" s="33"/>
      <c r="S7835" s="33"/>
      <c r="T7835" s="33"/>
      <c r="U7835" s="33"/>
      <c r="V7835" s="33"/>
      <c r="W7835" s="33"/>
      <c r="X7835" s="33"/>
      <c r="Y7835" s="33"/>
      <c r="Z7835" s="33"/>
      <c r="AA7835" s="33"/>
      <c r="AB7835" s="33"/>
      <c r="AC7835" s="33"/>
      <c r="AD7835" s="33"/>
      <c r="AE7835" s="33"/>
      <c r="AF7835" s="33"/>
      <c r="AG7835" s="33"/>
      <c r="AH7835" s="33"/>
      <c r="AI7835" s="33"/>
      <c r="AJ7835" s="33"/>
      <c r="AK7835" s="33"/>
    </row>
    <row r="7836">
      <c r="A7836" s="33"/>
      <c r="B7836" s="33"/>
      <c r="C7836" s="33"/>
      <c r="D7836" s="33"/>
      <c r="E7836" s="33"/>
      <c r="F7836" s="33"/>
      <c r="G7836" s="33"/>
      <c r="H7836" s="33"/>
      <c r="I7836" s="33"/>
      <c r="J7836" s="33"/>
      <c r="K7836" s="33"/>
      <c r="L7836" s="33"/>
      <c r="M7836" s="33"/>
      <c r="N7836" s="33"/>
      <c r="O7836" s="33"/>
      <c r="P7836" s="33"/>
      <c r="Q7836" s="33"/>
      <c r="R7836" s="33"/>
      <c r="S7836" s="33"/>
      <c r="T7836" s="33"/>
      <c r="U7836" s="33"/>
      <c r="V7836" s="33"/>
      <c r="W7836" s="33"/>
      <c r="X7836" s="33"/>
      <c r="Y7836" s="33"/>
      <c r="Z7836" s="33"/>
      <c r="AA7836" s="33"/>
      <c r="AB7836" s="33"/>
      <c r="AC7836" s="33"/>
      <c r="AD7836" s="33"/>
      <c r="AE7836" s="33"/>
      <c r="AF7836" s="33"/>
      <c r="AG7836" s="33"/>
      <c r="AH7836" s="33"/>
      <c r="AI7836" s="33"/>
      <c r="AJ7836" s="33"/>
      <c r="AK7836" s="33"/>
    </row>
    <row r="7837">
      <c r="A7837" s="33"/>
      <c r="B7837" s="33"/>
      <c r="C7837" s="33"/>
      <c r="D7837" s="33"/>
      <c r="E7837" s="33"/>
      <c r="F7837" s="33"/>
      <c r="G7837" s="33"/>
      <c r="H7837" s="33"/>
      <c r="I7837" s="33"/>
      <c r="J7837" s="33"/>
      <c r="K7837" s="33"/>
      <c r="L7837" s="33"/>
      <c r="M7837" s="33"/>
      <c r="N7837" s="33"/>
      <c r="O7837" s="33"/>
      <c r="P7837" s="33"/>
      <c r="Q7837" s="33"/>
      <c r="R7837" s="33"/>
      <c r="S7837" s="33"/>
      <c r="T7837" s="33"/>
      <c r="U7837" s="33"/>
      <c r="V7837" s="33"/>
      <c r="W7837" s="33"/>
      <c r="X7837" s="33"/>
      <c r="Y7837" s="33"/>
      <c r="Z7837" s="33"/>
      <c r="AA7837" s="33"/>
      <c r="AB7837" s="33"/>
      <c r="AC7837" s="33"/>
      <c r="AD7837" s="33"/>
      <c r="AE7837" s="33"/>
      <c r="AF7837" s="33"/>
      <c r="AG7837" s="33"/>
      <c r="AH7837" s="33"/>
      <c r="AI7837" s="33"/>
      <c r="AJ7837" s="33"/>
      <c r="AK7837" s="33"/>
    </row>
    <row r="7838">
      <c r="A7838" s="33"/>
      <c r="B7838" s="33"/>
      <c r="C7838" s="33"/>
      <c r="D7838" s="33"/>
      <c r="E7838" s="33"/>
      <c r="F7838" s="33"/>
      <c r="G7838" s="33"/>
      <c r="H7838" s="33"/>
      <c r="I7838" s="33"/>
      <c r="J7838" s="33"/>
      <c r="K7838" s="33"/>
      <c r="L7838" s="33"/>
      <c r="M7838" s="33"/>
      <c r="N7838" s="33"/>
      <c r="O7838" s="33"/>
      <c r="P7838" s="33"/>
      <c r="Q7838" s="33"/>
      <c r="R7838" s="33"/>
      <c r="S7838" s="33"/>
      <c r="T7838" s="33"/>
      <c r="U7838" s="33"/>
      <c r="V7838" s="33"/>
      <c r="W7838" s="33"/>
      <c r="X7838" s="33"/>
      <c r="Y7838" s="33"/>
      <c r="Z7838" s="33"/>
      <c r="AA7838" s="33"/>
      <c r="AB7838" s="33"/>
      <c r="AC7838" s="33"/>
      <c r="AD7838" s="33"/>
      <c r="AE7838" s="33"/>
      <c r="AF7838" s="33"/>
      <c r="AG7838" s="33"/>
      <c r="AH7838" s="33"/>
      <c r="AI7838" s="33"/>
      <c r="AJ7838" s="33"/>
      <c r="AK7838" s="33"/>
    </row>
    <row r="7839">
      <c r="A7839" s="33"/>
      <c r="B7839" s="33"/>
      <c r="C7839" s="33"/>
      <c r="D7839" s="33"/>
      <c r="E7839" s="33"/>
      <c r="F7839" s="33"/>
      <c r="G7839" s="33"/>
      <c r="H7839" s="33"/>
      <c r="I7839" s="33"/>
      <c r="J7839" s="33"/>
      <c r="K7839" s="33"/>
      <c r="L7839" s="33"/>
      <c r="M7839" s="33"/>
      <c r="N7839" s="33"/>
      <c r="O7839" s="33"/>
      <c r="P7839" s="33"/>
      <c r="Q7839" s="33"/>
      <c r="R7839" s="33"/>
      <c r="S7839" s="33"/>
      <c r="T7839" s="33"/>
      <c r="U7839" s="33"/>
      <c r="V7839" s="33"/>
      <c r="W7839" s="33"/>
      <c r="X7839" s="33"/>
      <c r="Y7839" s="33"/>
      <c r="Z7839" s="33"/>
      <c r="AA7839" s="33"/>
      <c r="AB7839" s="33"/>
      <c r="AC7839" s="33"/>
      <c r="AD7839" s="33"/>
      <c r="AE7839" s="33"/>
      <c r="AF7839" s="33"/>
      <c r="AG7839" s="33"/>
      <c r="AH7839" s="33"/>
      <c r="AI7839" s="33"/>
      <c r="AJ7839" s="33"/>
      <c r="AK7839" s="33"/>
    </row>
    <row r="7840">
      <c r="A7840" s="33"/>
      <c r="B7840" s="33"/>
      <c r="C7840" s="33"/>
      <c r="D7840" s="33"/>
      <c r="E7840" s="33"/>
      <c r="F7840" s="33"/>
      <c r="G7840" s="33"/>
      <c r="H7840" s="33"/>
      <c r="I7840" s="33"/>
      <c r="J7840" s="33"/>
      <c r="K7840" s="33"/>
      <c r="L7840" s="33"/>
      <c r="M7840" s="33"/>
      <c r="N7840" s="33"/>
      <c r="O7840" s="33"/>
      <c r="P7840" s="33"/>
      <c r="Q7840" s="33"/>
      <c r="R7840" s="33"/>
      <c r="S7840" s="33"/>
      <c r="T7840" s="33"/>
      <c r="U7840" s="33"/>
      <c r="V7840" s="33"/>
      <c r="W7840" s="33"/>
      <c r="X7840" s="33"/>
      <c r="Y7840" s="33"/>
      <c r="Z7840" s="33"/>
      <c r="AA7840" s="33"/>
      <c r="AB7840" s="33"/>
      <c r="AC7840" s="33"/>
      <c r="AD7840" s="33"/>
      <c r="AE7840" s="33"/>
      <c r="AF7840" s="33"/>
      <c r="AG7840" s="33"/>
      <c r="AH7840" s="33"/>
      <c r="AI7840" s="33"/>
      <c r="AJ7840" s="33"/>
      <c r="AK7840" s="33"/>
    </row>
    <row r="7841">
      <c r="A7841" s="33"/>
      <c r="B7841" s="33"/>
      <c r="C7841" s="33"/>
      <c r="D7841" s="33"/>
      <c r="E7841" s="33"/>
      <c r="F7841" s="33"/>
      <c r="G7841" s="33"/>
      <c r="H7841" s="33"/>
      <c r="I7841" s="33"/>
      <c r="J7841" s="33"/>
      <c r="K7841" s="33"/>
      <c r="L7841" s="33"/>
      <c r="M7841" s="33"/>
      <c r="N7841" s="33"/>
      <c r="O7841" s="33"/>
      <c r="P7841" s="33"/>
      <c r="Q7841" s="33"/>
      <c r="R7841" s="33"/>
      <c r="S7841" s="33"/>
      <c r="T7841" s="33"/>
      <c r="U7841" s="33"/>
      <c r="V7841" s="33"/>
      <c r="W7841" s="33"/>
      <c r="X7841" s="33"/>
      <c r="Y7841" s="33"/>
      <c r="Z7841" s="33"/>
      <c r="AA7841" s="33"/>
      <c r="AB7841" s="33"/>
      <c r="AC7841" s="33"/>
      <c r="AD7841" s="33"/>
      <c r="AE7841" s="33"/>
      <c r="AF7841" s="33"/>
      <c r="AG7841" s="33"/>
      <c r="AH7841" s="33"/>
      <c r="AI7841" s="33"/>
      <c r="AJ7841" s="33"/>
      <c r="AK7841" s="33"/>
    </row>
    <row r="7842">
      <c r="A7842" s="33"/>
      <c r="B7842" s="33"/>
      <c r="C7842" s="33"/>
      <c r="D7842" s="33"/>
      <c r="E7842" s="33"/>
      <c r="F7842" s="33"/>
      <c r="G7842" s="33"/>
      <c r="H7842" s="33"/>
      <c r="I7842" s="33"/>
      <c r="J7842" s="33"/>
      <c r="K7842" s="33"/>
      <c r="L7842" s="33"/>
      <c r="M7842" s="33"/>
      <c r="N7842" s="33"/>
      <c r="O7842" s="33"/>
      <c r="P7842" s="33"/>
      <c r="Q7842" s="33"/>
      <c r="R7842" s="33"/>
      <c r="S7842" s="33"/>
      <c r="T7842" s="33"/>
      <c r="U7842" s="33"/>
      <c r="V7842" s="33"/>
      <c r="W7842" s="33"/>
      <c r="X7842" s="33"/>
      <c r="Y7842" s="33"/>
      <c r="Z7842" s="33"/>
      <c r="AA7842" s="33"/>
      <c r="AB7842" s="33"/>
      <c r="AC7842" s="33"/>
      <c r="AD7842" s="33"/>
      <c r="AE7842" s="33"/>
      <c r="AF7842" s="33"/>
      <c r="AG7842" s="33"/>
      <c r="AH7842" s="33"/>
      <c r="AI7842" s="33"/>
      <c r="AJ7842" s="33"/>
      <c r="AK7842" s="33"/>
    </row>
    <row r="7843">
      <c r="A7843" s="33"/>
      <c r="B7843" s="33"/>
      <c r="C7843" s="33"/>
      <c r="D7843" s="33"/>
      <c r="E7843" s="33"/>
      <c r="F7843" s="33"/>
      <c r="G7843" s="33"/>
      <c r="H7843" s="33"/>
      <c r="I7843" s="33"/>
      <c r="J7843" s="33"/>
      <c r="K7843" s="33"/>
      <c r="L7843" s="33"/>
      <c r="M7843" s="33"/>
      <c r="N7843" s="33"/>
      <c r="O7843" s="33"/>
      <c r="P7843" s="33"/>
      <c r="Q7843" s="33"/>
      <c r="R7843" s="33"/>
      <c r="S7843" s="33"/>
      <c r="T7843" s="33"/>
      <c r="U7843" s="33"/>
      <c r="V7843" s="33"/>
      <c r="W7843" s="33"/>
      <c r="X7843" s="33"/>
      <c r="Y7843" s="33"/>
      <c r="Z7843" s="33"/>
      <c r="AA7843" s="33"/>
      <c r="AB7843" s="33"/>
      <c r="AC7843" s="33"/>
      <c r="AD7843" s="33"/>
      <c r="AE7843" s="33"/>
      <c r="AF7843" s="33"/>
      <c r="AG7843" s="33"/>
      <c r="AH7843" s="33"/>
      <c r="AI7843" s="33"/>
      <c r="AJ7843" s="33"/>
      <c r="AK7843" s="33"/>
    </row>
    <row r="7844">
      <c r="A7844" s="33"/>
      <c r="B7844" s="33"/>
      <c r="C7844" s="33"/>
      <c r="D7844" s="33"/>
      <c r="E7844" s="33"/>
      <c r="F7844" s="33"/>
      <c r="G7844" s="33"/>
      <c r="H7844" s="33"/>
      <c r="I7844" s="33"/>
      <c r="J7844" s="33"/>
      <c r="K7844" s="33"/>
      <c r="L7844" s="33"/>
      <c r="M7844" s="33"/>
      <c r="N7844" s="33"/>
      <c r="O7844" s="33"/>
      <c r="P7844" s="33"/>
      <c r="Q7844" s="33"/>
      <c r="R7844" s="33"/>
      <c r="S7844" s="33"/>
      <c r="T7844" s="33"/>
      <c r="U7844" s="33"/>
      <c r="V7844" s="33"/>
      <c r="W7844" s="33"/>
      <c r="X7844" s="33"/>
      <c r="Y7844" s="33"/>
      <c r="Z7844" s="33"/>
      <c r="AA7844" s="33"/>
      <c r="AB7844" s="33"/>
      <c r="AC7844" s="33"/>
      <c r="AD7844" s="33"/>
      <c r="AE7844" s="33"/>
      <c r="AF7844" s="33"/>
      <c r="AG7844" s="33"/>
      <c r="AH7844" s="33"/>
      <c r="AI7844" s="33"/>
      <c r="AJ7844" s="33"/>
      <c r="AK7844" s="33"/>
    </row>
    <row r="7845">
      <c r="A7845" s="33"/>
      <c r="B7845" s="33"/>
      <c r="C7845" s="33"/>
      <c r="D7845" s="33"/>
      <c r="E7845" s="33"/>
      <c r="F7845" s="33"/>
      <c r="G7845" s="33"/>
      <c r="H7845" s="33"/>
      <c r="I7845" s="33"/>
      <c r="J7845" s="33"/>
      <c r="K7845" s="33"/>
      <c r="L7845" s="33"/>
      <c r="M7845" s="33"/>
      <c r="N7845" s="33"/>
      <c r="O7845" s="33"/>
      <c r="P7845" s="33"/>
      <c r="Q7845" s="33"/>
      <c r="R7845" s="33"/>
      <c r="S7845" s="33"/>
      <c r="T7845" s="33"/>
      <c r="U7845" s="33"/>
      <c r="V7845" s="33"/>
      <c r="W7845" s="33"/>
      <c r="X7845" s="33"/>
      <c r="Y7845" s="33"/>
      <c r="Z7845" s="33"/>
      <c r="AA7845" s="33"/>
      <c r="AB7845" s="33"/>
      <c r="AC7845" s="33"/>
      <c r="AD7845" s="33"/>
      <c r="AE7845" s="33"/>
      <c r="AF7845" s="33"/>
      <c r="AG7845" s="33"/>
      <c r="AH7845" s="33"/>
      <c r="AI7845" s="33"/>
      <c r="AJ7845" s="33"/>
      <c r="AK7845" s="33"/>
    </row>
    <row r="7846">
      <c r="A7846" s="33"/>
      <c r="B7846" s="33"/>
      <c r="C7846" s="33"/>
      <c r="D7846" s="33"/>
      <c r="E7846" s="33"/>
      <c r="F7846" s="33"/>
      <c r="G7846" s="33"/>
      <c r="H7846" s="33"/>
      <c r="I7846" s="33"/>
      <c r="J7846" s="33"/>
      <c r="K7846" s="33"/>
      <c r="L7846" s="33"/>
      <c r="M7846" s="33"/>
      <c r="N7846" s="33"/>
      <c r="O7846" s="33"/>
      <c r="P7846" s="33"/>
      <c r="Q7846" s="33"/>
      <c r="R7846" s="33"/>
      <c r="S7846" s="33"/>
      <c r="T7846" s="33"/>
      <c r="U7846" s="33"/>
      <c r="V7846" s="33"/>
      <c r="W7846" s="33"/>
      <c r="X7846" s="33"/>
      <c r="Y7846" s="33"/>
      <c r="Z7846" s="33"/>
      <c r="AA7846" s="33"/>
      <c r="AB7846" s="33"/>
      <c r="AC7846" s="33"/>
      <c r="AD7846" s="33"/>
      <c r="AE7846" s="33"/>
      <c r="AF7846" s="33"/>
      <c r="AG7846" s="33"/>
      <c r="AH7846" s="33"/>
      <c r="AI7846" s="33"/>
      <c r="AJ7846" s="33"/>
      <c r="AK7846" s="33"/>
    </row>
    <row r="7847">
      <c r="A7847" s="33"/>
      <c r="B7847" s="33"/>
      <c r="C7847" s="33"/>
      <c r="D7847" s="33"/>
      <c r="E7847" s="33"/>
      <c r="F7847" s="33"/>
      <c r="G7847" s="33"/>
      <c r="H7847" s="33"/>
      <c r="I7847" s="33"/>
      <c r="J7847" s="33"/>
      <c r="K7847" s="33"/>
      <c r="L7847" s="33"/>
      <c r="M7847" s="33"/>
      <c r="N7847" s="33"/>
      <c r="O7847" s="33"/>
      <c r="P7847" s="33"/>
      <c r="Q7847" s="33"/>
      <c r="R7847" s="33"/>
      <c r="S7847" s="33"/>
      <c r="T7847" s="33"/>
      <c r="U7847" s="33"/>
      <c r="V7847" s="33"/>
      <c r="W7847" s="33"/>
      <c r="X7847" s="33"/>
      <c r="Y7847" s="33"/>
      <c r="Z7847" s="33"/>
      <c r="AA7847" s="33"/>
      <c r="AB7847" s="33"/>
      <c r="AC7847" s="33"/>
      <c r="AD7847" s="33"/>
      <c r="AE7847" s="33"/>
      <c r="AF7847" s="33"/>
      <c r="AG7847" s="33"/>
      <c r="AH7847" s="33"/>
      <c r="AI7847" s="33"/>
      <c r="AJ7847" s="33"/>
      <c r="AK7847" s="33"/>
    </row>
    <row r="7848">
      <c r="A7848" s="33"/>
      <c r="B7848" s="33"/>
      <c r="C7848" s="33"/>
      <c r="D7848" s="33"/>
      <c r="E7848" s="33"/>
      <c r="F7848" s="33"/>
      <c r="G7848" s="33"/>
      <c r="H7848" s="33"/>
      <c r="I7848" s="33"/>
      <c r="J7848" s="33"/>
      <c r="K7848" s="33"/>
      <c r="L7848" s="33"/>
      <c r="M7848" s="33"/>
      <c r="N7848" s="33"/>
      <c r="O7848" s="33"/>
      <c r="P7848" s="33"/>
      <c r="Q7848" s="33"/>
      <c r="R7848" s="33"/>
      <c r="S7848" s="33"/>
      <c r="T7848" s="33"/>
      <c r="U7848" s="33"/>
      <c r="V7848" s="33"/>
      <c r="W7848" s="33"/>
      <c r="X7848" s="33"/>
      <c r="Y7848" s="33"/>
      <c r="Z7848" s="33"/>
      <c r="AA7848" s="33"/>
      <c r="AB7848" s="33"/>
      <c r="AC7848" s="33"/>
      <c r="AD7848" s="33"/>
      <c r="AE7848" s="33"/>
      <c r="AF7848" s="33"/>
      <c r="AG7848" s="33"/>
      <c r="AH7848" s="33"/>
      <c r="AI7848" s="33"/>
      <c r="AJ7848" s="33"/>
      <c r="AK7848" s="33"/>
    </row>
    <row r="7849">
      <c r="A7849" s="33"/>
      <c r="B7849" s="33"/>
      <c r="C7849" s="33"/>
      <c r="D7849" s="33"/>
      <c r="E7849" s="33"/>
      <c r="F7849" s="33"/>
      <c r="G7849" s="33"/>
      <c r="H7849" s="33"/>
      <c r="I7849" s="33"/>
      <c r="J7849" s="33"/>
      <c r="K7849" s="33"/>
      <c r="L7849" s="33"/>
      <c r="M7849" s="33"/>
      <c r="N7849" s="33"/>
      <c r="O7849" s="33"/>
      <c r="P7849" s="33"/>
      <c r="Q7849" s="33"/>
      <c r="R7849" s="33"/>
      <c r="S7849" s="33"/>
      <c r="T7849" s="33"/>
      <c r="U7849" s="33"/>
      <c r="V7849" s="33"/>
      <c r="W7849" s="33"/>
      <c r="X7849" s="33"/>
      <c r="Y7849" s="33"/>
      <c r="Z7849" s="33"/>
      <c r="AA7849" s="33"/>
      <c r="AB7849" s="33"/>
      <c r="AC7849" s="33"/>
      <c r="AD7849" s="33"/>
      <c r="AE7849" s="33"/>
      <c r="AF7849" s="33"/>
      <c r="AG7849" s="33"/>
      <c r="AH7849" s="33"/>
      <c r="AI7849" s="33"/>
      <c r="AJ7849" s="33"/>
      <c r="AK7849" s="33"/>
    </row>
    <row r="7850">
      <c r="A7850" s="33"/>
      <c r="B7850" s="33"/>
      <c r="C7850" s="33"/>
      <c r="D7850" s="33"/>
      <c r="E7850" s="33"/>
      <c r="F7850" s="33"/>
      <c r="G7850" s="33"/>
      <c r="H7850" s="33"/>
      <c r="I7850" s="33"/>
      <c r="J7850" s="33"/>
      <c r="K7850" s="33"/>
      <c r="L7850" s="33"/>
      <c r="M7850" s="33"/>
      <c r="N7850" s="33"/>
      <c r="O7850" s="33"/>
      <c r="P7850" s="33"/>
      <c r="Q7850" s="33"/>
      <c r="R7850" s="33"/>
      <c r="S7850" s="33"/>
      <c r="T7850" s="33"/>
      <c r="U7850" s="33"/>
      <c r="V7850" s="33"/>
      <c r="W7850" s="33"/>
      <c r="X7850" s="33"/>
      <c r="Y7850" s="33"/>
      <c r="Z7850" s="33"/>
      <c r="AA7850" s="33"/>
      <c r="AB7850" s="33"/>
      <c r="AC7850" s="33"/>
      <c r="AD7850" s="33"/>
      <c r="AE7850" s="33"/>
      <c r="AF7850" s="33"/>
      <c r="AG7850" s="33"/>
      <c r="AH7850" s="33"/>
      <c r="AI7850" s="33"/>
      <c r="AJ7850" s="33"/>
      <c r="AK7850" s="33"/>
    </row>
    <row r="7851">
      <c r="A7851" s="33"/>
      <c r="B7851" s="33"/>
      <c r="C7851" s="33"/>
      <c r="D7851" s="33"/>
      <c r="E7851" s="33"/>
      <c r="F7851" s="33"/>
      <c r="G7851" s="33"/>
      <c r="H7851" s="33"/>
      <c r="I7851" s="33"/>
      <c r="J7851" s="33"/>
      <c r="K7851" s="33"/>
      <c r="L7851" s="33"/>
      <c r="M7851" s="33"/>
      <c r="N7851" s="33"/>
      <c r="O7851" s="33"/>
      <c r="P7851" s="33"/>
      <c r="Q7851" s="33"/>
      <c r="R7851" s="33"/>
      <c r="S7851" s="33"/>
      <c r="T7851" s="33"/>
      <c r="U7851" s="33"/>
      <c r="V7851" s="33"/>
      <c r="W7851" s="33"/>
      <c r="X7851" s="33"/>
      <c r="Y7851" s="33"/>
      <c r="Z7851" s="33"/>
      <c r="AA7851" s="33"/>
      <c r="AB7851" s="33"/>
      <c r="AC7851" s="33"/>
      <c r="AD7851" s="33"/>
      <c r="AE7851" s="33"/>
      <c r="AF7851" s="33"/>
      <c r="AG7851" s="33"/>
      <c r="AH7851" s="33"/>
      <c r="AI7851" s="33"/>
      <c r="AJ7851" s="33"/>
      <c r="AK7851" s="33"/>
    </row>
    <row r="7852">
      <c r="A7852" s="33"/>
      <c r="B7852" s="33"/>
      <c r="C7852" s="33"/>
      <c r="D7852" s="33"/>
      <c r="E7852" s="33"/>
      <c r="F7852" s="33"/>
      <c r="G7852" s="33"/>
      <c r="H7852" s="33"/>
      <c r="I7852" s="33"/>
      <c r="J7852" s="33"/>
      <c r="K7852" s="33"/>
      <c r="L7852" s="33"/>
      <c r="M7852" s="33"/>
      <c r="N7852" s="33"/>
      <c r="O7852" s="33"/>
      <c r="P7852" s="33"/>
      <c r="Q7852" s="33"/>
      <c r="R7852" s="33"/>
      <c r="S7852" s="33"/>
      <c r="T7852" s="33"/>
      <c r="U7852" s="33"/>
      <c r="V7852" s="33"/>
      <c r="W7852" s="33"/>
      <c r="X7852" s="33"/>
      <c r="Y7852" s="33"/>
      <c r="Z7852" s="33"/>
      <c r="AA7852" s="33"/>
      <c r="AB7852" s="33"/>
      <c r="AC7852" s="33"/>
      <c r="AD7852" s="33"/>
      <c r="AE7852" s="33"/>
      <c r="AF7852" s="33"/>
      <c r="AG7852" s="33"/>
      <c r="AH7852" s="33"/>
      <c r="AI7852" s="33"/>
      <c r="AJ7852" s="33"/>
      <c r="AK7852" s="33"/>
    </row>
    <row r="7853">
      <c r="A7853" s="33"/>
      <c r="B7853" s="33"/>
      <c r="C7853" s="33"/>
      <c r="D7853" s="33"/>
      <c r="E7853" s="33"/>
      <c r="F7853" s="33"/>
      <c r="G7853" s="33"/>
      <c r="H7853" s="33"/>
      <c r="I7853" s="33"/>
      <c r="J7853" s="33"/>
      <c r="K7853" s="33"/>
      <c r="L7853" s="33"/>
      <c r="M7853" s="33"/>
      <c r="N7853" s="33"/>
      <c r="O7853" s="33"/>
      <c r="P7853" s="33"/>
      <c r="Q7853" s="33"/>
      <c r="R7853" s="33"/>
      <c r="S7853" s="33"/>
      <c r="T7853" s="33"/>
      <c r="U7853" s="33"/>
      <c r="V7853" s="33"/>
      <c r="W7853" s="33"/>
      <c r="X7853" s="33"/>
      <c r="Y7853" s="33"/>
      <c r="Z7853" s="33"/>
      <c r="AA7853" s="33"/>
      <c r="AB7853" s="33"/>
      <c r="AC7853" s="33"/>
      <c r="AD7853" s="33"/>
      <c r="AE7853" s="33"/>
      <c r="AF7853" s="33"/>
      <c r="AG7853" s="33"/>
      <c r="AH7853" s="33"/>
      <c r="AI7853" s="33"/>
      <c r="AJ7853" s="33"/>
      <c r="AK7853" s="33"/>
    </row>
    <row r="7854">
      <c r="A7854" s="33"/>
      <c r="B7854" s="33"/>
      <c r="C7854" s="33"/>
      <c r="D7854" s="33"/>
      <c r="E7854" s="33"/>
      <c r="F7854" s="33"/>
      <c r="G7854" s="33"/>
      <c r="H7854" s="33"/>
      <c r="I7854" s="33"/>
      <c r="J7854" s="33"/>
      <c r="K7854" s="33"/>
      <c r="L7854" s="33"/>
      <c r="M7854" s="33"/>
      <c r="N7854" s="33"/>
      <c r="O7854" s="33"/>
      <c r="P7854" s="33"/>
      <c r="Q7854" s="33"/>
      <c r="R7854" s="33"/>
      <c r="S7854" s="33"/>
      <c r="T7854" s="33"/>
      <c r="U7854" s="33"/>
      <c r="V7854" s="33"/>
      <c r="W7854" s="33"/>
      <c r="X7854" s="33"/>
      <c r="Y7854" s="33"/>
      <c r="Z7854" s="33"/>
      <c r="AA7854" s="33"/>
      <c r="AB7854" s="33"/>
      <c r="AC7854" s="33"/>
      <c r="AD7854" s="33"/>
      <c r="AE7854" s="33"/>
      <c r="AF7854" s="33"/>
      <c r="AG7854" s="33"/>
      <c r="AH7854" s="33"/>
      <c r="AI7854" s="33"/>
      <c r="AJ7854" s="33"/>
      <c r="AK7854" s="33"/>
    </row>
    <row r="7855">
      <c r="A7855" s="33"/>
      <c r="B7855" s="33"/>
      <c r="C7855" s="33"/>
      <c r="D7855" s="33"/>
      <c r="E7855" s="33"/>
      <c r="F7855" s="33"/>
      <c r="G7855" s="33"/>
      <c r="H7855" s="33"/>
      <c r="I7855" s="33"/>
      <c r="J7855" s="33"/>
      <c r="K7855" s="33"/>
      <c r="L7855" s="33"/>
      <c r="M7855" s="33"/>
      <c r="N7855" s="33"/>
      <c r="O7855" s="33"/>
      <c r="P7855" s="33"/>
      <c r="Q7855" s="33"/>
      <c r="R7855" s="33"/>
      <c r="S7855" s="33"/>
      <c r="T7855" s="33"/>
      <c r="U7855" s="33"/>
      <c r="V7855" s="33"/>
      <c r="W7855" s="33"/>
      <c r="X7855" s="33"/>
      <c r="Y7855" s="33"/>
      <c r="Z7855" s="33"/>
      <c r="AA7855" s="33"/>
      <c r="AB7855" s="33"/>
      <c r="AC7855" s="33"/>
      <c r="AD7855" s="33"/>
      <c r="AE7855" s="33"/>
      <c r="AF7855" s="33"/>
      <c r="AG7855" s="33"/>
      <c r="AH7855" s="33"/>
      <c r="AI7855" s="33"/>
      <c r="AJ7855" s="33"/>
      <c r="AK7855" s="33"/>
    </row>
    <row r="7856">
      <c r="A7856" s="33"/>
      <c r="B7856" s="33"/>
      <c r="C7856" s="33"/>
      <c r="D7856" s="33"/>
      <c r="E7856" s="33"/>
      <c r="F7856" s="33"/>
      <c r="G7856" s="33"/>
      <c r="H7856" s="33"/>
      <c r="I7856" s="33"/>
      <c r="J7856" s="33"/>
      <c r="K7856" s="33"/>
      <c r="L7856" s="33"/>
      <c r="M7856" s="33"/>
      <c r="N7856" s="33"/>
      <c r="O7856" s="33"/>
      <c r="P7856" s="33"/>
      <c r="Q7856" s="33"/>
      <c r="R7856" s="33"/>
      <c r="S7856" s="33"/>
      <c r="T7856" s="33"/>
      <c r="U7856" s="33"/>
      <c r="V7856" s="33"/>
      <c r="W7856" s="33"/>
      <c r="X7856" s="33"/>
      <c r="Y7856" s="33"/>
      <c r="Z7856" s="33"/>
      <c r="AA7856" s="33"/>
      <c r="AB7856" s="33"/>
      <c r="AC7856" s="33"/>
      <c r="AD7856" s="33"/>
      <c r="AE7856" s="33"/>
      <c r="AF7856" s="33"/>
      <c r="AG7856" s="33"/>
      <c r="AH7856" s="33"/>
      <c r="AI7856" s="33"/>
      <c r="AJ7856" s="33"/>
      <c r="AK7856" s="33"/>
    </row>
    <row r="7857">
      <c r="A7857" s="33"/>
      <c r="B7857" s="33"/>
      <c r="C7857" s="33"/>
      <c r="D7857" s="33"/>
      <c r="E7857" s="33"/>
      <c r="F7857" s="33"/>
      <c r="G7857" s="33"/>
      <c r="H7857" s="33"/>
      <c r="I7857" s="33"/>
      <c r="J7857" s="33"/>
      <c r="K7857" s="33"/>
      <c r="L7857" s="33"/>
      <c r="M7857" s="33"/>
      <c r="N7857" s="33"/>
      <c r="O7857" s="33"/>
      <c r="P7857" s="33"/>
      <c r="Q7857" s="33"/>
      <c r="R7857" s="33"/>
      <c r="S7857" s="33"/>
      <c r="T7857" s="33"/>
      <c r="U7857" s="33"/>
      <c r="V7857" s="33"/>
      <c r="W7857" s="33"/>
      <c r="X7857" s="33"/>
      <c r="Y7857" s="33"/>
      <c r="Z7857" s="33"/>
      <c r="AA7857" s="33"/>
      <c r="AB7857" s="33"/>
      <c r="AC7857" s="33"/>
      <c r="AD7857" s="33"/>
      <c r="AE7857" s="33"/>
      <c r="AF7857" s="33"/>
      <c r="AG7857" s="33"/>
      <c r="AH7857" s="33"/>
      <c r="AI7857" s="33"/>
      <c r="AJ7857" s="33"/>
      <c r="AK7857" s="33"/>
    </row>
    <row r="7858">
      <c r="A7858" s="33"/>
      <c r="B7858" s="33"/>
      <c r="C7858" s="33"/>
      <c r="D7858" s="33"/>
      <c r="E7858" s="33"/>
      <c r="F7858" s="33"/>
      <c r="G7858" s="33"/>
      <c r="H7858" s="33"/>
      <c r="I7858" s="33"/>
      <c r="J7858" s="33"/>
      <c r="K7858" s="33"/>
      <c r="L7858" s="33"/>
      <c r="M7858" s="33"/>
      <c r="N7858" s="33"/>
      <c r="O7858" s="33"/>
      <c r="P7858" s="33"/>
      <c r="Q7858" s="33"/>
      <c r="R7858" s="33"/>
      <c r="S7858" s="33"/>
      <c r="T7858" s="33"/>
      <c r="U7858" s="33"/>
      <c r="V7858" s="33"/>
      <c r="W7858" s="33"/>
      <c r="X7858" s="33"/>
      <c r="Y7858" s="33"/>
      <c r="Z7858" s="33"/>
      <c r="AA7858" s="33"/>
      <c r="AB7858" s="33"/>
      <c r="AC7858" s="33"/>
      <c r="AD7858" s="33"/>
      <c r="AE7858" s="33"/>
      <c r="AF7858" s="33"/>
      <c r="AG7858" s="33"/>
      <c r="AH7858" s="33"/>
      <c r="AI7858" s="33"/>
      <c r="AJ7858" s="33"/>
      <c r="AK7858" s="33"/>
    </row>
    <row r="7859">
      <c r="A7859" s="33"/>
      <c r="B7859" s="33"/>
      <c r="C7859" s="33"/>
      <c r="D7859" s="33"/>
      <c r="E7859" s="33"/>
      <c r="F7859" s="33"/>
      <c r="G7859" s="33"/>
      <c r="H7859" s="33"/>
      <c r="I7859" s="33"/>
      <c r="J7859" s="33"/>
      <c r="K7859" s="33"/>
      <c r="L7859" s="33"/>
      <c r="M7859" s="33"/>
      <c r="N7859" s="33"/>
      <c r="O7859" s="33"/>
      <c r="P7859" s="33"/>
      <c r="Q7859" s="33"/>
      <c r="R7859" s="33"/>
      <c r="S7859" s="33"/>
      <c r="T7859" s="33"/>
      <c r="U7859" s="33"/>
      <c r="V7859" s="33"/>
      <c r="W7859" s="33"/>
      <c r="X7859" s="33"/>
      <c r="Y7859" s="33"/>
      <c r="Z7859" s="33"/>
      <c r="AA7859" s="33"/>
      <c r="AB7859" s="33"/>
      <c r="AC7859" s="33"/>
      <c r="AD7859" s="33"/>
      <c r="AE7859" s="33"/>
      <c r="AF7859" s="33"/>
      <c r="AG7859" s="33"/>
      <c r="AH7859" s="33"/>
      <c r="AI7859" s="33"/>
      <c r="AJ7859" s="33"/>
      <c r="AK7859" s="33"/>
    </row>
    <row r="7860">
      <c r="A7860" s="33"/>
      <c r="B7860" s="33"/>
      <c r="C7860" s="33"/>
      <c r="D7860" s="33"/>
      <c r="E7860" s="33"/>
      <c r="F7860" s="33"/>
      <c r="G7860" s="33"/>
      <c r="H7860" s="33"/>
      <c r="I7860" s="33"/>
      <c r="J7860" s="33"/>
      <c r="K7860" s="33"/>
      <c r="L7860" s="33"/>
      <c r="M7860" s="33"/>
      <c r="N7860" s="33"/>
      <c r="O7860" s="33"/>
      <c r="P7860" s="33"/>
      <c r="Q7860" s="33"/>
      <c r="R7860" s="33"/>
      <c r="S7860" s="33"/>
      <c r="T7860" s="33"/>
      <c r="U7860" s="33"/>
      <c r="V7860" s="33"/>
      <c r="W7860" s="33"/>
      <c r="X7860" s="33"/>
      <c r="Y7860" s="33"/>
      <c r="Z7860" s="33"/>
      <c r="AA7860" s="33"/>
      <c r="AB7860" s="33"/>
      <c r="AC7860" s="33"/>
      <c r="AD7860" s="33"/>
      <c r="AE7860" s="33"/>
      <c r="AF7860" s="33"/>
      <c r="AG7860" s="33"/>
      <c r="AH7860" s="33"/>
      <c r="AI7860" s="33"/>
      <c r="AJ7860" s="33"/>
      <c r="AK7860" s="33"/>
    </row>
    <row r="7861">
      <c r="A7861" s="33"/>
      <c r="B7861" s="33"/>
      <c r="C7861" s="33"/>
      <c r="D7861" s="33"/>
      <c r="E7861" s="33"/>
      <c r="F7861" s="33"/>
      <c r="G7861" s="33"/>
      <c r="H7861" s="33"/>
      <c r="I7861" s="33"/>
      <c r="J7861" s="33"/>
      <c r="K7861" s="33"/>
      <c r="L7861" s="33"/>
      <c r="M7861" s="33"/>
      <c r="N7861" s="33"/>
      <c r="O7861" s="33"/>
      <c r="P7861" s="33"/>
      <c r="Q7861" s="33"/>
      <c r="R7861" s="33"/>
      <c r="S7861" s="33"/>
      <c r="T7861" s="33"/>
      <c r="U7861" s="33"/>
      <c r="V7861" s="33"/>
      <c r="W7861" s="33"/>
      <c r="X7861" s="33"/>
      <c r="Y7861" s="33"/>
      <c r="Z7861" s="33"/>
      <c r="AA7861" s="33"/>
      <c r="AB7861" s="33"/>
      <c r="AC7861" s="33"/>
      <c r="AD7861" s="33"/>
      <c r="AE7861" s="33"/>
      <c r="AF7861" s="33"/>
      <c r="AG7861" s="33"/>
      <c r="AH7861" s="33"/>
      <c r="AI7861" s="33"/>
      <c r="AJ7861" s="33"/>
      <c r="AK7861" s="33"/>
    </row>
    <row r="7862">
      <c r="A7862" s="33"/>
      <c r="B7862" s="33"/>
      <c r="C7862" s="33"/>
      <c r="D7862" s="33"/>
      <c r="E7862" s="33"/>
      <c r="F7862" s="33"/>
      <c r="G7862" s="33"/>
      <c r="H7862" s="33"/>
      <c r="I7862" s="33"/>
      <c r="J7862" s="33"/>
      <c r="K7862" s="33"/>
      <c r="L7862" s="33"/>
      <c r="M7862" s="33"/>
      <c r="N7862" s="33"/>
      <c r="O7862" s="33"/>
      <c r="P7862" s="33"/>
      <c r="Q7862" s="33"/>
      <c r="R7862" s="33"/>
      <c r="S7862" s="33"/>
      <c r="T7862" s="33"/>
      <c r="U7862" s="33"/>
      <c r="V7862" s="33"/>
      <c r="W7862" s="33"/>
      <c r="X7862" s="33"/>
      <c r="Y7862" s="33"/>
      <c r="Z7862" s="33"/>
      <c r="AA7862" s="33"/>
      <c r="AB7862" s="33"/>
      <c r="AC7862" s="33"/>
      <c r="AD7862" s="33"/>
      <c r="AE7862" s="33"/>
      <c r="AF7862" s="33"/>
      <c r="AG7862" s="33"/>
      <c r="AH7862" s="33"/>
      <c r="AI7862" s="33"/>
      <c r="AJ7862" s="33"/>
      <c r="AK7862" s="33"/>
    </row>
    <row r="7863">
      <c r="A7863" s="33"/>
      <c r="B7863" s="33"/>
      <c r="C7863" s="33"/>
      <c r="D7863" s="33"/>
      <c r="E7863" s="33"/>
      <c r="F7863" s="33"/>
      <c r="G7863" s="33"/>
      <c r="H7863" s="33"/>
      <c r="I7863" s="33"/>
      <c r="J7863" s="33"/>
      <c r="K7863" s="33"/>
      <c r="L7863" s="33"/>
      <c r="M7863" s="33"/>
      <c r="N7863" s="33"/>
      <c r="O7863" s="33"/>
      <c r="P7863" s="33"/>
      <c r="Q7863" s="33"/>
      <c r="R7863" s="33"/>
      <c r="S7863" s="33"/>
      <c r="T7863" s="33"/>
      <c r="U7863" s="33"/>
      <c r="V7863" s="33"/>
      <c r="W7863" s="33"/>
      <c r="X7863" s="33"/>
      <c r="Y7863" s="33"/>
      <c r="Z7863" s="33"/>
      <c r="AA7863" s="33"/>
      <c r="AB7863" s="33"/>
      <c r="AC7863" s="33"/>
      <c r="AD7863" s="33"/>
      <c r="AE7863" s="33"/>
      <c r="AF7863" s="33"/>
      <c r="AG7863" s="33"/>
      <c r="AH7863" s="33"/>
      <c r="AI7863" s="33"/>
      <c r="AJ7863" s="33"/>
      <c r="AK7863" s="33"/>
    </row>
    <row r="7864">
      <c r="A7864" s="33"/>
      <c r="B7864" s="33"/>
      <c r="C7864" s="33"/>
      <c r="D7864" s="33"/>
      <c r="E7864" s="33"/>
      <c r="F7864" s="33"/>
      <c r="G7864" s="33"/>
      <c r="H7864" s="33"/>
      <c r="I7864" s="33"/>
      <c r="J7864" s="33"/>
      <c r="K7864" s="33"/>
      <c r="L7864" s="33"/>
      <c r="M7864" s="33"/>
      <c r="N7864" s="33"/>
      <c r="O7864" s="33"/>
      <c r="P7864" s="33"/>
      <c r="Q7864" s="33"/>
      <c r="R7864" s="33"/>
      <c r="S7864" s="33"/>
      <c r="T7864" s="33"/>
      <c r="U7864" s="33"/>
      <c r="V7864" s="33"/>
      <c r="W7864" s="33"/>
      <c r="X7864" s="33"/>
      <c r="Y7864" s="33"/>
      <c r="Z7864" s="33"/>
      <c r="AA7864" s="33"/>
      <c r="AB7864" s="33"/>
      <c r="AC7864" s="33"/>
      <c r="AD7864" s="33"/>
      <c r="AE7864" s="33"/>
      <c r="AF7864" s="33"/>
      <c r="AG7864" s="33"/>
      <c r="AH7864" s="33"/>
      <c r="AI7864" s="33"/>
      <c r="AJ7864" s="33"/>
      <c r="AK7864" s="33"/>
    </row>
    <row r="7865">
      <c r="A7865" s="33"/>
      <c r="B7865" s="33"/>
      <c r="C7865" s="33"/>
      <c r="D7865" s="33"/>
      <c r="E7865" s="33"/>
      <c r="F7865" s="33"/>
      <c r="G7865" s="33"/>
      <c r="H7865" s="33"/>
      <c r="I7865" s="33"/>
      <c r="J7865" s="33"/>
      <c r="K7865" s="33"/>
      <c r="L7865" s="33"/>
      <c r="M7865" s="33"/>
      <c r="N7865" s="33"/>
      <c r="O7865" s="33"/>
      <c r="P7865" s="33"/>
      <c r="Q7865" s="33"/>
      <c r="R7865" s="33"/>
      <c r="S7865" s="33"/>
      <c r="T7865" s="33"/>
      <c r="U7865" s="33"/>
      <c r="V7865" s="33"/>
      <c r="W7865" s="33"/>
      <c r="X7865" s="33"/>
      <c r="Y7865" s="33"/>
      <c r="Z7865" s="33"/>
      <c r="AA7865" s="33"/>
      <c r="AB7865" s="33"/>
      <c r="AC7865" s="33"/>
      <c r="AD7865" s="33"/>
      <c r="AE7865" s="33"/>
      <c r="AF7865" s="33"/>
      <c r="AG7865" s="33"/>
      <c r="AH7865" s="33"/>
      <c r="AI7865" s="33"/>
      <c r="AJ7865" s="33"/>
      <c r="AK7865" s="33"/>
    </row>
    <row r="7866">
      <c r="A7866" s="33"/>
      <c r="B7866" s="33"/>
      <c r="C7866" s="33"/>
      <c r="D7866" s="33"/>
      <c r="E7866" s="33"/>
      <c r="F7866" s="33"/>
      <c r="G7866" s="33"/>
      <c r="H7866" s="33"/>
      <c r="I7866" s="33"/>
      <c r="J7866" s="33"/>
      <c r="K7866" s="33"/>
      <c r="L7866" s="33"/>
      <c r="M7866" s="33"/>
      <c r="N7866" s="33"/>
      <c r="O7866" s="33"/>
      <c r="P7866" s="33"/>
      <c r="Q7866" s="33"/>
      <c r="R7866" s="33"/>
      <c r="S7866" s="33"/>
      <c r="T7866" s="33"/>
      <c r="U7866" s="33"/>
      <c r="V7866" s="33"/>
      <c r="W7866" s="33"/>
      <c r="X7866" s="33"/>
      <c r="Y7866" s="33"/>
      <c r="Z7866" s="33"/>
      <c r="AA7866" s="33"/>
      <c r="AB7866" s="33"/>
      <c r="AC7866" s="33"/>
      <c r="AD7866" s="33"/>
      <c r="AE7866" s="33"/>
      <c r="AF7866" s="33"/>
      <c r="AG7866" s="33"/>
      <c r="AH7866" s="33"/>
      <c r="AI7866" s="33"/>
      <c r="AJ7866" s="33"/>
      <c r="AK7866" s="33"/>
    </row>
    <row r="7867">
      <c r="A7867" s="33"/>
      <c r="B7867" s="33"/>
      <c r="C7867" s="33"/>
      <c r="D7867" s="33"/>
      <c r="E7867" s="33"/>
      <c r="F7867" s="33"/>
      <c r="G7867" s="33"/>
      <c r="H7867" s="33"/>
      <c r="I7867" s="33"/>
      <c r="J7867" s="33"/>
      <c r="K7867" s="33"/>
      <c r="L7867" s="33"/>
      <c r="M7867" s="33"/>
      <c r="N7867" s="33"/>
      <c r="O7867" s="33"/>
      <c r="P7867" s="33"/>
      <c r="Q7867" s="33"/>
      <c r="R7867" s="33"/>
      <c r="S7867" s="33"/>
      <c r="T7867" s="33"/>
      <c r="U7867" s="33"/>
      <c r="V7867" s="33"/>
      <c r="W7867" s="33"/>
      <c r="X7867" s="33"/>
      <c r="Y7867" s="33"/>
      <c r="Z7867" s="33"/>
      <c r="AA7867" s="33"/>
      <c r="AB7867" s="33"/>
      <c r="AC7867" s="33"/>
      <c r="AD7867" s="33"/>
      <c r="AE7867" s="33"/>
      <c r="AF7867" s="33"/>
      <c r="AG7867" s="33"/>
      <c r="AH7867" s="33"/>
      <c r="AI7867" s="33"/>
      <c r="AJ7867" s="33"/>
      <c r="AK7867" s="33"/>
    </row>
    <row r="7868">
      <c r="A7868" s="33"/>
      <c r="B7868" s="33"/>
      <c r="C7868" s="33"/>
      <c r="D7868" s="33"/>
      <c r="E7868" s="33"/>
      <c r="F7868" s="33"/>
      <c r="G7868" s="33"/>
      <c r="H7868" s="33"/>
      <c r="I7868" s="33"/>
      <c r="J7868" s="33"/>
      <c r="K7868" s="33"/>
      <c r="L7868" s="33"/>
      <c r="M7868" s="33"/>
      <c r="N7868" s="33"/>
      <c r="O7868" s="33"/>
      <c r="P7868" s="33"/>
      <c r="Q7868" s="33"/>
      <c r="R7868" s="33"/>
      <c r="S7868" s="33"/>
      <c r="T7868" s="33"/>
      <c r="U7868" s="33"/>
      <c r="V7868" s="33"/>
      <c r="W7868" s="33"/>
      <c r="X7868" s="33"/>
      <c r="Y7868" s="33"/>
      <c r="Z7868" s="33"/>
      <c r="AA7868" s="33"/>
      <c r="AB7868" s="33"/>
      <c r="AC7868" s="33"/>
      <c r="AD7868" s="33"/>
      <c r="AE7868" s="33"/>
      <c r="AF7868" s="33"/>
      <c r="AG7868" s="33"/>
      <c r="AH7868" s="33"/>
      <c r="AI7868" s="33"/>
      <c r="AJ7868" s="33"/>
      <c r="AK7868" s="33"/>
    </row>
    <row r="7869">
      <c r="A7869" s="33"/>
      <c r="B7869" s="33"/>
      <c r="C7869" s="33"/>
      <c r="D7869" s="33"/>
      <c r="E7869" s="33"/>
      <c r="F7869" s="33"/>
      <c r="G7869" s="33"/>
      <c r="H7869" s="33"/>
      <c r="I7869" s="33"/>
      <c r="J7869" s="33"/>
      <c r="K7869" s="33"/>
      <c r="L7869" s="33"/>
      <c r="M7869" s="33"/>
      <c r="N7869" s="33"/>
      <c r="O7869" s="33"/>
      <c r="P7869" s="33"/>
      <c r="Q7869" s="33"/>
      <c r="R7869" s="33"/>
      <c r="S7869" s="33"/>
      <c r="T7869" s="33"/>
      <c r="U7869" s="33"/>
      <c r="V7869" s="33"/>
      <c r="W7869" s="33"/>
      <c r="X7869" s="33"/>
      <c r="Y7869" s="33"/>
      <c r="Z7869" s="33"/>
      <c r="AA7869" s="33"/>
      <c r="AB7869" s="33"/>
      <c r="AC7869" s="33"/>
      <c r="AD7869" s="33"/>
      <c r="AE7869" s="33"/>
      <c r="AF7869" s="33"/>
      <c r="AG7869" s="33"/>
      <c r="AH7869" s="33"/>
      <c r="AI7869" s="33"/>
      <c r="AJ7869" s="33"/>
      <c r="AK7869" s="33"/>
    </row>
    <row r="7870">
      <c r="A7870" s="33"/>
      <c r="B7870" s="33"/>
      <c r="C7870" s="33"/>
      <c r="D7870" s="33"/>
      <c r="E7870" s="33"/>
      <c r="F7870" s="33"/>
      <c r="G7870" s="33"/>
      <c r="H7870" s="33"/>
      <c r="I7870" s="33"/>
      <c r="J7870" s="33"/>
      <c r="K7870" s="33"/>
      <c r="L7870" s="33"/>
      <c r="M7870" s="33"/>
      <c r="N7870" s="33"/>
      <c r="O7870" s="33"/>
      <c r="P7870" s="33"/>
      <c r="Q7870" s="33"/>
      <c r="R7870" s="33"/>
      <c r="S7870" s="33"/>
      <c r="T7870" s="33"/>
      <c r="U7870" s="33"/>
      <c r="V7870" s="33"/>
      <c r="W7870" s="33"/>
      <c r="X7870" s="33"/>
      <c r="Y7870" s="33"/>
      <c r="Z7870" s="33"/>
      <c r="AA7870" s="33"/>
      <c r="AB7870" s="33"/>
      <c r="AC7870" s="33"/>
      <c r="AD7870" s="33"/>
      <c r="AE7870" s="33"/>
      <c r="AF7870" s="33"/>
      <c r="AG7870" s="33"/>
      <c r="AH7870" s="33"/>
      <c r="AI7870" s="33"/>
      <c r="AJ7870" s="33"/>
      <c r="AK7870" s="33"/>
    </row>
    <row r="7871">
      <c r="A7871" s="33"/>
      <c r="B7871" s="33"/>
      <c r="C7871" s="33"/>
      <c r="D7871" s="33"/>
      <c r="E7871" s="33"/>
      <c r="F7871" s="33"/>
      <c r="G7871" s="33"/>
      <c r="H7871" s="33"/>
      <c r="I7871" s="33"/>
      <c r="J7871" s="33"/>
      <c r="K7871" s="33"/>
      <c r="L7871" s="33"/>
      <c r="M7871" s="33"/>
      <c r="N7871" s="33"/>
      <c r="O7871" s="33"/>
      <c r="P7871" s="33"/>
      <c r="Q7871" s="33"/>
      <c r="R7871" s="33"/>
      <c r="S7871" s="33"/>
      <c r="T7871" s="33"/>
      <c r="U7871" s="33"/>
      <c r="V7871" s="33"/>
      <c r="W7871" s="33"/>
      <c r="X7871" s="33"/>
      <c r="Y7871" s="33"/>
      <c r="Z7871" s="33"/>
      <c r="AA7871" s="33"/>
      <c r="AB7871" s="33"/>
      <c r="AC7871" s="33"/>
      <c r="AD7871" s="33"/>
      <c r="AE7871" s="33"/>
      <c r="AF7871" s="33"/>
      <c r="AG7871" s="33"/>
      <c r="AH7871" s="33"/>
      <c r="AI7871" s="33"/>
      <c r="AJ7871" s="33"/>
      <c r="AK7871" s="33"/>
    </row>
    <row r="7872">
      <c r="A7872" s="33"/>
      <c r="B7872" s="33"/>
      <c r="C7872" s="33"/>
      <c r="D7872" s="33"/>
      <c r="E7872" s="33"/>
      <c r="F7872" s="33"/>
      <c r="G7872" s="33"/>
      <c r="H7872" s="33"/>
      <c r="I7872" s="33"/>
      <c r="J7872" s="33"/>
      <c r="K7872" s="33"/>
      <c r="L7872" s="33"/>
      <c r="M7872" s="33"/>
      <c r="N7872" s="33"/>
      <c r="O7872" s="33"/>
      <c r="P7872" s="33"/>
      <c r="Q7872" s="33"/>
      <c r="R7872" s="33"/>
      <c r="S7872" s="33"/>
      <c r="T7872" s="33"/>
      <c r="U7872" s="33"/>
      <c r="V7872" s="33"/>
      <c r="W7872" s="33"/>
      <c r="X7872" s="33"/>
      <c r="Y7872" s="33"/>
      <c r="Z7872" s="33"/>
      <c r="AA7872" s="33"/>
      <c r="AB7872" s="33"/>
      <c r="AC7872" s="33"/>
      <c r="AD7872" s="33"/>
      <c r="AE7872" s="33"/>
      <c r="AF7872" s="33"/>
      <c r="AG7872" s="33"/>
      <c r="AH7872" s="33"/>
      <c r="AI7872" s="33"/>
      <c r="AJ7872" s="33"/>
      <c r="AK7872" s="33"/>
    </row>
    <row r="7873">
      <c r="A7873" s="33"/>
      <c r="B7873" s="33"/>
      <c r="C7873" s="33"/>
      <c r="D7873" s="33"/>
      <c r="E7873" s="33"/>
      <c r="F7873" s="33"/>
      <c r="G7873" s="33"/>
      <c r="H7873" s="33"/>
      <c r="I7873" s="33"/>
      <c r="J7873" s="33"/>
      <c r="K7873" s="33"/>
      <c r="L7873" s="33"/>
      <c r="M7873" s="33"/>
      <c r="N7873" s="33"/>
      <c r="O7873" s="33"/>
      <c r="P7873" s="33"/>
      <c r="Q7873" s="33"/>
      <c r="R7873" s="33"/>
      <c r="S7873" s="33"/>
      <c r="T7873" s="33"/>
      <c r="U7873" s="33"/>
      <c r="V7873" s="33"/>
      <c r="W7873" s="33"/>
      <c r="X7873" s="33"/>
      <c r="Y7873" s="33"/>
      <c r="Z7873" s="33"/>
      <c r="AA7873" s="33"/>
      <c r="AB7873" s="33"/>
      <c r="AC7873" s="33"/>
      <c r="AD7873" s="33"/>
      <c r="AE7873" s="33"/>
      <c r="AF7873" s="33"/>
      <c r="AG7873" s="33"/>
      <c r="AH7873" s="33"/>
      <c r="AI7873" s="33"/>
      <c r="AJ7873" s="33"/>
      <c r="AK7873" s="33"/>
    </row>
    <row r="7874">
      <c r="A7874" s="33"/>
      <c r="B7874" s="33"/>
      <c r="C7874" s="33"/>
      <c r="D7874" s="33"/>
      <c r="E7874" s="33"/>
      <c r="F7874" s="33"/>
      <c r="G7874" s="33"/>
      <c r="H7874" s="33"/>
      <c r="I7874" s="33"/>
      <c r="J7874" s="33"/>
      <c r="K7874" s="33"/>
      <c r="L7874" s="33"/>
      <c r="M7874" s="33"/>
      <c r="N7874" s="33"/>
      <c r="O7874" s="33"/>
      <c r="P7874" s="33"/>
      <c r="Q7874" s="33"/>
      <c r="R7874" s="33"/>
      <c r="S7874" s="33"/>
      <c r="T7874" s="33"/>
      <c r="U7874" s="33"/>
      <c r="V7874" s="33"/>
      <c r="W7874" s="33"/>
      <c r="X7874" s="33"/>
      <c r="Y7874" s="33"/>
      <c r="Z7874" s="33"/>
      <c r="AA7874" s="33"/>
      <c r="AB7874" s="33"/>
      <c r="AC7874" s="33"/>
      <c r="AD7874" s="33"/>
      <c r="AE7874" s="33"/>
      <c r="AF7874" s="33"/>
      <c r="AG7874" s="33"/>
      <c r="AH7874" s="33"/>
      <c r="AI7874" s="33"/>
      <c r="AJ7874" s="33"/>
      <c r="AK7874" s="33"/>
    </row>
    <row r="7875">
      <c r="A7875" s="33"/>
      <c r="B7875" s="33"/>
      <c r="C7875" s="33"/>
      <c r="D7875" s="33"/>
      <c r="E7875" s="33"/>
      <c r="F7875" s="33"/>
      <c r="G7875" s="33"/>
      <c r="H7875" s="33"/>
      <c r="I7875" s="33"/>
      <c r="J7875" s="33"/>
      <c r="K7875" s="33"/>
      <c r="L7875" s="33"/>
      <c r="M7875" s="33"/>
      <c r="N7875" s="33"/>
      <c r="O7875" s="33"/>
      <c r="P7875" s="33"/>
      <c r="Q7875" s="33"/>
      <c r="R7875" s="33"/>
      <c r="S7875" s="33"/>
      <c r="T7875" s="33"/>
      <c r="U7875" s="33"/>
      <c r="V7875" s="33"/>
      <c r="W7875" s="33"/>
      <c r="X7875" s="33"/>
      <c r="Y7875" s="33"/>
      <c r="Z7875" s="33"/>
      <c r="AA7875" s="33"/>
      <c r="AB7875" s="33"/>
      <c r="AC7875" s="33"/>
      <c r="AD7875" s="33"/>
      <c r="AE7875" s="33"/>
      <c r="AF7875" s="33"/>
      <c r="AG7875" s="33"/>
      <c r="AH7875" s="33"/>
      <c r="AI7875" s="33"/>
      <c r="AJ7875" s="33"/>
      <c r="AK7875" s="33"/>
    </row>
    <row r="7876">
      <c r="A7876" s="33"/>
      <c r="B7876" s="33"/>
      <c r="C7876" s="33"/>
      <c r="D7876" s="33"/>
      <c r="E7876" s="33"/>
      <c r="F7876" s="33"/>
      <c r="G7876" s="33"/>
      <c r="H7876" s="33"/>
      <c r="I7876" s="33"/>
      <c r="J7876" s="33"/>
      <c r="K7876" s="33"/>
      <c r="L7876" s="33"/>
      <c r="M7876" s="33"/>
      <c r="N7876" s="33"/>
      <c r="O7876" s="33"/>
      <c r="P7876" s="33"/>
      <c r="Q7876" s="33"/>
      <c r="R7876" s="33"/>
      <c r="S7876" s="33"/>
      <c r="T7876" s="33"/>
      <c r="U7876" s="33"/>
      <c r="V7876" s="33"/>
      <c r="W7876" s="33"/>
      <c r="X7876" s="33"/>
      <c r="Y7876" s="33"/>
      <c r="Z7876" s="33"/>
      <c r="AA7876" s="33"/>
      <c r="AB7876" s="33"/>
      <c r="AC7876" s="33"/>
      <c r="AD7876" s="33"/>
      <c r="AE7876" s="33"/>
      <c r="AF7876" s="33"/>
      <c r="AG7876" s="33"/>
      <c r="AH7876" s="33"/>
      <c r="AI7876" s="33"/>
      <c r="AJ7876" s="33"/>
      <c r="AK7876" s="33"/>
    </row>
    <row r="7877">
      <c r="A7877" s="33"/>
      <c r="B7877" s="33"/>
      <c r="C7877" s="33"/>
      <c r="D7877" s="33"/>
      <c r="E7877" s="33"/>
      <c r="F7877" s="33"/>
      <c r="G7877" s="33"/>
      <c r="H7877" s="33"/>
      <c r="I7877" s="33"/>
      <c r="J7877" s="33"/>
      <c r="K7877" s="33"/>
      <c r="L7877" s="33"/>
      <c r="M7877" s="33"/>
      <c r="N7877" s="33"/>
      <c r="O7877" s="33"/>
      <c r="P7877" s="33"/>
      <c r="Q7877" s="33"/>
      <c r="R7877" s="33"/>
      <c r="S7877" s="33"/>
      <c r="T7877" s="33"/>
      <c r="U7877" s="33"/>
      <c r="V7877" s="33"/>
      <c r="W7877" s="33"/>
      <c r="X7877" s="33"/>
      <c r="Y7877" s="33"/>
      <c r="Z7877" s="33"/>
      <c r="AA7877" s="33"/>
      <c r="AB7877" s="33"/>
      <c r="AC7877" s="33"/>
      <c r="AD7877" s="33"/>
      <c r="AE7877" s="33"/>
      <c r="AF7877" s="33"/>
      <c r="AG7877" s="33"/>
      <c r="AH7877" s="33"/>
      <c r="AI7877" s="33"/>
      <c r="AJ7877" s="33"/>
      <c r="AK7877" s="33"/>
    </row>
    <row r="7878">
      <c r="A7878" s="33"/>
      <c r="B7878" s="33"/>
      <c r="C7878" s="33"/>
      <c r="D7878" s="33"/>
      <c r="E7878" s="33"/>
      <c r="F7878" s="33"/>
      <c r="G7878" s="33"/>
      <c r="H7878" s="33"/>
      <c r="I7878" s="33"/>
      <c r="J7878" s="33"/>
      <c r="K7878" s="33"/>
      <c r="L7878" s="33"/>
      <c r="M7878" s="33"/>
      <c r="N7878" s="33"/>
      <c r="O7878" s="33"/>
      <c r="P7878" s="33"/>
      <c r="Q7878" s="33"/>
      <c r="R7878" s="33"/>
      <c r="S7878" s="33"/>
      <c r="T7878" s="33"/>
      <c r="U7878" s="33"/>
      <c r="V7878" s="33"/>
      <c r="W7878" s="33"/>
      <c r="X7878" s="33"/>
      <c r="Y7878" s="33"/>
      <c r="Z7878" s="33"/>
      <c r="AA7878" s="33"/>
      <c r="AB7878" s="33"/>
      <c r="AC7878" s="33"/>
      <c r="AD7878" s="33"/>
      <c r="AE7878" s="33"/>
      <c r="AF7878" s="33"/>
      <c r="AG7878" s="33"/>
      <c r="AH7878" s="33"/>
      <c r="AI7878" s="33"/>
      <c r="AJ7878" s="33"/>
      <c r="AK7878" s="33"/>
    </row>
    <row r="7879">
      <c r="A7879" s="33"/>
      <c r="B7879" s="33"/>
      <c r="C7879" s="33"/>
      <c r="D7879" s="33"/>
      <c r="E7879" s="33"/>
      <c r="F7879" s="33"/>
      <c r="G7879" s="33"/>
      <c r="H7879" s="33"/>
      <c r="I7879" s="33"/>
      <c r="J7879" s="33"/>
      <c r="K7879" s="33"/>
      <c r="L7879" s="33"/>
      <c r="M7879" s="33"/>
      <c r="N7879" s="33"/>
      <c r="O7879" s="33"/>
      <c r="P7879" s="33"/>
      <c r="Q7879" s="33"/>
      <c r="R7879" s="33"/>
      <c r="S7879" s="33"/>
      <c r="T7879" s="33"/>
      <c r="U7879" s="33"/>
      <c r="V7879" s="33"/>
      <c r="W7879" s="33"/>
      <c r="X7879" s="33"/>
      <c r="Y7879" s="33"/>
      <c r="Z7879" s="33"/>
      <c r="AA7879" s="33"/>
      <c r="AB7879" s="33"/>
      <c r="AC7879" s="33"/>
      <c r="AD7879" s="33"/>
      <c r="AE7879" s="33"/>
      <c r="AF7879" s="33"/>
      <c r="AG7879" s="33"/>
      <c r="AH7879" s="33"/>
      <c r="AI7879" s="33"/>
      <c r="AJ7879" s="33"/>
      <c r="AK7879" s="33"/>
    </row>
    <row r="7880">
      <c r="A7880" s="33"/>
      <c r="B7880" s="33"/>
      <c r="C7880" s="33"/>
      <c r="D7880" s="33"/>
      <c r="E7880" s="33"/>
      <c r="F7880" s="33"/>
      <c r="G7880" s="33"/>
      <c r="H7880" s="33"/>
      <c r="I7880" s="33"/>
      <c r="J7880" s="33"/>
      <c r="K7880" s="33"/>
      <c r="L7880" s="33"/>
      <c r="M7880" s="33"/>
      <c r="N7880" s="33"/>
      <c r="O7880" s="33"/>
      <c r="P7880" s="33"/>
      <c r="Q7880" s="33"/>
      <c r="R7880" s="33"/>
      <c r="S7880" s="33"/>
      <c r="T7880" s="33"/>
      <c r="U7880" s="33"/>
      <c r="V7880" s="33"/>
      <c r="W7880" s="33"/>
      <c r="X7880" s="33"/>
      <c r="Y7880" s="33"/>
      <c r="Z7880" s="33"/>
      <c r="AA7880" s="33"/>
      <c r="AB7880" s="33"/>
      <c r="AC7880" s="33"/>
      <c r="AD7880" s="33"/>
      <c r="AE7880" s="33"/>
      <c r="AF7880" s="33"/>
      <c r="AG7880" s="33"/>
      <c r="AH7880" s="33"/>
      <c r="AI7880" s="33"/>
      <c r="AJ7880" s="33"/>
      <c r="AK7880" s="33"/>
    </row>
    <row r="7881">
      <c r="A7881" s="33"/>
      <c r="B7881" s="33"/>
      <c r="C7881" s="33"/>
      <c r="D7881" s="33"/>
      <c r="E7881" s="33"/>
      <c r="F7881" s="33"/>
      <c r="G7881" s="33"/>
      <c r="H7881" s="33"/>
      <c r="I7881" s="33"/>
      <c r="J7881" s="33"/>
      <c r="K7881" s="33"/>
      <c r="L7881" s="33"/>
      <c r="M7881" s="33"/>
      <c r="N7881" s="33"/>
      <c r="O7881" s="33"/>
      <c r="P7881" s="33"/>
      <c r="Q7881" s="33"/>
      <c r="R7881" s="33"/>
      <c r="S7881" s="33"/>
      <c r="T7881" s="33"/>
      <c r="U7881" s="33"/>
      <c r="V7881" s="33"/>
      <c r="W7881" s="33"/>
      <c r="X7881" s="33"/>
      <c r="Y7881" s="33"/>
      <c r="Z7881" s="33"/>
      <c r="AA7881" s="33"/>
      <c r="AB7881" s="33"/>
      <c r="AC7881" s="33"/>
      <c r="AD7881" s="33"/>
      <c r="AE7881" s="33"/>
      <c r="AF7881" s="33"/>
      <c r="AG7881" s="33"/>
      <c r="AH7881" s="33"/>
      <c r="AI7881" s="33"/>
      <c r="AJ7881" s="33"/>
      <c r="AK7881" s="33"/>
    </row>
    <row r="7882">
      <c r="A7882" s="33"/>
      <c r="B7882" s="33"/>
      <c r="C7882" s="33"/>
      <c r="D7882" s="33"/>
      <c r="E7882" s="33"/>
      <c r="F7882" s="33"/>
      <c r="G7882" s="33"/>
      <c r="H7882" s="33"/>
      <c r="I7882" s="33"/>
      <c r="J7882" s="33"/>
      <c r="K7882" s="33"/>
      <c r="L7882" s="33"/>
      <c r="M7882" s="33"/>
      <c r="N7882" s="33"/>
      <c r="O7882" s="33"/>
      <c r="P7882" s="33"/>
      <c r="Q7882" s="33"/>
      <c r="R7882" s="33"/>
      <c r="S7882" s="33"/>
      <c r="T7882" s="33"/>
      <c r="U7882" s="33"/>
      <c r="V7882" s="33"/>
      <c r="W7882" s="33"/>
      <c r="X7882" s="33"/>
      <c r="Y7882" s="33"/>
      <c r="Z7882" s="33"/>
      <c r="AA7882" s="33"/>
      <c r="AB7882" s="33"/>
      <c r="AC7882" s="33"/>
      <c r="AD7882" s="33"/>
      <c r="AE7882" s="33"/>
      <c r="AF7882" s="33"/>
      <c r="AG7882" s="33"/>
      <c r="AH7882" s="33"/>
      <c r="AI7882" s="33"/>
      <c r="AJ7882" s="33"/>
      <c r="AK7882" s="33"/>
    </row>
    <row r="7883">
      <c r="A7883" s="33"/>
      <c r="B7883" s="33"/>
      <c r="C7883" s="33"/>
      <c r="D7883" s="33"/>
      <c r="E7883" s="33"/>
      <c r="F7883" s="33"/>
      <c r="G7883" s="33"/>
      <c r="H7883" s="33"/>
      <c r="I7883" s="33"/>
      <c r="J7883" s="33"/>
      <c r="K7883" s="33"/>
      <c r="L7883" s="33"/>
      <c r="M7883" s="33"/>
      <c r="N7883" s="33"/>
      <c r="O7883" s="33"/>
      <c r="P7883" s="33"/>
      <c r="Q7883" s="33"/>
      <c r="R7883" s="33"/>
      <c r="S7883" s="33"/>
      <c r="T7883" s="33"/>
      <c r="U7883" s="33"/>
      <c r="V7883" s="33"/>
      <c r="W7883" s="33"/>
      <c r="X7883" s="33"/>
      <c r="Y7883" s="33"/>
      <c r="Z7883" s="33"/>
      <c r="AA7883" s="33"/>
      <c r="AB7883" s="33"/>
      <c r="AC7883" s="33"/>
      <c r="AD7883" s="33"/>
      <c r="AE7883" s="33"/>
      <c r="AF7883" s="33"/>
      <c r="AG7883" s="33"/>
      <c r="AH7883" s="33"/>
      <c r="AI7883" s="33"/>
      <c r="AJ7883" s="33"/>
      <c r="AK7883" s="33"/>
    </row>
    <row r="7884">
      <c r="A7884" s="33"/>
      <c r="B7884" s="33"/>
      <c r="C7884" s="33"/>
      <c r="D7884" s="33"/>
      <c r="E7884" s="33"/>
      <c r="F7884" s="33"/>
      <c r="G7884" s="33"/>
      <c r="H7884" s="33"/>
      <c r="I7884" s="33"/>
      <c r="J7884" s="33"/>
      <c r="K7884" s="33"/>
      <c r="L7884" s="33"/>
      <c r="M7884" s="33"/>
      <c r="N7884" s="33"/>
      <c r="O7884" s="33"/>
      <c r="P7884" s="33"/>
      <c r="Q7884" s="33"/>
      <c r="R7884" s="33"/>
      <c r="S7884" s="33"/>
      <c r="T7884" s="33"/>
      <c r="U7884" s="33"/>
      <c r="V7884" s="33"/>
      <c r="W7884" s="33"/>
      <c r="X7884" s="33"/>
      <c r="Y7884" s="33"/>
      <c r="Z7884" s="33"/>
      <c r="AA7884" s="33"/>
      <c r="AB7884" s="33"/>
      <c r="AC7884" s="33"/>
      <c r="AD7884" s="33"/>
      <c r="AE7884" s="33"/>
      <c r="AF7884" s="33"/>
      <c r="AG7884" s="33"/>
      <c r="AH7884" s="33"/>
      <c r="AI7884" s="33"/>
      <c r="AJ7884" s="33"/>
      <c r="AK7884" s="33"/>
    </row>
    <row r="7885">
      <c r="A7885" s="33"/>
      <c r="B7885" s="33"/>
      <c r="C7885" s="33"/>
      <c r="D7885" s="33"/>
      <c r="E7885" s="33"/>
      <c r="F7885" s="33"/>
      <c r="G7885" s="33"/>
      <c r="H7885" s="33"/>
      <c r="I7885" s="33"/>
      <c r="J7885" s="33"/>
      <c r="K7885" s="33"/>
      <c r="L7885" s="33"/>
      <c r="M7885" s="33"/>
      <c r="N7885" s="33"/>
      <c r="O7885" s="33"/>
      <c r="P7885" s="33"/>
      <c r="Q7885" s="33"/>
      <c r="R7885" s="33"/>
      <c r="S7885" s="33"/>
      <c r="T7885" s="33"/>
      <c r="U7885" s="33"/>
      <c r="V7885" s="33"/>
      <c r="W7885" s="33"/>
      <c r="X7885" s="33"/>
      <c r="Y7885" s="33"/>
      <c r="Z7885" s="33"/>
      <c r="AA7885" s="33"/>
      <c r="AB7885" s="33"/>
      <c r="AC7885" s="33"/>
      <c r="AD7885" s="33"/>
      <c r="AE7885" s="33"/>
      <c r="AF7885" s="33"/>
      <c r="AG7885" s="33"/>
      <c r="AH7885" s="33"/>
      <c r="AI7885" s="33"/>
      <c r="AJ7885" s="33"/>
      <c r="AK7885" s="33"/>
    </row>
    <row r="7886">
      <c r="A7886" s="33"/>
      <c r="B7886" s="33"/>
      <c r="C7886" s="33"/>
      <c r="D7886" s="33"/>
      <c r="E7886" s="33"/>
      <c r="F7886" s="33"/>
      <c r="G7886" s="33"/>
      <c r="H7886" s="33"/>
      <c r="I7886" s="33"/>
      <c r="J7886" s="33"/>
      <c r="K7886" s="33"/>
      <c r="L7886" s="33"/>
      <c r="M7886" s="33"/>
      <c r="N7886" s="33"/>
      <c r="O7886" s="33"/>
      <c r="P7886" s="33"/>
      <c r="Q7886" s="33"/>
      <c r="R7886" s="33"/>
      <c r="S7886" s="33"/>
      <c r="T7886" s="33"/>
      <c r="U7886" s="33"/>
      <c r="V7886" s="33"/>
      <c r="W7886" s="33"/>
      <c r="X7886" s="33"/>
      <c r="Y7886" s="33"/>
      <c r="Z7886" s="33"/>
      <c r="AA7886" s="33"/>
      <c r="AB7886" s="33"/>
      <c r="AC7886" s="33"/>
      <c r="AD7886" s="33"/>
      <c r="AE7886" s="33"/>
      <c r="AF7886" s="33"/>
      <c r="AG7886" s="33"/>
      <c r="AH7886" s="33"/>
      <c r="AI7886" s="33"/>
      <c r="AJ7886" s="33"/>
      <c r="AK7886" s="33"/>
    </row>
    <row r="7887">
      <c r="A7887" s="33"/>
      <c r="B7887" s="33"/>
      <c r="C7887" s="33"/>
      <c r="D7887" s="33"/>
      <c r="E7887" s="33"/>
      <c r="F7887" s="33"/>
      <c r="G7887" s="33"/>
      <c r="H7887" s="33"/>
      <c r="I7887" s="33"/>
      <c r="J7887" s="33"/>
      <c r="K7887" s="33"/>
      <c r="L7887" s="33"/>
      <c r="M7887" s="33"/>
      <c r="N7887" s="33"/>
      <c r="O7887" s="33"/>
      <c r="P7887" s="33"/>
      <c r="Q7887" s="33"/>
      <c r="R7887" s="33"/>
      <c r="S7887" s="33"/>
      <c r="T7887" s="33"/>
      <c r="U7887" s="33"/>
      <c r="V7887" s="33"/>
      <c r="W7887" s="33"/>
      <c r="X7887" s="33"/>
      <c r="Y7887" s="33"/>
      <c r="Z7887" s="33"/>
      <c r="AA7887" s="33"/>
      <c r="AB7887" s="33"/>
      <c r="AC7887" s="33"/>
      <c r="AD7887" s="33"/>
      <c r="AE7887" s="33"/>
      <c r="AF7887" s="33"/>
      <c r="AG7887" s="33"/>
      <c r="AH7887" s="33"/>
      <c r="AI7887" s="33"/>
      <c r="AJ7887" s="33"/>
      <c r="AK7887" s="33"/>
    </row>
    <row r="7888">
      <c r="A7888" s="33"/>
      <c r="B7888" s="33"/>
      <c r="C7888" s="33"/>
      <c r="D7888" s="33"/>
      <c r="E7888" s="33"/>
      <c r="F7888" s="33"/>
      <c r="G7888" s="33"/>
      <c r="H7888" s="33"/>
      <c r="I7888" s="33"/>
      <c r="J7888" s="33"/>
      <c r="K7888" s="33"/>
      <c r="L7888" s="33"/>
      <c r="M7888" s="33"/>
      <c r="N7888" s="33"/>
      <c r="O7888" s="33"/>
      <c r="P7888" s="33"/>
      <c r="Q7888" s="33"/>
      <c r="R7888" s="33"/>
      <c r="S7888" s="33"/>
      <c r="T7888" s="33"/>
      <c r="U7888" s="33"/>
      <c r="V7888" s="33"/>
      <c r="W7888" s="33"/>
      <c r="X7888" s="33"/>
      <c r="Y7888" s="33"/>
      <c r="Z7888" s="33"/>
      <c r="AA7888" s="33"/>
      <c r="AB7888" s="33"/>
      <c r="AC7888" s="33"/>
      <c r="AD7888" s="33"/>
      <c r="AE7888" s="33"/>
      <c r="AF7888" s="33"/>
      <c r="AG7888" s="33"/>
      <c r="AH7888" s="33"/>
      <c r="AI7888" s="33"/>
      <c r="AJ7888" s="33"/>
      <c r="AK7888" s="33"/>
    </row>
    <row r="7889">
      <c r="A7889" s="33"/>
      <c r="B7889" s="33"/>
      <c r="C7889" s="33"/>
      <c r="D7889" s="33"/>
      <c r="E7889" s="33"/>
      <c r="F7889" s="33"/>
      <c r="G7889" s="33"/>
      <c r="H7889" s="33"/>
      <c r="I7889" s="33"/>
      <c r="J7889" s="33"/>
      <c r="K7889" s="33"/>
      <c r="L7889" s="33"/>
      <c r="M7889" s="33"/>
      <c r="N7889" s="33"/>
      <c r="O7889" s="33"/>
      <c r="P7889" s="33"/>
      <c r="Q7889" s="33"/>
      <c r="R7889" s="33"/>
      <c r="S7889" s="33"/>
      <c r="T7889" s="33"/>
      <c r="U7889" s="33"/>
      <c r="V7889" s="33"/>
      <c r="W7889" s="33"/>
      <c r="X7889" s="33"/>
      <c r="Y7889" s="33"/>
      <c r="Z7889" s="33"/>
      <c r="AA7889" s="33"/>
      <c r="AB7889" s="33"/>
      <c r="AC7889" s="33"/>
      <c r="AD7889" s="33"/>
      <c r="AE7889" s="33"/>
      <c r="AF7889" s="33"/>
      <c r="AG7889" s="33"/>
      <c r="AH7889" s="33"/>
      <c r="AI7889" s="33"/>
      <c r="AJ7889" s="33"/>
      <c r="AK7889" s="33"/>
    </row>
    <row r="7890">
      <c r="A7890" s="33"/>
      <c r="B7890" s="33"/>
      <c r="C7890" s="33"/>
      <c r="D7890" s="33"/>
      <c r="E7890" s="33"/>
      <c r="F7890" s="33"/>
      <c r="G7890" s="33"/>
      <c r="H7890" s="33"/>
      <c r="I7890" s="33"/>
      <c r="J7890" s="33"/>
      <c r="K7890" s="33"/>
      <c r="L7890" s="33"/>
      <c r="M7890" s="33"/>
      <c r="N7890" s="33"/>
      <c r="O7890" s="33"/>
      <c r="P7890" s="33"/>
      <c r="Q7890" s="33"/>
      <c r="R7890" s="33"/>
      <c r="S7890" s="33"/>
      <c r="T7890" s="33"/>
      <c r="U7890" s="33"/>
      <c r="V7890" s="33"/>
      <c r="W7890" s="33"/>
      <c r="X7890" s="33"/>
      <c r="Y7890" s="33"/>
      <c r="Z7890" s="33"/>
      <c r="AA7890" s="33"/>
      <c r="AB7890" s="33"/>
      <c r="AC7890" s="33"/>
      <c r="AD7890" s="33"/>
      <c r="AE7890" s="33"/>
      <c r="AF7890" s="33"/>
      <c r="AG7890" s="33"/>
      <c r="AH7890" s="33"/>
      <c r="AI7890" s="33"/>
      <c r="AJ7890" s="33"/>
      <c r="AK7890" s="33"/>
    </row>
    <row r="7891">
      <c r="A7891" s="33"/>
      <c r="B7891" s="33"/>
      <c r="C7891" s="33"/>
      <c r="D7891" s="33"/>
      <c r="E7891" s="33"/>
      <c r="F7891" s="33"/>
      <c r="G7891" s="33"/>
      <c r="H7891" s="33"/>
      <c r="I7891" s="33"/>
      <c r="J7891" s="33"/>
      <c r="K7891" s="33"/>
      <c r="L7891" s="33"/>
      <c r="M7891" s="33"/>
      <c r="N7891" s="33"/>
      <c r="O7891" s="33"/>
      <c r="P7891" s="33"/>
      <c r="Q7891" s="33"/>
      <c r="R7891" s="33"/>
      <c r="S7891" s="33"/>
      <c r="T7891" s="33"/>
      <c r="U7891" s="33"/>
      <c r="V7891" s="33"/>
      <c r="W7891" s="33"/>
      <c r="X7891" s="33"/>
      <c r="Y7891" s="33"/>
      <c r="Z7891" s="33"/>
      <c r="AA7891" s="33"/>
      <c r="AB7891" s="33"/>
      <c r="AC7891" s="33"/>
      <c r="AD7891" s="33"/>
      <c r="AE7891" s="33"/>
      <c r="AF7891" s="33"/>
      <c r="AG7891" s="33"/>
      <c r="AH7891" s="33"/>
      <c r="AI7891" s="33"/>
      <c r="AJ7891" s="33"/>
      <c r="AK7891" s="33"/>
    </row>
    <row r="7892">
      <c r="A7892" s="33"/>
      <c r="B7892" s="33"/>
      <c r="C7892" s="33"/>
      <c r="D7892" s="33"/>
      <c r="E7892" s="33"/>
      <c r="F7892" s="33"/>
      <c r="G7892" s="33"/>
      <c r="H7892" s="33"/>
      <c r="I7892" s="33"/>
      <c r="J7892" s="33"/>
      <c r="K7892" s="33"/>
      <c r="L7892" s="33"/>
      <c r="M7892" s="33"/>
      <c r="N7892" s="33"/>
      <c r="O7892" s="33"/>
      <c r="P7892" s="33"/>
      <c r="Q7892" s="33"/>
      <c r="R7892" s="33"/>
      <c r="S7892" s="33"/>
      <c r="T7892" s="33"/>
      <c r="U7892" s="33"/>
      <c r="V7892" s="33"/>
      <c r="W7892" s="33"/>
      <c r="X7892" s="33"/>
      <c r="Y7892" s="33"/>
      <c r="Z7892" s="33"/>
      <c r="AA7892" s="33"/>
      <c r="AB7892" s="33"/>
      <c r="AC7892" s="33"/>
      <c r="AD7892" s="33"/>
      <c r="AE7892" s="33"/>
      <c r="AF7892" s="33"/>
      <c r="AG7892" s="33"/>
      <c r="AH7892" s="33"/>
      <c r="AI7892" s="33"/>
      <c r="AJ7892" s="33"/>
      <c r="AK7892" s="33"/>
    </row>
    <row r="7893">
      <c r="A7893" s="33"/>
      <c r="B7893" s="33"/>
      <c r="C7893" s="33"/>
      <c r="D7893" s="33"/>
      <c r="E7893" s="33"/>
      <c r="F7893" s="33"/>
      <c r="G7893" s="33"/>
      <c r="H7893" s="33"/>
      <c r="I7893" s="33"/>
      <c r="J7893" s="33"/>
      <c r="K7893" s="33"/>
      <c r="L7893" s="33"/>
      <c r="M7893" s="33"/>
      <c r="N7893" s="33"/>
      <c r="O7893" s="33"/>
      <c r="P7893" s="33"/>
      <c r="Q7893" s="33"/>
      <c r="R7893" s="33"/>
      <c r="S7893" s="33"/>
      <c r="T7893" s="33"/>
      <c r="U7893" s="33"/>
      <c r="V7893" s="33"/>
      <c r="W7893" s="33"/>
      <c r="X7893" s="33"/>
      <c r="Y7893" s="33"/>
      <c r="Z7893" s="33"/>
      <c r="AA7893" s="33"/>
      <c r="AB7893" s="33"/>
      <c r="AC7893" s="33"/>
      <c r="AD7893" s="33"/>
      <c r="AE7893" s="33"/>
      <c r="AF7893" s="33"/>
      <c r="AG7893" s="33"/>
      <c r="AH7893" s="33"/>
      <c r="AI7893" s="33"/>
      <c r="AJ7893" s="33"/>
      <c r="AK7893" s="33"/>
    </row>
    <row r="7894">
      <c r="A7894" s="33"/>
      <c r="B7894" s="33"/>
      <c r="C7894" s="33"/>
      <c r="D7894" s="33"/>
      <c r="E7894" s="33"/>
      <c r="F7894" s="33"/>
      <c r="G7894" s="33"/>
      <c r="H7894" s="33"/>
      <c r="I7894" s="33"/>
      <c r="J7894" s="33"/>
      <c r="K7894" s="33"/>
      <c r="L7894" s="33"/>
      <c r="M7894" s="33"/>
      <c r="N7894" s="33"/>
      <c r="O7894" s="33"/>
      <c r="P7894" s="33"/>
      <c r="Q7894" s="33"/>
      <c r="R7894" s="33"/>
      <c r="S7894" s="33"/>
      <c r="T7894" s="33"/>
      <c r="U7894" s="33"/>
      <c r="V7894" s="33"/>
      <c r="W7894" s="33"/>
      <c r="X7894" s="33"/>
      <c r="Y7894" s="33"/>
      <c r="Z7894" s="33"/>
      <c r="AA7894" s="33"/>
      <c r="AB7894" s="33"/>
      <c r="AC7894" s="33"/>
      <c r="AD7894" s="33"/>
      <c r="AE7894" s="33"/>
      <c r="AF7894" s="33"/>
      <c r="AG7894" s="33"/>
      <c r="AH7894" s="33"/>
      <c r="AI7894" s="33"/>
      <c r="AJ7894" s="33"/>
      <c r="AK7894" s="33"/>
    </row>
    <row r="7895">
      <c r="A7895" s="33"/>
      <c r="B7895" s="33"/>
      <c r="C7895" s="33"/>
      <c r="D7895" s="33"/>
      <c r="E7895" s="33"/>
      <c r="F7895" s="33"/>
      <c r="G7895" s="33"/>
      <c r="H7895" s="33"/>
      <c r="I7895" s="33"/>
      <c r="J7895" s="33"/>
      <c r="K7895" s="33"/>
      <c r="L7895" s="33"/>
      <c r="M7895" s="33"/>
      <c r="N7895" s="33"/>
      <c r="O7895" s="33"/>
      <c r="P7895" s="33"/>
      <c r="Q7895" s="33"/>
      <c r="R7895" s="33"/>
      <c r="S7895" s="33"/>
      <c r="T7895" s="33"/>
      <c r="U7895" s="33"/>
      <c r="V7895" s="33"/>
      <c r="W7895" s="33"/>
      <c r="X7895" s="33"/>
      <c r="Y7895" s="33"/>
      <c r="Z7895" s="33"/>
      <c r="AA7895" s="33"/>
      <c r="AB7895" s="33"/>
      <c r="AC7895" s="33"/>
      <c r="AD7895" s="33"/>
      <c r="AE7895" s="33"/>
      <c r="AF7895" s="33"/>
      <c r="AG7895" s="33"/>
      <c r="AH7895" s="33"/>
      <c r="AI7895" s="33"/>
      <c r="AJ7895" s="33"/>
      <c r="AK7895" s="33"/>
    </row>
    <row r="7896">
      <c r="A7896" s="33"/>
      <c r="B7896" s="33"/>
      <c r="C7896" s="33"/>
      <c r="D7896" s="33"/>
      <c r="E7896" s="33"/>
      <c r="F7896" s="33"/>
      <c r="G7896" s="33"/>
      <c r="H7896" s="33"/>
      <c r="I7896" s="33"/>
      <c r="J7896" s="33"/>
      <c r="K7896" s="33"/>
      <c r="L7896" s="33"/>
      <c r="M7896" s="33"/>
      <c r="N7896" s="33"/>
      <c r="O7896" s="33"/>
      <c r="P7896" s="33"/>
      <c r="Q7896" s="33"/>
      <c r="R7896" s="33"/>
      <c r="S7896" s="33"/>
      <c r="T7896" s="33"/>
      <c r="U7896" s="33"/>
      <c r="V7896" s="33"/>
      <c r="W7896" s="33"/>
      <c r="X7896" s="33"/>
      <c r="Y7896" s="33"/>
      <c r="Z7896" s="33"/>
      <c r="AA7896" s="33"/>
      <c r="AB7896" s="33"/>
      <c r="AC7896" s="33"/>
      <c r="AD7896" s="33"/>
      <c r="AE7896" s="33"/>
      <c r="AF7896" s="33"/>
      <c r="AG7896" s="33"/>
      <c r="AH7896" s="33"/>
      <c r="AI7896" s="33"/>
      <c r="AJ7896" s="33"/>
      <c r="AK7896" s="33"/>
    </row>
    <row r="7897">
      <c r="A7897" s="33"/>
      <c r="B7897" s="33"/>
      <c r="C7897" s="33"/>
      <c r="D7897" s="33"/>
      <c r="E7897" s="33"/>
      <c r="F7897" s="33"/>
      <c r="G7897" s="33"/>
      <c r="H7897" s="33"/>
      <c r="I7897" s="33"/>
      <c r="J7897" s="33"/>
      <c r="K7897" s="33"/>
      <c r="L7897" s="33"/>
      <c r="M7897" s="33"/>
      <c r="N7897" s="33"/>
      <c r="O7897" s="33"/>
      <c r="P7897" s="33"/>
      <c r="Q7897" s="33"/>
      <c r="R7897" s="33"/>
      <c r="S7897" s="33"/>
      <c r="T7897" s="33"/>
      <c r="U7897" s="33"/>
      <c r="V7897" s="33"/>
      <c r="W7897" s="33"/>
      <c r="X7897" s="33"/>
      <c r="Y7897" s="33"/>
      <c r="Z7897" s="33"/>
      <c r="AA7897" s="33"/>
      <c r="AB7897" s="33"/>
      <c r="AC7897" s="33"/>
      <c r="AD7897" s="33"/>
      <c r="AE7897" s="33"/>
      <c r="AF7897" s="33"/>
      <c r="AG7897" s="33"/>
      <c r="AH7897" s="33"/>
      <c r="AI7897" s="33"/>
      <c r="AJ7897" s="33"/>
      <c r="AK7897" s="33"/>
    </row>
    <row r="7898">
      <c r="A7898" s="33"/>
      <c r="B7898" s="33"/>
      <c r="C7898" s="33"/>
      <c r="D7898" s="33"/>
      <c r="E7898" s="33"/>
      <c r="F7898" s="33"/>
      <c r="G7898" s="33"/>
      <c r="H7898" s="33"/>
      <c r="I7898" s="33"/>
      <c r="J7898" s="33"/>
      <c r="K7898" s="33"/>
      <c r="L7898" s="33"/>
      <c r="M7898" s="33"/>
      <c r="N7898" s="33"/>
      <c r="O7898" s="33"/>
      <c r="P7898" s="33"/>
      <c r="Q7898" s="33"/>
      <c r="R7898" s="33"/>
      <c r="S7898" s="33"/>
      <c r="T7898" s="33"/>
      <c r="U7898" s="33"/>
      <c r="V7898" s="33"/>
      <c r="W7898" s="33"/>
      <c r="X7898" s="33"/>
      <c r="Y7898" s="33"/>
      <c r="Z7898" s="33"/>
      <c r="AA7898" s="33"/>
      <c r="AB7898" s="33"/>
      <c r="AC7898" s="33"/>
      <c r="AD7898" s="33"/>
      <c r="AE7898" s="33"/>
      <c r="AF7898" s="33"/>
      <c r="AG7898" s="33"/>
      <c r="AH7898" s="33"/>
      <c r="AI7898" s="33"/>
      <c r="AJ7898" s="33"/>
      <c r="AK7898" s="33"/>
    </row>
    <row r="7899">
      <c r="A7899" s="33"/>
      <c r="B7899" s="33"/>
      <c r="C7899" s="33"/>
      <c r="D7899" s="33"/>
      <c r="E7899" s="33"/>
      <c r="F7899" s="33"/>
      <c r="G7899" s="33"/>
      <c r="H7899" s="33"/>
      <c r="I7899" s="33"/>
      <c r="J7899" s="33"/>
      <c r="K7899" s="33"/>
      <c r="L7899" s="33"/>
      <c r="M7899" s="33"/>
      <c r="N7899" s="33"/>
      <c r="O7899" s="33"/>
      <c r="P7899" s="33"/>
      <c r="Q7899" s="33"/>
      <c r="R7899" s="33"/>
      <c r="S7899" s="33"/>
      <c r="T7899" s="33"/>
      <c r="U7899" s="33"/>
      <c r="V7899" s="33"/>
      <c r="W7899" s="33"/>
      <c r="X7899" s="33"/>
      <c r="Y7899" s="33"/>
      <c r="Z7899" s="33"/>
      <c r="AA7899" s="33"/>
      <c r="AB7899" s="33"/>
      <c r="AC7899" s="33"/>
      <c r="AD7899" s="33"/>
      <c r="AE7899" s="33"/>
      <c r="AF7899" s="33"/>
      <c r="AG7899" s="33"/>
      <c r="AH7899" s="33"/>
      <c r="AI7899" s="33"/>
      <c r="AJ7899" s="33"/>
      <c r="AK7899" s="33"/>
    </row>
    <row r="7900">
      <c r="A7900" s="33"/>
      <c r="B7900" s="33"/>
      <c r="C7900" s="33"/>
      <c r="D7900" s="33"/>
      <c r="E7900" s="33"/>
      <c r="F7900" s="33"/>
      <c r="G7900" s="33"/>
      <c r="H7900" s="33"/>
      <c r="I7900" s="33"/>
      <c r="J7900" s="33"/>
      <c r="K7900" s="33"/>
      <c r="L7900" s="33"/>
      <c r="M7900" s="33"/>
      <c r="N7900" s="33"/>
      <c r="O7900" s="33"/>
      <c r="P7900" s="33"/>
      <c r="Q7900" s="33"/>
      <c r="R7900" s="33"/>
      <c r="S7900" s="33"/>
      <c r="T7900" s="33"/>
      <c r="U7900" s="33"/>
      <c r="V7900" s="33"/>
      <c r="W7900" s="33"/>
      <c r="X7900" s="33"/>
      <c r="Y7900" s="33"/>
      <c r="Z7900" s="33"/>
      <c r="AA7900" s="33"/>
      <c r="AB7900" s="33"/>
      <c r="AC7900" s="33"/>
      <c r="AD7900" s="33"/>
      <c r="AE7900" s="33"/>
      <c r="AF7900" s="33"/>
      <c r="AG7900" s="33"/>
      <c r="AH7900" s="33"/>
      <c r="AI7900" s="33"/>
      <c r="AJ7900" s="33"/>
      <c r="AK7900" s="33"/>
    </row>
    <row r="7901">
      <c r="A7901" s="33"/>
      <c r="B7901" s="33"/>
      <c r="C7901" s="33"/>
      <c r="D7901" s="33"/>
      <c r="E7901" s="33"/>
      <c r="F7901" s="33"/>
      <c r="G7901" s="33"/>
      <c r="H7901" s="33"/>
      <c r="I7901" s="33"/>
      <c r="J7901" s="33"/>
      <c r="K7901" s="33"/>
      <c r="L7901" s="33"/>
      <c r="M7901" s="33"/>
      <c r="N7901" s="33"/>
      <c r="O7901" s="33"/>
      <c r="P7901" s="33"/>
      <c r="Q7901" s="33"/>
      <c r="R7901" s="33"/>
      <c r="S7901" s="33"/>
      <c r="T7901" s="33"/>
      <c r="U7901" s="33"/>
      <c r="V7901" s="33"/>
      <c r="W7901" s="33"/>
      <c r="X7901" s="33"/>
      <c r="Y7901" s="33"/>
      <c r="Z7901" s="33"/>
      <c r="AA7901" s="33"/>
      <c r="AB7901" s="33"/>
      <c r="AC7901" s="33"/>
      <c r="AD7901" s="33"/>
      <c r="AE7901" s="33"/>
      <c r="AF7901" s="33"/>
      <c r="AG7901" s="33"/>
      <c r="AH7901" s="33"/>
      <c r="AI7901" s="33"/>
      <c r="AJ7901" s="33"/>
      <c r="AK7901" s="33"/>
    </row>
    <row r="7902">
      <c r="A7902" s="33"/>
      <c r="B7902" s="33"/>
      <c r="C7902" s="33"/>
      <c r="D7902" s="33"/>
      <c r="E7902" s="33"/>
      <c r="F7902" s="33"/>
      <c r="G7902" s="33"/>
      <c r="H7902" s="33"/>
      <c r="I7902" s="33"/>
      <c r="J7902" s="33"/>
      <c r="K7902" s="33"/>
      <c r="L7902" s="33"/>
      <c r="M7902" s="33"/>
      <c r="N7902" s="33"/>
      <c r="O7902" s="33"/>
      <c r="P7902" s="33"/>
      <c r="Q7902" s="33"/>
      <c r="R7902" s="33"/>
      <c r="S7902" s="33"/>
      <c r="T7902" s="33"/>
      <c r="U7902" s="33"/>
      <c r="V7902" s="33"/>
      <c r="W7902" s="33"/>
      <c r="X7902" s="33"/>
      <c r="Y7902" s="33"/>
      <c r="Z7902" s="33"/>
      <c r="AA7902" s="33"/>
      <c r="AB7902" s="33"/>
      <c r="AC7902" s="33"/>
      <c r="AD7902" s="33"/>
      <c r="AE7902" s="33"/>
      <c r="AF7902" s="33"/>
      <c r="AG7902" s="33"/>
      <c r="AH7902" s="33"/>
      <c r="AI7902" s="33"/>
      <c r="AJ7902" s="33"/>
      <c r="AK7902" s="33"/>
    </row>
    <row r="7903">
      <c r="A7903" s="33"/>
      <c r="B7903" s="33"/>
      <c r="C7903" s="33"/>
      <c r="D7903" s="33"/>
      <c r="E7903" s="33"/>
      <c r="F7903" s="33"/>
      <c r="G7903" s="33"/>
      <c r="H7903" s="33"/>
      <c r="I7903" s="33"/>
      <c r="J7903" s="33"/>
      <c r="K7903" s="33"/>
      <c r="L7903" s="33"/>
      <c r="M7903" s="33"/>
      <c r="N7903" s="33"/>
      <c r="O7903" s="33"/>
      <c r="P7903" s="33"/>
      <c r="Q7903" s="33"/>
      <c r="R7903" s="33"/>
      <c r="S7903" s="33"/>
      <c r="T7903" s="33"/>
      <c r="U7903" s="33"/>
      <c r="V7903" s="33"/>
      <c r="W7903" s="33"/>
      <c r="X7903" s="33"/>
      <c r="Y7903" s="33"/>
      <c r="Z7903" s="33"/>
      <c r="AA7903" s="33"/>
      <c r="AB7903" s="33"/>
      <c r="AC7903" s="33"/>
      <c r="AD7903" s="33"/>
      <c r="AE7903" s="33"/>
      <c r="AF7903" s="33"/>
      <c r="AG7903" s="33"/>
      <c r="AH7903" s="33"/>
      <c r="AI7903" s="33"/>
      <c r="AJ7903" s="33"/>
      <c r="AK7903" s="33"/>
    </row>
    <row r="7904">
      <c r="A7904" s="33"/>
      <c r="B7904" s="33"/>
      <c r="C7904" s="33"/>
      <c r="D7904" s="33"/>
      <c r="E7904" s="33"/>
      <c r="F7904" s="33"/>
      <c r="G7904" s="33"/>
      <c r="H7904" s="33"/>
      <c r="I7904" s="33"/>
      <c r="J7904" s="33"/>
      <c r="K7904" s="33"/>
      <c r="L7904" s="33"/>
      <c r="M7904" s="33"/>
      <c r="N7904" s="33"/>
      <c r="O7904" s="33"/>
      <c r="P7904" s="33"/>
      <c r="Q7904" s="33"/>
      <c r="R7904" s="33"/>
      <c r="S7904" s="33"/>
      <c r="T7904" s="33"/>
      <c r="U7904" s="33"/>
      <c r="V7904" s="33"/>
      <c r="W7904" s="33"/>
      <c r="X7904" s="33"/>
      <c r="Y7904" s="33"/>
      <c r="Z7904" s="33"/>
      <c r="AA7904" s="33"/>
      <c r="AB7904" s="33"/>
      <c r="AC7904" s="33"/>
      <c r="AD7904" s="33"/>
      <c r="AE7904" s="33"/>
      <c r="AF7904" s="33"/>
      <c r="AG7904" s="33"/>
      <c r="AH7904" s="33"/>
      <c r="AI7904" s="33"/>
      <c r="AJ7904" s="33"/>
      <c r="AK7904" s="33"/>
    </row>
    <row r="7905">
      <c r="A7905" s="33"/>
      <c r="B7905" s="33"/>
      <c r="C7905" s="33"/>
      <c r="D7905" s="33"/>
      <c r="E7905" s="33"/>
      <c r="F7905" s="33"/>
      <c r="G7905" s="33"/>
      <c r="H7905" s="33"/>
      <c r="I7905" s="33"/>
      <c r="J7905" s="33"/>
      <c r="K7905" s="33"/>
      <c r="L7905" s="33"/>
      <c r="M7905" s="33"/>
      <c r="N7905" s="33"/>
      <c r="O7905" s="33"/>
      <c r="P7905" s="33"/>
      <c r="Q7905" s="33"/>
      <c r="R7905" s="33"/>
      <c r="S7905" s="33"/>
      <c r="T7905" s="33"/>
      <c r="U7905" s="33"/>
      <c r="V7905" s="33"/>
      <c r="W7905" s="33"/>
      <c r="X7905" s="33"/>
      <c r="Y7905" s="33"/>
      <c r="Z7905" s="33"/>
      <c r="AA7905" s="33"/>
      <c r="AB7905" s="33"/>
      <c r="AC7905" s="33"/>
      <c r="AD7905" s="33"/>
      <c r="AE7905" s="33"/>
      <c r="AF7905" s="33"/>
      <c r="AG7905" s="33"/>
      <c r="AH7905" s="33"/>
      <c r="AI7905" s="33"/>
      <c r="AJ7905" s="33"/>
      <c r="AK7905" s="33"/>
    </row>
    <row r="7906">
      <c r="A7906" s="33"/>
      <c r="B7906" s="33"/>
      <c r="C7906" s="33"/>
      <c r="D7906" s="33"/>
      <c r="E7906" s="33"/>
      <c r="F7906" s="33"/>
      <c r="G7906" s="33"/>
      <c r="H7906" s="33"/>
      <c r="I7906" s="33"/>
      <c r="J7906" s="33"/>
      <c r="K7906" s="33"/>
      <c r="L7906" s="33"/>
      <c r="M7906" s="33"/>
      <c r="N7906" s="33"/>
      <c r="O7906" s="33"/>
      <c r="P7906" s="33"/>
      <c r="Q7906" s="33"/>
      <c r="R7906" s="33"/>
      <c r="S7906" s="33"/>
      <c r="T7906" s="33"/>
      <c r="U7906" s="33"/>
      <c r="V7906" s="33"/>
      <c r="W7906" s="33"/>
      <c r="X7906" s="33"/>
      <c r="Y7906" s="33"/>
      <c r="Z7906" s="33"/>
      <c r="AA7906" s="33"/>
      <c r="AB7906" s="33"/>
      <c r="AC7906" s="33"/>
      <c r="AD7906" s="33"/>
      <c r="AE7906" s="33"/>
      <c r="AF7906" s="33"/>
      <c r="AG7906" s="33"/>
      <c r="AH7906" s="33"/>
      <c r="AI7906" s="33"/>
      <c r="AJ7906" s="33"/>
      <c r="AK7906" s="33"/>
    </row>
    <row r="7907">
      <c r="A7907" s="33"/>
      <c r="B7907" s="33"/>
      <c r="C7907" s="33"/>
      <c r="D7907" s="33"/>
      <c r="E7907" s="33"/>
      <c r="F7907" s="33"/>
      <c r="G7907" s="33"/>
      <c r="H7907" s="33"/>
      <c r="I7907" s="33"/>
      <c r="J7907" s="33"/>
      <c r="K7907" s="33"/>
      <c r="L7907" s="33"/>
      <c r="M7907" s="33"/>
      <c r="N7907" s="33"/>
      <c r="O7907" s="33"/>
      <c r="P7907" s="33"/>
      <c r="Q7907" s="33"/>
      <c r="R7907" s="33"/>
      <c r="S7907" s="33"/>
      <c r="T7907" s="33"/>
      <c r="U7907" s="33"/>
      <c r="V7907" s="33"/>
      <c r="W7907" s="33"/>
      <c r="X7907" s="33"/>
      <c r="Y7907" s="33"/>
      <c r="Z7907" s="33"/>
      <c r="AA7907" s="33"/>
      <c r="AB7907" s="33"/>
      <c r="AC7907" s="33"/>
      <c r="AD7907" s="33"/>
      <c r="AE7907" s="33"/>
      <c r="AF7907" s="33"/>
      <c r="AG7907" s="33"/>
      <c r="AH7907" s="33"/>
      <c r="AI7907" s="33"/>
      <c r="AJ7907" s="33"/>
      <c r="AK7907" s="33"/>
    </row>
    <row r="7908">
      <c r="A7908" s="33"/>
      <c r="B7908" s="33"/>
      <c r="C7908" s="33"/>
      <c r="D7908" s="33"/>
      <c r="E7908" s="33"/>
      <c r="F7908" s="33"/>
      <c r="G7908" s="33"/>
      <c r="H7908" s="33"/>
      <c r="I7908" s="33"/>
      <c r="J7908" s="33"/>
      <c r="K7908" s="33"/>
      <c r="L7908" s="33"/>
      <c r="M7908" s="33"/>
      <c r="N7908" s="33"/>
      <c r="O7908" s="33"/>
      <c r="P7908" s="33"/>
      <c r="Q7908" s="33"/>
      <c r="R7908" s="33"/>
      <c r="S7908" s="33"/>
      <c r="T7908" s="33"/>
      <c r="U7908" s="33"/>
      <c r="V7908" s="33"/>
      <c r="W7908" s="33"/>
      <c r="X7908" s="33"/>
      <c r="Y7908" s="33"/>
      <c r="Z7908" s="33"/>
      <c r="AA7908" s="33"/>
      <c r="AB7908" s="33"/>
      <c r="AC7908" s="33"/>
      <c r="AD7908" s="33"/>
      <c r="AE7908" s="33"/>
      <c r="AF7908" s="33"/>
      <c r="AG7908" s="33"/>
      <c r="AH7908" s="33"/>
      <c r="AI7908" s="33"/>
      <c r="AJ7908" s="33"/>
      <c r="AK7908" s="33"/>
    </row>
    <row r="7909">
      <c r="A7909" s="33"/>
      <c r="B7909" s="33"/>
      <c r="C7909" s="33"/>
      <c r="D7909" s="33"/>
      <c r="E7909" s="33"/>
      <c r="F7909" s="33"/>
      <c r="G7909" s="33"/>
      <c r="H7909" s="33"/>
      <c r="I7909" s="33"/>
      <c r="J7909" s="33"/>
      <c r="K7909" s="33"/>
      <c r="L7909" s="33"/>
      <c r="M7909" s="33"/>
      <c r="N7909" s="33"/>
      <c r="O7909" s="33"/>
      <c r="P7909" s="33"/>
      <c r="Q7909" s="33"/>
      <c r="R7909" s="33"/>
      <c r="S7909" s="33"/>
      <c r="T7909" s="33"/>
      <c r="U7909" s="33"/>
      <c r="V7909" s="33"/>
      <c r="W7909" s="33"/>
      <c r="X7909" s="33"/>
      <c r="Y7909" s="33"/>
      <c r="Z7909" s="33"/>
      <c r="AA7909" s="33"/>
      <c r="AB7909" s="33"/>
      <c r="AC7909" s="33"/>
      <c r="AD7909" s="33"/>
      <c r="AE7909" s="33"/>
      <c r="AF7909" s="33"/>
      <c r="AG7909" s="33"/>
      <c r="AH7909" s="33"/>
      <c r="AI7909" s="33"/>
      <c r="AJ7909" s="33"/>
      <c r="AK7909" s="33"/>
    </row>
    <row r="7910">
      <c r="A7910" s="33"/>
      <c r="B7910" s="33"/>
      <c r="C7910" s="33"/>
      <c r="D7910" s="33"/>
      <c r="E7910" s="33"/>
      <c r="F7910" s="33"/>
      <c r="G7910" s="33"/>
      <c r="H7910" s="33"/>
      <c r="I7910" s="33"/>
      <c r="J7910" s="33"/>
      <c r="K7910" s="33"/>
      <c r="L7910" s="33"/>
      <c r="M7910" s="33"/>
      <c r="N7910" s="33"/>
      <c r="O7910" s="33"/>
      <c r="P7910" s="33"/>
      <c r="Q7910" s="33"/>
      <c r="R7910" s="33"/>
      <c r="S7910" s="33"/>
      <c r="T7910" s="33"/>
      <c r="U7910" s="33"/>
      <c r="V7910" s="33"/>
      <c r="W7910" s="33"/>
      <c r="X7910" s="33"/>
      <c r="Y7910" s="33"/>
      <c r="Z7910" s="33"/>
      <c r="AA7910" s="33"/>
      <c r="AB7910" s="33"/>
      <c r="AC7910" s="33"/>
      <c r="AD7910" s="33"/>
      <c r="AE7910" s="33"/>
      <c r="AF7910" s="33"/>
      <c r="AG7910" s="33"/>
      <c r="AH7910" s="33"/>
      <c r="AI7910" s="33"/>
      <c r="AJ7910" s="33"/>
      <c r="AK7910" s="33"/>
    </row>
    <row r="7911">
      <c r="A7911" s="33"/>
      <c r="B7911" s="33"/>
      <c r="C7911" s="33"/>
      <c r="D7911" s="33"/>
      <c r="E7911" s="33"/>
      <c r="F7911" s="33"/>
      <c r="G7911" s="33"/>
      <c r="H7911" s="33"/>
      <c r="I7911" s="33"/>
      <c r="J7911" s="33"/>
      <c r="K7911" s="33"/>
      <c r="L7911" s="33"/>
      <c r="M7911" s="33"/>
      <c r="N7911" s="33"/>
      <c r="O7911" s="33"/>
      <c r="P7911" s="33"/>
      <c r="Q7911" s="33"/>
      <c r="R7911" s="33"/>
      <c r="S7911" s="33"/>
      <c r="T7911" s="33"/>
      <c r="U7911" s="33"/>
      <c r="V7911" s="33"/>
      <c r="W7911" s="33"/>
      <c r="X7911" s="33"/>
      <c r="Y7911" s="33"/>
      <c r="Z7911" s="33"/>
      <c r="AA7911" s="33"/>
      <c r="AB7911" s="33"/>
      <c r="AC7911" s="33"/>
      <c r="AD7911" s="33"/>
      <c r="AE7911" s="33"/>
      <c r="AF7911" s="33"/>
      <c r="AG7911" s="33"/>
      <c r="AH7911" s="33"/>
      <c r="AI7911" s="33"/>
      <c r="AJ7911" s="33"/>
      <c r="AK7911" s="33"/>
    </row>
    <row r="7912">
      <c r="A7912" s="33"/>
      <c r="B7912" s="33"/>
      <c r="C7912" s="33"/>
      <c r="D7912" s="33"/>
      <c r="E7912" s="33"/>
      <c r="F7912" s="33"/>
      <c r="G7912" s="33"/>
      <c r="H7912" s="33"/>
      <c r="I7912" s="33"/>
      <c r="J7912" s="33"/>
      <c r="K7912" s="33"/>
      <c r="L7912" s="33"/>
      <c r="M7912" s="33"/>
      <c r="N7912" s="33"/>
      <c r="O7912" s="33"/>
      <c r="P7912" s="33"/>
      <c r="Q7912" s="33"/>
      <c r="R7912" s="33"/>
      <c r="S7912" s="33"/>
      <c r="T7912" s="33"/>
      <c r="U7912" s="33"/>
      <c r="V7912" s="33"/>
      <c r="W7912" s="33"/>
      <c r="X7912" s="33"/>
      <c r="Y7912" s="33"/>
      <c r="Z7912" s="33"/>
      <c r="AA7912" s="33"/>
      <c r="AB7912" s="33"/>
      <c r="AC7912" s="33"/>
      <c r="AD7912" s="33"/>
      <c r="AE7912" s="33"/>
      <c r="AF7912" s="33"/>
      <c r="AG7912" s="33"/>
      <c r="AH7912" s="33"/>
      <c r="AI7912" s="33"/>
      <c r="AJ7912" s="33"/>
      <c r="AK7912" s="33"/>
    </row>
    <row r="7913">
      <c r="A7913" s="33"/>
      <c r="B7913" s="33"/>
      <c r="C7913" s="33"/>
      <c r="D7913" s="33"/>
      <c r="E7913" s="33"/>
      <c r="F7913" s="33"/>
      <c r="G7913" s="33"/>
      <c r="H7913" s="33"/>
      <c r="I7913" s="33"/>
      <c r="J7913" s="33"/>
      <c r="K7913" s="33"/>
      <c r="L7913" s="33"/>
      <c r="M7913" s="33"/>
      <c r="N7913" s="33"/>
      <c r="O7913" s="33"/>
      <c r="P7913" s="33"/>
      <c r="Q7913" s="33"/>
      <c r="R7913" s="33"/>
      <c r="S7913" s="33"/>
      <c r="T7913" s="33"/>
      <c r="U7913" s="33"/>
      <c r="V7913" s="33"/>
      <c r="W7913" s="33"/>
      <c r="X7913" s="33"/>
      <c r="Y7913" s="33"/>
      <c r="Z7913" s="33"/>
      <c r="AA7913" s="33"/>
      <c r="AB7913" s="33"/>
      <c r="AC7913" s="33"/>
      <c r="AD7913" s="33"/>
      <c r="AE7913" s="33"/>
      <c r="AF7913" s="33"/>
      <c r="AG7913" s="33"/>
      <c r="AH7913" s="33"/>
      <c r="AI7913" s="33"/>
      <c r="AJ7913" s="33"/>
      <c r="AK7913" s="33"/>
    </row>
    <row r="7914">
      <c r="A7914" s="33"/>
      <c r="B7914" s="33"/>
      <c r="C7914" s="33"/>
      <c r="D7914" s="33"/>
      <c r="E7914" s="33"/>
      <c r="F7914" s="33"/>
      <c r="G7914" s="33"/>
      <c r="H7914" s="33"/>
      <c r="I7914" s="33"/>
      <c r="J7914" s="33"/>
      <c r="K7914" s="33"/>
      <c r="L7914" s="33"/>
      <c r="M7914" s="33"/>
      <c r="N7914" s="33"/>
      <c r="O7914" s="33"/>
      <c r="P7914" s="33"/>
      <c r="Q7914" s="33"/>
      <c r="R7914" s="33"/>
      <c r="S7914" s="33"/>
      <c r="T7914" s="33"/>
      <c r="U7914" s="33"/>
      <c r="V7914" s="33"/>
      <c r="W7914" s="33"/>
      <c r="X7914" s="33"/>
      <c r="Y7914" s="33"/>
      <c r="Z7914" s="33"/>
      <c r="AA7914" s="33"/>
      <c r="AB7914" s="33"/>
      <c r="AC7914" s="33"/>
      <c r="AD7914" s="33"/>
      <c r="AE7914" s="33"/>
      <c r="AF7914" s="33"/>
      <c r="AG7914" s="33"/>
      <c r="AH7914" s="33"/>
      <c r="AI7914" s="33"/>
      <c r="AJ7914" s="33"/>
      <c r="AK7914" s="33"/>
    </row>
    <row r="7915">
      <c r="A7915" s="33"/>
      <c r="B7915" s="33"/>
      <c r="C7915" s="33"/>
      <c r="D7915" s="33"/>
      <c r="E7915" s="33"/>
      <c r="F7915" s="33"/>
      <c r="G7915" s="33"/>
      <c r="H7915" s="33"/>
      <c r="I7915" s="33"/>
      <c r="J7915" s="33"/>
      <c r="K7915" s="33"/>
      <c r="L7915" s="33"/>
      <c r="M7915" s="33"/>
      <c r="N7915" s="33"/>
      <c r="O7915" s="33"/>
      <c r="P7915" s="33"/>
      <c r="Q7915" s="33"/>
      <c r="R7915" s="33"/>
      <c r="S7915" s="33"/>
      <c r="T7915" s="33"/>
      <c r="U7915" s="33"/>
      <c r="V7915" s="33"/>
      <c r="W7915" s="33"/>
      <c r="X7915" s="33"/>
      <c r="Y7915" s="33"/>
      <c r="Z7915" s="33"/>
      <c r="AA7915" s="33"/>
      <c r="AB7915" s="33"/>
      <c r="AC7915" s="33"/>
      <c r="AD7915" s="33"/>
      <c r="AE7915" s="33"/>
      <c r="AF7915" s="33"/>
      <c r="AG7915" s="33"/>
      <c r="AH7915" s="33"/>
      <c r="AI7915" s="33"/>
      <c r="AJ7915" s="33"/>
      <c r="AK7915" s="33"/>
    </row>
    <row r="7916">
      <c r="A7916" s="33"/>
      <c r="B7916" s="33"/>
      <c r="C7916" s="33"/>
      <c r="D7916" s="33"/>
      <c r="E7916" s="33"/>
      <c r="F7916" s="33"/>
      <c r="G7916" s="33"/>
      <c r="H7916" s="33"/>
      <c r="I7916" s="33"/>
      <c r="J7916" s="33"/>
      <c r="K7916" s="33"/>
      <c r="L7916" s="33"/>
      <c r="M7916" s="33"/>
      <c r="N7916" s="33"/>
      <c r="O7916" s="33"/>
      <c r="P7916" s="33"/>
      <c r="Q7916" s="33"/>
      <c r="R7916" s="33"/>
      <c r="S7916" s="33"/>
      <c r="T7916" s="33"/>
      <c r="U7916" s="33"/>
      <c r="V7916" s="33"/>
      <c r="W7916" s="33"/>
      <c r="X7916" s="33"/>
      <c r="Y7916" s="33"/>
      <c r="Z7916" s="33"/>
      <c r="AA7916" s="33"/>
      <c r="AB7916" s="33"/>
      <c r="AC7916" s="33"/>
      <c r="AD7916" s="33"/>
      <c r="AE7916" s="33"/>
      <c r="AF7916" s="33"/>
      <c r="AG7916" s="33"/>
      <c r="AH7916" s="33"/>
      <c r="AI7916" s="33"/>
      <c r="AJ7916" s="33"/>
      <c r="AK7916" s="33"/>
    </row>
    <row r="7917">
      <c r="A7917" s="33"/>
      <c r="B7917" s="33"/>
      <c r="C7917" s="33"/>
      <c r="D7917" s="33"/>
      <c r="E7917" s="33"/>
      <c r="F7917" s="33"/>
      <c r="G7917" s="33"/>
      <c r="H7917" s="33"/>
      <c r="I7917" s="33"/>
      <c r="J7917" s="33"/>
      <c r="K7917" s="33"/>
      <c r="L7917" s="33"/>
      <c r="M7917" s="33"/>
      <c r="N7917" s="33"/>
      <c r="O7917" s="33"/>
      <c r="P7917" s="33"/>
      <c r="Q7917" s="33"/>
      <c r="R7917" s="33"/>
      <c r="S7917" s="33"/>
      <c r="T7917" s="33"/>
      <c r="U7917" s="33"/>
      <c r="V7917" s="33"/>
      <c r="W7917" s="33"/>
      <c r="X7917" s="33"/>
      <c r="Y7917" s="33"/>
      <c r="Z7917" s="33"/>
      <c r="AA7917" s="33"/>
      <c r="AB7917" s="33"/>
      <c r="AC7917" s="33"/>
      <c r="AD7917" s="33"/>
      <c r="AE7917" s="33"/>
      <c r="AF7917" s="33"/>
      <c r="AG7917" s="33"/>
      <c r="AH7917" s="33"/>
      <c r="AI7917" s="33"/>
      <c r="AJ7917" s="33"/>
      <c r="AK7917" s="33"/>
    </row>
    <row r="7918">
      <c r="A7918" s="33"/>
      <c r="B7918" s="33"/>
      <c r="C7918" s="33"/>
      <c r="D7918" s="33"/>
      <c r="E7918" s="33"/>
      <c r="F7918" s="33"/>
      <c r="G7918" s="33"/>
      <c r="H7918" s="33"/>
      <c r="I7918" s="33"/>
      <c r="J7918" s="33"/>
      <c r="K7918" s="33"/>
      <c r="L7918" s="33"/>
      <c r="M7918" s="33"/>
      <c r="N7918" s="33"/>
      <c r="O7918" s="33"/>
      <c r="P7918" s="33"/>
      <c r="Q7918" s="33"/>
      <c r="R7918" s="33"/>
      <c r="S7918" s="33"/>
      <c r="T7918" s="33"/>
      <c r="U7918" s="33"/>
      <c r="V7918" s="33"/>
      <c r="W7918" s="33"/>
      <c r="X7918" s="33"/>
      <c r="Y7918" s="33"/>
      <c r="Z7918" s="33"/>
      <c r="AA7918" s="33"/>
      <c r="AB7918" s="33"/>
      <c r="AC7918" s="33"/>
      <c r="AD7918" s="33"/>
      <c r="AE7918" s="33"/>
      <c r="AF7918" s="33"/>
      <c r="AG7918" s="33"/>
      <c r="AH7918" s="33"/>
      <c r="AI7918" s="33"/>
      <c r="AJ7918" s="33"/>
      <c r="AK7918" s="33"/>
    </row>
    <row r="7919">
      <c r="A7919" s="33"/>
      <c r="B7919" s="33"/>
      <c r="C7919" s="33"/>
      <c r="D7919" s="33"/>
      <c r="E7919" s="33"/>
      <c r="F7919" s="33"/>
      <c r="G7919" s="33"/>
      <c r="H7919" s="33"/>
      <c r="I7919" s="33"/>
      <c r="J7919" s="33"/>
      <c r="K7919" s="33"/>
      <c r="L7919" s="33"/>
      <c r="M7919" s="33"/>
      <c r="N7919" s="33"/>
      <c r="O7919" s="33"/>
      <c r="P7919" s="33"/>
      <c r="Q7919" s="33"/>
      <c r="R7919" s="33"/>
      <c r="S7919" s="33"/>
      <c r="T7919" s="33"/>
      <c r="U7919" s="33"/>
      <c r="V7919" s="33"/>
      <c r="W7919" s="33"/>
      <c r="X7919" s="33"/>
      <c r="Y7919" s="33"/>
      <c r="Z7919" s="33"/>
      <c r="AA7919" s="33"/>
      <c r="AB7919" s="33"/>
      <c r="AC7919" s="33"/>
      <c r="AD7919" s="33"/>
      <c r="AE7919" s="33"/>
      <c r="AF7919" s="33"/>
      <c r="AG7919" s="33"/>
      <c r="AH7919" s="33"/>
      <c r="AI7919" s="33"/>
      <c r="AJ7919" s="33"/>
      <c r="AK7919" s="33"/>
    </row>
    <row r="7920">
      <c r="A7920" s="33"/>
      <c r="B7920" s="33"/>
      <c r="C7920" s="33"/>
      <c r="D7920" s="33"/>
      <c r="E7920" s="33"/>
      <c r="F7920" s="33"/>
      <c r="G7920" s="33"/>
      <c r="H7920" s="33"/>
      <c r="I7920" s="33"/>
      <c r="J7920" s="33"/>
      <c r="K7920" s="33"/>
      <c r="L7920" s="33"/>
      <c r="M7920" s="33"/>
      <c r="N7920" s="33"/>
      <c r="O7920" s="33"/>
      <c r="P7920" s="33"/>
      <c r="Q7920" s="33"/>
      <c r="R7920" s="33"/>
      <c r="S7920" s="33"/>
      <c r="T7920" s="33"/>
      <c r="U7920" s="33"/>
      <c r="V7920" s="33"/>
      <c r="W7920" s="33"/>
      <c r="X7920" s="33"/>
      <c r="Y7920" s="33"/>
      <c r="Z7920" s="33"/>
      <c r="AA7920" s="33"/>
      <c r="AB7920" s="33"/>
      <c r="AC7920" s="33"/>
      <c r="AD7920" s="33"/>
      <c r="AE7920" s="33"/>
      <c r="AF7920" s="33"/>
      <c r="AG7920" s="33"/>
      <c r="AH7920" s="33"/>
      <c r="AI7920" s="33"/>
      <c r="AJ7920" s="33"/>
      <c r="AK7920" s="33"/>
    </row>
    <row r="7921">
      <c r="A7921" s="33"/>
      <c r="B7921" s="33"/>
      <c r="C7921" s="33"/>
      <c r="D7921" s="33"/>
      <c r="E7921" s="33"/>
      <c r="F7921" s="33"/>
      <c r="G7921" s="33"/>
      <c r="H7921" s="33"/>
      <c r="I7921" s="33"/>
      <c r="J7921" s="33"/>
      <c r="K7921" s="33"/>
      <c r="L7921" s="33"/>
      <c r="M7921" s="33"/>
      <c r="N7921" s="33"/>
      <c r="O7921" s="33"/>
      <c r="P7921" s="33"/>
      <c r="Q7921" s="33"/>
      <c r="R7921" s="33"/>
      <c r="S7921" s="33"/>
      <c r="T7921" s="33"/>
      <c r="U7921" s="33"/>
      <c r="V7921" s="33"/>
      <c r="W7921" s="33"/>
      <c r="X7921" s="33"/>
      <c r="Y7921" s="33"/>
      <c r="Z7921" s="33"/>
      <c r="AA7921" s="33"/>
      <c r="AB7921" s="33"/>
      <c r="AC7921" s="33"/>
      <c r="AD7921" s="33"/>
      <c r="AE7921" s="33"/>
      <c r="AF7921" s="33"/>
      <c r="AG7921" s="33"/>
      <c r="AH7921" s="33"/>
      <c r="AI7921" s="33"/>
      <c r="AJ7921" s="33"/>
      <c r="AK7921" s="33"/>
    </row>
    <row r="7922">
      <c r="A7922" s="33"/>
      <c r="B7922" s="33"/>
      <c r="C7922" s="33"/>
      <c r="D7922" s="33"/>
      <c r="E7922" s="33"/>
      <c r="F7922" s="33"/>
      <c r="G7922" s="33"/>
      <c r="H7922" s="33"/>
      <c r="I7922" s="33"/>
      <c r="J7922" s="33"/>
      <c r="K7922" s="33"/>
      <c r="L7922" s="33"/>
      <c r="M7922" s="33"/>
      <c r="N7922" s="33"/>
      <c r="O7922" s="33"/>
      <c r="P7922" s="33"/>
      <c r="Q7922" s="33"/>
      <c r="R7922" s="33"/>
      <c r="S7922" s="33"/>
      <c r="T7922" s="33"/>
      <c r="U7922" s="33"/>
      <c r="V7922" s="33"/>
      <c r="W7922" s="33"/>
      <c r="X7922" s="33"/>
      <c r="Y7922" s="33"/>
      <c r="Z7922" s="33"/>
      <c r="AA7922" s="33"/>
      <c r="AB7922" s="33"/>
      <c r="AC7922" s="33"/>
      <c r="AD7922" s="33"/>
      <c r="AE7922" s="33"/>
      <c r="AF7922" s="33"/>
      <c r="AG7922" s="33"/>
      <c r="AH7922" s="33"/>
      <c r="AI7922" s="33"/>
      <c r="AJ7922" s="33"/>
      <c r="AK7922" s="33"/>
    </row>
    <row r="7923">
      <c r="A7923" s="33"/>
      <c r="B7923" s="33"/>
      <c r="C7923" s="33"/>
      <c r="D7923" s="33"/>
      <c r="E7923" s="33"/>
      <c r="F7923" s="33"/>
      <c r="G7923" s="33"/>
      <c r="H7923" s="33"/>
      <c r="I7923" s="33"/>
      <c r="J7923" s="33"/>
      <c r="K7923" s="33"/>
      <c r="L7923" s="33"/>
      <c r="M7923" s="33"/>
      <c r="N7923" s="33"/>
      <c r="O7923" s="33"/>
      <c r="P7923" s="33"/>
      <c r="Q7923" s="33"/>
      <c r="R7923" s="33"/>
      <c r="S7923" s="33"/>
      <c r="T7923" s="33"/>
      <c r="U7923" s="33"/>
      <c r="V7923" s="33"/>
      <c r="W7923" s="33"/>
      <c r="X7923" s="33"/>
      <c r="Y7923" s="33"/>
      <c r="Z7923" s="33"/>
      <c r="AA7923" s="33"/>
      <c r="AB7923" s="33"/>
      <c r="AC7923" s="33"/>
      <c r="AD7923" s="33"/>
      <c r="AE7923" s="33"/>
      <c r="AF7923" s="33"/>
      <c r="AG7923" s="33"/>
      <c r="AH7923" s="33"/>
      <c r="AI7923" s="33"/>
      <c r="AJ7923" s="33"/>
      <c r="AK7923" s="33"/>
    </row>
    <row r="7924">
      <c r="A7924" s="33"/>
      <c r="B7924" s="33"/>
      <c r="C7924" s="33"/>
      <c r="D7924" s="33"/>
      <c r="E7924" s="33"/>
      <c r="F7924" s="33"/>
      <c r="G7924" s="33"/>
      <c r="H7924" s="33"/>
      <c r="I7924" s="33"/>
      <c r="J7924" s="33"/>
      <c r="K7924" s="33"/>
      <c r="L7924" s="33"/>
      <c r="M7924" s="33"/>
      <c r="N7924" s="33"/>
      <c r="O7924" s="33"/>
      <c r="P7924" s="33"/>
      <c r="Q7924" s="33"/>
      <c r="R7924" s="33"/>
      <c r="S7924" s="33"/>
      <c r="T7924" s="33"/>
      <c r="U7924" s="33"/>
      <c r="V7924" s="33"/>
      <c r="W7924" s="33"/>
      <c r="X7924" s="33"/>
      <c r="Y7924" s="33"/>
      <c r="Z7924" s="33"/>
      <c r="AA7924" s="33"/>
      <c r="AB7924" s="33"/>
      <c r="AC7924" s="33"/>
      <c r="AD7924" s="33"/>
      <c r="AE7924" s="33"/>
      <c r="AF7924" s="33"/>
      <c r="AG7924" s="33"/>
      <c r="AH7924" s="33"/>
      <c r="AI7924" s="33"/>
      <c r="AJ7924" s="33"/>
      <c r="AK7924" s="33"/>
    </row>
    <row r="7925">
      <c r="A7925" s="33"/>
      <c r="B7925" s="33"/>
      <c r="C7925" s="33"/>
      <c r="D7925" s="33"/>
      <c r="E7925" s="33"/>
      <c r="F7925" s="33"/>
      <c r="G7925" s="33"/>
      <c r="H7925" s="33"/>
      <c r="I7925" s="33"/>
      <c r="J7925" s="33"/>
      <c r="K7925" s="33"/>
      <c r="L7925" s="33"/>
      <c r="M7925" s="33"/>
      <c r="N7925" s="33"/>
      <c r="O7925" s="33"/>
      <c r="P7925" s="33"/>
      <c r="Q7925" s="33"/>
      <c r="R7925" s="33"/>
      <c r="S7925" s="33"/>
      <c r="T7925" s="33"/>
      <c r="U7925" s="33"/>
      <c r="V7925" s="33"/>
      <c r="W7925" s="33"/>
      <c r="X7925" s="33"/>
      <c r="Y7925" s="33"/>
      <c r="Z7925" s="33"/>
      <c r="AA7925" s="33"/>
      <c r="AB7925" s="33"/>
      <c r="AC7925" s="33"/>
      <c r="AD7925" s="33"/>
      <c r="AE7925" s="33"/>
      <c r="AF7925" s="33"/>
      <c r="AG7925" s="33"/>
      <c r="AH7925" s="33"/>
      <c r="AI7925" s="33"/>
      <c r="AJ7925" s="33"/>
      <c r="AK7925" s="33"/>
    </row>
    <row r="7926">
      <c r="A7926" s="33"/>
      <c r="B7926" s="33"/>
      <c r="C7926" s="33"/>
      <c r="D7926" s="33"/>
      <c r="E7926" s="33"/>
      <c r="F7926" s="33"/>
      <c r="G7926" s="33"/>
      <c r="H7926" s="33"/>
      <c r="I7926" s="33"/>
      <c r="J7926" s="33"/>
      <c r="K7926" s="33"/>
      <c r="L7926" s="33"/>
      <c r="M7926" s="33"/>
      <c r="N7926" s="33"/>
      <c r="O7926" s="33"/>
      <c r="P7926" s="33"/>
      <c r="Q7926" s="33"/>
      <c r="R7926" s="33"/>
      <c r="S7926" s="33"/>
      <c r="T7926" s="33"/>
      <c r="U7926" s="33"/>
      <c r="V7926" s="33"/>
      <c r="W7926" s="33"/>
      <c r="X7926" s="33"/>
      <c r="Y7926" s="33"/>
      <c r="Z7926" s="33"/>
      <c r="AA7926" s="33"/>
      <c r="AB7926" s="33"/>
      <c r="AC7926" s="33"/>
      <c r="AD7926" s="33"/>
      <c r="AE7926" s="33"/>
      <c r="AF7926" s="33"/>
      <c r="AG7926" s="33"/>
      <c r="AH7926" s="33"/>
      <c r="AI7926" s="33"/>
      <c r="AJ7926" s="33"/>
      <c r="AK7926" s="33"/>
    </row>
    <row r="7927">
      <c r="A7927" s="33"/>
      <c r="B7927" s="33"/>
      <c r="C7927" s="33"/>
      <c r="D7927" s="33"/>
      <c r="E7927" s="33"/>
      <c r="F7927" s="33"/>
      <c r="G7927" s="33"/>
      <c r="H7927" s="33"/>
      <c r="I7927" s="33"/>
      <c r="J7927" s="33"/>
      <c r="K7927" s="33"/>
      <c r="L7927" s="33"/>
      <c r="M7927" s="33"/>
      <c r="N7927" s="33"/>
      <c r="O7927" s="33"/>
      <c r="P7927" s="33"/>
      <c r="Q7927" s="33"/>
      <c r="R7927" s="33"/>
      <c r="S7927" s="33"/>
      <c r="T7927" s="33"/>
      <c r="U7927" s="33"/>
      <c r="V7927" s="33"/>
      <c r="W7927" s="33"/>
      <c r="X7927" s="33"/>
      <c r="Y7927" s="33"/>
      <c r="Z7927" s="33"/>
      <c r="AA7927" s="33"/>
      <c r="AB7927" s="33"/>
      <c r="AC7927" s="33"/>
      <c r="AD7927" s="33"/>
      <c r="AE7927" s="33"/>
      <c r="AF7927" s="33"/>
      <c r="AG7927" s="33"/>
      <c r="AH7927" s="33"/>
      <c r="AI7927" s="33"/>
      <c r="AJ7927" s="33"/>
      <c r="AK7927" s="33"/>
    </row>
    <row r="7928">
      <c r="A7928" s="33"/>
      <c r="B7928" s="33"/>
      <c r="C7928" s="33"/>
      <c r="D7928" s="33"/>
      <c r="E7928" s="33"/>
      <c r="F7928" s="33"/>
      <c r="G7928" s="33"/>
      <c r="H7928" s="33"/>
      <c r="I7928" s="33"/>
      <c r="J7928" s="33"/>
      <c r="K7928" s="33"/>
      <c r="L7928" s="33"/>
      <c r="M7928" s="33"/>
      <c r="N7928" s="33"/>
      <c r="O7928" s="33"/>
      <c r="P7928" s="33"/>
      <c r="Q7928" s="33"/>
      <c r="R7928" s="33"/>
      <c r="S7928" s="33"/>
      <c r="T7928" s="33"/>
      <c r="U7928" s="33"/>
      <c r="V7928" s="33"/>
      <c r="W7928" s="33"/>
      <c r="X7928" s="33"/>
      <c r="Y7928" s="33"/>
      <c r="Z7928" s="33"/>
      <c r="AA7928" s="33"/>
      <c r="AB7928" s="33"/>
      <c r="AC7928" s="33"/>
      <c r="AD7928" s="33"/>
      <c r="AE7928" s="33"/>
      <c r="AF7928" s="33"/>
      <c r="AG7928" s="33"/>
      <c r="AH7928" s="33"/>
      <c r="AI7928" s="33"/>
      <c r="AJ7928" s="33"/>
      <c r="AK7928" s="33"/>
    </row>
    <row r="7929">
      <c r="A7929" s="33"/>
      <c r="B7929" s="33"/>
      <c r="C7929" s="33"/>
      <c r="D7929" s="33"/>
      <c r="E7929" s="33"/>
      <c r="F7929" s="33"/>
      <c r="G7929" s="33"/>
      <c r="H7929" s="33"/>
      <c r="I7929" s="33"/>
      <c r="J7929" s="33"/>
      <c r="K7929" s="33"/>
      <c r="L7929" s="33"/>
      <c r="M7929" s="33"/>
      <c r="N7929" s="33"/>
      <c r="O7929" s="33"/>
      <c r="P7929" s="33"/>
      <c r="Q7929" s="33"/>
      <c r="R7929" s="33"/>
      <c r="S7929" s="33"/>
      <c r="T7929" s="33"/>
      <c r="U7929" s="33"/>
      <c r="V7929" s="33"/>
      <c r="W7929" s="33"/>
      <c r="X7929" s="33"/>
      <c r="Y7929" s="33"/>
      <c r="Z7929" s="33"/>
      <c r="AA7929" s="33"/>
      <c r="AB7929" s="33"/>
      <c r="AC7929" s="33"/>
      <c r="AD7929" s="33"/>
      <c r="AE7929" s="33"/>
      <c r="AF7929" s="33"/>
      <c r="AG7929" s="33"/>
      <c r="AH7929" s="33"/>
      <c r="AI7929" s="33"/>
      <c r="AJ7929" s="33"/>
      <c r="AK7929" s="33"/>
    </row>
    <row r="7930">
      <c r="A7930" s="33"/>
      <c r="B7930" s="33"/>
      <c r="C7930" s="33"/>
      <c r="D7930" s="33"/>
      <c r="E7930" s="33"/>
      <c r="F7930" s="33"/>
      <c r="G7930" s="33"/>
      <c r="H7930" s="33"/>
      <c r="I7930" s="33"/>
      <c r="J7930" s="33"/>
      <c r="K7930" s="33"/>
      <c r="L7930" s="33"/>
      <c r="M7930" s="33"/>
      <c r="N7930" s="33"/>
      <c r="O7930" s="33"/>
      <c r="P7930" s="33"/>
      <c r="Q7930" s="33"/>
      <c r="R7930" s="33"/>
      <c r="S7930" s="33"/>
      <c r="T7930" s="33"/>
      <c r="U7930" s="33"/>
      <c r="V7930" s="33"/>
      <c r="W7930" s="33"/>
      <c r="X7930" s="33"/>
      <c r="Y7930" s="33"/>
      <c r="Z7930" s="33"/>
      <c r="AA7930" s="33"/>
      <c r="AB7930" s="33"/>
      <c r="AC7930" s="33"/>
      <c r="AD7930" s="33"/>
      <c r="AE7930" s="33"/>
      <c r="AF7930" s="33"/>
      <c r="AG7930" s="33"/>
      <c r="AH7930" s="33"/>
      <c r="AI7930" s="33"/>
      <c r="AJ7930" s="33"/>
      <c r="AK7930" s="33"/>
    </row>
    <row r="7931">
      <c r="A7931" s="33"/>
      <c r="B7931" s="33"/>
      <c r="C7931" s="33"/>
      <c r="D7931" s="33"/>
      <c r="E7931" s="33"/>
      <c r="F7931" s="33"/>
      <c r="G7931" s="33"/>
      <c r="H7931" s="33"/>
      <c r="I7931" s="33"/>
      <c r="J7931" s="33"/>
      <c r="K7931" s="33"/>
      <c r="L7931" s="33"/>
      <c r="M7931" s="33"/>
      <c r="N7931" s="33"/>
      <c r="O7931" s="33"/>
      <c r="P7931" s="33"/>
      <c r="Q7931" s="33"/>
      <c r="R7931" s="33"/>
      <c r="S7931" s="33"/>
      <c r="T7931" s="33"/>
      <c r="U7931" s="33"/>
      <c r="V7931" s="33"/>
      <c r="W7931" s="33"/>
      <c r="X7931" s="33"/>
      <c r="Y7931" s="33"/>
      <c r="Z7931" s="33"/>
      <c r="AA7931" s="33"/>
      <c r="AB7931" s="33"/>
      <c r="AC7931" s="33"/>
      <c r="AD7931" s="33"/>
      <c r="AE7931" s="33"/>
      <c r="AF7931" s="33"/>
      <c r="AG7931" s="33"/>
      <c r="AH7931" s="33"/>
      <c r="AI7931" s="33"/>
      <c r="AJ7931" s="33"/>
      <c r="AK7931" s="33"/>
    </row>
    <row r="7932">
      <c r="A7932" s="33"/>
      <c r="B7932" s="33"/>
      <c r="C7932" s="33"/>
      <c r="D7932" s="33"/>
      <c r="E7932" s="33"/>
      <c r="F7932" s="33"/>
      <c r="G7932" s="33"/>
      <c r="H7932" s="33"/>
      <c r="I7932" s="33"/>
      <c r="J7932" s="33"/>
      <c r="K7932" s="33"/>
      <c r="L7932" s="33"/>
      <c r="M7932" s="33"/>
      <c r="N7932" s="33"/>
      <c r="O7932" s="33"/>
      <c r="P7932" s="33"/>
      <c r="Q7932" s="33"/>
      <c r="R7932" s="33"/>
      <c r="S7932" s="33"/>
      <c r="T7932" s="33"/>
      <c r="U7932" s="33"/>
      <c r="V7932" s="33"/>
      <c r="W7932" s="33"/>
      <c r="X7932" s="33"/>
      <c r="Y7932" s="33"/>
      <c r="Z7932" s="33"/>
      <c r="AA7932" s="33"/>
      <c r="AB7932" s="33"/>
      <c r="AC7932" s="33"/>
      <c r="AD7932" s="33"/>
      <c r="AE7932" s="33"/>
      <c r="AF7932" s="33"/>
      <c r="AG7932" s="33"/>
      <c r="AH7932" s="33"/>
      <c r="AI7932" s="33"/>
      <c r="AJ7932" s="33"/>
      <c r="AK7932" s="33"/>
    </row>
    <row r="7933">
      <c r="A7933" s="33"/>
      <c r="B7933" s="33"/>
      <c r="C7933" s="33"/>
      <c r="D7933" s="33"/>
      <c r="E7933" s="33"/>
      <c r="F7933" s="33"/>
      <c r="G7933" s="33"/>
      <c r="H7933" s="33"/>
      <c r="I7933" s="33"/>
      <c r="J7933" s="33"/>
      <c r="K7933" s="33"/>
      <c r="L7933" s="33"/>
      <c r="M7933" s="33"/>
      <c r="N7933" s="33"/>
      <c r="O7933" s="33"/>
      <c r="P7933" s="33"/>
      <c r="Q7933" s="33"/>
      <c r="R7933" s="33"/>
      <c r="S7933" s="33"/>
      <c r="T7933" s="33"/>
      <c r="U7933" s="33"/>
      <c r="V7933" s="33"/>
      <c r="W7933" s="33"/>
      <c r="X7933" s="33"/>
      <c r="Y7933" s="33"/>
      <c r="Z7933" s="33"/>
      <c r="AA7933" s="33"/>
      <c r="AB7933" s="33"/>
      <c r="AC7933" s="33"/>
      <c r="AD7933" s="33"/>
      <c r="AE7933" s="33"/>
      <c r="AF7933" s="33"/>
      <c r="AG7933" s="33"/>
      <c r="AH7933" s="33"/>
      <c r="AI7933" s="33"/>
      <c r="AJ7933" s="33"/>
      <c r="AK7933" s="33"/>
    </row>
    <row r="7934">
      <c r="A7934" s="33"/>
      <c r="B7934" s="33"/>
      <c r="C7934" s="33"/>
      <c r="D7934" s="33"/>
      <c r="E7934" s="33"/>
      <c r="F7934" s="33"/>
      <c r="G7934" s="33"/>
      <c r="H7934" s="33"/>
      <c r="I7934" s="33"/>
      <c r="J7934" s="33"/>
      <c r="K7934" s="33"/>
      <c r="L7934" s="33"/>
      <c r="M7934" s="33"/>
      <c r="N7934" s="33"/>
      <c r="O7934" s="33"/>
      <c r="P7934" s="33"/>
      <c r="Q7934" s="33"/>
      <c r="R7934" s="33"/>
      <c r="S7934" s="33"/>
      <c r="T7934" s="33"/>
      <c r="U7934" s="33"/>
      <c r="V7934" s="33"/>
      <c r="W7934" s="33"/>
      <c r="X7934" s="33"/>
      <c r="Y7934" s="33"/>
      <c r="Z7934" s="33"/>
      <c r="AA7934" s="33"/>
      <c r="AB7934" s="33"/>
      <c r="AC7934" s="33"/>
      <c r="AD7934" s="33"/>
      <c r="AE7934" s="33"/>
      <c r="AF7934" s="33"/>
      <c r="AG7934" s="33"/>
      <c r="AH7934" s="33"/>
      <c r="AI7934" s="33"/>
      <c r="AJ7934" s="33"/>
      <c r="AK7934" s="33"/>
    </row>
    <row r="7935">
      <c r="A7935" s="33"/>
      <c r="B7935" s="33"/>
      <c r="C7935" s="33"/>
      <c r="D7935" s="33"/>
      <c r="E7935" s="33"/>
      <c r="F7935" s="33"/>
      <c r="G7935" s="33"/>
      <c r="H7935" s="33"/>
      <c r="I7935" s="33"/>
      <c r="J7935" s="33"/>
      <c r="K7935" s="33"/>
      <c r="L7935" s="33"/>
      <c r="M7935" s="33"/>
      <c r="N7935" s="33"/>
      <c r="O7935" s="33"/>
      <c r="P7935" s="33"/>
      <c r="Q7935" s="33"/>
      <c r="R7935" s="33"/>
      <c r="S7935" s="33"/>
      <c r="T7935" s="33"/>
      <c r="U7935" s="33"/>
      <c r="V7935" s="33"/>
      <c r="W7935" s="33"/>
      <c r="X7935" s="33"/>
      <c r="Y7935" s="33"/>
      <c r="Z7935" s="33"/>
      <c r="AA7935" s="33"/>
      <c r="AB7935" s="33"/>
      <c r="AC7935" s="33"/>
      <c r="AD7935" s="33"/>
      <c r="AE7935" s="33"/>
      <c r="AF7935" s="33"/>
      <c r="AG7935" s="33"/>
      <c r="AH7935" s="33"/>
      <c r="AI7935" s="33"/>
      <c r="AJ7935" s="33"/>
      <c r="AK7935" s="33"/>
    </row>
    <row r="7936">
      <c r="A7936" s="33"/>
      <c r="B7936" s="33"/>
      <c r="C7936" s="33"/>
      <c r="D7936" s="33"/>
      <c r="E7936" s="33"/>
      <c r="F7936" s="33"/>
      <c r="G7936" s="33"/>
      <c r="H7936" s="33"/>
      <c r="I7936" s="33"/>
      <c r="J7936" s="33"/>
      <c r="K7936" s="33"/>
      <c r="L7936" s="33"/>
      <c r="M7936" s="33"/>
      <c r="N7936" s="33"/>
      <c r="O7936" s="33"/>
      <c r="P7936" s="33"/>
      <c r="Q7936" s="33"/>
      <c r="R7936" s="33"/>
      <c r="S7936" s="33"/>
      <c r="T7936" s="33"/>
      <c r="U7936" s="33"/>
      <c r="V7936" s="33"/>
      <c r="W7936" s="33"/>
      <c r="X7936" s="33"/>
      <c r="Y7936" s="33"/>
      <c r="Z7936" s="33"/>
      <c r="AA7936" s="33"/>
      <c r="AB7936" s="33"/>
      <c r="AC7936" s="33"/>
      <c r="AD7936" s="33"/>
      <c r="AE7936" s="33"/>
      <c r="AF7936" s="33"/>
      <c r="AG7936" s="33"/>
      <c r="AH7936" s="33"/>
      <c r="AI7936" s="33"/>
      <c r="AJ7936" s="33"/>
      <c r="AK7936" s="33"/>
    </row>
    <row r="7937">
      <c r="A7937" s="33"/>
      <c r="B7937" s="33"/>
      <c r="C7937" s="33"/>
      <c r="D7937" s="33"/>
      <c r="E7937" s="33"/>
      <c r="F7937" s="33"/>
      <c r="G7937" s="33"/>
      <c r="H7937" s="33"/>
      <c r="I7937" s="33"/>
      <c r="J7937" s="33"/>
      <c r="K7937" s="33"/>
      <c r="L7937" s="33"/>
      <c r="M7937" s="33"/>
      <c r="N7937" s="33"/>
      <c r="O7937" s="33"/>
      <c r="P7937" s="33"/>
      <c r="Q7937" s="33"/>
      <c r="R7937" s="33"/>
      <c r="S7937" s="33"/>
      <c r="T7937" s="33"/>
      <c r="U7937" s="33"/>
      <c r="V7937" s="33"/>
      <c r="W7937" s="33"/>
      <c r="X7937" s="33"/>
      <c r="Y7937" s="33"/>
      <c r="Z7937" s="33"/>
      <c r="AA7937" s="33"/>
      <c r="AB7937" s="33"/>
      <c r="AC7937" s="33"/>
      <c r="AD7937" s="33"/>
      <c r="AE7937" s="33"/>
      <c r="AF7937" s="33"/>
      <c r="AG7937" s="33"/>
      <c r="AH7937" s="33"/>
      <c r="AI7937" s="33"/>
      <c r="AJ7937" s="33"/>
      <c r="AK7937" s="33"/>
    </row>
    <row r="7938">
      <c r="A7938" s="33"/>
      <c r="B7938" s="33"/>
      <c r="C7938" s="33"/>
      <c r="D7938" s="33"/>
      <c r="E7938" s="33"/>
      <c r="F7938" s="33"/>
      <c r="G7938" s="33"/>
      <c r="H7938" s="33"/>
      <c r="I7938" s="33"/>
      <c r="J7938" s="33"/>
      <c r="K7938" s="33"/>
      <c r="L7938" s="33"/>
      <c r="M7938" s="33"/>
      <c r="N7938" s="33"/>
      <c r="O7938" s="33"/>
      <c r="P7938" s="33"/>
      <c r="Q7938" s="33"/>
      <c r="R7938" s="33"/>
      <c r="S7938" s="33"/>
      <c r="T7938" s="33"/>
      <c r="U7938" s="33"/>
      <c r="V7938" s="33"/>
      <c r="W7938" s="33"/>
      <c r="X7938" s="33"/>
      <c r="Y7938" s="33"/>
      <c r="Z7938" s="33"/>
      <c r="AA7938" s="33"/>
      <c r="AB7938" s="33"/>
      <c r="AC7938" s="33"/>
      <c r="AD7938" s="33"/>
      <c r="AE7938" s="33"/>
      <c r="AF7938" s="33"/>
      <c r="AG7938" s="33"/>
      <c r="AH7938" s="33"/>
      <c r="AI7938" s="33"/>
      <c r="AJ7938" s="33"/>
      <c r="AK7938" s="33"/>
    </row>
    <row r="7939">
      <c r="A7939" s="33"/>
      <c r="B7939" s="33"/>
      <c r="C7939" s="33"/>
      <c r="D7939" s="33"/>
      <c r="E7939" s="33"/>
      <c r="F7939" s="33"/>
      <c r="G7939" s="33"/>
      <c r="H7939" s="33"/>
      <c r="I7939" s="33"/>
      <c r="J7939" s="33"/>
      <c r="K7939" s="33"/>
      <c r="L7939" s="33"/>
      <c r="M7939" s="33"/>
      <c r="N7939" s="33"/>
      <c r="O7939" s="33"/>
      <c r="P7939" s="33"/>
      <c r="Q7939" s="33"/>
      <c r="R7939" s="33"/>
      <c r="S7939" s="33"/>
      <c r="T7939" s="33"/>
      <c r="U7939" s="33"/>
      <c r="V7939" s="33"/>
      <c r="W7939" s="33"/>
      <c r="X7939" s="33"/>
      <c r="Y7939" s="33"/>
      <c r="Z7939" s="33"/>
      <c r="AA7939" s="33"/>
      <c r="AB7939" s="33"/>
      <c r="AC7939" s="33"/>
      <c r="AD7939" s="33"/>
      <c r="AE7939" s="33"/>
      <c r="AF7939" s="33"/>
      <c r="AG7939" s="33"/>
      <c r="AH7939" s="33"/>
      <c r="AI7939" s="33"/>
      <c r="AJ7939" s="33"/>
      <c r="AK7939" s="33"/>
    </row>
    <row r="7940">
      <c r="A7940" s="33"/>
      <c r="B7940" s="33"/>
      <c r="C7940" s="33"/>
      <c r="D7940" s="33"/>
      <c r="E7940" s="33"/>
      <c r="F7940" s="33"/>
      <c r="G7940" s="33"/>
      <c r="H7940" s="33"/>
      <c r="I7940" s="33"/>
      <c r="J7940" s="33"/>
      <c r="K7940" s="33"/>
      <c r="L7940" s="33"/>
      <c r="M7940" s="33"/>
      <c r="N7940" s="33"/>
      <c r="O7940" s="33"/>
      <c r="P7940" s="33"/>
      <c r="Q7940" s="33"/>
      <c r="R7940" s="33"/>
      <c r="S7940" s="33"/>
      <c r="T7940" s="33"/>
      <c r="U7940" s="33"/>
      <c r="V7940" s="33"/>
      <c r="W7940" s="33"/>
      <c r="X7940" s="33"/>
      <c r="Y7940" s="33"/>
      <c r="Z7940" s="33"/>
      <c r="AA7940" s="33"/>
      <c r="AB7940" s="33"/>
      <c r="AC7940" s="33"/>
      <c r="AD7940" s="33"/>
      <c r="AE7940" s="33"/>
      <c r="AF7940" s="33"/>
      <c r="AG7940" s="33"/>
      <c r="AH7940" s="33"/>
      <c r="AI7940" s="33"/>
      <c r="AJ7940" s="33"/>
      <c r="AK7940" s="33"/>
    </row>
    <row r="7941">
      <c r="A7941" s="33"/>
      <c r="B7941" s="33"/>
      <c r="C7941" s="33"/>
      <c r="D7941" s="33"/>
      <c r="E7941" s="33"/>
      <c r="F7941" s="33"/>
      <c r="G7941" s="33"/>
      <c r="H7941" s="33"/>
      <c r="I7941" s="33"/>
      <c r="J7941" s="33"/>
      <c r="K7941" s="33"/>
      <c r="L7941" s="33"/>
      <c r="M7941" s="33"/>
      <c r="N7941" s="33"/>
      <c r="O7941" s="33"/>
      <c r="P7941" s="33"/>
      <c r="Q7941" s="33"/>
      <c r="R7941" s="33"/>
      <c r="S7941" s="33"/>
      <c r="T7941" s="33"/>
      <c r="U7941" s="33"/>
      <c r="V7941" s="33"/>
      <c r="W7941" s="33"/>
      <c r="X7941" s="33"/>
      <c r="Y7941" s="33"/>
      <c r="Z7941" s="33"/>
      <c r="AA7941" s="33"/>
      <c r="AB7941" s="33"/>
      <c r="AC7941" s="33"/>
      <c r="AD7941" s="33"/>
      <c r="AE7941" s="33"/>
      <c r="AF7941" s="33"/>
      <c r="AG7941" s="33"/>
      <c r="AH7941" s="33"/>
      <c r="AI7941" s="33"/>
      <c r="AJ7941" s="33"/>
      <c r="AK7941" s="33"/>
    </row>
    <row r="7942">
      <c r="A7942" s="33"/>
      <c r="B7942" s="33"/>
      <c r="C7942" s="33"/>
      <c r="D7942" s="33"/>
      <c r="E7942" s="33"/>
      <c r="F7942" s="33"/>
      <c r="G7942" s="33"/>
      <c r="H7942" s="33"/>
      <c r="I7942" s="33"/>
      <c r="J7942" s="33"/>
      <c r="K7942" s="33"/>
      <c r="L7942" s="33"/>
      <c r="M7942" s="33"/>
      <c r="N7942" s="33"/>
      <c r="O7942" s="33"/>
      <c r="P7942" s="33"/>
      <c r="Q7942" s="33"/>
      <c r="R7942" s="33"/>
      <c r="S7942" s="33"/>
      <c r="T7942" s="33"/>
      <c r="U7942" s="33"/>
      <c r="V7942" s="33"/>
      <c r="W7942" s="33"/>
      <c r="X7942" s="33"/>
      <c r="Y7942" s="33"/>
      <c r="Z7942" s="33"/>
      <c r="AA7942" s="33"/>
      <c r="AB7942" s="33"/>
      <c r="AC7942" s="33"/>
      <c r="AD7942" s="33"/>
      <c r="AE7942" s="33"/>
      <c r="AF7942" s="33"/>
      <c r="AG7942" s="33"/>
      <c r="AH7942" s="33"/>
      <c r="AI7942" s="33"/>
      <c r="AJ7942" s="33"/>
      <c r="AK7942" s="33"/>
    </row>
    <row r="7943">
      <c r="A7943" s="33"/>
      <c r="B7943" s="33"/>
      <c r="C7943" s="33"/>
      <c r="D7943" s="33"/>
      <c r="E7943" s="33"/>
      <c r="F7943" s="33"/>
      <c r="G7943" s="33"/>
      <c r="H7943" s="33"/>
      <c r="I7943" s="33"/>
      <c r="J7943" s="33"/>
      <c r="K7943" s="33"/>
      <c r="L7943" s="33"/>
      <c r="M7943" s="33"/>
      <c r="N7943" s="33"/>
      <c r="O7943" s="33"/>
      <c r="P7943" s="33"/>
      <c r="Q7943" s="33"/>
      <c r="R7943" s="33"/>
      <c r="S7943" s="33"/>
      <c r="T7943" s="33"/>
      <c r="U7943" s="33"/>
      <c r="V7943" s="33"/>
      <c r="W7943" s="33"/>
      <c r="X7943" s="33"/>
      <c r="Y7943" s="33"/>
      <c r="Z7943" s="33"/>
      <c r="AA7943" s="33"/>
      <c r="AB7943" s="33"/>
      <c r="AC7943" s="33"/>
      <c r="AD7943" s="33"/>
      <c r="AE7943" s="33"/>
      <c r="AF7943" s="33"/>
      <c r="AG7943" s="33"/>
      <c r="AH7943" s="33"/>
      <c r="AI7943" s="33"/>
      <c r="AJ7943" s="33"/>
      <c r="AK7943" s="33"/>
    </row>
    <row r="7944">
      <c r="A7944" s="33"/>
      <c r="B7944" s="33"/>
      <c r="C7944" s="33"/>
      <c r="D7944" s="33"/>
      <c r="E7944" s="33"/>
      <c r="F7944" s="33"/>
      <c r="G7944" s="33"/>
      <c r="H7944" s="33"/>
      <c r="I7944" s="33"/>
      <c r="J7944" s="33"/>
      <c r="K7944" s="33"/>
      <c r="L7944" s="33"/>
      <c r="M7944" s="33"/>
      <c r="N7944" s="33"/>
      <c r="O7944" s="33"/>
      <c r="P7944" s="33"/>
      <c r="Q7944" s="33"/>
      <c r="R7944" s="33"/>
      <c r="S7944" s="33"/>
      <c r="T7944" s="33"/>
      <c r="U7944" s="33"/>
      <c r="V7944" s="33"/>
      <c r="W7944" s="33"/>
      <c r="X7944" s="33"/>
      <c r="Y7944" s="33"/>
      <c r="Z7944" s="33"/>
      <c r="AA7944" s="33"/>
      <c r="AB7944" s="33"/>
      <c r="AC7944" s="33"/>
      <c r="AD7944" s="33"/>
      <c r="AE7944" s="33"/>
      <c r="AF7944" s="33"/>
      <c r="AG7944" s="33"/>
      <c r="AH7944" s="33"/>
      <c r="AI7944" s="33"/>
      <c r="AJ7944" s="33"/>
      <c r="AK7944" s="33"/>
    </row>
    <row r="7945">
      <c r="A7945" s="33"/>
      <c r="B7945" s="33"/>
      <c r="C7945" s="33"/>
      <c r="D7945" s="33"/>
      <c r="E7945" s="33"/>
      <c r="F7945" s="33"/>
      <c r="G7945" s="33"/>
      <c r="H7945" s="33"/>
      <c r="I7945" s="33"/>
      <c r="J7945" s="33"/>
      <c r="K7945" s="33"/>
      <c r="L7945" s="33"/>
      <c r="M7945" s="33"/>
      <c r="N7945" s="33"/>
      <c r="O7945" s="33"/>
      <c r="P7945" s="33"/>
      <c r="Q7945" s="33"/>
      <c r="R7945" s="33"/>
      <c r="S7945" s="33"/>
      <c r="T7945" s="33"/>
      <c r="U7945" s="33"/>
      <c r="V7945" s="33"/>
      <c r="W7945" s="33"/>
      <c r="X7945" s="33"/>
      <c r="Y7945" s="33"/>
      <c r="Z7945" s="33"/>
      <c r="AA7945" s="33"/>
      <c r="AB7945" s="33"/>
      <c r="AC7945" s="33"/>
      <c r="AD7945" s="33"/>
      <c r="AE7945" s="33"/>
      <c r="AF7945" s="33"/>
      <c r="AG7945" s="33"/>
      <c r="AH7945" s="33"/>
      <c r="AI7945" s="33"/>
      <c r="AJ7945" s="33"/>
      <c r="AK7945" s="33"/>
    </row>
    <row r="7946">
      <c r="A7946" s="33"/>
      <c r="B7946" s="33"/>
      <c r="C7946" s="33"/>
      <c r="D7946" s="33"/>
      <c r="E7946" s="33"/>
      <c r="F7946" s="33"/>
      <c r="G7946" s="33"/>
      <c r="H7946" s="33"/>
      <c r="I7946" s="33"/>
      <c r="J7946" s="33"/>
      <c r="K7946" s="33"/>
      <c r="L7946" s="33"/>
      <c r="M7946" s="33"/>
      <c r="N7946" s="33"/>
      <c r="O7946" s="33"/>
      <c r="P7946" s="33"/>
      <c r="Q7946" s="33"/>
      <c r="R7946" s="33"/>
      <c r="S7946" s="33"/>
      <c r="T7946" s="33"/>
      <c r="U7946" s="33"/>
      <c r="V7946" s="33"/>
      <c r="W7946" s="33"/>
      <c r="X7946" s="33"/>
      <c r="Y7946" s="33"/>
      <c r="Z7946" s="33"/>
      <c r="AA7946" s="33"/>
      <c r="AB7946" s="33"/>
      <c r="AC7946" s="33"/>
      <c r="AD7946" s="33"/>
      <c r="AE7946" s="33"/>
      <c r="AF7946" s="33"/>
      <c r="AG7946" s="33"/>
      <c r="AH7946" s="33"/>
      <c r="AI7946" s="33"/>
      <c r="AJ7946" s="33"/>
      <c r="AK7946" s="33"/>
    </row>
    <row r="7947">
      <c r="A7947" s="33"/>
      <c r="B7947" s="33"/>
      <c r="C7947" s="33"/>
      <c r="D7947" s="33"/>
      <c r="E7947" s="33"/>
      <c r="F7947" s="33"/>
      <c r="G7947" s="33"/>
      <c r="H7947" s="33"/>
      <c r="I7947" s="33"/>
      <c r="J7947" s="33"/>
      <c r="K7947" s="33"/>
      <c r="L7947" s="33"/>
      <c r="M7947" s="33"/>
      <c r="N7947" s="33"/>
      <c r="O7947" s="33"/>
      <c r="P7947" s="33"/>
      <c r="Q7947" s="33"/>
      <c r="R7947" s="33"/>
      <c r="S7947" s="33"/>
      <c r="T7947" s="33"/>
      <c r="U7947" s="33"/>
      <c r="V7947" s="33"/>
      <c r="W7947" s="33"/>
      <c r="X7947" s="33"/>
      <c r="Y7947" s="33"/>
      <c r="Z7947" s="33"/>
      <c r="AA7947" s="33"/>
      <c r="AB7947" s="33"/>
      <c r="AC7947" s="33"/>
      <c r="AD7947" s="33"/>
      <c r="AE7947" s="33"/>
      <c r="AF7947" s="33"/>
      <c r="AG7947" s="33"/>
      <c r="AH7947" s="33"/>
      <c r="AI7947" s="33"/>
      <c r="AJ7947" s="33"/>
      <c r="AK7947" s="33"/>
    </row>
    <row r="7948">
      <c r="A7948" s="33"/>
      <c r="B7948" s="33"/>
      <c r="C7948" s="33"/>
      <c r="D7948" s="33"/>
      <c r="E7948" s="33"/>
      <c r="F7948" s="33"/>
      <c r="G7948" s="33"/>
      <c r="H7948" s="33"/>
      <c r="I7948" s="33"/>
      <c r="J7948" s="33"/>
      <c r="K7948" s="33"/>
      <c r="L7948" s="33"/>
      <c r="M7948" s="33"/>
      <c r="N7948" s="33"/>
      <c r="O7948" s="33"/>
      <c r="P7948" s="33"/>
      <c r="Q7948" s="33"/>
      <c r="R7948" s="33"/>
      <c r="S7948" s="33"/>
      <c r="T7948" s="33"/>
      <c r="U7948" s="33"/>
      <c r="V7948" s="33"/>
      <c r="W7948" s="33"/>
      <c r="X7948" s="33"/>
      <c r="Y7948" s="33"/>
      <c r="Z7948" s="33"/>
      <c r="AA7948" s="33"/>
      <c r="AB7948" s="33"/>
      <c r="AC7948" s="33"/>
      <c r="AD7948" s="33"/>
      <c r="AE7948" s="33"/>
      <c r="AF7948" s="33"/>
      <c r="AG7948" s="33"/>
      <c r="AH7948" s="33"/>
      <c r="AI7948" s="33"/>
      <c r="AJ7948" s="33"/>
      <c r="AK7948" s="33"/>
    </row>
    <row r="7949">
      <c r="A7949" s="33"/>
      <c r="B7949" s="33"/>
      <c r="C7949" s="33"/>
      <c r="D7949" s="33"/>
      <c r="E7949" s="33"/>
      <c r="F7949" s="33"/>
      <c r="G7949" s="33"/>
      <c r="H7949" s="33"/>
      <c r="I7949" s="33"/>
      <c r="J7949" s="33"/>
      <c r="K7949" s="33"/>
      <c r="L7949" s="33"/>
      <c r="M7949" s="33"/>
      <c r="N7949" s="33"/>
      <c r="O7949" s="33"/>
      <c r="P7949" s="33"/>
      <c r="Q7949" s="33"/>
      <c r="R7949" s="33"/>
      <c r="S7949" s="33"/>
      <c r="T7949" s="33"/>
      <c r="U7949" s="33"/>
      <c r="V7949" s="33"/>
      <c r="W7949" s="33"/>
      <c r="X7949" s="33"/>
      <c r="Y7949" s="33"/>
      <c r="Z7949" s="33"/>
      <c r="AA7949" s="33"/>
      <c r="AB7949" s="33"/>
      <c r="AC7949" s="33"/>
      <c r="AD7949" s="33"/>
      <c r="AE7949" s="33"/>
      <c r="AF7949" s="33"/>
      <c r="AG7949" s="33"/>
      <c r="AH7949" s="33"/>
      <c r="AI7949" s="33"/>
      <c r="AJ7949" s="33"/>
      <c r="AK7949" s="33"/>
    </row>
    <row r="7950">
      <c r="A7950" s="33"/>
      <c r="B7950" s="33"/>
      <c r="C7950" s="33"/>
      <c r="D7950" s="33"/>
      <c r="E7950" s="33"/>
      <c r="F7950" s="33"/>
      <c r="G7950" s="33"/>
      <c r="H7950" s="33"/>
      <c r="I7950" s="33"/>
      <c r="J7950" s="33"/>
      <c r="K7950" s="33"/>
      <c r="L7950" s="33"/>
      <c r="M7950" s="33"/>
      <c r="N7950" s="33"/>
      <c r="O7950" s="33"/>
      <c r="P7950" s="33"/>
      <c r="Q7950" s="33"/>
      <c r="R7950" s="33"/>
      <c r="S7950" s="33"/>
      <c r="T7950" s="33"/>
      <c r="U7950" s="33"/>
      <c r="V7950" s="33"/>
      <c r="W7950" s="33"/>
      <c r="X7950" s="33"/>
      <c r="Y7950" s="33"/>
      <c r="Z7950" s="33"/>
      <c r="AA7950" s="33"/>
      <c r="AB7950" s="33"/>
      <c r="AC7950" s="33"/>
      <c r="AD7950" s="33"/>
      <c r="AE7950" s="33"/>
      <c r="AF7950" s="33"/>
      <c r="AG7950" s="33"/>
      <c r="AH7950" s="33"/>
      <c r="AI7950" s="33"/>
      <c r="AJ7950" s="33"/>
      <c r="AK7950" s="33"/>
    </row>
    <row r="7951">
      <c r="A7951" s="33"/>
      <c r="B7951" s="33"/>
      <c r="C7951" s="33"/>
      <c r="D7951" s="33"/>
      <c r="E7951" s="33"/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33"/>
      <c r="Q7951" s="33"/>
      <c r="R7951" s="33"/>
      <c r="S7951" s="33"/>
      <c r="T7951" s="33"/>
      <c r="U7951" s="33"/>
      <c r="V7951" s="33"/>
      <c r="W7951" s="33"/>
      <c r="X7951" s="33"/>
      <c r="Y7951" s="33"/>
      <c r="Z7951" s="33"/>
      <c r="AA7951" s="33"/>
      <c r="AB7951" s="33"/>
      <c r="AC7951" s="33"/>
      <c r="AD7951" s="33"/>
      <c r="AE7951" s="33"/>
      <c r="AF7951" s="33"/>
      <c r="AG7951" s="33"/>
      <c r="AH7951" s="33"/>
      <c r="AI7951" s="33"/>
      <c r="AJ7951" s="33"/>
      <c r="AK7951" s="33"/>
    </row>
    <row r="7952">
      <c r="A7952" s="33"/>
      <c r="B7952" s="33"/>
      <c r="C7952" s="33"/>
      <c r="D7952" s="33"/>
      <c r="E7952" s="33"/>
      <c r="F7952" s="33"/>
      <c r="G7952" s="33"/>
      <c r="H7952" s="33"/>
      <c r="I7952" s="33"/>
      <c r="J7952" s="33"/>
      <c r="K7952" s="33"/>
      <c r="L7952" s="33"/>
      <c r="M7952" s="33"/>
      <c r="N7952" s="33"/>
      <c r="O7952" s="33"/>
      <c r="P7952" s="33"/>
      <c r="Q7952" s="33"/>
      <c r="R7952" s="33"/>
      <c r="S7952" s="33"/>
      <c r="T7952" s="33"/>
      <c r="U7952" s="33"/>
      <c r="V7952" s="33"/>
      <c r="W7952" s="33"/>
      <c r="X7952" s="33"/>
      <c r="Y7952" s="33"/>
      <c r="Z7952" s="33"/>
      <c r="AA7952" s="33"/>
      <c r="AB7952" s="33"/>
      <c r="AC7952" s="33"/>
      <c r="AD7952" s="33"/>
      <c r="AE7952" s="33"/>
      <c r="AF7952" s="33"/>
      <c r="AG7952" s="33"/>
      <c r="AH7952" s="33"/>
      <c r="AI7952" s="33"/>
      <c r="AJ7952" s="33"/>
      <c r="AK7952" s="33"/>
    </row>
    <row r="7953">
      <c r="A7953" s="33"/>
      <c r="B7953" s="33"/>
      <c r="C7953" s="33"/>
      <c r="D7953" s="33"/>
      <c r="E7953" s="33"/>
      <c r="F7953" s="33"/>
      <c r="G7953" s="33"/>
      <c r="H7953" s="33"/>
      <c r="I7953" s="33"/>
      <c r="J7953" s="33"/>
      <c r="K7953" s="33"/>
      <c r="L7953" s="33"/>
      <c r="M7953" s="33"/>
      <c r="N7953" s="33"/>
      <c r="O7953" s="33"/>
      <c r="P7953" s="33"/>
      <c r="Q7953" s="33"/>
      <c r="R7953" s="33"/>
      <c r="S7953" s="33"/>
      <c r="T7953" s="33"/>
      <c r="U7953" s="33"/>
      <c r="V7953" s="33"/>
      <c r="W7953" s="33"/>
      <c r="X7953" s="33"/>
      <c r="Y7953" s="33"/>
      <c r="Z7953" s="33"/>
      <c r="AA7953" s="33"/>
      <c r="AB7953" s="33"/>
      <c r="AC7953" s="33"/>
      <c r="AD7953" s="33"/>
      <c r="AE7953" s="33"/>
      <c r="AF7953" s="33"/>
      <c r="AG7953" s="33"/>
      <c r="AH7953" s="33"/>
      <c r="AI7953" s="33"/>
      <c r="AJ7953" s="33"/>
      <c r="AK7953" s="33"/>
    </row>
    <row r="7954">
      <c r="A7954" s="33"/>
      <c r="B7954" s="33"/>
      <c r="C7954" s="33"/>
      <c r="D7954" s="33"/>
      <c r="E7954" s="33"/>
      <c r="F7954" s="33"/>
      <c r="G7954" s="33"/>
      <c r="H7954" s="33"/>
      <c r="I7954" s="33"/>
      <c r="J7954" s="33"/>
      <c r="K7954" s="33"/>
      <c r="L7954" s="33"/>
      <c r="M7954" s="33"/>
      <c r="N7954" s="33"/>
      <c r="O7954" s="33"/>
      <c r="P7954" s="33"/>
      <c r="Q7954" s="33"/>
      <c r="R7954" s="33"/>
      <c r="S7954" s="33"/>
      <c r="T7954" s="33"/>
      <c r="U7954" s="33"/>
      <c r="V7954" s="33"/>
      <c r="W7954" s="33"/>
      <c r="X7954" s="33"/>
      <c r="Y7954" s="33"/>
      <c r="Z7954" s="33"/>
      <c r="AA7954" s="33"/>
      <c r="AB7954" s="33"/>
      <c r="AC7954" s="33"/>
      <c r="AD7954" s="33"/>
      <c r="AE7954" s="33"/>
      <c r="AF7954" s="33"/>
      <c r="AG7954" s="33"/>
      <c r="AH7954" s="33"/>
      <c r="AI7954" s="33"/>
      <c r="AJ7954" s="33"/>
      <c r="AK7954" s="33"/>
    </row>
    <row r="7955">
      <c r="A7955" s="33"/>
      <c r="B7955" s="33"/>
      <c r="C7955" s="33"/>
      <c r="D7955" s="33"/>
      <c r="E7955" s="33"/>
      <c r="F7955" s="33"/>
      <c r="G7955" s="33"/>
      <c r="H7955" s="33"/>
      <c r="I7955" s="33"/>
      <c r="J7955" s="33"/>
      <c r="K7955" s="33"/>
      <c r="L7955" s="33"/>
      <c r="M7955" s="33"/>
      <c r="N7955" s="33"/>
      <c r="O7955" s="33"/>
      <c r="P7955" s="33"/>
      <c r="Q7955" s="33"/>
      <c r="R7955" s="33"/>
      <c r="S7955" s="33"/>
      <c r="T7955" s="33"/>
      <c r="U7955" s="33"/>
      <c r="V7955" s="33"/>
      <c r="W7955" s="33"/>
      <c r="X7955" s="33"/>
      <c r="Y7955" s="33"/>
      <c r="Z7955" s="33"/>
      <c r="AA7955" s="33"/>
      <c r="AB7955" s="33"/>
      <c r="AC7955" s="33"/>
      <c r="AD7955" s="33"/>
      <c r="AE7955" s="33"/>
      <c r="AF7955" s="33"/>
      <c r="AG7955" s="33"/>
      <c r="AH7955" s="33"/>
      <c r="AI7955" s="33"/>
      <c r="AJ7955" s="33"/>
      <c r="AK7955" s="33"/>
    </row>
    <row r="7956">
      <c r="A7956" s="33"/>
      <c r="B7956" s="33"/>
      <c r="C7956" s="33"/>
      <c r="D7956" s="33"/>
      <c r="E7956" s="33"/>
      <c r="F7956" s="33"/>
      <c r="G7956" s="33"/>
      <c r="H7956" s="33"/>
      <c r="I7956" s="33"/>
      <c r="J7956" s="33"/>
      <c r="K7956" s="33"/>
      <c r="L7956" s="33"/>
      <c r="M7956" s="33"/>
      <c r="N7956" s="33"/>
      <c r="O7956" s="33"/>
      <c r="P7956" s="33"/>
      <c r="Q7956" s="33"/>
      <c r="R7956" s="33"/>
      <c r="S7956" s="33"/>
      <c r="T7956" s="33"/>
      <c r="U7956" s="33"/>
      <c r="V7956" s="33"/>
      <c r="W7956" s="33"/>
      <c r="X7956" s="33"/>
      <c r="Y7956" s="33"/>
      <c r="Z7956" s="33"/>
      <c r="AA7956" s="33"/>
      <c r="AB7956" s="33"/>
      <c r="AC7956" s="33"/>
      <c r="AD7956" s="33"/>
      <c r="AE7956" s="33"/>
      <c r="AF7956" s="33"/>
      <c r="AG7956" s="33"/>
      <c r="AH7956" s="33"/>
      <c r="AI7956" s="33"/>
      <c r="AJ7956" s="33"/>
      <c r="AK7956" s="33"/>
    </row>
    <row r="7957">
      <c r="A7957" s="33"/>
      <c r="B7957" s="33"/>
      <c r="C7957" s="33"/>
      <c r="D7957" s="33"/>
      <c r="E7957" s="33"/>
      <c r="F7957" s="33"/>
      <c r="G7957" s="33"/>
      <c r="H7957" s="33"/>
      <c r="I7957" s="33"/>
      <c r="J7957" s="33"/>
      <c r="K7957" s="33"/>
      <c r="L7957" s="33"/>
      <c r="M7957" s="33"/>
      <c r="N7957" s="33"/>
      <c r="O7957" s="33"/>
      <c r="P7957" s="33"/>
      <c r="Q7957" s="33"/>
      <c r="R7957" s="33"/>
      <c r="S7957" s="33"/>
      <c r="T7957" s="33"/>
      <c r="U7957" s="33"/>
      <c r="V7957" s="33"/>
      <c r="W7957" s="33"/>
      <c r="X7957" s="33"/>
      <c r="Y7957" s="33"/>
      <c r="Z7957" s="33"/>
      <c r="AA7957" s="33"/>
      <c r="AB7957" s="33"/>
      <c r="AC7957" s="33"/>
      <c r="AD7957" s="33"/>
      <c r="AE7957" s="33"/>
      <c r="AF7957" s="33"/>
      <c r="AG7957" s="33"/>
      <c r="AH7957" s="33"/>
      <c r="AI7957" s="33"/>
      <c r="AJ7957" s="33"/>
      <c r="AK7957" s="33"/>
    </row>
    <row r="7958">
      <c r="A7958" s="33"/>
      <c r="B7958" s="33"/>
      <c r="C7958" s="33"/>
      <c r="D7958" s="33"/>
      <c r="E7958" s="33"/>
      <c r="F7958" s="33"/>
      <c r="G7958" s="33"/>
      <c r="H7958" s="33"/>
      <c r="I7958" s="33"/>
      <c r="J7958" s="33"/>
      <c r="K7958" s="33"/>
      <c r="L7958" s="33"/>
      <c r="M7958" s="33"/>
      <c r="N7958" s="33"/>
      <c r="O7958" s="33"/>
      <c r="P7958" s="33"/>
      <c r="Q7958" s="33"/>
      <c r="R7958" s="33"/>
      <c r="S7958" s="33"/>
      <c r="T7958" s="33"/>
      <c r="U7958" s="33"/>
      <c r="V7958" s="33"/>
      <c r="W7958" s="33"/>
      <c r="X7958" s="33"/>
      <c r="Y7958" s="33"/>
      <c r="Z7958" s="33"/>
      <c r="AA7958" s="33"/>
      <c r="AB7958" s="33"/>
      <c r="AC7958" s="33"/>
      <c r="AD7958" s="33"/>
      <c r="AE7958" s="33"/>
      <c r="AF7958" s="33"/>
      <c r="AG7958" s="33"/>
      <c r="AH7958" s="33"/>
      <c r="AI7958" s="33"/>
      <c r="AJ7958" s="33"/>
      <c r="AK7958" s="33"/>
    </row>
    <row r="7959">
      <c r="A7959" s="33"/>
      <c r="B7959" s="33"/>
      <c r="C7959" s="33"/>
      <c r="D7959" s="33"/>
      <c r="E7959" s="33"/>
      <c r="F7959" s="33"/>
      <c r="G7959" s="33"/>
      <c r="H7959" s="33"/>
      <c r="I7959" s="33"/>
      <c r="J7959" s="33"/>
      <c r="K7959" s="33"/>
      <c r="L7959" s="33"/>
      <c r="M7959" s="33"/>
      <c r="N7959" s="33"/>
      <c r="O7959" s="33"/>
      <c r="P7959" s="33"/>
      <c r="Q7959" s="33"/>
      <c r="R7959" s="33"/>
      <c r="S7959" s="33"/>
      <c r="T7959" s="33"/>
      <c r="U7959" s="33"/>
      <c r="V7959" s="33"/>
      <c r="W7959" s="33"/>
      <c r="X7959" s="33"/>
      <c r="Y7959" s="33"/>
      <c r="Z7959" s="33"/>
      <c r="AA7959" s="33"/>
      <c r="AB7959" s="33"/>
      <c r="AC7959" s="33"/>
      <c r="AD7959" s="33"/>
      <c r="AE7959" s="33"/>
      <c r="AF7959" s="33"/>
      <c r="AG7959" s="33"/>
      <c r="AH7959" s="33"/>
      <c r="AI7959" s="33"/>
      <c r="AJ7959" s="33"/>
      <c r="AK7959" s="33"/>
    </row>
    <row r="7960">
      <c r="A7960" s="33"/>
      <c r="B7960" s="33"/>
      <c r="C7960" s="33"/>
      <c r="D7960" s="33"/>
      <c r="E7960" s="33"/>
      <c r="F7960" s="33"/>
      <c r="G7960" s="33"/>
      <c r="H7960" s="33"/>
      <c r="I7960" s="33"/>
      <c r="J7960" s="33"/>
      <c r="K7960" s="33"/>
      <c r="L7960" s="33"/>
      <c r="M7960" s="33"/>
      <c r="N7960" s="33"/>
      <c r="O7960" s="33"/>
      <c r="P7960" s="33"/>
      <c r="Q7960" s="33"/>
      <c r="R7960" s="33"/>
      <c r="S7960" s="33"/>
      <c r="T7960" s="33"/>
      <c r="U7960" s="33"/>
      <c r="V7960" s="33"/>
      <c r="W7960" s="33"/>
      <c r="X7960" s="33"/>
      <c r="Y7960" s="33"/>
      <c r="Z7960" s="33"/>
      <c r="AA7960" s="33"/>
      <c r="AB7960" s="33"/>
      <c r="AC7960" s="33"/>
      <c r="AD7960" s="33"/>
      <c r="AE7960" s="33"/>
      <c r="AF7960" s="33"/>
      <c r="AG7960" s="33"/>
      <c r="AH7960" s="33"/>
      <c r="AI7960" s="33"/>
      <c r="AJ7960" s="33"/>
      <c r="AK7960" s="33"/>
    </row>
    <row r="7961">
      <c r="A7961" s="33"/>
      <c r="B7961" s="33"/>
      <c r="C7961" s="33"/>
      <c r="D7961" s="33"/>
      <c r="E7961" s="33"/>
      <c r="F7961" s="33"/>
      <c r="G7961" s="33"/>
      <c r="H7961" s="33"/>
      <c r="I7961" s="33"/>
      <c r="J7961" s="33"/>
      <c r="K7961" s="33"/>
      <c r="L7961" s="33"/>
      <c r="M7961" s="33"/>
      <c r="N7961" s="33"/>
      <c r="O7961" s="33"/>
      <c r="P7961" s="33"/>
      <c r="Q7961" s="33"/>
      <c r="R7961" s="33"/>
      <c r="S7961" s="33"/>
      <c r="T7961" s="33"/>
      <c r="U7961" s="33"/>
      <c r="V7961" s="33"/>
      <c r="W7961" s="33"/>
      <c r="X7961" s="33"/>
      <c r="Y7961" s="33"/>
      <c r="Z7961" s="33"/>
      <c r="AA7961" s="33"/>
      <c r="AB7961" s="33"/>
      <c r="AC7961" s="33"/>
      <c r="AD7961" s="33"/>
      <c r="AE7961" s="33"/>
      <c r="AF7961" s="33"/>
      <c r="AG7961" s="33"/>
      <c r="AH7961" s="33"/>
      <c r="AI7961" s="33"/>
      <c r="AJ7961" s="33"/>
      <c r="AK7961" s="33"/>
    </row>
    <row r="7962">
      <c r="A7962" s="33"/>
      <c r="B7962" s="33"/>
      <c r="C7962" s="33"/>
      <c r="D7962" s="33"/>
      <c r="E7962" s="33"/>
      <c r="F7962" s="33"/>
      <c r="G7962" s="33"/>
      <c r="H7962" s="33"/>
      <c r="I7962" s="33"/>
      <c r="J7962" s="33"/>
      <c r="K7962" s="33"/>
      <c r="L7962" s="33"/>
      <c r="M7962" s="33"/>
      <c r="N7962" s="33"/>
      <c r="O7962" s="33"/>
      <c r="P7962" s="33"/>
      <c r="Q7962" s="33"/>
      <c r="R7962" s="33"/>
      <c r="S7962" s="33"/>
      <c r="T7962" s="33"/>
      <c r="U7962" s="33"/>
      <c r="V7962" s="33"/>
      <c r="W7962" s="33"/>
      <c r="X7962" s="33"/>
      <c r="Y7962" s="33"/>
      <c r="Z7962" s="33"/>
      <c r="AA7962" s="33"/>
      <c r="AB7962" s="33"/>
      <c r="AC7962" s="33"/>
      <c r="AD7962" s="33"/>
      <c r="AE7962" s="33"/>
      <c r="AF7962" s="33"/>
      <c r="AG7962" s="33"/>
      <c r="AH7962" s="33"/>
      <c r="AI7962" s="33"/>
      <c r="AJ7962" s="33"/>
      <c r="AK7962" s="33"/>
    </row>
    <row r="7963">
      <c r="A7963" s="33"/>
      <c r="B7963" s="33"/>
      <c r="C7963" s="33"/>
      <c r="D7963" s="33"/>
      <c r="E7963" s="33"/>
      <c r="F7963" s="33"/>
      <c r="G7963" s="33"/>
      <c r="H7963" s="33"/>
      <c r="I7963" s="33"/>
      <c r="J7963" s="33"/>
      <c r="K7963" s="33"/>
      <c r="L7963" s="33"/>
      <c r="M7963" s="33"/>
      <c r="N7963" s="33"/>
      <c r="O7963" s="33"/>
      <c r="P7963" s="33"/>
      <c r="Q7963" s="33"/>
      <c r="R7963" s="33"/>
      <c r="S7963" s="33"/>
      <c r="T7963" s="33"/>
      <c r="U7963" s="33"/>
      <c r="V7963" s="33"/>
      <c r="W7963" s="33"/>
      <c r="X7963" s="33"/>
      <c r="Y7963" s="33"/>
      <c r="Z7963" s="33"/>
      <c r="AA7963" s="33"/>
      <c r="AB7963" s="33"/>
      <c r="AC7963" s="33"/>
      <c r="AD7963" s="33"/>
      <c r="AE7963" s="33"/>
      <c r="AF7963" s="33"/>
      <c r="AG7963" s="33"/>
      <c r="AH7963" s="33"/>
      <c r="AI7963" s="33"/>
      <c r="AJ7963" s="33"/>
      <c r="AK7963" s="33"/>
    </row>
    <row r="7964">
      <c r="A7964" s="33"/>
      <c r="B7964" s="33"/>
      <c r="C7964" s="33"/>
      <c r="D7964" s="33"/>
      <c r="E7964" s="33"/>
      <c r="F7964" s="33"/>
      <c r="G7964" s="33"/>
      <c r="H7964" s="33"/>
      <c r="I7964" s="33"/>
      <c r="J7964" s="33"/>
      <c r="K7964" s="33"/>
      <c r="L7964" s="33"/>
      <c r="M7964" s="33"/>
      <c r="N7964" s="33"/>
      <c r="O7964" s="33"/>
      <c r="P7964" s="33"/>
      <c r="Q7964" s="33"/>
      <c r="R7964" s="33"/>
      <c r="S7964" s="33"/>
      <c r="T7964" s="33"/>
      <c r="U7964" s="33"/>
      <c r="V7964" s="33"/>
      <c r="W7964" s="33"/>
      <c r="X7964" s="33"/>
      <c r="Y7964" s="33"/>
      <c r="Z7964" s="33"/>
      <c r="AA7964" s="33"/>
      <c r="AB7964" s="33"/>
      <c r="AC7964" s="33"/>
      <c r="AD7964" s="33"/>
      <c r="AE7964" s="33"/>
      <c r="AF7964" s="33"/>
      <c r="AG7964" s="33"/>
      <c r="AH7964" s="33"/>
      <c r="AI7964" s="33"/>
      <c r="AJ7964" s="33"/>
      <c r="AK7964" s="33"/>
    </row>
    <row r="7965">
      <c r="A7965" s="33"/>
      <c r="B7965" s="33"/>
      <c r="C7965" s="33"/>
      <c r="D7965" s="33"/>
      <c r="E7965" s="33"/>
      <c r="F7965" s="33"/>
      <c r="G7965" s="33"/>
      <c r="H7965" s="33"/>
      <c r="I7965" s="33"/>
      <c r="J7965" s="33"/>
      <c r="K7965" s="33"/>
      <c r="L7965" s="33"/>
      <c r="M7965" s="33"/>
      <c r="N7965" s="33"/>
      <c r="O7965" s="33"/>
      <c r="P7965" s="33"/>
      <c r="Q7965" s="33"/>
      <c r="R7965" s="33"/>
      <c r="S7965" s="33"/>
      <c r="T7965" s="33"/>
      <c r="U7965" s="33"/>
      <c r="V7965" s="33"/>
      <c r="W7965" s="33"/>
      <c r="X7965" s="33"/>
      <c r="Y7965" s="33"/>
      <c r="Z7965" s="33"/>
      <c r="AA7965" s="33"/>
      <c r="AB7965" s="33"/>
      <c r="AC7965" s="33"/>
      <c r="AD7965" s="33"/>
      <c r="AE7965" s="33"/>
      <c r="AF7965" s="33"/>
      <c r="AG7965" s="33"/>
      <c r="AH7965" s="33"/>
      <c r="AI7965" s="33"/>
      <c r="AJ7965" s="33"/>
      <c r="AK7965" s="33"/>
    </row>
    <row r="7966">
      <c r="A7966" s="33"/>
      <c r="B7966" s="33"/>
      <c r="C7966" s="33"/>
      <c r="D7966" s="33"/>
      <c r="E7966" s="33"/>
      <c r="F7966" s="33"/>
      <c r="G7966" s="33"/>
      <c r="H7966" s="33"/>
      <c r="I7966" s="33"/>
      <c r="J7966" s="33"/>
      <c r="K7966" s="33"/>
      <c r="L7966" s="33"/>
      <c r="M7966" s="33"/>
      <c r="N7966" s="33"/>
      <c r="O7966" s="33"/>
      <c r="P7966" s="33"/>
      <c r="Q7966" s="33"/>
      <c r="R7966" s="33"/>
      <c r="S7966" s="33"/>
      <c r="T7966" s="33"/>
      <c r="U7966" s="33"/>
      <c r="V7966" s="33"/>
      <c r="W7966" s="33"/>
      <c r="X7966" s="33"/>
      <c r="Y7966" s="33"/>
      <c r="Z7966" s="33"/>
      <c r="AA7966" s="33"/>
      <c r="AB7966" s="33"/>
      <c r="AC7966" s="33"/>
      <c r="AD7966" s="33"/>
      <c r="AE7966" s="33"/>
      <c r="AF7966" s="33"/>
      <c r="AG7966" s="33"/>
      <c r="AH7966" s="33"/>
      <c r="AI7966" s="33"/>
      <c r="AJ7966" s="33"/>
      <c r="AK7966" s="33"/>
    </row>
    <row r="7967">
      <c r="A7967" s="33"/>
      <c r="B7967" s="33"/>
      <c r="C7967" s="33"/>
      <c r="D7967" s="33"/>
      <c r="E7967" s="33"/>
      <c r="F7967" s="33"/>
      <c r="G7967" s="33"/>
      <c r="H7967" s="33"/>
      <c r="I7967" s="33"/>
      <c r="J7967" s="33"/>
      <c r="K7967" s="33"/>
      <c r="L7967" s="33"/>
      <c r="M7967" s="33"/>
      <c r="N7967" s="33"/>
      <c r="O7967" s="33"/>
      <c r="P7967" s="33"/>
      <c r="Q7967" s="33"/>
      <c r="R7967" s="33"/>
      <c r="S7967" s="33"/>
      <c r="T7967" s="33"/>
      <c r="U7967" s="33"/>
      <c r="V7967" s="33"/>
      <c r="W7967" s="33"/>
      <c r="X7967" s="33"/>
      <c r="Y7967" s="33"/>
      <c r="Z7967" s="33"/>
      <c r="AA7967" s="33"/>
      <c r="AB7967" s="33"/>
      <c r="AC7967" s="33"/>
      <c r="AD7967" s="33"/>
      <c r="AE7967" s="33"/>
      <c r="AF7967" s="33"/>
      <c r="AG7967" s="33"/>
      <c r="AH7967" s="33"/>
      <c r="AI7967" s="33"/>
      <c r="AJ7967" s="33"/>
      <c r="AK7967" s="33"/>
    </row>
    <row r="7968">
      <c r="A7968" s="33"/>
      <c r="B7968" s="33"/>
      <c r="C7968" s="33"/>
      <c r="D7968" s="33"/>
      <c r="E7968" s="33"/>
      <c r="F7968" s="33"/>
      <c r="G7968" s="33"/>
      <c r="H7968" s="33"/>
      <c r="I7968" s="33"/>
      <c r="J7968" s="33"/>
      <c r="K7968" s="33"/>
      <c r="L7968" s="33"/>
      <c r="M7968" s="33"/>
      <c r="N7968" s="33"/>
      <c r="O7968" s="33"/>
      <c r="P7968" s="33"/>
      <c r="Q7968" s="33"/>
      <c r="R7968" s="33"/>
      <c r="S7968" s="33"/>
      <c r="T7968" s="33"/>
      <c r="U7968" s="33"/>
      <c r="V7968" s="33"/>
      <c r="W7968" s="33"/>
      <c r="X7968" s="33"/>
      <c r="Y7968" s="33"/>
      <c r="Z7968" s="33"/>
      <c r="AA7968" s="33"/>
      <c r="AB7968" s="33"/>
      <c r="AC7968" s="33"/>
      <c r="AD7968" s="33"/>
      <c r="AE7968" s="33"/>
      <c r="AF7968" s="33"/>
      <c r="AG7968" s="33"/>
      <c r="AH7968" s="33"/>
      <c r="AI7968" s="33"/>
      <c r="AJ7968" s="33"/>
      <c r="AK7968" s="33"/>
    </row>
    <row r="7969">
      <c r="A7969" s="33"/>
      <c r="B7969" s="33"/>
      <c r="C7969" s="33"/>
      <c r="D7969" s="33"/>
      <c r="E7969" s="33"/>
      <c r="F7969" s="33"/>
      <c r="G7969" s="33"/>
      <c r="H7969" s="33"/>
      <c r="I7969" s="33"/>
      <c r="J7969" s="33"/>
      <c r="K7969" s="33"/>
      <c r="L7969" s="33"/>
      <c r="M7969" s="33"/>
      <c r="N7969" s="33"/>
      <c r="O7969" s="33"/>
      <c r="P7969" s="33"/>
      <c r="Q7969" s="33"/>
      <c r="R7969" s="33"/>
      <c r="S7969" s="33"/>
      <c r="T7969" s="33"/>
      <c r="U7969" s="33"/>
      <c r="V7969" s="33"/>
      <c r="W7969" s="33"/>
      <c r="X7969" s="33"/>
      <c r="Y7969" s="33"/>
      <c r="Z7969" s="33"/>
      <c r="AA7969" s="33"/>
      <c r="AB7969" s="33"/>
      <c r="AC7969" s="33"/>
      <c r="AD7969" s="33"/>
      <c r="AE7969" s="33"/>
      <c r="AF7969" s="33"/>
      <c r="AG7969" s="33"/>
      <c r="AH7969" s="33"/>
      <c r="AI7969" s="33"/>
      <c r="AJ7969" s="33"/>
      <c r="AK7969" s="33"/>
    </row>
    <row r="7970">
      <c r="A7970" s="33"/>
      <c r="B7970" s="33"/>
      <c r="C7970" s="33"/>
      <c r="D7970" s="33"/>
      <c r="E7970" s="33"/>
      <c r="F7970" s="33"/>
      <c r="G7970" s="33"/>
      <c r="H7970" s="33"/>
      <c r="I7970" s="33"/>
      <c r="J7970" s="33"/>
      <c r="K7970" s="33"/>
      <c r="L7970" s="33"/>
      <c r="M7970" s="33"/>
      <c r="N7970" s="33"/>
      <c r="O7970" s="33"/>
      <c r="P7970" s="33"/>
      <c r="Q7970" s="33"/>
      <c r="R7970" s="33"/>
      <c r="S7970" s="33"/>
      <c r="T7970" s="33"/>
      <c r="U7970" s="33"/>
      <c r="V7970" s="33"/>
      <c r="W7970" s="33"/>
      <c r="X7970" s="33"/>
      <c r="Y7970" s="33"/>
      <c r="Z7970" s="33"/>
      <c r="AA7970" s="33"/>
      <c r="AB7970" s="33"/>
      <c r="AC7970" s="33"/>
      <c r="AD7970" s="33"/>
      <c r="AE7970" s="33"/>
      <c r="AF7970" s="33"/>
      <c r="AG7970" s="33"/>
      <c r="AH7970" s="33"/>
      <c r="AI7970" s="33"/>
      <c r="AJ7970" s="33"/>
      <c r="AK7970" s="33"/>
    </row>
    <row r="7971">
      <c r="A7971" s="33"/>
      <c r="B7971" s="33"/>
      <c r="C7971" s="33"/>
      <c r="D7971" s="33"/>
      <c r="E7971" s="33"/>
      <c r="F7971" s="33"/>
      <c r="G7971" s="33"/>
      <c r="H7971" s="33"/>
      <c r="I7971" s="33"/>
      <c r="J7971" s="33"/>
      <c r="K7971" s="33"/>
      <c r="L7971" s="33"/>
      <c r="M7971" s="33"/>
      <c r="N7971" s="33"/>
      <c r="O7971" s="33"/>
      <c r="P7971" s="33"/>
      <c r="Q7971" s="33"/>
      <c r="R7971" s="33"/>
      <c r="S7971" s="33"/>
      <c r="T7971" s="33"/>
      <c r="U7971" s="33"/>
      <c r="V7971" s="33"/>
      <c r="W7971" s="33"/>
      <c r="X7971" s="33"/>
      <c r="Y7971" s="33"/>
      <c r="Z7971" s="33"/>
      <c r="AA7971" s="33"/>
      <c r="AB7971" s="33"/>
      <c r="AC7971" s="33"/>
      <c r="AD7971" s="33"/>
      <c r="AE7971" s="33"/>
      <c r="AF7971" s="33"/>
      <c r="AG7971" s="33"/>
      <c r="AH7971" s="33"/>
      <c r="AI7971" s="33"/>
      <c r="AJ7971" s="33"/>
      <c r="AK7971" s="33"/>
    </row>
    <row r="7972">
      <c r="A7972" s="33"/>
      <c r="B7972" s="33"/>
      <c r="C7972" s="33"/>
      <c r="D7972" s="33"/>
      <c r="E7972" s="33"/>
      <c r="F7972" s="33"/>
      <c r="G7972" s="33"/>
      <c r="H7972" s="33"/>
      <c r="I7972" s="33"/>
      <c r="J7972" s="33"/>
      <c r="K7972" s="33"/>
      <c r="L7972" s="33"/>
      <c r="M7972" s="33"/>
      <c r="N7972" s="33"/>
      <c r="O7972" s="33"/>
      <c r="P7972" s="33"/>
      <c r="Q7972" s="33"/>
      <c r="R7972" s="33"/>
      <c r="S7972" s="33"/>
      <c r="T7972" s="33"/>
      <c r="U7972" s="33"/>
      <c r="V7972" s="33"/>
      <c r="W7972" s="33"/>
      <c r="X7972" s="33"/>
      <c r="Y7972" s="33"/>
      <c r="Z7972" s="33"/>
      <c r="AA7972" s="33"/>
      <c r="AB7972" s="33"/>
      <c r="AC7972" s="33"/>
      <c r="AD7972" s="33"/>
      <c r="AE7972" s="33"/>
      <c r="AF7972" s="33"/>
      <c r="AG7972" s="33"/>
      <c r="AH7972" s="33"/>
      <c r="AI7972" s="33"/>
      <c r="AJ7972" s="33"/>
      <c r="AK7972" s="33"/>
    </row>
    <row r="7973">
      <c r="A7973" s="33"/>
      <c r="B7973" s="33"/>
      <c r="C7973" s="33"/>
      <c r="D7973" s="33"/>
      <c r="E7973" s="33"/>
      <c r="F7973" s="33"/>
      <c r="G7973" s="33"/>
      <c r="H7973" s="33"/>
      <c r="I7973" s="33"/>
      <c r="J7973" s="33"/>
      <c r="K7973" s="33"/>
      <c r="L7973" s="33"/>
      <c r="M7973" s="33"/>
      <c r="N7973" s="33"/>
      <c r="O7973" s="33"/>
      <c r="P7973" s="33"/>
      <c r="Q7973" s="33"/>
      <c r="R7973" s="33"/>
      <c r="S7973" s="33"/>
      <c r="T7973" s="33"/>
      <c r="U7973" s="33"/>
      <c r="V7973" s="33"/>
      <c r="W7973" s="33"/>
      <c r="X7973" s="33"/>
      <c r="Y7973" s="33"/>
      <c r="Z7973" s="33"/>
      <c r="AA7973" s="33"/>
      <c r="AB7973" s="33"/>
      <c r="AC7973" s="33"/>
      <c r="AD7973" s="33"/>
      <c r="AE7973" s="33"/>
      <c r="AF7973" s="33"/>
      <c r="AG7973" s="33"/>
      <c r="AH7973" s="33"/>
      <c r="AI7973" s="33"/>
      <c r="AJ7973" s="33"/>
      <c r="AK7973" s="33"/>
    </row>
    <row r="7974">
      <c r="A7974" s="33"/>
      <c r="B7974" s="33"/>
      <c r="C7974" s="33"/>
      <c r="D7974" s="33"/>
      <c r="E7974" s="33"/>
      <c r="F7974" s="33"/>
      <c r="G7974" s="33"/>
      <c r="H7974" s="33"/>
      <c r="I7974" s="33"/>
      <c r="J7974" s="33"/>
      <c r="K7974" s="33"/>
      <c r="L7974" s="33"/>
      <c r="M7974" s="33"/>
      <c r="N7974" s="33"/>
      <c r="O7974" s="33"/>
      <c r="P7974" s="33"/>
      <c r="Q7974" s="33"/>
      <c r="R7974" s="33"/>
      <c r="S7974" s="33"/>
      <c r="T7974" s="33"/>
      <c r="U7974" s="33"/>
      <c r="V7974" s="33"/>
      <c r="W7974" s="33"/>
      <c r="X7974" s="33"/>
      <c r="Y7974" s="33"/>
      <c r="Z7974" s="33"/>
      <c r="AA7974" s="33"/>
      <c r="AB7974" s="33"/>
      <c r="AC7974" s="33"/>
      <c r="AD7974" s="33"/>
      <c r="AE7974" s="33"/>
      <c r="AF7974" s="33"/>
      <c r="AG7974" s="33"/>
      <c r="AH7974" s="33"/>
      <c r="AI7974" s="33"/>
      <c r="AJ7974" s="33"/>
      <c r="AK7974" s="33"/>
    </row>
    <row r="7975">
      <c r="A7975" s="33"/>
      <c r="B7975" s="33"/>
      <c r="C7975" s="33"/>
      <c r="D7975" s="33"/>
      <c r="E7975" s="33"/>
      <c r="F7975" s="33"/>
      <c r="G7975" s="33"/>
      <c r="H7975" s="33"/>
      <c r="I7975" s="33"/>
      <c r="J7975" s="33"/>
      <c r="K7975" s="33"/>
      <c r="L7975" s="33"/>
      <c r="M7975" s="33"/>
      <c r="N7975" s="33"/>
      <c r="O7975" s="33"/>
      <c r="P7975" s="33"/>
      <c r="Q7975" s="33"/>
      <c r="R7975" s="33"/>
      <c r="S7975" s="33"/>
      <c r="T7975" s="33"/>
      <c r="U7975" s="33"/>
      <c r="V7975" s="33"/>
      <c r="W7975" s="33"/>
      <c r="X7975" s="33"/>
      <c r="Y7975" s="33"/>
      <c r="Z7975" s="33"/>
      <c r="AA7975" s="33"/>
      <c r="AB7975" s="33"/>
      <c r="AC7975" s="33"/>
      <c r="AD7975" s="33"/>
      <c r="AE7975" s="33"/>
      <c r="AF7975" s="33"/>
      <c r="AG7975" s="33"/>
      <c r="AH7975" s="33"/>
      <c r="AI7975" s="33"/>
      <c r="AJ7975" s="33"/>
      <c r="AK7975" s="33"/>
    </row>
    <row r="7976">
      <c r="A7976" s="33"/>
      <c r="B7976" s="33"/>
      <c r="C7976" s="33"/>
      <c r="D7976" s="33"/>
      <c r="E7976" s="33"/>
      <c r="F7976" s="33"/>
      <c r="G7976" s="33"/>
      <c r="H7976" s="33"/>
      <c r="I7976" s="33"/>
      <c r="J7976" s="33"/>
      <c r="K7976" s="33"/>
      <c r="L7976" s="33"/>
      <c r="M7976" s="33"/>
      <c r="N7976" s="33"/>
      <c r="O7976" s="33"/>
      <c r="P7976" s="33"/>
      <c r="Q7976" s="33"/>
      <c r="R7976" s="33"/>
      <c r="S7976" s="33"/>
      <c r="T7976" s="33"/>
      <c r="U7976" s="33"/>
      <c r="V7976" s="33"/>
      <c r="W7976" s="33"/>
      <c r="X7976" s="33"/>
      <c r="Y7976" s="33"/>
      <c r="Z7976" s="33"/>
      <c r="AA7976" s="33"/>
      <c r="AB7976" s="33"/>
      <c r="AC7976" s="33"/>
      <c r="AD7976" s="33"/>
      <c r="AE7976" s="33"/>
      <c r="AF7976" s="33"/>
      <c r="AG7976" s="33"/>
      <c r="AH7976" s="33"/>
      <c r="AI7976" s="33"/>
      <c r="AJ7976" s="33"/>
      <c r="AK7976" s="33"/>
    </row>
    <row r="7977">
      <c r="A7977" s="33"/>
      <c r="B7977" s="33"/>
      <c r="C7977" s="33"/>
      <c r="D7977" s="33"/>
      <c r="E7977" s="33"/>
      <c r="F7977" s="33"/>
      <c r="G7977" s="33"/>
      <c r="H7977" s="33"/>
      <c r="I7977" s="33"/>
      <c r="J7977" s="33"/>
      <c r="K7977" s="33"/>
      <c r="L7977" s="33"/>
      <c r="M7977" s="33"/>
      <c r="N7977" s="33"/>
      <c r="O7977" s="33"/>
      <c r="P7977" s="33"/>
      <c r="Q7977" s="33"/>
      <c r="R7977" s="33"/>
      <c r="S7977" s="33"/>
      <c r="T7977" s="33"/>
      <c r="U7977" s="33"/>
      <c r="V7977" s="33"/>
      <c r="W7977" s="33"/>
      <c r="X7977" s="33"/>
      <c r="Y7977" s="33"/>
      <c r="Z7977" s="33"/>
      <c r="AA7977" s="33"/>
      <c r="AB7977" s="33"/>
      <c r="AC7977" s="33"/>
      <c r="AD7977" s="33"/>
      <c r="AE7977" s="33"/>
      <c r="AF7977" s="33"/>
      <c r="AG7977" s="33"/>
      <c r="AH7977" s="33"/>
      <c r="AI7977" s="33"/>
      <c r="AJ7977" s="33"/>
      <c r="AK7977" s="33"/>
    </row>
    <row r="7978">
      <c r="A7978" s="33"/>
      <c r="B7978" s="33"/>
      <c r="C7978" s="33"/>
      <c r="D7978" s="33"/>
      <c r="E7978" s="33"/>
      <c r="F7978" s="33"/>
      <c r="G7978" s="33"/>
      <c r="H7978" s="33"/>
      <c r="I7978" s="33"/>
      <c r="J7978" s="33"/>
      <c r="K7978" s="33"/>
      <c r="L7978" s="33"/>
      <c r="M7978" s="33"/>
      <c r="N7978" s="33"/>
      <c r="O7978" s="33"/>
      <c r="P7978" s="33"/>
      <c r="Q7978" s="33"/>
      <c r="R7978" s="33"/>
      <c r="S7978" s="33"/>
      <c r="T7978" s="33"/>
      <c r="U7978" s="33"/>
      <c r="V7978" s="33"/>
      <c r="W7978" s="33"/>
      <c r="X7978" s="33"/>
      <c r="Y7978" s="33"/>
      <c r="Z7978" s="33"/>
      <c r="AA7978" s="33"/>
      <c r="AB7978" s="33"/>
      <c r="AC7978" s="33"/>
      <c r="AD7978" s="33"/>
      <c r="AE7978" s="33"/>
      <c r="AF7978" s="33"/>
      <c r="AG7978" s="33"/>
      <c r="AH7978" s="33"/>
      <c r="AI7978" s="33"/>
      <c r="AJ7978" s="33"/>
      <c r="AK7978" s="33"/>
    </row>
    <row r="7979">
      <c r="A7979" s="33"/>
      <c r="B7979" s="33"/>
      <c r="C7979" s="33"/>
      <c r="D7979" s="33"/>
      <c r="E7979" s="33"/>
      <c r="F7979" s="33"/>
      <c r="G7979" s="33"/>
      <c r="H7979" s="33"/>
      <c r="I7979" s="33"/>
      <c r="J7979" s="33"/>
      <c r="K7979" s="33"/>
      <c r="L7979" s="33"/>
      <c r="M7979" s="33"/>
      <c r="N7979" s="33"/>
      <c r="O7979" s="33"/>
      <c r="P7979" s="33"/>
      <c r="Q7979" s="33"/>
      <c r="R7979" s="33"/>
      <c r="S7979" s="33"/>
      <c r="T7979" s="33"/>
      <c r="U7979" s="33"/>
      <c r="V7979" s="33"/>
      <c r="W7979" s="33"/>
      <c r="X7979" s="33"/>
      <c r="Y7979" s="33"/>
      <c r="Z7979" s="33"/>
      <c r="AA7979" s="33"/>
      <c r="AB7979" s="33"/>
      <c r="AC7979" s="33"/>
      <c r="AD7979" s="33"/>
      <c r="AE7979" s="33"/>
      <c r="AF7979" s="33"/>
      <c r="AG7979" s="33"/>
      <c r="AH7979" s="33"/>
      <c r="AI7979" s="33"/>
      <c r="AJ7979" s="33"/>
      <c r="AK7979" s="33"/>
    </row>
    <row r="7980">
      <c r="A7980" s="33"/>
      <c r="B7980" s="33"/>
      <c r="C7980" s="33"/>
      <c r="D7980" s="33"/>
      <c r="E7980" s="33"/>
      <c r="F7980" s="33"/>
      <c r="G7980" s="33"/>
      <c r="H7980" s="33"/>
      <c r="I7980" s="33"/>
      <c r="J7980" s="33"/>
      <c r="K7980" s="33"/>
      <c r="L7980" s="33"/>
      <c r="M7980" s="33"/>
      <c r="N7980" s="33"/>
      <c r="O7980" s="33"/>
      <c r="P7980" s="33"/>
      <c r="Q7980" s="33"/>
      <c r="R7980" s="33"/>
      <c r="S7980" s="33"/>
      <c r="T7980" s="33"/>
      <c r="U7980" s="33"/>
      <c r="V7980" s="33"/>
      <c r="W7980" s="33"/>
      <c r="X7980" s="33"/>
      <c r="Y7980" s="33"/>
      <c r="Z7980" s="33"/>
      <c r="AA7980" s="33"/>
      <c r="AB7980" s="33"/>
      <c r="AC7980" s="33"/>
      <c r="AD7980" s="33"/>
      <c r="AE7980" s="33"/>
      <c r="AF7980" s="33"/>
      <c r="AG7980" s="33"/>
      <c r="AH7980" s="33"/>
      <c r="AI7980" s="33"/>
      <c r="AJ7980" s="33"/>
      <c r="AK7980" s="33"/>
    </row>
    <row r="7981">
      <c r="A7981" s="33"/>
      <c r="B7981" s="33"/>
      <c r="C7981" s="33"/>
      <c r="D7981" s="33"/>
      <c r="E7981" s="33"/>
      <c r="F7981" s="33"/>
      <c r="G7981" s="33"/>
      <c r="H7981" s="33"/>
      <c r="I7981" s="33"/>
      <c r="J7981" s="33"/>
      <c r="K7981" s="33"/>
      <c r="L7981" s="33"/>
      <c r="M7981" s="33"/>
      <c r="N7981" s="33"/>
      <c r="O7981" s="33"/>
      <c r="P7981" s="33"/>
      <c r="Q7981" s="33"/>
      <c r="R7981" s="33"/>
      <c r="S7981" s="33"/>
      <c r="T7981" s="33"/>
      <c r="U7981" s="33"/>
      <c r="V7981" s="33"/>
      <c r="W7981" s="33"/>
      <c r="X7981" s="33"/>
      <c r="Y7981" s="33"/>
      <c r="Z7981" s="33"/>
      <c r="AA7981" s="33"/>
      <c r="AB7981" s="33"/>
      <c r="AC7981" s="33"/>
      <c r="AD7981" s="33"/>
      <c r="AE7981" s="33"/>
      <c r="AF7981" s="33"/>
      <c r="AG7981" s="33"/>
      <c r="AH7981" s="33"/>
      <c r="AI7981" s="33"/>
      <c r="AJ7981" s="33"/>
      <c r="AK7981" s="33"/>
    </row>
    <row r="7982">
      <c r="A7982" s="33"/>
      <c r="B7982" s="33"/>
      <c r="C7982" s="33"/>
      <c r="D7982" s="33"/>
      <c r="E7982" s="33"/>
      <c r="F7982" s="33"/>
      <c r="G7982" s="33"/>
      <c r="H7982" s="33"/>
      <c r="I7982" s="33"/>
      <c r="J7982" s="33"/>
      <c r="K7982" s="33"/>
      <c r="L7982" s="33"/>
      <c r="M7982" s="33"/>
      <c r="N7982" s="33"/>
      <c r="O7982" s="33"/>
      <c r="P7982" s="33"/>
      <c r="Q7982" s="33"/>
      <c r="R7982" s="33"/>
      <c r="S7982" s="33"/>
      <c r="T7982" s="33"/>
      <c r="U7982" s="33"/>
      <c r="V7982" s="33"/>
      <c r="W7982" s="33"/>
      <c r="X7982" s="33"/>
      <c r="Y7982" s="33"/>
      <c r="Z7982" s="33"/>
      <c r="AA7982" s="33"/>
      <c r="AB7982" s="33"/>
      <c r="AC7982" s="33"/>
      <c r="AD7982" s="33"/>
      <c r="AE7982" s="33"/>
      <c r="AF7982" s="33"/>
      <c r="AG7982" s="33"/>
      <c r="AH7982" s="33"/>
      <c r="AI7982" s="33"/>
      <c r="AJ7982" s="33"/>
      <c r="AK7982" s="33"/>
    </row>
    <row r="7983">
      <c r="A7983" s="33"/>
      <c r="B7983" s="33"/>
      <c r="C7983" s="33"/>
      <c r="D7983" s="33"/>
      <c r="E7983" s="33"/>
      <c r="F7983" s="33"/>
      <c r="G7983" s="33"/>
      <c r="H7983" s="33"/>
      <c r="I7983" s="33"/>
      <c r="J7983" s="33"/>
      <c r="K7983" s="33"/>
      <c r="L7983" s="33"/>
      <c r="M7983" s="33"/>
      <c r="N7983" s="33"/>
      <c r="O7983" s="33"/>
      <c r="P7983" s="33"/>
      <c r="Q7983" s="33"/>
      <c r="R7983" s="33"/>
      <c r="S7983" s="33"/>
      <c r="T7983" s="33"/>
      <c r="U7983" s="33"/>
      <c r="V7983" s="33"/>
      <c r="W7983" s="33"/>
      <c r="X7983" s="33"/>
      <c r="Y7983" s="33"/>
      <c r="Z7983" s="33"/>
      <c r="AA7983" s="33"/>
      <c r="AB7983" s="33"/>
      <c r="AC7983" s="33"/>
      <c r="AD7983" s="33"/>
      <c r="AE7983" s="33"/>
      <c r="AF7983" s="33"/>
      <c r="AG7983" s="33"/>
      <c r="AH7983" s="33"/>
      <c r="AI7983" s="33"/>
      <c r="AJ7983" s="33"/>
      <c r="AK7983" s="33"/>
    </row>
    <row r="7984">
      <c r="A7984" s="33"/>
      <c r="B7984" s="33"/>
      <c r="C7984" s="33"/>
      <c r="D7984" s="33"/>
      <c r="E7984" s="33"/>
      <c r="F7984" s="33"/>
      <c r="G7984" s="33"/>
      <c r="H7984" s="33"/>
      <c r="I7984" s="33"/>
      <c r="J7984" s="33"/>
      <c r="K7984" s="33"/>
      <c r="L7984" s="33"/>
      <c r="M7984" s="33"/>
      <c r="N7984" s="33"/>
      <c r="O7984" s="33"/>
      <c r="P7984" s="33"/>
      <c r="Q7984" s="33"/>
      <c r="R7984" s="33"/>
      <c r="S7984" s="33"/>
      <c r="T7984" s="33"/>
      <c r="U7984" s="33"/>
      <c r="V7984" s="33"/>
      <c r="W7984" s="33"/>
      <c r="X7984" s="33"/>
      <c r="Y7984" s="33"/>
      <c r="Z7984" s="33"/>
      <c r="AA7984" s="33"/>
      <c r="AB7984" s="33"/>
      <c r="AC7984" s="33"/>
      <c r="AD7984" s="33"/>
      <c r="AE7984" s="33"/>
      <c r="AF7984" s="33"/>
      <c r="AG7984" s="33"/>
      <c r="AH7984" s="33"/>
      <c r="AI7984" s="33"/>
      <c r="AJ7984" s="33"/>
      <c r="AK7984" s="33"/>
    </row>
    <row r="7985">
      <c r="A7985" s="33"/>
      <c r="B7985" s="33"/>
      <c r="C7985" s="33"/>
      <c r="D7985" s="33"/>
      <c r="E7985" s="33"/>
      <c r="F7985" s="33"/>
      <c r="G7985" s="33"/>
      <c r="H7985" s="33"/>
      <c r="I7985" s="33"/>
      <c r="J7985" s="33"/>
      <c r="K7985" s="33"/>
      <c r="L7985" s="33"/>
      <c r="M7985" s="33"/>
      <c r="N7985" s="33"/>
      <c r="O7985" s="33"/>
      <c r="P7985" s="33"/>
      <c r="Q7985" s="33"/>
      <c r="R7985" s="33"/>
      <c r="S7985" s="33"/>
      <c r="T7985" s="33"/>
      <c r="U7985" s="33"/>
      <c r="V7985" s="33"/>
      <c r="W7985" s="33"/>
      <c r="X7985" s="33"/>
      <c r="Y7985" s="33"/>
      <c r="Z7985" s="33"/>
      <c r="AA7985" s="33"/>
      <c r="AB7985" s="33"/>
      <c r="AC7985" s="33"/>
      <c r="AD7985" s="33"/>
      <c r="AE7985" s="33"/>
      <c r="AF7985" s="33"/>
      <c r="AG7985" s="33"/>
      <c r="AH7985" s="33"/>
      <c r="AI7985" s="33"/>
      <c r="AJ7985" s="33"/>
      <c r="AK7985" s="33"/>
    </row>
    <row r="7986">
      <c r="A7986" s="33"/>
      <c r="B7986" s="33"/>
      <c r="C7986" s="33"/>
      <c r="D7986" s="33"/>
      <c r="E7986" s="33"/>
      <c r="F7986" s="33"/>
      <c r="G7986" s="33"/>
      <c r="H7986" s="33"/>
      <c r="I7986" s="33"/>
      <c r="J7986" s="33"/>
      <c r="K7986" s="33"/>
      <c r="L7986" s="33"/>
      <c r="M7986" s="33"/>
      <c r="N7986" s="33"/>
      <c r="O7986" s="33"/>
      <c r="P7986" s="33"/>
      <c r="Q7986" s="33"/>
      <c r="R7986" s="33"/>
      <c r="S7986" s="33"/>
      <c r="T7986" s="33"/>
      <c r="U7986" s="33"/>
      <c r="V7986" s="33"/>
      <c r="W7986" s="33"/>
      <c r="X7986" s="33"/>
      <c r="Y7986" s="33"/>
      <c r="Z7986" s="33"/>
      <c r="AA7986" s="33"/>
      <c r="AB7986" s="33"/>
      <c r="AC7986" s="33"/>
      <c r="AD7986" s="33"/>
      <c r="AE7986" s="33"/>
      <c r="AF7986" s="33"/>
      <c r="AG7986" s="33"/>
      <c r="AH7986" s="33"/>
      <c r="AI7986" s="33"/>
      <c r="AJ7986" s="33"/>
      <c r="AK7986" s="33"/>
    </row>
    <row r="7987">
      <c r="A7987" s="33"/>
      <c r="B7987" s="33"/>
      <c r="C7987" s="33"/>
      <c r="D7987" s="33"/>
      <c r="E7987" s="33"/>
      <c r="F7987" s="33"/>
      <c r="G7987" s="33"/>
      <c r="H7987" s="33"/>
      <c r="I7987" s="33"/>
      <c r="J7987" s="33"/>
      <c r="K7987" s="33"/>
      <c r="L7987" s="33"/>
      <c r="M7987" s="33"/>
      <c r="N7987" s="33"/>
      <c r="O7987" s="33"/>
      <c r="P7987" s="33"/>
      <c r="Q7987" s="33"/>
      <c r="R7987" s="33"/>
      <c r="S7987" s="33"/>
      <c r="T7987" s="33"/>
      <c r="U7987" s="33"/>
      <c r="V7987" s="33"/>
      <c r="W7987" s="33"/>
      <c r="X7987" s="33"/>
      <c r="Y7987" s="33"/>
      <c r="Z7987" s="33"/>
      <c r="AA7987" s="33"/>
      <c r="AB7987" s="33"/>
      <c r="AC7987" s="33"/>
      <c r="AD7987" s="33"/>
      <c r="AE7987" s="33"/>
      <c r="AF7987" s="33"/>
      <c r="AG7987" s="33"/>
      <c r="AH7987" s="33"/>
      <c r="AI7987" s="33"/>
      <c r="AJ7987" s="33"/>
      <c r="AK7987" s="33"/>
    </row>
    <row r="7988">
      <c r="A7988" s="33"/>
      <c r="B7988" s="33"/>
      <c r="C7988" s="33"/>
      <c r="D7988" s="33"/>
      <c r="E7988" s="33"/>
      <c r="F7988" s="33"/>
      <c r="G7988" s="33"/>
      <c r="H7988" s="33"/>
      <c r="I7988" s="33"/>
      <c r="J7988" s="33"/>
      <c r="K7988" s="33"/>
      <c r="L7988" s="33"/>
      <c r="M7988" s="33"/>
      <c r="N7988" s="33"/>
      <c r="O7988" s="33"/>
      <c r="P7988" s="33"/>
      <c r="Q7988" s="33"/>
      <c r="R7988" s="33"/>
      <c r="S7988" s="33"/>
      <c r="T7988" s="33"/>
      <c r="U7988" s="33"/>
      <c r="V7988" s="33"/>
      <c r="W7988" s="33"/>
      <c r="X7988" s="33"/>
      <c r="Y7988" s="33"/>
      <c r="Z7988" s="33"/>
      <c r="AA7988" s="33"/>
      <c r="AB7988" s="33"/>
      <c r="AC7988" s="33"/>
      <c r="AD7988" s="33"/>
      <c r="AE7988" s="33"/>
      <c r="AF7988" s="33"/>
      <c r="AG7988" s="33"/>
      <c r="AH7988" s="33"/>
      <c r="AI7988" s="33"/>
      <c r="AJ7988" s="33"/>
      <c r="AK7988" s="33"/>
    </row>
    <row r="7989">
      <c r="A7989" s="33"/>
      <c r="B7989" s="33"/>
      <c r="C7989" s="33"/>
      <c r="D7989" s="33"/>
      <c r="E7989" s="33"/>
      <c r="F7989" s="33"/>
      <c r="G7989" s="33"/>
      <c r="H7989" s="33"/>
      <c r="I7989" s="33"/>
      <c r="J7989" s="33"/>
      <c r="K7989" s="33"/>
      <c r="L7989" s="33"/>
      <c r="M7989" s="33"/>
      <c r="N7989" s="33"/>
      <c r="O7989" s="33"/>
      <c r="P7989" s="33"/>
      <c r="Q7989" s="33"/>
      <c r="R7989" s="33"/>
      <c r="S7989" s="33"/>
      <c r="T7989" s="33"/>
      <c r="U7989" s="33"/>
      <c r="V7989" s="33"/>
      <c r="W7989" s="33"/>
      <c r="X7989" s="33"/>
      <c r="Y7989" s="33"/>
      <c r="Z7989" s="33"/>
      <c r="AA7989" s="33"/>
      <c r="AB7989" s="33"/>
      <c r="AC7989" s="33"/>
      <c r="AD7989" s="33"/>
      <c r="AE7989" s="33"/>
      <c r="AF7989" s="33"/>
      <c r="AG7989" s="33"/>
      <c r="AH7989" s="33"/>
      <c r="AI7989" s="33"/>
      <c r="AJ7989" s="33"/>
      <c r="AK7989" s="33"/>
    </row>
    <row r="7990">
      <c r="A7990" s="33"/>
      <c r="B7990" s="33"/>
      <c r="C7990" s="33"/>
      <c r="D7990" s="33"/>
      <c r="E7990" s="33"/>
      <c r="F7990" s="33"/>
      <c r="G7990" s="33"/>
      <c r="H7990" s="33"/>
      <c r="I7990" s="33"/>
      <c r="J7990" s="33"/>
      <c r="K7990" s="33"/>
      <c r="L7990" s="33"/>
      <c r="M7990" s="33"/>
      <c r="N7990" s="33"/>
      <c r="O7990" s="33"/>
      <c r="P7990" s="33"/>
      <c r="Q7990" s="33"/>
      <c r="R7990" s="33"/>
      <c r="S7990" s="33"/>
      <c r="T7990" s="33"/>
      <c r="U7990" s="33"/>
      <c r="V7990" s="33"/>
      <c r="W7990" s="33"/>
      <c r="X7990" s="33"/>
      <c r="Y7990" s="33"/>
      <c r="Z7990" s="33"/>
      <c r="AA7990" s="33"/>
      <c r="AB7990" s="33"/>
      <c r="AC7990" s="33"/>
      <c r="AD7990" s="33"/>
      <c r="AE7990" s="33"/>
      <c r="AF7990" s="33"/>
      <c r="AG7990" s="33"/>
      <c r="AH7990" s="33"/>
      <c r="AI7990" s="33"/>
      <c r="AJ7990" s="33"/>
      <c r="AK7990" s="33"/>
    </row>
    <row r="7991">
      <c r="A7991" s="33"/>
      <c r="B7991" s="33"/>
      <c r="C7991" s="33"/>
      <c r="D7991" s="33"/>
      <c r="E7991" s="33"/>
      <c r="F7991" s="33"/>
      <c r="G7991" s="33"/>
      <c r="H7991" s="33"/>
      <c r="I7991" s="33"/>
      <c r="J7991" s="33"/>
      <c r="K7991" s="33"/>
      <c r="L7991" s="33"/>
      <c r="M7991" s="33"/>
      <c r="N7991" s="33"/>
      <c r="O7991" s="33"/>
      <c r="P7991" s="33"/>
      <c r="Q7991" s="33"/>
      <c r="R7991" s="33"/>
      <c r="S7991" s="33"/>
      <c r="T7991" s="33"/>
      <c r="U7991" s="33"/>
      <c r="V7991" s="33"/>
      <c r="W7991" s="33"/>
      <c r="X7991" s="33"/>
      <c r="Y7991" s="33"/>
      <c r="Z7991" s="33"/>
      <c r="AA7991" s="33"/>
      <c r="AB7991" s="33"/>
      <c r="AC7991" s="33"/>
      <c r="AD7991" s="33"/>
      <c r="AE7991" s="33"/>
      <c r="AF7991" s="33"/>
      <c r="AG7991" s="33"/>
      <c r="AH7991" s="33"/>
      <c r="AI7991" s="33"/>
      <c r="AJ7991" s="33"/>
      <c r="AK7991" s="33"/>
    </row>
    <row r="7992">
      <c r="A7992" s="33"/>
      <c r="B7992" s="33"/>
      <c r="C7992" s="33"/>
      <c r="D7992" s="33"/>
      <c r="E7992" s="33"/>
      <c r="F7992" s="33"/>
      <c r="G7992" s="33"/>
      <c r="H7992" s="33"/>
      <c r="I7992" s="33"/>
      <c r="J7992" s="33"/>
      <c r="K7992" s="33"/>
      <c r="L7992" s="33"/>
      <c r="M7992" s="33"/>
      <c r="N7992" s="33"/>
      <c r="O7992" s="33"/>
      <c r="P7992" s="33"/>
      <c r="Q7992" s="33"/>
      <c r="R7992" s="33"/>
      <c r="S7992" s="33"/>
      <c r="T7992" s="33"/>
      <c r="U7992" s="33"/>
      <c r="V7992" s="33"/>
      <c r="W7992" s="33"/>
      <c r="X7992" s="33"/>
      <c r="Y7992" s="33"/>
      <c r="Z7992" s="33"/>
      <c r="AA7992" s="33"/>
      <c r="AB7992" s="33"/>
      <c r="AC7992" s="33"/>
      <c r="AD7992" s="33"/>
      <c r="AE7992" s="33"/>
      <c r="AF7992" s="33"/>
      <c r="AG7992" s="33"/>
      <c r="AH7992" s="33"/>
      <c r="AI7992" s="33"/>
      <c r="AJ7992" s="33"/>
      <c r="AK7992" s="33"/>
    </row>
    <row r="7993">
      <c r="A7993" s="33"/>
      <c r="B7993" s="33"/>
      <c r="C7993" s="33"/>
      <c r="D7993" s="33"/>
      <c r="E7993" s="33"/>
      <c r="F7993" s="33"/>
      <c r="G7993" s="33"/>
      <c r="H7993" s="33"/>
      <c r="I7993" s="33"/>
      <c r="J7993" s="33"/>
      <c r="K7993" s="33"/>
      <c r="L7993" s="33"/>
      <c r="M7993" s="33"/>
      <c r="N7993" s="33"/>
      <c r="O7993" s="33"/>
      <c r="P7993" s="33"/>
      <c r="Q7993" s="33"/>
      <c r="R7993" s="33"/>
      <c r="S7993" s="33"/>
      <c r="T7993" s="33"/>
      <c r="U7993" s="33"/>
      <c r="V7993" s="33"/>
      <c r="W7993" s="33"/>
      <c r="X7993" s="33"/>
      <c r="Y7993" s="33"/>
      <c r="Z7993" s="33"/>
      <c r="AA7993" s="33"/>
      <c r="AB7993" s="33"/>
      <c r="AC7993" s="33"/>
      <c r="AD7993" s="33"/>
      <c r="AE7993" s="33"/>
      <c r="AF7993" s="33"/>
      <c r="AG7993" s="33"/>
      <c r="AH7993" s="33"/>
      <c r="AI7993" s="33"/>
      <c r="AJ7993" s="33"/>
      <c r="AK7993" s="33"/>
    </row>
    <row r="7994">
      <c r="A7994" s="33"/>
      <c r="B7994" s="33"/>
      <c r="C7994" s="33"/>
      <c r="D7994" s="33"/>
      <c r="E7994" s="33"/>
      <c r="F7994" s="33"/>
      <c r="G7994" s="33"/>
      <c r="H7994" s="33"/>
      <c r="I7994" s="33"/>
      <c r="J7994" s="33"/>
      <c r="K7994" s="33"/>
      <c r="L7994" s="33"/>
      <c r="M7994" s="33"/>
      <c r="N7994" s="33"/>
      <c r="O7994" s="33"/>
      <c r="P7994" s="33"/>
      <c r="Q7994" s="33"/>
      <c r="R7994" s="33"/>
      <c r="S7994" s="33"/>
      <c r="T7994" s="33"/>
      <c r="U7994" s="33"/>
      <c r="V7994" s="33"/>
      <c r="W7994" s="33"/>
      <c r="X7994" s="33"/>
      <c r="Y7994" s="33"/>
      <c r="Z7994" s="33"/>
      <c r="AA7994" s="33"/>
      <c r="AB7994" s="33"/>
      <c r="AC7994" s="33"/>
      <c r="AD7994" s="33"/>
      <c r="AE7994" s="33"/>
      <c r="AF7994" s="33"/>
      <c r="AG7994" s="33"/>
      <c r="AH7994" s="33"/>
      <c r="AI7994" s="33"/>
      <c r="AJ7994" s="33"/>
      <c r="AK7994" s="33"/>
    </row>
    <row r="7995">
      <c r="A7995" s="33"/>
      <c r="B7995" s="33"/>
      <c r="C7995" s="33"/>
      <c r="D7995" s="33"/>
      <c r="E7995" s="33"/>
      <c r="F7995" s="33"/>
      <c r="G7995" s="33"/>
      <c r="H7995" s="33"/>
      <c r="I7995" s="33"/>
      <c r="J7995" s="33"/>
      <c r="K7995" s="33"/>
      <c r="L7995" s="33"/>
      <c r="M7995" s="33"/>
      <c r="N7995" s="33"/>
      <c r="O7995" s="33"/>
      <c r="P7995" s="33"/>
      <c r="Q7995" s="33"/>
      <c r="R7995" s="33"/>
      <c r="S7995" s="33"/>
      <c r="T7995" s="33"/>
      <c r="U7995" s="33"/>
      <c r="V7995" s="33"/>
      <c r="W7995" s="33"/>
      <c r="X7995" s="33"/>
      <c r="Y7995" s="33"/>
      <c r="Z7995" s="33"/>
      <c r="AA7995" s="33"/>
      <c r="AB7995" s="33"/>
      <c r="AC7995" s="33"/>
      <c r="AD7995" s="33"/>
      <c r="AE7995" s="33"/>
      <c r="AF7995" s="33"/>
      <c r="AG7995" s="33"/>
      <c r="AH7995" s="33"/>
      <c r="AI7995" s="33"/>
      <c r="AJ7995" s="33"/>
      <c r="AK7995" s="33"/>
    </row>
    <row r="7996">
      <c r="A7996" s="33"/>
      <c r="B7996" s="33"/>
      <c r="C7996" s="33"/>
      <c r="D7996" s="33"/>
      <c r="E7996" s="33"/>
      <c r="F7996" s="33"/>
      <c r="G7996" s="33"/>
      <c r="H7996" s="33"/>
      <c r="I7996" s="33"/>
      <c r="J7996" s="33"/>
      <c r="K7996" s="33"/>
      <c r="L7996" s="33"/>
      <c r="M7996" s="33"/>
      <c r="N7996" s="33"/>
      <c r="O7996" s="33"/>
      <c r="P7996" s="33"/>
      <c r="Q7996" s="33"/>
      <c r="R7996" s="33"/>
      <c r="S7996" s="33"/>
      <c r="T7996" s="33"/>
      <c r="U7996" s="33"/>
      <c r="V7996" s="33"/>
      <c r="W7996" s="33"/>
      <c r="X7996" s="33"/>
      <c r="Y7996" s="33"/>
      <c r="Z7996" s="33"/>
      <c r="AA7996" s="33"/>
      <c r="AB7996" s="33"/>
      <c r="AC7996" s="33"/>
      <c r="AD7996" s="33"/>
      <c r="AE7996" s="33"/>
      <c r="AF7996" s="33"/>
      <c r="AG7996" s="33"/>
      <c r="AH7996" s="33"/>
      <c r="AI7996" s="33"/>
      <c r="AJ7996" s="33"/>
      <c r="AK7996" s="33"/>
    </row>
    <row r="7997">
      <c r="A7997" s="33"/>
      <c r="B7997" s="33"/>
      <c r="C7997" s="33"/>
      <c r="D7997" s="33"/>
      <c r="E7997" s="33"/>
      <c r="F7997" s="33"/>
      <c r="G7997" s="33"/>
      <c r="H7997" s="33"/>
      <c r="I7997" s="33"/>
      <c r="J7997" s="33"/>
      <c r="K7997" s="33"/>
      <c r="L7997" s="33"/>
      <c r="M7997" s="33"/>
      <c r="N7997" s="33"/>
      <c r="O7997" s="33"/>
      <c r="P7997" s="33"/>
      <c r="Q7997" s="33"/>
      <c r="R7997" s="33"/>
      <c r="S7997" s="33"/>
      <c r="T7997" s="33"/>
      <c r="U7997" s="33"/>
      <c r="V7997" s="33"/>
      <c r="W7997" s="33"/>
      <c r="X7997" s="33"/>
      <c r="Y7997" s="33"/>
      <c r="Z7997" s="33"/>
      <c r="AA7997" s="33"/>
      <c r="AB7997" s="33"/>
      <c r="AC7997" s="33"/>
      <c r="AD7997" s="33"/>
      <c r="AE7997" s="33"/>
      <c r="AF7997" s="33"/>
      <c r="AG7997" s="33"/>
      <c r="AH7997" s="33"/>
      <c r="AI7997" s="33"/>
      <c r="AJ7997" s="33"/>
      <c r="AK7997" s="33"/>
    </row>
    <row r="7998">
      <c r="A7998" s="33"/>
      <c r="B7998" s="33"/>
      <c r="C7998" s="33"/>
      <c r="D7998" s="33"/>
      <c r="E7998" s="33"/>
      <c r="F7998" s="33"/>
      <c r="G7998" s="33"/>
      <c r="H7998" s="33"/>
      <c r="I7998" s="33"/>
      <c r="J7998" s="33"/>
      <c r="K7998" s="33"/>
      <c r="L7998" s="33"/>
      <c r="M7998" s="33"/>
      <c r="N7998" s="33"/>
      <c r="O7998" s="33"/>
      <c r="P7998" s="33"/>
      <c r="Q7998" s="33"/>
      <c r="R7998" s="33"/>
      <c r="S7998" s="33"/>
      <c r="T7998" s="33"/>
      <c r="U7998" s="33"/>
      <c r="V7998" s="33"/>
      <c r="W7998" s="33"/>
      <c r="X7998" s="33"/>
      <c r="Y7998" s="33"/>
      <c r="Z7998" s="33"/>
      <c r="AA7998" s="33"/>
      <c r="AB7998" s="33"/>
      <c r="AC7998" s="33"/>
      <c r="AD7998" s="33"/>
      <c r="AE7998" s="33"/>
      <c r="AF7998" s="33"/>
      <c r="AG7998" s="33"/>
      <c r="AH7998" s="33"/>
      <c r="AI7998" s="33"/>
      <c r="AJ7998" s="33"/>
      <c r="AK7998" s="33"/>
    </row>
    <row r="7999">
      <c r="A7999" s="33"/>
      <c r="B7999" s="33"/>
      <c r="C7999" s="33"/>
      <c r="D7999" s="33"/>
      <c r="E7999" s="33"/>
      <c r="F7999" s="33"/>
      <c r="G7999" s="33"/>
      <c r="H7999" s="33"/>
      <c r="I7999" s="33"/>
      <c r="J7999" s="33"/>
      <c r="K7999" s="33"/>
      <c r="L7999" s="33"/>
      <c r="M7999" s="33"/>
      <c r="N7999" s="33"/>
      <c r="O7999" s="33"/>
      <c r="P7999" s="33"/>
      <c r="Q7999" s="33"/>
      <c r="R7999" s="33"/>
      <c r="S7999" s="33"/>
      <c r="T7999" s="33"/>
      <c r="U7999" s="33"/>
      <c r="V7999" s="33"/>
      <c r="W7999" s="33"/>
      <c r="X7999" s="33"/>
      <c r="Y7999" s="33"/>
      <c r="Z7999" s="33"/>
      <c r="AA7999" s="33"/>
      <c r="AB7999" s="33"/>
      <c r="AC7999" s="33"/>
      <c r="AD7999" s="33"/>
      <c r="AE7999" s="33"/>
      <c r="AF7999" s="33"/>
      <c r="AG7999" s="33"/>
      <c r="AH7999" s="33"/>
      <c r="AI7999" s="33"/>
      <c r="AJ7999" s="33"/>
      <c r="AK7999" s="33"/>
    </row>
    <row r="8000">
      <c r="A8000" s="33"/>
      <c r="B8000" s="33"/>
      <c r="C8000" s="33"/>
      <c r="D8000" s="33"/>
      <c r="E8000" s="33"/>
      <c r="F8000" s="33"/>
      <c r="G8000" s="33"/>
      <c r="H8000" s="33"/>
      <c r="I8000" s="33"/>
      <c r="J8000" s="33"/>
      <c r="K8000" s="33"/>
      <c r="L8000" s="33"/>
      <c r="M8000" s="33"/>
      <c r="N8000" s="33"/>
      <c r="O8000" s="33"/>
      <c r="P8000" s="33"/>
      <c r="Q8000" s="33"/>
      <c r="R8000" s="33"/>
      <c r="S8000" s="33"/>
      <c r="T8000" s="33"/>
      <c r="U8000" s="33"/>
      <c r="V8000" s="33"/>
      <c r="W8000" s="33"/>
      <c r="X8000" s="33"/>
      <c r="Y8000" s="33"/>
      <c r="Z8000" s="33"/>
      <c r="AA8000" s="33"/>
      <c r="AB8000" s="33"/>
      <c r="AC8000" s="33"/>
      <c r="AD8000" s="33"/>
      <c r="AE8000" s="33"/>
      <c r="AF8000" s="33"/>
      <c r="AG8000" s="33"/>
      <c r="AH8000" s="33"/>
      <c r="AI8000" s="33"/>
      <c r="AJ8000" s="33"/>
      <c r="AK8000" s="33"/>
    </row>
    <row r="8001">
      <c r="A8001" s="33"/>
      <c r="B8001" s="33"/>
      <c r="C8001" s="33"/>
      <c r="D8001" s="33"/>
      <c r="E8001" s="33"/>
      <c r="F8001" s="33"/>
      <c r="G8001" s="33"/>
      <c r="H8001" s="33"/>
      <c r="I8001" s="33"/>
      <c r="J8001" s="33"/>
      <c r="K8001" s="33"/>
      <c r="L8001" s="33"/>
      <c r="M8001" s="33"/>
      <c r="N8001" s="33"/>
      <c r="O8001" s="33"/>
      <c r="P8001" s="33"/>
      <c r="Q8001" s="33"/>
      <c r="R8001" s="33"/>
      <c r="S8001" s="33"/>
      <c r="T8001" s="33"/>
      <c r="U8001" s="33"/>
      <c r="V8001" s="33"/>
      <c r="W8001" s="33"/>
      <c r="X8001" s="33"/>
      <c r="Y8001" s="33"/>
      <c r="Z8001" s="33"/>
      <c r="AA8001" s="33"/>
      <c r="AB8001" s="33"/>
      <c r="AC8001" s="33"/>
      <c r="AD8001" s="33"/>
      <c r="AE8001" s="33"/>
      <c r="AF8001" s="33"/>
      <c r="AG8001" s="33"/>
      <c r="AH8001" s="33"/>
      <c r="AI8001" s="33"/>
      <c r="AJ8001" s="33"/>
      <c r="AK8001" s="33"/>
    </row>
    <row r="8002">
      <c r="A8002" s="33"/>
      <c r="B8002" s="33"/>
      <c r="C8002" s="33"/>
      <c r="D8002" s="33"/>
      <c r="E8002" s="33"/>
      <c r="F8002" s="33"/>
      <c r="G8002" s="33"/>
      <c r="H8002" s="33"/>
      <c r="I8002" s="33"/>
      <c r="J8002" s="33"/>
      <c r="K8002" s="33"/>
      <c r="L8002" s="33"/>
      <c r="M8002" s="33"/>
      <c r="N8002" s="33"/>
      <c r="O8002" s="33"/>
      <c r="P8002" s="33"/>
      <c r="Q8002" s="33"/>
      <c r="R8002" s="33"/>
      <c r="S8002" s="33"/>
      <c r="T8002" s="33"/>
      <c r="U8002" s="33"/>
      <c r="V8002" s="33"/>
      <c r="W8002" s="33"/>
      <c r="X8002" s="33"/>
      <c r="Y8002" s="33"/>
      <c r="Z8002" s="33"/>
      <c r="AA8002" s="33"/>
      <c r="AB8002" s="33"/>
      <c r="AC8002" s="33"/>
      <c r="AD8002" s="33"/>
      <c r="AE8002" s="33"/>
      <c r="AF8002" s="33"/>
      <c r="AG8002" s="33"/>
      <c r="AH8002" s="33"/>
      <c r="AI8002" s="33"/>
      <c r="AJ8002" s="33"/>
      <c r="AK8002" s="33"/>
    </row>
    <row r="8003">
      <c r="A8003" s="33"/>
      <c r="B8003" s="33"/>
      <c r="C8003" s="33"/>
      <c r="D8003" s="33"/>
      <c r="E8003" s="33"/>
      <c r="F8003" s="33"/>
      <c r="G8003" s="33"/>
      <c r="H8003" s="33"/>
      <c r="I8003" s="33"/>
      <c r="J8003" s="33"/>
      <c r="K8003" s="33"/>
      <c r="L8003" s="33"/>
      <c r="M8003" s="33"/>
      <c r="N8003" s="33"/>
      <c r="O8003" s="33"/>
      <c r="P8003" s="33"/>
      <c r="Q8003" s="33"/>
      <c r="R8003" s="33"/>
      <c r="S8003" s="33"/>
      <c r="T8003" s="33"/>
      <c r="U8003" s="33"/>
      <c r="V8003" s="33"/>
      <c r="W8003" s="33"/>
      <c r="X8003" s="33"/>
      <c r="Y8003" s="33"/>
      <c r="Z8003" s="33"/>
      <c r="AA8003" s="33"/>
      <c r="AB8003" s="33"/>
      <c r="AC8003" s="33"/>
      <c r="AD8003" s="33"/>
      <c r="AE8003" s="33"/>
      <c r="AF8003" s="33"/>
      <c r="AG8003" s="33"/>
      <c r="AH8003" s="33"/>
      <c r="AI8003" s="33"/>
      <c r="AJ8003" s="33"/>
      <c r="AK8003" s="33"/>
    </row>
    <row r="8004">
      <c r="A8004" s="33"/>
      <c r="B8004" s="33"/>
      <c r="C8004" s="33"/>
      <c r="D8004" s="33"/>
      <c r="E8004" s="33"/>
      <c r="F8004" s="33"/>
      <c r="G8004" s="33"/>
      <c r="H8004" s="33"/>
      <c r="I8004" s="33"/>
      <c r="J8004" s="33"/>
      <c r="K8004" s="33"/>
      <c r="L8004" s="33"/>
      <c r="M8004" s="33"/>
      <c r="N8004" s="33"/>
      <c r="O8004" s="33"/>
      <c r="P8004" s="33"/>
      <c r="Q8004" s="33"/>
      <c r="R8004" s="33"/>
      <c r="S8004" s="33"/>
      <c r="T8004" s="33"/>
      <c r="U8004" s="33"/>
      <c r="V8004" s="33"/>
      <c r="W8004" s="33"/>
      <c r="X8004" s="33"/>
      <c r="Y8004" s="33"/>
      <c r="Z8004" s="33"/>
      <c r="AA8004" s="33"/>
      <c r="AB8004" s="33"/>
      <c r="AC8004" s="33"/>
      <c r="AD8004" s="33"/>
      <c r="AE8004" s="33"/>
      <c r="AF8004" s="33"/>
      <c r="AG8004" s="33"/>
      <c r="AH8004" s="33"/>
      <c r="AI8004" s="33"/>
      <c r="AJ8004" s="33"/>
      <c r="AK8004" s="33"/>
    </row>
    <row r="8005">
      <c r="A8005" s="33"/>
      <c r="B8005" s="33"/>
      <c r="C8005" s="33"/>
      <c r="D8005" s="33"/>
      <c r="E8005" s="33"/>
      <c r="F8005" s="33"/>
      <c r="G8005" s="33"/>
      <c r="H8005" s="33"/>
      <c r="I8005" s="33"/>
      <c r="J8005" s="33"/>
      <c r="K8005" s="33"/>
      <c r="L8005" s="33"/>
      <c r="M8005" s="33"/>
      <c r="N8005" s="33"/>
      <c r="O8005" s="33"/>
      <c r="P8005" s="33"/>
      <c r="Q8005" s="33"/>
      <c r="R8005" s="33"/>
      <c r="S8005" s="33"/>
      <c r="T8005" s="33"/>
      <c r="U8005" s="33"/>
      <c r="V8005" s="33"/>
      <c r="W8005" s="33"/>
      <c r="X8005" s="33"/>
      <c r="Y8005" s="33"/>
      <c r="Z8005" s="33"/>
      <c r="AA8005" s="33"/>
      <c r="AB8005" s="33"/>
      <c r="AC8005" s="33"/>
      <c r="AD8005" s="33"/>
      <c r="AE8005" s="33"/>
      <c r="AF8005" s="33"/>
      <c r="AG8005" s="33"/>
      <c r="AH8005" s="33"/>
      <c r="AI8005" s="33"/>
      <c r="AJ8005" s="33"/>
      <c r="AK8005" s="33"/>
    </row>
    <row r="8006">
      <c r="A8006" s="33"/>
      <c r="B8006" s="33"/>
      <c r="C8006" s="33"/>
      <c r="D8006" s="33"/>
      <c r="E8006" s="33"/>
      <c r="F8006" s="33"/>
      <c r="G8006" s="33"/>
      <c r="H8006" s="33"/>
      <c r="I8006" s="33"/>
      <c r="J8006" s="33"/>
      <c r="K8006" s="33"/>
      <c r="L8006" s="33"/>
      <c r="M8006" s="33"/>
      <c r="N8006" s="33"/>
      <c r="O8006" s="33"/>
      <c r="P8006" s="33"/>
      <c r="Q8006" s="33"/>
      <c r="R8006" s="33"/>
      <c r="S8006" s="33"/>
      <c r="T8006" s="33"/>
      <c r="U8006" s="33"/>
      <c r="V8006" s="33"/>
      <c r="W8006" s="33"/>
      <c r="X8006" s="33"/>
      <c r="Y8006" s="33"/>
      <c r="Z8006" s="33"/>
      <c r="AA8006" s="33"/>
      <c r="AB8006" s="33"/>
      <c r="AC8006" s="33"/>
      <c r="AD8006" s="33"/>
      <c r="AE8006" s="33"/>
      <c r="AF8006" s="33"/>
      <c r="AG8006" s="33"/>
      <c r="AH8006" s="33"/>
      <c r="AI8006" s="33"/>
      <c r="AJ8006" s="33"/>
      <c r="AK8006" s="33"/>
    </row>
    <row r="8007">
      <c r="A8007" s="33"/>
      <c r="B8007" s="33"/>
      <c r="C8007" s="33"/>
      <c r="D8007" s="33"/>
      <c r="E8007" s="33"/>
      <c r="F8007" s="33"/>
      <c r="G8007" s="33"/>
      <c r="H8007" s="33"/>
      <c r="I8007" s="33"/>
      <c r="J8007" s="33"/>
      <c r="K8007" s="33"/>
      <c r="L8007" s="33"/>
      <c r="M8007" s="33"/>
      <c r="N8007" s="33"/>
      <c r="O8007" s="33"/>
      <c r="P8007" s="33"/>
      <c r="Q8007" s="33"/>
      <c r="R8007" s="33"/>
      <c r="S8007" s="33"/>
      <c r="T8007" s="33"/>
      <c r="U8007" s="33"/>
      <c r="V8007" s="33"/>
      <c r="W8007" s="33"/>
      <c r="X8007" s="33"/>
      <c r="Y8007" s="33"/>
      <c r="Z8007" s="33"/>
      <c r="AA8007" s="33"/>
      <c r="AB8007" s="33"/>
      <c r="AC8007" s="33"/>
      <c r="AD8007" s="33"/>
      <c r="AE8007" s="33"/>
      <c r="AF8007" s="33"/>
      <c r="AG8007" s="33"/>
      <c r="AH8007" s="33"/>
      <c r="AI8007" s="33"/>
      <c r="AJ8007" s="33"/>
      <c r="AK8007" s="33"/>
    </row>
    <row r="8008">
      <c r="A8008" s="33"/>
      <c r="B8008" s="33"/>
      <c r="C8008" s="33"/>
      <c r="D8008" s="33"/>
      <c r="E8008" s="33"/>
      <c r="F8008" s="33"/>
      <c r="G8008" s="33"/>
      <c r="H8008" s="33"/>
      <c r="I8008" s="33"/>
      <c r="J8008" s="33"/>
      <c r="K8008" s="33"/>
      <c r="L8008" s="33"/>
      <c r="M8008" s="33"/>
      <c r="N8008" s="33"/>
      <c r="O8008" s="33"/>
      <c r="P8008" s="33"/>
      <c r="Q8008" s="33"/>
      <c r="R8008" s="33"/>
      <c r="S8008" s="33"/>
      <c r="T8008" s="33"/>
      <c r="U8008" s="33"/>
      <c r="V8008" s="33"/>
      <c r="W8008" s="33"/>
      <c r="X8008" s="33"/>
      <c r="Y8008" s="33"/>
      <c r="Z8008" s="33"/>
      <c r="AA8008" s="33"/>
      <c r="AB8008" s="33"/>
      <c r="AC8008" s="33"/>
      <c r="AD8008" s="33"/>
      <c r="AE8008" s="33"/>
      <c r="AF8008" s="33"/>
      <c r="AG8008" s="33"/>
      <c r="AH8008" s="33"/>
      <c r="AI8008" s="33"/>
      <c r="AJ8008" s="33"/>
      <c r="AK8008" s="33"/>
    </row>
    <row r="8009">
      <c r="A8009" s="33"/>
      <c r="B8009" s="33"/>
      <c r="C8009" s="33"/>
      <c r="D8009" s="33"/>
      <c r="E8009" s="33"/>
      <c r="F8009" s="33"/>
      <c r="G8009" s="33"/>
      <c r="H8009" s="33"/>
      <c r="I8009" s="33"/>
      <c r="J8009" s="33"/>
      <c r="K8009" s="33"/>
      <c r="L8009" s="33"/>
      <c r="M8009" s="33"/>
      <c r="N8009" s="33"/>
      <c r="O8009" s="33"/>
      <c r="P8009" s="33"/>
      <c r="Q8009" s="33"/>
      <c r="R8009" s="33"/>
      <c r="S8009" s="33"/>
      <c r="T8009" s="33"/>
      <c r="U8009" s="33"/>
      <c r="V8009" s="33"/>
      <c r="W8009" s="33"/>
      <c r="X8009" s="33"/>
      <c r="Y8009" s="33"/>
      <c r="Z8009" s="33"/>
      <c r="AA8009" s="33"/>
      <c r="AB8009" s="33"/>
      <c r="AC8009" s="33"/>
      <c r="AD8009" s="33"/>
      <c r="AE8009" s="33"/>
      <c r="AF8009" s="33"/>
      <c r="AG8009" s="33"/>
      <c r="AH8009" s="33"/>
      <c r="AI8009" s="33"/>
      <c r="AJ8009" s="33"/>
      <c r="AK8009" s="33"/>
    </row>
    <row r="8010">
      <c r="A8010" s="33"/>
      <c r="B8010" s="33"/>
      <c r="C8010" s="33"/>
      <c r="D8010" s="33"/>
      <c r="E8010" s="33"/>
      <c r="F8010" s="33"/>
      <c r="G8010" s="33"/>
      <c r="H8010" s="33"/>
      <c r="I8010" s="33"/>
      <c r="J8010" s="33"/>
      <c r="K8010" s="33"/>
      <c r="L8010" s="33"/>
      <c r="M8010" s="33"/>
      <c r="N8010" s="33"/>
      <c r="O8010" s="33"/>
      <c r="P8010" s="33"/>
      <c r="Q8010" s="33"/>
      <c r="R8010" s="33"/>
      <c r="S8010" s="33"/>
      <c r="T8010" s="33"/>
      <c r="U8010" s="33"/>
      <c r="V8010" s="33"/>
      <c r="W8010" s="33"/>
      <c r="X8010" s="33"/>
      <c r="Y8010" s="33"/>
      <c r="Z8010" s="33"/>
      <c r="AA8010" s="33"/>
      <c r="AB8010" s="33"/>
      <c r="AC8010" s="33"/>
      <c r="AD8010" s="33"/>
      <c r="AE8010" s="33"/>
      <c r="AF8010" s="33"/>
      <c r="AG8010" s="33"/>
      <c r="AH8010" s="33"/>
      <c r="AI8010" s="33"/>
      <c r="AJ8010" s="33"/>
      <c r="AK8010" s="33"/>
    </row>
    <row r="8011">
      <c r="A8011" s="33"/>
      <c r="B8011" s="33"/>
      <c r="C8011" s="33"/>
      <c r="D8011" s="33"/>
      <c r="E8011" s="33"/>
      <c r="F8011" s="33"/>
      <c r="G8011" s="33"/>
      <c r="H8011" s="33"/>
      <c r="I8011" s="33"/>
      <c r="J8011" s="33"/>
      <c r="K8011" s="33"/>
      <c r="L8011" s="33"/>
      <c r="M8011" s="33"/>
      <c r="N8011" s="33"/>
      <c r="O8011" s="33"/>
      <c r="P8011" s="33"/>
      <c r="Q8011" s="33"/>
      <c r="R8011" s="33"/>
      <c r="S8011" s="33"/>
      <c r="T8011" s="33"/>
      <c r="U8011" s="33"/>
      <c r="V8011" s="33"/>
      <c r="W8011" s="33"/>
      <c r="X8011" s="33"/>
      <c r="Y8011" s="33"/>
      <c r="Z8011" s="33"/>
      <c r="AA8011" s="33"/>
      <c r="AB8011" s="33"/>
      <c r="AC8011" s="33"/>
      <c r="AD8011" s="33"/>
      <c r="AE8011" s="33"/>
      <c r="AF8011" s="33"/>
      <c r="AG8011" s="33"/>
      <c r="AH8011" s="33"/>
      <c r="AI8011" s="33"/>
      <c r="AJ8011" s="33"/>
      <c r="AK8011" s="33"/>
    </row>
    <row r="8012">
      <c r="A8012" s="33"/>
      <c r="B8012" s="33"/>
      <c r="C8012" s="33"/>
      <c r="D8012" s="33"/>
      <c r="E8012" s="33"/>
      <c r="F8012" s="33"/>
      <c r="G8012" s="33"/>
      <c r="H8012" s="33"/>
      <c r="I8012" s="33"/>
      <c r="J8012" s="33"/>
      <c r="K8012" s="33"/>
      <c r="L8012" s="33"/>
      <c r="M8012" s="33"/>
      <c r="N8012" s="33"/>
      <c r="O8012" s="33"/>
      <c r="P8012" s="33"/>
      <c r="Q8012" s="33"/>
      <c r="R8012" s="33"/>
      <c r="S8012" s="33"/>
      <c r="T8012" s="33"/>
      <c r="U8012" s="33"/>
      <c r="V8012" s="33"/>
      <c r="W8012" s="33"/>
      <c r="X8012" s="33"/>
      <c r="Y8012" s="33"/>
      <c r="Z8012" s="33"/>
      <c r="AA8012" s="33"/>
      <c r="AB8012" s="33"/>
      <c r="AC8012" s="33"/>
      <c r="AD8012" s="33"/>
      <c r="AE8012" s="33"/>
      <c r="AF8012" s="33"/>
      <c r="AG8012" s="33"/>
      <c r="AH8012" s="33"/>
      <c r="AI8012" s="33"/>
      <c r="AJ8012" s="33"/>
      <c r="AK8012" s="33"/>
    </row>
    <row r="8013">
      <c r="A8013" s="33"/>
      <c r="B8013" s="33"/>
      <c r="C8013" s="33"/>
      <c r="D8013" s="33"/>
      <c r="E8013" s="33"/>
      <c r="F8013" s="33"/>
      <c r="G8013" s="33"/>
      <c r="H8013" s="33"/>
      <c r="I8013" s="33"/>
      <c r="J8013" s="33"/>
      <c r="K8013" s="33"/>
      <c r="L8013" s="33"/>
      <c r="M8013" s="33"/>
      <c r="N8013" s="33"/>
      <c r="O8013" s="33"/>
      <c r="P8013" s="33"/>
      <c r="Q8013" s="33"/>
      <c r="R8013" s="33"/>
      <c r="S8013" s="33"/>
      <c r="T8013" s="33"/>
      <c r="U8013" s="33"/>
      <c r="V8013" s="33"/>
      <c r="W8013" s="33"/>
      <c r="X8013" s="33"/>
      <c r="Y8013" s="33"/>
      <c r="Z8013" s="33"/>
      <c r="AA8013" s="33"/>
      <c r="AB8013" s="33"/>
      <c r="AC8013" s="33"/>
      <c r="AD8013" s="33"/>
      <c r="AE8013" s="33"/>
      <c r="AF8013" s="33"/>
      <c r="AG8013" s="33"/>
      <c r="AH8013" s="33"/>
      <c r="AI8013" s="33"/>
      <c r="AJ8013" s="33"/>
      <c r="AK8013" s="33"/>
    </row>
    <row r="8014">
      <c r="A8014" s="33"/>
      <c r="B8014" s="33"/>
      <c r="C8014" s="33"/>
      <c r="D8014" s="33"/>
      <c r="E8014" s="33"/>
      <c r="F8014" s="33"/>
      <c r="G8014" s="33"/>
      <c r="H8014" s="33"/>
      <c r="I8014" s="33"/>
      <c r="J8014" s="33"/>
      <c r="K8014" s="33"/>
      <c r="L8014" s="33"/>
      <c r="M8014" s="33"/>
      <c r="N8014" s="33"/>
      <c r="O8014" s="33"/>
      <c r="P8014" s="33"/>
      <c r="Q8014" s="33"/>
      <c r="R8014" s="33"/>
      <c r="S8014" s="33"/>
      <c r="T8014" s="33"/>
      <c r="U8014" s="33"/>
      <c r="V8014" s="33"/>
      <c r="W8014" s="33"/>
      <c r="X8014" s="33"/>
      <c r="Y8014" s="33"/>
      <c r="Z8014" s="33"/>
      <c r="AA8014" s="33"/>
      <c r="AB8014" s="33"/>
      <c r="AC8014" s="33"/>
      <c r="AD8014" s="33"/>
      <c r="AE8014" s="33"/>
      <c r="AF8014" s="33"/>
      <c r="AG8014" s="33"/>
      <c r="AH8014" s="33"/>
      <c r="AI8014" s="33"/>
      <c r="AJ8014" s="33"/>
      <c r="AK8014" s="33"/>
    </row>
    <row r="8015">
      <c r="A8015" s="33"/>
      <c r="B8015" s="33"/>
      <c r="C8015" s="33"/>
      <c r="D8015" s="33"/>
      <c r="E8015" s="33"/>
      <c r="F8015" s="33"/>
      <c r="G8015" s="33"/>
      <c r="H8015" s="33"/>
      <c r="I8015" s="33"/>
      <c r="J8015" s="33"/>
      <c r="K8015" s="33"/>
      <c r="L8015" s="33"/>
      <c r="M8015" s="33"/>
      <c r="N8015" s="33"/>
      <c r="O8015" s="33"/>
      <c r="P8015" s="33"/>
      <c r="Q8015" s="33"/>
      <c r="R8015" s="33"/>
      <c r="S8015" s="33"/>
      <c r="T8015" s="33"/>
      <c r="U8015" s="33"/>
      <c r="V8015" s="33"/>
      <c r="W8015" s="33"/>
      <c r="X8015" s="33"/>
      <c r="Y8015" s="33"/>
      <c r="Z8015" s="33"/>
      <c r="AA8015" s="33"/>
      <c r="AB8015" s="33"/>
      <c r="AC8015" s="33"/>
      <c r="AD8015" s="33"/>
      <c r="AE8015" s="33"/>
      <c r="AF8015" s="33"/>
      <c r="AG8015" s="33"/>
      <c r="AH8015" s="33"/>
      <c r="AI8015" s="33"/>
      <c r="AJ8015" s="33"/>
      <c r="AK8015" s="33"/>
    </row>
    <row r="8016">
      <c r="A8016" s="33"/>
      <c r="B8016" s="33"/>
      <c r="C8016" s="33"/>
      <c r="D8016" s="33"/>
      <c r="E8016" s="33"/>
      <c r="F8016" s="33"/>
      <c r="G8016" s="33"/>
      <c r="H8016" s="33"/>
      <c r="I8016" s="33"/>
      <c r="J8016" s="33"/>
      <c r="K8016" s="33"/>
      <c r="L8016" s="33"/>
      <c r="M8016" s="33"/>
      <c r="N8016" s="33"/>
      <c r="O8016" s="33"/>
      <c r="P8016" s="33"/>
      <c r="Q8016" s="33"/>
      <c r="R8016" s="33"/>
      <c r="S8016" s="33"/>
      <c r="T8016" s="33"/>
      <c r="U8016" s="33"/>
      <c r="V8016" s="33"/>
      <c r="W8016" s="33"/>
      <c r="X8016" s="33"/>
      <c r="Y8016" s="33"/>
      <c r="Z8016" s="33"/>
      <c r="AA8016" s="33"/>
      <c r="AB8016" s="33"/>
      <c r="AC8016" s="33"/>
      <c r="AD8016" s="33"/>
      <c r="AE8016" s="33"/>
      <c r="AF8016" s="33"/>
      <c r="AG8016" s="33"/>
      <c r="AH8016" s="33"/>
      <c r="AI8016" s="33"/>
      <c r="AJ8016" s="33"/>
      <c r="AK8016" s="33"/>
    </row>
    <row r="8017">
      <c r="A8017" s="33"/>
      <c r="B8017" s="33"/>
      <c r="C8017" s="33"/>
      <c r="D8017" s="33"/>
      <c r="E8017" s="33"/>
      <c r="F8017" s="33"/>
      <c r="G8017" s="33"/>
      <c r="H8017" s="33"/>
      <c r="I8017" s="33"/>
      <c r="J8017" s="33"/>
      <c r="K8017" s="33"/>
      <c r="L8017" s="33"/>
      <c r="M8017" s="33"/>
      <c r="N8017" s="33"/>
      <c r="O8017" s="33"/>
      <c r="P8017" s="33"/>
      <c r="Q8017" s="33"/>
      <c r="R8017" s="33"/>
      <c r="S8017" s="33"/>
      <c r="T8017" s="33"/>
      <c r="U8017" s="33"/>
      <c r="V8017" s="33"/>
      <c r="W8017" s="33"/>
      <c r="X8017" s="33"/>
      <c r="Y8017" s="33"/>
      <c r="Z8017" s="33"/>
      <c r="AA8017" s="33"/>
      <c r="AB8017" s="33"/>
      <c r="AC8017" s="33"/>
      <c r="AD8017" s="33"/>
      <c r="AE8017" s="33"/>
      <c r="AF8017" s="33"/>
      <c r="AG8017" s="33"/>
      <c r="AH8017" s="33"/>
      <c r="AI8017" s="33"/>
      <c r="AJ8017" s="33"/>
      <c r="AK8017" s="33"/>
    </row>
    <row r="8018">
      <c r="A8018" s="33"/>
      <c r="B8018" s="33"/>
      <c r="C8018" s="33"/>
      <c r="D8018" s="33"/>
      <c r="E8018" s="33"/>
      <c r="F8018" s="33"/>
      <c r="G8018" s="33"/>
      <c r="H8018" s="33"/>
      <c r="I8018" s="33"/>
      <c r="J8018" s="33"/>
      <c r="K8018" s="33"/>
      <c r="L8018" s="33"/>
      <c r="M8018" s="33"/>
      <c r="N8018" s="33"/>
      <c r="O8018" s="33"/>
      <c r="P8018" s="33"/>
      <c r="Q8018" s="33"/>
      <c r="R8018" s="33"/>
      <c r="S8018" s="33"/>
      <c r="T8018" s="33"/>
      <c r="U8018" s="33"/>
      <c r="V8018" s="33"/>
      <c r="W8018" s="33"/>
      <c r="X8018" s="33"/>
      <c r="Y8018" s="33"/>
      <c r="Z8018" s="33"/>
      <c r="AA8018" s="33"/>
      <c r="AB8018" s="33"/>
      <c r="AC8018" s="33"/>
      <c r="AD8018" s="33"/>
      <c r="AE8018" s="33"/>
      <c r="AF8018" s="33"/>
      <c r="AG8018" s="33"/>
      <c r="AH8018" s="33"/>
      <c r="AI8018" s="33"/>
      <c r="AJ8018" s="33"/>
      <c r="AK8018" s="33"/>
    </row>
    <row r="8019">
      <c r="A8019" s="33"/>
      <c r="B8019" s="33"/>
      <c r="C8019" s="33"/>
      <c r="D8019" s="33"/>
      <c r="E8019" s="33"/>
      <c r="F8019" s="33"/>
      <c r="G8019" s="33"/>
      <c r="H8019" s="33"/>
      <c r="I8019" s="33"/>
      <c r="J8019" s="33"/>
      <c r="K8019" s="33"/>
      <c r="L8019" s="33"/>
      <c r="M8019" s="33"/>
      <c r="N8019" s="33"/>
      <c r="O8019" s="33"/>
      <c r="P8019" s="33"/>
      <c r="Q8019" s="33"/>
      <c r="R8019" s="33"/>
      <c r="S8019" s="33"/>
      <c r="T8019" s="33"/>
      <c r="U8019" s="33"/>
      <c r="V8019" s="33"/>
      <c r="W8019" s="33"/>
      <c r="X8019" s="33"/>
      <c r="Y8019" s="33"/>
      <c r="Z8019" s="33"/>
      <c r="AA8019" s="33"/>
      <c r="AB8019" s="33"/>
      <c r="AC8019" s="33"/>
      <c r="AD8019" s="33"/>
      <c r="AE8019" s="33"/>
      <c r="AF8019" s="33"/>
      <c r="AG8019" s="33"/>
      <c r="AH8019" s="33"/>
      <c r="AI8019" s="33"/>
      <c r="AJ8019" s="33"/>
      <c r="AK8019" s="33"/>
    </row>
    <row r="8020">
      <c r="A8020" s="33"/>
      <c r="B8020" s="33"/>
      <c r="C8020" s="33"/>
      <c r="D8020" s="33"/>
      <c r="E8020" s="33"/>
      <c r="F8020" s="33"/>
      <c r="G8020" s="33"/>
      <c r="H8020" s="33"/>
      <c r="I8020" s="33"/>
      <c r="J8020" s="33"/>
      <c r="K8020" s="33"/>
      <c r="L8020" s="33"/>
      <c r="M8020" s="33"/>
      <c r="N8020" s="33"/>
      <c r="O8020" s="33"/>
      <c r="P8020" s="33"/>
      <c r="Q8020" s="33"/>
      <c r="R8020" s="33"/>
      <c r="S8020" s="33"/>
      <c r="T8020" s="33"/>
      <c r="U8020" s="33"/>
      <c r="V8020" s="33"/>
      <c r="W8020" s="33"/>
      <c r="X8020" s="33"/>
      <c r="Y8020" s="33"/>
      <c r="Z8020" s="33"/>
      <c r="AA8020" s="33"/>
      <c r="AB8020" s="33"/>
      <c r="AC8020" s="33"/>
      <c r="AD8020" s="33"/>
      <c r="AE8020" s="33"/>
      <c r="AF8020" s="33"/>
      <c r="AG8020" s="33"/>
      <c r="AH8020" s="33"/>
      <c r="AI8020" s="33"/>
      <c r="AJ8020" s="33"/>
      <c r="AK8020" s="33"/>
    </row>
    <row r="8021">
      <c r="A8021" s="33"/>
      <c r="B8021" s="33"/>
      <c r="C8021" s="33"/>
      <c r="D8021" s="33"/>
      <c r="E8021" s="33"/>
      <c r="F8021" s="33"/>
      <c r="G8021" s="33"/>
      <c r="H8021" s="33"/>
      <c r="I8021" s="33"/>
      <c r="J8021" s="33"/>
      <c r="K8021" s="33"/>
      <c r="L8021" s="33"/>
      <c r="M8021" s="33"/>
      <c r="N8021" s="33"/>
      <c r="O8021" s="33"/>
      <c r="P8021" s="33"/>
      <c r="Q8021" s="33"/>
      <c r="R8021" s="33"/>
      <c r="S8021" s="33"/>
      <c r="T8021" s="33"/>
      <c r="U8021" s="33"/>
      <c r="V8021" s="33"/>
      <c r="W8021" s="33"/>
      <c r="X8021" s="33"/>
      <c r="Y8021" s="33"/>
      <c r="Z8021" s="33"/>
      <c r="AA8021" s="33"/>
      <c r="AB8021" s="33"/>
      <c r="AC8021" s="33"/>
      <c r="AD8021" s="33"/>
      <c r="AE8021" s="33"/>
      <c r="AF8021" s="33"/>
      <c r="AG8021" s="33"/>
      <c r="AH8021" s="33"/>
      <c r="AI8021" s="33"/>
      <c r="AJ8021" s="33"/>
      <c r="AK8021" s="33"/>
    </row>
    <row r="8022">
      <c r="A8022" s="33"/>
      <c r="B8022" s="33"/>
      <c r="C8022" s="33"/>
      <c r="D8022" s="33"/>
      <c r="E8022" s="33"/>
      <c r="F8022" s="33"/>
      <c r="G8022" s="33"/>
      <c r="H8022" s="33"/>
      <c r="I8022" s="33"/>
      <c r="J8022" s="33"/>
      <c r="K8022" s="33"/>
      <c r="L8022" s="33"/>
      <c r="M8022" s="33"/>
      <c r="N8022" s="33"/>
      <c r="O8022" s="33"/>
      <c r="P8022" s="33"/>
      <c r="Q8022" s="33"/>
      <c r="R8022" s="33"/>
      <c r="S8022" s="33"/>
      <c r="T8022" s="33"/>
      <c r="U8022" s="33"/>
      <c r="V8022" s="33"/>
      <c r="W8022" s="33"/>
      <c r="X8022" s="33"/>
      <c r="Y8022" s="33"/>
      <c r="Z8022" s="33"/>
      <c r="AA8022" s="33"/>
      <c r="AB8022" s="33"/>
      <c r="AC8022" s="33"/>
      <c r="AD8022" s="33"/>
      <c r="AE8022" s="33"/>
      <c r="AF8022" s="33"/>
      <c r="AG8022" s="33"/>
      <c r="AH8022" s="33"/>
      <c r="AI8022" s="33"/>
      <c r="AJ8022" s="33"/>
      <c r="AK8022" s="33"/>
    </row>
    <row r="8023">
      <c r="A8023" s="33"/>
      <c r="B8023" s="33"/>
      <c r="C8023" s="33"/>
      <c r="D8023" s="33"/>
      <c r="E8023" s="33"/>
      <c r="F8023" s="33"/>
      <c r="G8023" s="33"/>
      <c r="H8023" s="33"/>
      <c r="I8023" s="33"/>
      <c r="J8023" s="33"/>
      <c r="K8023" s="33"/>
      <c r="L8023" s="33"/>
      <c r="M8023" s="33"/>
      <c r="N8023" s="33"/>
      <c r="O8023" s="33"/>
      <c r="P8023" s="33"/>
      <c r="Q8023" s="33"/>
      <c r="R8023" s="33"/>
      <c r="S8023" s="33"/>
      <c r="T8023" s="33"/>
      <c r="U8023" s="33"/>
      <c r="V8023" s="33"/>
      <c r="W8023" s="33"/>
      <c r="X8023" s="33"/>
      <c r="Y8023" s="33"/>
      <c r="Z8023" s="33"/>
      <c r="AA8023" s="33"/>
      <c r="AB8023" s="33"/>
      <c r="AC8023" s="33"/>
      <c r="AD8023" s="33"/>
      <c r="AE8023" s="33"/>
      <c r="AF8023" s="33"/>
      <c r="AG8023" s="33"/>
      <c r="AH8023" s="33"/>
      <c r="AI8023" s="33"/>
      <c r="AJ8023" s="33"/>
      <c r="AK8023" s="33"/>
    </row>
    <row r="8024">
      <c r="A8024" s="33"/>
      <c r="B8024" s="33"/>
      <c r="C8024" s="33"/>
      <c r="D8024" s="33"/>
      <c r="E8024" s="33"/>
      <c r="F8024" s="33"/>
      <c r="G8024" s="33"/>
      <c r="H8024" s="33"/>
      <c r="I8024" s="33"/>
      <c r="J8024" s="33"/>
      <c r="K8024" s="33"/>
      <c r="L8024" s="33"/>
      <c r="M8024" s="33"/>
      <c r="N8024" s="33"/>
      <c r="O8024" s="33"/>
      <c r="P8024" s="33"/>
      <c r="Q8024" s="33"/>
      <c r="R8024" s="33"/>
      <c r="S8024" s="33"/>
      <c r="T8024" s="33"/>
      <c r="U8024" s="33"/>
      <c r="V8024" s="33"/>
      <c r="W8024" s="33"/>
      <c r="X8024" s="33"/>
      <c r="Y8024" s="33"/>
      <c r="Z8024" s="33"/>
      <c r="AA8024" s="33"/>
      <c r="AB8024" s="33"/>
      <c r="AC8024" s="33"/>
      <c r="AD8024" s="33"/>
      <c r="AE8024" s="33"/>
      <c r="AF8024" s="33"/>
      <c r="AG8024" s="33"/>
      <c r="AH8024" s="33"/>
      <c r="AI8024" s="33"/>
      <c r="AJ8024" s="33"/>
      <c r="AK8024" s="33"/>
    </row>
    <row r="8025">
      <c r="A8025" s="33"/>
      <c r="B8025" s="33"/>
      <c r="C8025" s="33"/>
      <c r="D8025" s="33"/>
      <c r="E8025" s="33"/>
      <c r="F8025" s="33"/>
      <c r="G8025" s="33"/>
      <c r="H8025" s="33"/>
      <c r="I8025" s="33"/>
      <c r="J8025" s="33"/>
      <c r="K8025" s="33"/>
      <c r="L8025" s="33"/>
      <c r="M8025" s="33"/>
      <c r="N8025" s="33"/>
      <c r="O8025" s="33"/>
      <c r="P8025" s="33"/>
      <c r="Q8025" s="33"/>
      <c r="R8025" s="33"/>
      <c r="S8025" s="33"/>
      <c r="T8025" s="33"/>
      <c r="U8025" s="33"/>
      <c r="V8025" s="33"/>
      <c r="W8025" s="33"/>
      <c r="X8025" s="33"/>
      <c r="Y8025" s="33"/>
      <c r="Z8025" s="33"/>
      <c r="AA8025" s="33"/>
      <c r="AB8025" s="33"/>
      <c r="AC8025" s="33"/>
      <c r="AD8025" s="33"/>
      <c r="AE8025" s="33"/>
      <c r="AF8025" s="33"/>
      <c r="AG8025" s="33"/>
      <c r="AH8025" s="33"/>
      <c r="AI8025" s="33"/>
      <c r="AJ8025" s="33"/>
      <c r="AK8025" s="33"/>
    </row>
    <row r="8026">
      <c r="A8026" s="33"/>
      <c r="B8026" s="33"/>
      <c r="C8026" s="33"/>
      <c r="D8026" s="33"/>
      <c r="E8026" s="33"/>
      <c r="F8026" s="33"/>
      <c r="G8026" s="33"/>
      <c r="H8026" s="33"/>
      <c r="I8026" s="33"/>
      <c r="J8026" s="33"/>
      <c r="K8026" s="33"/>
      <c r="L8026" s="33"/>
      <c r="M8026" s="33"/>
      <c r="N8026" s="33"/>
      <c r="O8026" s="33"/>
      <c r="P8026" s="33"/>
      <c r="Q8026" s="33"/>
      <c r="R8026" s="33"/>
      <c r="S8026" s="33"/>
      <c r="T8026" s="33"/>
      <c r="U8026" s="33"/>
      <c r="V8026" s="33"/>
      <c r="W8026" s="33"/>
      <c r="X8026" s="33"/>
      <c r="Y8026" s="33"/>
      <c r="Z8026" s="33"/>
      <c r="AA8026" s="33"/>
      <c r="AB8026" s="33"/>
      <c r="AC8026" s="33"/>
      <c r="AD8026" s="33"/>
      <c r="AE8026" s="33"/>
      <c r="AF8026" s="33"/>
      <c r="AG8026" s="33"/>
      <c r="AH8026" s="33"/>
      <c r="AI8026" s="33"/>
      <c r="AJ8026" s="33"/>
      <c r="AK8026" s="33"/>
    </row>
    <row r="8027">
      <c r="A8027" s="33"/>
      <c r="B8027" s="33"/>
      <c r="C8027" s="33"/>
      <c r="D8027" s="33"/>
      <c r="E8027" s="33"/>
      <c r="F8027" s="33"/>
      <c r="G8027" s="33"/>
      <c r="H8027" s="33"/>
      <c r="I8027" s="33"/>
      <c r="J8027" s="33"/>
      <c r="K8027" s="33"/>
      <c r="L8027" s="33"/>
      <c r="M8027" s="33"/>
      <c r="N8027" s="33"/>
      <c r="O8027" s="33"/>
      <c r="P8027" s="33"/>
      <c r="Q8027" s="33"/>
      <c r="R8027" s="33"/>
      <c r="S8027" s="33"/>
      <c r="T8027" s="33"/>
      <c r="U8027" s="33"/>
      <c r="V8027" s="33"/>
      <c r="W8027" s="33"/>
      <c r="X8027" s="33"/>
      <c r="Y8027" s="33"/>
      <c r="Z8027" s="33"/>
      <c r="AA8027" s="33"/>
      <c r="AB8027" s="33"/>
      <c r="AC8027" s="33"/>
      <c r="AD8027" s="33"/>
      <c r="AE8027" s="33"/>
      <c r="AF8027" s="33"/>
      <c r="AG8027" s="33"/>
      <c r="AH8027" s="33"/>
      <c r="AI8027" s="33"/>
      <c r="AJ8027" s="33"/>
      <c r="AK8027" s="33"/>
    </row>
    <row r="8028">
      <c r="A8028" s="33"/>
      <c r="B8028" s="33"/>
      <c r="C8028" s="33"/>
      <c r="D8028" s="33"/>
      <c r="E8028" s="33"/>
      <c r="F8028" s="33"/>
      <c r="G8028" s="33"/>
      <c r="H8028" s="33"/>
      <c r="I8028" s="33"/>
      <c r="J8028" s="33"/>
      <c r="K8028" s="33"/>
      <c r="L8028" s="33"/>
      <c r="M8028" s="33"/>
      <c r="N8028" s="33"/>
      <c r="O8028" s="33"/>
      <c r="P8028" s="33"/>
      <c r="Q8028" s="33"/>
      <c r="R8028" s="33"/>
      <c r="S8028" s="33"/>
      <c r="T8028" s="33"/>
      <c r="U8028" s="33"/>
      <c r="V8028" s="33"/>
      <c r="W8028" s="33"/>
      <c r="X8028" s="33"/>
      <c r="Y8028" s="33"/>
      <c r="Z8028" s="33"/>
      <c r="AA8028" s="33"/>
      <c r="AB8028" s="33"/>
      <c r="AC8028" s="33"/>
      <c r="AD8028" s="33"/>
      <c r="AE8028" s="33"/>
      <c r="AF8028" s="33"/>
      <c r="AG8028" s="33"/>
      <c r="AH8028" s="33"/>
      <c r="AI8028" s="33"/>
      <c r="AJ8028" s="33"/>
      <c r="AK8028" s="33"/>
    </row>
    <row r="8029">
      <c r="A8029" s="33"/>
      <c r="B8029" s="33"/>
      <c r="C8029" s="33"/>
      <c r="D8029" s="33"/>
      <c r="E8029" s="33"/>
      <c r="F8029" s="33"/>
      <c r="G8029" s="33"/>
      <c r="H8029" s="33"/>
      <c r="I8029" s="33"/>
      <c r="J8029" s="33"/>
      <c r="K8029" s="33"/>
      <c r="L8029" s="33"/>
      <c r="M8029" s="33"/>
      <c r="N8029" s="33"/>
      <c r="O8029" s="33"/>
      <c r="P8029" s="33"/>
      <c r="Q8029" s="33"/>
      <c r="R8029" s="33"/>
      <c r="S8029" s="33"/>
      <c r="T8029" s="33"/>
      <c r="U8029" s="33"/>
      <c r="V8029" s="33"/>
      <c r="W8029" s="33"/>
      <c r="X8029" s="33"/>
      <c r="Y8029" s="33"/>
      <c r="Z8029" s="33"/>
      <c r="AA8029" s="33"/>
      <c r="AB8029" s="33"/>
      <c r="AC8029" s="33"/>
      <c r="AD8029" s="33"/>
      <c r="AE8029" s="33"/>
      <c r="AF8029" s="33"/>
      <c r="AG8029" s="33"/>
      <c r="AH8029" s="33"/>
      <c r="AI8029" s="33"/>
      <c r="AJ8029" s="33"/>
      <c r="AK8029" s="33"/>
    </row>
    <row r="8030">
      <c r="A8030" s="33"/>
      <c r="B8030" s="33"/>
      <c r="C8030" s="33"/>
      <c r="D8030" s="33"/>
      <c r="E8030" s="33"/>
      <c r="F8030" s="33"/>
      <c r="G8030" s="33"/>
      <c r="H8030" s="33"/>
      <c r="I8030" s="33"/>
      <c r="J8030" s="33"/>
      <c r="K8030" s="33"/>
      <c r="L8030" s="33"/>
      <c r="M8030" s="33"/>
      <c r="N8030" s="33"/>
      <c r="O8030" s="33"/>
      <c r="P8030" s="33"/>
      <c r="Q8030" s="33"/>
      <c r="R8030" s="33"/>
      <c r="S8030" s="33"/>
      <c r="T8030" s="33"/>
      <c r="U8030" s="33"/>
      <c r="V8030" s="33"/>
      <c r="W8030" s="33"/>
      <c r="X8030" s="33"/>
      <c r="Y8030" s="33"/>
      <c r="Z8030" s="33"/>
      <c r="AA8030" s="33"/>
      <c r="AB8030" s="33"/>
      <c r="AC8030" s="33"/>
      <c r="AD8030" s="33"/>
      <c r="AE8030" s="33"/>
      <c r="AF8030" s="33"/>
      <c r="AG8030" s="33"/>
      <c r="AH8030" s="33"/>
      <c r="AI8030" s="33"/>
      <c r="AJ8030" s="33"/>
      <c r="AK8030" s="33"/>
    </row>
    <row r="8031">
      <c r="A8031" s="33"/>
      <c r="B8031" s="33"/>
      <c r="C8031" s="33"/>
      <c r="D8031" s="33"/>
      <c r="E8031" s="33"/>
      <c r="F8031" s="33"/>
      <c r="G8031" s="33"/>
      <c r="H8031" s="33"/>
      <c r="I8031" s="33"/>
      <c r="J8031" s="33"/>
      <c r="K8031" s="33"/>
      <c r="L8031" s="33"/>
      <c r="M8031" s="33"/>
      <c r="N8031" s="33"/>
      <c r="O8031" s="33"/>
      <c r="P8031" s="33"/>
      <c r="Q8031" s="33"/>
      <c r="R8031" s="33"/>
      <c r="S8031" s="33"/>
      <c r="T8031" s="33"/>
      <c r="U8031" s="33"/>
      <c r="V8031" s="33"/>
      <c r="W8031" s="33"/>
      <c r="X8031" s="33"/>
      <c r="Y8031" s="33"/>
      <c r="Z8031" s="33"/>
      <c r="AA8031" s="33"/>
      <c r="AB8031" s="33"/>
      <c r="AC8031" s="33"/>
      <c r="AD8031" s="33"/>
      <c r="AE8031" s="33"/>
      <c r="AF8031" s="33"/>
      <c r="AG8031" s="33"/>
      <c r="AH8031" s="33"/>
      <c r="AI8031" s="33"/>
      <c r="AJ8031" s="33"/>
      <c r="AK8031" s="33"/>
    </row>
    <row r="8032">
      <c r="A8032" s="33"/>
      <c r="B8032" s="33"/>
      <c r="C8032" s="33"/>
      <c r="D8032" s="33"/>
      <c r="E8032" s="33"/>
      <c r="F8032" s="33"/>
      <c r="G8032" s="33"/>
      <c r="H8032" s="33"/>
      <c r="I8032" s="33"/>
      <c r="J8032" s="33"/>
      <c r="K8032" s="33"/>
      <c r="L8032" s="33"/>
      <c r="M8032" s="33"/>
      <c r="N8032" s="33"/>
      <c r="O8032" s="33"/>
      <c r="P8032" s="33"/>
      <c r="Q8032" s="33"/>
      <c r="R8032" s="33"/>
      <c r="S8032" s="33"/>
      <c r="T8032" s="33"/>
      <c r="U8032" s="33"/>
      <c r="V8032" s="33"/>
      <c r="W8032" s="33"/>
      <c r="X8032" s="33"/>
      <c r="Y8032" s="33"/>
      <c r="Z8032" s="33"/>
      <c r="AA8032" s="33"/>
      <c r="AB8032" s="33"/>
      <c r="AC8032" s="33"/>
      <c r="AD8032" s="33"/>
      <c r="AE8032" s="33"/>
      <c r="AF8032" s="33"/>
      <c r="AG8032" s="33"/>
      <c r="AH8032" s="33"/>
      <c r="AI8032" s="33"/>
      <c r="AJ8032" s="33"/>
      <c r="AK8032" s="33"/>
    </row>
    <row r="8033">
      <c r="A8033" s="33"/>
      <c r="B8033" s="33"/>
      <c r="C8033" s="33"/>
      <c r="D8033" s="33"/>
      <c r="E8033" s="33"/>
      <c r="F8033" s="33"/>
      <c r="G8033" s="33"/>
      <c r="H8033" s="33"/>
      <c r="I8033" s="33"/>
      <c r="J8033" s="33"/>
      <c r="K8033" s="33"/>
      <c r="L8033" s="33"/>
      <c r="M8033" s="33"/>
      <c r="N8033" s="33"/>
      <c r="O8033" s="33"/>
      <c r="P8033" s="33"/>
      <c r="Q8033" s="33"/>
      <c r="R8033" s="33"/>
      <c r="S8033" s="33"/>
      <c r="T8033" s="33"/>
      <c r="U8033" s="33"/>
      <c r="V8033" s="33"/>
      <c r="W8033" s="33"/>
      <c r="X8033" s="33"/>
      <c r="Y8033" s="33"/>
      <c r="Z8033" s="33"/>
      <c r="AA8033" s="33"/>
      <c r="AB8033" s="33"/>
      <c r="AC8033" s="33"/>
      <c r="AD8033" s="33"/>
      <c r="AE8033" s="33"/>
      <c r="AF8033" s="33"/>
      <c r="AG8033" s="33"/>
      <c r="AH8033" s="33"/>
      <c r="AI8033" s="33"/>
      <c r="AJ8033" s="33"/>
      <c r="AK8033" s="33"/>
    </row>
    <row r="8034">
      <c r="A8034" s="33"/>
      <c r="B8034" s="33"/>
      <c r="C8034" s="33"/>
      <c r="D8034" s="33"/>
      <c r="E8034" s="33"/>
      <c r="F8034" s="33"/>
      <c r="G8034" s="33"/>
      <c r="H8034" s="33"/>
      <c r="I8034" s="33"/>
      <c r="J8034" s="33"/>
      <c r="K8034" s="33"/>
      <c r="L8034" s="33"/>
      <c r="M8034" s="33"/>
      <c r="N8034" s="33"/>
      <c r="O8034" s="33"/>
      <c r="P8034" s="33"/>
      <c r="Q8034" s="33"/>
      <c r="R8034" s="33"/>
      <c r="S8034" s="33"/>
      <c r="T8034" s="33"/>
      <c r="U8034" s="33"/>
      <c r="V8034" s="33"/>
      <c r="W8034" s="33"/>
      <c r="X8034" s="33"/>
      <c r="Y8034" s="33"/>
      <c r="Z8034" s="33"/>
      <c r="AA8034" s="33"/>
      <c r="AB8034" s="33"/>
      <c r="AC8034" s="33"/>
      <c r="AD8034" s="33"/>
      <c r="AE8034" s="33"/>
      <c r="AF8034" s="33"/>
      <c r="AG8034" s="33"/>
      <c r="AH8034" s="33"/>
      <c r="AI8034" s="33"/>
      <c r="AJ8034" s="33"/>
      <c r="AK8034" s="33"/>
    </row>
    <row r="8035">
      <c r="A8035" s="33"/>
      <c r="B8035" s="33"/>
      <c r="C8035" s="33"/>
      <c r="D8035" s="33"/>
      <c r="E8035" s="33"/>
      <c r="F8035" s="33"/>
      <c r="G8035" s="33"/>
      <c r="H8035" s="33"/>
      <c r="I8035" s="33"/>
      <c r="J8035" s="33"/>
      <c r="K8035" s="33"/>
      <c r="L8035" s="33"/>
      <c r="M8035" s="33"/>
      <c r="N8035" s="33"/>
      <c r="O8035" s="33"/>
      <c r="P8035" s="33"/>
      <c r="Q8035" s="33"/>
      <c r="R8035" s="33"/>
      <c r="S8035" s="33"/>
      <c r="T8035" s="33"/>
      <c r="U8035" s="33"/>
      <c r="V8035" s="33"/>
      <c r="W8035" s="33"/>
      <c r="X8035" s="33"/>
      <c r="Y8035" s="33"/>
      <c r="Z8035" s="33"/>
      <c r="AA8035" s="33"/>
      <c r="AB8035" s="33"/>
      <c r="AC8035" s="33"/>
      <c r="AD8035" s="33"/>
      <c r="AE8035" s="33"/>
      <c r="AF8035" s="33"/>
      <c r="AG8035" s="33"/>
      <c r="AH8035" s="33"/>
      <c r="AI8035" s="33"/>
      <c r="AJ8035" s="33"/>
      <c r="AK8035" s="33"/>
    </row>
    <row r="8036">
      <c r="A8036" s="33"/>
      <c r="B8036" s="33"/>
      <c r="C8036" s="33"/>
      <c r="D8036" s="33"/>
      <c r="E8036" s="33"/>
      <c r="F8036" s="33"/>
      <c r="G8036" s="33"/>
      <c r="H8036" s="33"/>
      <c r="I8036" s="33"/>
      <c r="J8036" s="33"/>
      <c r="K8036" s="33"/>
      <c r="L8036" s="33"/>
      <c r="M8036" s="33"/>
      <c r="N8036" s="33"/>
      <c r="O8036" s="33"/>
      <c r="P8036" s="33"/>
      <c r="Q8036" s="33"/>
      <c r="R8036" s="33"/>
      <c r="S8036" s="33"/>
      <c r="T8036" s="33"/>
      <c r="U8036" s="33"/>
      <c r="V8036" s="33"/>
      <c r="W8036" s="33"/>
      <c r="X8036" s="33"/>
      <c r="Y8036" s="33"/>
      <c r="Z8036" s="33"/>
      <c r="AA8036" s="33"/>
      <c r="AB8036" s="33"/>
      <c r="AC8036" s="33"/>
      <c r="AD8036" s="33"/>
      <c r="AE8036" s="33"/>
      <c r="AF8036" s="33"/>
      <c r="AG8036" s="33"/>
      <c r="AH8036" s="33"/>
      <c r="AI8036" s="33"/>
      <c r="AJ8036" s="33"/>
      <c r="AK8036" s="33"/>
    </row>
    <row r="8037">
      <c r="A8037" s="33"/>
      <c r="B8037" s="33"/>
      <c r="C8037" s="33"/>
      <c r="D8037" s="33"/>
      <c r="E8037" s="33"/>
      <c r="F8037" s="33"/>
      <c r="G8037" s="33"/>
      <c r="H8037" s="33"/>
      <c r="I8037" s="33"/>
      <c r="J8037" s="33"/>
      <c r="K8037" s="33"/>
      <c r="L8037" s="33"/>
      <c r="M8037" s="33"/>
      <c r="N8037" s="33"/>
      <c r="O8037" s="33"/>
      <c r="P8037" s="33"/>
      <c r="Q8037" s="33"/>
      <c r="R8037" s="33"/>
      <c r="S8037" s="33"/>
      <c r="T8037" s="33"/>
      <c r="U8037" s="33"/>
      <c r="V8037" s="33"/>
      <c r="W8037" s="33"/>
      <c r="X8037" s="33"/>
      <c r="Y8037" s="33"/>
      <c r="Z8037" s="33"/>
      <c r="AA8037" s="33"/>
      <c r="AB8037" s="33"/>
      <c r="AC8037" s="33"/>
      <c r="AD8037" s="33"/>
      <c r="AE8037" s="33"/>
      <c r="AF8037" s="33"/>
      <c r="AG8037" s="33"/>
      <c r="AH8037" s="33"/>
      <c r="AI8037" s="33"/>
      <c r="AJ8037" s="33"/>
      <c r="AK8037" s="33"/>
    </row>
    <row r="8038">
      <c r="A8038" s="33"/>
      <c r="B8038" s="33"/>
      <c r="C8038" s="33"/>
      <c r="D8038" s="33"/>
      <c r="E8038" s="33"/>
      <c r="F8038" s="33"/>
      <c r="G8038" s="33"/>
      <c r="H8038" s="33"/>
      <c r="I8038" s="33"/>
      <c r="J8038" s="33"/>
      <c r="K8038" s="33"/>
      <c r="L8038" s="33"/>
      <c r="M8038" s="33"/>
      <c r="N8038" s="33"/>
      <c r="O8038" s="33"/>
      <c r="P8038" s="33"/>
      <c r="Q8038" s="33"/>
      <c r="R8038" s="33"/>
      <c r="S8038" s="33"/>
      <c r="T8038" s="33"/>
      <c r="U8038" s="33"/>
      <c r="V8038" s="33"/>
      <c r="W8038" s="33"/>
      <c r="X8038" s="33"/>
      <c r="Y8038" s="33"/>
      <c r="Z8038" s="33"/>
      <c r="AA8038" s="33"/>
      <c r="AB8038" s="33"/>
      <c r="AC8038" s="33"/>
      <c r="AD8038" s="33"/>
      <c r="AE8038" s="33"/>
      <c r="AF8038" s="33"/>
      <c r="AG8038" s="33"/>
      <c r="AH8038" s="33"/>
      <c r="AI8038" s="33"/>
      <c r="AJ8038" s="33"/>
      <c r="AK8038" s="33"/>
    </row>
    <row r="8039">
      <c r="A8039" s="33"/>
      <c r="B8039" s="33"/>
      <c r="C8039" s="33"/>
      <c r="D8039" s="33"/>
      <c r="E8039" s="33"/>
      <c r="F8039" s="33"/>
      <c r="G8039" s="33"/>
      <c r="H8039" s="33"/>
      <c r="I8039" s="33"/>
      <c r="J8039" s="33"/>
      <c r="K8039" s="33"/>
      <c r="L8039" s="33"/>
      <c r="M8039" s="33"/>
      <c r="N8039" s="33"/>
      <c r="O8039" s="33"/>
      <c r="P8039" s="33"/>
      <c r="Q8039" s="33"/>
      <c r="R8039" s="33"/>
      <c r="S8039" s="33"/>
      <c r="T8039" s="33"/>
      <c r="U8039" s="33"/>
      <c r="V8039" s="33"/>
      <c r="W8039" s="33"/>
      <c r="X8039" s="33"/>
      <c r="Y8039" s="33"/>
      <c r="Z8039" s="33"/>
      <c r="AA8039" s="33"/>
      <c r="AB8039" s="33"/>
      <c r="AC8039" s="33"/>
      <c r="AD8039" s="33"/>
      <c r="AE8039" s="33"/>
      <c r="AF8039" s="33"/>
      <c r="AG8039" s="33"/>
      <c r="AH8039" s="33"/>
      <c r="AI8039" s="33"/>
      <c r="AJ8039" s="33"/>
      <c r="AK8039" s="33"/>
    </row>
    <row r="8040">
      <c r="A8040" s="33"/>
      <c r="B8040" s="33"/>
      <c r="C8040" s="33"/>
      <c r="D8040" s="33"/>
      <c r="E8040" s="33"/>
      <c r="F8040" s="33"/>
      <c r="G8040" s="33"/>
      <c r="H8040" s="33"/>
      <c r="I8040" s="33"/>
      <c r="J8040" s="33"/>
      <c r="K8040" s="33"/>
      <c r="L8040" s="33"/>
      <c r="M8040" s="33"/>
      <c r="N8040" s="33"/>
      <c r="O8040" s="33"/>
      <c r="P8040" s="33"/>
      <c r="Q8040" s="33"/>
      <c r="R8040" s="33"/>
      <c r="S8040" s="33"/>
      <c r="T8040" s="33"/>
      <c r="U8040" s="33"/>
      <c r="V8040" s="33"/>
      <c r="W8040" s="33"/>
      <c r="X8040" s="33"/>
      <c r="Y8040" s="33"/>
      <c r="Z8040" s="33"/>
      <c r="AA8040" s="33"/>
      <c r="AB8040" s="33"/>
      <c r="AC8040" s="33"/>
      <c r="AD8040" s="33"/>
      <c r="AE8040" s="33"/>
      <c r="AF8040" s="33"/>
      <c r="AG8040" s="33"/>
      <c r="AH8040" s="33"/>
      <c r="AI8040" s="33"/>
      <c r="AJ8040" s="33"/>
      <c r="AK8040" s="33"/>
    </row>
    <row r="8041">
      <c r="A8041" s="33"/>
      <c r="B8041" s="33"/>
      <c r="C8041" s="33"/>
      <c r="D8041" s="33"/>
      <c r="E8041" s="33"/>
      <c r="F8041" s="33"/>
      <c r="G8041" s="33"/>
      <c r="H8041" s="33"/>
      <c r="I8041" s="33"/>
      <c r="J8041" s="33"/>
      <c r="K8041" s="33"/>
      <c r="L8041" s="33"/>
      <c r="M8041" s="33"/>
      <c r="N8041" s="33"/>
      <c r="O8041" s="33"/>
      <c r="P8041" s="33"/>
      <c r="Q8041" s="33"/>
      <c r="R8041" s="33"/>
      <c r="S8041" s="33"/>
      <c r="T8041" s="33"/>
      <c r="U8041" s="33"/>
      <c r="V8041" s="33"/>
      <c r="W8041" s="33"/>
      <c r="X8041" s="33"/>
      <c r="Y8041" s="33"/>
      <c r="Z8041" s="33"/>
      <c r="AA8041" s="33"/>
      <c r="AB8041" s="33"/>
      <c r="AC8041" s="33"/>
      <c r="AD8041" s="33"/>
      <c r="AE8041" s="33"/>
      <c r="AF8041" s="33"/>
      <c r="AG8041" s="33"/>
      <c r="AH8041" s="33"/>
      <c r="AI8041" s="33"/>
      <c r="AJ8041" s="33"/>
      <c r="AK8041" s="33"/>
    </row>
    <row r="8042">
      <c r="A8042" s="33"/>
      <c r="B8042" s="33"/>
      <c r="C8042" s="33"/>
      <c r="D8042" s="33"/>
      <c r="E8042" s="33"/>
      <c r="F8042" s="33"/>
      <c r="G8042" s="33"/>
      <c r="H8042" s="33"/>
      <c r="I8042" s="33"/>
      <c r="J8042" s="33"/>
      <c r="K8042" s="33"/>
      <c r="L8042" s="33"/>
      <c r="M8042" s="33"/>
      <c r="N8042" s="33"/>
      <c r="O8042" s="33"/>
      <c r="P8042" s="33"/>
      <c r="Q8042" s="33"/>
      <c r="R8042" s="33"/>
      <c r="S8042" s="33"/>
      <c r="T8042" s="33"/>
      <c r="U8042" s="33"/>
      <c r="V8042" s="33"/>
      <c r="W8042" s="33"/>
      <c r="X8042" s="33"/>
      <c r="Y8042" s="33"/>
      <c r="Z8042" s="33"/>
      <c r="AA8042" s="33"/>
      <c r="AB8042" s="33"/>
      <c r="AC8042" s="33"/>
      <c r="AD8042" s="33"/>
      <c r="AE8042" s="33"/>
      <c r="AF8042" s="33"/>
      <c r="AG8042" s="33"/>
      <c r="AH8042" s="33"/>
      <c r="AI8042" s="33"/>
      <c r="AJ8042" s="33"/>
      <c r="AK8042" s="33"/>
    </row>
    <row r="8043">
      <c r="A8043" s="33"/>
      <c r="B8043" s="33"/>
      <c r="C8043" s="33"/>
      <c r="D8043" s="33"/>
      <c r="E8043" s="33"/>
      <c r="F8043" s="33"/>
      <c r="G8043" s="33"/>
      <c r="H8043" s="33"/>
      <c r="I8043" s="33"/>
      <c r="J8043" s="33"/>
      <c r="K8043" s="33"/>
      <c r="L8043" s="33"/>
      <c r="M8043" s="33"/>
      <c r="N8043" s="33"/>
      <c r="O8043" s="33"/>
      <c r="P8043" s="33"/>
      <c r="Q8043" s="33"/>
      <c r="R8043" s="33"/>
      <c r="S8043" s="33"/>
      <c r="T8043" s="33"/>
      <c r="U8043" s="33"/>
      <c r="V8043" s="33"/>
      <c r="W8043" s="33"/>
      <c r="X8043" s="33"/>
      <c r="Y8043" s="33"/>
      <c r="Z8043" s="33"/>
      <c r="AA8043" s="33"/>
      <c r="AB8043" s="33"/>
      <c r="AC8043" s="33"/>
      <c r="AD8043" s="33"/>
      <c r="AE8043" s="33"/>
      <c r="AF8043" s="33"/>
      <c r="AG8043" s="33"/>
      <c r="AH8043" s="33"/>
      <c r="AI8043" s="33"/>
      <c r="AJ8043" s="33"/>
      <c r="AK8043" s="33"/>
    </row>
    <row r="8044">
      <c r="A8044" s="33"/>
      <c r="B8044" s="33"/>
      <c r="C8044" s="33"/>
      <c r="D8044" s="33"/>
      <c r="E8044" s="33"/>
      <c r="F8044" s="33"/>
      <c r="G8044" s="33"/>
      <c r="H8044" s="33"/>
      <c r="I8044" s="33"/>
      <c r="J8044" s="33"/>
      <c r="K8044" s="33"/>
      <c r="L8044" s="33"/>
      <c r="M8044" s="33"/>
      <c r="N8044" s="33"/>
      <c r="O8044" s="33"/>
      <c r="P8044" s="33"/>
      <c r="Q8044" s="33"/>
      <c r="R8044" s="33"/>
      <c r="S8044" s="33"/>
      <c r="T8044" s="33"/>
      <c r="U8044" s="33"/>
      <c r="V8044" s="33"/>
      <c r="W8044" s="33"/>
      <c r="X8044" s="33"/>
      <c r="Y8044" s="33"/>
      <c r="Z8044" s="33"/>
      <c r="AA8044" s="33"/>
      <c r="AB8044" s="33"/>
      <c r="AC8044" s="33"/>
      <c r="AD8044" s="33"/>
      <c r="AE8044" s="33"/>
      <c r="AF8044" s="33"/>
      <c r="AG8044" s="33"/>
      <c r="AH8044" s="33"/>
      <c r="AI8044" s="33"/>
      <c r="AJ8044" s="33"/>
      <c r="AK8044" s="33"/>
    </row>
    <row r="8045">
      <c r="A8045" s="33"/>
      <c r="B8045" s="33"/>
      <c r="C8045" s="33"/>
      <c r="D8045" s="33"/>
      <c r="E8045" s="33"/>
      <c r="F8045" s="33"/>
      <c r="G8045" s="33"/>
      <c r="H8045" s="33"/>
      <c r="I8045" s="33"/>
      <c r="J8045" s="33"/>
      <c r="K8045" s="33"/>
      <c r="L8045" s="33"/>
      <c r="M8045" s="33"/>
      <c r="N8045" s="33"/>
      <c r="O8045" s="33"/>
      <c r="P8045" s="33"/>
      <c r="Q8045" s="33"/>
      <c r="R8045" s="33"/>
      <c r="S8045" s="33"/>
      <c r="T8045" s="33"/>
      <c r="U8045" s="33"/>
      <c r="V8045" s="33"/>
      <c r="W8045" s="33"/>
      <c r="X8045" s="33"/>
      <c r="Y8045" s="33"/>
      <c r="Z8045" s="33"/>
      <c r="AA8045" s="33"/>
      <c r="AB8045" s="33"/>
      <c r="AC8045" s="33"/>
      <c r="AD8045" s="33"/>
      <c r="AE8045" s="33"/>
      <c r="AF8045" s="33"/>
      <c r="AG8045" s="33"/>
      <c r="AH8045" s="33"/>
      <c r="AI8045" s="33"/>
      <c r="AJ8045" s="33"/>
      <c r="AK8045" s="33"/>
    </row>
    <row r="8046">
      <c r="A8046" s="33"/>
      <c r="B8046" s="33"/>
      <c r="C8046" s="33"/>
      <c r="D8046" s="33"/>
      <c r="E8046" s="33"/>
      <c r="F8046" s="33"/>
      <c r="G8046" s="33"/>
      <c r="H8046" s="33"/>
      <c r="I8046" s="33"/>
      <c r="J8046" s="33"/>
      <c r="K8046" s="33"/>
      <c r="L8046" s="33"/>
      <c r="M8046" s="33"/>
      <c r="N8046" s="33"/>
      <c r="O8046" s="33"/>
      <c r="P8046" s="33"/>
      <c r="Q8046" s="33"/>
      <c r="R8046" s="33"/>
      <c r="S8046" s="33"/>
      <c r="T8046" s="33"/>
      <c r="U8046" s="33"/>
      <c r="V8046" s="33"/>
      <c r="W8046" s="33"/>
      <c r="X8046" s="33"/>
      <c r="Y8046" s="33"/>
      <c r="Z8046" s="33"/>
      <c r="AA8046" s="33"/>
      <c r="AB8046" s="33"/>
      <c r="AC8046" s="33"/>
      <c r="AD8046" s="33"/>
      <c r="AE8046" s="33"/>
      <c r="AF8046" s="33"/>
      <c r="AG8046" s="33"/>
      <c r="AH8046" s="33"/>
      <c r="AI8046" s="33"/>
      <c r="AJ8046" s="33"/>
      <c r="AK8046" s="33"/>
    </row>
    <row r="8047">
      <c r="A8047" s="33"/>
      <c r="B8047" s="33"/>
      <c r="C8047" s="33"/>
      <c r="D8047" s="33"/>
      <c r="E8047" s="33"/>
      <c r="F8047" s="33"/>
      <c r="G8047" s="33"/>
      <c r="H8047" s="33"/>
      <c r="I8047" s="33"/>
      <c r="J8047" s="33"/>
      <c r="K8047" s="33"/>
      <c r="L8047" s="33"/>
      <c r="M8047" s="33"/>
      <c r="N8047" s="33"/>
      <c r="O8047" s="33"/>
      <c r="P8047" s="33"/>
      <c r="Q8047" s="33"/>
      <c r="R8047" s="33"/>
      <c r="S8047" s="33"/>
      <c r="T8047" s="33"/>
      <c r="U8047" s="33"/>
      <c r="V8047" s="33"/>
      <c r="W8047" s="33"/>
      <c r="X8047" s="33"/>
      <c r="Y8047" s="33"/>
      <c r="Z8047" s="33"/>
      <c r="AA8047" s="33"/>
      <c r="AB8047" s="33"/>
      <c r="AC8047" s="33"/>
      <c r="AD8047" s="33"/>
      <c r="AE8047" s="33"/>
      <c r="AF8047" s="33"/>
      <c r="AG8047" s="33"/>
      <c r="AH8047" s="33"/>
      <c r="AI8047" s="33"/>
      <c r="AJ8047" s="33"/>
      <c r="AK8047" s="33"/>
    </row>
    <row r="8048">
      <c r="A8048" s="33"/>
      <c r="B8048" s="33"/>
      <c r="C8048" s="33"/>
      <c r="D8048" s="33"/>
      <c r="E8048" s="33"/>
      <c r="F8048" s="33"/>
      <c r="G8048" s="33"/>
      <c r="H8048" s="33"/>
      <c r="I8048" s="33"/>
      <c r="J8048" s="33"/>
      <c r="K8048" s="33"/>
      <c r="L8048" s="33"/>
      <c r="M8048" s="33"/>
      <c r="N8048" s="33"/>
      <c r="O8048" s="33"/>
      <c r="P8048" s="33"/>
      <c r="Q8048" s="33"/>
      <c r="R8048" s="33"/>
      <c r="S8048" s="33"/>
      <c r="T8048" s="33"/>
      <c r="U8048" s="33"/>
      <c r="V8048" s="33"/>
      <c r="W8048" s="33"/>
      <c r="X8048" s="33"/>
      <c r="Y8048" s="33"/>
      <c r="Z8048" s="33"/>
      <c r="AA8048" s="33"/>
      <c r="AB8048" s="33"/>
      <c r="AC8048" s="33"/>
      <c r="AD8048" s="33"/>
      <c r="AE8048" s="33"/>
      <c r="AF8048" s="33"/>
      <c r="AG8048" s="33"/>
      <c r="AH8048" s="33"/>
      <c r="AI8048" s="33"/>
      <c r="AJ8048" s="33"/>
      <c r="AK8048" s="33"/>
    </row>
    <row r="8049">
      <c r="A8049" s="33"/>
      <c r="B8049" s="33"/>
      <c r="C8049" s="33"/>
      <c r="D8049" s="33"/>
      <c r="E8049" s="33"/>
      <c r="F8049" s="33"/>
      <c r="G8049" s="33"/>
      <c r="H8049" s="33"/>
      <c r="I8049" s="33"/>
      <c r="J8049" s="33"/>
      <c r="K8049" s="33"/>
      <c r="L8049" s="33"/>
      <c r="M8049" s="33"/>
      <c r="N8049" s="33"/>
      <c r="O8049" s="33"/>
      <c r="P8049" s="33"/>
      <c r="Q8049" s="33"/>
      <c r="R8049" s="33"/>
      <c r="S8049" s="33"/>
      <c r="T8049" s="33"/>
      <c r="U8049" s="33"/>
      <c r="V8049" s="33"/>
      <c r="W8049" s="33"/>
      <c r="X8049" s="33"/>
      <c r="Y8049" s="33"/>
      <c r="Z8049" s="33"/>
      <c r="AA8049" s="33"/>
      <c r="AB8049" s="33"/>
      <c r="AC8049" s="33"/>
      <c r="AD8049" s="33"/>
      <c r="AE8049" s="33"/>
      <c r="AF8049" s="33"/>
      <c r="AG8049" s="33"/>
      <c r="AH8049" s="33"/>
      <c r="AI8049" s="33"/>
      <c r="AJ8049" s="33"/>
      <c r="AK8049" s="33"/>
    </row>
    <row r="8050">
      <c r="A8050" s="33"/>
      <c r="B8050" s="33"/>
      <c r="C8050" s="33"/>
      <c r="D8050" s="33"/>
      <c r="E8050" s="33"/>
      <c r="F8050" s="33"/>
      <c r="G8050" s="33"/>
      <c r="H8050" s="33"/>
      <c r="I8050" s="33"/>
      <c r="J8050" s="33"/>
      <c r="K8050" s="33"/>
      <c r="L8050" s="33"/>
      <c r="M8050" s="33"/>
      <c r="N8050" s="33"/>
      <c r="O8050" s="33"/>
      <c r="P8050" s="33"/>
      <c r="Q8050" s="33"/>
      <c r="R8050" s="33"/>
      <c r="S8050" s="33"/>
      <c r="T8050" s="33"/>
      <c r="U8050" s="33"/>
      <c r="V8050" s="33"/>
      <c r="W8050" s="33"/>
      <c r="X8050" s="33"/>
      <c r="Y8050" s="33"/>
      <c r="Z8050" s="33"/>
      <c r="AA8050" s="33"/>
      <c r="AB8050" s="33"/>
      <c r="AC8050" s="33"/>
      <c r="AD8050" s="33"/>
      <c r="AE8050" s="33"/>
      <c r="AF8050" s="33"/>
      <c r="AG8050" s="33"/>
      <c r="AH8050" s="33"/>
      <c r="AI8050" s="33"/>
      <c r="AJ8050" s="33"/>
      <c r="AK8050" s="33"/>
    </row>
    <row r="8051">
      <c r="A8051" s="33"/>
      <c r="B8051" s="33"/>
      <c r="C8051" s="33"/>
      <c r="D8051" s="33"/>
      <c r="E8051" s="33"/>
      <c r="F8051" s="33"/>
      <c r="G8051" s="33"/>
      <c r="H8051" s="33"/>
      <c r="I8051" s="33"/>
      <c r="J8051" s="33"/>
      <c r="K8051" s="33"/>
      <c r="L8051" s="33"/>
      <c r="M8051" s="33"/>
      <c r="N8051" s="33"/>
      <c r="O8051" s="33"/>
      <c r="P8051" s="33"/>
      <c r="Q8051" s="33"/>
      <c r="R8051" s="33"/>
      <c r="S8051" s="33"/>
      <c r="T8051" s="33"/>
      <c r="U8051" s="33"/>
      <c r="V8051" s="33"/>
      <c r="W8051" s="33"/>
      <c r="X8051" s="33"/>
      <c r="Y8051" s="33"/>
      <c r="Z8051" s="33"/>
      <c r="AA8051" s="33"/>
      <c r="AB8051" s="33"/>
      <c r="AC8051" s="33"/>
      <c r="AD8051" s="33"/>
      <c r="AE8051" s="33"/>
      <c r="AF8051" s="33"/>
      <c r="AG8051" s="33"/>
      <c r="AH8051" s="33"/>
      <c r="AI8051" s="33"/>
      <c r="AJ8051" s="33"/>
      <c r="AK8051" s="33"/>
    </row>
    <row r="8052">
      <c r="A8052" s="33"/>
      <c r="B8052" s="33"/>
      <c r="C8052" s="33"/>
      <c r="D8052" s="33"/>
      <c r="E8052" s="33"/>
      <c r="F8052" s="33"/>
      <c r="G8052" s="33"/>
      <c r="H8052" s="33"/>
      <c r="I8052" s="33"/>
      <c r="J8052" s="33"/>
      <c r="K8052" s="33"/>
      <c r="L8052" s="33"/>
      <c r="M8052" s="33"/>
      <c r="N8052" s="33"/>
      <c r="O8052" s="33"/>
      <c r="P8052" s="33"/>
      <c r="Q8052" s="33"/>
      <c r="R8052" s="33"/>
      <c r="S8052" s="33"/>
      <c r="T8052" s="33"/>
      <c r="U8052" s="33"/>
      <c r="V8052" s="33"/>
      <c r="W8052" s="33"/>
      <c r="X8052" s="33"/>
      <c r="Y8052" s="33"/>
      <c r="Z8052" s="33"/>
      <c r="AA8052" s="33"/>
      <c r="AB8052" s="33"/>
      <c r="AC8052" s="33"/>
      <c r="AD8052" s="33"/>
      <c r="AE8052" s="33"/>
      <c r="AF8052" s="33"/>
      <c r="AG8052" s="33"/>
      <c r="AH8052" s="33"/>
      <c r="AI8052" s="33"/>
      <c r="AJ8052" s="33"/>
      <c r="AK8052" s="33"/>
    </row>
    <row r="8053">
      <c r="A8053" s="33"/>
      <c r="B8053" s="33"/>
      <c r="C8053" s="33"/>
      <c r="D8053" s="33"/>
      <c r="E8053" s="33"/>
      <c r="F8053" s="33"/>
      <c r="G8053" s="33"/>
      <c r="H8053" s="33"/>
      <c r="I8053" s="33"/>
      <c r="J8053" s="33"/>
      <c r="K8053" s="33"/>
      <c r="L8053" s="33"/>
      <c r="M8053" s="33"/>
      <c r="N8053" s="33"/>
      <c r="O8053" s="33"/>
      <c r="P8053" s="33"/>
      <c r="Q8053" s="33"/>
      <c r="R8053" s="33"/>
      <c r="S8053" s="33"/>
      <c r="T8053" s="33"/>
      <c r="U8053" s="33"/>
      <c r="V8053" s="33"/>
      <c r="W8053" s="33"/>
      <c r="X8053" s="33"/>
      <c r="Y8053" s="33"/>
      <c r="Z8053" s="33"/>
      <c r="AA8053" s="33"/>
      <c r="AB8053" s="33"/>
      <c r="AC8053" s="33"/>
      <c r="AD8053" s="33"/>
      <c r="AE8053" s="33"/>
      <c r="AF8053" s="33"/>
      <c r="AG8053" s="33"/>
      <c r="AH8053" s="33"/>
      <c r="AI8053" s="33"/>
      <c r="AJ8053" s="33"/>
      <c r="AK8053" s="33"/>
    </row>
    <row r="8054">
      <c r="A8054" s="33"/>
      <c r="B8054" s="33"/>
      <c r="C8054" s="33"/>
      <c r="D8054" s="33"/>
      <c r="E8054" s="33"/>
      <c r="F8054" s="33"/>
      <c r="G8054" s="33"/>
      <c r="H8054" s="33"/>
      <c r="I8054" s="33"/>
      <c r="J8054" s="33"/>
      <c r="K8054" s="33"/>
      <c r="L8054" s="33"/>
      <c r="M8054" s="33"/>
      <c r="N8054" s="33"/>
      <c r="O8054" s="33"/>
      <c r="P8054" s="33"/>
      <c r="Q8054" s="33"/>
      <c r="R8054" s="33"/>
      <c r="S8054" s="33"/>
      <c r="T8054" s="33"/>
      <c r="U8054" s="33"/>
      <c r="V8054" s="33"/>
      <c r="W8054" s="33"/>
      <c r="X8054" s="33"/>
      <c r="Y8054" s="33"/>
      <c r="Z8054" s="33"/>
      <c r="AA8054" s="33"/>
      <c r="AB8054" s="33"/>
      <c r="AC8054" s="33"/>
      <c r="AD8054" s="33"/>
      <c r="AE8054" s="33"/>
      <c r="AF8054" s="33"/>
      <c r="AG8054" s="33"/>
      <c r="AH8054" s="33"/>
      <c r="AI8054" s="33"/>
      <c r="AJ8054" s="33"/>
      <c r="AK8054" s="33"/>
    </row>
    <row r="8055">
      <c r="A8055" s="33"/>
      <c r="B8055" s="33"/>
      <c r="C8055" s="33"/>
      <c r="D8055" s="33"/>
      <c r="E8055" s="33"/>
      <c r="F8055" s="33"/>
      <c r="G8055" s="33"/>
      <c r="H8055" s="33"/>
      <c r="I8055" s="33"/>
      <c r="J8055" s="33"/>
      <c r="K8055" s="33"/>
      <c r="L8055" s="33"/>
      <c r="M8055" s="33"/>
      <c r="N8055" s="33"/>
      <c r="O8055" s="33"/>
      <c r="P8055" s="33"/>
      <c r="Q8055" s="33"/>
      <c r="R8055" s="33"/>
      <c r="S8055" s="33"/>
      <c r="T8055" s="33"/>
      <c r="U8055" s="33"/>
      <c r="V8055" s="33"/>
      <c r="W8055" s="33"/>
      <c r="X8055" s="33"/>
      <c r="Y8055" s="33"/>
      <c r="Z8055" s="33"/>
      <c r="AA8055" s="33"/>
      <c r="AB8055" s="33"/>
      <c r="AC8055" s="33"/>
      <c r="AD8055" s="33"/>
      <c r="AE8055" s="33"/>
      <c r="AF8055" s="33"/>
      <c r="AG8055" s="33"/>
      <c r="AH8055" s="33"/>
      <c r="AI8055" s="33"/>
      <c r="AJ8055" s="33"/>
      <c r="AK8055" s="33"/>
    </row>
    <row r="8056">
      <c r="A8056" s="33"/>
      <c r="B8056" s="33"/>
      <c r="C8056" s="33"/>
      <c r="D8056" s="33"/>
      <c r="E8056" s="33"/>
      <c r="F8056" s="33"/>
      <c r="G8056" s="33"/>
      <c r="H8056" s="33"/>
      <c r="I8056" s="33"/>
      <c r="J8056" s="33"/>
      <c r="K8056" s="33"/>
      <c r="L8056" s="33"/>
      <c r="M8056" s="33"/>
      <c r="N8056" s="33"/>
      <c r="O8056" s="33"/>
      <c r="P8056" s="33"/>
      <c r="Q8056" s="33"/>
      <c r="R8056" s="33"/>
      <c r="S8056" s="33"/>
      <c r="T8056" s="33"/>
      <c r="U8056" s="33"/>
      <c r="V8056" s="33"/>
      <c r="W8056" s="33"/>
      <c r="X8056" s="33"/>
      <c r="Y8056" s="33"/>
      <c r="Z8056" s="33"/>
      <c r="AA8056" s="33"/>
      <c r="AB8056" s="33"/>
      <c r="AC8056" s="33"/>
      <c r="AD8056" s="33"/>
      <c r="AE8056" s="33"/>
      <c r="AF8056" s="33"/>
      <c r="AG8056" s="33"/>
      <c r="AH8056" s="33"/>
      <c r="AI8056" s="33"/>
      <c r="AJ8056" s="33"/>
      <c r="AK8056" s="33"/>
    </row>
    <row r="8057">
      <c r="A8057" s="33"/>
      <c r="B8057" s="33"/>
      <c r="C8057" s="33"/>
      <c r="D8057" s="33"/>
      <c r="E8057" s="33"/>
      <c r="F8057" s="33"/>
      <c r="G8057" s="33"/>
      <c r="H8057" s="33"/>
      <c r="I8057" s="33"/>
      <c r="J8057" s="33"/>
      <c r="K8057" s="33"/>
      <c r="L8057" s="33"/>
      <c r="M8057" s="33"/>
      <c r="N8057" s="33"/>
      <c r="O8057" s="33"/>
      <c r="P8057" s="33"/>
      <c r="Q8057" s="33"/>
      <c r="R8057" s="33"/>
      <c r="S8057" s="33"/>
      <c r="T8057" s="33"/>
      <c r="U8057" s="33"/>
      <c r="V8057" s="33"/>
      <c r="W8057" s="33"/>
      <c r="X8057" s="33"/>
      <c r="Y8057" s="33"/>
      <c r="Z8057" s="33"/>
      <c r="AA8057" s="33"/>
      <c r="AB8057" s="33"/>
      <c r="AC8057" s="33"/>
      <c r="AD8057" s="33"/>
      <c r="AE8057" s="33"/>
      <c r="AF8057" s="33"/>
      <c r="AG8057" s="33"/>
      <c r="AH8057" s="33"/>
      <c r="AI8057" s="33"/>
      <c r="AJ8057" s="33"/>
      <c r="AK8057" s="33"/>
    </row>
    <row r="8058">
      <c r="A8058" s="33"/>
      <c r="B8058" s="33"/>
      <c r="C8058" s="33"/>
      <c r="D8058" s="33"/>
      <c r="E8058" s="33"/>
      <c r="F8058" s="33"/>
      <c r="G8058" s="33"/>
      <c r="H8058" s="33"/>
      <c r="I8058" s="33"/>
      <c r="J8058" s="33"/>
      <c r="K8058" s="33"/>
      <c r="L8058" s="33"/>
      <c r="M8058" s="33"/>
      <c r="N8058" s="33"/>
      <c r="O8058" s="33"/>
      <c r="P8058" s="33"/>
      <c r="Q8058" s="33"/>
      <c r="R8058" s="33"/>
      <c r="S8058" s="33"/>
      <c r="T8058" s="33"/>
      <c r="U8058" s="33"/>
      <c r="V8058" s="33"/>
      <c r="W8058" s="33"/>
      <c r="X8058" s="33"/>
      <c r="Y8058" s="33"/>
      <c r="Z8058" s="33"/>
      <c r="AA8058" s="33"/>
      <c r="AB8058" s="33"/>
      <c r="AC8058" s="33"/>
      <c r="AD8058" s="33"/>
      <c r="AE8058" s="33"/>
      <c r="AF8058" s="33"/>
      <c r="AG8058" s="33"/>
      <c r="AH8058" s="33"/>
      <c r="AI8058" s="33"/>
      <c r="AJ8058" s="33"/>
      <c r="AK8058" s="33"/>
    </row>
    <row r="8059">
      <c r="A8059" s="33"/>
      <c r="B8059" s="33"/>
      <c r="C8059" s="33"/>
      <c r="D8059" s="33"/>
      <c r="E8059" s="33"/>
      <c r="F8059" s="33"/>
      <c r="G8059" s="33"/>
      <c r="H8059" s="33"/>
      <c r="I8059" s="33"/>
      <c r="J8059" s="33"/>
      <c r="K8059" s="33"/>
      <c r="L8059" s="33"/>
      <c r="M8059" s="33"/>
      <c r="N8059" s="33"/>
      <c r="O8059" s="33"/>
      <c r="P8059" s="33"/>
      <c r="Q8059" s="33"/>
      <c r="R8059" s="33"/>
      <c r="S8059" s="33"/>
      <c r="T8059" s="33"/>
      <c r="U8059" s="33"/>
      <c r="V8059" s="33"/>
      <c r="W8059" s="33"/>
      <c r="X8059" s="33"/>
      <c r="Y8059" s="33"/>
      <c r="Z8059" s="33"/>
      <c r="AA8059" s="33"/>
      <c r="AB8059" s="33"/>
      <c r="AC8059" s="33"/>
      <c r="AD8059" s="33"/>
      <c r="AE8059" s="33"/>
      <c r="AF8059" s="33"/>
      <c r="AG8059" s="33"/>
      <c r="AH8059" s="33"/>
      <c r="AI8059" s="33"/>
      <c r="AJ8059" s="33"/>
      <c r="AK8059" s="33"/>
    </row>
    <row r="8060">
      <c r="A8060" s="33"/>
      <c r="B8060" s="33"/>
      <c r="C8060" s="33"/>
      <c r="D8060" s="33"/>
      <c r="E8060" s="33"/>
      <c r="F8060" s="33"/>
      <c r="G8060" s="33"/>
      <c r="H8060" s="33"/>
      <c r="I8060" s="33"/>
      <c r="J8060" s="33"/>
      <c r="K8060" s="33"/>
      <c r="L8060" s="33"/>
      <c r="M8060" s="33"/>
      <c r="N8060" s="33"/>
      <c r="O8060" s="33"/>
      <c r="P8060" s="33"/>
      <c r="Q8060" s="33"/>
      <c r="R8060" s="33"/>
      <c r="S8060" s="33"/>
      <c r="T8060" s="33"/>
      <c r="U8060" s="33"/>
      <c r="V8060" s="33"/>
      <c r="W8060" s="33"/>
      <c r="X8060" s="33"/>
      <c r="Y8060" s="33"/>
      <c r="Z8060" s="33"/>
      <c r="AA8060" s="33"/>
      <c r="AB8060" s="33"/>
      <c r="AC8060" s="33"/>
      <c r="AD8060" s="33"/>
      <c r="AE8060" s="33"/>
      <c r="AF8060" s="33"/>
      <c r="AG8060" s="33"/>
      <c r="AH8060" s="33"/>
      <c r="AI8060" s="33"/>
      <c r="AJ8060" s="33"/>
      <c r="AK8060" s="33"/>
    </row>
    <row r="8061">
      <c r="A8061" s="33"/>
      <c r="B8061" s="33"/>
      <c r="C8061" s="33"/>
      <c r="D8061" s="33"/>
      <c r="E8061" s="33"/>
      <c r="F8061" s="33"/>
      <c r="G8061" s="33"/>
      <c r="H8061" s="33"/>
      <c r="I8061" s="33"/>
      <c r="J8061" s="33"/>
      <c r="K8061" s="33"/>
      <c r="L8061" s="33"/>
      <c r="M8061" s="33"/>
      <c r="N8061" s="33"/>
      <c r="O8061" s="33"/>
      <c r="P8061" s="33"/>
      <c r="Q8061" s="33"/>
      <c r="R8061" s="33"/>
      <c r="S8061" s="33"/>
      <c r="T8061" s="33"/>
      <c r="U8061" s="33"/>
      <c r="V8061" s="33"/>
      <c r="W8061" s="33"/>
      <c r="X8061" s="33"/>
      <c r="Y8061" s="33"/>
      <c r="Z8061" s="33"/>
      <c r="AA8061" s="33"/>
      <c r="AB8061" s="33"/>
      <c r="AC8061" s="33"/>
      <c r="AD8061" s="33"/>
      <c r="AE8061" s="33"/>
      <c r="AF8061" s="33"/>
      <c r="AG8061" s="33"/>
      <c r="AH8061" s="33"/>
      <c r="AI8061" s="33"/>
      <c r="AJ8061" s="33"/>
      <c r="AK8061" s="33"/>
    </row>
    <row r="8062">
      <c r="A8062" s="33"/>
      <c r="B8062" s="33"/>
      <c r="C8062" s="33"/>
      <c r="D8062" s="33"/>
      <c r="E8062" s="33"/>
      <c r="F8062" s="33"/>
      <c r="G8062" s="33"/>
      <c r="H8062" s="33"/>
      <c r="I8062" s="33"/>
      <c r="J8062" s="33"/>
      <c r="K8062" s="33"/>
      <c r="L8062" s="33"/>
      <c r="M8062" s="33"/>
      <c r="N8062" s="33"/>
      <c r="O8062" s="33"/>
      <c r="P8062" s="33"/>
      <c r="Q8062" s="33"/>
      <c r="R8062" s="33"/>
      <c r="S8062" s="33"/>
      <c r="T8062" s="33"/>
      <c r="U8062" s="33"/>
      <c r="V8062" s="33"/>
      <c r="W8062" s="33"/>
      <c r="X8062" s="33"/>
      <c r="Y8062" s="33"/>
      <c r="Z8062" s="33"/>
      <c r="AA8062" s="33"/>
      <c r="AB8062" s="33"/>
      <c r="AC8062" s="33"/>
      <c r="AD8062" s="33"/>
      <c r="AE8062" s="33"/>
      <c r="AF8062" s="33"/>
      <c r="AG8062" s="33"/>
      <c r="AH8062" s="33"/>
      <c r="AI8062" s="33"/>
      <c r="AJ8062" s="33"/>
      <c r="AK8062" s="33"/>
    </row>
    <row r="8063">
      <c r="A8063" s="33"/>
      <c r="B8063" s="33"/>
      <c r="C8063" s="33"/>
      <c r="D8063" s="33"/>
      <c r="E8063" s="33"/>
      <c r="F8063" s="33"/>
      <c r="G8063" s="33"/>
      <c r="H8063" s="33"/>
      <c r="I8063" s="33"/>
      <c r="J8063" s="33"/>
      <c r="K8063" s="33"/>
      <c r="L8063" s="33"/>
      <c r="M8063" s="33"/>
      <c r="N8063" s="33"/>
      <c r="O8063" s="33"/>
      <c r="P8063" s="33"/>
      <c r="Q8063" s="33"/>
      <c r="R8063" s="33"/>
      <c r="S8063" s="33"/>
      <c r="T8063" s="33"/>
      <c r="U8063" s="33"/>
      <c r="V8063" s="33"/>
      <c r="W8063" s="33"/>
      <c r="X8063" s="33"/>
      <c r="Y8063" s="33"/>
      <c r="Z8063" s="33"/>
      <c r="AA8063" s="33"/>
      <c r="AB8063" s="33"/>
      <c r="AC8063" s="33"/>
      <c r="AD8063" s="33"/>
      <c r="AE8063" s="33"/>
      <c r="AF8063" s="33"/>
      <c r="AG8063" s="33"/>
      <c r="AH8063" s="33"/>
      <c r="AI8063" s="33"/>
      <c r="AJ8063" s="33"/>
      <c r="AK8063" s="33"/>
    </row>
    <row r="8064">
      <c r="A8064" s="33"/>
      <c r="B8064" s="33"/>
      <c r="C8064" s="33"/>
      <c r="D8064" s="33"/>
      <c r="E8064" s="33"/>
      <c r="F8064" s="33"/>
      <c r="G8064" s="33"/>
      <c r="H8064" s="33"/>
      <c r="I8064" s="33"/>
      <c r="J8064" s="33"/>
      <c r="K8064" s="33"/>
      <c r="L8064" s="33"/>
      <c r="M8064" s="33"/>
      <c r="N8064" s="33"/>
      <c r="O8064" s="33"/>
      <c r="P8064" s="33"/>
      <c r="Q8064" s="33"/>
      <c r="R8064" s="33"/>
      <c r="S8064" s="33"/>
      <c r="T8064" s="33"/>
      <c r="U8064" s="33"/>
      <c r="V8064" s="33"/>
      <c r="W8064" s="33"/>
      <c r="X8064" s="33"/>
      <c r="Y8064" s="33"/>
      <c r="Z8064" s="33"/>
      <c r="AA8064" s="33"/>
      <c r="AB8064" s="33"/>
      <c r="AC8064" s="33"/>
      <c r="AD8064" s="33"/>
      <c r="AE8064" s="33"/>
      <c r="AF8064" s="33"/>
      <c r="AG8064" s="33"/>
      <c r="AH8064" s="33"/>
      <c r="AI8064" s="33"/>
      <c r="AJ8064" s="33"/>
      <c r="AK8064" s="33"/>
    </row>
    <row r="8065">
      <c r="A8065" s="33"/>
      <c r="B8065" s="33"/>
      <c r="C8065" s="33"/>
      <c r="D8065" s="33"/>
      <c r="E8065" s="33"/>
      <c r="F8065" s="33"/>
      <c r="G8065" s="33"/>
      <c r="H8065" s="33"/>
      <c r="I8065" s="33"/>
      <c r="J8065" s="33"/>
      <c r="K8065" s="33"/>
      <c r="L8065" s="33"/>
      <c r="M8065" s="33"/>
      <c r="N8065" s="33"/>
      <c r="O8065" s="33"/>
      <c r="P8065" s="33"/>
      <c r="Q8065" s="33"/>
      <c r="R8065" s="33"/>
      <c r="S8065" s="33"/>
      <c r="T8065" s="33"/>
      <c r="U8065" s="33"/>
      <c r="V8065" s="33"/>
      <c r="W8065" s="33"/>
      <c r="X8065" s="33"/>
      <c r="Y8065" s="33"/>
      <c r="Z8065" s="33"/>
      <c r="AA8065" s="33"/>
      <c r="AB8065" s="33"/>
      <c r="AC8065" s="33"/>
      <c r="AD8065" s="33"/>
      <c r="AE8065" s="33"/>
      <c r="AF8065" s="33"/>
      <c r="AG8065" s="33"/>
      <c r="AH8065" s="33"/>
      <c r="AI8065" s="33"/>
      <c r="AJ8065" s="33"/>
      <c r="AK8065" s="33"/>
    </row>
    <row r="8066">
      <c r="A8066" s="33"/>
      <c r="B8066" s="33"/>
      <c r="C8066" s="33"/>
      <c r="D8066" s="33"/>
      <c r="E8066" s="33"/>
      <c r="F8066" s="33"/>
      <c r="G8066" s="33"/>
      <c r="H8066" s="33"/>
      <c r="I8066" s="33"/>
      <c r="J8066" s="33"/>
      <c r="K8066" s="33"/>
      <c r="L8066" s="33"/>
      <c r="M8066" s="33"/>
      <c r="N8066" s="33"/>
      <c r="O8066" s="33"/>
      <c r="P8066" s="33"/>
      <c r="Q8066" s="33"/>
      <c r="R8066" s="33"/>
      <c r="S8066" s="33"/>
      <c r="T8066" s="33"/>
      <c r="U8066" s="33"/>
      <c r="V8066" s="33"/>
      <c r="W8066" s="33"/>
      <c r="X8066" s="33"/>
      <c r="Y8066" s="33"/>
      <c r="Z8066" s="33"/>
      <c r="AA8066" s="33"/>
      <c r="AB8066" s="33"/>
      <c r="AC8066" s="33"/>
      <c r="AD8066" s="33"/>
      <c r="AE8066" s="33"/>
      <c r="AF8066" s="33"/>
      <c r="AG8066" s="33"/>
      <c r="AH8066" s="33"/>
      <c r="AI8066" s="33"/>
      <c r="AJ8066" s="33"/>
      <c r="AK8066" s="33"/>
    </row>
    <row r="8067">
      <c r="A8067" s="33"/>
      <c r="B8067" s="33"/>
      <c r="C8067" s="33"/>
      <c r="D8067" s="33"/>
      <c r="E8067" s="33"/>
      <c r="F8067" s="33"/>
      <c r="G8067" s="33"/>
      <c r="H8067" s="33"/>
      <c r="I8067" s="33"/>
      <c r="J8067" s="33"/>
      <c r="K8067" s="33"/>
      <c r="L8067" s="33"/>
      <c r="M8067" s="33"/>
      <c r="N8067" s="33"/>
      <c r="O8067" s="33"/>
      <c r="P8067" s="33"/>
      <c r="Q8067" s="33"/>
      <c r="R8067" s="33"/>
      <c r="S8067" s="33"/>
      <c r="T8067" s="33"/>
      <c r="U8067" s="33"/>
      <c r="V8067" s="33"/>
      <c r="W8067" s="33"/>
      <c r="X8067" s="33"/>
      <c r="Y8067" s="33"/>
      <c r="Z8067" s="33"/>
      <c r="AA8067" s="33"/>
      <c r="AB8067" s="33"/>
      <c r="AC8067" s="33"/>
      <c r="AD8067" s="33"/>
      <c r="AE8067" s="33"/>
      <c r="AF8067" s="33"/>
      <c r="AG8067" s="33"/>
      <c r="AH8067" s="33"/>
      <c r="AI8067" s="33"/>
      <c r="AJ8067" s="33"/>
      <c r="AK8067" s="33"/>
    </row>
    <row r="8068">
      <c r="A8068" s="33"/>
      <c r="B8068" s="33"/>
      <c r="C8068" s="33"/>
      <c r="D8068" s="33"/>
      <c r="E8068" s="33"/>
      <c r="F8068" s="33"/>
      <c r="G8068" s="33"/>
      <c r="H8068" s="33"/>
      <c r="I8068" s="33"/>
      <c r="J8068" s="33"/>
      <c r="K8068" s="33"/>
      <c r="L8068" s="33"/>
      <c r="M8068" s="33"/>
      <c r="N8068" s="33"/>
      <c r="O8068" s="33"/>
      <c r="P8068" s="33"/>
      <c r="Q8068" s="33"/>
      <c r="R8068" s="33"/>
      <c r="S8068" s="33"/>
      <c r="T8068" s="33"/>
      <c r="U8068" s="33"/>
      <c r="V8068" s="33"/>
      <c r="W8068" s="33"/>
      <c r="X8068" s="33"/>
      <c r="Y8068" s="33"/>
      <c r="Z8068" s="33"/>
      <c r="AA8068" s="33"/>
      <c r="AB8068" s="33"/>
      <c r="AC8068" s="33"/>
      <c r="AD8068" s="33"/>
      <c r="AE8068" s="33"/>
      <c r="AF8068" s="33"/>
      <c r="AG8068" s="33"/>
      <c r="AH8068" s="33"/>
      <c r="AI8068" s="33"/>
      <c r="AJ8068" s="33"/>
      <c r="AK8068" s="33"/>
    </row>
    <row r="8069">
      <c r="A8069" s="33"/>
      <c r="B8069" s="33"/>
      <c r="C8069" s="33"/>
      <c r="D8069" s="33"/>
      <c r="E8069" s="33"/>
      <c r="F8069" s="33"/>
      <c r="G8069" s="33"/>
      <c r="H8069" s="33"/>
      <c r="I8069" s="33"/>
      <c r="J8069" s="33"/>
      <c r="K8069" s="33"/>
      <c r="L8069" s="33"/>
      <c r="M8069" s="33"/>
      <c r="N8069" s="33"/>
      <c r="O8069" s="33"/>
      <c r="P8069" s="33"/>
      <c r="Q8069" s="33"/>
      <c r="R8069" s="33"/>
      <c r="S8069" s="33"/>
      <c r="T8069" s="33"/>
      <c r="U8069" s="33"/>
      <c r="V8069" s="33"/>
      <c r="W8069" s="33"/>
      <c r="X8069" s="33"/>
      <c r="Y8069" s="33"/>
      <c r="Z8069" s="33"/>
      <c r="AA8069" s="33"/>
      <c r="AB8069" s="33"/>
      <c r="AC8069" s="33"/>
      <c r="AD8069" s="33"/>
      <c r="AE8069" s="33"/>
      <c r="AF8069" s="33"/>
      <c r="AG8069" s="33"/>
      <c r="AH8069" s="33"/>
      <c r="AI8069" s="33"/>
      <c r="AJ8069" s="33"/>
      <c r="AK8069" s="33"/>
    </row>
    <row r="8070">
      <c r="A8070" s="33"/>
      <c r="B8070" s="33"/>
      <c r="C8070" s="33"/>
      <c r="D8070" s="33"/>
      <c r="E8070" s="33"/>
      <c r="F8070" s="33"/>
      <c r="G8070" s="33"/>
      <c r="H8070" s="33"/>
      <c r="I8070" s="33"/>
      <c r="J8070" s="33"/>
      <c r="K8070" s="33"/>
      <c r="L8070" s="33"/>
      <c r="M8070" s="33"/>
      <c r="N8070" s="33"/>
      <c r="O8070" s="33"/>
      <c r="P8070" s="33"/>
      <c r="Q8070" s="33"/>
      <c r="R8070" s="33"/>
      <c r="S8070" s="33"/>
      <c r="T8070" s="33"/>
      <c r="U8070" s="33"/>
      <c r="V8070" s="33"/>
      <c r="W8070" s="33"/>
      <c r="X8070" s="33"/>
      <c r="Y8070" s="33"/>
      <c r="Z8070" s="33"/>
      <c r="AA8070" s="33"/>
      <c r="AB8070" s="33"/>
      <c r="AC8070" s="33"/>
      <c r="AD8070" s="33"/>
      <c r="AE8070" s="33"/>
      <c r="AF8070" s="33"/>
      <c r="AG8070" s="33"/>
      <c r="AH8070" s="33"/>
      <c r="AI8070" s="33"/>
      <c r="AJ8070" s="33"/>
      <c r="AK8070" s="33"/>
    </row>
    <row r="8071">
      <c r="A8071" s="33"/>
      <c r="B8071" s="33"/>
      <c r="C8071" s="33"/>
      <c r="D8071" s="33"/>
      <c r="E8071" s="33"/>
      <c r="F8071" s="33"/>
      <c r="G8071" s="33"/>
      <c r="H8071" s="33"/>
      <c r="I8071" s="33"/>
      <c r="J8071" s="33"/>
      <c r="K8071" s="33"/>
      <c r="L8071" s="33"/>
      <c r="M8071" s="33"/>
      <c r="N8071" s="33"/>
      <c r="O8071" s="33"/>
      <c r="P8071" s="33"/>
      <c r="Q8071" s="33"/>
      <c r="R8071" s="33"/>
      <c r="S8071" s="33"/>
      <c r="T8071" s="33"/>
      <c r="U8071" s="33"/>
      <c r="V8071" s="33"/>
      <c r="W8071" s="33"/>
      <c r="X8071" s="33"/>
      <c r="Y8071" s="33"/>
      <c r="Z8071" s="33"/>
      <c r="AA8071" s="33"/>
      <c r="AB8071" s="33"/>
      <c r="AC8071" s="33"/>
      <c r="AD8071" s="33"/>
      <c r="AE8071" s="33"/>
      <c r="AF8071" s="33"/>
      <c r="AG8071" s="33"/>
      <c r="AH8071" s="33"/>
      <c r="AI8071" s="33"/>
      <c r="AJ8071" s="33"/>
      <c r="AK8071" s="33"/>
    </row>
    <row r="8072">
      <c r="A8072" s="33"/>
      <c r="B8072" s="33"/>
      <c r="C8072" s="33"/>
      <c r="D8072" s="33"/>
      <c r="E8072" s="33"/>
      <c r="F8072" s="33"/>
      <c r="G8072" s="33"/>
      <c r="H8072" s="33"/>
      <c r="I8072" s="33"/>
      <c r="J8072" s="33"/>
      <c r="K8072" s="33"/>
      <c r="L8072" s="33"/>
      <c r="M8072" s="33"/>
      <c r="N8072" s="33"/>
      <c r="O8072" s="33"/>
      <c r="P8072" s="33"/>
      <c r="Q8072" s="33"/>
      <c r="R8072" s="33"/>
      <c r="S8072" s="33"/>
      <c r="T8072" s="33"/>
      <c r="U8072" s="33"/>
      <c r="V8072" s="33"/>
      <c r="W8072" s="33"/>
      <c r="X8072" s="33"/>
      <c r="Y8072" s="33"/>
      <c r="Z8072" s="33"/>
      <c r="AA8072" s="33"/>
      <c r="AB8072" s="33"/>
      <c r="AC8072" s="33"/>
      <c r="AD8072" s="33"/>
      <c r="AE8072" s="33"/>
      <c r="AF8072" s="33"/>
      <c r="AG8072" s="33"/>
      <c r="AH8072" s="33"/>
      <c r="AI8072" s="33"/>
      <c r="AJ8072" s="33"/>
      <c r="AK8072" s="33"/>
    </row>
    <row r="8073">
      <c r="A8073" s="33"/>
      <c r="B8073" s="33"/>
      <c r="C8073" s="33"/>
      <c r="D8073" s="33"/>
      <c r="E8073" s="33"/>
      <c r="F8073" s="33"/>
      <c r="G8073" s="33"/>
      <c r="H8073" s="33"/>
      <c r="I8073" s="33"/>
      <c r="J8073" s="33"/>
      <c r="K8073" s="33"/>
      <c r="L8073" s="33"/>
      <c r="M8073" s="33"/>
      <c r="N8073" s="33"/>
      <c r="O8073" s="33"/>
      <c r="P8073" s="33"/>
      <c r="Q8073" s="33"/>
      <c r="R8073" s="33"/>
      <c r="S8073" s="33"/>
      <c r="T8073" s="33"/>
      <c r="U8073" s="33"/>
      <c r="V8073" s="33"/>
      <c r="W8073" s="33"/>
      <c r="X8073" s="33"/>
      <c r="Y8073" s="33"/>
      <c r="Z8073" s="33"/>
      <c r="AA8073" s="33"/>
      <c r="AB8073" s="33"/>
      <c r="AC8073" s="33"/>
      <c r="AD8073" s="33"/>
      <c r="AE8073" s="33"/>
      <c r="AF8073" s="33"/>
      <c r="AG8073" s="33"/>
      <c r="AH8073" s="33"/>
      <c r="AI8073" s="33"/>
      <c r="AJ8073" s="33"/>
      <c r="AK8073" s="33"/>
    </row>
    <row r="8074">
      <c r="A8074" s="33"/>
      <c r="B8074" s="33"/>
      <c r="C8074" s="33"/>
      <c r="D8074" s="33"/>
      <c r="E8074" s="33"/>
      <c r="F8074" s="33"/>
      <c r="G8074" s="33"/>
      <c r="H8074" s="33"/>
      <c r="I8074" s="33"/>
      <c r="J8074" s="33"/>
      <c r="K8074" s="33"/>
      <c r="L8074" s="33"/>
      <c r="M8074" s="33"/>
      <c r="N8074" s="33"/>
      <c r="O8074" s="33"/>
      <c r="P8074" s="33"/>
      <c r="Q8074" s="33"/>
      <c r="R8074" s="33"/>
      <c r="S8074" s="33"/>
      <c r="T8074" s="33"/>
      <c r="U8074" s="33"/>
      <c r="V8074" s="33"/>
      <c r="W8074" s="33"/>
      <c r="X8074" s="33"/>
      <c r="Y8074" s="33"/>
      <c r="Z8074" s="33"/>
      <c r="AA8074" s="33"/>
      <c r="AB8074" s="33"/>
      <c r="AC8074" s="33"/>
      <c r="AD8074" s="33"/>
      <c r="AE8074" s="33"/>
      <c r="AF8074" s="33"/>
      <c r="AG8074" s="33"/>
      <c r="AH8074" s="33"/>
      <c r="AI8074" s="33"/>
      <c r="AJ8074" s="33"/>
      <c r="AK8074" s="33"/>
    </row>
    <row r="8075">
      <c r="A8075" s="33"/>
      <c r="B8075" s="33"/>
      <c r="C8075" s="33"/>
      <c r="D8075" s="33"/>
      <c r="E8075" s="33"/>
      <c r="F8075" s="33"/>
      <c r="G8075" s="33"/>
      <c r="H8075" s="33"/>
      <c r="I8075" s="33"/>
      <c r="J8075" s="33"/>
      <c r="K8075" s="33"/>
      <c r="L8075" s="33"/>
      <c r="M8075" s="33"/>
      <c r="N8075" s="33"/>
      <c r="O8075" s="33"/>
      <c r="P8075" s="33"/>
      <c r="Q8075" s="33"/>
      <c r="R8075" s="33"/>
      <c r="S8075" s="33"/>
      <c r="T8075" s="33"/>
      <c r="U8075" s="33"/>
      <c r="V8075" s="33"/>
      <c r="W8075" s="33"/>
      <c r="X8075" s="33"/>
      <c r="Y8075" s="33"/>
      <c r="Z8075" s="33"/>
      <c r="AA8075" s="33"/>
      <c r="AB8075" s="33"/>
      <c r="AC8075" s="33"/>
      <c r="AD8075" s="33"/>
      <c r="AE8075" s="33"/>
      <c r="AF8075" s="33"/>
      <c r="AG8075" s="33"/>
      <c r="AH8075" s="33"/>
      <c r="AI8075" s="33"/>
      <c r="AJ8075" s="33"/>
      <c r="AK8075" s="33"/>
    </row>
    <row r="8076">
      <c r="A8076" s="33"/>
      <c r="B8076" s="33"/>
      <c r="C8076" s="33"/>
      <c r="D8076" s="33"/>
      <c r="E8076" s="33"/>
      <c r="F8076" s="33"/>
      <c r="G8076" s="33"/>
      <c r="H8076" s="33"/>
      <c r="I8076" s="33"/>
      <c r="J8076" s="33"/>
      <c r="K8076" s="33"/>
      <c r="L8076" s="33"/>
      <c r="M8076" s="33"/>
      <c r="N8076" s="33"/>
      <c r="O8076" s="33"/>
      <c r="P8076" s="33"/>
      <c r="Q8076" s="33"/>
      <c r="R8076" s="33"/>
      <c r="S8076" s="33"/>
      <c r="T8076" s="33"/>
      <c r="U8076" s="33"/>
      <c r="V8076" s="33"/>
      <c r="W8076" s="33"/>
      <c r="X8076" s="33"/>
      <c r="Y8076" s="33"/>
      <c r="Z8076" s="33"/>
      <c r="AA8076" s="33"/>
      <c r="AB8076" s="33"/>
      <c r="AC8076" s="33"/>
      <c r="AD8076" s="33"/>
      <c r="AE8076" s="33"/>
      <c r="AF8076" s="33"/>
      <c r="AG8076" s="33"/>
      <c r="AH8076" s="33"/>
      <c r="AI8076" s="33"/>
      <c r="AJ8076" s="33"/>
      <c r="AK8076" s="33"/>
    </row>
    <row r="8077">
      <c r="A8077" s="33"/>
      <c r="B8077" s="33"/>
      <c r="C8077" s="33"/>
      <c r="D8077" s="33"/>
      <c r="E8077" s="33"/>
      <c r="F8077" s="33"/>
      <c r="G8077" s="33"/>
      <c r="H8077" s="33"/>
      <c r="I8077" s="33"/>
      <c r="J8077" s="33"/>
      <c r="K8077" s="33"/>
      <c r="L8077" s="33"/>
      <c r="M8077" s="33"/>
      <c r="N8077" s="33"/>
      <c r="O8077" s="33"/>
      <c r="P8077" s="33"/>
      <c r="Q8077" s="33"/>
      <c r="R8077" s="33"/>
      <c r="S8077" s="33"/>
      <c r="T8077" s="33"/>
      <c r="U8077" s="33"/>
      <c r="V8077" s="33"/>
      <c r="W8077" s="33"/>
      <c r="X8077" s="33"/>
      <c r="Y8077" s="33"/>
      <c r="Z8077" s="33"/>
      <c r="AA8077" s="33"/>
      <c r="AB8077" s="33"/>
      <c r="AC8077" s="33"/>
      <c r="AD8077" s="33"/>
      <c r="AE8077" s="33"/>
      <c r="AF8077" s="33"/>
      <c r="AG8077" s="33"/>
      <c r="AH8077" s="33"/>
      <c r="AI8077" s="33"/>
      <c r="AJ8077" s="33"/>
      <c r="AK8077" s="33"/>
    </row>
    <row r="8078">
      <c r="A8078" s="33"/>
      <c r="B8078" s="33"/>
      <c r="C8078" s="33"/>
      <c r="D8078" s="33"/>
      <c r="E8078" s="33"/>
      <c r="F8078" s="33"/>
      <c r="G8078" s="33"/>
      <c r="H8078" s="33"/>
      <c r="I8078" s="33"/>
      <c r="J8078" s="33"/>
      <c r="K8078" s="33"/>
      <c r="L8078" s="33"/>
      <c r="M8078" s="33"/>
      <c r="N8078" s="33"/>
      <c r="O8078" s="33"/>
      <c r="P8078" s="33"/>
      <c r="Q8078" s="33"/>
      <c r="R8078" s="33"/>
      <c r="S8078" s="33"/>
      <c r="T8078" s="33"/>
      <c r="U8078" s="33"/>
      <c r="V8078" s="33"/>
      <c r="W8078" s="33"/>
      <c r="X8078" s="33"/>
      <c r="Y8078" s="33"/>
      <c r="Z8078" s="33"/>
      <c r="AA8078" s="33"/>
      <c r="AB8078" s="33"/>
      <c r="AC8078" s="33"/>
      <c r="AD8078" s="33"/>
      <c r="AE8078" s="33"/>
      <c r="AF8078" s="33"/>
      <c r="AG8078" s="33"/>
      <c r="AH8078" s="33"/>
      <c r="AI8078" s="33"/>
      <c r="AJ8078" s="33"/>
      <c r="AK8078" s="33"/>
    </row>
    <row r="8079">
      <c r="A8079" s="33"/>
      <c r="B8079" s="33"/>
      <c r="C8079" s="33"/>
      <c r="D8079" s="33"/>
      <c r="E8079" s="33"/>
      <c r="F8079" s="33"/>
      <c r="G8079" s="33"/>
      <c r="H8079" s="33"/>
      <c r="I8079" s="33"/>
      <c r="J8079" s="33"/>
      <c r="K8079" s="33"/>
      <c r="L8079" s="33"/>
      <c r="M8079" s="33"/>
      <c r="N8079" s="33"/>
      <c r="O8079" s="33"/>
      <c r="P8079" s="33"/>
      <c r="Q8079" s="33"/>
      <c r="R8079" s="33"/>
      <c r="S8079" s="33"/>
      <c r="T8079" s="33"/>
      <c r="U8079" s="33"/>
      <c r="V8079" s="33"/>
      <c r="W8079" s="33"/>
      <c r="X8079" s="33"/>
      <c r="Y8079" s="33"/>
      <c r="Z8079" s="33"/>
      <c r="AA8079" s="33"/>
      <c r="AB8079" s="33"/>
      <c r="AC8079" s="33"/>
      <c r="AD8079" s="33"/>
      <c r="AE8079" s="33"/>
      <c r="AF8079" s="33"/>
      <c r="AG8079" s="33"/>
      <c r="AH8079" s="33"/>
      <c r="AI8079" s="33"/>
      <c r="AJ8079" s="33"/>
      <c r="AK8079" s="33"/>
    </row>
    <row r="8080">
      <c r="A8080" s="33"/>
      <c r="B8080" s="33"/>
      <c r="C8080" s="33"/>
      <c r="D8080" s="33"/>
      <c r="E8080" s="33"/>
      <c r="F8080" s="33"/>
      <c r="G8080" s="33"/>
      <c r="H8080" s="33"/>
      <c r="I8080" s="33"/>
      <c r="J8080" s="33"/>
      <c r="K8080" s="33"/>
      <c r="L8080" s="33"/>
      <c r="M8080" s="33"/>
      <c r="N8080" s="33"/>
      <c r="O8080" s="33"/>
      <c r="P8080" s="33"/>
      <c r="Q8080" s="33"/>
      <c r="R8080" s="33"/>
      <c r="S8080" s="33"/>
      <c r="T8080" s="33"/>
      <c r="U8080" s="33"/>
      <c r="V8080" s="33"/>
      <c r="W8080" s="33"/>
      <c r="X8080" s="33"/>
      <c r="Y8080" s="33"/>
      <c r="Z8080" s="33"/>
      <c r="AA8080" s="33"/>
      <c r="AB8080" s="33"/>
      <c r="AC8080" s="33"/>
      <c r="AD8080" s="33"/>
      <c r="AE8080" s="33"/>
      <c r="AF8080" s="33"/>
      <c r="AG8080" s="33"/>
      <c r="AH8080" s="33"/>
      <c r="AI8080" s="33"/>
      <c r="AJ8080" s="33"/>
      <c r="AK8080" s="33"/>
    </row>
    <row r="8081">
      <c r="A8081" s="33"/>
      <c r="B8081" s="33"/>
      <c r="C8081" s="33"/>
      <c r="D8081" s="33"/>
      <c r="E8081" s="33"/>
      <c r="F8081" s="33"/>
      <c r="G8081" s="33"/>
      <c r="H8081" s="33"/>
      <c r="I8081" s="33"/>
      <c r="J8081" s="33"/>
      <c r="K8081" s="33"/>
      <c r="L8081" s="33"/>
      <c r="M8081" s="33"/>
      <c r="N8081" s="33"/>
      <c r="O8081" s="33"/>
      <c r="P8081" s="33"/>
      <c r="Q8081" s="33"/>
      <c r="R8081" s="33"/>
      <c r="S8081" s="33"/>
      <c r="T8081" s="33"/>
      <c r="U8081" s="33"/>
      <c r="V8081" s="33"/>
      <c r="W8081" s="33"/>
      <c r="X8081" s="33"/>
      <c r="Y8081" s="33"/>
      <c r="Z8081" s="33"/>
      <c r="AA8081" s="33"/>
      <c r="AB8081" s="33"/>
      <c r="AC8081" s="33"/>
      <c r="AD8081" s="33"/>
      <c r="AE8081" s="33"/>
      <c r="AF8081" s="33"/>
      <c r="AG8081" s="33"/>
      <c r="AH8081" s="33"/>
      <c r="AI8081" s="33"/>
      <c r="AJ8081" s="33"/>
      <c r="AK8081" s="33"/>
    </row>
    <row r="8082">
      <c r="A8082" s="33"/>
      <c r="B8082" s="33"/>
      <c r="C8082" s="33"/>
      <c r="D8082" s="33"/>
      <c r="E8082" s="33"/>
      <c r="F8082" s="33"/>
      <c r="G8082" s="33"/>
      <c r="H8082" s="33"/>
      <c r="I8082" s="33"/>
      <c r="J8082" s="33"/>
      <c r="K8082" s="33"/>
      <c r="L8082" s="33"/>
      <c r="M8082" s="33"/>
      <c r="N8082" s="33"/>
      <c r="O8082" s="33"/>
      <c r="P8082" s="33"/>
      <c r="Q8082" s="33"/>
      <c r="R8082" s="33"/>
      <c r="S8082" s="33"/>
      <c r="T8082" s="33"/>
      <c r="U8082" s="33"/>
      <c r="V8082" s="33"/>
      <c r="W8082" s="33"/>
      <c r="X8082" s="33"/>
      <c r="Y8082" s="33"/>
      <c r="Z8082" s="33"/>
      <c r="AA8082" s="33"/>
      <c r="AB8082" s="33"/>
      <c r="AC8082" s="33"/>
      <c r="AD8082" s="33"/>
      <c r="AE8082" s="33"/>
      <c r="AF8082" s="33"/>
      <c r="AG8082" s="33"/>
      <c r="AH8082" s="33"/>
      <c r="AI8082" s="33"/>
      <c r="AJ8082" s="33"/>
      <c r="AK8082" s="33"/>
    </row>
    <row r="8083">
      <c r="A8083" s="33"/>
      <c r="B8083" s="33"/>
      <c r="C8083" s="33"/>
      <c r="D8083" s="33"/>
      <c r="E8083" s="33"/>
      <c r="F8083" s="33"/>
      <c r="G8083" s="33"/>
      <c r="H8083" s="33"/>
      <c r="I8083" s="33"/>
      <c r="J8083" s="33"/>
      <c r="K8083" s="33"/>
      <c r="L8083" s="33"/>
      <c r="M8083" s="33"/>
      <c r="N8083" s="33"/>
      <c r="O8083" s="33"/>
      <c r="P8083" s="33"/>
      <c r="Q8083" s="33"/>
      <c r="R8083" s="33"/>
      <c r="S8083" s="33"/>
      <c r="T8083" s="33"/>
      <c r="U8083" s="33"/>
      <c r="V8083" s="33"/>
      <c r="W8083" s="33"/>
      <c r="X8083" s="33"/>
      <c r="Y8083" s="33"/>
      <c r="Z8083" s="33"/>
      <c r="AA8083" s="33"/>
      <c r="AB8083" s="33"/>
      <c r="AC8083" s="33"/>
      <c r="AD8083" s="33"/>
      <c r="AE8083" s="33"/>
      <c r="AF8083" s="33"/>
      <c r="AG8083" s="33"/>
      <c r="AH8083" s="33"/>
      <c r="AI8083" s="33"/>
      <c r="AJ8083" s="33"/>
      <c r="AK8083" s="33"/>
    </row>
    <row r="8084">
      <c r="A8084" s="33"/>
      <c r="B8084" s="33"/>
      <c r="C8084" s="33"/>
      <c r="D8084" s="33"/>
      <c r="E8084" s="33"/>
      <c r="F8084" s="33"/>
      <c r="G8084" s="33"/>
      <c r="H8084" s="33"/>
      <c r="I8084" s="33"/>
      <c r="J8084" s="33"/>
      <c r="K8084" s="33"/>
      <c r="L8084" s="33"/>
      <c r="M8084" s="33"/>
      <c r="N8084" s="33"/>
      <c r="O8084" s="33"/>
      <c r="P8084" s="33"/>
      <c r="Q8084" s="33"/>
      <c r="R8084" s="33"/>
      <c r="S8084" s="33"/>
      <c r="T8084" s="33"/>
      <c r="U8084" s="33"/>
      <c r="V8084" s="33"/>
      <c r="W8084" s="33"/>
      <c r="X8084" s="33"/>
      <c r="Y8084" s="33"/>
      <c r="Z8084" s="33"/>
      <c r="AA8084" s="33"/>
      <c r="AB8084" s="33"/>
      <c r="AC8084" s="33"/>
      <c r="AD8084" s="33"/>
      <c r="AE8084" s="33"/>
      <c r="AF8084" s="33"/>
      <c r="AG8084" s="33"/>
      <c r="AH8084" s="33"/>
      <c r="AI8084" s="33"/>
      <c r="AJ8084" s="33"/>
      <c r="AK8084" s="33"/>
    </row>
    <row r="8085">
      <c r="A8085" s="33"/>
      <c r="B8085" s="33"/>
      <c r="C8085" s="33"/>
      <c r="D8085" s="33"/>
      <c r="E8085" s="33"/>
      <c r="F8085" s="33"/>
      <c r="G8085" s="33"/>
      <c r="H8085" s="33"/>
      <c r="I8085" s="33"/>
      <c r="J8085" s="33"/>
      <c r="K8085" s="33"/>
      <c r="L8085" s="33"/>
      <c r="M8085" s="33"/>
      <c r="N8085" s="33"/>
      <c r="O8085" s="33"/>
      <c r="P8085" s="33"/>
      <c r="Q8085" s="33"/>
      <c r="R8085" s="33"/>
      <c r="S8085" s="33"/>
      <c r="T8085" s="33"/>
      <c r="U8085" s="33"/>
      <c r="V8085" s="33"/>
      <c r="W8085" s="33"/>
      <c r="X8085" s="33"/>
      <c r="Y8085" s="33"/>
      <c r="Z8085" s="33"/>
      <c r="AA8085" s="33"/>
      <c r="AB8085" s="33"/>
      <c r="AC8085" s="33"/>
      <c r="AD8085" s="33"/>
      <c r="AE8085" s="33"/>
      <c r="AF8085" s="33"/>
      <c r="AG8085" s="33"/>
      <c r="AH8085" s="33"/>
      <c r="AI8085" s="33"/>
      <c r="AJ8085" s="33"/>
      <c r="AK8085" s="33"/>
    </row>
    <row r="8086">
      <c r="A8086" s="33"/>
      <c r="B8086" s="33"/>
      <c r="C8086" s="33"/>
      <c r="D8086" s="33"/>
      <c r="E8086" s="33"/>
      <c r="F8086" s="33"/>
      <c r="G8086" s="33"/>
      <c r="H8086" s="33"/>
      <c r="I8086" s="33"/>
      <c r="J8086" s="33"/>
      <c r="K8086" s="33"/>
      <c r="L8086" s="33"/>
      <c r="M8086" s="33"/>
      <c r="N8086" s="33"/>
      <c r="O8086" s="33"/>
      <c r="P8086" s="33"/>
      <c r="Q8086" s="33"/>
      <c r="R8086" s="33"/>
      <c r="S8086" s="33"/>
      <c r="T8086" s="33"/>
      <c r="U8086" s="33"/>
      <c r="V8086" s="33"/>
      <c r="W8086" s="33"/>
      <c r="X8086" s="33"/>
      <c r="Y8086" s="33"/>
      <c r="Z8086" s="33"/>
      <c r="AA8086" s="33"/>
      <c r="AB8086" s="33"/>
      <c r="AC8086" s="33"/>
      <c r="AD8086" s="33"/>
      <c r="AE8086" s="33"/>
      <c r="AF8086" s="33"/>
      <c r="AG8086" s="33"/>
      <c r="AH8086" s="33"/>
      <c r="AI8086" s="33"/>
      <c r="AJ8086" s="33"/>
      <c r="AK8086" s="33"/>
    </row>
    <row r="8087">
      <c r="A8087" s="33"/>
      <c r="B8087" s="33"/>
      <c r="C8087" s="33"/>
      <c r="D8087" s="33"/>
      <c r="E8087" s="33"/>
      <c r="F8087" s="33"/>
      <c r="G8087" s="33"/>
      <c r="H8087" s="33"/>
      <c r="I8087" s="33"/>
      <c r="J8087" s="33"/>
      <c r="K8087" s="33"/>
      <c r="L8087" s="33"/>
      <c r="M8087" s="33"/>
      <c r="N8087" s="33"/>
      <c r="O8087" s="33"/>
      <c r="P8087" s="33"/>
      <c r="Q8087" s="33"/>
      <c r="R8087" s="33"/>
      <c r="S8087" s="33"/>
      <c r="T8087" s="33"/>
      <c r="U8087" s="33"/>
      <c r="V8087" s="33"/>
      <c r="W8087" s="33"/>
      <c r="X8087" s="33"/>
      <c r="Y8087" s="33"/>
      <c r="Z8087" s="33"/>
      <c r="AA8087" s="33"/>
      <c r="AB8087" s="33"/>
      <c r="AC8087" s="33"/>
      <c r="AD8087" s="33"/>
      <c r="AE8087" s="33"/>
      <c r="AF8087" s="33"/>
      <c r="AG8087" s="33"/>
      <c r="AH8087" s="33"/>
      <c r="AI8087" s="33"/>
      <c r="AJ8087" s="33"/>
      <c r="AK8087" s="33"/>
    </row>
    <row r="8088">
      <c r="A8088" s="33"/>
      <c r="B8088" s="33"/>
      <c r="C8088" s="33"/>
      <c r="D8088" s="33"/>
      <c r="E8088" s="33"/>
      <c r="F8088" s="33"/>
      <c r="G8088" s="33"/>
      <c r="H8088" s="33"/>
      <c r="I8088" s="33"/>
      <c r="J8088" s="33"/>
      <c r="K8088" s="33"/>
      <c r="L8088" s="33"/>
      <c r="M8088" s="33"/>
      <c r="N8088" s="33"/>
      <c r="O8088" s="33"/>
      <c r="P8088" s="33"/>
      <c r="Q8088" s="33"/>
      <c r="R8088" s="33"/>
      <c r="S8088" s="33"/>
      <c r="T8088" s="33"/>
      <c r="U8088" s="33"/>
      <c r="V8088" s="33"/>
      <c r="W8088" s="33"/>
      <c r="X8088" s="33"/>
      <c r="Y8088" s="33"/>
      <c r="Z8088" s="33"/>
      <c r="AA8088" s="33"/>
      <c r="AB8088" s="33"/>
      <c r="AC8088" s="33"/>
      <c r="AD8088" s="33"/>
      <c r="AE8088" s="33"/>
      <c r="AF8088" s="33"/>
      <c r="AG8088" s="33"/>
      <c r="AH8088" s="33"/>
      <c r="AI8088" s="33"/>
      <c r="AJ8088" s="33"/>
      <c r="AK8088" s="33"/>
    </row>
    <row r="8089">
      <c r="A8089" s="33"/>
      <c r="B8089" s="33"/>
      <c r="C8089" s="33"/>
      <c r="D8089" s="33"/>
      <c r="E8089" s="33"/>
      <c r="F8089" s="33"/>
      <c r="G8089" s="33"/>
      <c r="H8089" s="33"/>
      <c r="I8089" s="33"/>
      <c r="J8089" s="33"/>
      <c r="K8089" s="33"/>
      <c r="L8089" s="33"/>
      <c r="M8089" s="33"/>
      <c r="N8089" s="33"/>
      <c r="O8089" s="33"/>
      <c r="P8089" s="33"/>
      <c r="Q8089" s="33"/>
      <c r="R8089" s="33"/>
      <c r="S8089" s="33"/>
      <c r="T8089" s="33"/>
      <c r="U8089" s="33"/>
      <c r="V8089" s="33"/>
      <c r="W8089" s="33"/>
      <c r="X8089" s="33"/>
      <c r="Y8089" s="33"/>
      <c r="Z8089" s="33"/>
      <c r="AA8089" s="33"/>
      <c r="AB8089" s="33"/>
      <c r="AC8089" s="33"/>
      <c r="AD8089" s="33"/>
      <c r="AE8089" s="33"/>
      <c r="AF8089" s="33"/>
      <c r="AG8089" s="33"/>
      <c r="AH8089" s="33"/>
      <c r="AI8089" s="33"/>
      <c r="AJ8089" s="33"/>
      <c r="AK8089" s="33"/>
    </row>
    <row r="8090">
      <c r="A8090" s="33"/>
      <c r="B8090" s="33"/>
      <c r="C8090" s="33"/>
      <c r="D8090" s="33"/>
      <c r="E8090" s="33"/>
      <c r="F8090" s="33"/>
      <c r="G8090" s="33"/>
      <c r="H8090" s="33"/>
      <c r="I8090" s="33"/>
      <c r="J8090" s="33"/>
      <c r="K8090" s="33"/>
      <c r="L8090" s="33"/>
      <c r="M8090" s="33"/>
      <c r="N8090" s="33"/>
      <c r="O8090" s="33"/>
      <c r="P8090" s="33"/>
      <c r="Q8090" s="33"/>
      <c r="R8090" s="33"/>
      <c r="S8090" s="33"/>
      <c r="T8090" s="33"/>
      <c r="U8090" s="33"/>
      <c r="V8090" s="33"/>
      <c r="W8090" s="33"/>
      <c r="X8090" s="33"/>
      <c r="Y8090" s="33"/>
      <c r="Z8090" s="33"/>
      <c r="AA8090" s="33"/>
      <c r="AB8090" s="33"/>
      <c r="AC8090" s="33"/>
      <c r="AD8090" s="33"/>
      <c r="AE8090" s="33"/>
      <c r="AF8090" s="33"/>
      <c r="AG8090" s="33"/>
      <c r="AH8090" s="33"/>
      <c r="AI8090" s="33"/>
      <c r="AJ8090" s="33"/>
      <c r="AK8090" s="33"/>
    </row>
    <row r="8091">
      <c r="A8091" s="33"/>
      <c r="B8091" s="33"/>
      <c r="C8091" s="33"/>
      <c r="D8091" s="33"/>
      <c r="E8091" s="33"/>
      <c r="F8091" s="33"/>
      <c r="G8091" s="33"/>
      <c r="H8091" s="33"/>
      <c r="I8091" s="33"/>
      <c r="J8091" s="33"/>
      <c r="K8091" s="33"/>
      <c r="L8091" s="33"/>
      <c r="M8091" s="33"/>
      <c r="N8091" s="33"/>
      <c r="O8091" s="33"/>
      <c r="P8091" s="33"/>
      <c r="Q8091" s="33"/>
      <c r="R8091" s="33"/>
      <c r="S8091" s="33"/>
      <c r="T8091" s="33"/>
      <c r="U8091" s="33"/>
      <c r="V8091" s="33"/>
      <c r="W8091" s="33"/>
      <c r="X8091" s="33"/>
      <c r="Y8091" s="33"/>
      <c r="Z8091" s="33"/>
      <c r="AA8091" s="33"/>
      <c r="AB8091" s="33"/>
      <c r="AC8091" s="33"/>
      <c r="AD8091" s="33"/>
      <c r="AE8091" s="33"/>
      <c r="AF8091" s="33"/>
      <c r="AG8091" s="33"/>
      <c r="AH8091" s="33"/>
      <c r="AI8091" s="33"/>
      <c r="AJ8091" s="33"/>
      <c r="AK8091" s="33"/>
    </row>
    <row r="8092">
      <c r="A8092" s="33"/>
      <c r="B8092" s="33"/>
      <c r="C8092" s="33"/>
      <c r="D8092" s="33"/>
      <c r="E8092" s="33"/>
      <c r="F8092" s="33"/>
      <c r="G8092" s="33"/>
      <c r="H8092" s="33"/>
      <c r="I8092" s="33"/>
      <c r="J8092" s="33"/>
      <c r="K8092" s="33"/>
      <c r="L8092" s="33"/>
      <c r="M8092" s="33"/>
      <c r="N8092" s="33"/>
      <c r="O8092" s="33"/>
      <c r="P8092" s="33"/>
      <c r="Q8092" s="33"/>
      <c r="R8092" s="33"/>
      <c r="S8092" s="33"/>
      <c r="T8092" s="33"/>
      <c r="U8092" s="33"/>
      <c r="V8092" s="33"/>
      <c r="W8092" s="33"/>
      <c r="X8092" s="33"/>
      <c r="Y8092" s="33"/>
      <c r="Z8092" s="33"/>
      <c r="AA8092" s="33"/>
      <c r="AB8092" s="33"/>
      <c r="AC8092" s="33"/>
      <c r="AD8092" s="33"/>
      <c r="AE8092" s="33"/>
      <c r="AF8092" s="33"/>
      <c r="AG8092" s="33"/>
      <c r="AH8092" s="33"/>
      <c r="AI8092" s="33"/>
      <c r="AJ8092" s="33"/>
      <c r="AK8092" s="33"/>
    </row>
    <row r="8093">
      <c r="A8093" s="33"/>
      <c r="B8093" s="33"/>
      <c r="C8093" s="33"/>
      <c r="D8093" s="33"/>
      <c r="E8093" s="33"/>
      <c r="F8093" s="33"/>
      <c r="G8093" s="33"/>
      <c r="H8093" s="33"/>
      <c r="I8093" s="33"/>
      <c r="J8093" s="33"/>
      <c r="K8093" s="33"/>
      <c r="L8093" s="33"/>
      <c r="M8093" s="33"/>
      <c r="N8093" s="33"/>
      <c r="O8093" s="33"/>
      <c r="P8093" s="33"/>
      <c r="Q8093" s="33"/>
      <c r="R8093" s="33"/>
      <c r="S8093" s="33"/>
      <c r="T8093" s="33"/>
      <c r="U8093" s="33"/>
      <c r="V8093" s="33"/>
      <c r="W8093" s="33"/>
      <c r="X8093" s="33"/>
      <c r="Y8093" s="33"/>
      <c r="Z8093" s="33"/>
      <c r="AA8093" s="33"/>
      <c r="AB8093" s="33"/>
      <c r="AC8093" s="33"/>
      <c r="AD8093" s="33"/>
      <c r="AE8093" s="33"/>
      <c r="AF8093" s="33"/>
      <c r="AG8093" s="33"/>
      <c r="AH8093" s="33"/>
      <c r="AI8093" s="33"/>
      <c r="AJ8093" s="33"/>
      <c r="AK8093" s="33"/>
    </row>
    <row r="8094">
      <c r="A8094" s="33"/>
      <c r="B8094" s="33"/>
      <c r="C8094" s="33"/>
      <c r="D8094" s="33"/>
      <c r="E8094" s="33"/>
      <c r="F8094" s="33"/>
      <c r="G8094" s="33"/>
      <c r="H8094" s="33"/>
      <c r="I8094" s="33"/>
      <c r="J8094" s="33"/>
      <c r="K8094" s="33"/>
      <c r="L8094" s="33"/>
      <c r="M8094" s="33"/>
      <c r="N8094" s="33"/>
      <c r="O8094" s="33"/>
      <c r="P8094" s="33"/>
      <c r="Q8094" s="33"/>
      <c r="R8094" s="33"/>
      <c r="S8094" s="33"/>
      <c r="T8094" s="33"/>
      <c r="U8094" s="33"/>
      <c r="V8094" s="33"/>
      <c r="W8094" s="33"/>
      <c r="X8094" s="33"/>
      <c r="Y8094" s="33"/>
      <c r="Z8094" s="33"/>
      <c r="AA8094" s="33"/>
      <c r="AB8094" s="33"/>
      <c r="AC8094" s="33"/>
      <c r="AD8094" s="33"/>
      <c r="AE8094" s="33"/>
      <c r="AF8094" s="33"/>
      <c r="AG8094" s="33"/>
      <c r="AH8094" s="33"/>
      <c r="AI8094" s="33"/>
      <c r="AJ8094" s="33"/>
      <c r="AK8094" s="33"/>
    </row>
    <row r="8095">
      <c r="A8095" s="33"/>
      <c r="B8095" s="33"/>
      <c r="C8095" s="33"/>
      <c r="D8095" s="33"/>
      <c r="E8095" s="33"/>
      <c r="F8095" s="33"/>
      <c r="G8095" s="33"/>
      <c r="H8095" s="33"/>
      <c r="I8095" s="33"/>
      <c r="J8095" s="33"/>
      <c r="K8095" s="33"/>
      <c r="L8095" s="33"/>
      <c r="M8095" s="33"/>
      <c r="N8095" s="33"/>
      <c r="O8095" s="33"/>
      <c r="P8095" s="33"/>
      <c r="Q8095" s="33"/>
      <c r="R8095" s="33"/>
      <c r="S8095" s="33"/>
      <c r="T8095" s="33"/>
      <c r="U8095" s="33"/>
      <c r="V8095" s="33"/>
      <c r="W8095" s="33"/>
      <c r="X8095" s="33"/>
      <c r="Y8095" s="33"/>
      <c r="Z8095" s="33"/>
      <c r="AA8095" s="33"/>
      <c r="AB8095" s="33"/>
      <c r="AC8095" s="33"/>
      <c r="AD8095" s="33"/>
      <c r="AE8095" s="33"/>
      <c r="AF8095" s="33"/>
      <c r="AG8095" s="33"/>
      <c r="AH8095" s="33"/>
      <c r="AI8095" s="33"/>
      <c r="AJ8095" s="33"/>
      <c r="AK8095" s="33"/>
    </row>
    <row r="8096">
      <c r="A8096" s="33"/>
      <c r="B8096" s="33"/>
      <c r="C8096" s="33"/>
      <c r="D8096" s="33"/>
      <c r="E8096" s="33"/>
      <c r="F8096" s="33"/>
      <c r="G8096" s="33"/>
      <c r="H8096" s="33"/>
      <c r="I8096" s="33"/>
      <c r="J8096" s="33"/>
      <c r="K8096" s="33"/>
      <c r="L8096" s="33"/>
      <c r="M8096" s="33"/>
      <c r="N8096" s="33"/>
      <c r="O8096" s="33"/>
      <c r="P8096" s="33"/>
      <c r="Q8096" s="33"/>
      <c r="R8096" s="33"/>
      <c r="S8096" s="33"/>
      <c r="T8096" s="33"/>
      <c r="U8096" s="33"/>
      <c r="V8096" s="33"/>
      <c r="W8096" s="33"/>
      <c r="X8096" s="33"/>
      <c r="Y8096" s="33"/>
      <c r="Z8096" s="33"/>
      <c r="AA8096" s="33"/>
      <c r="AB8096" s="33"/>
      <c r="AC8096" s="33"/>
      <c r="AD8096" s="33"/>
      <c r="AE8096" s="33"/>
      <c r="AF8096" s="33"/>
      <c r="AG8096" s="33"/>
      <c r="AH8096" s="33"/>
      <c r="AI8096" s="33"/>
      <c r="AJ8096" s="33"/>
      <c r="AK8096" s="33"/>
    </row>
    <row r="8097">
      <c r="A8097" s="33"/>
      <c r="B8097" s="33"/>
      <c r="C8097" s="33"/>
      <c r="D8097" s="33"/>
      <c r="E8097" s="33"/>
      <c r="F8097" s="33"/>
      <c r="G8097" s="33"/>
      <c r="H8097" s="33"/>
      <c r="I8097" s="33"/>
      <c r="J8097" s="33"/>
      <c r="K8097" s="33"/>
      <c r="L8097" s="33"/>
      <c r="M8097" s="33"/>
      <c r="N8097" s="33"/>
      <c r="O8097" s="33"/>
      <c r="P8097" s="33"/>
      <c r="Q8097" s="33"/>
      <c r="R8097" s="33"/>
      <c r="S8097" s="33"/>
      <c r="T8097" s="33"/>
      <c r="U8097" s="33"/>
      <c r="V8097" s="33"/>
      <c r="W8097" s="33"/>
      <c r="X8097" s="33"/>
      <c r="Y8097" s="33"/>
      <c r="Z8097" s="33"/>
      <c r="AA8097" s="33"/>
      <c r="AB8097" s="33"/>
      <c r="AC8097" s="33"/>
      <c r="AD8097" s="33"/>
      <c r="AE8097" s="33"/>
      <c r="AF8097" s="33"/>
      <c r="AG8097" s="33"/>
      <c r="AH8097" s="33"/>
      <c r="AI8097" s="33"/>
      <c r="AJ8097" s="33"/>
      <c r="AK8097" s="33"/>
    </row>
    <row r="8098">
      <c r="A8098" s="33"/>
      <c r="B8098" s="33"/>
      <c r="C8098" s="33"/>
      <c r="D8098" s="33"/>
      <c r="E8098" s="33"/>
      <c r="F8098" s="33"/>
      <c r="G8098" s="33"/>
      <c r="H8098" s="33"/>
      <c r="I8098" s="33"/>
      <c r="J8098" s="33"/>
      <c r="K8098" s="33"/>
      <c r="L8098" s="33"/>
      <c r="M8098" s="33"/>
      <c r="N8098" s="33"/>
      <c r="O8098" s="33"/>
      <c r="P8098" s="33"/>
      <c r="Q8098" s="33"/>
      <c r="R8098" s="33"/>
      <c r="S8098" s="33"/>
      <c r="T8098" s="33"/>
      <c r="U8098" s="33"/>
      <c r="V8098" s="33"/>
      <c r="W8098" s="33"/>
      <c r="X8098" s="33"/>
      <c r="Y8098" s="33"/>
      <c r="Z8098" s="33"/>
      <c r="AA8098" s="33"/>
      <c r="AB8098" s="33"/>
      <c r="AC8098" s="33"/>
      <c r="AD8098" s="33"/>
      <c r="AE8098" s="33"/>
      <c r="AF8098" s="33"/>
      <c r="AG8098" s="33"/>
      <c r="AH8098" s="33"/>
      <c r="AI8098" s="33"/>
      <c r="AJ8098" s="33"/>
      <c r="AK8098" s="33"/>
    </row>
    <row r="8099">
      <c r="A8099" s="33"/>
      <c r="B8099" s="33"/>
      <c r="C8099" s="33"/>
      <c r="D8099" s="33"/>
      <c r="E8099" s="33"/>
      <c r="F8099" s="33"/>
      <c r="G8099" s="33"/>
      <c r="H8099" s="33"/>
      <c r="I8099" s="33"/>
      <c r="J8099" s="33"/>
      <c r="K8099" s="33"/>
      <c r="L8099" s="33"/>
      <c r="M8099" s="33"/>
      <c r="N8099" s="33"/>
      <c r="O8099" s="33"/>
      <c r="P8099" s="33"/>
      <c r="Q8099" s="33"/>
      <c r="R8099" s="33"/>
      <c r="S8099" s="33"/>
      <c r="T8099" s="33"/>
      <c r="U8099" s="33"/>
      <c r="V8099" s="33"/>
      <c r="W8099" s="33"/>
      <c r="X8099" s="33"/>
      <c r="Y8099" s="33"/>
      <c r="Z8099" s="33"/>
      <c r="AA8099" s="33"/>
      <c r="AB8099" s="33"/>
      <c r="AC8099" s="33"/>
      <c r="AD8099" s="33"/>
      <c r="AE8099" s="33"/>
      <c r="AF8099" s="33"/>
      <c r="AG8099" s="33"/>
      <c r="AH8099" s="33"/>
      <c r="AI8099" s="33"/>
      <c r="AJ8099" s="33"/>
      <c r="AK8099" s="33"/>
    </row>
    <row r="8100">
      <c r="A8100" s="33"/>
      <c r="B8100" s="33"/>
      <c r="C8100" s="33"/>
      <c r="D8100" s="33"/>
      <c r="E8100" s="33"/>
      <c r="F8100" s="33"/>
      <c r="G8100" s="33"/>
      <c r="H8100" s="33"/>
      <c r="I8100" s="33"/>
      <c r="J8100" s="33"/>
      <c r="K8100" s="33"/>
      <c r="L8100" s="33"/>
      <c r="M8100" s="33"/>
      <c r="N8100" s="33"/>
      <c r="O8100" s="33"/>
      <c r="P8100" s="33"/>
      <c r="Q8100" s="33"/>
      <c r="R8100" s="33"/>
      <c r="S8100" s="33"/>
      <c r="T8100" s="33"/>
      <c r="U8100" s="33"/>
      <c r="V8100" s="33"/>
      <c r="W8100" s="33"/>
      <c r="X8100" s="33"/>
      <c r="Y8100" s="33"/>
      <c r="Z8100" s="33"/>
      <c r="AA8100" s="33"/>
      <c r="AB8100" s="33"/>
      <c r="AC8100" s="33"/>
      <c r="AD8100" s="33"/>
      <c r="AE8100" s="33"/>
      <c r="AF8100" s="33"/>
      <c r="AG8100" s="33"/>
      <c r="AH8100" s="33"/>
      <c r="AI8100" s="33"/>
      <c r="AJ8100" s="33"/>
      <c r="AK8100" s="33"/>
    </row>
    <row r="8101">
      <c r="A8101" s="33"/>
      <c r="B8101" s="33"/>
      <c r="C8101" s="33"/>
      <c r="D8101" s="33"/>
      <c r="E8101" s="33"/>
      <c r="F8101" s="33"/>
      <c r="G8101" s="33"/>
      <c r="H8101" s="33"/>
      <c r="I8101" s="33"/>
      <c r="J8101" s="33"/>
      <c r="K8101" s="33"/>
      <c r="L8101" s="33"/>
      <c r="M8101" s="33"/>
      <c r="N8101" s="33"/>
      <c r="O8101" s="33"/>
      <c r="P8101" s="33"/>
      <c r="Q8101" s="33"/>
      <c r="R8101" s="33"/>
      <c r="S8101" s="33"/>
      <c r="T8101" s="33"/>
      <c r="U8101" s="33"/>
      <c r="V8101" s="33"/>
      <c r="W8101" s="33"/>
      <c r="X8101" s="33"/>
      <c r="Y8101" s="33"/>
      <c r="Z8101" s="33"/>
      <c r="AA8101" s="33"/>
      <c r="AB8101" s="33"/>
      <c r="AC8101" s="33"/>
      <c r="AD8101" s="33"/>
      <c r="AE8101" s="33"/>
      <c r="AF8101" s="33"/>
      <c r="AG8101" s="33"/>
      <c r="AH8101" s="33"/>
      <c r="AI8101" s="33"/>
      <c r="AJ8101" s="33"/>
      <c r="AK8101" s="33"/>
    </row>
    <row r="8102">
      <c r="A8102" s="33"/>
      <c r="B8102" s="33"/>
      <c r="C8102" s="33"/>
      <c r="D8102" s="33"/>
      <c r="E8102" s="33"/>
      <c r="F8102" s="33"/>
      <c r="G8102" s="33"/>
      <c r="H8102" s="33"/>
      <c r="I8102" s="33"/>
      <c r="J8102" s="33"/>
      <c r="K8102" s="33"/>
      <c r="L8102" s="33"/>
      <c r="M8102" s="33"/>
      <c r="N8102" s="33"/>
      <c r="O8102" s="33"/>
      <c r="P8102" s="33"/>
      <c r="Q8102" s="33"/>
      <c r="R8102" s="33"/>
      <c r="S8102" s="33"/>
      <c r="T8102" s="33"/>
      <c r="U8102" s="33"/>
      <c r="V8102" s="33"/>
      <c r="W8102" s="33"/>
      <c r="X8102" s="33"/>
      <c r="Y8102" s="33"/>
      <c r="Z8102" s="33"/>
      <c r="AA8102" s="33"/>
      <c r="AB8102" s="33"/>
      <c r="AC8102" s="33"/>
      <c r="AD8102" s="33"/>
      <c r="AE8102" s="33"/>
      <c r="AF8102" s="33"/>
      <c r="AG8102" s="33"/>
      <c r="AH8102" s="33"/>
      <c r="AI8102" s="33"/>
      <c r="AJ8102" s="33"/>
      <c r="AK8102" s="33"/>
    </row>
    <row r="8103">
      <c r="A8103" s="33"/>
      <c r="B8103" s="33"/>
      <c r="C8103" s="33"/>
      <c r="D8103" s="33"/>
      <c r="E8103" s="33"/>
      <c r="F8103" s="33"/>
      <c r="G8103" s="33"/>
      <c r="H8103" s="33"/>
      <c r="I8103" s="33"/>
      <c r="J8103" s="33"/>
      <c r="K8103" s="33"/>
      <c r="L8103" s="33"/>
      <c r="M8103" s="33"/>
      <c r="N8103" s="33"/>
      <c r="O8103" s="33"/>
      <c r="P8103" s="33"/>
      <c r="Q8103" s="33"/>
      <c r="R8103" s="33"/>
      <c r="S8103" s="33"/>
      <c r="T8103" s="33"/>
      <c r="U8103" s="33"/>
      <c r="V8103" s="33"/>
      <c r="W8103" s="33"/>
      <c r="X8103" s="33"/>
      <c r="Y8103" s="33"/>
      <c r="Z8103" s="33"/>
      <c r="AA8103" s="33"/>
      <c r="AB8103" s="33"/>
      <c r="AC8103" s="33"/>
      <c r="AD8103" s="33"/>
      <c r="AE8103" s="33"/>
      <c r="AF8103" s="33"/>
      <c r="AG8103" s="33"/>
      <c r="AH8103" s="33"/>
      <c r="AI8103" s="33"/>
      <c r="AJ8103" s="33"/>
      <c r="AK8103" s="33"/>
    </row>
    <row r="8104">
      <c r="A8104" s="33"/>
      <c r="B8104" s="33"/>
      <c r="C8104" s="33"/>
      <c r="D8104" s="33"/>
      <c r="E8104" s="33"/>
      <c r="F8104" s="33"/>
      <c r="G8104" s="33"/>
      <c r="H8104" s="33"/>
      <c r="I8104" s="33"/>
      <c r="J8104" s="33"/>
      <c r="K8104" s="33"/>
      <c r="L8104" s="33"/>
      <c r="M8104" s="33"/>
      <c r="N8104" s="33"/>
      <c r="O8104" s="33"/>
      <c r="P8104" s="33"/>
      <c r="Q8104" s="33"/>
      <c r="R8104" s="33"/>
      <c r="S8104" s="33"/>
      <c r="T8104" s="33"/>
      <c r="U8104" s="33"/>
      <c r="V8104" s="33"/>
      <c r="W8104" s="33"/>
      <c r="X8104" s="33"/>
      <c r="Y8104" s="33"/>
      <c r="Z8104" s="33"/>
      <c r="AA8104" s="33"/>
      <c r="AB8104" s="33"/>
      <c r="AC8104" s="33"/>
      <c r="AD8104" s="33"/>
      <c r="AE8104" s="33"/>
      <c r="AF8104" s="33"/>
      <c r="AG8104" s="33"/>
      <c r="AH8104" s="33"/>
      <c r="AI8104" s="33"/>
      <c r="AJ8104" s="33"/>
      <c r="AK8104" s="33"/>
    </row>
    <row r="8105">
      <c r="A8105" s="33"/>
      <c r="B8105" s="33"/>
      <c r="C8105" s="33"/>
      <c r="D8105" s="33"/>
      <c r="E8105" s="33"/>
      <c r="F8105" s="33"/>
      <c r="G8105" s="33"/>
      <c r="H8105" s="33"/>
      <c r="I8105" s="33"/>
      <c r="J8105" s="33"/>
      <c r="K8105" s="33"/>
      <c r="L8105" s="33"/>
      <c r="M8105" s="33"/>
      <c r="N8105" s="33"/>
      <c r="O8105" s="33"/>
      <c r="P8105" s="33"/>
      <c r="Q8105" s="33"/>
      <c r="R8105" s="33"/>
      <c r="S8105" s="33"/>
      <c r="T8105" s="33"/>
      <c r="U8105" s="33"/>
      <c r="V8105" s="33"/>
      <c r="W8105" s="33"/>
      <c r="X8105" s="33"/>
      <c r="Y8105" s="33"/>
      <c r="Z8105" s="33"/>
      <c r="AA8105" s="33"/>
      <c r="AB8105" s="33"/>
      <c r="AC8105" s="33"/>
      <c r="AD8105" s="33"/>
      <c r="AE8105" s="33"/>
      <c r="AF8105" s="33"/>
      <c r="AG8105" s="33"/>
      <c r="AH8105" s="33"/>
      <c r="AI8105" s="33"/>
      <c r="AJ8105" s="33"/>
      <c r="AK8105" s="33"/>
    </row>
    <row r="8106">
      <c r="A8106" s="33"/>
      <c r="B8106" s="33"/>
      <c r="C8106" s="33"/>
      <c r="D8106" s="33"/>
      <c r="E8106" s="33"/>
      <c r="F8106" s="33"/>
      <c r="G8106" s="33"/>
      <c r="H8106" s="33"/>
      <c r="I8106" s="33"/>
      <c r="J8106" s="33"/>
      <c r="K8106" s="33"/>
      <c r="L8106" s="33"/>
      <c r="M8106" s="33"/>
      <c r="N8106" s="33"/>
      <c r="O8106" s="33"/>
      <c r="P8106" s="33"/>
      <c r="Q8106" s="33"/>
      <c r="R8106" s="33"/>
      <c r="S8106" s="33"/>
      <c r="T8106" s="33"/>
      <c r="U8106" s="33"/>
      <c r="V8106" s="33"/>
      <c r="W8106" s="33"/>
      <c r="X8106" s="33"/>
      <c r="Y8106" s="33"/>
      <c r="Z8106" s="33"/>
      <c r="AA8106" s="33"/>
      <c r="AB8106" s="33"/>
      <c r="AC8106" s="33"/>
      <c r="AD8106" s="33"/>
      <c r="AE8106" s="33"/>
      <c r="AF8106" s="33"/>
      <c r="AG8106" s="33"/>
      <c r="AH8106" s="33"/>
      <c r="AI8106" s="33"/>
      <c r="AJ8106" s="33"/>
      <c r="AK8106" s="33"/>
    </row>
    <row r="8107">
      <c r="A8107" s="33"/>
      <c r="B8107" s="33"/>
      <c r="C8107" s="33"/>
      <c r="D8107" s="33"/>
      <c r="E8107" s="33"/>
      <c r="F8107" s="33"/>
      <c r="G8107" s="33"/>
      <c r="H8107" s="33"/>
      <c r="I8107" s="33"/>
      <c r="J8107" s="33"/>
      <c r="K8107" s="33"/>
      <c r="L8107" s="33"/>
      <c r="M8107" s="33"/>
      <c r="N8107" s="33"/>
      <c r="O8107" s="33"/>
      <c r="P8107" s="33"/>
      <c r="Q8107" s="33"/>
      <c r="R8107" s="33"/>
      <c r="S8107" s="33"/>
      <c r="T8107" s="33"/>
      <c r="U8107" s="33"/>
      <c r="V8107" s="33"/>
      <c r="W8107" s="33"/>
      <c r="X8107" s="33"/>
      <c r="Y8107" s="33"/>
      <c r="Z8107" s="33"/>
      <c r="AA8107" s="33"/>
      <c r="AB8107" s="33"/>
      <c r="AC8107" s="33"/>
      <c r="AD8107" s="33"/>
      <c r="AE8107" s="33"/>
      <c r="AF8107" s="33"/>
      <c r="AG8107" s="33"/>
      <c r="AH8107" s="33"/>
      <c r="AI8107" s="33"/>
      <c r="AJ8107" s="33"/>
      <c r="AK8107" s="33"/>
    </row>
    <row r="8108">
      <c r="A8108" s="33"/>
      <c r="B8108" s="33"/>
      <c r="C8108" s="33"/>
      <c r="D8108" s="33"/>
      <c r="E8108" s="33"/>
      <c r="F8108" s="33"/>
      <c r="G8108" s="33"/>
      <c r="H8108" s="33"/>
      <c r="I8108" s="33"/>
      <c r="J8108" s="33"/>
      <c r="K8108" s="33"/>
      <c r="L8108" s="33"/>
      <c r="M8108" s="33"/>
      <c r="N8108" s="33"/>
      <c r="O8108" s="33"/>
      <c r="P8108" s="33"/>
      <c r="Q8108" s="33"/>
      <c r="R8108" s="33"/>
      <c r="S8108" s="33"/>
      <c r="T8108" s="33"/>
      <c r="U8108" s="33"/>
      <c r="V8108" s="33"/>
      <c r="W8108" s="33"/>
      <c r="X8108" s="33"/>
      <c r="Y8108" s="33"/>
      <c r="Z8108" s="33"/>
      <c r="AA8108" s="33"/>
      <c r="AB8108" s="33"/>
      <c r="AC8108" s="33"/>
      <c r="AD8108" s="33"/>
      <c r="AE8108" s="33"/>
      <c r="AF8108" s="33"/>
      <c r="AG8108" s="33"/>
      <c r="AH8108" s="33"/>
      <c r="AI8108" s="33"/>
      <c r="AJ8108" s="33"/>
      <c r="AK8108" s="33"/>
    </row>
    <row r="8109">
      <c r="A8109" s="33"/>
      <c r="B8109" s="33"/>
      <c r="C8109" s="33"/>
      <c r="D8109" s="33"/>
      <c r="E8109" s="33"/>
      <c r="F8109" s="33"/>
      <c r="G8109" s="33"/>
      <c r="H8109" s="33"/>
      <c r="I8109" s="33"/>
      <c r="J8109" s="33"/>
      <c r="K8109" s="33"/>
      <c r="L8109" s="33"/>
      <c r="M8109" s="33"/>
      <c r="N8109" s="33"/>
      <c r="O8109" s="33"/>
      <c r="P8109" s="33"/>
      <c r="Q8109" s="33"/>
      <c r="R8109" s="33"/>
      <c r="S8109" s="33"/>
      <c r="T8109" s="33"/>
      <c r="U8109" s="33"/>
      <c r="V8109" s="33"/>
      <c r="W8109" s="33"/>
      <c r="X8109" s="33"/>
      <c r="Y8109" s="33"/>
      <c r="Z8109" s="33"/>
      <c r="AA8109" s="33"/>
      <c r="AB8109" s="33"/>
      <c r="AC8109" s="33"/>
      <c r="AD8109" s="33"/>
      <c r="AE8109" s="33"/>
      <c r="AF8109" s="33"/>
      <c r="AG8109" s="33"/>
      <c r="AH8109" s="33"/>
      <c r="AI8109" s="33"/>
      <c r="AJ8109" s="33"/>
      <c r="AK8109" s="33"/>
    </row>
    <row r="8110">
      <c r="A8110" s="33"/>
      <c r="B8110" s="33"/>
      <c r="C8110" s="33"/>
      <c r="D8110" s="33"/>
      <c r="E8110" s="33"/>
      <c r="F8110" s="33"/>
      <c r="G8110" s="33"/>
      <c r="H8110" s="33"/>
      <c r="I8110" s="33"/>
      <c r="J8110" s="33"/>
      <c r="K8110" s="33"/>
      <c r="L8110" s="33"/>
      <c r="M8110" s="33"/>
      <c r="N8110" s="33"/>
      <c r="O8110" s="33"/>
      <c r="P8110" s="33"/>
      <c r="Q8110" s="33"/>
      <c r="R8110" s="33"/>
      <c r="S8110" s="33"/>
      <c r="T8110" s="33"/>
      <c r="U8110" s="33"/>
      <c r="V8110" s="33"/>
      <c r="W8110" s="33"/>
      <c r="X8110" s="33"/>
      <c r="Y8110" s="33"/>
      <c r="Z8110" s="33"/>
      <c r="AA8110" s="33"/>
      <c r="AB8110" s="33"/>
      <c r="AC8110" s="33"/>
      <c r="AD8110" s="33"/>
      <c r="AE8110" s="33"/>
      <c r="AF8110" s="33"/>
      <c r="AG8110" s="33"/>
      <c r="AH8110" s="33"/>
      <c r="AI8110" s="33"/>
      <c r="AJ8110" s="33"/>
      <c r="AK8110" s="33"/>
    </row>
    <row r="8111">
      <c r="A8111" s="33"/>
      <c r="B8111" s="33"/>
      <c r="C8111" s="33"/>
      <c r="D8111" s="33"/>
      <c r="E8111" s="33"/>
      <c r="F8111" s="33"/>
      <c r="G8111" s="33"/>
      <c r="H8111" s="33"/>
      <c r="I8111" s="33"/>
      <c r="J8111" s="33"/>
      <c r="K8111" s="33"/>
      <c r="L8111" s="33"/>
      <c r="M8111" s="33"/>
      <c r="N8111" s="33"/>
      <c r="O8111" s="33"/>
      <c r="P8111" s="33"/>
      <c r="Q8111" s="33"/>
      <c r="R8111" s="33"/>
      <c r="S8111" s="33"/>
      <c r="T8111" s="33"/>
      <c r="U8111" s="33"/>
      <c r="V8111" s="33"/>
      <c r="W8111" s="33"/>
      <c r="X8111" s="33"/>
      <c r="Y8111" s="33"/>
      <c r="Z8111" s="33"/>
      <c r="AA8111" s="33"/>
      <c r="AB8111" s="33"/>
      <c r="AC8111" s="33"/>
      <c r="AD8111" s="33"/>
      <c r="AE8111" s="33"/>
      <c r="AF8111" s="33"/>
      <c r="AG8111" s="33"/>
      <c r="AH8111" s="33"/>
      <c r="AI8111" s="33"/>
      <c r="AJ8111" s="33"/>
      <c r="AK8111" s="33"/>
    </row>
    <row r="8112">
      <c r="A8112" s="33"/>
      <c r="B8112" s="33"/>
      <c r="C8112" s="33"/>
      <c r="D8112" s="33"/>
      <c r="E8112" s="33"/>
      <c r="F8112" s="33"/>
      <c r="G8112" s="33"/>
      <c r="H8112" s="33"/>
      <c r="I8112" s="33"/>
      <c r="J8112" s="33"/>
      <c r="K8112" s="33"/>
      <c r="L8112" s="33"/>
      <c r="M8112" s="33"/>
      <c r="N8112" s="33"/>
      <c r="O8112" s="33"/>
      <c r="P8112" s="33"/>
      <c r="Q8112" s="33"/>
      <c r="R8112" s="33"/>
      <c r="S8112" s="33"/>
      <c r="T8112" s="33"/>
      <c r="U8112" s="33"/>
      <c r="V8112" s="33"/>
      <c r="W8112" s="33"/>
      <c r="X8112" s="33"/>
      <c r="Y8112" s="33"/>
      <c r="Z8112" s="33"/>
      <c r="AA8112" s="33"/>
      <c r="AB8112" s="33"/>
      <c r="AC8112" s="33"/>
      <c r="AD8112" s="33"/>
      <c r="AE8112" s="33"/>
      <c r="AF8112" s="33"/>
      <c r="AG8112" s="33"/>
      <c r="AH8112" s="33"/>
      <c r="AI8112" s="33"/>
      <c r="AJ8112" s="33"/>
      <c r="AK8112" s="33"/>
    </row>
    <row r="8113">
      <c r="A8113" s="33"/>
      <c r="B8113" s="33"/>
      <c r="C8113" s="33"/>
      <c r="D8113" s="33"/>
      <c r="E8113" s="33"/>
      <c r="F8113" s="33"/>
      <c r="G8113" s="33"/>
      <c r="H8113" s="33"/>
      <c r="I8113" s="33"/>
      <c r="J8113" s="33"/>
      <c r="K8113" s="33"/>
      <c r="L8113" s="33"/>
      <c r="M8113" s="33"/>
      <c r="N8113" s="33"/>
      <c r="O8113" s="33"/>
      <c r="P8113" s="33"/>
      <c r="Q8113" s="33"/>
      <c r="R8113" s="33"/>
      <c r="S8113" s="33"/>
      <c r="T8113" s="33"/>
      <c r="U8113" s="33"/>
      <c r="V8113" s="33"/>
      <c r="W8113" s="33"/>
      <c r="X8113" s="33"/>
      <c r="Y8113" s="33"/>
      <c r="Z8113" s="33"/>
      <c r="AA8113" s="33"/>
      <c r="AB8113" s="33"/>
      <c r="AC8113" s="33"/>
      <c r="AD8113" s="33"/>
      <c r="AE8113" s="33"/>
      <c r="AF8113" s="33"/>
      <c r="AG8113" s="33"/>
      <c r="AH8113" s="33"/>
      <c r="AI8113" s="33"/>
      <c r="AJ8113" s="33"/>
      <c r="AK8113" s="33"/>
    </row>
    <row r="8114">
      <c r="A8114" s="33"/>
      <c r="B8114" s="33"/>
      <c r="C8114" s="33"/>
      <c r="D8114" s="33"/>
      <c r="E8114" s="33"/>
      <c r="F8114" s="33"/>
      <c r="G8114" s="33"/>
      <c r="H8114" s="33"/>
      <c r="I8114" s="33"/>
      <c r="J8114" s="33"/>
      <c r="K8114" s="33"/>
      <c r="L8114" s="33"/>
      <c r="M8114" s="33"/>
      <c r="N8114" s="33"/>
      <c r="O8114" s="33"/>
      <c r="P8114" s="33"/>
      <c r="Q8114" s="33"/>
      <c r="R8114" s="33"/>
      <c r="S8114" s="33"/>
      <c r="T8114" s="33"/>
      <c r="U8114" s="33"/>
      <c r="V8114" s="33"/>
      <c r="W8114" s="33"/>
      <c r="X8114" s="33"/>
      <c r="Y8114" s="33"/>
      <c r="Z8114" s="33"/>
      <c r="AA8114" s="33"/>
      <c r="AB8114" s="33"/>
      <c r="AC8114" s="33"/>
      <c r="AD8114" s="33"/>
      <c r="AE8114" s="33"/>
      <c r="AF8114" s="33"/>
      <c r="AG8114" s="33"/>
      <c r="AH8114" s="33"/>
      <c r="AI8114" s="33"/>
      <c r="AJ8114" s="33"/>
      <c r="AK8114" s="33"/>
    </row>
    <row r="8115">
      <c r="A8115" s="33"/>
      <c r="B8115" s="33"/>
      <c r="C8115" s="33"/>
      <c r="D8115" s="33"/>
      <c r="E8115" s="33"/>
      <c r="F8115" s="33"/>
      <c r="G8115" s="33"/>
      <c r="H8115" s="33"/>
      <c r="I8115" s="33"/>
      <c r="J8115" s="33"/>
      <c r="K8115" s="33"/>
      <c r="L8115" s="33"/>
      <c r="M8115" s="33"/>
      <c r="N8115" s="33"/>
      <c r="O8115" s="33"/>
      <c r="P8115" s="33"/>
      <c r="Q8115" s="33"/>
      <c r="R8115" s="33"/>
      <c r="S8115" s="33"/>
      <c r="T8115" s="33"/>
      <c r="U8115" s="33"/>
      <c r="V8115" s="33"/>
      <c r="W8115" s="33"/>
      <c r="X8115" s="33"/>
      <c r="Y8115" s="33"/>
      <c r="Z8115" s="33"/>
      <c r="AA8115" s="33"/>
      <c r="AB8115" s="33"/>
      <c r="AC8115" s="33"/>
      <c r="AD8115" s="33"/>
      <c r="AE8115" s="33"/>
      <c r="AF8115" s="33"/>
      <c r="AG8115" s="33"/>
      <c r="AH8115" s="33"/>
      <c r="AI8115" s="33"/>
      <c r="AJ8115" s="33"/>
      <c r="AK8115" s="33"/>
    </row>
    <row r="8116">
      <c r="A8116" s="33"/>
      <c r="B8116" s="33"/>
      <c r="C8116" s="33"/>
      <c r="D8116" s="33"/>
      <c r="E8116" s="33"/>
      <c r="F8116" s="33"/>
      <c r="G8116" s="33"/>
      <c r="H8116" s="33"/>
      <c r="I8116" s="33"/>
      <c r="J8116" s="33"/>
      <c r="K8116" s="33"/>
      <c r="L8116" s="33"/>
      <c r="M8116" s="33"/>
      <c r="N8116" s="33"/>
      <c r="O8116" s="33"/>
      <c r="P8116" s="33"/>
      <c r="Q8116" s="33"/>
      <c r="R8116" s="33"/>
      <c r="S8116" s="33"/>
      <c r="T8116" s="33"/>
      <c r="U8116" s="33"/>
      <c r="V8116" s="33"/>
      <c r="W8116" s="33"/>
      <c r="X8116" s="33"/>
      <c r="Y8116" s="33"/>
      <c r="Z8116" s="33"/>
      <c r="AA8116" s="33"/>
      <c r="AB8116" s="33"/>
      <c r="AC8116" s="33"/>
      <c r="AD8116" s="33"/>
      <c r="AE8116" s="33"/>
      <c r="AF8116" s="33"/>
      <c r="AG8116" s="33"/>
      <c r="AH8116" s="33"/>
      <c r="AI8116" s="33"/>
      <c r="AJ8116" s="33"/>
      <c r="AK8116" s="33"/>
    </row>
    <row r="8117">
      <c r="A8117" s="33"/>
      <c r="B8117" s="33"/>
      <c r="C8117" s="33"/>
      <c r="D8117" s="33"/>
      <c r="E8117" s="33"/>
      <c r="F8117" s="33"/>
      <c r="G8117" s="33"/>
      <c r="H8117" s="33"/>
      <c r="I8117" s="33"/>
      <c r="J8117" s="33"/>
      <c r="K8117" s="33"/>
      <c r="L8117" s="33"/>
      <c r="M8117" s="33"/>
      <c r="N8117" s="33"/>
      <c r="O8117" s="33"/>
      <c r="P8117" s="33"/>
      <c r="Q8117" s="33"/>
      <c r="R8117" s="33"/>
      <c r="S8117" s="33"/>
      <c r="T8117" s="33"/>
      <c r="U8117" s="33"/>
      <c r="V8117" s="33"/>
      <c r="W8117" s="33"/>
      <c r="X8117" s="33"/>
      <c r="Y8117" s="33"/>
      <c r="Z8117" s="33"/>
      <c r="AA8117" s="33"/>
      <c r="AB8117" s="33"/>
      <c r="AC8117" s="33"/>
      <c r="AD8117" s="33"/>
      <c r="AE8117" s="33"/>
      <c r="AF8117" s="33"/>
      <c r="AG8117" s="33"/>
      <c r="AH8117" s="33"/>
      <c r="AI8117" s="33"/>
      <c r="AJ8117" s="33"/>
      <c r="AK8117" s="33"/>
    </row>
    <row r="8118">
      <c r="A8118" s="33"/>
      <c r="B8118" s="33"/>
      <c r="C8118" s="33"/>
      <c r="D8118" s="33"/>
      <c r="E8118" s="33"/>
      <c r="F8118" s="33"/>
      <c r="G8118" s="33"/>
      <c r="H8118" s="33"/>
      <c r="I8118" s="33"/>
      <c r="J8118" s="33"/>
      <c r="K8118" s="33"/>
      <c r="L8118" s="33"/>
      <c r="M8118" s="33"/>
      <c r="N8118" s="33"/>
      <c r="O8118" s="33"/>
      <c r="P8118" s="33"/>
      <c r="Q8118" s="33"/>
      <c r="R8118" s="33"/>
      <c r="S8118" s="33"/>
      <c r="T8118" s="33"/>
      <c r="U8118" s="33"/>
      <c r="V8118" s="33"/>
      <c r="W8118" s="33"/>
      <c r="X8118" s="33"/>
      <c r="Y8118" s="33"/>
      <c r="Z8118" s="33"/>
      <c r="AA8118" s="33"/>
      <c r="AB8118" s="33"/>
      <c r="AC8118" s="33"/>
      <c r="AD8118" s="33"/>
      <c r="AE8118" s="33"/>
      <c r="AF8118" s="33"/>
      <c r="AG8118" s="33"/>
      <c r="AH8118" s="33"/>
      <c r="AI8118" s="33"/>
      <c r="AJ8118" s="33"/>
      <c r="AK8118" s="33"/>
    </row>
    <row r="8119">
      <c r="A8119" s="33"/>
      <c r="B8119" s="33"/>
      <c r="C8119" s="33"/>
      <c r="D8119" s="33"/>
      <c r="E8119" s="33"/>
      <c r="F8119" s="33"/>
      <c r="G8119" s="33"/>
      <c r="H8119" s="33"/>
      <c r="I8119" s="33"/>
      <c r="J8119" s="33"/>
      <c r="K8119" s="33"/>
      <c r="L8119" s="33"/>
      <c r="M8119" s="33"/>
      <c r="N8119" s="33"/>
      <c r="O8119" s="33"/>
      <c r="P8119" s="33"/>
      <c r="Q8119" s="33"/>
      <c r="R8119" s="33"/>
      <c r="S8119" s="33"/>
      <c r="T8119" s="33"/>
      <c r="U8119" s="33"/>
      <c r="V8119" s="33"/>
      <c r="W8119" s="33"/>
      <c r="X8119" s="33"/>
      <c r="Y8119" s="33"/>
      <c r="Z8119" s="33"/>
      <c r="AA8119" s="33"/>
      <c r="AB8119" s="33"/>
      <c r="AC8119" s="33"/>
      <c r="AD8119" s="33"/>
      <c r="AE8119" s="33"/>
      <c r="AF8119" s="33"/>
      <c r="AG8119" s="33"/>
      <c r="AH8119" s="33"/>
      <c r="AI8119" s="33"/>
      <c r="AJ8119" s="33"/>
      <c r="AK8119" s="33"/>
    </row>
    <row r="8120">
      <c r="A8120" s="33"/>
      <c r="B8120" s="33"/>
      <c r="C8120" s="33"/>
      <c r="D8120" s="33"/>
      <c r="E8120" s="33"/>
      <c r="F8120" s="33"/>
      <c r="G8120" s="33"/>
      <c r="H8120" s="33"/>
      <c r="I8120" s="33"/>
      <c r="J8120" s="33"/>
      <c r="K8120" s="33"/>
      <c r="L8120" s="33"/>
      <c r="M8120" s="33"/>
      <c r="N8120" s="33"/>
      <c r="O8120" s="33"/>
      <c r="P8120" s="33"/>
      <c r="Q8120" s="33"/>
      <c r="R8120" s="33"/>
      <c r="S8120" s="33"/>
      <c r="T8120" s="33"/>
      <c r="U8120" s="33"/>
      <c r="V8120" s="33"/>
      <c r="W8120" s="33"/>
      <c r="X8120" s="33"/>
      <c r="Y8120" s="33"/>
      <c r="Z8120" s="33"/>
      <c r="AA8120" s="33"/>
      <c r="AB8120" s="33"/>
      <c r="AC8120" s="33"/>
      <c r="AD8120" s="33"/>
      <c r="AE8120" s="33"/>
      <c r="AF8120" s="33"/>
      <c r="AG8120" s="33"/>
      <c r="AH8120" s="33"/>
      <c r="AI8120" s="33"/>
      <c r="AJ8120" s="33"/>
      <c r="AK8120" s="33"/>
    </row>
    <row r="8121">
      <c r="A8121" s="33"/>
      <c r="B8121" s="33"/>
      <c r="C8121" s="33"/>
      <c r="D8121" s="33"/>
      <c r="E8121" s="33"/>
      <c r="F8121" s="33"/>
      <c r="G8121" s="33"/>
      <c r="H8121" s="33"/>
      <c r="I8121" s="33"/>
      <c r="J8121" s="33"/>
      <c r="K8121" s="33"/>
      <c r="L8121" s="33"/>
      <c r="M8121" s="33"/>
      <c r="N8121" s="33"/>
      <c r="O8121" s="33"/>
      <c r="P8121" s="33"/>
      <c r="Q8121" s="33"/>
      <c r="R8121" s="33"/>
      <c r="S8121" s="33"/>
      <c r="T8121" s="33"/>
      <c r="U8121" s="33"/>
      <c r="V8121" s="33"/>
      <c r="W8121" s="33"/>
      <c r="X8121" s="33"/>
      <c r="Y8121" s="33"/>
      <c r="Z8121" s="33"/>
      <c r="AA8121" s="33"/>
      <c r="AB8121" s="33"/>
      <c r="AC8121" s="33"/>
      <c r="AD8121" s="33"/>
      <c r="AE8121" s="33"/>
      <c r="AF8121" s="33"/>
      <c r="AG8121" s="33"/>
      <c r="AH8121" s="33"/>
      <c r="AI8121" s="33"/>
      <c r="AJ8121" s="33"/>
      <c r="AK8121" s="33"/>
    </row>
    <row r="8122">
      <c r="A8122" s="33"/>
      <c r="B8122" s="33"/>
      <c r="C8122" s="33"/>
      <c r="D8122" s="33"/>
      <c r="E8122" s="33"/>
      <c r="F8122" s="33"/>
      <c r="G8122" s="33"/>
      <c r="H8122" s="33"/>
      <c r="I8122" s="33"/>
      <c r="J8122" s="33"/>
      <c r="K8122" s="33"/>
      <c r="L8122" s="33"/>
      <c r="M8122" s="33"/>
      <c r="N8122" s="33"/>
      <c r="O8122" s="33"/>
      <c r="P8122" s="33"/>
      <c r="Q8122" s="33"/>
      <c r="R8122" s="33"/>
      <c r="S8122" s="33"/>
      <c r="T8122" s="33"/>
      <c r="U8122" s="33"/>
      <c r="V8122" s="33"/>
      <c r="W8122" s="33"/>
      <c r="X8122" s="33"/>
      <c r="Y8122" s="33"/>
      <c r="Z8122" s="33"/>
      <c r="AA8122" s="33"/>
      <c r="AB8122" s="33"/>
      <c r="AC8122" s="33"/>
      <c r="AD8122" s="33"/>
      <c r="AE8122" s="33"/>
      <c r="AF8122" s="33"/>
      <c r="AG8122" s="33"/>
      <c r="AH8122" s="33"/>
      <c r="AI8122" s="33"/>
      <c r="AJ8122" s="33"/>
      <c r="AK8122" s="33"/>
    </row>
    <row r="8123">
      <c r="A8123" s="33"/>
      <c r="B8123" s="33"/>
      <c r="C8123" s="33"/>
      <c r="D8123" s="33"/>
      <c r="E8123" s="33"/>
      <c r="F8123" s="33"/>
      <c r="G8123" s="33"/>
      <c r="H8123" s="33"/>
      <c r="I8123" s="33"/>
      <c r="J8123" s="33"/>
      <c r="K8123" s="33"/>
      <c r="L8123" s="33"/>
      <c r="M8123" s="33"/>
      <c r="N8123" s="33"/>
      <c r="O8123" s="33"/>
      <c r="P8123" s="33"/>
      <c r="Q8123" s="33"/>
      <c r="R8123" s="33"/>
      <c r="S8123" s="33"/>
      <c r="T8123" s="33"/>
      <c r="U8123" s="33"/>
      <c r="V8123" s="33"/>
      <c r="W8123" s="33"/>
      <c r="X8123" s="33"/>
      <c r="Y8123" s="33"/>
      <c r="Z8123" s="33"/>
      <c r="AA8123" s="33"/>
      <c r="AB8123" s="33"/>
      <c r="AC8123" s="33"/>
      <c r="AD8123" s="33"/>
      <c r="AE8123" s="33"/>
      <c r="AF8123" s="33"/>
      <c r="AG8123" s="33"/>
      <c r="AH8123" s="33"/>
      <c r="AI8123" s="33"/>
      <c r="AJ8123" s="33"/>
      <c r="AK8123" s="33"/>
    </row>
    <row r="8124">
      <c r="A8124" s="33"/>
      <c r="B8124" s="33"/>
      <c r="C8124" s="33"/>
      <c r="D8124" s="33"/>
      <c r="E8124" s="33"/>
      <c r="F8124" s="33"/>
      <c r="G8124" s="33"/>
      <c r="H8124" s="33"/>
      <c r="I8124" s="33"/>
      <c r="J8124" s="33"/>
      <c r="K8124" s="33"/>
      <c r="L8124" s="33"/>
      <c r="M8124" s="33"/>
      <c r="N8124" s="33"/>
      <c r="O8124" s="33"/>
      <c r="P8124" s="33"/>
      <c r="Q8124" s="33"/>
      <c r="R8124" s="33"/>
      <c r="S8124" s="33"/>
      <c r="T8124" s="33"/>
      <c r="U8124" s="33"/>
      <c r="V8124" s="33"/>
      <c r="W8124" s="33"/>
      <c r="X8124" s="33"/>
      <c r="Y8124" s="33"/>
      <c r="Z8124" s="33"/>
      <c r="AA8124" s="33"/>
      <c r="AB8124" s="33"/>
      <c r="AC8124" s="33"/>
      <c r="AD8124" s="33"/>
      <c r="AE8124" s="33"/>
      <c r="AF8124" s="33"/>
      <c r="AG8124" s="33"/>
      <c r="AH8124" s="33"/>
      <c r="AI8124" s="33"/>
      <c r="AJ8124" s="33"/>
      <c r="AK8124" s="33"/>
    </row>
    <row r="8125">
      <c r="A8125" s="33"/>
      <c r="B8125" s="33"/>
      <c r="C8125" s="33"/>
      <c r="D8125" s="33"/>
      <c r="E8125" s="33"/>
      <c r="F8125" s="33"/>
      <c r="G8125" s="33"/>
      <c r="H8125" s="33"/>
      <c r="I8125" s="33"/>
      <c r="J8125" s="33"/>
      <c r="K8125" s="33"/>
      <c r="L8125" s="33"/>
      <c r="M8125" s="33"/>
      <c r="N8125" s="33"/>
      <c r="O8125" s="33"/>
      <c r="P8125" s="33"/>
      <c r="Q8125" s="33"/>
      <c r="R8125" s="33"/>
      <c r="S8125" s="33"/>
      <c r="T8125" s="33"/>
      <c r="U8125" s="33"/>
      <c r="V8125" s="33"/>
      <c r="W8125" s="33"/>
      <c r="X8125" s="33"/>
      <c r="Y8125" s="33"/>
      <c r="Z8125" s="33"/>
      <c r="AA8125" s="33"/>
      <c r="AB8125" s="33"/>
      <c r="AC8125" s="33"/>
      <c r="AD8125" s="33"/>
      <c r="AE8125" s="33"/>
      <c r="AF8125" s="33"/>
      <c r="AG8125" s="33"/>
      <c r="AH8125" s="33"/>
      <c r="AI8125" s="33"/>
      <c r="AJ8125" s="33"/>
      <c r="AK8125" s="33"/>
    </row>
    <row r="8126">
      <c r="A8126" s="33"/>
      <c r="B8126" s="33"/>
      <c r="C8126" s="33"/>
      <c r="D8126" s="33"/>
      <c r="E8126" s="33"/>
      <c r="F8126" s="33"/>
      <c r="G8126" s="33"/>
      <c r="H8126" s="33"/>
      <c r="I8126" s="33"/>
      <c r="J8126" s="33"/>
      <c r="K8126" s="33"/>
      <c r="L8126" s="33"/>
      <c r="M8126" s="33"/>
      <c r="N8126" s="33"/>
      <c r="O8126" s="33"/>
      <c r="P8126" s="33"/>
      <c r="Q8126" s="33"/>
      <c r="R8126" s="33"/>
      <c r="S8126" s="33"/>
      <c r="T8126" s="33"/>
      <c r="U8126" s="33"/>
      <c r="V8126" s="33"/>
      <c r="W8126" s="33"/>
      <c r="X8126" s="33"/>
      <c r="Y8126" s="33"/>
      <c r="Z8126" s="33"/>
      <c r="AA8126" s="33"/>
      <c r="AB8126" s="33"/>
      <c r="AC8126" s="33"/>
      <c r="AD8126" s="33"/>
      <c r="AE8126" s="33"/>
      <c r="AF8126" s="33"/>
      <c r="AG8126" s="33"/>
      <c r="AH8126" s="33"/>
      <c r="AI8126" s="33"/>
      <c r="AJ8126" s="33"/>
      <c r="AK8126" s="33"/>
    </row>
    <row r="8127">
      <c r="A8127" s="33"/>
      <c r="B8127" s="33"/>
      <c r="C8127" s="33"/>
      <c r="D8127" s="33"/>
      <c r="E8127" s="33"/>
      <c r="F8127" s="33"/>
      <c r="G8127" s="33"/>
      <c r="H8127" s="33"/>
      <c r="I8127" s="33"/>
      <c r="J8127" s="33"/>
      <c r="K8127" s="33"/>
      <c r="L8127" s="33"/>
      <c r="M8127" s="33"/>
      <c r="N8127" s="33"/>
      <c r="O8127" s="33"/>
      <c r="P8127" s="33"/>
      <c r="Q8127" s="33"/>
      <c r="R8127" s="33"/>
      <c r="S8127" s="33"/>
      <c r="T8127" s="33"/>
      <c r="U8127" s="33"/>
      <c r="V8127" s="33"/>
      <c r="W8127" s="33"/>
      <c r="X8127" s="33"/>
      <c r="Y8127" s="33"/>
      <c r="Z8127" s="33"/>
      <c r="AA8127" s="33"/>
      <c r="AB8127" s="33"/>
      <c r="AC8127" s="33"/>
      <c r="AD8127" s="33"/>
      <c r="AE8127" s="33"/>
      <c r="AF8127" s="33"/>
      <c r="AG8127" s="33"/>
      <c r="AH8127" s="33"/>
      <c r="AI8127" s="33"/>
      <c r="AJ8127" s="33"/>
      <c r="AK8127" s="33"/>
    </row>
    <row r="8128">
      <c r="A8128" s="33"/>
      <c r="B8128" s="33"/>
      <c r="C8128" s="33"/>
      <c r="D8128" s="33"/>
      <c r="E8128" s="33"/>
      <c r="F8128" s="33"/>
      <c r="G8128" s="33"/>
      <c r="H8128" s="33"/>
      <c r="I8128" s="33"/>
      <c r="J8128" s="33"/>
      <c r="K8128" s="33"/>
      <c r="L8128" s="33"/>
      <c r="M8128" s="33"/>
      <c r="N8128" s="33"/>
      <c r="O8128" s="33"/>
      <c r="P8128" s="33"/>
      <c r="Q8128" s="33"/>
      <c r="R8128" s="33"/>
      <c r="S8128" s="33"/>
      <c r="T8128" s="33"/>
      <c r="U8128" s="33"/>
      <c r="V8128" s="33"/>
      <c r="W8128" s="33"/>
      <c r="X8128" s="33"/>
      <c r="Y8128" s="33"/>
      <c r="Z8128" s="33"/>
      <c r="AA8128" s="33"/>
      <c r="AB8128" s="33"/>
      <c r="AC8128" s="33"/>
      <c r="AD8128" s="33"/>
      <c r="AE8128" s="33"/>
      <c r="AF8128" s="33"/>
      <c r="AG8128" s="33"/>
      <c r="AH8128" s="33"/>
      <c r="AI8128" s="33"/>
      <c r="AJ8128" s="33"/>
      <c r="AK8128" s="33"/>
    </row>
    <row r="8129">
      <c r="A8129" s="33"/>
      <c r="B8129" s="33"/>
      <c r="C8129" s="33"/>
      <c r="D8129" s="33"/>
      <c r="E8129" s="33"/>
      <c r="F8129" s="33"/>
      <c r="G8129" s="33"/>
      <c r="H8129" s="33"/>
      <c r="I8129" s="33"/>
      <c r="J8129" s="33"/>
      <c r="K8129" s="33"/>
      <c r="L8129" s="33"/>
      <c r="M8129" s="33"/>
      <c r="N8129" s="33"/>
      <c r="O8129" s="33"/>
      <c r="P8129" s="33"/>
      <c r="Q8129" s="33"/>
      <c r="R8129" s="33"/>
      <c r="S8129" s="33"/>
      <c r="T8129" s="33"/>
      <c r="U8129" s="33"/>
      <c r="V8129" s="33"/>
      <c r="W8129" s="33"/>
      <c r="X8129" s="33"/>
      <c r="Y8129" s="33"/>
      <c r="Z8129" s="33"/>
      <c r="AA8129" s="33"/>
      <c r="AB8129" s="33"/>
      <c r="AC8129" s="33"/>
      <c r="AD8129" s="33"/>
      <c r="AE8129" s="33"/>
      <c r="AF8129" s="33"/>
      <c r="AG8129" s="33"/>
      <c r="AH8129" s="33"/>
      <c r="AI8129" s="33"/>
      <c r="AJ8129" s="33"/>
      <c r="AK8129" s="33"/>
    </row>
    <row r="8130">
      <c r="A8130" s="33"/>
      <c r="B8130" s="33"/>
      <c r="C8130" s="33"/>
      <c r="D8130" s="33"/>
      <c r="E8130" s="33"/>
      <c r="F8130" s="33"/>
      <c r="G8130" s="33"/>
      <c r="H8130" s="33"/>
      <c r="I8130" s="33"/>
      <c r="J8130" s="33"/>
      <c r="K8130" s="33"/>
      <c r="L8130" s="33"/>
      <c r="M8130" s="33"/>
      <c r="N8130" s="33"/>
      <c r="O8130" s="33"/>
      <c r="P8130" s="33"/>
      <c r="Q8130" s="33"/>
      <c r="R8130" s="33"/>
      <c r="S8130" s="33"/>
      <c r="T8130" s="33"/>
      <c r="U8130" s="33"/>
      <c r="V8130" s="33"/>
      <c r="W8130" s="33"/>
      <c r="X8130" s="33"/>
      <c r="Y8130" s="33"/>
      <c r="Z8130" s="33"/>
      <c r="AA8130" s="33"/>
      <c r="AB8130" s="33"/>
      <c r="AC8130" s="33"/>
      <c r="AD8130" s="33"/>
      <c r="AE8130" s="33"/>
      <c r="AF8130" s="33"/>
      <c r="AG8130" s="33"/>
      <c r="AH8130" s="33"/>
      <c r="AI8130" s="33"/>
      <c r="AJ8130" s="33"/>
      <c r="AK8130" s="33"/>
    </row>
    <row r="8131">
      <c r="A8131" s="33"/>
      <c r="B8131" s="33"/>
      <c r="C8131" s="33"/>
      <c r="D8131" s="33"/>
      <c r="E8131" s="33"/>
      <c r="F8131" s="33"/>
      <c r="G8131" s="33"/>
      <c r="H8131" s="33"/>
      <c r="I8131" s="33"/>
      <c r="J8131" s="33"/>
      <c r="K8131" s="33"/>
      <c r="L8131" s="33"/>
      <c r="M8131" s="33"/>
      <c r="N8131" s="33"/>
      <c r="O8131" s="33"/>
      <c r="P8131" s="33"/>
      <c r="Q8131" s="33"/>
      <c r="R8131" s="33"/>
      <c r="S8131" s="33"/>
      <c r="T8131" s="33"/>
      <c r="U8131" s="33"/>
      <c r="V8131" s="33"/>
      <c r="W8131" s="33"/>
      <c r="X8131" s="33"/>
      <c r="Y8131" s="33"/>
      <c r="Z8131" s="33"/>
      <c r="AA8131" s="33"/>
      <c r="AB8131" s="33"/>
      <c r="AC8131" s="33"/>
      <c r="AD8131" s="33"/>
      <c r="AE8131" s="33"/>
      <c r="AF8131" s="33"/>
      <c r="AG8131" s="33"/>
      <c r="AH8131" s="33"/>
      <c r="AI8131" s="33"/>
      <c r="AJ8131" s="33"/>
      <c r="AK8131" s="33"/>
    </row>
    <row r="8132">
      <c r="A8132" s="33"/>
      <c r="B8132" s="33"/>
      <c r="C8132" s="33"/>
      <c r="D8132" s="33"/>
      <c r="E8132" s="33"/>
      <c r="F8132" s="33"/>
      <c r="G8132" s="33"/>
      <c r="H8132" s="33"/>
      <c r="I8132" s="33"/>
      <c r="J8132" s="33"/>
      <c r="K8132" s="33"/>
      <c r="L8132" s="33"/>
      <c r="M8132" s="33"/>
      <c r="N8132" s="33"/>
      <c r="O8132" s="33"/>
      <c r="P8132" s="33"/>
      <c r="Q8132" s="33"/>
      <c r="R8132" s="33"/>
      <c r="S8132" s="33"/>
      <c r="T8132" s="33"/>
      <c r="U8132" s="33"/>
      <c r="V8132" s="33"/>
      <c r="W8132" s="33"/>
      <c r="X8132" s="33"/>
      <c r="Y8132" s="33"/>
      <c r="Z8132" s="33"/>
      <c r="AA8132" s="33"/>
      <c r="AB8132" s="33"/>
      <c r="AC8132" s="33"/>
      <c r="AD8132" s="33"/>
      <c r="AE8132" s="33"/>
      <c r="AF8132" s="33"/>
      <c r="AG8132" s="33"/>
      <c r="AH8132" s="33"/>
      <c r="AI8132" s="33"/>
      <c r="AJ8132" s="33"/>
      <c r="AK8132" s="33"/>
    </row>
    <row r="8133">
      <c r="A8133" s="33"/>
      <c r="B8133" s="33"/>
      <c r="C8133" s="33"/>
      <c r="D8133" s="33"/>
      <c r="E8133" s="33"/>
      <c r="F8133" s="33"/>
      <c r="G8133" s="33"/>
      <c r="H8133" s="33"/>
      <c r="I8133" s="33"/>
      <c r="J8133" s="33"/>
      <c r="K8133" s="33"/>
      <c r="L8133" s="33"/>
      <c r="M8133" s="33"/>
      <c r="N8133" s="33"/>
      <c r="O8133" s="33"/>
      <c r="P8133" s="33"/>
      <c r="Q8133" s="33"/>
      <c r="R8133" s="33"/>
      <c r="S8133" s="33"/>
      <c r="T8133" s="33"/>
      <c r="U8133" s="33"/>
      <c r="V8133" s="33"/>
      <c r="W8133" s="33"/>
      <c r="X8133" s="33"/>
      <c r="Y8133" s="33"/>
      <c r="Z8133" s="33"/>
      <c r="AA8133" s="33"/>
      <c r="AB8133" s="33"/>
      <c r="AC8133" s="33"/>
      <c r="AD8133" s="33"/>
      <c r="AE8133" s="33"/>
      <c r="AF8133" s="33"/>
      <c r="AG8133" s="33"/>
      <c r="AH8133" s="33"/>
      <c r="AI8133" s="33"/>
      <c r="AJ8133" s="33"/>
      <c r="AK8133" s="33"/>
    </row>
    <row r="8134">
      <c r="A8134" s="33"/>
      <c r="B8134" s="33"/>
      <c r="C8134" s="33"/>
      <c r="D8134" s="33"/>
      <c r="E8134" s="33"/>
      <c r="F8134" s="33"/>
      <c r="G8134" s="33"/>
      <c r="H8134" s="33"/>
      <c r="I8134" s="33"/>
      <c r="J8134" s="33"/>
      <c r="K8134" s="33"/>
      <c r="L8134" s="33"/>
      <c r="M8134" s="33"/>
      <c r="N8134" s="33"/>
      <c r="O8134" s="33"/>
      <c r="P8134" s="33"/>
      <c r="Q8134" s="33"/>
      <c r="R8134" s="33"/>
      <c r="S8134" s="33"/>
      <c r="T8134" s="33"/>
      <c r="U8134" s="33"/>
      <c r="V8134" s="33"/>
      <c r="W8134" s="33"/>
      <c r="X8134" s="33"/>
      <c r="Y8134" s="33"/>
      <c r="Z8134" s="33"/>
      <c r="AA8134" s="33"/>
      <c r="AB8134" s="33"/>
      <c r="AC8134" s="33"/>
      <c r="AD8134" s="33"/>
      <c r="AE8134" s="33"/>
      <c r="AF8134" s="33"/>
      <c r="AG8134" s="33"/>
      <c r="AH8134" s="33"/>
      <c r="AI8134" s="33"/>
      <c r="AJ8134" s="33"/>
      <c r="AK8134" s="33"/>
    </row>
    <row r="8135">
      <c r="A8135" s="33"/>
      <c r="B8135" s="33"/>
      <c r="C8135" s="33"/>
      <c r="D8135" s="33"/>
      <c r="E8135" s="33"/>
      <c r="F8135" s="33"/>
      <c r="G8135" s="33"/>
      <c r="H8135" s="33"/>
      <c r="I8135" s="33"/>
      <c r="J8135" s="33"/>
      <c r="K8135" s="33"/>
      <c r="L8135" s="33"/>
      <c r="M8135" s="33"/>
      <c r="N8135" s="33"/>
      <c r="O8135" s="33"/>
      <c r="P8135" s="33"/>
      <c r="Q8135" s="33"/>
      <c r="R8135" s="33"/>
      <c r="S8135" s="33"/>
      <c r="T8135" s="33"/>
      <c r="U8135" s="33"/>
      <c r="V8135" s="33"/>
      <c r="W8135" s="33"/>
      <c r="X8135" s="33"/>
      <c r="Y8135" s="33"/>
      <c r="Z8135" s="33"/>
      <c r="AA8135" s="33"/>
      <c r="AB8135" s="33"/>
      <c r="AC8135" s="33"/>
      <c r="AD8135" s="33"/>
      <c r="AE8135" s="33"/>
      <c r="AF8135" s="33"/>
      <c r="AG8135" s="33"/>
      <c r="AH8135" s="33"/>
      <c r="AI8135" s="33"/>
      <c r="AJ8135" s="33"/>
      <c r="AK8135" s="33"/>
    </row>
    <row r="8136">
      <c r="A8136" s="33"/>
      <c r="B8136" s="33"/>
      <c r="C8136" s="33"/>
      <c r="D8136" s="33"/>
      <c r="E8136" s="33"/>
      <c r="F8136" s="33"/>
      <c r="G8136" s="33"/>
      <c r="H8136" s="33"/>
      <c r="I8136" s="33"/>
      <c r="J8136" s="33"/>
      <c r="K8136" s="33"/>
      <c r="L8136" s="33"/>
      <c r="M8136" s="33"/>
      <c r="N8136" s="33"/>
      <c r="O8136" s="33"/>
      <c r="P8136" s="33"/>
      <c r="Q8136" s="33"/>
      <c r="R8136" s="33"/>
      <c r="S8136" s="33"/>
      <c r="T8136" s="33"/>
      <c r="U8136" s="33"/>
      <c r="V8136" s="33"/>
      <c r="W8136" s="33"/>
      <c r="X8136" s="33"/>
      <c r="Y8136" s="33"/>
      <c r="Z8136" s="33"/>
      <c r="AA8136" s="33"/>
      <c r="AB8136" s="33"/>
      <c r="AC8136" s="33"/>
      <c r="AD8136" s="33"/>
      <c r="AE8136" s="33"/>
      <c r="AF8136" s="33"/>
      <c r="AG8136" s="33"/>
      <c r="AH8136" s="33"/>
      <c r="AI8136" s="33"/>
      <c r="AJ8136" s="33"/>
      <c r="AK8136" s="33"/>
    </row>
    <row r="8137">
      <c r="A8137" s="33"/>
      <c r="B8137" s="33"/>
      <c r="C8137" s="33"/>
      <c r="D8137" s="33"/>
      <c r="E8137" s="33"/>
      <c r="F8137" s="33"/>
      <c r="G8137" s="33"/>
      <c r="H8137" s="33"/>
      <c r="I8137" s="33"/>
      <c r="J8137" s="33"/>
      <c r="K8137" s="33"/>
      <c r="L8137" s="33"/>
      <c r="M8137" s="33"/>
      <c r="N8137" s="33"/>
      <c r="O8137" s="33"/>
      <c r="P8137" s="33"/>
      <c r="Q8137" s="33"/>
      <c r="R8137" s="33"/>
      <c r="S8137" s="33"/>
      <c r="T8137" s="33"/>
      <c r="U8137" s="33"/>
      <c r="V8137" s="33"/>
      <c r="W8137" s="33"/>
      <c r="X8137" s="33"/>
      <c r="Y8137" s="33"/>
      <c r="Z8137" s="33"/>
      <c r="AA8137" s="33"/>
      <c r="AB8137" s="33"/>
      <c r="AC8137" s="33"/>
      <c r="AD8137" s="33"/>
      <c r="AE8137" s="33"/>
      <c r="AF8137" s="33"/>
      <c r="AG8137" s="33"/>
      <c r="AH8137" s="33"/>
      <c r="AI8137" s="33"/>
      <c r="AJ8137" s="33"/>
      <c r="AK8137" s="33"/>
    </row>
    <row r="8138">
      <c r="A8138" s="33"/>
      <c r="B8138" s="33"/>
      <c r="C8138" s="33"/>
      <c r="D8138" s="33"/>
      <c r="E8138" s="33"/>
      <c r="F8138" s="33"/>
      <c r="G8138" s="33"/>
      <c r="H8138" s="33"/>
      <c r="I8138" s="33"/>
      <c r="J8138" s="33"/>
      <c r="K8138" s="33"/>
      <c r="L8138" s="33"/>
      <c r="M8138" s="33"/>
      <c r="N8138" s="33"/>
      <c r="O8138" s="33"/>
      <c r="P8138" s="33"/>
      <c r="Q8138" s="33"/>
      <c r="R8138" s="33"/>
      <c r="S8138" s="33"/>
      <c r="T8138" s="33"/>
      <c r="U8138" s="33"/>
      <c r="V8138" s="33"/>
      <c r="W8138" s="33"/>
      <c r="X8138" s="33"/>
      <c r="Y8138" s="33"/>
      <c r="Z8138" s="33"/>
      <c r="AA8138" s="33"/>
      <c r="AB8138" s="33"/>
      <c r="AC8138" s="33"/>
      <c r="AD8138" s="33"/>
      <c r="AE8138" s="33"/>
      <c r="AF8138" s="33"/>
      <c r="AG8138" s="33"/>
      <c r="AH8138" s="33"/>
      <c r="AI8138" s="33"/>
      <c r="AJ8138" s="33"/>
      <c r="AK8138" s="33"/>
    </row>
    <row r="8139">
      <c r="A8139" s="33"/>
      <c r="B8139" s="33"/>
      <c r="C8139" s="33"/>
      <c r="D8139" s="33"/>
      <c r="E8139" s="33"/>
      <c r="F8139" s="33"/>
      <c r="G8139" s="33"/>
      <c r="H8139" s="33"/>
      <c r="I8139" s="33"/>
      <c r="J8139" s="33"/>
      <c r="K8139" s="33"/>
      <c r="L8139" s="33"/>
      <c r="M8139" s="33"/>
      <c r="N8139" s="33"/>
      <c r="O8139" s="33"/>
      <c r="P8139" s="33"/>
      <c r="Q8139" s="33"/>
      <c r="R8139" s="33"/>
      <c r="S8139" s="33"/>
      <c r="T8139" s="33"/>
      <c r="U8139" s="33"/>
      <c r="V8139" s="33"/>
      <c r="W8139" s="33"/>
      <c r="X8139" s="33"/>
      <c r="Y8139" s="33"/>
      <c r="Z8139" s="33"/>
      <c r="AA8139" s="33"/>
      <c r="AB8139" s="33"/>
      <c r="AC8139" s="33"/>
      <c r="AD8139" s="33"/>
      <c r="AE8139" s="33"/>
      <c r="AF8139" s="33"/>
      <c r="AG8139" s="33"/>
      <c r="AH8139" s="33"/>
      <c r="AI8139" s="33"/>
      <c r="AJ8139" s="33"/>
      <c r="AK8139" s="33"/>
    </row>
    <row r="8140">
      <c r="A8140" s="33"/>
      <c r="B8140" s="33"/>
      <c r="C8140" s="33"/>
      <c r="D8140" s="33"/>
      <c r="E8140" s="33"/>
      <c r="F8140" s="33"/>
      <c r="G8140" s="33"/>
      <c r="H8140" s="33"/>
      <c r="I8140" s="33"/>
      <c r="J8140" s="33"/>
      <c r="K8140" s="33"/>
      <c r="L8140" s="33"/>
      <c r="M8140" s="33"/>
      <c r="N8140" s="33"/>
      <c r="O8140" s="33"/>
      <c r="P8140" s="33"/>
      <c r="Q8140" s="33"/>
      <c r="R8140" s="33"/>
      <c r="S8140" s="33"/>
      <c r="T8140" s="33"/>
      <c r="U8140" s="33"/>
      <c r="V8140" s="33"/>
      <c r="W8140" s="33"/>
      <c r="X8140" s="33"/>
      <c r="Y8140" s="33"/>
      <c r="Z8140" s="33"/>
      <c r="AA8140" s="33"/>
      <c r="AB8140" s="33"/>
      <c r="AC8140" s="33"/>
      <c r="AD8140" s="33"/>
      <c r="AE8140" s="33"/>
      <c r="AF8140" s="33"/>
      <c r="AG8140" s="33"/>
      <c r="AH8140" s="33"/>
      <c r="AI8140" s="33"/>
      <c r="AJ8140" s="33"/>
      <c r="AK8140" s="33"/>
    </row>
    <row r="8141">
      <c r="A8141" s="33"/>
      <c r="B8141" s="33"/>
      <c r="C8141" s="33"/>
      <c r="D8141" s="33"/>
      <c r="E8141" s="33"/>
      <c r="F8141" s="33"/>
      <c r="G8141" s="33"/>
      <c r="H8141" s="33"/>
      <c r="I8141" s="33"/>
      <c r="J8141" s="33"/>
      <c r="K8141" s="33"/>
      <c r="L8141" s="33"/>
      <c r="M8141" s="33"/>
      <c r="N8141" s="33"/>
      <c r="O8141" s="33"/>
      <c r="P8141" s="33"/>
      <c r="Q8141" s="33"/>
      <c r="R8141" s="33"/>
      <c r="S8141" s="33"/>
      <c r="T8141" s="33"/>
      <c r="U8141" s="33"/>
      <c r="V8141" s="33"/>
      <c r="W8141" s="33"/>
      <c r="X8141" s="33"/>
      <c r="Y8141" s="33"/>
      <c r="Z8141" s="33"/>
      <c r="AA8141" s="33"/>
      <c r="AB8141" s="33"/>
      <c r="AC8141" s="33"/>
      <c r="AD8141" s="33"/>
      <c r="AE8141" s="33"/>
      <c r="AF8141" s="33"/>
      <c r="AG8141" s="33"/>
      <c r="AH8141" s="33"/>
      <c r="AI8141" s="33"/>
      <c r="AJ8141" s="33"/>
      <c r="AK8141" s="33"/>
    </row>
    <row r="8142">
      <c r="A8142" s="33"/>
      <c r="B8142" s="33"/>
      <c r="C8142" s="33"/>
      <c r="D8142" s="33"/>
      <c r="E8142" s="33"/>
      <c r="F8142" s="33"/>
      <c r="G8142" s="33"/>
      <c r="H8142" s="33"/>
      <c r="I8142" s="33"/>
      <c r="J8142" s="33"/>
      <c r="K8142" s="33"/>
      <c r="L8142" s="33"/>
      <c r="M8142" s="33"/>
      <c r="N8142" s="33"/>
      <c r="O8142" s="33"/>
      <c r="P8142" s="33"/>
      <c r="Q8142" s="33"/>
      <c r="R8142" s="33"/>
      <c r="S8142" s="33"/>
      <c r="T8142" s="33"/>
      <c r="U8142" s="33"/>
      <c r="V8142" s="33"/>
      <c r="W8142" s="33"/>
      <c r="X8142" s="33"/>
      <c r="Y8142" s="33"/>
      <c r="Z8142" s="33"/>
      <c r="AA8142" s="33"/>
      <c r="AB8142" s="33"/>
      <c r="AC8142" s="33"/>
      <c r="AD8142" s="33"/>
      <c r="AE8142" s="33"/>
      <c r="AF8142" s="33"/>
      <c r="AG8142" s="33"/>
      <c r="AH8142" s="33"/>
      <c r="AI8142" s="33"/>
      <c r="AJ8142" s="33"/>
      <c r="AK8142" s="33"/>
    </row>
    <row r="8143">
      <c r="A8143" s="33"/>
      <c r="B8143" s="33"/>
      <c r="C8143" s="33"/>
      <c r="D8143" s="33"/>
      <c r="E8143" s="33"/>
      <c r="F8143" s="33"/>
      <c r="G8143" s="33"/>
      <c r="H8143" s="33"/>
      <c r="I8143" s="33"/>
      <c r="J8143" s="33"/>
      <c r="K8143" s="33"/>
      <c r="L8143" s="33"/>
      <c r="M8143" s="33"/>
      <c r="N8143" s="33"/>
      <c r="O8143" s="33"/>
      <c r="P8143" s="33"/>
      <c r="Q8143" s="33"/>
      <c r="R8143" s="33"/>
      <c r="S8143" s="33"/>
      <c r="T8143" s="33"/>
      <c r="U8143" s="33"/>
      <c r="V8143" s="33"/>
      <c r="W8143" s="33"/>
      <c r="X8143" s="33"/>
      <c r="Y8143" s="33"/>
      <c r="Z8143" s="33"/>
      <c r="AA8143" s="33"/>
      <c r="AB8143" s="33"/>
      <c r="AC8143" s="33"/>
      <c r="AD8143" s="33"/>
      <c r="AE8143" s="33"/>
      <c r="AF8143" s="33"/>
      <c r="AG8143" s="33"/>
      <c r="AH8143" s="33"/>
      <c r="AI8143" s="33"/>
      <c r="AJ8143" s="33"/>
      <c r="AK8143" s="33"/>
    </row>
    <row r="8144">
      <c r="A8144" s="33"/>
      <c r="B8144" s="33"/>
      <c r="C8144" s="33"/>
      <c r="D8144" s="33"/>
      <c r="E8144" s="33"/>
      <c r="F8144" s="33"/>
      <c r="G8144" s="33"/>
      <c r="H8144" s="33"/>
      <c r="I8144" s="33"/>
      <c r="J8144" s="33"/>
      <c r="K8144" s="33"/>
      <c r="L8144" s="33"/>
      <c r="M8144" s="33"/>
      <c r="N8144" s="33"/>
      <c r="O8144" s="33"/>
      <c r="P8144" s="33"/>
      <c r="Q8144" s="33"/>
      <c r="R8144" s="33"/>
      <c r="S8144" s="33"/>
      <c r="T8144" s="33"/>
      <c r="U8144" s="33"/>
      <c r="V8144" s="33"/>
      <c r="W8144" s="33"/>
      <c r="X8144" s="33"/>
      <c r="Y8144" s="33"/>
      <c r="Z8144" s="33"/>
      <c r="AA8144" s="33"/>
      <c r="AB8144" s="33"/>
      <c r="AC8144" s="33"/>
      <c r="AD8144" s="33"/>
      <c r="AE8144" s="33"/>
      <c r="AF8144" s="33"/>
      <c r="AG8144" s="33"/>
      <c r="AH8144" s="33"/>
      <c r="AI8144" s="33"/>
      <c r="AJ8144" s="33"/>
      <c r="AK8144" s="33"/>
    </row>
    <row r="8145">
      <c r="A8145" s="33"/>
      <c r="B8145" s="33"/>
      <c r="C8145" s="33"/>
      <c r="D8145" s="33"/>
      <c r="E8145" s="33"/>
      <c r="F8145" s="33"/>
      <c r="G8145" s="33"/>
      <c r="H8145" s="33"/>
      <c r="I8145" s="33"/>
      <c r="J8145" s="33"/>
      <c r="K8145" s="33"/>
      <c r="L8145" s="33"/>
      <c r="M8145" s="33"/>
      <c r="N8145" s="33"/>
      <c r="O8145" s="33"/>
      <c r="P8145" s="33"/>
      <c r="Q8145" s="33"/>
      <c r="R8145" s="33"/>
      <c r="S8145" s="33"/>
      <c r="T8145" s="33"/>
      <c r="U8145" s="33"/>
      <c r="V8145" s="33"/>
      <c r="W8145" s="33"/>
      <c r="X8145" s="33"/>
      <c r="Y8145" s="33"/>
      <c r="Z8145" s="33"/>
      <c r="AA8145" s="33"/>
      <c r="AB8145" s="33"/>
      <c r="AC8145" s="33"/>
      <c r="AD8145" s="33"/>
      <c r="AE8145" s="33"/>
      <c r="AF8145" s="33"/>
      <c r="AG8145" s="33"/>
      <c r="AH8145" s="33"/>
      <c r="AI8145" s="33"/>
      <c r="AJ8145" s="33"/>
      <c r="AK8145" s="33"/>
    </row>
    <row r="8146">
      <c r="A8146" s="33"/>
      <c r="B8146" s="33"/>
      <c r="C8146" s="33"/>
      <c r="D8146" s="33"/>
      <c r="E8146" s="33"/>
      <c r="F8146" s="33"/>
      <c r="G8146" s="33"/>
      <c r="H8146" s="33"/>
      <c r="I8146" s="33"/>
      <c r="J8146" s="33"/>
      <c r="K8146" s="33"/>
      <c r="L8146" s="33"/>
      <c r="M8146" s="33"/>
      <c r="N8146" s="33"/>
      <c r="O8146" s="33"/>
      <c r="P8146" s="33"/>
      <c r="Q8146" s="33"/>
      <c r="R8146" s="33"/>
      <c r="S8146" s="33"/>
      <c r="T8146" s="33"/>
      <c r="U8146" s="33"/>
      <c r="V8146" s="33"/>
      <c r="W8146" s="33"/>
      <c r="X8146" s="33"/>
      <c r="Y8146" s="33"/>
      <c r="Z8146" s="33"/>
      <c r="AA8146" s="33"/>
      <c r="AB8146" s="33"/>
      <c r="AC8146" s="33"/>
      <c r="AD8146" s="33"/>
      <c r="AE8146" s="33"/>
      <c r="AF8146" s="33"/>
      <c r="AG8146" s="33"/>
      <c r="AH8146" s="33"/>
      <c r="AI8146" s="33"/>
      <c r="AJ8146" s="33"/>
      <c r="AK8146" s="33"/>
    </row>
    <row r="8147">
      <c r="A8147" s="33"/>
      <c r="B8147" s="33"/>
      <c r="C8147" s="33"/>
      <c r="D8147" s="33"/>
      <c r="E8147" s="33"/>
      <c r="F8147" s="33"/>
      <c r="G8147" s="33"/>
      <c r="H8147" s="33"/>
      <c r="I8147" s="33"/>
      <c r="J8147" s="33"/>
      <c r="K8147" s="33"/>
      <c r="L8147" s="33"/>
      <c r="M8147" s="33"/>
      <c r="N8147" s="33"/>
      <c r="O8147" s="33"/>
      <c r="P8147" s="33"/>
      <c r="Q8147" s="33"/>
      <c r="R8147" s="33"/>
      <c r="S8147" s="33"/>
      <c r="T8147" s="33"/>
      <c r="U8147" s="33"/>
      <c r="V8147" s="33"/>
      <c r="W8147" s="33"/>
      <c r="X8147" s="33"/>
      <c r="Y8147" s="33"/>
      <c r="Z8147" s="33"/>
      <c r="AA8147" s="33"/>
      <c r="AB8147" s="33"/>
      <c r="AC8147" s="33"/>
      <c r="AD8147" s="33"/>
      <c r="AE8147" s="33"/>
      <c r="AF8147" s="33"/>
      <c r="AG8147" s="33"/>
      <c r="AH8147" s="33"/>
      <c r="AI8147" s="33"/>
      <c r="AJ8147" s="33"/>
      <c r="AK8147" s="33"/>
    </row>
    <row r="8148">
      <c r="A8148" s="33"/>
      <c r="B8148" s="33"/>
      <c r="C8148" s="33"/>
      <c r="D8148" s="33"/>
      <c r="E8148" s="33"/>
      <c r="F8148" s="33"/>
      <c r="G8148" s="33"/>
      <c r="H8148" s="33"/>
      <c r="I8148" s="33"/>
      <c r="J8148" s="33"/>
      <c r="K8148" s="33"/>
      <c r="L8148" s="33"/>
      <c r="M8148" s="33"/>
      <c r="N8148" s="33"/>
      <c r="O8148" s="33"/>
      <c r="P8148" s="33"/>
      <c r="Q8148" s="33"/>
      <c r="R8148" s="33"/>
      <c r="S8148" s="33"/>
      <c r="T8148" s="33"/>
      <c r="U8148" s="33"/>
      <c r="V8148" s="33"/>
      <c r="W8148" s="33"/>
      <c r="X8148" s="33"/>
      <c r="Y8148" s="33"/>
      <c r="Z8148" s="33"/>
      <c r="AA8148" s="33"/>
      <c r="AB8148" s="33"/>
      <c r="AC8148" s="33"/>
      <c r="AD8148" s="33"/>
      <c r="AE8148" s="33"/>
      <c r="AF8148" s="33"/>
      <c r="AG8148" s="33"/>
      <c r="AH8148" s="33"/>
      <c r="AI8148" s="33"/>
      <c r="AJ8148" s="33"/>
      <c r="AK8148" s="33"/>
    </row>
    <row r="8149">
      <c r="A8149" s="33"/>
      <c r="B8149" s="33"/>
      <c r="C8149" s="33"/>
      <c r="D8149" s="33"/>
      <c r="E8149" s="33"/>
      <c r="F8149" s="33"/>
      <c r="G8149" s="33"/>
      <c r="H8149" s="33"/>
      <c r="I8149" s="33"/>
      <c r="J8149" s="33"/>
      <c r="K8149" s="33"/>
      <c r="L8149" s="33"/>
      <c r="M8149" s="33"/>
      <c r="N8149" s="33"/>
      <c r="O8149" s="33"/>
      <c r="P8149" s="33"/>
      <c r="Q8149" s="33"/>
      <c r="R8149" s="33"/>
      <c r="S8149" s="33"/>
      <c r="T8149" s="33"/>
      <c r="U8149" s="33"/>
      <c r="V8149" s="33"/>
      <c r="W8149" s="33"/>
      <c r="X8149" s="33"/>
      <c r="Y8149" s="33"/>
      <c r="Z8149" s="33"/>
      <c r="AA8149" s="33"/>
      <c r="AB8149" s="33"/>
      <c r="AC8149" s="33"/>
      <c r="AD8149" s="33"/>
      <c r="AE8149" s="33"/>
      <c r="AF8149" s="33"/>
      <c r="AG8149" s="33"/>
      <c r="AH8149" s="33"/>
      <c r="AI8149" s="33"/>
      <c r="AJ8149" s="33"/>
      <c r="AK8149" s="33"/>
    </row>
    <row r="8150">
      <c r="A8150" s="33"/>
      <c r="B8150" s="33"/>
      <c r="C8150" s="33"/>
      <c r="D8150" s="33"/>
      <c r="E8150" s="33"/>
      <c r="F8150" s="33"/>
      <c r="G8150" s="33"/>
      <c r="H8150" s="33"/>
      <c r="I8150" s="33"/>
      <c r="J8150" s="33"/>
      <c r="K8150" s="33"/>
      <c r="L8150" s="33"/>
      <c r="M8150" s="33"/>
      <c r="N8150" s="33"/>
      <c r="O8150" s="33"/>
      <c r="P8150" s="33"/>
      <c r="Q8150" s="33"/>
      <c r="R8150" s="33"/>
      <c r="S8150" s="33"/>
      <c r="T8150" s="33"/>
      <c r="U8150" s="33"/>
      <c r="V8150" s="33"/>
      <c r="W8150" s="33"/>
      <c r="X8150" s="33"/>
      <c r="Y8150" s="33"/>
      <c r="Z8150" s="33"/>
      <c r="AA8150" s="33"/>
      <c r="AB8150" s="33"/>
      <c r="AC8150" s="33"/>
      <c r="AD8150" s="33"/>
      <c r="AE8150" s="33"/>
      <c r="AF8150" s="33"/>
      <c r="AG8150" s="33"/>
      <c r="AH8150" s="33"/>
      <c r="AI8150" s="33"/>
      <c r="AJ8150" s="33"/>
      <c r="AK8150" s="33"/>
    </row>
    <row r="8151">
      <c r="A8151" s="33"/>
      <c r="B8151" s="33"/>
      <c r="C8151" s="33"/>
      <c r="D8151" s="33"/>
      <c r="E8151" s="33"/>
      <c r="F8151" s="33"/>
      <c r="G8151" s="33"/>
      <c r="H8151" s="33"/>
      <c r="I8151" s="33"/>
      <c r="J8151" s="33"/>
      <c r="K8151" s="33"/>
      <c r="L8151" s="33"/>
      <c r="M8151" s="33"/>
      <c r="N8151" s="33"/>
      <c r="O8151" s="33"/>
      <c r="P8151" s="33"/>
      <c r="Q8151" s="33"/>
      <c r="R8151" s="33"/>
      <c r="S8151" s="33"/>
      <c r="T8151" s="33"/>
      <c r="U8151" s="33"/>
      <c r="V8151" s="33"/>
      <c r="W8151" s="33"/>
      <c r="X8151" s="33"/>
      <c r="Y8151" s="33"/>
      <c r="Z8151" s="33"/>
      <c r="AA8151" s="33"/>
      <c r="AB8151" s="33"/>
      <c r="AC8151" s="33"/>
      <c r="AD8151" s="33"/>
      <c r="AE8151" s="33"/>
      <c r="AF8151" s="33"/>
      <c r="AG8151" s="33"/>
      <c r="AH8151" s="33"/>
      <c r="AI8151" s="33"/>
      <c r="AJ8151" s="33"/>
      <c r="AK8151" s="33"/>
    </row>
    <row r="8152">
      <c r="A8152" s="33"/>
      <c r="B8152" s="33"/>
      <c r="C8152" s="33"/>
      <c r="D8152" s="33"/>
      <c r="E8152" s="33"/>
      <c r="F8152" s="33"/>
      <c r="G8152" s="33"/>
      <c r="H8152" s="33"/>
      <c r="I8152" s="33"/>
      <c r="J8152" s="33"/>
      <c r="K8152" s="33"/>
      <c r="L8152" s="33"/>
      <c r="M8152" s="33"/>
      <c r="N8152" s="33"/>
      <c r="O8152" s="33"/>
      <c r="P8152" s="33"/>
      <c r="Q8152" s="33"/>
      <c r="R8152" s="33"/>
      <c r="S8152" s="33"/>
      <c r="T8152" s="33"/>
      <c r="U8152" s="33"/>
      <c r="V8152" s="33"/>
      <c r="W8152" s="33"/>
      <c r="X8152" s="33"/>
      <c r="Y8152" s="33"/>
      <c r="Z8152" s="33"/>
      <c r="AA8152" s="33"/>
      <c r="AB8152" s="33"/>
      <c r="AC8152" s="33"/>
      <c r="AD8152" s="33"/>
      <c r="AE8152" s="33"/>
      <c r="AF8152" s="33"/>
      <c r="AG8152" s="33"/>
      <c r="AH8152" s="33"/>
      <c r="AI8152" s="33"/>
      <c r="AJ8152" s="33"/>
      <c r="AK8152" s="33"/>
    </row>
    <row r="8153">
      <c r="A8153" s="33"/>
      <c r="B8153" s="33"/>
      <c r="C8153" s="33"/>
      <c r="D8153" s="33"/>
      <c r="E8153" s="33"/>
      <c r="F8153" s="33"/>
      <c r="G8153" s="33"/>
      <c r="H8153" s="33"/>
      <c r="I8153" s="33"/>
      <c r="J8153" s="33"/>
      <c r="K8153" s="33"/>
      <c r="L8153" s="33"/>
      <c r="M8153" s="33"/>
      <c r="N8153" s="33"/>
      <c r="O8153" s="33"/>
      <c r="P8153" s="33"/>
      <c r="Q8153" s="33"/>
      <c r="R8153" s="33"/>
      <c r="S8153" s="33"/>
      <c r="T8153" s="33"/>
      <c r="U8153" s="33"/>
      <c r="V8153" s="33"/>
      <c r="W8153" s="33"/>
      <c r="X8153" s="33"/>
      <c r="Y8153" s="33"/>
      <c r="Z8153" s="33"/>
      <c r="AA8153" s="33"/>
      <c r="AB8153" s="33"/>
      <c r="AC8153" s="33"/>
      <c r="AD8153" s="33"/>
      <c r="AE8153" s="33"/>
      <c r="AF8153" s="33"/>
      <c r="AG8153" s="33"/>
      <c r="AH8153" s="33"/>
      <c r="AI8153" s="33"/>
      <c r="AJ8153" s="33"/>
      <c r="AK8153" s="33"/>
    </row>
    <row r="8154">
      <c r="A8154" s="33"/>
      <c r="B8154" s="33"/>
      <c r="C8154" s="33"/>
      <c r="D8154" s="33"/>
      <c r="E8154" s="33"/>
      <c r="F8154" s="33"/>
      <c r="G8154" s="33"/>
      <c r="H8154" s="33"/>
      <c r="I8154" s="33"/>
      <c r="J8154" s="33"/>
      <c r="K8154" s="33"/>
      <c r="L8154" s="33"/>
      <c r="M8154" s="33"/>
      <c r="N8154" s="33"/>
      <c r="O8154" s="33"/>
      <c r="P8154" s="33"/>
      <c r="Q8154" s="33"/>
      <c r="R8154" s="33"/>
      <c r="S8154" s="33"/>
      <c r="T8154" s="33"/>
      <c r="U8154" s="33"/>
      <c r="V8154" s="33"/>
      <c r="W8154" s="33"/>
      <c r="X8154" s="33"/>
      <c r="Y8154" s="33"/>
      <c r="Z8154" s="33"/>
      <c r="AA8154" s="33"/>
      <c r="AB8154" s="33"/>
      <c r="AC8154" s="33"/>
      <c r="AD8154" s="33"/>
      <c r="AE8154" s="33"/>
      <c r="AF8154" s="33"/>
      <c r="AG8154" s="33"/>
      <c r="AH8154" s="33"/>
      <c r="AI8154" s="33"/>
      <c r="AJ8154" s="33"/>
      <c r="AK8154" s="33"/>
    </row>
    <row r="8155">
      <c r="A8155" s="33"/>
      <c r="B8155" s="33"/>
      <c r="C8155" s="33"/>
      <c r="D8155" s="33"/>
      <c r="E8155" s="33"/>
      <c r="F8155" s="33"/>
      <c r="G8155" s="33"/>
      <c r="H8155" s="33"/>
      <c r="I8155" s="33"/>
      <c r="J8155" s="33"/>
      <c r="K8155" s="33"/>
      <c r="L8155" s="33"/>
      <c r="M8155" s="33"/>
      <c r="N8155" s="33"/>
      <c r="O8155" s="33"/>
      <c r="P8155" s="33"/>
      <c r="Q8155" s="33"/>
      <c r="R8155" s="33"/>
      <c r="S8155" s="33"/>
      <c r="T8155" s="33"/>
      <c r="U8155" s="33"/>
      <c r="V8155" s="33"/>
      <c r="W8155" s="33"/>
      <c r="X8155" s="33"/>
      <c r="Y8155" s="33"/>
      <c r="Z8155" s="33"/>
      <c r="AA8155" s="33"/>
      <c r="AB8155" s="33"/>
      <c r="AC8155" s="33"/>
      <c r="AD8155" s="33"/>
      <c r="AE8155" s="33"/>
      <c r="AF8155" s="33"/>
      <c r="AG8155" s="33"/>
      <c r="AH8155" s="33"/>
      <c r="AI8155" s="33"/>
      <c r="AJ8155" s="33"/>
      <c r="AK8155" s="33"/>
    </row>
    <row r="8156">
      <c r="A8156" s="33"/>
      <c r="B8156" s="33"/>
      <c r="C8156" s="33"/>
      <c r="D8156" s="33"/>
      <c r="E8156" s="33"/>
      <c r="F8156" s="33"/>
      <c r="G8156" s="33"/>
      <c r="H8156" s="33"/>
      <c r="I8156" s="33"/>
      <c r="J8156" s="33"/>
      <c r="K8156" s="33"/>
      <c r="L8156" s="33"/>
      <c r="M8156" s="33"/>
      <c r="N8156" s="33"/>
      <c r="O8156" s="33"/>
      <c r="P8156" s="33"/>
      <c r="Q8156" s="33"/>
      <c r="R8156" s="33"/>
      <c r="S8156" s="33"/>
      <c r="T8156" s="33"/>
      <c r="U8156" s="33"/>
      <c r="V8156" s="33"/>
      <c r="W8156" s="33"/>
      <c r="X8156" s="33"/>
      <c r="Y8156" s="33"/>
      <c r="Z8156" s="33"/>
      <c r="AA8156" s="33"/>
      <c r="AB8156" s="33"/>
      <c r="AC8156" s="33"/>
      <c r="AD8156" s="33"/>
      <c r="AE8156" s="33"/>
      <c r="AF8156" s="33"/>
      <c r="AG8156" s="33"/>
      <c r="AH8156" s="33"/>
      <c r="AI8156" s="33"/>
      <c r="AJ8156" s="33"/>
      <c r="AK8156" s="33"/>
    </row>
    <row r="8157">
      <c r="A8157" s="33"/>
      <c r="B8157" s="33"/>
      <c r="C8157" s="33"/>
      <c r="D8157" s="33"/>
      <c r="E8157" s="33"/>
      <c r="F8157" s="33"/>
      <c r="G8157" s="33"/>
      <c r="H8157" s="33"/>
      <c r="I8157" s="33"/>
      <c r="J8157" s="33"/>
      <c r="K8157" s="33"/>
      <c r="L8157" s="33"/>
      <c r="M8157" s="33"/>
      <c r="N8157" s="33"/>
      <c r="O8157" s="33"/>
      <c r="P8157" s="33"/>
      <c r="Q8157" s="33"/>
      <c r="R8157" s="33"/>
      <c r="S8157" s="33"/>
      <c r="T8157" s="33"/>
      <c r="U8157" s="33"/>
      <c r="V8157" s="33"/>
      <c r="W8157" s="33"/>
      <c r="X8157" s="33"/>
      <c r="Y8157" s="33"/>
      <c r="Z8157" s="33"/>
      <c r="AA8157" s="33"/>
      <c r="AB8157" s="33"/>
      <c r="AC8157" s="33"/>
      <c r="AD8157" s="33"/>
      <c r="AE8157" s="33"/>
      <c r="AF8157" s="33"/>
      <c r="AG8157" s="33"/>
      <c r="AH8157" s="33"/>
      <c r="AI8157" s="33"/>
      <c r="AJ8157" s="33"/>
      <c r="AK8157" s="33"/>
    </row>
    <row r="8158">
      <c r="A8158" s="33"/>
      <c r="B8158" s="33"/>
      <c r="C8158" s="33"/>
      <c r="D8158" s="33"/>
      <c r="E8158" s="33"/>
      <c r="F8158" s="33"/>
      <c r="G8158" s="33"/>
      <c r="H8158" s="33"/>
      <c r="I8158" s="33"/>
      <c r="J8158" s="33"/>
      <c r="K8158" s="33"/>
      <c r="L8158" s="33"/>
      <c r="M8158" s="33"/>
      <c r="N8158" s="33"/>
      <c r="O8158" s="33"/>
      <c r="P8158" s="33"/>
      <c r="Q8158" s="33"/>
      <c r="R8158" s="33"/>
      <c r="S8158" s="33"/>
      <c r="T8158" s="33"/>
      <c r="U8158" s="33"/>
      <c r="V8158" s="33"/>
      <c r="W8158" s="33"/>
      <c r="X8158" s="33"/>
      <c r="Y8158" s="33"/>
      <c r="Z8158" s="33"/>
      <c r="AA8158" s="33"/>
      <c r="AB8158" s="33"/>
      <c r="AC8158" s="33"/>
      <c r="AD8158" s="33"/>
      <c r="AE8158" s="33"/>
      <c r="AF8158" s="33"/>
      <c r="AG8158" s="33"/>
      <c r="AH8158" s="33"/>
      <c r="AI8158" s="33"/>
      <c r="AJ8158" s="33"/>
      <c r="AK8158" s="33"/>
    </row>
    <row r="8159">
      <c r="A8159" s="33"/>
      <c r="B8159" s="33"/>
      <c r="C8159" s="33"/>
      <c r="D8159" s="33"/>
      <c r="E8159" s="33"/>
      <c r="F8159" s="33"/>
      <c r="G8159" s="33"/>
      <c r="H8159" s="33"/>
      <c r="I8159" s="33"/>
      <c r="J8159" s="33"/>
      <c r="K8159" s="33"/>
      <c r="L8159" s="33"/>
      <c r="M8159" s="33"/>
      <c r="N8159" s="33"/>
      <c r="O8159" s="33"/>
      <c r="P8159" s="33"/>
      <c r="Q8159" s="33"/>
      <c r="R8159" s="33"/>
      <c r="S8159" s="33"/>
      <c r="T8159" s="33"/>
      <c r="U8159" s="33"/>
      <c r="V8159" s="33"/>
      <c r="W8159" s="33"/>
      <c r="X8159" s="33"/>
      <c r="Y8159" s="33"/>
      <c r="Z8159" s="33"/>
      <c r="AA8159" s="33"/>
      <c r="AB8159" s="33"/>
      <c r="AC8159" s="33"/>
      <c r="AD8159" s="33"/>
      <c r="AE8159" s="33"/>
      <c r="AF8159" s="33"/>
      <c r="AG8159" s="33"/>
      <c r="AH8159" s="33"/>
      <c r="AI8159" s="33"/>
      <c r="AJ8159" s="33"/>
      <c r="AK8159" s="33"/>
    </row>
    <row r="8160">
      <c r="A8160" s="33"/>
      <c r="B8160" s="33"/>
      <c r="C8160" s="33"/>
      <c r="D8160" s="33"/>
      <c r="E8160" s="33"/>
      <c r="F8160" s="33"/>
      <c r="G8160" s="33"/>
      <c r="H8160" s="33"/>
      <c r="I8160" s="33"/>
      <c r="J8160" s="33"/>
      <c r="K8160" s="33"/>
      <c r="L8160" s="33"/>
      <c r="M8160" s="33"/>
      <c r="N8160" s="33"/>
      <c r="O8160" s="33"/>
      <c r="P8160" s="33"/>
      <c r="Q8160" s="33"/>
      <c r="R8160" s="33"/>
      <c r="S8160" s="33"/>
      <c r="T8160" s="33"/>
      <c r="U8160" s="33"/>
      <c r="V8160" s="33"/>
      <c r="W8160" s="33"/>
      <c r="X8160" s="33"/>
      <c r="Y8160" s="33"/>
      <c r="Z8160" s="33"/>
      <c r="AA8160" s="33"/>
      <c r="AB8160" s="33"/>
      <c r="AC8160" s="33"/>
      <c r="AD8160" s="33"/>
      <c r="AE8160" s="33"/>
      <c r="AF8160" s="33"/>
      <c r="AG8160" s="33"/>
      <c r="AH8160" s="33"/>
      <c r="AI8160" s="33"/>
      <c r="AJ8160" s="33"/>
      <c r="AK8160" s="33"/>
    </row>
    <row r="8161">
      <c r="A8161" s="33"/>
      <c r="B8161" s="33"/>
      <c r="C8161" s="33"/>
      <c r="D8161" s="33"/>
      <c r="E8161" s="33"/>
      <c r="F8161" s="33"/>
      <c r="G8161" s="33"/>
      <c r="H8161" s="33"/>
      <c r="I8161" s="33"/>
      <c r="J8161" s="33"/>
      <c r="K8161" s="33"/>
      <c r="L8161" s="33"/>
      <c r="M8161" s="33"/>
      <c r="N8161" s="33"/>
      <c r="O8161" s="33"/>
      <c r="P8161" s="33"/>
      <c r="Q8161" s="33"/>
      <c r="R8161" s="33"/>
      <c r="S8161" s="33"/>
      <c r="T8161" s="33"/>
      <c r="U8161" s="33"/>
      <c r="V8161" s="33"/>
      <c r="W8161" s="33"/>
      <c r="X8161" s="33"/>
      <c r="Y8161" s="33"/>
      <c r="Z8161" s="33"/>
      <c r="AA8161" s="33"/>
      <c r="AB8161" s="33"/>
      <c r="AC8161" s="33"/>
      <c r="AD8161" s="33"/>
      <c r="AE8161" s="33"/>
      <c r="AF8161" s="33"/>
      <c r="AG8161" s="33"/>
      <c r="AH8161" s="33"/>
      <c r="AI8161" s="33"/>
      <c r="AJ8161" s="33"/>
      <c r="AK8161" s="33"/>
    </row>
    <row r="8162">
      <c r="A8162" s="33"/>
      <c r="B8162" s="33"/>
      <c r="C8162" s="33"/>
      <c r="D8162" s="33"/>
      <c r="E8162" s="33"/>
      <c r="F8162" s="33"/>
      <c r="G8162" s="33"/>
      <c r="H8162" s="33"/>
      <c r="I8162" s="33"/>
      <c r="J8162" s="33"/>
      <c r="K8162" s="33"/>
      <c r="L8162" s="33"/>
      <c r="M8162" s="33"/>
      <c r="N8162" s="33"/>
      <c r="O8162" s="33"/>
      <c r="P8162" s="33"/>
      <c r="Q8162" s="33"/>
      <c r="R8162" s="33"/>
      <c r="S8162" s="33"/>
      <c r="T8162" s="33"/>
      <c r="U8162" s="33"/>
      <c r="V8162" s="33"/>
      <c r="W8162" s="33"/>
      <c r="X8162" s="33"/>
      <c r="Y8162" s="33"/>
      <c r="Z8162" s="33"/>
      <c r="AA8162" s="33"/>
      <c r="AB8162" s="33"/>
      <c r="AC8162" s="33"/>
      <c r="AD8162" s="33"/>
      <c r="AE8162" s="33"/>
      <c r="AF8162" s="33"/>
      <c r="AG8162" s="33"/>
      <c r="AH8162" s="33"/>
      <c r="AI8162" s="33"/>
      <c r="AJ8162" s="33"/>
      <c r="AK8162" s="33"/>
    </row>
    <row r="8163">
      <c r="A8163" s="33"/>
      <c r="B8163" s="33"/>
      <c r="C8163" s="33"/>
      <c r="D8163" s="33"/>
      <c r="E8163" s="33"/>
      <c r="F8163" s="33"/>
      <c r="G8163" s="33"/>
      <c r="H8163" s="33"/>
      <c r="I8163" s="33"/>
      <c r="J8163" s="33"/>
      <c r="K8163" s="33"/>
      <c r="L8163" s="33"/>
      <c r="M8163" s="33"/>
      <c r="N8163" s="33"/>
      <c r="O8163" s="33"/>
      <c r="P8163" s="33"/>
      <c r="Q8163" s="33"/>
      <c r="R8163" s="33"/>
      <c r="S8163" s="33"/>
      <c r="T8163" s="33"/>
      <c r="U8163" s="33"/>
      <c r="V8163" s="33"/>
      <c r="W8163" s="33"/>
      <c r="X8163" s="33"/>
      <c r="Y8163" s="33"/>
      <c r="Z8163" s="33"/>
      <c r="AA8163" s="33"/>
      <c r="AB8163" s="33"/>
      <c r="AC8163" s="33"/>
      <c r="AD8163" s="33"/>
      <c r="AE8163" s="33"/>
      <c r="AF8163" s="33"/>
      <c r="AG8163" s="33"/>
      <c r="AH8163" s="33"/>
      <c r="AI8163" s="33"/>
      <c r="AJ8163" s="33"/>
      <c r="AK8163" s="33"/>
    </row>
    <row r="8164">
      <c r="A8164" s="33"/>
      <c r="B8164" s="33"/>
      <c r="C8164" s="33"/>
      <c r="D8164" s="33"/>
      <c r="E8164" s="33"/>
      <c r="F8164" s="33"/>
      <c r="G8164" s="33"/>
      <c r="H8164" s="33"/>
      <c r="I8164" s="33"/>
      <c r="J8164" s="33"/>
      <c r="K8164" s="33"/>
      <c r="L8164" s="33"/>
      <c r="M8164" s="33"/>
      <c r="N8164" s="33"/>
      <c r="O8164" s="33"/>
      <c r="P8164" s="33"/>
      <c r="Q8164" s="33"/>
      <c r="R8164" s="33"/>
      <c r="S8164" s="33"/>
      <c r="T8164" s="33"/>
      <c r="U8164" s="33"/>
      <c r="V8164" s="33"/>
      <c r="W8164" s="33"/>
      <c r="X8164" s="33"/>
      <c r="Y8164" s="33"/>
      <c r="Z8164" s="33"/>
      <c r="AA8164" s="33"/>
      <c r="AB8164" s="33"/>
      <c r="AC8164" s="33"/>
      <c r="AD8164" s="33"/>
      <c r="AE8164" s="33"/>
      <c r="AF8164" s="33"/>
      <c r="AG8164" s="33"/>
      <c r="AH8164" s="33"/>
      <c r="AI8164" s="33"/>
      <c r="AJ8164" s="33"/>
      <c r="AK8164" s="33"/>
    </row>
    <row r="8165">
      <c r="A8165" s="33"/>
      <c r="B8165" s="33"/>
      <c r="C8165" s="33"/>
      <c r="D8165" s="33"/>
      <c r="E8165" s="33"/>
      <c r="F8165" s="33"/>
      <c r="G8165" s="33"/>
      <c r="H8165" s="33"/>
      <c r="I8165" s="33"/>
      <c r="J8165" s="33"/>
      <c r="K8165" s="33"/>
      <c r="L8165" s="33"/>
      <c r="M8165" s="33"/>
      <c r="N8165" s="33"/>
      <c r="O8165" s="33"/>
      <c r="P8165" s="33"/>
      <c r="Q8165" s="33"/>
      <c r="R8165" s="33"/>
      <c r="S8165" s="33"/>
      <c r="T8165" s="33"/>
      <c r="U8165" s="33"/>
      <c r="V8165" s="33"/>
      <c r="W8165" s="33"/>
      <c r="X8165" s="33"/>
      <c r="Y8165" s="33"/>
      <c r="Z8165" s="33"/>
      <c r="AA8165" s="33"/>
      <c r="AB8165" s="33"/>
      <c r="AC8165" s="33"/>
      <c r="AD8165" s="33"/>
      <c r="AE8165" s="33"/>
      <c r="AF8165" s="33"/>
      <c r="AG8165" s="33"/>
      <c r="AH8165" s="33"/>
      <c r="AI8165" s="33"/>
      <c r="AJ8165" s="33"/>
      <c r="AK8165" s="33"/>
    </row>
    <row r="8166">
      <c r="A8166" s="33"/>
      <c r="B8166" s="33"/>
      <c r="C8166" s="33"/>
      <c r="D8166" s="33"/>
      <c r="E8166" s="33"/>
      <c r="F8166" s="33"/>
      <c r="G8166" s="33"/>
      <c r="H8166" s="33"/>
      <c r="I8166" s="33"/>
      <c r="J8166" s="33"/>
      <c r="K8166" s="33"/>
      <c r="L8166" s="33"/>
      <c r="M8166" s="33"/>
      <c r="N8166" s="33"/>
      <c r="O8166" s="33"/>
      <c r="P8166" s="33"/>
      <c r="Q8166" s="33"/>
      <c r="R8166" s="33"/>
      <c r="S8166" s="33"/>
      <c r="T8166" s="33"/>
      <c r="U8166" s="33"/>
      <c r="V8166" s="33"/>
      <c r="W8166" s="33"/>
      <c r="X8166" s="33"/>
      <c r="Y8166" s="33"/>
      <c r="Z8166" s="33"/>
      <c r="AA8166" s="33"/>
      <c r="AB8166" s="33"/>
      <c r="AC8166" s="33"/>
      <c r="AD8166" s="33"/>
      <c r="AE8166" s="33"/>
      <c r="AF8166" s="33"/>
      <c r="AG8166" s="33"/>
      <c r="AH8166" s="33"/>
      <c r="AI8166" s="33"/>
      <c r="AJ8166" s="33"/>
      <c r="AK8166" s="33"/>
    </row>
    <row r="8167">
      <c r="A8167" s="33"/>
      <c r="B8167" s="33"/>
      <c r="C8167" s="33"/>
      <c r="D8167" s="33"/>
      <c r="E8167" s="33"/>
      <c r="F8167" s="33"/>
      <c r="G8167" s="33"/>
      <c r="H8167" s="33"/>
      <c r="I8167" s="33"/>
      <c r="J8167" s="33"/>
      <c r="K8167" s="33"/>
      <c r="L8167" s="33"/>
      <c r="M8167" s="33"/>
      <c r="N8167" s="33"/>
      <c r="O8167" s="33"/>
      <c r="P8167" s="33"/>
      <c r="Q8167" s="33"/>
      <c r="R8167" s="33"/>
      <c r="S8167" s="33"/>
      <c r="T8167" s="33"/>
      <c r="U8167" s="33"/>
      <c r="V8167" s="33"/>
      <c r="W8167" s="33"/>
      <c r="X8167" s="33"/>
      <c r="Y8167" s="33"/>
      <c r="Z8167" s="33"/>
      <c r="AA8167" s="33"/>
      <c r="AB8167" s="33"/>
      <c r="AC8167" s="33"/>
      <c r="AD8167" s="33"/>
      <c r="AE8167" s="33"/>
      <c r="AF8167" s="33"/>
      <c r="AG8167" s="33"/>
      <c r="AH8167" s="33"/>
      <c r="AI8167" s="33"/>
      <c r="AJ8167" s="33"/>
      <c r="AK8167" s="33"/>
    </row>
    <row r="8168">
      <c r="A8168" s="33"/>
      <c r="B8168" s="33"/>
      <c r="C8168" s="33"/>
      <c r="D8168" s="33"/>
      <c r="E8168" s="33"/>
      <c r="F8168" s="33"/>
      <c r="G8168" s="33"/>
      <c r="H8168" s="33"/>
      <c r="I8168" s="33"/>
      <c r="J8168" s="33"/>
      <c r="K8168" s="33"/>
      <c r="L8168" s="33"/>
      <c r="M8168" s="33"/>
      <c r="N8168" s="33"/>
      <c r="O8168" s="33"/>
      <c r="P8168" s="33"/>
      <c r="Q8168" s="33"/>
      <c r="R8168" s="33"/>
      <c r="S8168" s="33"/>
      <c r="T8168" s="33"/>
      <c r="U8168" s="33"/>
      <c r="V8168" s="33"/>
      <c r="W8168" s="33"/>
      <c r="X8168" s="33"/>
      <c r="Y8168" s="33"/>
      <c r="Z8168" s="33"/>
      <c r="AA8168" s="33"/>
      <c r="AB8168" s="33"/>
      <c r="AC8168" s="33"/>
      <c r="AD8168" s="33"/>
      <c r="AE8168" s="33"/>
      <c r="AF8168" s="33"/>
      <c r="AG8168" s="33"/>
      <c r="AH8168" s="33"/>
      <c r="AI8168" s="33"/>
      <c r="AJ8168" s="33"/>
      <c r="AK8168" s="33"/>
    </row>
    <row r="8169">
      <c r="A8169" s="33"/>
      <c r="B8169" s="33"/>
      <c r="C8169" s="33"/>
      <c r="D8169" s="33"/>
      <c r="E8169" s="33"/>
      <c r="F8169" s="33"/>
      <c r="G8169" s="33"/>
      <c r="H8169" s="33"/>
      <c r="I8169" s="33"/>
      <c r="J8169" s="33"/>
      <c r="K8169" s="33"/>
      <c r="L8169" s="33"/>
      <c r="M8169" s="33"/>
      <c r="N8169" s="33"/>
      <c r="O8169" s="33"/>
      <c r="P8169" s="33"/>
      <c r="Q8169" s="33"/>
      <c r="R8169" s="33"/>
      <c r="S8169" s="33"/>
      <c r="T8169" s="33"/>
      <c r="U8169" s="33"/>
      <c r="V8169" s="33"/>
      <c r="W8169" s="33"/>
      <c r="X8169" s="33"/>
      <c r="Y8169" s="33"/>
      <c r="Z8169" s="33"/>
      <c r="AA8169" s="33"/>
      <c r="AB8169" s="33"/>
      <c r="AC8169" s="33"/>
      <c r="AD8169" s="33"/>
      <c r="AE8169" s="33"/>
      <c r="AF8169" s="33"/>
      <c r="AG8169" s="33"/>
      <c r="AH8169" s="33"/>
      <c r="AI8169" s="33"/>
      <c r="AJ8169" s="33"/>
      <c r="AK8169" s="33"/>
    </row>
    <row r="8170">
      <c r="A8170" s="33"/>
      <c r="B8170" s="33"/>
      <c r="C8170" s="33"/>
      <c r="D8170" s="33"/>
      <c r="E8170" s="33"/>
      <c r="F8170" s="33"/>
      <c r="G8170" s="33"/>
      <c r="H8170" s="33"/>
      <c r="I8170" s="33"/>
      <c r="J8170" s="33"/>
      <c r="K8170" s="33"/>
      <c r="L8170" s="33"/>
      <c r="M8170" s="33"/>
      <c r="N8170" s="33"/>
      <c r="O8170" s="33"/>
      <c r="P8170" s="33"/>
      <c r="Q8170" s="33"/>
      <c r="R8170" s="33"/>
      <c r="S8170" s="33"/>
      <c r="T8170" s="33"/>
      <c r="U8170" s="33"/>
      <c r="V8170" s="33"/>
      <c r="W8170" s="33"/>
      <c r="X8170" s="33"/>
      <c r="Y8170" s="33"/>
      <c r="Z8170" s="33"/>
      <c r="AA8170" s="33"/>
      <c r="AB8170" s="33"/>
      <c r="AC8170" s="33"/>
      <c r="AD8170" s="33"/>
      <c r="AE8170" s="33"/>
      <c r="AF8170" s="33"/>
      <c r="AG8170" s="33"/>
      <c r="AH8170" s="33"/>
      <c r="AI8170" s="33"/>
      <c r="AJ8170" s="33"/>
      <c r="AK8170" s="33"/>
    </row>
    <row r="8171">
      <c r="A8171" s="33"/>
      <c r="B8171" s="33"/>
      <c r="C8171" s="33"/>
      <c r="D8171" s="33"/>
      <c r="E8171" s="33"/>
      <c r="F8171" s="33"/>
      <c r="G8171" s="33"/>
      <c r="H8171" s="33"/>
      <c r="I8171" s="33"/>
      <c r="J8171" s="33"/>
      <c r="K8171" s="33"/>
      <c r="L8171" s="33"/>
      <c r="M8171" s="33"/>
      <c r="N8171" s="33"/>
      <c r="O8171" s="33"/>
      <c r="P8171" s="33"/>
      <c r="Q8171" s="33"/>
      <c r="R8171" s="33"/>
      <c r="S8171" s="33"/>
      <c r="T8171" s="33"/>
      <c r="U8171" s="33"/>
      <c r="V8171" s="33"/>
      <c r="W8171" s="33"/>
      <c r="X8171" s="33"/>
      <c r="Y8171" s="33"/>
      <c r="Z8171" s="33"/>
      <c r="AA8171" s="33"/>
      <c r="AB8171" s="33"/>
      <c r="AC8171" s="33"/>
      <c r="AD8171" s="33"/>
      <c r="AE8171" s="33"/>
      <c r="AF8171" s="33"/>
      <c r="AG8171" s="33"/>
      <c r="AH8171" s="33"/>
      <c r="AI8171" s="33"/>
      <c r="AJ8171" s="33"/>
      <c r="AK8171" s="33"/>
    </row>
    <row r="8172">
      <c r="A8172" s="33"/>
      <c r="B8172" s="33"/>
      <c r="C8172" s="33"/>
      <c r="D8172" s="33"/>
      <c r="E8172" s="33"/>
      <c r="F8172" s="33"/>
      <c r="G8172" s="33"/>
      <c r="H8172" s="33"/>
      <c r="I8172" s="33"/>
      <c r="J8172" s="33"/>
      <c r="K8172" s="33"/>
      <c r="L8172" s="33"/>
      <c r="M8172" s="33"/>
      <c r="N8172" s="33"/>
      <c r="O8172" s="33"/>
      <c r="P8172" s="33"/>
      <c r="Q8172" s="33"/>
      <c r="R8172" s="33"/>
      <c r="S8172" s="33"/>
      <c r="T8172" s="33"/>
      <c r="U8172" s="33"/>
      <c r="V8172" s="33"/>
      <c r="W8172" s="33"/>
      <c r="X8172" s="33"/>
      <c r="Y8172" s="33"/>
      <c r="Z8172" s="33"/>
      <c r="AA8172" s="33"/>
      <c r="AB8172" s="33"/>
      <c r="AC8172" s="33"/>
      <c r="AD8172" s="33"/>
      <c r="AE8172" s="33"/>
      <c r="AF8172" s="33"/>
      <c r="AG8172" s="33"/>
      <c r="AH8172" s="33"/>
      <c r="AI8172" s="33"/>
      <c r="AJ8172" s="33"/>
      <c r="AK8172" s="33"/>
    </row>
    <row r="8173">
      <c r="A8173" s="33"/>
      <c r="B8173" s="33"/>
      <c r="C8173" s="33"/>
      <c r="D8173" s="33"/>
      <c r="E8173" s="33"/>
      <c r="F8173" s="33"/>
      <c r="G8173" s="33"/>
      <c r="H8173" s="33"/>
      <c r="I8173" s="33"/>
      <c r="J8173" s="33"/>
      <c r="K8173" s="33"/>
      <c r="L8173" s="33"/>
      <c r="M8173" s="33"/>
      <c r="N8173" s="33"/>
      <c r="O8173" s="33"/>
      <c r="P8173" s="33"/>
      <c r="Q8173" s="33"/>
      <c r="R8173" s="33"/>
      <c r="S8173" s="33"/>
      <c r="T8173" s="33"/>
      <c r="U8173" s="33"/>
      <c r="V8173" s="33"/>
      <c r="W8173" s="33"/>
      <c r="X8173" s="33"/>
      <c r="Y8173" s="33"/>
      <c r="Z8173" s="33"/>
      <c r="AA8173" s="33"/>
      <c r="AB8173" s="33"/>
      <c r="AC8173" s="33"/>
      <c r="AD8173" s="33"/>
      <c r="AE8173" s="33"/>
      <c r="AF8173" s="33"/>
      <c r="AG8173" s="33"/>
      <c r="AH8173" s="33"/>
      <c r="AI8173" s="33"/>
      <c r="AJ8173" s="33"/>
      <c r="AK8173" s="33"/>
    </row>
    <row r="8174">
      <c r="A8174" s="33"/>
      <c r="B8174" s="33"/>
      <c r="C8174" s="33"/>
      <c r="D8174" s="33"/>
      <c r="E8174" s="33"/>
      <c r="F8174" s="33"/>
      <c r="G8174" s="33"/>
      <c r="H8174" s="33"/>
      <c r="I8174" s="33"/>
      <c r="J8174" s="33"/>
      <c r="K8174" s="33"/>
      <c r="L8174" s="33"/>
      <c r="M8174" s="33"/>
      <c r="N8174" s="33"/>
      <c r="O8174" s="33"/>
      <c r="P8174" s="33"/>
      <c r="Q8174" s="33"/>
      <c r="R8174" s="33"/>
      <c r="S8174" s="33"/>
      <c r="T8174" s="33"/>
      <c r="U8174" s="33"/>
      <c r="V8174" s="33"/>
      <c r="W8174" s="33"/>
      <c r="X8174" s="33"/>
      <c r="Y8174" s="33"/>
      <c r="Z8174" s="33"/>
      <c r="AA8174" s="33"/>
      <c r="AB8174" s="33"/>
      <c r="AC8174" s="33"/>
      <c r="AD8174" s="33"/>
      <c r="AE8174" s="33"/>
      <c r="AF8174" s="33"/>
      <c r="AG8174" s="33"/>
      <c r="AH8174" s="33"/>
      <c r="AI8174" s="33"/>
      <c r="AJ8174" s="33"/>
      <c r="AK8174" s="33"/>
    </row>
    <row r="8175">
      <c r="A8175" s="33"/>
      <c r="B8175" s="33"/>
      <c r="C8175" s="33"/>
      <c r="D8175" s="33"/>
      <c r="E8175" s="33"/>
      <c r="F8175" s="33"/>
      <c r="G8175" s="33"/>
      <c r="H8175" s="33"/>
      <c r="I8175" s="33"/>
      <c r="J8175" s="33"/>
      <c r="K8175" s="33"/>
      <c r="L8175" s="33"/>
      <c r="M8175" s="33"/>
      <c r="N8175" s="33"/>
      <c r="O8175" s="33"/>
      <c r="P8175" s="33"/>
      <c r="Q8175" s="33"/>
      <c r="R8175" s="33"/>
      <c r="S8175" s="33"/>
      <c r="T8175" s="33"/>
      <c r="U8175" s="33"/>
      <c r="V8175" s="33"/>
      <c r="W8175" s="33"/>
      <c r="X8175" s="33"/>
      <c r="Y8175" s="33"/>
      <c r="Z8175" s="33"/>
      <c r="AA8175" s="33"/>
      <c r="AB8175" s="33"/>
      <c r="AC8175" s="33"/>
      <c r="AD8175" s="33"/>
      <c r="AE8175" s="33"/>
      <c r="AF8175" s="33"/>
      <c r="AG8175" s="33"/>
      <c r="AH8175" s="33"/>
      <c r="AI8175" s="33"/>
      <c r="AJ8175" s="33"/>
      <c r="AK8175" s="33"/>
    </row>
    <row r="8176">
      <c r="A8176" s="33"/>
      <c r="B8176" s="33"/>
      <c r="C8176" s="33"/>
      <c r="D8176" s="33"/>
      <c r="E8176" s="33"/>
      <c r="F8176" s="33"/>
      <c r="G8176" s="33"/>
      <c r="H8176" s="33"/>
      <c r="I8176" s="33"/>
      <c r="J8176" s="33"/>
      <c r="K8176" s="33"/>
      <c r="L8176" s="33"/>
      <c r="M8176" s="33"/>
      <c r="N8176" s="33"/>
      <c r="O8176" s="33"/>
      <c r="P8176" s="33"/>
      <c r="Q8176" s="33"/>
      <c r="R8176" s="33"/>
      <c r="S8176" s="33"/>
      <c r="T8176" s="33"/>
      <c r="U8176" s="33"/>
      <c r="V8176" s="33"/>
      <c r="W8176" s="33"/>
      <c r="X8176" s="33"/>
      <c r="Y8176" s="33"/>
      <c r="Z8176" s="33"/>
      <c r="AA8176" s="33"/>
      <c r="AB8176" s="33"/>
      <c r="AC8176" s="33"/>
      <c r="AD8176" s="33"/>
      <c r="AE8176" s="33"/>
      <c r="AF8176" s="33"/>
      <c r="AG8176" s="33"/>
      <c r="AH8176" s="33"/>
      <c r="AI8176" s="33"/>
      <c r="AJ8176" s="33"/>
      <c r="AK8176" s="33"/>
    </row>
    <row r="8177">
      <c r="A8177" s="33"/>
      <c r="B8177" s="33"/>
      <c r="C8177" s="33"/>
      <c r="D8177" s="33"/>
      <c r="E8177" s="33"/>
      <c r="F8177" s="33"/>
      <c r="G8177" s="33"/>
      <c r="H8177" s="33"/>
      <c r="I8177" s="33"/>
      <c r="J8177" s="33"/>
      <c r="K8177" s="33"/>
      <c r="L8177" s="33"/>
      <c r="M8177" s="33"/>
      <c r="N8177" s="33"/>
      <c r="O8177" s="33"/>
      <c r="P8177" s="33"/>
      <c r="Q8177" s="33"/>
      <c r="R8177" s="33"/>
      <c r="S8177" s="33"/>
      <c r="T8177" s="33"/>
      <c r="U8177" s="33"/>
      <c r="V8177" s="33"/>
      <c r="W8177" s="33"/>
      <c r="X8177" s="33"/>
      <c r="Y8177" s="33"/>
      <c r="Z8177" s="33"/>
      <c r="AA8177" s="33"/>
      <c r="AB8177" s="33"/>
      <c r="AC8177" s="33"/>
      <c r="AD8177" s="33"/>
      <c r="AE8177" s="33"/>
      <c r="AF8177" s="33"/>
      <c r="AG8177" s="33"/>
      <c r="AH8177" s="33"/>
      <c r="AI8177" s="33"/>
      <c r="AJ8177" s="33"/>
      <c r="AK8177" s="33"/>
    </row>
    <row r="8178">
      <c r="A8178" s="33"/>
      <c r="B8178" s="33"/>
      <c r="C8178" s="33"/>
      <c r="D8178" s="33"/>
      <c r="E8178" s="33"/>
      <c r="F8178" s="33"/>
      <c r="G8178" s="33"/>
      <c r="H8178" s="33"/>
      <c r="I8178" s="33"/>
      <c r="J8178" s="33"/>
      <c r="K8178" s="33"/>
      <c r="L8178" s="33"/>
      <c r="M8178" s="33"/>
      <c r="N8178" s="33"/>
      <c r="O8178" s="33"/>
      <c r="P8178" s="33"/>
      <c r="Q8178" s="33"/>
      <c r="R8178" s="33"/>
      <c r="S8178" s="33"/>
      <c r="T8178" s="33"/>
      <c r="U8178" s="33"/>
      <c r="V8178" s="33"/>
      <c r="W8178" s="33"/>
      <c r="X8178" s="33"/>
      <c r="Y8178" s="33"/>
      <c r="Z8178" s="33"/>
      <c r="AA8178" s="33"/>
      <c r="AB8178" s="33"/>
      <c r="AC8178" s="33"/>
      <c r="AD8178" s="33"/>
      <c r="AE8178" s="33"/>
      <c r="AF8178" s="33"/>
      <c r="AG8178" s="33"/>
      <c r="AH8178" s="33"/>
      <c r="AI8178" s="33"/>
      <c r="AJ8178" s="33"/>
      <c r="AK8178" s="33"/>
    </row>
    <row r="8179">
      <c r="A8179" s="33"/>
      <c r="B8179" s="33"/>
      <c r="C8179" s="33"/>
      <c r="D8179" s="33"/>
      <c r="E8179" s="33"/>
      <c r="F8179" s="33"/>
      <c r="G8179" s="33"/>
      <c r="H8179" s="33"/>
      <c r="I8179" s="33"/>
      <c r="J8179" s="33"/>
      <c r="K8179" s="33"/>
      <c r="L8179" s="33"/>
      <c r="M8179" s="33"/>
      <c r="N8179" s="33"/>
      <c r="O8179" s="33"/>
      <c r="P8179" s="33"/>
      <c r="Q8179" s="33"/>
      <c r="R8179" s="33"/>
      <c r="S8179" s="33"/>
      <c r="T8179" s="33"/>
      <c r="U8179" s="33"/>
      <c r="V8179" s="33"/>
      <c r="W8179" s="33"/>
      <c r="X8179" s="33"/>
      <c r="Y8179" s="33"/>
      <c r="Z8179" s="33"/>
      <c r="AA8179" s="33"/>
      <c r="AB8179" s="33"/>
      <c r="AC8179" s="33"/>
      <c r="AD8179" s="33"/>
      <c r="AE8179" s="33"/>
      <c r="AF8179" s="33"/>
      <c r="AG8179" s="33"/>
      <c r="AH8179" s="33"/>
      <c r="AI8179" s="33"/>
      <c r="AJ8179" s="33"/>
      <c r="AK8179" s="33"/>
    </row>
    <row r="8180">
      <c r="A8180" s="33"/>
      <c r="B8180" s="33"/>
      <c r="C8180" s="33"/>
      <c r="D8180" s="33"/>
      <c r="E8180" s="33"/>
      <c r="F8180" s="33"/>
      <c r="G8180" s="33"/>
      <c r="H8180" s="33"/>
      <c r="I8180" s="33"/>
      <c r="J8180" s="33"/>
      <c r="K8180" s="33"/>
      <c r="L8180" s="33"/>
      <c r="M8180" s="33"/>
      <c r="N8180" s="33"/>
      <c r="O8180" s="33"/>
      <c r="P8180" s="33"/>
      <c r="Q8180" s="33"/>
      <c r="R8180" s="33"/>
      <c r="S8180" s="33"/>
      <c r="T8180" s="33"/>
      <c r="U8180" s="33"/>
      <c r="V8180" s="33"/>
      <c r="W8180" s="33"/>
      <c r="X8180" s="33"/>
      <c r="Y8180" s="33"/>
      <c r="Z8180" s="33"/>
      <c r="AA8180" s="33"/>
      <c r="AB8180" s="33"/>
      <c r="AC8180" s="33"/>
      <c r="AD8180" s="33"/>
      <c r="AE8180" s="33"/>
      <c r="AF8180" s="33"/>
      <c r="AG8180" s="33"/>
      <c r="AH8180" s="33"/>
      <c r="AI8180" s="33"/>
      <c r="AJ8180" s="33"/>
      <c r="AK8180" s="33"/>
    </row>
    <row r="8181">
      <c r="A8181" s="33"/>
      <c r="B8181" s="33"/>
      <c r="C8181" s="33"/>
      <c r="D8181" s="33"/>
      <c r="E8181" s="33"/>
      <c r="F8181" s="33"/>
      <c r="G8181" s="33"/>
      <c r="H8181" s="33"/>
      <c r="I8181" s="33"/>
      <c r="J8181" s="33"/>
      <c r="K8181" s="33"/>
      <c r="L8181" s="33"/>
      <c r="M8181" s="33"/>
      <c r="N8181" s="33"/>
      <c r="O8181" s="33"/>
      <c r="P8181" s="33"/>
      <c r="Q8181" s="33"/>
      <c r="R8181" s="33"/>
      <c r="S8181" s="33"/>
      <c r="T8181" s="33"/>
      <c r="U8181" s="33"/>
      <c r="V8181" s="33"/>
      <c r="W8181" s="33"/>
      <c r="X8181" s="33"/>
      <c r="Y8181" s="33"/>
      <c r="Z8181" s="33"/>
      <c r="AA8181" s="33"/>
      <c r="AB8181" s="33"/>
      <c r="AC8181" s="33"/>
      <c r="AD8181" s="33"/>
      <c r="AE8181" s="33"/>
      <c r="AF8181" s="33"/>
      <c r="AG8181" s="33"/>
      <c r="AH8181" s="33"/>
      <c r="AI8181" s="33"/>
      <c r="AJ8181" s="33"/>
      <c r="AK8181" s="33"/>
    </row>
    <row r="8182">
      <c r="A8182" s="33"/>
      <c r="B8182" s="33"/>
      <c r="C8182" s="33"/>
      <c r="D8182" s="33"/>
      <c r="E8182" s="33"/>
      <c r="F8182" s="33"/>
      <c r="G8182" s="33"/>
      <c r="H8182" s="33"/>
      <c r="I8182" s="33"/>
      <c r="J8182" s="33"/>
      <c r="K8182" s="33"/>
      <c r="L8182" s="33"/>
      <c r="M8182" s="33"/>
      <c r="N8182" s="33"/>
      <c r="O8182" s="33"/>
      <c r="P8182" s="33"/>
      <c r="Q8182" s="33"/>
      <c r="R8182" s="33"/>
      <c r="S8182" s="33"/>
      <c r="T8182" s="33"/>
      <c r="U8182" s="33"/>
      <c r="V8182" s="33"/>
      <c r="W8182" s="33"/>
      <c r="X8182" s="33"/>
      <c r="Y8182" s="33"/>
      <c r="Z8182" s="33"/>
      <c r="AA8182" s="33"/>
      <c r="AB8182" s="33"/>
      <c r="AC8182" s="33"/>
      <c r="AD8182" s="33"/>
      <c r="AE8182" s="33"/>
      <c r="AF8182" s="33"/>
      <c r="AG8182" s="33"/>
      <c r="AH8182" s="33"/>
      <c r="AI8182" s="33"/>
      <c r="AJ8182" s="33"/>
      <c r="AK8182" s="33"/>
    </row>
    <row r="8183">
      <c r="A8183" s="33"/>
      <c r="B8183" s="33"/>
      <c r="C8183" s="33"/>
      <c r="D8183" s="33"/>
      <c r="E8183" s="33"/>
      <c r="F8183" s="33"/>
      <c r="G8183" s="33"/>
      <c r="H8183" s="33"/>
      <c r="I8183" s="33"/>
      <c r="J8183" s="33"/>
      <c r="K8183" s="33"/>
      <c r="L8183" s="33"/>
      <c r="M8183" s="33"/>
      <c r="N8183" s="33"/>
      <c r="O8183" s="33"/>
      <c r="P8183" s="33"/>
      <c r="Q8183" s="33"/>
      <c r="R8183" s="33"/>
      <c r="S8183" s="33"/>
      <c r="T8183" s="33"/>
      <c r="U8183" s="33"/>
      <c r="V8183" s="33"/>
      <c r="W8183" s="33"/>
      <c r="X8183" s="33"/>
      <c r="Y8183" s="33"/>
      <c r="Z8183" s="33"/>
      <c r="AA8183" s="33"/>
      <c r="AB8183" s="33"/>
      <c r="AC8183" s="33"/>
      <c r="AD8183" s="33"/>
      <c r="AE8183" s="33"/>
      <c r="AF8183" s="33"/>
      <c r="AG8183" s="33"/>
      <c r="AH8183" s="33"/>
      <c r="AI8183" s="33"/>
      <c r="AJ8183" s="33"/>
      <c r="AK8183" s="33"/>
    </row>
    <row r="8184">
      <c r="A8184" s="33"/>
      <c r="B8184" s="33"/>
      <c r="C8184" s="33"/>
      <c r="D8184" s="33"/>
      <c r="E8184" s="33"/>
      <c r="F8184" s="33"/>
      <c r="G8184" s="33"/>
      <c r="H8184" s="33"/>
      <c r="I8184" s="33"/>
      <c r="J8184" s="33"/>
      <c r="K8184" s="33"/>
      <c r="L8184" s="33"/>
      <c r="M8184" s="33"/>
      <c r="N8184" s="33"/>
      <c r="O8184" s="33"/>
      <c r="P8184" s="33"/>
      <c r="Q8184" s="33"/>
      <c r="R8184" s="33"/>
      <c r="S8184" s="33"/>
      <c r="T8184" s="33"/>
      <c r="U8184" s="33"/>
      <c r="V8184" s="33"/>
      <c r="W8184" s="33"/>
      <c r="X8184" s="33"/>
      <c r="Y8184" s="33"/>
      <c r="Z8184" s="33"/>
      <c r="AA8184" s="33"/>
      <c r="AB8184" s="33"/>
      <c r="AC8184" s="33"/>
      <c r="AD8184" s="33"/>
      <c r="AE8184" s="33"/>
      <c r="AF8184" s="33"/>
      <c r="AG8184" s="33"/>
      <c r="AH8184" s="33"/>
      <c r="AI8184" s="33"/>
      <c r="AJ8184" s="33"/>
      <c r="AK8184" s="33"/>
    </row>
    <row r="8185">
      <c r="A8185" s="33"/>
      <c r="B8185" s="33"/>
      <c r="C8185" s="33"/>
      <c r="D8185" s="33"/>
      <c r="E8185" s="33"/>
      <c r="F8185" s="33"/>
      <c r="G8185" s="33"/>
      <c r="H8185" s="33"/>
      <c r="I8185" s="33"/>
      <c r="J8185" s="33"/>
      <c r="K8185" s="33"/>
      <c r="L8185" s="33"/>
      <c r="M8185" s="33"/>
      <c r="N8185" s="33"/>
      <c r="O8185" s="33"/>
      <c r="P8185" s="33"/>
      <c r="Q8185" s="33"/>
      <c r="R8185" s="33"/>
      <c r="S8185" s="33"/>
      <c r="T8185" s="33"/>
      <c r="U8185" s="33"/>
      <c r="V8185" s="33"/>
      <c r="W8185" s="33"/>
      <c r="X8185" s="33"/>
      <c r="Y8185" s="33"/>
      <c r="Z8185" s="33"/>
      <c r="AA8185" s="33"/>
      <c r="AB8185" s="33"/>
      <c r="AC8185" s="33"/>
      <c r="AD8185" s="33"/>
      <c r="AE8185" s="33"/>
      <c r="AF8185" s="33"/>
      <c r="AG8185" s="33"/>
      <c r="AH8185" s="33"/>
      <c r="AI8185" s="33"/>
      <c r="AJ8185" s="33"/>
      <c r="AK8185" s="33"/>
    </row>
    <row r="8186">
      <c r="A8186" s="33"/>
      <c r="B8186" s="33"/>
      <c r="C8186" s="33"/>
      <c r="D8186" s="33"/>
      <c r="E8186" s="33"/>
      <c r="F8186" s="33"/>
      <c r="G8186" s="33"/>
      <c r="H8186" s="33"/>
      <c r="I8186" s="33"/>
      <c r="J8186" s="33"/>
      <c r="K8186" s="33"/>
      <c r="L8186" s="33"/>
      <c r="M8186" s="33"/>
      <c r="N8186" s="33"/>
      <c r="O8186" s="33"/>
      <c r="P8186" s="33"/>
      <c r="Q8186" s="33"/>
      <c r="R8186" s="33"/>
      <c r="S8186" s="33"/>
      <c r="T8186" s="33"/>
      <c r="U8186" s="33"/>
      <c r="V8186" s="33"/>
      <c r="W8186" s="33"/>
      <c r="X8186" s="33"/>
      <c r="Y8186" s="33"/>
      <c r="Z8186" s="33"/>
      <c r="AA8186" s="33"/>
      <c r="AB8186" s="33"/>
      <c r="AC8186" s="33"/>
      <c r="AD8186" s="33"/>
      <c r="AE8186" s="33"/>
      <c r="AF8186" s="33"/>
      <c r="AG8186" s="33"/>
      <c r="AH8186" s="33"/>
      <c r="AI8186" s="33"/>
      <c r="AJ8186" s="33"/>
      <c r="AK8186" s="33"/>
    </row>
    <row r="8187">
      <c r="A8187" s="33"/>
      <c r="B8187" s="33"/>
      <c r="C8187" s="33"/>
      <c r="D8187" s="33"/>
      <c r="E8187" s="33"/>
      <c r="F8187" s="33"/>
      <c r="G8187" s="33"/>
      <c r="H8187" s="33"/>
      <c r="I8187" s="33"/>
      <c r="J8187" s="33"/>
      <c r="K8187" s="33"/>
      <c r="L8187" s="33"/>
      <c r="M8187" s="33"/>
      <c r="N8187" s="33"/>
      <c r="O8187" s="33"/>
      <c r="P8187" s="33"/>
      <c r="Q8187" s="33"/>
      <c r="R8187" s="33"/>
      <c r="S8187" s="33"/>
      <c r="T8187" s="33"/>
      <c r="U8187" s="33"/>
      <c r="V8187" s="33"/>
      <c r="W8187" s="33"/>
      <c r="X8187" s="33"/>
      <c r="Y8187" s="33"/>
      <c r="Z8187" s="33"/>
      <c r="AA8187" s="33"/>
      <c r="AB8187" s="33"/>
      <c r="AC8187" s="33"/>
      <c r="AD8187" s="33"/>
      <c r="AE8187" s="33"/>
      <c r="AF8187" s="33"/>
      <c r="AG8187" s="33"/>
      <c r="AH8187" s="33"/>
      <c r="AI8187" s="33"/>
      <c r="AJ8187" s="33"/>
      <c r="AK8187" s="33"/>
    </row>
    <row r="8188">
      <c r="A8188" s="33"/>
      <c r="B8188" s="33"/>
      <c r="C8188" s="33"/>
      <c r="D8188" s="33"/>
      <c r="E8188" s="33"/>
      <c r="F8188" s="33"/>
      <c r="G8188" s="33"/>
      <c r="H8188" s="33"/>
      <c r="I8188" s="33"/>
      <c r="J8188" s="33"/>
      <c r="K8188" s="33"/>
      <c r="L8188" s="33"/>
      <c r="M8188" s="33"/>
      <c r="N8188" s="33"/>
      <c r="O8188" s="33"/>
      <c r="P8188" s="33"/>
      <c r="Q8188" s="33"/>
      <c r="R8188" s="33"/>
      <c r="S8188" s="33"/>
      <c r="T8188" s="33"/>
      <c r="U8188" s="33"/>
      <c r="V8188" s="33"/>
      <c r="W8188" s="33"/>
      <c r="X8188" s="33"/>
      <c r="Y8188" s="33"/>
      <c r="Z8188" s="33"/>
      <c r="AA8188" s="33"/>
      <c r="AB8188" s="33"/>
      <c r="AC8188" s="33"/>
      <c r="AD8188" s="33"/>
      <c r="AE8188" s="33"/>
      <c r="AF8188" s="33"/>
      <c r="AG8188" s="33"/>
      <c r="AH8188" s="33"/>
      <c r="AI8188" s="33"/>
      <c r="AJ8188" s="33"/>
      <c r="AK8188" s="33"/>
    </row>
    <row r="8189">
      <c r="A8189" s="33"/>
      <c r="B8189" s="33"/>
      <c r="C8189" s="33"/>
      <c r="D8189" s="33"/>
      <c r="E8189" s="33"/>
      <c r="F8189" s="33"/>
      <c r="G8189" s="33"/>
      <c r="H8189" s="33"/>
      <c r="I8189" s="33"/>
      <c r="J8189" s="33"/>
      <c r="K8189" s="33"/>
      <c r="L8189" s="33"/>
      <c r="M8189" s="33"/>
      <c r="N8189" s="33"/>
      <c r="O8189" s="33"/>
      <c r="P8189" s="33"/>
      <c r="Q8189" s="33"/>
      <c r="R8189" s="33"/>
      <c r="S8189" s="33"/>
      <c r="T8189" s="33"/>
      <c r="U8189" s="33"/>
      <c r="V8189" s="33"/>
      <c r="W8189" s="33"/>
      <c r="X8189" s="33"/>
      <c r="Y8189" s="33"/>
      <c r="Z8189" s="33"/>
      <c r="AA8189" s="33"/>
      <c r="AB8189" s="33"/>
      <c r="AC8189" s="33"/>
      <c r="AD8189" s="33"/>
      <c r="AE8189" s="33"/>
      <c r="AF8189" s="33"/>
      <c r="AG8189" s="33"/>
      <c r="AH8189" s="33"/>
      <c r="AI8189" s="33"/>
      <c r="AJ8189" s="33"/>
      <c r="AK8189" s="33"/>
    </row>
    <row r="8190">
      <c r="A8190" s="33"/>
      <c r="B8190" s="33"/>
      <c r="C8190" s="33"/>
      <c r="D8190" s="33"/>
      <c r="E8190" s="33"/>
      <c r="F8190" s="33"/>
      <c r="G8190" s="33"/>
      <c r="H8190" s="33"/>
      <c r="I8190" s="33"/>
      <c r="J8190" s="33"/>
      <c r="K8190" s="33"/>
      <c r="L8190" s="33"/>
      <c r="M8190" s="33"/>
      <c r="N8190" s="33"/>
      <c r="O8190" s="33"/>
      <c r="P8190" s="33"/>
      <c r="Q8190" s="33"/>
      <c r="R8190" s="33"/>
      <c r="S8190" s="33"/>
      <c r="T8190" s="33"/>
      <c r="U8190" s="33"/>
      <c r="V8190" s="33"/>
      <c r="W8190" s="33"/>
      <c r="X8190" s="33"/>
      <c r="Y8190" s="33"/>
      <c r="Z8190" s="33"/>
      <c r="AA8190" s="33"/>
      <c r="AB8190" s="33"/>
      <c r="AC8190" s="33"/>
      <c r="AD8190" s="33"/>
      <c r="AE8190" s="33"/>
      <c r="AF8190" s="33"/>
      <c r="AG8190" s="33"/>
      <c r="AH8190" s="33"/>
      <c r="AI8190" s="33"/>
      <c r="AJ8190" s="33"/>
      <c r="AK8190" s="33"/>
    </row>
    <row r="8191">
      <c r="A8191" s="33"/>
      <c r="B8191" s="33"/>
      <c r="C8191" s="33"/>
      <c r="D8191" s="33"/>
      <c r="E8191" s="33"/>
      <c r="F8191" s="33"/>
      <c r="G8191" s="33"/>
      <c r="H8191" s="33"/>
      <c r="I8191" s="33"/>
      <c r="J8191" s="33"/>
      <c r="K8191" s="33"/>
      <c r="L8191" s="33"/>
      <c r="M8191" s="33"/>
      <c r="N8191" s="33"/>
      <c r="O8191" s="33"/>
      <c r="P8191" s="33"/>
      <c r="Q8191" s="33"/>
      <c r="R8191" s="33"/>
      <c r="S8191" s="33"/>
      <c r="T8191" s="33"/>
      <c r="U8191" s="33"/>
      <c r="V8191" s="33"/>
      <c r="W8191" s="33"/>
      <c r="X8191" s="33"/>
      <c r="Y8191" s="33"/>
      <c r="Z8191" s="33"/>
      <c r="AA8191" s="33"/>
      <c r="AB8191" s="33"/>
      <c r="AC8191" s="33"/>
      <c r="AD8191" s="33"/>
      <c r="AE8191" s="33"/>
      <c r="AF8191" s="33"/>
      <c r="AG8191" s="33"/>
      <c r="AH8191" s="33"/>
      <c r="AI8191" s="33"/>
      <c r="AJ8191" s="33"/>
      <c r="AK8191" s="33"/>
    </row>
    <row r="8192">
      <c r="A8192" s="33"/>
      <c r="B8192" s="33"/>
      <c r="C8192" s="33"/>
      <c r="D8192" s="33"/>
      <c r="E8192" s="33"/>
      <c r="F8192" s="33"/>
      <c r="G8192" s="33"/>
      <c r="H8192" s="33"/>
      <c r="I8192" s="33"/>
      <c r="J8192" s="33"/>
      <c r="K8192" s="33"/>
      <c r="L8192" s="33"/>
      <c r="M8192" s="33"/>
      <c r="N8192" s="33"/>
      <c r="O8192" s="33"/>
      <c r="P8192" s="33"/>
      <c r="Q8192" s="33"/>
      <c r="R8192" s="33"/>
      <c r="S8192" s="33"/>
      <c r="T8192" s="33"/>
      <c r="U8192" s="33"/>
      <c r="V8192" s="33"/>
      <c r="W8192" s="33"/>
      <c r="X8192" s="33"/>
      <c r="Y8192" s="33"/>
      <c r="Z8192" s="33"/>
      <c r="AA8192" s="33"/>
      <c r="AB8192" s="33"/>
      <c r="AC8192" s="33"/>
      <c r="AD8192" s="33"/>
      <c r="AE8192" s="33"/>
      <c r="AF8192" s="33"/>
      <c r="AG8192" s="33"/>
      <c r="AH8192" s="33"/>
      <c r="AI8192" s="33"/>
      <c r="AJ8192" s="33"/>
      <c r="AK8192" s="33"/>
    </row>
    <row r="8193">
      <c r="A8193" s="33"/>
      <c r="B8193" s="33"/>
      <c r="C8193" s="33"/>
      <c r="D8193" s="33"/>
      <c r="E8193" s="33"/>
      <c r="F8193" s="33"/>
      <c r="G8193" s="33"/>
      <c r="H8193" s="33"/>
      <c r="I8193" s="33"/>
      <c r="J8193" s="33"/>
      <c r="K8193" s="33"/>
      <c r="L8193" s="33"/>
      <c r="M8193" s="33"/>
      <c r="N8193" s="33"/>
      <c r="O8193" s="33"/>
      <c r="P8193" s="33"/>
      <c r="Q8193" s="33"/>
      <c r="R8193" s="33"/>
      <c r="S8193" s="33"/>
      <c r="T8193" s="33"/>
      <c r="U8193" s="33"/>
      <c r="V8193" s="33"/>
      <c r="W8193" s="33"/>
      <c r="X8193" s="33"/>
      <c r="Y8193" s="33"/>
      <c r="Z8193" s="33"/>
      <c r="AA8193" s="33"/>
      <c r="AB8193" s="33"/>
      <c r="AC8193" s="33"/>
      <c r="AD8193" s="33"/>
      <c r="AE8193" s="33"/>
      <c r="AF8193" s="33"/>
      <c r="AG8193" s="33"/>
      <c r="AH8193" s="33"/>
      <c r="AI8193" s="33"/>
      <c r="AJ8193" s="33"/>
      <c r="AK8193" s="33"/>
    </row>
    <row r="8194">
      <c r="A8194" s="33"/>
      <c r="B8194" s="33"/>
      <c r="C8194" s="33"/>
      <c r="D8194" s="33"/>
      <c r="E8194" s="33"/>
      <c r="F8194" s="33"/>
      <c r="G8194" s="33"/>
      <c r="H8194" s="33"/>
      <c r="I8194" s="33"/>
      <c r="J8194" s="33"/>
      <c r="K8194" s="33"/>
      <c r="L8194" s="33"/>
      <c r="M8194" s="33"/>
      <c r="N8194" s="33"/>
      <c r="O8194" s="33"/>
      <c r="P8194" s="33"/>
      <c r="Q8194" s="33"/>
      <c r="R8194" s="33"/>
      <c r="S8194" s="33"/>
      <c r="T8194" s="33"/>
      <c r="U8194" s="33"/>
      <c r="V8194" s="33"/>
      <c r="W8194" s="33"/>
      <c r="X8194" s="33"/>
      <c r="Y8194" s="33"/>
      <c r="Z8194" s="33"/>
      <c r="AA8194" s="33"/>
      <c r="AB8194" s="33"/>
      <c r="AC8194" s="33"/>
      <c r="AD8194" s="33"/>
      <c r="AE8194" s="33"/>
      <c r="AF8194" s="33"/>
      <c r="AG8194" s="33"/>
      <c r="AH8194" s="33"/>
      <c r="AI8194" s="33"/>
      <c r="AJ8194" s="33"/>
      <c r="AK8194" s="33"/>
    </row>
    <row r="8195">
      <c r="A8195" s="33"/>
      <c r="B8195" s="33"/>
      <c r="C8195" s="33"/>
      <c r="D8195" s="33"/>
      <c r="E8195" s="33"/>
      <c r="F8195" s="33"/>
      <c r="G8195" s="33"/>
      <c r="H8195" s="33"/>
      <c r="I8195" s="33"/>
      <c r="J8195" s="33"/>
      <c r="K8195" s="33"/>
      <c r="L8195" s="33"/>
      <c r="M8195" s="33"/>
      <c r="N8195" s="33"/>
      <c r="O8195" s="33"/>
      <c r="P8195" s="33"/>
      <c r="Q8195" s="33"/>
      <c r="R8195" s="33"/>
      <c r="S8195" s="33"/>
      <c r="T8195" s="33"/>
      <c r="U8195" s="33"/>
      <c r="V8195" s="33"/>
      <c r="W8195" s="33"/>
      <c r="X8195" s="33"/>
      <c r="Y8195" s="33"/>
      <c r="Z8195" s="33"/>
      <c r="AA8195" s="33"/>
      <c r="AB8195" s="33"/>
      <c r="AC8195" s="33"/>
      <c r="AD8195" s="33"/>
      <c r="AE8195" s="33"/>
      <c r="AF8195" s="33"/>
      <c r="AG8195" s="33"/>
      <c r="AH8195" s="33"/>
      <c r="AI8195" s="33"/>
      <c r="AJ8195" s="33"/>
      <c r="AK8195" s="33"/>
    </row>
    <row r="8196">
      <c r="A8196" s="33"/>
      <c r="B8196" s="33"/>
      <c r="C8196" s="33"/>
      <c r="D8196" s="33"/>
      <c r="E8196" s="33"/>
      <c r="F8196" s="33"/>
      <c r="G8196" s="33"/>
      <c r="H8196" s="33"/>
      <c r="I8196" s="33"/>
      <c r="J8196" s="33"/>
      <c r="K8196" s="33"/>
      <c r="L8196" s="33"/>
      <c r="M8196" s="33"/>
      <c r="N8196" s="33"/>
      <c r="O8196" s="33"/>
      <c r="P8196" s="33"/>
      <c r="Q8196" s="33"/>
      <c r="R8196" s="33"/>
      <c r="S8196" s="33"/>
      <c r="T8196" s="33"/>
      <c r="U8196" s="33"/>
      <c r="V8196" s="33"/>
      <c r="W8196" s="33"/>
      <c r="X8196" s="33"/>
      <c r="Y8196" s="33"/>
      <c r="Z8196" s="33"/>
      <c r="AA8196" s="33"/>
      <c r="AB8196" s="33"/>
      <c r="AC8196" s="33"/>
      <c r="AD8196" s="33"/>
      <c r="AE8196" s="33"/>
      <c r="AF8196" s="33"/>
      <c r="AG8196" s="33"/>
      <c r="AH8196" s="33"/>
      <c r="AI8196" s="33"/>
      <c r="AJ8196" s="33"/>
      <c r="AK8196" s="33"/>
    </row>
    <row r="8197">
      <c r="A8197" s="33"/>
      <c r="B8197" s="33"/>
      <c r="C8197" s="33"/>
      <c r="D8197" s="33"/>
      <c r="E8197" s="33"/>
      <c r="F8197" s="33"/>
      <c r="G8197" s="33"/>
      <c r="H8197" s="33"/>
      <c r="I8197" s="33"/>
      <c r="J8197" s="33"/>
      <c r="K8197" s="33"/>
      <c r="L8197" s="33"/>
      <c r="M8197" s="33"/>
      <c r="N8197" s="33"/>
      <c r="O8197" s="33"/>
      <c r="P8197" s="33"/>
      <c r="Q8197" s="33"/>
      <c r="R8197" s="33"/>
      <c r="S8197" s="33"/>
      <c r="T8197" s="33"/>
      <c r="U8197" s="33"/>
      <c r="V8197" s="33"/>
      <c r="W8197" s="33"/>
      <c r="X8197" s="33"/>
      <c r="Y8197" s="33"/>
      <c r="Z8197" s="33"/>
      <c r="AA8197" s="33"/>
      <c r="AB8197" s="33"/>
      <c r="AC8197" s="33"/>
      <c r="AD8197" s="33"/>
      <c r="AE8197" s="33"/>
      <c r="AF8197" s="33"/>
      <c r="AG8197" s="33"/>
      <c r="AH8197" s="33"/>
      <c r="AI8197" s="33"/>
      <c r="AJ8197" s="33"/>
      <c r="AK8197" s="33"/>
    </row>
    <row r="8198">
      <c r="A8198" s="33"/>
      <c r="B8198" s="33"/>
      <c r="C8198" s="33"/>
      <c r="D8198" s="33"/>
      <c r="E8198" s="33"/>
      <c r="F8198" s="33"/>
      <c r="G8198" s="33"/>
      <c r="H8198" s="33"/>
      <c r="I8198" s="33"/>
      <c r="J8198" s="33"/>
      <c r="K8198" s="33"/>
      <c r="L8198" s="33"/>
      <c r="M8198" s="33"/>
      <c r="N8198" s="33"/>
      <c r="O8198" s="33"/>
      <c r="P8198" s="33"/>
      <c r="Q8198" s="33"/>
      <c r="R8198" s="33"/>
      <c r="S8198" s="33"/>
      <c r="T8198" s="33"/>
      <c r="U8198" s="33"/>
      <c r="V8198" s="33"/>
      <c r="W8198" s="33"/>
      <c r="X8198" s="33"/>
      <c r="Y8198" s="33"/>
      <c r="Z8198" s="33"/>
      <c r="AA8198" s="33"/>
      <c r="AB8198" s="33"/>
      <c r="AC8198" s="33"/>
      <c r="AD8198" s="33"/>
      <c r="AE8198" s="33"/>
      <c r="AF8198" s="33"/>
      <c r="AG8198" s="33"/>
      <c r="AH8198" s="33"/>
      <c r="AI8198" s="33"/>
      <c r="AJ8198" s="33"/>
      <c r="AK8198" s="33"/>
    </row>
    <row r="8199">
      <c r="A8199" s="33"/>
      <c r="B8199" s="33"/>
      <c r="C8199" s="33"/>
      <c r="D8199" s="33"/>
      <c r="E8199" s="33"/>
      <c r="F8199" s="33"/>
      <c r="G8199" s="33"/>
      <c r="H8199" s="33"/>
      <c r="I8199" s="33"/>
      <c r="J8199" s="33"/>
      <c r="K8199" s="33"/>
      <c r="L8199" s="33"/>
      <c r="M8199" s="33"/>
      <c r="N8199" s="33"/>
      <c r="O8199" s="33"/>
      <c r="P8199" s="33"/>
      <c r="Q8199" s="33"/>
      <c r="R8199" s="33"/>
      <c r="S8199" s="33"/>
      <c r="T8199" s="33"/>
      <c r="U8199" s="33"/>
      <c r="V8199" s="33"/>
      <c r="W8199" s="33"/>
      <c r="X8199" s="33"/>
      <c r="Y8199" s="33"/>
      <c r="Z8199" s="33"/>
      <c r="AA8199" s="33"/>
      <c r="AB8199" s="33"/>
      <c r="AC8199" s="33"/>
      <c r="AD8199" s="33"/>
      <c r="AE8199" s="33"/>
      <c r="AF8199" s="33"/>
      <c r="AG8199" s="33"/>
      <c r="AH8199" s="33"/>
      <c r="AI8199" s="33"/>
      <c r="AJ8199" s="33"/>
      <c r="AK8199" s="33"/>
    </row>
    <row r="8200">
      <c r="A8200" s="33"/>
      <c r="B8200" s="33"/>
      <c r="C8200" s="33"/>
      <c r="D8200" s="33"/>
      <c r="E8200" s="33"/>
      <c r="F8200" s="33"/>
      <c r="G8200" s="33"/>
      <c r="H8200" s="33"/>
      <c r="I8200" s="33"/>
      <c r="J8200" s="33"/>
      <c r="K8200" s="33"/>
      <c r="L8200" s="33"/>
      <c r="M8200" s="33"/>
      <c r="N8200" s="33"/>
      <c r="O8200" s="33"/>
      <c r="P8200" s="33"/>
      <c r="Q8200" s="33"/>
      <c r="R8200" s="33"/>
      <c r="S8200" s="33"/>
      <c r="T8200" s="33"/>
      <c r="U8200" s="33"/>
      <c r="V8200" s="33"/>
      <c r="W8200" s="33"/>
      <c r="X8200" s="33"/>
      <c r="Y8200" s="33"/>
      <c r="Z8200" s="33"/>
      <c r="AA8200" s="33"/>
      <c r="AB8200" s="33"/>
      <c r="AC8200" s="33"/>
      <c r="AD8200" s="33"/>
      <c r="AE8200" s="33"/>
      <c r="AF8200" s="33"/>
      <c r="AG8200" s="33"/>
      <c r="AH8200" s="33"/>
      <c r="AI8200" s="33"/>
      <c r="AJ8200" s="33"/>
      <c r="AK8200" s="33"/>
    </row>
    <row r="8201">
      <c r="A8201" s="33"/>
      <c r="B8201" s="33"/>
      <c r="C8201" s="33"/>
      <c r="D8201" s="33"/>
      <c r="E8201" s="33"/>
      <c r="F8201" s="33"/>
      <c r="G8201" s="33"/>
      <c r="H8201" s="33"/>
      <c r="I8201" s="33"/>
      <c r="J8201" s="33"/>
      <c r="K8201" s="33"/>
      <c r="L8201" s="33"/>
      <c r="M8201" s="33"/>
      <c r="N8201" s="33"/>
      <c r="O8201" s="33"/>
      <c r="P8201" s="33"/>
      <c r="Q8201" s="33"/>
      <c r="R8201" s="33"/>
      <c r="S8201" s="33"/>
      <c r="T8201" s="33"/>
      <c r="U8201" s="33"/>
      <c r="V8201" s="33"/>
      <c r="W8201" s="33"/>
      <c r="X8201" s="33"/>
      <c r="Y8201" s="33"/>
      <c r="Z8201" s="33"/>
      <c r="AA8201" s="33"/>
      <c r="AB8201" s="33"/>
      <c r="AC8201" s="33"/>
      <c r="AD8201" s="33"/>
      <c r="AE8201" s="33"/>
      <c r="AF8201" s="33"/>
      <c r="AG8201" s="33"/>
      <c r="AH8201" s="33"/>
      <c r="AI8201" s="33"/>
      <c r="AJ8201" s="33"/>
      <c r="AK8201" s="33"/>
    </row>
    <row r="8202">
      <c r="A8202" s="33"/>
      <c r="B8202" s="33"/>
      <c r="C8202" s="33"/>
      <c r="D8202" s="33"/>
      <c r="E8202" s="33"/>
      <c r="F8202" s="33"/>
      <c r="G8202" s="33"/>
      <c r="H8202" s="33"/>
      <c r="I8202" s="33"/>
      <c r="J8202" s="33"/>
      <c r="K8202" s="33"/>
      <c r="L8202" s="33"/>
      <c r="M8202" s="33"/>
      <c r="N8202" s="33"/>
      <c r="O8202" s="33"/>
      <c r="P8202" s="33"/>
      <c r="Q8202" s="33"/>
      <c r="R8202" s="33"/>
      <c r="S8202" s="33"/>
      <c r="T8202" s="33"/>
      <c r="U8202" s="33"/>
      <c r="V8202" s="33"/>
      <c r="W8202" s="33"/>
      <c r="X8202" s="33"/>
      <c r="Y8202" s="33"/>
      <c r="Z8202" s="33"/>
      <c r="AA8202" s="33"/>
      <c r="AB8202" s="33"/>
      <c r="AC8202" s="33"/>
      <c r="AD8202" s="33"/>
      <c r="AE8202" s="33"/>
      <c r="AF8202" s="33"/>
      <c r="AG8202" s="33"/>
      <c r="AH8202" s="33"/>
      <c r="AI8202" s="33"/>
      <c r="AJ8202" s="33"/>
      <c r="AK8202" s="33"/>
    </row>
    <row r="8203">
      <c r="A8203" s="33"/>
      <c r="B8203" s="33"/>
      <c r="C8203" s="33"/>
      <c r="D8203" s="33"/>
      <c r="E8203" s="33"/>
      <c r="F8203" s="33"/>
      <c r="G8203" s="33"/>
      <c r="H8203" s="33"/>
      <c r="I8203" s="33"/>
      <c r="J8203" s="33"/>
      <c r="K8203" s="33"/>
      <c r="L8203" s="33"/>
      <c r="M8203" s="33"/>
      <c r="N8203" s="33"/>
      <c r="O8203" s="33"/>
      <c r="P8203" s="33"/>
      <c r="Q8203" s="33"/>
      <c r="R8203" s="33"/>
      <c r="S8203" s="33"/>
      <c r="T8203" s="33"/>
      <c r="U8203" s="33"/>
      <c r="V8203" s="33"/>
      <c r="W8203" s="33"/>
      <c r="X8203" s="33"/>
      <c r="Y8203" s="33"/>
      <c r="Z8203" s="33"/>
      <c r="AA8203" s="33"/>
      <c r="AB8203" s="33"/>
      <c r="AC8203" s="33"/>
      <c r="AD8203" s="33"/>
      <c r="AE8203" s="33"/>
      <c r="AF8203" s="33"/>
      <c r="AG8203" s="33"/>
      <c r="AH8203" s="33"/>
      <c r="AI8203" s="33"/>
      <c r="AJ8203" s="33"/>
      <c r="AK8203" s="33"/>
    </row>
    <row r="8204">
      <c r="A8204" s="33"/>
      <c r="B8204" s="33"/>
      <c r="C8204" s="33"/>
      <c r="D8204" s="33"/>
      <c r="E8204" s="33"/>
      <c r="F8204" s="33"/>
      <c r="G8204" s="33"/>
      <c r="H8204" s="33"/>
      <c r="I8204" s="33"/>
      <c r="J8204" s="33"/>
      <c r="K8204" s="33"/>
      <c r="L8204" s="33"/>
      <c r="M8204" s="33"/>
      <c r="N8204" s="33"/>
      <c r="O8204" s="33"/>
      <c r="P8204" s="33"/>
      <c r="Q8204" s="33"/>
      <c r="R8204" s="33"/>
      <c r="S8204" s="33"/>
      <c r="T8204" s="33"/>
      <c r="U8204" s="33"/>
      <c r="V8204" s="33"/>
      <c r="W8204" s="33"/>
      <c r="X8204" s="33"/>
      <c r="Y8204" s="33"/>
      <c r="Z8204" s="33"/>
      <c r="AA8204" s="33"/>
      <c r="AB8204" s="33"/>
      <c r="AC8204" s="33"/>
      <c r="AD8204" s="33"/>
      <c r="AE8204" s="33"/>
      <c r="AF8204" s="33"/>
      <c r="AG8204" s="33"/>
      <c r="AH8204" s="33"/>
      <c r="AI8204" s="33"/>
      <c r="AJ8204" s="33"/>
      <c r="AK8204" s="3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5"/>
  </cols>
  <sheetData>
    <row r="1">
      <c r="A1" s="1" t="s">
        <v>0</v>
      </c>
      <c r="B1" s="2" t="s">
        <v>1</v>
      </c>
      <c r="C1" s="3" t="s">
        <v>2</v>
      </c>
      <c r="D1" s="34" t="s">
        <v>3</v>
      </c>
    </row>
    <row r="2">
      <c r="A2" s="10" t="s">
        <v>68</v>
      </c>
      <c r="B2" s="11">
        <v>100.0</v>
      </c>
      <c r="C2" s="12" t="s">
        <v>50</v>
      </c>
      <c r="D2" s="9"/>
    </row>
    <row r="3">
      <c r="A3" s="10" t="s">
        <v>80</v>
      </c>
      <c r="B3" s="11">
        <v>250.0</v>
      </c>
      <c r="C3" s="12" t="s">
        <v>50</v>
      </c>
      <c r="D3" s="9"/>
    </row>
    <row r="4">
      <c r="A4" s="5" t="s">
        <v>111</v>
      </c>
      <c r="B4" s="6">
        <v>150.0</v>
      </c>
      <c r="C4" s="7" t="s">
        <v>106</v>
      </c>
      <c r="D4" s="9"/>
    </row>
    <row r="5">
      <c r="A5" s="10" t="s">
        <v>120</v>
      </c>
      <c r="B5" s="11">
        <v>200.0</v>
      </c>
      <c r="C5" s="12" t="s">
        <v>106</v>
      </c>
      <c r="D5" s="9"/>
    </row>
    <row r="6">
      <c r="A6" s="10" t="s">
        <v>167</v>
      </c>
      <c r="B6" s="11">
        <v>1000.0</v>
      </c>
      <c r="C6" s="12" t="s">
        <v>35</v>
      </c>
      <c r="D6" s="9"/>
    </row>
    <row r="7">
      <c r="A7" s="10" t="s">
        <v>197</v>
      </c>
      <c r="B7" s="11">
        <v>100.0</v>
      </c>
      <c r="C7" s="12" t="s">
        <v>35</v>
      </c>
      <c r="D7" s="9"/>
    </row>
    <row r="8">
      <c r="A8" s="5" t="s">
        <v>198</v>
      </c>
      <c r="B8" s="6">
        <v>250.0</v>
      </c>
      <c r="C8" s="7" t="s">
        <v>35</v>
      </c>
      <c r="D8" s="9"/>
    </row>
    <row r="9">
      <c r="A9" s="10" t="s">
        <v>199</v>
      </c>
      <c r="B9" s="11">
        <v>1000.0</v>
      </c>
      <c r="C9" s="12" t="s">
        <v>35</v>
      </c>
      <c r="D9" s="9"/>
    </row>
    <row r="10">
      <c r="A10" s="5" t="s">
        <v>200</v>
      </c>
      <c r="B10" s="6">
        <v>1000.0</v>
      </c>
      <c r="C10" s="7" t="s">
        <v>35</v>
      </c>
      <c r="D10" s="9"/>
    </row>
    <row r="11">
      <c r="A11" s="10" t="s">
        <v>201</v>
      </c>
      <c r="B11" s="11">
        <v>1000.0</v>
      </c>
      <c r="C11" s="12" t="s">
        <v>35</v>
      </c>
      <c r="D11" s="9"/>
    </row>
    <row r="12">
      <c r="A12" s="5" t="s">
        <v>202</v>
      </c>
      <c r="B12" s="6">
        <v>250.0</v>
      </c>
      <c r="C12" s="7" t="s">
        <v>35</v>
      </c>
      <c r="D12" s="9"/>
    </row>
    <row r="13">
      <c r="A13" s="5" t="s">
        <v>204</v>
      </c>
      <c r="B13" s="6">
        <v>500.0</v>
      </c>
      <c r="C13" s="7" t="s">
        <v>35</v>
      </c>
      <c r="D13" s="9"/>
    </row>
    <row r="14">
      <c r="A14" s="5" t="s">
        <v>206</v>
      </c>
      <c r="B14" s="6">
        <v>100.0</v>
      </c>
      <c r="C14" s="7" t="s">
        <v>35</v>
      </c>
      <c r="D14" s="9"/>
    </row>
    <row r="15">
      <c r="A15" s="10" t="s">
        <v>207</v>
      </c>
      <c r="B15" s="11">
        <v>1000.0</v>
      </c>
      <c r="C15" s="12" t="s">
        <v>35</v>
      </c>
      <c r="D15" s="9"/>
    </row>
    <row r="16">
      <c r="A16" s="10" t="s">
        <v>209</v>
      </c>
      <c r="B16" s="11">
        <v>1000.0</v>
      </c>
      <c r="C16" s="12" t="s">
        <v>35</v>
      </c>
      <c r="D16" s="9"/>
    </row>
    <row r="17">
      <c r="A17" s="5" t="s">
        <v>224</v>
      </c>
      <c r="B17" s="6">
        <v>100.0</v>
      </c>
      <c r="C17" s="7" t="s">
        <v>35</v>
      </c>
      <c r="D17" s="9"/>
    </row>
    <row r="18">
      <c r="A18" s="5" t="s">
        <v>245</v>
      </c>
      <c r="B18" s="6">
        <v>500.0</v>
      </c>
      <c r="C18" s="7" t="s">
        <v>35</v>
      </c>
      <c r="D18" s="9"/>
    </row>
    <row r="19">
      <c r="A19" s="10" t="s">
        <v>246</v>
      </c>
      <c r="B19" s="11">
        <v>1000.0</v>
      </c>
      <c r="C19" s="12" t="s">
        <v>35</v>
      </c>
      <c r="D19" s="9"/>
    </row>
    <row r="20">
      <c r="A20" s="5" t="s">
        <v>247</v>
      </c>
      <c r="B20" s="6">
        <v>100.0</v>
      </c>
      <c r="C20" s="7" t="s">
        <v>35</v>
      </c>
      <c r="D20" s="9"/>
    </row>
    <row r="21">
      <c r="A21" s="5" t="s">
        <v>251</v>
      </c>
      <c r="B21" s="6">
        <v>1000.0</v>
      </c>
      <c r="C21" s="7" t="s">
        <v>35</v>
      </c>
      <c r="D21" s="9"/>
    </row>
    <row r="22">
      <c r="A22" s="10" t="s">
        <v>252</v>
      </c>
      <c r="B22" s="11">
        <v>500.0</v>
      </c>
      <c r="C22" s="12" t="s">
        <v>35</v>
      </c>
      <c r="D22" s="9"/>
    </row>
    <row r="23">
      <c r="A23" s="5" t="s">
        <v>258</v>
      </c>
      <c r="B23" s="6">
        <v>1000.0</v>
      </c>
      <c r="C23" s="7" t="s">
        <v>35</v>
      </c>
      <c r="D23" s="9"/>
    </row>
    <row r="24">
      <c r="A24" s="5" t="s">
        <v>272</v>
      </c>
      <c r="B24" s="6">
        <v>1000.0</v>
      </c>
      <c r="C24" s="7" t="s">
        <v>35</v>
      </c>
      <c r="D24" s="9"/>
    </row>
    <row r="25">
      <c r="A25" s="10" t="s">
        <v>276</v>
      </c>
      <c r="B25" s="11">
        <v>1000.0</v>
      </c>
      <c r="C25" s="12" t="s">
        <v>5</v>
      </c>
      <c r="D25" s="9"/>
    </row>
    <row r="26">
      <c r="A26" s="5" t="s">
        <v>278</v>
      </c>
      <c r="B26" s="6">
        <v>50.0</v>
      </c>
      <c r="C26" s="7" t="s">
        <v>5</v>
      </c>
      <c r="D26" s="9"/>
    </row>
    <row r="27">
      <c r="A27" s="10" t="s">
        <v>301</v>
      </c>
      <c r="B27" s="11">
        <v>1000.0</v>
      </c>
      <c r="C27" s="12" t="s">
        <v>33</v>
      </c>
      <c r="D27" s="9"/>
    </row>
    <row r="28">
      <c r="A28" s="10" t="s">
        <v>313</v>
      </c>
      <c r="B28" s="11">
        <v>250.0</v>
      </c>
      <c r="C28" s="12" t="s">
        <v>33</v>
      </c>
      <c r="D28" s="9"/>
    </row>
    <row r="29">
      <c r="A29" s="10" t="s">
        <v>346</v>
      </c>
      <c r="B29" s="11">
        <v>100.0</v>
      </c>
      <c r="C29" s="12" t="s">
        <v>33</v>
      </c>
      <c r="D29" s="9"/>
    </row>
    <row r="30">
      <c r="A30" s="10" t="s">
        <v>361</v>
      </c>
      <c r="B30" s="11">
        <v>200.0</v>
      </c>
      <c r="C30" s="12" t="s">
        <v>362</v>
      </c>
      <c r="D30" s="9"/>
    </row>
    <row r="31">
      <c r="A31" s="10" t="s">
        <v>366</v>
      </c>
      <c r="B31" s="11">
        <v>100.0</v>
      </c>
      <c r="C31" s="12" t="s">
        <v>362</v>
      </c>
      <c r="D31" s="9"/>
    </row>
    <row r="32">
      <c r="A32" s="10" t="s">
        <v>379</v>
      </c>
      <c r="B32" s="11">
        <v>100.0</v>
      </c>
      <c r="C32" s="12" t="s">
        <v>375</v>
      </c>
      <c r="D32" s="9"/>
    </row>
    <row r="33">
      <c r="A33" s="10" t="s">
        <v>399</v>
      </c>
      <c r="B33" s="11">
        <v>250.0</v>
      </c>
      <c r="C33" s="12" t="s">
        <v>375</v>
      </c>
      <c r="D33" s="9"/>
    </row>
    <row r="34">
      <c r="A34" s="5" t="s">
        <v>440</v>
      </c>
      <c r="B34" s="6">
        <v>25.0</v>
      </c>
      <c r="C34" s="7" t="s">
        <v>106</v>
      </c>
      <c r="D34" s="9"/>
    </row>
    <row r="35">
      <c r="A35" s="5" t="s">
        <v>504</v>
      </c>
      <c r="B35" s="6">
        <v>50.0</v>
      </c>
      <c r="C35" s="7" t="s">
        <v>106</v>
      </c>
      <c r="D35" s="9"/>
    </row>
    <row r="36">
      <c r="A36" s="10" t="s">
        <v>505</v>
      </c>
      <c r="B36" s="11">
        <v>50.0</v>
      </c>
      <c r="C36" s="12" t="s">
        <v>106</v>
      </c>
      <c r="D36" s="9"/>
    </row>
    <row r="37">
      <c r="A37" s="10" t="s">
        <v>509</v>
      </c>
      <c r="B37" s="11">
        <v>50.0</v>
      </c>
      <c r="C37" s="12" t="s">
        <v>106</v>
      </c>
      <c r="D37" s="9"/>
    </row>
    <row r="38">
      <c r="A38" s="5" t="s">
        <v>510</v>
      </c>
      <c r="B38" s="6">
        <v>50.0</v>
      </c>
      <c r="C38" s="7" t="s">
        <v>106</v>
      </c>
      <c r="D38" s="9"/>
    </row>
    <row r="39">
      <c r="A39" s="10" t="s">
        <v>511</v>
      </c>
      <c r="B39" s="11">
        <v>125.0</v>
      </c>
      <c r="C39" s="12" t="s">
        <v>106</v>
      </c>
      <c r="D39" s="9"/>
    </row>
    <row r="40">
      <c r="A40" s="10" t="s">
        <v>515</v>
      </c>
      <c r="B40" s="11">
        <v>200.0</v>
      </c>
      <c r="C40" s="12" t="s">
        <v>106</v>
      </c>
      <c r="D40" s="9"/>
    </row>
    <row r="41">
      <c r="A41" s="10" t="s">
        <v>549</v>
      </c>
      <c r="B41" s="11">
        <v>250.0</v>
      </c>
      <c r="C41" s="12" t="s">
        <v>106</v>
      </c>
      <c r="D41" s="9"/>
    </row>
    <row r="42">
      <c r="A42" s="5" t="s">
        <v>553</v>
      </c>
      <c r="B42" s="6">
        <v>200.0</v>
      </c>
      <c r="C42" s="7" t="s">
        <v>106</v>
      </c>
      <c r="D42" s="9"/>
    </row>
    <row r="43">
      <c r="A43" s="10" t="s">
        <v>572</v>
      </c>
      <c r="B43" s="11">
        <v>25.0</v>
      </c>
      <c r="C43" s="12" t="s">
        <v>106</v>
      </c>
      <c r="D43" s="9"/>
    </row>
    <row r="44">
      <c r="A44" s="5" t="s">
        <v>573</v>
      </c>
      <c r="B44" s="6">
        <v>10.0</v>
      </c>
      <c r="C44" s="7" t="s">
        <v>106</v>
      </c>
      <c r="D44" s="9"/>
    </row>
    <row r="45">
      <c r="A45" s="5" t="s">
        <v>605</v>
      </c>
      <c r="B45" s="6">
        <v>200.0</v>
      </c>
      <c r="C45" s="7" t="s">
        <v>106</v>
      </c>
      <c r="D45" s="9"/>
    </row>
    <row r="46">
      <c r="A46" s="10" t="s">
        <v>676</v>
      </c>
      <c r="B46" s="11">
        <v>1000.0</v>
      </c>
      <c r="C46" s="12" t="s">
        <v>649</v>
      </c>
      <c r="D46" s="9"/>
    </row>
    <row r="47">
      <c r="A47" s="10" t="s">
        <v>692</v>
      </c>
      <c r="B47" s="11">
        <v>474.7</v>
      </c>
      <c r="C47" s="12" t="s">
        <v>649</v>
      </c>
      <c r="D47" s="9"/>
    </row>
    <row r="48">
      <c r="A48" s="10" t="s">
        <v>710</v>
      </c>
      <c r="B48" s="11">
        <v>1000.0</v>
      </c>
      <c r="C48" s="12" t="s">
        <v>649</v>
      </c>
      <c r="D48" s="9"/>
    </row>
    <row r="49">
      <c r="A49" s="5" t="s">
        <v>744</v>
      </c>
      <c r="B49" s="6">
        <v>1000.0</v>
      </c>
      <c r="C49" s="7" t="s">
        <v>649</v>
      </c>
      <c r="D49" s="9"/>
    </row>
    <row r="50">
      <c r="A50" s="10" t="s">
        <v>770</v>
      </c>
      <c r="B50" s="11">
        <v>100.0</v>
      </c>
      <c r="C50" s="12" t="s">
        <v>33</v>
      </c>
      <c r="D50" s="9"/>
    </row>
    <row r="51">
      <c r="A51" s="10" t="s">
        <v>782</v>
      </c>
      <c r="B51" s="11">
        <v>100.0</v>
      </c>
      <c r="C51" s="12" t="s">
        <v>33</v>
      </c>
      <c r="D51" s="9"/>
    </row>
    <row r="52">
      <c r="A52" s="5" t="s">
        <v>853</v>
      </c>
      <c r="B52" s="6">
        <v>250.0</v>
      </c>
      <c r="C52" s="7" t="s">
        <v>634</v>
      </c>
      <c r="D52" s="9"/>
    </row>
    <row r="53">
      <c r="A53" s="5" t="s">
        <v>893</v>
      </c>
      <c r="B53" s="6">
        <v>450.0</v>
      </c>
      <c r="C53" s="7" t="s">
        <v>634</v>
      </c>
      <c r="D53" s="9"/>
    </row>
    <row r="54">
      <c r="A54" s="5" t="s">
        <v>897</v>
      </c>
      <c r="B54" s="6">
        <v>50.0</v>
      </c>
      <c r="C54" s="7" t="s">
        <v>634</v>
      </c>
      <c r="D54" s="9"/>
    </row>
    <row r="55">
      <c r="A55" s="5" t="s">
        <v>902</v>
      </c>
      <c r="B55" s="6">
        <v>50.0</v>
      </c>
      <c r="C55" s="7" t="s">
        <v>634</v>
      </c>
      <c r="D55" s="9"/>
    </row>
    <row r="56">
      <c r="A56" s="10" t="s">
        <v>928</v>
      </c>
      <c r="B56" s="11">
        <v>2500.0</v>
      </c>
      <c r="C56" s="12" t="s">
        <v>629</v>
      </c>
      <c r="D56" s="9"/>
    </row>
    <row r="57">
      <c r="A57" s="10" t="s">
        <v>1001</v>
      </c>
      <c r="B57" s="11">
        <v>100.0</v>
      </c>
      <c r="C57" s="12" t="s">
        <v>636</v>
      </c>
      <c r="D57" s="9"/>
    </row>
    <row r="58">
      <c r="A58" s="10" t="s">
        <v>1016</v>
      </c>
      <c r="B58" s="11">
        <v>250.0</v>
      </c>
      <c r="C58" s="12" t="s">
        <v>1005</v>
      </c>
      <c r="D58" s="9"/>
    </row>
    <row r="59">
      <c r="A59" s="5" t="s">
        <v>1055</v>
      </c>
      <c r="B59" s="6">
        <v>300.0</v>
      </c>
      <c r="C59" s="7" t="s">
        <v>1054</v>
      </c>
      <c r="D59" s="9"/>
    </row>
    <row r="60">
      <c r="A60" s="10" t="s">
        <v>1055</v>
      </c>
      <c r="B60" s="11">
        <v>300.0</v>
      </c>
      <c r="C60" s="12" t="s">
        <v>1054</v>
      </c>
      <c r="D60" s="9"/>
    </row>
    <row r="61">
      <c r="A61" s="5" t="s">
        <v>1075</v>
      </c>
      <c r="B61" s="6">
        <v>500.0</v>
      </c>
      <c r="C61" s="7" t="s">
        <v>1065</v>
      </c>
      <c r="D61" s="9"/>
    </row>
    <row r="62">
      <c r="A62" s="5" t="s">
        <v>1077</v>
      </c>
      <c r="B62" s="6">
        <v>100.0</v>
      </c>
      <c r="C62" s="7" t="s">
        <v>1065</v>
      </c>
      <c r="D62" s="9"/>
    </row>
    <row r="63">
      <c r="A63" s="5" t="s">
        <v>1085</v>
      </c>
      <c r="B63" s="6">
        <v>100.0</v>
      </c>
      <c r="C63" s="7" t="s">
        <v>1065</v>
      </c>
      <c r="D63" s="9"/>
    </row>
    <row r="64">
      <c r="A64" s="5" t="s">
        <v>1089</v>
      </c>
      <c r="B64" s="6">
        <v>100.0</v>
      </c>
      <c r="C64" s="7" t="s">
        <v>1065</v>
      </c>
      <c r="D64" s="9"/>
    </row>
    <row r="65">
      <c r="A65" s="5" t="s">
        <v>1133</v>
      </c>
      <c r="B65" s="6">
        <v>500.0</v>
      </c>
      <c r="C65" s="7" t="s">
        <v>1060</v>
      </c>
      <c r="D65" s="9"/>
    </row>
    <row r="66">
      <c r="A66" s="5" t="s">
        <v>1190</v>
      </c>
      <c r="B66" s="6">
        <v>1000.0</v>
      </c>
      <c r="C66" s="7" t="s">
        <v>634</v>
      </c>
      <c r="D66" s="9"/>
    </row>
    <row r="67">
      <c r="A67" s="5" t="s">
        <v>1230</v>
      </c>
      <c r="B67" s="6">
        <v>18.0</v>
      </c>
      <c r="C67" s="7" t="s">
        <v>634</v>
      </c>
      <c r="D67" s="9"/>
    </row>
    <row r="68">
      <c r="A68" s="10" t="s">
        <v>1335</v>
      </c>
      <c r="B68" s="11">
        <v>50.0</v>
      </c>
      <c r="C68" s="12" t="s">
        <v>1148</v>
      </c>
      <c r="D68" s="9"/>
    </row>
    <row r="69">
      <c r="A69" s="5" t="s">
        <v>1395</v>
      </c>
      <c r="B69" s="6">
        <v>257.94</v>
      </c>
      <c r="C69" s="7" t="s">
        <v>1060</v>
      </c>
      <c r="D69" s="9"/>
    </row>
    <row r="70">
      <c r="A70" s="5" t="s">
        <v>1397</v>
      </c>
      <c r="B70" s="6">
        <v>51.99</v>
      </c>
      <c r="C70" s="7" t="s">
        <v>1060</v>
      </c>
      <c r="D70" s="9"/>
    </row>
    <row r="71">
      <c r="A71" s="5" t="s">
        <v>1465</v>
      </c>
      <c r="B71" s="6">
        <v>25.0</v>
      </c>
      <c r="C71" s="7" t="s">
        <v>649</v>
      </c>
      <c r="D71" s="9"/>
    </row>
    <row r="72">
      <c r="A72" s="5" t="s">
        <v>1479</v>
      </c>
      <c r="B72" s="6">
        <v>50.0</v>
      </c>
      <c r="C72" s="7" t="s">
        <v>649</v>
      </c>
      <c r="D72" s="9"/>
    </row>
    <row r="73">
      <c r="A73" s="5" t="s">
        <v>1515</v>
      </c>
      <c r="B73" s="6">
        <v>4000.0</v>
      </c>
      <c r="C73" s="7" t="s">
        <v>649</v>
      </c>
      <c r="D73" s="9"/>
    </row>
    <row r="74">
      <c r="A74" s="5" t="s">
        <v>1515</v>
      </c>
      <c r="B74" s="6">
        <v>1000.0</v>
      </c>
      <c r="C74" s="7" t="s">
        <v>649</v>
      </c>
      <c r="D74" s="9"/>
    </row>
    <row r="75">
      <c r="A75" s="5" t="s">
        <v>1551</v>
      </c>
      <c r="B75" s="6">
        <v>1000.0</v>
      </c>
      <c r="C75" s="7" t="s">
        <v>375</v>
      </c>
      <c r="D75" s="9"/>
    </row>
    <row r="76">
      <c r="A76" s="10" t="s">
        <v>1578</v>
      </c>
      <c r="B76" s="11">
        <v>104.15</v>
      </c>
      <c r="C76" s="12" t="s">
        <v>1577</v>
      </c>
      <c r="D76" s="9"/>
    </row>
    <row r="77">
      <c r="A77" s="5" t="s">
        <v>1578</v>
      </c>
      <c r="B77" s="6">
        <v>104.15</v>
      </c>
      <c r="C77" s="7" t="s">
        <v>1577</v>
      </c>
      <c r="D77" s="9"/>
    </row>
    <row r="78">
      <c r="A78" s="10" t="s">
        <v>1590</v>
      </c>
      <c r="B78" s="11">
        <v>200.0</v>
      </c>
      <c r="C78" s="12" t="s">
        <v>1238</v>
      </c>
      <c r="D78" s="9"/>
    </row>
    <row r="79">
      <c r="A79" s="10" t="s">
        <v>1612</v>
      </c>
      <c r="B79" s="11">
        <v>1000.0</v>
      </c>
      <c r="C79" s="12" t="s">
        <v>1238</v>
      </c>
      <c r="D79" s="9"/>
    </row>
    <row r="80">
      <c r="A80" s="5" t="s">
        <v>1651</v>
      </c>
      <c r="B80" s="6">
        <v>50.0</v>
      </c>
      <c r="C80" s="7" t="s">
        <v>1650</v>
      </c>
      <c r="D80" s="9"/>
    </row>
    <row r="81">
      <c r="A81" s="5" t="s">
        <v>1653</v>
      </c>
      <c r="B81" s="6">
        <v>25.0</v>
      </c>
      <c r="C81" s="7" t="s">
        <v>1650</v>
      </c>
      <c r="D81" s="9"/>
    </row>
    <row r="82">
      <c r="A82" s="10" t="s">
        <v>1654</v>
      </c>
      <c r="B82" s="11">
        <v>25.0</v>
      </c>
      <c r="C82" s="12" t="s">
        <v>1650</v>
      </c>
      <c r="D82" s="9"/>
    </row>
    <row r="83">
      <c r="A83" s="5" t="s">
        <v>1657</v>
      </c>
      <c r="B83" s="6">
        <v>50.0</v>
      </c>
      <c r="C83" s="7" t="s">
        <v>1650</v>
      </c>
      <c r="D83" s="9"/>
    </row>
    <row r="84">
      <c r="A84" s="10" t="s">
        <v>1658</v>
      </c>
      <c r="B84" s="11">
        <v>100.0</v>
      </c>
      <c r="C84" s="12" t="s">
        <v>1650</v>
      </c>
      <c r="D84" s="9"/>
    </row>
    <row r="85">
      <c r="A85" s="5" t="s">
        <v>1671</v>
      </c>
      <c r="B85" s="6">
        <v>25.0</v>
      </c>
      <c r="C85" s="7" t="s">
        <v>1650</v>
      </c>
      <c r="D85" s="9"/>
    </row>
    <row r="86">
      <c r="A86" s="10" t="s">
        <v>1678</v>
      </c>
      <c r="B86" s="11">
        <v>50.0</v>
      </c>
      <c r="C86" s="12" t="s">
        <v>1650</v>
      </c>
      <c r="D86" s="9"/>
    </row>
    <row r="87">
      <c r="A87" s="10" t="s">
        <v>1721</v>
      </c>
      <c r="B87" s="11">
        <v>100.0</v>
      </c>
      <c r="C87" s="12" t="s">
        <v>50</v>
      </c>
      <c r="D87" s="9"/>
    </row>
    <row r="88">
      <c r="A88" s="10" t="s">
        <v>1728</v>
      </c>
      <c r="B88" s="11">
        <v>50.0</v>
      </c>
      <c r="C88" s="12" t="s">
        <v>50</v>
      </c>
      <c r="D88" s="9"/>
    </row>
    <row r="89">
      <c r="A89" s="10" t="s">
        <v>1721</v>
      </c>
      <c r="B89" s="11">
        <v>500.0</v>
      </c>
      <c r="C89" s="12" t="s">
        <v>50</v>
      </c>
      <c r="D89" s="9"/>
    </row>
    <row r="90">
      <c r="A90" s="10" t="s">
        <v>1776</v>
      </c>
      <c r="B90" s="11">
        <v>500.0</v>
      </c>
      <c r="C90" s="12" t="s">
        <v>35</v>
      </c>
      <c r="D90" s="9"/>
    </row>
    <row r="91">
      <c r="A91" s="10" t="s">
        <v>1794</v>
      </c>
      <c r="B91" s="11">
        <v>1000.0</v>
      </c>
      <c r="C91" s="12" t="s">
        <v>35</v>
      </c>
      <c r="D91" s="9"/>
    </row>
    <row r="92">
      <c r="A92" s="5" t="s">
        <v>1903</v>
      </c>
      <c r="B92" s="6">
        <v>250.0</v>
      </c>
      <c r="C92" s="7" t="s">
        <v>649</v>
      </c>
      <c r="D92" s="9"/>
    </row>
    <row r="93">
      <c r="A93" s="10" t="s">
        <v>1922</v>
      </c>
      <c r="B93" s="11">
        <v>180.0</v>
      </c>
      <c r="C93" s="12" t="s">
        <v>634</v>
      </c>
      <c r="D93" s="9"/>
    </row>
    <row r="94">
      <c r="A94" s="10" t="s">
        <v>1931</v>
      </c>
      <c r="B94" s="11">
        <v>1000.0</v>
      </c>
      <c r="C94" s="12" t="s">
        <v>634</v>
      </c>
      <c r="D94" s="9"/>
    </row>
    <row r="95">
      <c r="A95" s="10" t="s">
        <v>1990</v>
      </c>
      <c r="B95" s="11">
        <v>250.0</v>
      </c>
      <c r="C95" s="12" t="s">
        <v>1005</v>
      </c>
      <c r="D95" s="9"/>
    </row>
    <row r="96">
      <c r="A96" s="10" t="s">
        <v>2011</v>
      </c>
      <c r="B96" s="11">
        <v>50.0</v>
      </c>
      <c r="C96" s="12" t="s">
        <v>636</v>
      </c>
      <c r="D96" s="9"/>
    </row>
    <row r="97">
      <c r="A97" s="10" t="s">
        <v>2022</v>
      </c>
      <c r="B97" s="11">
        <v>51.0</v>
      </c>
      <c r="C97" s="12" t="s">
        <v>636</v>
      </c>
      <c r="D97" s="9"/>
    </row>
    <row r="98">
      <c r="A98" s="10" t="s">
        <v>2033</v>
      </c>
      <c r="B98" s="11">
        <v>25.0</v>
      </c>
      <c r="C98" s="12" t="s">
        <v>636</v>
      </c>
      <c r="D98" s="9"/>
    </row>
    <row r="99">
      <c r="A99" s="5" t="s">
        <v>2071</v>
      </c>
      <c r="B99" s="6">
        <v>1000.0</v>
      </c>
      <c r="C99" s="7" t="s">
        <v>1060</v>
      </c>
      <c r="D99" s="9"/>
    </row>
    <row r="100">
      <c r="A100" s="10" t="s">
        <v>2072</v>
      </c>
      <c r="B100" s="11">
        <v>1000.0</v>
      </c>
      <c r="C100" s="12" t="s">
        <v>1060</v>
      </c>
      <c r="D100" s="9"/>
    </row>
    <row r="101">
      <c r="A101" s="5" t="s">
        <v>2120</v>
      </c>
      <c r="B101" s="6">
        <v>2500.0</v>
      </c>
      <c r="C101" s="7" t="s">
        <v>1065</v>
      </c>
      <c r="D101" s="9"/>
    </row>
    <row r="102">
      <c r="A102" s="10" t="s">
        <v>2136</v>
      </c>
      <c r="B102" s="11">
        <v>100.0</v>
      </c>
      <c r="C102" s="12" t="s">
        <v>634</v>
      </c>
      <c r="D102" s="9"/>
    </row>
    <row r="103">
      <c r="A103" s="10" t="s">
        <v>2140</v>
      </c>
      <c r="B103" s="11">
        <v>250.0</v>
      </c>
      <c r="C103" s="12" t="s">
        <v>634</v>
      </c>
      <c r="D103" s="9"/>
    </row>
    <row r="104">
      <c r="A104" s="10" t="s">
        <v>2164</v>
      </c>
      <c r="B104" s="11">
        <v>25.0</v>
      </c>
      <c r="C104" s="12" t="s">
        <v>634</v>
      </c>
      <c r="D104" s="9"/>
    </row>
    <row r="105">
      <c r="A105" s="10" t="s">
        <v>2171</v>
      </c>
      <c r="B105" s="11">
        <v>360.0</v>
      </c>
      <c r="C105" s="12" t="s">
        <v>634</v>
      </c>
      <c r="D105" s="9"/>
    </row>
    <row r="106">
      <c r="A106" s="10" t="s">
        <v>2190</v>
      </c>
      <c r="B106" s="11">
        <v>100.0</v>
      </c>
      <c r="C106" s="12" t="s">
        <v>634</v>
      </c>
      <c r="D106" s="9"/>
    </row>
    <row r="107">
      <c r="A107" s="10" t="s">
        <v>2195</v>
      </c>
      <c r="B107" s="11">
        <v>100.0</v>
      </c>
      <c r="C107" s="12" t="s">
        <v>634</v>
      </c>
      <c r="D107" s="9"/>
    </row>
    <row r="108">
      <c r="A108" s="10" t="s">
        <v>2224</v>
      </c>
      <c r="B108" s="11">
        <v>500.0</v>
      </c>
      <c r="C108" s="12" t="s">
        <v>634</v>
      </c>
      <c r="D108" s="9"/>
    </row>
    <row r="109">
      <c r="A109" s="10" t="s">
        <v>2243</v>
      </c>
      <c r="B109" s="11">
        <v>1000.0</v>
      </c>
      <c r="C109" s="12" t="s">
        <v>634</v>
      </c>
      <c r="D109" s="9"/>
    </row>
    <row r="110">
      <c r="A110" s="5" t="s">
        <v>2250</v>
      </c>
      <c r="B110" s="6">
        <v>500.0</v>
      </c>
      <c r="C110" s="7" t="s">
        <v>1065</v>
      </c>
      <c r="D110" s="9"/>
    </row>
    <row r="111">
      <c r="A111" s="10" t="s">
        <v>2311</v>
      </c>
      <c r="B111" s="11">
        <v>25.0</v>
      </c>
      <c r="C111" s="12" t="s">
        <v>1065</v>
      </c>
      <c r="D111" s="9"/>
    </row>
    <row r="112">
      <c r="A112" s="5" t="s">
        <v>2347</v>
      </c>
      <c r="B112" s="6">
        <v>1000.0</v>
      </c>
      <c r="C112" s="7" t="s">
        <v>1065</v>
      </c>
      <c r="D112" s="9"/>
    </row>
    <row r="113">
      <c r="A113" s="10" t="s">
        <v>2463</v>
      </c>
      <c r="B113" s="11">
        <v>500.0</v>
      </c>
      <c r="C113" s="12" t="s">
        <v>1151</v>
      </c>
      <c r="D113" s="9"/>
    </row>
    <row r="114">
      <c r="A114" s="10" t="s">
        <v>2470</v>
      </c>
      <c r="B114" s="11">
        <v>1000.0</v>
      </c>
      <c r="C114" s="12" t="s">
        <v>1151</v>
      </c>
      <c r="D114" s="9"/>
    </row>
    <row r="115">
      <c r="A115" s="5" t="s">
        <v>2498</v>
      </c>
      <c r="B115" s="6">
        <v>2500.0</v>
      </c>
      <c r="C115" s="7" t="s">
        <v>1065</v>
      </c>
      <c r="D115" s="9"/>
    </row>
    <row r="116">
      <c r="A116" s="5" t="s">
        <v>2504</v>
      </c>
      <c r="B116" s="6">
        <v>1000.0</v>
      </c>
      <c r="C116" s="7" t="s">
        <v>1065</v>
      </c>
      <c r="D116" s="9"/>
    </row>
    <row r="117">
      <c r="A117" s="10" t="s">
        <v>2543</v>
      </c>
      <c r="B117" s="11">
        <v>500.0</v>
      </c>
      <c r="C117" s="12" t="s">
        <v>1065</v>
      </c>
      <c r="D117" s="9"/>
    </row>
    <row r="118">
      <c r="A118" s="10" t="s">
        <v>2545</v>
      </c>
      <c r="B118" s="11">
        <v>1000.0</v>
      </c>
      <c r="C118" s="12" t="s">
        <v>1065</v>
      </c>
      <c r="D118" s="9"/>
    </row>
    <row r="119">
      <c r="A119" s="10" t="s">
        <v>2547</v>
      </c>
      <c r="B119" s="11">
        <v>2500.0</v>
      </c>
      <c r="C119" s="12" t="s">
        <v>1065</v>
      </c>
      <c r="D119" s="9"/>
    </row>
    <row r="120">
      <c r="A120" s="5" t="s">
        <v>2550</v>
      </c>
      <c r="B120" s="6">
        <v>100.0</v>
      </c>
      <c r="C120" s="7" t="s">
        <v>1065</v>
      </c>
      <c r="D120" s="9"/>
    </row>
    <row r="121">
      <c r="A121" s="10" t="s">
        <v>2582</v>
      </c>
      <c r="B121" s="11">
        <v>500.0</v>
      </c>
      <c r="C121" s="12" t="s">
        <v>1005</v>
      </c>
      <c r="D121" s="9"/>
    </row>
    <row r="122">
      <c r="A122" s="5" t="s">
        <v>2683</v>
      </c>
      <c r="B122" s="6">
        <v>60.0</v>
      </c>
      <c r="C122" s="7" t="s">
        <v>1005</v>
      </c>
      <c r="D122" s="9"/>
    </row>
    <row r="123">
      <c r="A123" s="10" t="s">
        <v>2684</v>
      </c>
      <c r="B123" s="11">
        <v>1000.0</v>
      </c>
      <c r="C123" s="12" t="s">
        <v>1005</v>
      </c>
      <c r="D123" s="9"/>
    </row>
    <row r="124">
      <c r="A124" s="5" t="s">
        <v>2722</v>
      </c>
      <c r="B124" s="6">
        <v>500.0</v>
      </c>
      <c r="C124" s="7" t="s">
        <v>1065</v>
      </c>
      <c r="D124" s="9"/>
    </row>
    <row r="125">
      <c r="A125" s="5" t="s">
        <v>2742</v>
      </c>
      <c r="B125" s="6">
        <v>1000.0</v>
      </c>
      <c r="C125" s="7" t="s">
        <v>1065</v>
      </c>
      <c r="D125" s="9"/>
    </row>
    <row r="126">
      <c r="A126" s="5" t="s">
        <v>2750</v>
      </c>
      <c r="B126" s="6">
        <v>1000.0</v>
      </c>
      <c r="C126" s="7" t="s">
        <v>1065</v>
      </c>
      <c r="D126" s="9"/>
    </row>
    <row r="127">
      <c r="A127" s="5" t="s">
        <v>2755</v>
      </c>
      <c r="B127" s="6">
        <v>100.0</v>
      </c>
      <c r="C127" s="7" t="s">
        <v>1065</v>
      </c>
      <c r="D127" s="9"/>
    </row>
    <row r="128">
      <c r="A128" s="5" t="s">
        <v>2781</v>
      </c>
      <c r="B128" s="6">
        <v>500.0</v>
      </c>
      <c r="C128" s="7" t="s">
        <v>1065</v>
      </c>
      <c r="D128" s="9"/>
    </row>
    <row r="129">
      <c r="A129" s="5" t="s">
        <v>2782</v>
      </c>
      <c r="B129" s="6">
        <v>500.0</v>
      </c>
      <c r="C129" s="7" t="s">
        <v>1065</v>
      </c>
      <c r="D129" s="9"/>
    </row>
    <row r="130">
      <c r="A130" s="5" t="s">
        <v>2796</v>
      </c>
      <c r="B130" s="6">
        <v>100.0</v>
      </c>
      <c r="C130" s="7" t="s">
        <v>1065</v>
      </c>
      <c r="D130" s="9"/>
    </row>
    <row r="131">
      <c r="A131" s="10" t="s">
        <v>2968</v>
      </c>
      <c r="B131" s="11">
        <v>100.0</v>
      </c>
      <c r="C131" s="12" t="s">
        <v>1065</v>
      </c>
      <c r="D131" s="9"/>
    </row>
    <row r="132">
      <c r="A132" s="10" t="s">
        <v>2969</v>
      </c>
      <c r="B132" s="11">
        <v>100.0</v>
      </c>
      <c r="C132" s="12" t="s">
        <v>1065</v>
      </c>
      <c r="D132" s="9"/>
    </row>
    <row r="133">
      <c r="A133" s="10" t="s">
        <v>2504</v>
      </c>
      <c r="B133" s="11">
        <v>1000.0</v>
      </c>
      <c r="C133" s="12" t="s">
        <v>1065</v>
      </c>
      <c r="D133" s="9"/>
    </row>
    <row r="134">
      <c r="A134" s="5" t="s">
        <v>3010</v>
      </c>
      <c r="B134" s="6">
        <v>250.0</v>
      </c>
      <c r="C134" s="7" t="s">
        <v>1065</v>
      </c>
      <c r="D134" s="9"/>
    </row>
    <row r="135">
      <c r="A135" s="5" t="s">
        <v>3041</v>
      </c>
      <c r="B135" s="6">
        <v>1000.0</v>
      </c>
      <c r="C135" s="7" t="s">
        <v>1065</v>
      </c>
      <c r="D135" s="9"/>
    </row>
    <row r="136">
      <c r="A136" s="5" t="s">
        <v>3109</v>
      </c>
      <c r="B136" s="6">
        <v>1000.0</v>
      </c>
      <c r="C136" s="7" t="s">
        <v>634</v>
      </c>
      <c r="D136" s="9"/>
    </row>
    <row r="137">
      <c r="A137" s="5" t="s">
        <v>3113</v>
      </c>
      <c r="B137" s="6">
        <v>1000.0</v>
      </c>
      <c r="C137" s="7" t="s">
        <v>634</v>
      </c>
      <c r="D137" s="9"/>
    </row>
    <row r="138">
      <c r="A138" s="10" t="s">
        <v>3127</v>
      </c>
      <c r="B138" s="11">
        <v>25.0</v>
      </c>
      <c r="C138" s="12" t="s">
        <v>636</v>
      </c>
      <c r="D138" s="9"/>
    </row>
  </sheetData>
  <drawing r:id="rId1"/>
</worksheet>
</file>